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 sheetId="1" r:id="rId4"/>
    <sheet state="visible" name="Projections" sheetId="2" r:id="rId5"/>
    <sheet state="visible" name="Final Update" sheetId="3" r:id="rId6"/>
    <sheet state="hidden" name="UpdateBBM" sheetId="4" r:id="rId7"/>
    <sheet state="hidden" name="PasteHashtag" sheetId="5" r:id="rId8"/>
    <sheet state="hidden" name="UpdateHashtag" sheetId="6" r:id="rId9"/>
    <sheet state="hidden" name="PasteBBM" sheetId="7" r:id="rId10"/>
    <sheet state="visible" name="All Teams" sheetId="8" r:id="rId11"/>
    <sheet state="hidden" name="Team" sheetId="9" r:id="rId12"/>
    <sheet state="hidden" name="AuxCalc" sheetId="10" r:id="rId13"/>
    <sheet state="hidden" name="Trades" sheetId="11" r:id="rId14"/>
    <sheet state="hidden" name="Sheet9" sheetId="12" r:id="rId15"/>
    <sheet state="hidden" name="NO USAR3" sheetId="13" r:id="rId16"/>
  </sheets>
  <definedNames>
    <definedName hidden="1" localSheetId="1" name="_xlnm._FilterDatabase">Projections!$A$19:$D$416</definedName>
    <definedName hidden="1" localSheetId="2" name="_xlnm._FilterDatabase">'Final Update'!$O$20:$AQ$1002</definedName>
    <definedName hidden="1" localSheetId="4" name="_xlnm._FilterDatabase">PasteHashtag!$A$1:$Q$401</definedName>
    <definedName hidden="1" localSheetId="1" name="Z_6D15F1E6_DDFE_4508_9ABE_42B10AE6644D_.wvu.FilterData">Projections!$AB$18:$AB$19</definedName>
  </definedNames>
  <calcPr/>
  <customWorkbookViews>
    <customWorkbookView activeSheetId="0" maximized="1" windowHeight="0" windowWidth="0" guid="{6D15F1E6-DDFE-4508-9ABE-42B10AE6644D}" name="Filter 1"/>
  </customWorkbookViews>
</workbook>
</file>

<file path=xl/sharedStrings.xml><?xml version="1.0" encoding="utf-8"?>
<sst xmlns="http://schemas.openxmlformats.org/spreadsheetml/2006/main" count="13277" uniqueCount="2948">
  <si>
    <t>R#</t>
  </si>
  <si>
    <t>avg</t>
  </si>
  <si>
    <t>ADP</t>
  </si>
  <si>
    <t>NAME</t>
  </si>
  <si>
    <t>POS</t>
  </si>
  <si>
    <t>TEAM</t>
  </si>
  <si>
    <t>GP</t>
  </si>
  <si>
    <t>MPG</t>
  </si>
  <si>
    <t>FGM</t>
  </si>
  <si>
    <t>FG%</t>
  </si>
  <si>
    <t>FTM</t>
  </si>
  <si>
    <t>FT%</t>
  </si>
  <si>
    <t>3PM</t>
  </si>
  <si>
    <t>PTS</t>
  </si>
  <si>
    <t>TREB</t>
  </si>
  <si>
    <t>AST</t>
  </si>
  <si>
    <t>STL</t>
  </si>
  <si>
    <t>BLK</t>
  </si>
  <si>
    <t>TO</t>
  </si>
  <si>
    <t>FGA</t>
  </si>
  <si>
    <t>FTA</t>
  </si>
  <si>
    <t>Pick</t>
  </si>
  <si>
    <t>Your Pick</t>
  </si>
  <si>
    <t>Round 1</t>
  </si>
  <si>
    <t>Round 2</t>
  </si>
  <si>
    <t>Round 3</t>
  </si>
  <si>
    <t>Round 4</t>
  </si>
  <si>
    <t>Round 5</t>
  </si>
  <si>
    <t>Round 6</t>
  </si>
  <si>
    <t>Round 7</t>
  </si>
  <si>
    <t>Round 8</t>
  </si>
  <si>
    <t>Round 9</t>
  </si>
  <si>
    <t>Round 10</t>
  </si>
  <si>
    <t>Round 11</t>
  </si>
  <si>
    <t>Round 12</t>
  </si>
  <si>
    <t>Round 13</t>
  </si>
  <si>
    <t>Round 14</t>
  </si>
  <si>
    <t>Victor Wembanyama</t>
  </si>
  <si>
    <t>James Harden</t>
  </si>
  <si>
    <t>Cooper Flagg</t>
  </si>
  <si>
    <t>Brandon Miller</t>
  </si>
  <si>
    <t>O.G. Anunoby</t>
  </si>
  <si>
    <t>Alexandre Sarr</t>
  </si>
  <si>
    <t>Paul George</t>
  </si>
  <si>
    <t>Cam Johnson</t>
  </si>
  <si>
    <t>Jaden McDaniels</t>
  </si>
  <si>
    <t>Jrue Holiday</t>
  </si>
  <si>
    <t>Zaccharie Risacher</t>
  </si>
  <si>
    <t>Nikola Jovic</t>
  </si>
  <si>
    <t>Alex Caruso</t>
  </si>
  <si>
    <t>Nikola Jokic</t>
  </si>
  <si>
    <t>Stephen Curry</t>
  </si>
  <si>
    <t>Jalen Brunson</t>
  </si>
  <si>
    <t>Julius Randle</t>
  </si>
  <si>
    <t>Kristaps Porzingis</t>
  </si>
  <si>
    <t>Jalen Duren</t>
  </si>
  <si>
    <t>Michael Porter Jr.</t>
  </si>
  <si>
    <t>PJ Washington</t>
  </si>
  <si>
    <t>Naz Reid</t>
  </si>
  <si>
    <t>Klay Thompson</t>
  </si>
  <si>
    <t>Kyrie Irving</t>
  </si>
  <si>
    <t>Duncan Robinson</t>
  </si>
  <si>
    <t>std</t>
  </si>
  <si>
    <t>Keon Ellis</t>
  </si>
  <si>
    <t>Shai Gilgeous-Alexander</t>
  </si>
  <si>
    <t>Alperen Sengun</t>
  </si>
  <si>
    <t>Pascal Siakam</t>
  </si>
  <si>
    <t>Nikola Vucevic</t>
  </si>
  <si>
    <t>Lauri Markkanen</t>
  </si>
  <si>
    <t>Deandre Ayton</t>
  </si>
  <si>
    <t>Isaiah Hartenstein</t>
  </si>
  <si>
    <t>R.J. Barrett</t>
  </si>
  <si>
    <t>Andrew Wiggins</t>
  </si>
  <si>
    <t>Jabari Smith Jr.</t>
  </si>
  <si>
    <t>Collin Sexton</t>
  </si>
  <si>
    <t>Stephon Castle</t>
  </si>
  <si>
    <t>Dylan Harper</t>
  </si>
  <si>
    <t>PuntV</t>
  </si>
  <si>
    <t>1W+-</t>
  </si>
  <si>
    <t>LeagV</t>
  </si>
  <si>
    <t>Punt+</t>
  </si>
  <si>
    <t>FrV</t>
  </si>
  <si>
    <t>MonsterBar</t>
  </si>
  <si>
    <t>Name</t>
  </si>
  <si>
    <t>FTAdp</t>
  </si>
  <si>
    <t>PG</t>
  </si>
  <si>
    <t>Luka Doncic</t>
  </si>
  <si>
    <t>Kevin Durant</t>
  </si>
  <si>
    <t>SG</t>
  </si>
  <si>
    <t>Bam Adebayo</t>
  </si>
  <si>
    <t>SF</t>
  </si>
  <si>
    <t>Kawhi Leonard</t>
  </si>
  <si>
    <t>PF</t>
  </si>
  <si>
    <t>Pick #</t>
  </si>
  <si>
    <t>Joel Embiid</t>
  </si>
  <si>
    <t>Team</t>
  </si>
  <si>
    <t>Matas Buzelis</t>
  </si>
  <si>
    <t>C</t>
  </si>
  <si>
    <t>Jordan Poole</t>
  </si>
  <si>
    <t>3P</t>
  </si>
  <si>
    <t>Donovan Clingan</t>
  </si>
  <si>
    <t>REB</t>
  </si>
  <si>
    <t>Bobby Portis</t>
  </si>
  <si>
    <t>Andrew Nembhard</t>
  </si>
  <si>
    <t>Cason Wallace</t>
  </si>
  <si>
    <t>Mitchell Robinson</t>
  </si>
  <si>
    <t>Cats Won</t>
  </si>
  <si>
    <t>Sam Hauser</t>
  </si>
  <si>
    <t>z p/g</t>
  </si>
  <si>
    <t>Winrate</t>
  </si>
  <si>
    <t>z 3/g</t>
  </si>
  <si>
    <t>Punt Sum</t>
  </si>
  <si>
    <t>z r/g</t>
  </si>
  <si>
    <t>z a/g</t>
  </si>
  <si>
    <t>z s/g</t>
  </si>
  <si>
    <t>z b/g</t>
  </si>
  <si>
    <t>Total LeagV</t>
  </si>
  <si>
    <t>z fg%</t>
  </si>
  <si>
    <t>fga/g</t>
  </si>
  <si>
    <t>z ft%</t>
  </si>
  <si>
    <t>fta/g</t>
  </si>
  <si>
    <t>z to/g</t>
  </si>
  <si>
    <t>Giannis Antetokounmpo</t>
  </si>
  <si>
    <t>Evan Mobley</t>
  </si>
  <si>
    <t>LeBron James</t>
  </si>
  <si>
    <t>Dyson Daniels</t>
  </si>
  <si>
    <t>Rudy Gobert</t>
  </si>
  <si>
    <t>Miles Bridges</t>
  </si>
  <si>
    <t>Immanuel Quickley</t>
  </si>
  <si>
    <t>John Collins</t>
  </si>
  <si>
    <t>Anfernee Simons</t>
  </si>
  <si>
    <t>Jonathan Kuminga</t>
  </si>
  <si>
    <t>Tobias Harris</t>
  </si>
  <si>
    <t>Chris Boucher</t>
  </si>
  <si>
    <t>Malik Monk</t>
  </si>
  <si>
    <t>Cade Cunningham</t>
  </si>
  <si>
    <t>Donovan Mitchell</t>
  </si>
  <si>
    <t>Scottie Barnes</t>
  </si>
  <si>
    <t>Austin Reaves</t>
  </si>
  <si>
    <t>Walker Kessler</t>
  </si>
  <si>
    <t>Ausar Thompson</t>
  </si>
  <si>
    <t>Shaedon Sharpe</t>
  </si>
  <si>
    <t>Draymond Green</t>
  </si>
  <si>
    <t>Kevin Porter Jr.</t>
  </si>
  <si>
    <t>Donte DiVincenzo</t>
  </si>
  <si>
    <t>Jaden Ivey</t>
  </si>
  <si>
    <t>Santi Aldama</t>
  </si>
  <si>
    <t>VJ Edgecombe</t>
  </si>
  <si>
    <t>Anthony Edwards</t>
  </si>
  <si>
    <t>Tyrese Maxey</t>
  </si>
  <si>
    <t>Jaren Jackson Jr.</t>
  </si>
  <si>
    <t>Myles Turner</t>
  </si>
  <si>
    <t>Coby White</t>
  </si>
  <si>
    <t>Jakob Poeltl</t>
  </si>
  <si>
    <t>Tari Eason</t>
  </si>
  <si>
    <t>Cam Thomas</t>
  </si>
  <si>
    <t>Brandin Podziemski</t>
  </si>
  <si>
    <t>Bennedict Mathurin</t>
  </si>
  <si>
    <t>Aaron Nesmith</t>
  </si>
  <si>
    <t>Cam Whitmore</t>
  </si>
  <si>
    <t>Taylor Hendricks</t>
  </si>
  <si>
    <t>Karl-Anthony Towns</t>
  </si>
  <si>
    <t>Jalen Johnson</t>
  </si>
  <si>
    <t>Franz Wagner</t>
  </si>
  <si>
    <t>Zion Williamson</t>
  </si>
  <si>
    <t>Ivica Zubac</t>
  </si>
  <si>
    <t>Mark Williams</t>
  </si>
  <si>
    <t>Onyeka Okongwu</t>
  </si>
  <si>
    <t>C.J. McCollum</t>
  </si>
  <si>
    <t>Keyonte George</t>
  </si>
  <si>
    <t>D'Angelo Russell</t>
  </si>
  <si>
    <t>Isaiah Jackson</t>
  </si>
  <si>
    <t>Neemias Queta</t>
  </si>
  <si>
    <t>Gradey Dick</t>
  </si>
  <si>
    <t>Devin Booker</t>
  </si>
  <si>
    <t>Josh Giddey</t>
  </si>
  <si>
    <t>Jamal Murray</t>
  </si>
  <si>
    <t>Ja Morant</t>
  </si>
  <si>
    <t>Jimmy Butler</t>
  </si>
  <si>
    <t>Payton Pritchard</t>
  </si>
  <si>
    <t>Toumani Camara</t>
  </si>
  <si>
    <t>Jalen Green</t>
  </si>
  <si>
    <t>Nicolas Claxton</t>
  </si>
  <si>
    <t>Reed Sheppard</t>
  </si>
  <si>
    <t>Davion Mitchell</t>
  </si>
  <si>
    <t>Keegan Murray</t>
  </si>
  <si>
    <t>Ace Bailey</t>
  </si>
  <si>
    <t>Domantas Sabonis</t>
  </si>
  <si>
    <t>Jalen Williams</t>
  </si>
  <si>
    <t>Paolo Banchero</t>
  </si>
  <si>
    <t>Jaylen Brown</t>
  </si>
  <si>
    <t>Desmond Bane</t>
  </si>
  <si>
    <t>Jarrett Allen</t>
  </si>
  <si>
    <t>Brandon Ingram</t>
  </si>
  <si>
    <t>Mikal Bridges</t>
  </si>
  <si>
    <t>Aaron Gordon</t>
  </si>
  <si>
    <t>Norman Powell</t>
  </si>
  <si>
    <t>Kel'el Ware</t>
  </si>
  <si>
    <t>De'Andre Hunter</t>
  </si>
  <si>
    <t>Dennis Schroder</t>
  </si>
  <si>
    <t>Trae Young</t>
  </si>
  <si>
    <t>Derrick White</t>
  </si>
  <si>
    <t>Chet Holmgren</t>
  </si>
  <si>
    <t>Trey Murphy</t>
  </si>
  <si>
    <t>Zach LaVine</t>
  </si>
  <si>
    <t>Tyler Herro</t>
  </si>
  <si>
    <t>Josh Hart</t>
  </si>
  <si>
    <t>Chris Paul</t>
  </si>
  <si>
    <t>Jalen Suggs</t>
  </si>
  <si>
    <t>Brook Lopez</t>
  </si>
  <si>
    <t>Dereck Lively II</t>
  </si>
  <si>
    <t>Jerami Grant</t>
  </si>
  <si>
    <t>Anthony Davis</t>
  </si>
  <si>
    <t>Your Pick #</t>
  </si>
  <si>
    <t>LaMelo Ball</t>
  </si>
  <si>
    <t>Amen Thompson</t>
  </si>
  <si>
    <t>De'Aaron Fox</t>
  </si>
  <si>
    <t>Deni Avdija</t>
  </si>
  <si>
    <t>DeMar DeRozan</t>
  </si>
  <si>
    <t>Darius Garland</t>
  </si>
  <si>
    <t>Bradley Beal</t>
  </si>
  <si>
    <t>Zach Edey</t>
  </si>
  <si>
    <t>Devin Vassell</t>
  </si>
  <si>
    <t>Herb Jones</t>
  </si>
  <si>
    <t>Miles McBride</t>
  </si>
  <si>
    <t>Bilal Coulibaly</t>
  </si>
  <si>
    <t xml:space="preserve">BLK </t>
  </si>
  <si>
    <t>Player</t>
  </si>
  <si>
    <t>Pos</t>
  </si>
  <si>
    <t>min 1</t>
  </si>
  <si>
    <t>min 2</t>
  </si>
  <si>
    <t>Rank 1</t>
  </si>
  <si>
    <t>3RR</t>
  </si>
  <si>
    <r>
      <rPr>
        <rFont val="Arial"/>
        <b/>
        <color rgb="FFFFFFFF"/>
        <sz val="14.0"/>
      </rPr>
      <t>Next Pick Simulation</t>
    </r>
  </si>
  <si>
    <t>MAKE A COPY</t>
  </si>
  <si>
    <t>File -&gt; Make a copy</t>
  </si>
  <si>
    <t>Round #</t>
  </si>
  <si>
    <t>T.J. McConnell</t>
  </si>
  <si>
    <t>Input Draft Picks</t>
  </si>
  <si>
    <t>Current Pick #1</t>
  </si>
  <si>
    <t>Your Next Pick #</t>
  </si>
  <si>
    <t>Player Name</t>
  </si>
  <si>
    <t xml:space="preserve">Avg Zscore Available </t>
  </si>
  <si>
    <t>-1 Cat</t>
  </si>
  <si>
    <t>-2 Cat</t>
  </si>
  <si>
    <t>Sort by</t>
  </si>
  <si>
    <t>Remove Drafted</t>
  </si>
  <si>
    <t>Top</t>
  </si>
  <si>
    <t>Projections</t>
  </si>
  <si>
    <t>HASHTAG</t>
  </si>
  <si>
    <t>W18</t>
  </si>
  <si>
    <t>W19</t>
  </si>
  <si>
    <t>W20</t>
  </si>
  <si>
    <t>Total</t>
  </si>
  <si>
    <t>PuntRank</t>
  </si>
  <si>
    <t>LgRank</t>
  </si>
  <si>
    <t>% Games/Week</t>
  </si>
  <si>
    <t>Categories won</t>
  </si>
  <si>
    <t>Round</t>
  </si>
  <si>
    <t>Count</t>
  </si>
  <si>
    <t>Dejounte Murray</t>
  </si>
  <si>
    <t>Scoot Henderson</t>
  </si>
  <si>
    <t>PLAYER</t>
  </si>
  <si>
    <t>TOTAL</t>
  </si>
  <si>
    <r>
      <rPr>
        <rFont val="Montserrat, Helvetica, Arial, serif"/>
        <color rgb="FF22292F"/>
        <sz val="11.0"/>
      </rPr>
      <t>Victor Wembanyama</t>
    </r>
  </si>
  <si>
    <t>SA</t>
  </si>
  <si>
    <t>0.473(8.8/18.6)</t>
  </si>
  <si>
    <t>0.802(4.5/5.6)</t>
  </si>
  <si>
    <r>
      <rPr>
        <rFont val="Montserrat, Helvetica, Arial, serif"/>
        <color rgb="FF22292F"/>
        <sz val="11.0"/>
      </rPr>
      <t>Nikola Jokic</t>
    </r>
  </si>
  <si>
    <t>DEN</t>
  </si>
  <si>
    <t>0.585(10.4/17.8)</t>
  </si>
  <si>
    <t>0.819(4.8/5.8)</t>
  </si>
  <si>
    <r>
      <rPr>
        <rFont val="Montserrat, Helvetica, Arial, serif"/>
        <color rgb="FF22292F"/>
        <sz val="11.0"/>
      </rPr>
      <t>Shai Gilgeous-Alexander</t>
    </r>
  </si>
  <si>
    <t>OKC</t>
  </si>
  <si>
    <t>0.524(10.2/19.5)</t>
  </si>
  <si>
    <t>0.880(8.1/9.2)</t>
  </si>
  <si>
    <r>
      <rPr>
        <rFont val="Montserrat, Helvetica, Arial, serif"/>
        <color rgb="FF22292F"/>
        <sz val="11.0"/>
      </rPr>
      <t>Luka Doncic</t>
    </r>
  </si>
  <si>
    <t>PG,SG</t>
  </si>
  <si>
    <t>DAL</t>
  </si>
  <si>
    <t>0.491(11.3/23.0)</t>
  </si>
  <si>
    <t>0.792(7.6/9.7)</t>
  </si>
  <si>
    <r>
      <rPr>
        <rFont val="Montserrat, Helvetica, Arial, serif"/>
        <color rgb="FF22292F"/>
        <sz val="11.0"/>
      </rPr>
      <t>Anthony Davis</t>
    </r>
  </si>
  <si>
    <t>PF,C</t>
  </si>
  <si>
    <t>LAL</t>
  </si>
  <si>
    <t>0.559(9.5/17.0)</t>
  </si>
  <si>
    <t>0.802(5.8/7.3)</t>
  </si>
  <si>
    <r>
      <rPr>
        <rFont val="Montserrat, Helvetica, Arial, serif"/>
        <color rgb="FF22292F"/>
        <sz val="11.0"/>
      </rPr>
      <t>Joel Embiid</t>
    </r>
  </si>
  <si>
    <t>PHI</t>
  </si>
  <si>
    <t>0.518(9.1/17.6)</t>
  </si>
  <si>
    <t>0.871(8.7/9.9)</t>
  </si>
  <si>
    <r>
      <rPr>
        <rFont val="Montserrat, Helvetica, Arial, serif"/>
        <color rgb="FF22292F"/>
        <sz val="11.0"/>
      </rPr>
      <t>Giannis Antetokounmpo</t>
    </r>
  </si>
  <si>
    <t>MIL</t>
  </si>
  <si>
    <t>0.614(11.8/19.2)</t>
  </si>
  <si>
    <t>0.671(7.0/10.5)</t>
  </si>
  <si>
    <r>
      <rPr>
        <rFont val="Montserrat, Helvetica, Arial, serif"/>
        <color rgb="FF22292F"/>
        <sz val="11.0"/>
      </rPr>
      <t>Tyrese Haliburton</t>
    </r>
  </si>
  <si>
    <t>IND</t>
  </si>
  <si>
    <t>0.483(7.5/15.6)</t>
  </si>
  <si>
    <t>0.862(3.1/3.5)</t>
  </si>
  <si>
    <r>
      <rPr>
        <rFont val="Montserrat, Helvetica, Arial, serif"/>
        <color rgb="FF22292F"/>
        <sz val="11.0"/>
      </rPr>
      <t>Trae Young</t>
    </r>
  </si>
  <si>
    <t>ATL</t>
  </si>
  <si>
    <t>0.432(8.4/19.5)</t>
  </si>
  <si>
    <t>0.877(7.8/8.9)</t>
  </si>
  <si>
    <r>
      <rPr>
        <rFont val="Montserrat, Helvetica, Arial, serif"/>
        <color rgb="FF22292F"/>
        <sz val="11.0"/>
      </rPr>
      <t>Jayson Tatum</t>
    </r>
  </si>
  <si>
    <t>SF,PF</t>
  </si>
  <si>
    <t>BOS</t>
  </si>
  <si>
    <t>0.469(9.4/20.1)</t>
  </si>
  <si>
    <t>0.836(6.1/7.3)</t>
  </si>
  <si>
    <r>
      <rPr>
        <rFont val="Montserrat, Helvetica, Arial, serif"/>
        <color rgb="FF22292F"/>
        <sz val="11.0"/>
      </rPr>
      <t>James Harden</t>
    </r>
  </si>
  <si>
    <t>LAC</t>
  </si>
  <si>
    <t>0.438(6.5/14.8)</t>
  </si>
  <si>
    <t>0.871(4.7/5.3)</t>
  </si>
  <si>
    <r>
      <rPr>
        <rFont val="Montserrat, Helvetica, Arial, serif"/>
        <color rgb="FF22292F"/>
        <sz val="11.0"/>
      </rPr>
      <t>Stephen Curry</t>
    </r>
  </si>
  <si>
    <t>GS</t>
  </si>
  <si>
    <t>0.469(8.8/18.7)</t>
  </si>
  <si>
    <t>0.918(4.0/4.4)</t>
  </si>
  <si>
    <t>Ty Jerome</t>
  </si>
  <si>
    <r>
      <rPr>
        <rFont val="Montserrat, Helvetica, Arial, serif"/>
        <color rgb="FF22292F"/>
        <sz val="11.0"/>
      </rPr>
      <t>Donovan Mitchell</t>
    </r>
  </si>
  <si>
    <t>CLE</t>
  </si>
  <si>
    <t>0.468(9.1/19.5)</t>
  </si>
  <si>
    <t>0.866(4.6/5.4)</t>
  </si>
  <si>
    <r>
      <rPr>
        <rFont val="Montserrat, Helvetica, Arial, serif"/>
        <color rgb="FF22292F"/>
        <sz val="11.0"/>
      </rPr>
      <t>Kyrie Irving</t>
    </r>
  </si>
  <si>
    <t>0.495(9.2/18.6)</t>
  </si>
  <si>
    <t>0.907(3.2/3.6)</t>
  </si>
  <si>
    <r>
      <rPr>
        <rFont val="Montserrat, Helvetica, Arial, serif"/>
        <color rgb="FF22292F"/>
        <sz val="11.0"/>
      </rPr>
      <t>Kevin Durant</t>
    </r>
  </si>
  <si>
    <t>PHO</t>
  </si>
  <si>
    <t>0.520(9.5/18.3)</t>
  </si>
  <si>
    <t>0.846(4.6/5.5)</t>
  </si>
  <si>
    <r>
      <rPr>
        <rFont val="Montserrat, Helvetica, Arial, serif"/>
        <color rgb="FF22292F"/>
        <sz val="11.0"/>
      </rPr>
      <t>LeBron James</t>
    </r>
  </si>
  <si>
    <t>0.535(9.4/17.6)</t>
  </si>
  <si>
    <t>0.758(4.3/5.6)</t>
  </si>
  <si>
    <r>
      <rPr>
        <rFont val="Montserrat, Helvetica, Arial, serif"/>
        <color rgb="FF22292F"/>
        <sz val="11.0"/>
      </rPr>
      <t>Scottie Barnes</t>
    </r>
  </si>
  <si>
    <t>SG,SF,PF</t>
  </si>
  <si>
    <t>TOR</t>
  </si>
  <si>
    <t>0.479(7.0/14.5)</t>
  </si>
  <si>
    <t>0.791(3.5/4.4)</t>
  </si>
  <si>
    <r>
      <rPr>
        <rFont val="Montserrat, Helvetica, Arial, serif"/>
        <color rgb="FF22292F"/>
        <sz val="11.0"/>
      </rPr>
      <t>Damian Lillard</t>
    </r>
  </si>
  <si>
    <t>0.432(7.7/17.8)</t>
  </si>
  <si>
    <t>0.918(6.5/7.0)</t>
  </si>
  <si>
    <r>
      <rPr>
        <rFont val="Montserrat, Helvetica, Arial, serif"/>
        <color rgb="FF22292F"/>
        <sz val="11.0"/>
      </rPr>
      <t>Devin Booker</t>
    </r>
  </si>
  <si>
    <t>0.490(9.9/20.1)</t>
  </si>
  <si>
    <t>0.873(5.9/6.8)</t>
  </si>
  <si>
    <r>
      <rPr>
        <rFont val="Montserrat, Helvetica, Arial, serif"/>
        <color rgb="FF22292F"/>
        <sz val="11.0"/>
      </rPr>
      <t>LaMelo Ball</t>
    </r>
  </si>
  <si>
    <t>CHA</t>
  </si>
  <si>
    <t>0.427(8.2/19.2)</t>
  </si>
  <si>
    <t>0.857(3.2/3.7)</t>
  </si>
  <si>
    <r>
      <rPr>
        <rFont val="Montserrat, Helvetica, Arial, serif"/>
        <color rgb="FF22292F"/>
        <sz val="11.0"/>
      </rPr>
      <t>Karl-Anthony Towns</t>
    </r>
  </si>
  <si>
    <t>NY</t>
  </si>
  <si>
    <t>0.501(7.4/14.8)</t>
  </si>
  <si>
    <t>0.873(4.4/5.1)</t>
  </si>
  <si>
    <r>
      <rPr>
        <rFont val="Montserrat, Helvetica, Arial, serif"/>
        <color rgb="FF22292F"/>
        <sz val="11.0"/>
      </rPr>
      <t>Domantas Sabonis</t>
    </r>
  </si>
  <si>
    <t>SAC</t>
  </si>
  <si>
    <t>0.600(7.2/12.1)</t>
  </si>
  <si>
    <t>0.725(3.9/5.4)</t>
  </si>
  <si>
    <r>
      <rPr>
        <rFont val="Montserrat, Helvetica, Arial, serif"/>
        <color rgb="FF22292F"/>
        <sz val="11.0"/>
      </rPr>
      <t>Lauri Markkanen</t>
    </r>
  </si>
  <si>
    <t>UTA</t>
  </si>
  <si>
    <t>0.483(8.3/17.1)</t>
  </si>
  <si>
    <t>0.884(4.9/5.6)</t>
  </si>
  <si>
    <r>
      <rPr>
        <rFont val="Montserrat, Helvetica, Arial, serif"/>
        <color rgb="FF22292F"/>
        <sz val="11.0"/>
      </rPr>
      <t>Chet Holmgren</t>
    </r>
  </si>
  <si>
    <t>0.530(6.5/12.2)</t>
  </si>
  <si>
    <t>0.793(2.8/3.5)</t>
  </si>
  <si>
    <r>
      <rPr>
        <rFont val="Montserrat, Helvetica, Arial, serif"/>
        <color rgb="FF22292F"/>
        <sz val="11.0"/>
      </rPr>
      <t>Jalen Brunson</t>
    </r>
  </si>
  <si>
    <t>0.484(9.8/20.3)</t>
  </si>
  <si>
    <t>0.839(5.3/6.4)</t>
  </si>
  <si>
    <r>
      <rPr>
        <rFont val="Montserrat, Helvetica, Arial, serif"/>
        <color rgb="FF22292F"/>
        <sz val="11.0"/>
      </rPr>
      <t>Anthony Edwards</t>
    </r>
  </si>
  <si>
    <t>SG,SF</t>
  </si>
  <si>
    <t>MIN</t>
  </si>
  <si>
    <t>0.460(9.3/20.3)</t>
  </si>
  <si>
    <t>0.823(5.0/6.1)</t>
  </si>
  <si>
    <r>
      <rPr>
        <rFont val="Montserrat, Helvetica, Arial, serif"/>
        <color rgb="FF22292F"/>
        <sz val="11.0"/>
      </rPr>
      <t>Paul George</t>
    </r>
  </si>
  <si>
    <t>0.465(7.7/16.5)</t>
  </si>
  <si>
    <t>0.889(3.8/4.3)</t>
  </si>
  <si>
    <r>
      <rPr>
        <rFont val="Montserrat, Helvetica, Arial, serif"/>
        <color rgb="FF22292F"/>
        <sz val="11.0"/>
      </rPr>
      <t>Jalen Williams</t>
    </r>
  </si>
  <si>
    <t>0.536(7.8/14.5)</t>
  </si>
  <si>
    <t>0.822(2.8/3.4)</t>
  </si>
  <si>
    <r>
      <rPr>
        <rFont val="Montserrat, Helvetica, Arial, serif"/>
        <color rgb="FF22292F"/>
        <sz val="11.0"/>
      </rPr>
      <t>Jimmy Butler</t>
    </r>
  </si>
  <si>
    <t>MIA</t>
  </si>
  <si>
    <t>0.492(6.5/13.2)</t>
  </si>
  <si>
    <t>0.855(6.9/8.1)</t>
  </si>
  <si>
    <r>
      <rPr>
        <rFont val="Montserrat, Helvetica, Arial, serif"/>
        <color rgb="FF22292F"/>
        <sz val="11.0"/>
      </rPr>
      <t>Jaren Jackson Jr.</t>
    </r>
  </si>
  <si>
    <t>MEM</t>
  </si>
  <si>
    <t>0.470(7.5/15.9)</t>
  </si>
  <si>
    <t>0.800(4.6/5.8)</t>
  </si>
  <si>
    <r>
      <rPr>
        <rFont val="Montserrat, Helvetica, Arial, serif"/>
        <color rgb="FF22292F"/>
        <sz val="11.0"/>
      </rPr>
      <t>Tyrese Maxey</t>
    </r>
  </si>
  <si>
    <t>0.462(8.7/18.8)</t>
  </si>
  <si>
    <t>0.859(4.1/4.8)</t>
  </si>
  <si>
    <r>
      <rPr>
        <rFont val="Montserrat, Helvetica, Arial, serif"/>
        <color rgb="FF22292F"/>
        <sz val="11.0"/>
      </rPr>
      <t>Fred VanVleet</t>
    </r>
  </si>
  <si>
    <t>HOU</t>
  </si>
  <si>
    <t>0.406(5.7/14.1)</t>
  </si>
  <si>
    <t>0.874(3.0/3.4)</t>
  </si>
  <si>
    <r>
      <rPr>
        <rFont val="Montserrat, Helvetica, Arial, serif"/>
        <color rgb="FF22292F"/>
        <sz val="11.0"/>
      </rPr>
      <t>Jalen Johnson</t>
    </r>
  </si>
  <si>
    <t>0.503(7.3/14.5)</t>
  </si>
  <si>
    <t>0.747(2.1/2.9)</t>
  </si>
  <si>
    <r>
      <rPr>
        <rFont val="Montserrat, Helvetica, Arial, serif"/>
        <color rgb="FF22292F"/>
        <sz val="11.0"/>
      </rPr>
      <t>De'Aaron Fox</t>
    </r>
  </si>
  <si>
    <t>0.472(9.2/19.4)</t>
  </si>
  <si>
    <t>0.759(4.3/5.6)</t>
  </si>
  <si>
    <r>
      <rPr>
        <rFont val="Montserrat, Helvetica, Arial, serif"/>
        <color rgb="FF22292F"/>
        <sz val="11.0"/>
      </rPr>
      <t>Derrick White</t>
    </r>
  </si>
  <si>
    <t>0.461(5.2/11.3)</t>
  </si>
  <si>
    <t>0.888(2.2/2.4)</t>
  </si>
  <si>
    <r>
      <rPr>
        <rFont val="Montserrat, Helvetica, Arial, serif"/>
        <color rgb="FF22292F"/>
        <sz val="11.0"/>
      </rPr>
      <t>Ja Morant</t>
    </r>
  </si>
  <si>
    <t>0.470(9.2/19.6)</t>
  </si>
  <si>
    <t>0.788(5.8/7.4)</t>
  </si>
  <si>
    <r>
      <rPr>
        <rFont val="Montserrat, Helvetica, Arial, serif"/>
        <color rgb="FF22292F"/>
        <sz val="11.0"/>
      </rPr>
      <t>DeMar DeRozan</t>
    </r>
  </si>
  <si>
    <t>0.486(7.5/15.4)</t>
  </si>
  <si>
    <t>0.863(6.0/7.0)</t>
  </si>
  <si>
    <r>
      <rPr>
        <rFont val="Montserrat, Helvetica, Arial, serif"/>
        <color rgb="FF22292F"/>
        <sz val="11.0"/>
      </rPr>
      <t>Evan Mobley</t>
    </r>
  </si>
  <si>
    <t>0.573(6.5/11.4)</t>
  </si>
  <si>
    <t>0.726(2.6/3.6)</t>
  </si>
  <si>
    <r>
      <rPr>
        <rFont val="Montserrat, Helvetica, Arial, serif"/>
        <color rgb="FF22292F"/>
        <sz val="11.0"/>
      </rPr>
      <t>Kawhi Leonard</t>
    </r>
  </si>
  <si>
    <t>0.507(7.5/14.7)</t>
  </si>
  <si>
    <t>0.859(3.5/4.1)</t>
  </si>
  <si>
    <r>
      <rPr>
        <rFont val="Montserrat, Helvetica, Arial, serif"/>
        <color rgb="FF22292F"/>
        <sz val="11.0"/>
      </rPr>
      <t>Desmond Bane</t>
    </r>
  </si>
  <si>
    <t>0.472(7.7/16.4)</t>
  </si>
  <si>
    <t>0.877(3.1/3.5)</t>
  </si>
  <si>
    <r>
      <rPr>
        <rFont val="Montserrat, Helvetica, Arial, serif"/>
        <color rgb="FF22292F"/>
        <sz val="11.0"/>
      </rPr>
      <t>Dejounte Murray</t>
    </r>
  </si>
  <si>
    <t>NO</t>
  </si>
  <si>
    <t>0.462(7.6/16.4)</t>
  </si>
  <si>
    <t>0.809(2.2/2.7)</t>
  </si>
  <si>
    <r>
      <rPr>
        <rFont val="Montserrat, Helvetica, Arial, serif"/>
        <color rgb="FF22292F"/>
        <sz val="11.0"/>
      </rPr>
      <t>Alperen Sengün</t>
    </r>
  </si>
  <si>
    <t>0.544(7.6/13.9)</t>
  </si>
  <si>
    <t>0.713(3.9/5.4)</t>
  </si>
  <si>
    <r>
      <rPr>
        <rFont val="Montserrat, Helvetica, Arial, serif"/>
        <color rgb="FF22292F"/>
        <sz val="11.0"/>
      </rPr>
      <t>Bam Adebayo</t>
    </r>
  </si>
  <si>
    <t>0.531(7.8/14.8)</t>
  </si>
  <si>
    <t>0.743(4.1/5.5)</t>
  </si>
  <si>
    <r>
      <rPr>
        <rFont val="Montserrat, Helvetica, Arial, serif"/>
        <color rgb="FF22292F"/>
        <sz val="11.0"/>
      </rPr>
      <t>Kristaps Porzingis</t>
    </r>
  </si>
  <si>
    <t>Khris Middleton</t>
  </si>
  <si>
    <t>0.484(6.1/12.6)</t>
  </si>
  <si>
    <t>0.848(3.8/4.5)</t>
  </si>
  <si>
    <r>
      <rPr>
        <rFont val="Montserrat, Helvetica, Arial, serif"/>
        <color rgb="FF22292F"/>
        <sz val="11.0"/>
      </rPr>
      <t>Cade Cunningham</t>
    </r>
  </si>
  <si>
    <t>DET</t>
  </si>
  <si>
    <t>0.450(8.8/19.5)</t>
  </si>
  <si>
    <t>0.865(3.8/4.4)</t>
  </si>
  <si>
    <r>
      <rPr>
        <rFont val="Montserrat, Helvetica, Arial, serif"/>
        <color rgb="FF22292F"/>
        <sz val="11.0"/>
      </rPr>
      <t>Myles Turner</t>
    </r>
  </si>
  <si>
    <t>0.535(6.1/11.5)</t>
  </si>
  <si>
    <t>0.778(3.2/4.1)</t>
  </si>
  <si>
    <r>
      <rPr>
        <rFont val="Montserrat, Helvetica, Arial, serif"/>
        <color rgb="FF22292F"/>
        <sz val="11.0"/>
      </rPr>
      <t>Immanuel Quickley</t>
    </r>
  </si>
  <si>
    <t>Grayson Allen</t>
  </si>
  <si>
    <t>0.440(6.4/14.7)</t>
  </si>
  <si>
    <t>0.849(3.2/3.8)</t>
  </si>
  <si>
    <r>
      <rPr>
        <rFont val="Montserrat, Helvetica, Arial, serif"/>
        <color rgb="FF22292F"/>
        <sz val="11.0"/>
      </rPr>
      <t>Jamal Murray</t>
    </r>
  </si>
  <si>
    <t>0.471(7.4/15.8)</t>
  </si>
  <si>
    <t>0.841(2.6/3.1)</t>
  </si>
  <si>
    <r>
      <rPr>
        <rFont val="Montserrat, Helvetica, Arial, serif"/>
        <color rgb="FF22292F"/>
        <sz val="11.0"/>
      </rPr>
      <t>Franz Wagner</t>
    </r>
  </si>
  <si>
    <t>ORL</t>
  </si>
  <si>
    <t>0.483(7.2/15.0)</t>
  </si>
  <si>
    <t>0.845(3.7/4.3)</t>
  </si>
  <si>
    <r>
      <rPr>
        <rFont val="Montserrat, Helvetica, Arial, serif"/>
        <color rgb="FF22292F"/>
        <sz val="11.0"/>
      </rPr>
      <t>Tobias Harris</t>
    </r>
  </si>
  <si>
    <t>0.482(6.8/14.1)</t>
  </si>
  <si>
    <t>0.878(2.5/2.9)</t>
  </si>
  <si>
    <r>
      <rPr>
        <rFont val="Montserrat, Helvetica, Arial, serif"/>
        <color rgb="FF22292F"/>
        <sz val="11.0"/>
      </rPr>
      <t>Nikola Vucevic</t>
    </r>
  </si>
  <si>
    <t>CHI</t>
  </si>
  <si>
    <t>0.482(7.1/14.8)</t>
  </si>
  <si>
    <t>0.817(1.5/1.8)</t>
  </si>
  <si>
    <r>
      <rPr>
        <rFont val="Montserrat, Helvetica, Arial, serif"/>
        <color rgb="FF22292F"/>
        <sz val="11.0"/>
      </rPr>
      <t>Jarrett Allen</t>
    </r>
  </si>
  <si>
    <t>0.637(6.2/9.7)</t>
  </si>
  <si>
    <t>0.735(2.6/3.6)</t>
  </si>
  <si>
    <r>
      <rPr>
        <rFont val="Montserrat, Helvetica, Arial, serif"/>
        <color rgb="FF22292F"/>
        <sz val="11.0"/>
      </rPr>
      <t>Rudy Gobert</t>
    </r>
  </si>
  <si>
    <t>0.660(5.5/8.3)</t>
  </si>
  <si>
    <t>0.642(3.4/5.2)</t>
  </si>
  <si>
    <r>
      <rPr>
        <rFont val="Montserrat, Helvetica, Arial, serif"/>
        <color rgb="FF22292F"/>
        <sz val="11.0"/>
      </rPr>
      <t>Darius Garland</t>
    </r>
  </si>
  <si>
    <t>0.455(6.9/15.1)</t>
  </si>
  <si>
    <t>0.850(3.2/3.8)</t>
  </si>
  <si>
    <r>
      <rPr>
        <rFont val="Montserrat, Helvetica, Arial, serif"/>
        <color rgb="FF22292F"/>
        <sz val="11.0"/>
      </rPr>
      <t>Jaylen Brown</t>
    </r>
  </si>
  <si>
    <t>0.495(9.4/19.0)</t>
  </si>
  <si>
    <t>0.737(3.4/4.6)</t>
  </si>
  <si>
    <r>
      <rPr>
        <rFont val="Montserrat, Helvetica, Arial, serif"/>
        <color rgb="FF22292F"/>
        <sz val="11.0"/>
      </rPr>
      <t>Deandre Ayton</t>
    </r>
  </si>
  <si>
    <t>POR</t>
  </si>
  <si>
    <t>0.571(7.6/13.3)</t>
  </si>
  <si>
    <t>0.778(1.8/2.3)</t>
  </si>
  <si>
    <r>
      <rPr>
        <rFont val="Montserrat, Helvetica, Arial, serif"/>
        <color rgb="FF22292F"/>
        <sz val="11.0"/>
      </rPr>
      <t>Bradley Beal</t>
    </r>
  </si>
  <si>
    <t>0.509(7.2/14.2)</t>
  </si>
  <si>
    <t>0.821(2.6/3.1)</t>
  </si>
  <si>
    <r>
      <rPr>
        <rFont val="Montserrat, Helvetica, Arial, serif"/>
        <color rgb="FF22292F"/>
        <sz val="11.0"/>
      </rPr>
      <t>D'Angelo Russell</t>
    </r>
  </si>
  <si>
    <t>0.457(6.2/13.5)</t>
  </si>
  <si>
    <t>0.829(2.3/2.8)</t>
  </si>
  <si>
    <r>
      <rPr>
        <rFont val="Montserrat, Helvetica, Arial, serif"/>
        <color rgb="FF22292F"/>
        <sz val="11.0"/>
      </rPr>
      <t>Jalen Duren</t>
    </r>
  </si>
  <si>
    <t>0.628(5.3/8.5)</t>
  </si>
  <si>
    <t>0.781(2.1/2.7)</t>
  </si>
  <si>
    <r>
      <rPr>
        <rFont val="Montserrat, Helvetica, Arial, serif"/>
        <color rgb="FF22292F"/>
        <sz val="11.0"/>
      </rPr>
      <t>Jrue Holiday</t>
    </r>
  </si>
  <si>
    <t>0.477(5.1/10.6)</t>
  </si>
  <si>
    <t>0.847(1.2/1.4)</t>
  </si>
  <si>
    <r>
      <rPr>
        <rFont val="Montserrat, Helvetica, Arial, serif"/>
        <color rgb="FF22292F"/>
        <sz val="11.0"/>
      </rPr>
      <t>Zion Williamson</t>
    </r>
  </si>
  <si>
    <t>0.573(8.8/15.4)</t>
  </si>
  <si>
    <t>0.714(5.0/7.1)</t>
  </si>
  <si>
    <r>
      <rPr>
        <rFont val="Montserrat, Helvetica, Arial, serif"/>
        <color rgb="FF22292F"/>
        <sz val="11.0"/>
      </rPr>
      <t>Pascal Siakam</t>
    </r>
  </si>
  <si>
    <t>0.539(8.1/15.0)</t>
  </si>
  <si>
    <t>0.742(3.8/5.1)</t>
  </si>
  <si>
    <r>
      <rPr>
        <rFont val="Montserrat, Helvetica, Arial, serif"/>
        <color rgb="FF22292F"/>
        <sz val="11.0"/>
      </rPr>
      <t>Zach LaVine</t>
    </r>
  </si>
  <si>
    <t>0.459(7.5/16.3)</t>
  </si>
  <si>
    <t>0.845(4.2/5.0)</t>
  </si>
  <si>
    <r>
      <rPr>
        <rFont val="Montserrat, Helvetica, Arial, serif"/>
        <color rgb="FF22292F"/>
        <sz val="11.0"/>
      </rPr>
      <t>Jordan Poole</t>
    </r>
  </si>
  <si>
    <t>WAS</t>
  </si>
  <si>
    <t>0.422(6.9/16.3)</t>
  </si>
  <si>
    <t>0.871(3.7/4.2)</t>
  </si>
  <si>
    <r>
      <rPr>
        <rFont val="Montserrat, Helvetica, Arial, serif"/>
        <color rgb="FF22292F"/>
        <sz val="11.0"/>
      </rPr>
      <t>Nicolas Claxton</t>
    </r>
  </si>
  <si>
    <t>Quentin Grimes</t>
  </si>
  <si>
    <t>BKN</t>
  </si>
  <si>
    <t>0.621(5.4/8.7)</t>
  </si>
  <si>
    <t>0.555(1.7/3.0)</t>
  </si>
  <si>
    <r>
      <rPr>
        <rFont val="Montserrat, Helvetica, Arial, serif"/>
        <color rgb="FF22292F"/>
        <sz val="11.0"/>
      </rPr>
      <t>Miles Bridges</t>
    </r>
  </si>
  <si>
    <t>0.462(7.7/16.6)</t>
  </si>
  <si>
    <t>0.824(2.4/2.9)</t>
  </si>
  <si>
    <r>
      <rPr>
        <rFont val="Montserrat, Helvetica, Arial, serif"/>
        <color rgb="FF22292F"/>
        <sz val="11.0"/>
      </rPr>
      <t>Tyler Herro</t>
    </r>
  </si>
  <si>
    <t>0.440(7.4/16.8)</t>
  </si>
  <si>
    <t>0.903(2.4/2.7)</t>
  </si>
  <si>
    <r>
      <rPr>
        <rFont val="Montserrat, Helvetica, Arial, serif"/>
        <color rgb="FF22292F"/>
        <sz val="11.0"/>
      </rPr>
      <t>Trey Murphy III</t>
    </r>
  </si>
  <si>
    <t>0.455(5.0/11.0)</t>
  </si>
  <si>
    <t>0.864(2.3/2.6)</t>
  </si>
  <si>
    <r>
      <rPr>
        <rFont val="Montserrat, Helvetica, Arial, serif"/>
        <color rgb="FF22292F"/>
        <sz val="11.0"/>
      </rPr>
      <t>Isaiah Hartenstein</t>
    </r>
  </si>
  <si>
    <t>0.621(3.6/5.9)</t>
  </si>
  <si>
    <t>0.700(1.3/1.9)</t>
  </si>
  <si>
    <r>
      <rPr>
        <rFont val="Montserrat, Helvetica, Arial, serif"/>
        <color rgb="FF22292F"/>
        <sz val="11.0"/>
      </rPr>
      <t>Walker Kessler</t>
    </r>
  </si>
  <si>
    <t>0.662(4.2/6.3)</t>
  </si>
  <si>
    <t>0.577(1.1/1.9)</t>
  </si>
  <si>
    <r>
      <rPr>
        <rFont val="Montserrat, Helvetica, Arial, serif"/>
        <color rgb="FF22292F"/>
        <sz val="11.0"/>
      </rPr>
      <t>Mikal Bridges</t>
    </r>
  </si>
  <si>
    <t>0.454(5.5/12.0)</t>
  </si>
  <si>
    <t>0.827(2.7/3.2)</t>
  </si>
  <si>
    <r>
      <rPr>
        <rFont val="Montserrat, Helvetica, Arial, serif"/>
        <color rgb="FF22292F"/>
        <sz val="11.0"/>
      </rPr>
      <t>Brandon Ingram</t>
    </r>
  </si>
  <si>
    <t>0.492(7.5/15.3)</t>
  </si>
  <si>
    <t>0.812(3.8/4.7)</t>
  </si>
  <si>
    <r>
      <rPr>
        <rFont val="Montserrat, Helvetica, Arial, serif"/>
        <color rgb="FF22292F"/>
        <sz val="11.0"/>
      </rPr>
      <t>Devin Vassell</t>
    </r>
  </si>
  <si>
    <t>0.460(7.3/15.8)</t>
  </si>
  <si>
    <t>0.801(2.3/2.9)</t>
  </si>
  <si>
    <r>
      <rPr>
        <rFont val="Montserrat, Helvetica, Arial, serif"/>
        <color rgb="FF22292F"/>
        <sz val="11.0"/>
      </rPr>
      <t>Anfernee Simons</t>
    </r>
  </si>
  <si>
    <t>0.440(7.6/17.2)</t>
  </si>
  <si>
    <t>0.905(3.0/3.3)</t>
  </si>
  <si>
    <r>
      <rPr>
        <rFont val="Montserrat, Helvetica, Arial, serif"/>
        <color rgb="FF22292F"/>
        <sz val="11.0"/>
      </rPr>
      <t>Dereck Lively II</t>
    </r>
  </si>
  <si>
    <t>0.738(4.7/6.3)</t>
  </si>
  <si>
    <t>0.535(0.8/1.6)</t>
  </si>
  <si>
    <r>
      <rPr>
        <rFont val="Montserrat, Helvetica, Arial, serif"/>
        <color rgb="FF22292F"/>
        <sz val="11.0"/>
      </rPr>
      <t>Collin Sexton</t>
    </r>
  </si>
  <si>
    <t>0.487(6.9/14.2)</t>
  </si>
  <si>
    <t>0.843(4.5/5.4)</t>
  </si>
  <si>
    <r>
      <rPr>
        <rFont val="Montserrat, Helvetica, Arial, serif"/>
        <color rgb="FF22292F"/>
        <sz val="11.0"/>
      </rPr>
      <t>Josh Giddey</t>
    </r>
  </si>
  <si>
    <t>0.479(6.7/14.1)</t>
  </si>
  <si>
    <t>0.795(1.5/1.9)</t>
  </si>
  <si>
    <r>
      <rPr>
        <rFont val="Montserrat, Helvetica, Arial, serif"/>
        <color rgb="FF22292F"/>
        <sz val="11.0"/>
      </rPr>
      <t>Mark Williams</t>
    </r>
  </si>
  <si>
    <t>0.641(5.1/8.0)</t>
  </si>
  <si>
    <t>0.704(2.3/3.2)</t>
  </si>
  <si>
    <r>
      <rPr>
        <rFont val="Montserrat, Helvetica, Arial, serif"/>
        <color rgb="FF22292F"/>
        <sz val="11.0"/>
      </rPr>
      <t>Jalen Suggs</t>
    </r>
  </si>
  <si>
    <t>0.465(5.0/10.7)</t>
  </si>
  <si>
    <t>0.758(1.8/2.4)</t>
  </si>
  <si>
    <r>
      <rPr>
        <rFont val="Montserrat, Helvetica, Arial, serif"/>
        <color rgb="FF22292F"/>
        <sz val="11.0"/>
      </rPr>
      <t>Jabari Smith Jr.</t>
    </r>
  </si>
  <si>
    <t>0.463(5.0/10.8)</t>
  </si>
  <si>
    <t>0.824(2.1/2.6)</t>
  </si>
  <si>
    <r>
      <rPr>
        <rFont val="Montserrat, Helvetica, Arial, serif"/>
        <color rgb="FF22292F"/>
        <sz val="11.0"/>
      </rPr>
      <t>Taylor Hendricks</t>
    </r>
  </si>
  <si>
    <t>0.471(4.3/9.0)</t>
  </si>
  <si>
    <t>0.798(0.9/1.1)</t>
  </si>
  <si>
    <r>
      <rPr>
        <rFont val="Montserrat, Helvetica, Arial, serif"/>
        <color rgb="FF22292F"/>
        <sz val="11.0"/>
      </rPr>
      <t>Bogdan Bogdanovic</t>
    </r>
  </si>
  <si>
    <t>0.434(6.0/13.7)</t>
  </si>
  <si>
    <t>0.889(2.0/2.3)</t>
  </si>
  <si>
    <r>
      <rPr>
        <rFont val="Montserrat, Helvetica, Arial, serif"/>
        <color rgb="FF22292F"/>
        <sz val="11.0"/>
      </rPr>
      <t>Paolo Banchero</t>
    </r>
  </si>
  <si>
    <t>0.462(8.0/17.4)</t>
  </si>
  <si>
    <t>0.731(5.4/7.4)</t>
  </si>
  <si>
    <r>
      <rPr>
        <rFont val="Montserrat, Helvetica, Arial, serif"/>
        <color rgb="FF22292F"/>
        <sz val="11.0"/>
      </rPr>
      <t>Austin Reaves</t>
    </r>
  </si>
  <si>
    <t>0.482(5.2/10.8)</t>
  </si>
  <si>
    <t>0.859(3.4/3.9)</t>
  </si>
  <si>
    <r>
      <rPr>
        <rFont val="Montserrat, Helvetica, Arial, serif"/>
        <color rgb="FF22292F"/>
        <sz val="11.0"/>
      </rPr>
      <t>Keegan Murray</t>
    </r>
  </si>
  <si>
    <t>0.454(5.4/12.0)</t>
  </si>
  <si>
    <t>0.836(1.1/1.3)</t>
  </si>
  <si>
    <r>
      <rPr>
        <rFont val="Montserrat, Helvetica, Arial, serif"/>
        <color rgb="FF22292F"/>
        <sz val="11.0"/>
      </rPr>
      <t>Onyeka Okongwu</t>
    </r>
  </si>
  <si>
    <t>Dillon Brooks</t>
  </si>
  <si>
    <t>0.617(4.0/6.6)</t>
  </si>
  <si>
    <t>0.785(2.0/2.6)</t>
  </si>
  <si>
    <r>
      <rPr>
        <rFont val="Montserrat, Helvetica, Arial, serif"/>
        <color rgb="FF22292F"/>
        <sz val="11.0"/>
      </rPr>
      <t>OG Anunoby</t>
    </r>
  </si>
  <si>
    <t>0.480(5.8/12.0)</t>
  </si>
  <si>
    <t>0.770(1.3/1.7)</t>
  </si>
  <si>
    <r>
      <rPr>
        <rFont val="Montserrat, Helvetica, Arial, serif"/>
        <color rgb="FF22292F"/>
        <sz val="11.0"/>
      </rPr>
      <t>Coby White</t>
    </r>
  </si>
  <si>
    <t>0.446(6.5/14.6)</t>
  </si>
  <si>
    <t>0.843(2.3/2.7)</t>
  </si>
  <si>
    <r>
      <rPr>
        <rFont val="Montserrat, Helvetica, Arial, serif"/>
        <color rgb="FF22292F"/>
        <sz val="11.0"/>
      </rPr>
      <t>Michael Porter Jr.</t>
    </r>
  </si>
  <si>
    <t>Christian Braun</t>
  </si>
  <si>
    <t>0.485(6.6/13.6)</t>
  </si>
  <si>
    <t>0.818(1.4/1.7)</t>
  </si>
  <si>
    <r>
      <rPr>
        <rFont val="Montserrat, Helvetica, Arial, serif"/>
        <color rgb="FF22292F"/>
        <sz val="11.0"/>
      </rPr>
      <t>Alex Caruso</t>
    </r>
  </si>
  <si>
    <t>0.463(3.1/6.6)</t>
  </si>
  <si>
    <t>0.785(1.1/1.4)</t>
  </si>
  <si>
    <r>
      <rPr>
        <rFont val="Montserrat, Helvetica, Arial, serif"/>
        <color rgb="FF22292F"/>
        <sz val="11.0"/>
      </rPr>
      <t>Herbert Jones</t>
    </r>
  </si>
  <si>
    <t>0.484(3.7/7.7)</t>
  </si>
  <si>
    <t>0.852(1.8/2.2)</t>
  </si>
  <si>
    <r>
      <rPr>
        <rFont val="Montserrat, Helvetica, Arial, serif"/>
        <color rgb="FF22292F"/>
        <sz val="11.0"/>
      </rPr>
      <t>Daniel Gafford</t>
    </r>
  </si>
  <si>
    <t>0.729(4.3/5.9)</t>
  </si>
  <si>
    <t>0.675(1.7/2.5)</t>
  </si>
  <si>
    <r>
      <rPr>
        <rFont val="Montserrat, Helvetica, Arial, serif"/>
        <color rgb="FF22292F"/>
        <sz val="11.0"/>
      </rPr>
      <t>Draymond Green</t>
    </r>
  </si>
  <si>
    <t>0.514(3.3/6.3)</t>
  </si>
  <si>
    <t>0.713(1.0/1.4)</t>
  </si>
  <si>
    <r>
      <rPr>
        <rFont val="Montserrat, Helvetica, Arial, serif"/>
        <color rgb="FF22292F"/>
        <sz val="11.0"/>
      </rPr>
      <t>Jakob Poeltl</t>
    </r>
  </si>
  <si>
    <t>0.640(5.4/8.4)</t>
  </si>
  <si>
    <t>0.575(1.5/2.6)</t>
  </si>
  <si>
    <r>
      <rPr>
        <rFont val="Montserrat, Helvetica, Arial, serif"/>
        <color rgb="FF22292F"/>
        <sz val="11.0"/>
      </rPr>
      <t>Amen Thompson</t>
    </r>
  </si>
  <si>
    <t>0.529(4.8/9.0)</t>
  </si>
  <si>
    <t>0.720(2.2/3.1)</t>
  </si>
  <si>
    <r>
      <rPr>
        <rFont val="Montserrat, Helvetica, Arial, serif"/>
        <color rgb="FF22292F"/>
        <sz val="11.0"/>
      </rPr>
      <t>CJ McCollum</t>
    </r>
  </si>
  <si>
    <t>0.451(6.8/15.0)</t>
  </si>
  <si>
    <t>0.814(1.9/2.3)</t>
  </si>
  <si>
    <r>
      <rPr>
        <rFont val="Montserrat, Helvetica, Arial, serif"/>
        <color rgb="FF22292F"/>
        <sz val="11.0"/>
      </rPr>
      <t>Cam Thomas</t>
    </r>
  </si>
  <si>
    <t>0.440(9.1/20.7)</t>
  </si>
  <si>
    <t>0.861(4.7/5.5)</t>
  </si>
  <si>
    <r>
      <rPr>
        <rFont val="Montserrat, Helvetica, Arial, serif"/>
        <color rgb="FF22292F"/>
        <sz val="11.0"/>
      </rPr>
      <t>Al Horford</t>
    </r>
  </si>
  <si>
    <t>Kyshawn George</t>
  </si>
  <si>
    <t>0.493(3.7/7.4)</t>
  </si>
  <si>
    <t>0.791(0.3/0.4)</t>
  </si>
  <si>
    <r>
      <rPr>
        <rFont val="Montserrat, Helvetica, Arial, serif"/>
        <color rgb="FF22292F"/>
        <sz val="11.0"/>
      </rPr>
      <t>Ivica Zubac</t>
    </r>
  </si>
  <si>
    <t>0.642(5.1/7.9)</t>
  </si>
  <si>
    <t>0.709(2.2/3.1)</t>
  </si>
  <si>
    <r>
      <rPr>
        <rFont val="Montserrat, Helvetica, Arial, serif"/>
        <color rgb="FF22292F"/>
        <sz val="11.0"/>
      </rPr>
      <t>Khris Middleton</t>
    </r>
  </si>
  <si>
    <t>0.482(6.2/12.9)</t>
  </si>
  <si>
    <t>0.867(2.3/2.6)</t>
  </si>
  <si>
    <r>
      <rPr>
        <rFont val="Montserrat, Helvetica, Arial, serif"/>
        <color rgb="FF22292F"/>
        <sz val="11.0"/>
      </rPr>
      <t>Mike Conley</t>
    </r>
  </si>
  <si>
    <t>0.442(3.9/8.7)</t>
  </si>
  <si>
    <t>0.885(1.7/1.9)</t>
  </si>
  <si>
    <r>
      <rPr>
        <rFont val="Montserrat, Helvetica, Arial, serif"/>
        <color rgb="FF22292F"/>
        <sz val="11.0"/>
      </rPr>
      <t>Jonas Valanciunas</t>
    </r>
  </si>
  <si>
    <t>0.548(5.7/10.4)</t>
  </si>
  <si>
    <t>0.796(2.3/2.9)</t>
  </si>
  <si>
    <r>
      <rPr>
        <rFont val="Montserrat, Helvetica, Arial, serif"/>
        <color rgb="FF22292F"/>
        <sz val="11.0"/>
      </rPr>
      <t>Brandon Miller</t>
    </r>
  </si>
  <si>
    <t>0.445(6.7/15.1)</t>
  </si>
  <si>
    <t>0.837(2.1/2.5)</t>
  </si>
  <si>
    <r>
      <rPr>
        <rFont val="Montserrat, Helvetica, Arial, serif"/>
        <color rgb="FF22292F"/>
        <sz val="11.0"/>
      </rPr>
      <t>Tyus Jones</t>
    </r>
  </si>
  <si>
    <t>0.476(4.8/10.1)</t>
  </si>
  <si>
    <t>0.802(0.9/1.1)</t>
  </si>
  <si>
    <r>
      <rPr>
        <rFont val="Montserrat, Helvetica, Arial, serif"/>
        <color rgb="FF22292F"/>
        <sz val="11.0"/>
      </rPr>
      <t>Brook Lopez</t>
    </r>
  </si>
  <si>
    <t>0.471(4.2/9.0)</t>
  </si>
  <si>
    <t>0.803(1.4/1.8)</t>
  </si>
  <si>
    <r>
      <rPr>
        <rFont val="Montserrat, Helvetica, Arial, serif"/>
        <color rgb="FF22292F"/>
        <sz val="11.0"/>
      </rPr>
      <t>Jerami Grant</t>
    </r>
  </si>
  <si>
    <t>0.463(6.6/14.3)</t>
  </si>
  <si>
    <t>0.814(4.3/5.3)</t>
  </si>
  <si>
    <r>
      <rPr>
        <rFont val="Montserrat, Helvetica, Arial, serif"/>
        <color rgb="FF22292F"/>
        <sz val="11.0"/>
      </rPr>
      <t>Kyle Kuzma</t>
    </r>
  </si>
  <si>
    <t>0.456(8.3/18.1)</t>
  </si>
  <si>
    <t>0.773(2.8/3.6)</t>
  </si>
  <si>
    <r>
      <rPr>
        <rFont val="Montserrat, Helvetica, Arial, serif"/>
        <color rgb="FF22292F"/>
        <sz val="11.0"/>
      </rPr>
      <t>Norman Powell</t>
    </r>
  </si>
  <si>
    <t>0.482(6.5/13.4)</t>
  </si>
  <si>
    <t>0.821(3.3/4.1)</t>
  </si>
  <si>
    <r>
      <rPr>
        <rFont val="Montserrat, Helvetica, Arial, serif"/>
        <color rgb="FF22292F"/>
        <sz val="11.0"/>
      </rPr>
      <t>Clint Capela</t>
    </r>
  </si>
  <si>
    <t>0.597(5.0/8.4)</t>
  </si>
  <si>
    <t>0.631(1.5/2.4)</t>
  </si>
  <si>
    <r>
      <rPr>
        <rFont val="Montserrat, Helvetica, Arial, serif"/>
        <color rgb="FF22292F"/>
        <sz val="11.0"/>
      </rPr>
      <t>Trayce Jackson-Davis</t>
    </r>
  </si>
  <si>
    <t>0.703(5.2/7.4)</t>
  </si>
  <si>
    <t>0.563(1.7/3.0)</t>
  </si>
  <si>
    <r>
      <rPr>
        <rFont val="Montserrat, Helvetica, Arial, serif"/>
        <color rgb="FF22292F"/>
        <sz val="11.0"/>
      </rPr>
      <t>Jalen Green</t>
    </r>
  </si>
  <si>
    <t>0.429(7.0/16.4)</t>
  </si>
  <si>
    <t>0.807(4.0/5.0)</t>
  </si>
  <si>
    <t>Lonzo Ball</t>
  </si>
  <si>
    <r>
      <rPr>
        <rFont val="Montserrat, Helvetica, Arial, serif"/>
        <color rgb="FF22292F"/>
        <sz val="11.0"/>
      </rPr>
      <t>Naz Reid</t>
    </r>
  </si>
  <si>
    <t>0.472(5.5/11.7)</t>
  </si>
  <si>
    <t>0.735(1.6/2.2)</t>
  </si>
  <si>
    <r>
      <rPr>
        <rFont val="Montserrat, Helvetica, Arial, serif"/>
        <color rgb="FF22292F"/>
        <sz val="11.0"/>
      </rPr>
      <t>Julius Randle</t>
    </r>
  </si>
  <si>
    <t>0.477(7.3/15.3)</t>
  </si>
  <si>
    <t>0.780(4.2/5.4)</t>
  </si>
  <si>
    <r>
      <rPr>
        <rFont val="Montserrat, Helvetica, Arial, serif"/>
        <color rgb="FF22292F"/>
        <sz val="11.0"/>
      </rPr>
      <t>Donte DiVincenzo</t>
    </r>
  </si>
  <si>
    <t>Gary Trent</t>
  </si>
  <si>
    <t>0.444(4.5/10.1)</t>
  </si>
  <si>
    <t>0.786(0.9/1.2)</t>
  </si>
  <si>
    <r>
      <rPr>
        <rFont val="Montserrat, Helvetica, Arial, serif"/>
        <color rgb="FF22292F"/>
        <sz val="11.0"/>
      </rPr>
      <t>John Collins</t>
    </r>
  </si>
  <si>
    <t>0.520(5.3/10.2)</t>
  </si>
  <si>
    <t>0.796(2.0/2.6)</t>
  </si>
  <si>
    <r>
      <rPr>
        <rFont val="Montserrat, Helvetica, Arial, serif"/>
        <color rgb="FF22292F"/>
        <sz val="11.0"/>
      </rPr>
      <t>Chris Paul</t>
    </r>
  </si>
  <si>
    <t>Scotty Pippen Jr.</t>
  </si>
  <si>
    <t>0.441(3.8/8.6)</t>
  </si>
  <si>
    <t>0.831(1.3/1.6)</t>
  </si>
  <si>
    <r>
      <rPr>
        <rFont val="Montserrat, Helvetica, Arial, serif"/>
        <color rgb="FF22292F"/>
        <sz val="11.0"/>
      </rPr>
      <t>Jusuf Nurkic</t>
    </r>
  </si>
  <si>
    <t>0.514(4.7/9.1)</t>
  </si>
  <si>
    <t>0.647(2.4/3.6)</t>
  </si>
  <si>
    <r>
      <rPr>
        <rFont val="Montserrat, Helvetica, Arial, serif"/>
        <color rgb="FF22292F"/>
        <sz val="11.0"/>
      </rPr>
      <t>Cameron Johnson</t>
    </r>
  </si>
  <si>
    <t>0.457(5.2/11.3)</t>
  </si>
  <si>
    <t>0.818(1.9/2.4)</t>
  </si>
  <si>
    <t>Brice Sensabaugh</t>
  </si>
  <si>
    <r>
      <rPr>
        <rFont val="Montserrat, Helvetica, Arial, serif"/>
        <color rgb="FF22292F"/>
        <sz val="11.0"/>
      </rPr>
      <t>Terry Rozier</t>
    </r>
  </si>
  <si>
    <t>0.435(6.5/15.0)</t>
  </si>
  <si>
    <t>0.842(2.4/2.9)</t>
  </si>
  <si>
    <r>
      <rPr>
        <rFont val="Montserrat, Helvetica, Arial, serif"/>
        <color rgb="FF22292F"/>
        <sz val="11.0"/>
      </rPr>
      <t>De'Anthony Melton</t>
    </r>
  </si>
  <si>
    <t>0.420(3.5/8.3)</t>
  </si>
  <si>
    <t>0.819(1.1/1.4)</t>
  </si>
  <si>
    <r>
      <rPr>
        <rFont val="Montserrat, Helvetica, Arial, serif"/>
        <color rgb="FF22292F"/>
        <sz val="11.0"/>
      </rPr>
      <t>Keon Ellis</t>
    </r>
  </si>
  <si>
    <t>Buddy Hield</t>
  </si>
  <si>
    <t>0.461(2.9/6.2)</t>
  </si>
  <si>
    <t>0.735(0.8/1.0)</t>
  </si>
  <si>
    <r>
      <rPr>
        <rFont val="Montserrat, Helvetica, Arial, serif"/>
        <color rgb="FF22292F"/>
        <sz val="11.0"/>
      </rPr>
      <t>Brandin Podziemski</t>
    </r>
  </si>
  <si>
    <t>0.459(4.4/9.7)</t>
  </si>
  <si>
    <t>0.664(0.9/1.3)</t>
  </si>
  <si>
    <r>
      <rPr>
        <rFont val="Montserrat, Helvetica, Arial, serif"/>
        <color rgb="FF22292F"/>
        <sz val="11.0"/>
      </rPr>
      <t>Dennis Schröder</t>
    </r>
  </si>
  <si>
    <t>Kelly Oubre</t>
  </si>
  <si>
    <t>0.435(5.2/12.0)</t>
  </si>
  <si>
    <t>0.847(2.9/3.5)</t>
  </si>
  <si>
    <r>
      <rPr>
        <rFont val="Montserrat, Helvetica, Arial, serif"/>
        <color rgb="FF22292F"/>
        <sz val="11.0"/>
      </rPr>
      <t>Jonathan Kuminga</t>
    </r>
  </si>
  <si>
    <t>0.527(6.2/11.7)</t>
  </si>
  <si>
    <t>0.759(2.9/3.8)</t>
  </si>
  <si>
    <r>
      <rPr>
        <rFont val="Montserrat, Helvetica, Arial, serif"/>
        <color rgb="FF22292F"/>
        <sz val="11.0"/>
      </rPr>
      <t>Marcus Smart</t>
    </r>
  </si>
  <si>
    <t>0.420(4.3/10.3)</t>
  </si>
  <si>
    <t>0.751(1.6/2.1)</t>
  </si>
  <si>
    <r>
      <rPr>
        <rFont val="Montserrat, Helvetica, Arial, serif"/>
        <color rgb="FF22292F"/>
        <sz val="11.0"/>
      </rPr>
      <t>Jalen Smith</t>
    </r>
  </si>
  <si>
    <t>0.537(5.0/9.2)</t>
  </si>
  <si>
    <t>0.711(1.7/2.4)</t>
  </si>
  <si>
    <r>
      <rPr>
        <rFont val="Montserrat, Helvetica, Arial, serif"/>
        <color rgb="FF22292F"/>
        <sz val="11.0"/>
      </rPr>
      <t>Corey Kispert</t>
    </r>
  </si>
  <si>
    <t>0.484(5.4/11.1)</t>
  </si>
  <si>
    <t>0.821(1.7/2.0)</t>
  </si>
  <si>
    <r>
      <rPr>
        <rFont val="Montserrat, Helvetica, Arial, serif"/>
        <color rgb="FF22292F"/>
        <sz val="11.0"/>
      </rPr>
      <t>Buddy Hield</t>
    </r>
  </si>
  <si>
    <t>0.445(4.8/10.7)</t>
  </si>
  <si>
    <t>0.835(0.9/1.1)</t>
  </si>
  <si>
    <r>
      <rPr>
        <rFont val="Montserrat, Helvetica, Arial, serif"/>
        <color rgb="FF22292F"/>
        <sz val="11.0"/>
      </rPr>
      <t>Klay Thompson</t>
    </r>
  </si>
  <si>
    <t>0.434(6.2/14.3)</t>
  </si>
  <si>
    <t>0.901(1.5/1.6)</t>
  </si>
  <si>
    <r>
      <rPr>
        <rFont val="Montserrat, Helvetica, Arial, serif"/>
        <color rgb="FF22292F"/>
        <sz val="11.0"/>
      </rPr>
      <t>Grayson Allen</t>
    </r>
  </si>
  <si>
    <t>0.485(3.9/8.0)</t>
  </si>
  <si>
    <t>0.893(1.5/1.7)</t>
  </si>
  <si>
    <r>
      <rPr>
        <rFont val="Montserrat, Helvetica, Arial, serif"/>
        <color rgb="FF22292F"/>
        <sz val="11.0"/>
      </rPr>
      <t>Terance Mann</t>
    </r>
  </si>
  <si>
    <t>0.513(5.0/9.8)</t>
  </si>
  <si>
    <t>0.806(1.5/1.9)</t>
  </si>
  <si>
    <r>
      <rPr>
        <rFont val="Montserrat, Helvetica, Arial, serif"/>
        <color rgb="FF22292F"/>
        <sz val="11.0"/>
      </rPr>
      <t>Bobby Portis</t>
    </r>
  </si>
  <si>
    <t>0.502(5.8/11.5)</t>
  </si>
  <si>
    <t>0.777(1.3/1.7)</t>
  </si>
  <si>
    <r>
      <rPr>
        <rFont val="Montserrat, Helvetica, Arial, serif"/>
        <color rgb="FF22292F"/>
        <sz val="11.0"/>
      </rPr>
      <t>Keyonte George</t>
    </r>
  </si>
  <si>
    <t>0.422(5.4/12.9)</t>
  </si>
  <si>
    <t>0.851(3.0/3.5)</t>
  </si>
  <si>
    <r>
      <rPr>
        <rFont val="Montserrat, Helvetica, Arial, serif"/>
        <color rgb="FF22292F"/>
        <sz val="11.0"/>
      </rPr>
      <t>Kentavious Caldwell-Pope</t>
    </r>
  </si>
  <si>
    <t>0.461(3.6/7.8)</t>
  </si>
  <si>
    <t>0.861(1.3/1.5)</t>
  </si>
  <si>
    <r>
      <rPr>
        <rFont val="Montserrat, Helvetica, Arial, serif"/>
        <color rgb="FF22292F"/>
        <sz val="11.0"/>
      </rPr>
      <t>Alexandre Sarr</t>
    </r>
  </si>
  <si>
    <t>0.448(4.5/10.0)</t>
  </si>
  <si>
    <t>0.711(2.4/3.4)</t>
  </si>
  <si>
    <r>
      <rPr>
        <rFont val="Montserrat, Helvetica, Arial, serif"/>
        <color rgb="FF22292F"/>
        <sz val="11.0"/>
      </rPr>
      <t>Jaden Ivey</t>
    </r>
  </si>
  <si>
    <t>Kevin Huerter</t>
  </si>
  <si>
    <t>0.435(6.4/14.8)</t>
  </si>
  <si>
    <t>0.759(3.3/4.4)</t>
  </si>
  <si>
    <r>
      <rPr>
        <rFont val="Montserrat, Helvetica, Arial, serif"/>
        <color rgb="FF22292F"/>
        <sz val="11.0"/>
      </rPr>
      <t>RJ Barrett</t>
    </r>
  </si>
  <si>
    <t>0.482(7.9/16.3)</t>
  </si>
  <si>
    <t>0.726(3.9/5.4)</t>
  </si>
  <si>
    <r>
      <rPr>
        <rFont val="Montserrat, Helvetica, Arial, serif"/>
        <color rgb="FF22292F"/>
        <sz val="11.0"/>
      </rPr>
      <t>P.J. Washington</t>
    </r>
  </si>
  <si>
    <t>0.431(4.5/10.5)</t>
  </si>
  <si>
    <t>0.706(1.5/2.1)</t>
  </si>
  <si>
    <r>
      <rPr>
        <rFont val="Montserrat, Helvetica, Arial, serif"/>
        <color rgb="FF22292F"/>
        <sz val="11.0"/>
      </rPr>
      <t>Malik Monk</t>
    </r>
  </si>
  <si>
    <t>0.446(5.1/11.4)</t>
  </si>
  <si>
    <t>0.860(2.4/2.8)</t>
  </si>
  <si>
    <r>
      <rPr>
        <rFont val="Montserrat, Helvetica, Arial, serif"/>
        <color rgb="FF22292F"/>
        <sz val="11.0"/>
      </rPr>
      <t>Luguentz Dort</t>
    </r>
  </si>
  <si>
    <t>Aaron Wiggins</t>
  </si>
  <si>
    <t>0.433(4.2/9.7)</t>
  </si>
  <si>
    <t>0.824(1.7/2.1)</t>
  </si>
  <si>
    <r>
      <rPr>
        <rFont val="Montserrat, Helvetica, Arial, serif"/>
        <color rgb="FF22292F"/>
        <sz val="11.0"/>
      </rPr>
      <t>Ausar Thompson</t>
    </r>
  </si>
  <si>
    <t>0.493(4.4/9.0)</t>
  </si>
  <si>
    <t>0.624(1.3/2.1)</t>
  </si>
  <si>
    <r>
      <rPr>
        <rFont val="Montserrat, Helvetica, Arial, serif"/>
        <color rgb="FF22292F"/>
        <sz val="11.0"/>
      </rPr>
      <t>Rui Hachimura</t>
    </r>
  </si>
  <si>
    <t>0.514(5.8/11.3)</t>
  </si>
  <si>
    <t>0.740(1.7/2.3)</t>
  </si>
  <si>
    <r>
      <rPr>
        <rFont val="Montserrat, Helvetica, Arial, serif"/>
        <color rgb="FF22292F"/>
        <sz val="11.0"/>
      </rPr>
      <t>Josh Hart</t>
    </r>
  </si>
  <si>
    <t>0.457(3.4/7.5)</t>
  </si>
  <si>
    <t>0.765(1.4/1.8)</t>
  </si>
  <si>
    <r>
      <rPr>
        <rFont val="Montserrat, Helvetica, Arial, serif"/>
        <color rgb="FF22292F"/>
        <sz val="11.0"/>
      </rPr>
      <t>Wendell Carter Jr.</t>
    </r>
  </si>
  <si>
    <t>0.525(4.8/9.2)</t>
  </si>
  <si>
    <t>0.722(2.1/2.9)</t>
  </si>
  <si>
    <t>Matisse Thybulle</t>
  </si>
  <si>
    <r>
      <rPr>
        <rFont val="Montserrat, Helvetica, Arial, serif"/>
        <color rgb="FF22292F"/>
        <sz val="11.0"/>
      </rPr>
      <t>Jeremy Sochan</t>
    </r>
  </si>
  <si>
    <t>0.444(4.9/11.0)</t>
  </si>
  <si>
    <t>0.770(1.7/2.2)</t>
  </si>
  <si>
    <r>
      <rPr>
        <rFont val="Montserrat, Helvetica, Arial, serif"/>
        <color rgb="FF22292F"/>
        <sz val="11.0"/>
      </rPr>
      <t>Aaron Nesmith</t>
    </r>
  </si>
  <si>
    <t>0.477(4.2/8.8)</t>
  </si>
  <si>
    <t>0.796(1.6/2.0)</t>
  </si>
  <si>
    <r>
      <rPr>
        <rFont val="Montserrat, Helvetica, Arial, serif"/>
        <color rgb="FF22292F"/>
        <sz val="11.0"/>
      </rPr>
      <t>Brandon Clarke</t>
    </r>
  </si>
  <si>
    <t>0.642(4.8/7.4)</t>
  </si>
  <si>
    <t>0.695(1.8/2.6)</t>
  </si>
  <si>
    <r>
      <rPr>
        <rFont val="Montserrat, Helvetica, Arial, serif"/>
        <color rgb="FF22292F"/>
        <sz val="11.0"/>
      </rPr>
      <t>Marvin Bagley III</t>
    </r>
  </si>
  <si>
    <t>0.558(5.5/9.8)</t>
  </si>
  <si>
    <t>0.755(2.2/2.9)</t>
  </si>
  <si>
    <r>
      <rPr>
        <rFont val="Montserrat, Helvetica, Arial, serif"/>
        <color rgb="FF22292F"/>
        <sz val="11.0"/>
      </rPr>
      <t>Kelly Olynyk</t>
    </r>
  </si>
  <si>
    <t>Kon Knueppel</t>
  </si>
  <si>
    <t>0.526(3.3/6.3)</t>
  </si>
  <si>
    <t>0.834(2.0/2.4)</t>
  </si>
  <si>
    <r>
      <rPr>
        <rFont val="Montserrat, Helvetica, Arial, serif"/>
        <color rgb="FF22292F"/>
        <sz val="11.0"/>
      </rPr>
      <t>Bilal Coulibaly</t>
    </r>
  </si>
  <si>
    <t>0.441(4.0/9.0)</t>
  </si>
  <si>
    <t>0.706(1.9/2.7)</t>
  </si>
  <si>
    <r>
      <rPr>
        <rFont val="Montserrat, Helvetica, Arial, serif"/>
        <color rgb="FF22292F"/>
        <sz val="11.0"/>
      </rPr>
      <t>Kevin Porter Jr.</t>
    </r>
  </si>
  <si>
    <t>Ryan Dunn</t>
  </si>
  <si>
    <t>0.442(4.9/11.1)</t>
  </si>
  <si>
    <t>0.785(2.6/3.3)</t>
  </si>
  <si>
    <r>
      <rPr>
        <rFont val="Montserrat, Helvetica, Arial, serif"/>
        <color rgb="FF22292F"/>
        <sz val="11.0"/>
      </rPr>
      <t>Bruce Brown</t>
    </r>
  </si>
  <si>
    <t>Bub Carrington</t>
  </si>
  <si>
    <t>0.481(4.4/9.2)</t>
  </si>
  <si>
    <t>0.790(1.6/2.1)</t>
  </si>
  <si>
    <r>
      <rPr>
        <rFont val="Montserrat, Helvetica, Arial, serif"/>
        <color rgb="FF22292F"/>
        <sz val="11.0"/>
      </rPr>
      <t>Kelly Oubre Jr.</t>
    </r>
  </si>
  <si>
    <t>0.435(6.1/14.1)</t>
  </si>
  <si>
    <t>0.760(2.6/3.4)</t>
  </si>
  <si>
    <r>
      <rPr>
        <rFont val="Montserrat, Helvetica, Arial, serif"/>
        <color rgb="FF22292F"/>
        <sz val="11.0"/>
      </rPr>
      <t>Nick Richards</t>
    </r>
  </si>
  <si>
    <t>0.656(3.8/5.8)</t>
  </si>
  <si>
    <t>0.743(2.3/3.0)</t>
  </si>
  <si>
    <t>Caris LeVert</t>
  </si>
  <si>
    <r>
      <rPr>
        <rFont val="Montserrat, Helvetica, Arial, serif"/>
        <color rgb="FF22292F"/>
        <sz val="11.0"/>
      </rPr>
      <t>Noah Clowney</t>
    </r>
  </si>
  <si>
    <t>SF,PF,C</t>
  </si>
  <si>
    <t>0.552(3.7/6.6)</t>
  </si>
  <si>
    <t>0.728(1.6/2.1)</t>
  </si>
  <si>
    <r>
      <rPr>
        <rFont val="Montserrat, Helvetica, Arial, serif"/>
        <color rgb="FF22292F"/>
        <sz val="11.0"/>
      </rPr>
      <t>Mitchell Robinson</t>
    </r>
  </si>
  <si>
    <t>0.640(2.9/4.5)</t>
  </si>
  <si>
    <t>0.459(1.0/2.1)</t>
  </si>
  <si>
    <r>
      <rPr>
        <rFont val="Montserrat, Helvetica, Arial, serif"/>
        <color rgb="FF22292F"/>
        <sz val="11.0"/>
      </rPr>
      <t>Donovan Clingan</t>
    </r>
  </si>
  <si>
    <t>0.639(4.1/6.4)</t>
  </si>
  <si>
    <t>0.608(1.8/2.9)</t>
  </si>
  <si>
    <r>
      <rPr>
        <rFont val="Montserrat, Helvetica, Arial, serif"/>
        <color rgb="FF22292F"/>
        <sz val="11.0"/>
      </rPr>
      <t>Tari Eason</t>
    </r>
  </si>
  <si>
    <t>0.457(3.9/8.5)</t>
  </si>
  <si>
    <t>0.732(1.3/1.8)</t>
  </si>
  <si>
    <r>
      <rPr>
        <rFont val="Montserrat, Helvetica, Arial, serif"/>
        <color rgb="FF22292F"/>
        <sz val="11.0"/>
      </rPr>
      <t>Aaron Gordon</t>
    </r>
  </si>
  <si>
    <t>0.560(6.0/10.6)</t>
  </si>
  <si>
    <t>0.632(2.7/4.2)</t>
  </si>
  <si>
    <r>
      <rPr>
        <rFont val="Montserrat, Helvetica, Arial, serif"/>
        <color rgb="FF22292F"/>
        <sz val="11.0"/>
      </rPr>
      <t>Tre Jones</t>
    </r>
  </si>
  <si>
    <t>0.479(3.9/8.0)</t>
  </si>
  <si>
    <t>0.861(1.5/1.7)</t>
  </si>
  <si>
    <r>
      <rPr>
        <rFont val="Montserrat, Helvetica, Arial, serif"/>
        <color rgb="FF22292F"/>
        <sz val="11.0"/>
      </rPr>
      <t>Zach Edey</t>
    </r>
  </si>
  <si>
    <t>Luguentz Dort</t>
  </si>
  <si>
    <t>0.575(4.2/7.3)</t>
  </si>
  <si>
    <t>0.729(1.8/2.5)</t>
  </si>
  <si>
    <r>
      <rPr>
        <rFont val="Montserrat, Helvetica, Arial, serif"/>
        <color rgb="FF22292F"/>
        <sz val="11.0"/>
      </rPr>
      <t>Scoot Henderson</t>
    </r>
  </si>
  <si>
    <t>0.409(5.6/13.8)</t>
  </si>
  <si>
    <t>0.821(2.9/3.5)</t>
  </si>
  <si>
    <r>
      <rPr>
        <rFont val="Montserrat, Helvetica, Arial, serif"/>
        <color rgb="FF22292F"/>
        <sz val="11.0"/>
      </rPr>
      <t>Kyle Lowry</t>
    </r>
  </si>
  <si>
    <t>0.417(3.0/7.1)</t>
  </si>
  <si>
    <t>0.855(1.5/1.7)</t>
  </si>
  <si>
    <r>
      <rPr>
        <rFont val="Montserrat, Helvetica, Arial, serif"/>
        <color rgb="FF22292F"/>
        <sz val="11.0"/>
      </rPr>
      <t>Dyson Daniels</t>
    </r>
  </si>
  <si>
    <t>0.453(2.8/6.1)</t>
  </si>
  <si>
    <t>0.651(0.7/1.1)</t>
  </si>
  <si>
    <r>
      <rPr>
        <rFont val="Montserrat, Helvetica, Arial, serif"/>
        <color rgb="FF22292F"/>
        <sz val="11.0"/>
      </rPr>
      <t>Andrew Nembhard</t>
    </r>
  </si>
  <si>
    <t>Ryan Rollins</t>
  </si>
  <si>
    <t>0.477(4.4/9.2)</t>
  </si>
  <si>
    <t>0.800(0.8/1.0)</t>
  </si>
  <si>
    <r>
      <rPr>
        <rFont val="Montserrat, Helvetica, Arial, serif"/>
        <color rgb="FF22292F"/>
        <sz val="11.0"/>
      </rPr>
      <t>Jaden McDaniels</t>
    </r>
  </si>
  <si>
    <t>0.504(4.5/9.0)</t>
  </si>
  <si>
    <t>0.732(1.1/1.5)</t>
  </si>
  <si>
    <r>
      <rPr>
        <rFont val="Montserrat, Helvetica, Arial, serif"/>
        <color rgb="FF22292F"/>
        <sz val="11.0"/>
      </rPr>
      <t>Patrick Williams</t>
    </r>
  </si>
  <si>
    <t>0.829(1.2/1.4)</t>
  </si>
  <si>
    <r>
      <rPr>
        <rFont val="Montserrat, Helvetica, Arial, serif"/>
        <color rgb="FF22292F"/>
        <sz val="11.0"/>
      </rPr>
      <t>Karlo Matkovic</t>
    </r>
  </si>
  <si>
    <t>0.488(3.6/7.4)</t>
  </si>
  <si>
    <t>0.751(1.4/1.9)</t>
  </si>
  <si>
    <r>
      <rPr>
        <rFont val="Montserrat, Helvetica, Arial, serif"/>
        <color rgb="FF22292F"/>
        <sz val="11.0"/>
      </rPr>
      <t>Max Strus</t>
    </r>
  </si>
  <si>
    <t>0.414(4.2/10.0)</t>
  </si>
  <si>
    <t>0.829(1.0/1.2)</t>
  </si>
  <si>
    <t>Ziaire Williams</t>
  </si>
  <si>
    <r>
      <rPr>
        <rFont val="Montserrat, Helvetica, Arial, serif"/>
        <color rgb="FF22292F"/>
        <sz val="11.0"/>
      </rPr>
      <t>T.J. McConnell</t>
    </r>
  </si>
  <si>
    <t>0.550(4.1/7.4)</t>
  </si>
  <si>
    <t>0.816(0.7/0.9)</t>
  </si>
  <si>
    <r>
      <rPr>
        <rFont val="Montserrat, Helvetica, Arial, serif"/>
        <color rgb="FF22292F"/>
        <sz val="11.0"/>
      </rPr>
      <t>Miles McBride</t>
    </r>
  </si>
  <si>
    <t>Al Horford</t>
  </si>
  <si>
    <t>0.446(3.9/8.7)</t>
  </si>
  <si>
    <t>0.845(1.0/1.2)</t>
  </si>
  <si>
    <r>
      <rPr>
        <rFont val="Montserrat, Helvetica, Arial, serif"/>
        <color rgb="FF22292F"/>
        <sz val="11.0"/>
      </rPr>
      <t>Deni Avdija</t>
    </r>
  </si>
  <si>
    <t>0.477(4.4/9.1)</t>
  </si>
  <si>
    <t>0.738(2.1/2.9)</t>
  </si>
  <si>
    <r>
      <rPr>
        <rFont val="Montserrat, Helvetica, Arial, serif"/>
        <color rgb="FF22292F"/>
        <sz val="11.0"/>
      </rPr>
      <t>Shaedon Sharpe</t>
    </r>
  </si>
  <si>
    <t>Kyle Filipowski</t>
  </si>
  <si>
    <t>0.434(5.6/12.9)</t>
  </si>
  <si>
    <t>0.812(2.8/3.5)</t>
  </si>
  <si>
    <r>
      <rPr>
        <rFont val="Montserrat, Helvetica, Arial, serif"/>
        <color rgb="FF22292F"/>
        <sz val="11.0"/>
      </rPr>
      <t>Ben Simmons</t>
    </r>
  </si>
  <si>
    <t>0.569(3.0/5.3)</t>
  </si>
  <si>
    <t>0.427(0.5/1.2)</t>
  </si>
  <si>
    <r>
      <rPr>
        <rFont val="Montserrat, Helvetica, Arial, serif"/>
        <color rgb="FF22292F"/>
        <sz val="11.0"/>
      </rPr>
      <t>Jonathan Isaac</t>
    </r>
  </si>
  <si>
    <t>Jaylen Wells</t>
  </si>
  <si>
    <t>0.496(2.8/5.7)</t>
  </si>
  <si>
    <t>0.704(1.1/1.5)</t>
  </si>
  <si>
    <r>
      <rPr>
        <rFont val="Montserrat, Helvetica, Arial, serif"/>
        <color rgb="FF22292F"/>
        <sz val="11.0"/>
      </rPr>
      <t>Jaime Jaquez Jr.</t>
    </r>
  </si>
  <si>
    <t>0.489(4.6/9.3)</t>
  </si>
  <si>
    <t>0.812(1.9/2.3)</t>
  </si>
  <si>
    <r>
      <rPr>
        <rFont val="Montserrat, Helvetica, Arial, serif"/>
        <color rgb="FF22292F"/>
        <sz val="11.0"/>
      </rPr>
      <t>Kevin Huerter</t>
    </r>
  </si>
  <si>
    <t>De'Anthony Melton</t>
  </si>
  <si>
    <t>0.468(4.5/9.5)</t>
  </si>
  <si>
    <t>0.750(0.9/1.2)</t>
  </si>
  <si>
    <r>
      <rPr>
        <rFont val="Montserrat, Helvetica, Arial, serif"/>
        <color rgb="FF22292F"/>
        <sz val="11.0"/>
      </rPr>
      <t>Lonzo Ball</t>
    </r>
  </si>
  <si>
    <t>0.423(2.7/6.4)</t>
  </si>
  <si>
    <t>0.761(0.4/0.5)</t>
  </si>
  <si>
    <r>
      <rPr>
        <rFont val="Montserrat, Helvetica, Arial, serif"/>
        <color rgb="FF22292F"/>
        <sz val="11.0"/>
      </rPr>
      <t>Vince Williams Jr.</t>
    </r>
  </si>
  <si>
    <t>PG,SG,SF</t>
  </si>
  <si>
    <t>0.454(3.0/6.6)</t>
  </si>
  <si>
    <t>0.803(1.7/2.1)</t>
  </si>
  <si>
    <t>Kentavious Caldwell-Pope</t>
  </si>
  <si>
    <r>
      <rPr>
        <rFont val="Montserrat, Helvetica, Arial, serif"/>
        <color rgb="FF22292F"/>
        <sz val="11.0"/>
      </rPr>
      <t>Gary Trent Jr.</t>
    </r>
  </si>
  <si>
    <t>0.429(5.3/12.3)</t>
  </si>
  <si>
    <t>0.792(1.6/2.1)</t>
  </si>
  <si>
    <r>
      <rPr>
        <rFont val="Montserrat, Helvetica, Arial, serif"/>
        <color rgb="FF22292F"/>
        <sz val="11.0"/>
      </rPr>
      <t>Keldon Johnson</t>
    </r>
  </si>
  <si>
    <t>0.453(6.1/13.4)</t>
  </si>
  <si>
    <t>0.798(2.8/3.6)</t>
  </si>
  <si>
    <r>
      <rPr>
        <rFont val="Montserrat, Helvetica, Arial, serif"/>
        <color rgb="FF22292F"/>
        <sz val="11.0"/>
      </rPr>
      <t>Christian Braun</t>
    </r>
  </si>
  <si>
    <t>Marcus Smart</t>
  </si>
  <si>
    <t>0.468(4.1/8.8)</t>
  </si>
  <si>
    <t>0.731(1.6/2.2)</t>
  </si>
  <si>
    <r>
      <rPr>
        <rFont val="Montserrat, Helvetica, Arial, serif"/>
        <color rgb="FF22292F"/>
        <sz val="11.0"/>
      </rPr>
      <t>Zaccharie Risacher</t>
    </r>
  </si>
  <si>
    <t>0.452(5.1/11.2)</t>
  </si>
  <si>
    <t>0.740(2.1/2.8)</t>
  </si>
  <si>
    <r>
      <rPr>
        <rFont val="Montserrat, Helvetica, Arial, serif"/>
        <color rgb="FF22292F"/>
        <sz val="11.0"/>
      </rPr>
      <t>Jordan Clarkson</t>
    </r>
  </si>
  <si>
    <t>0.431(6.3/14.5)</t>
  </si>
  <si>
    <t>0.846(3.0/3.5)</t>
  </si>
  <si>
    <r>
      <rPr>
        <rFont val="Montserrat, Helvetica, Arial, serif"/>
        <color rgb="FF22292F"/>
        <sz val="11.0"/>
      </rPr>
      <t>Luke Kennard</t>
    </r>
  </si>
  <si>
    <t>0.472(3.7/7.7)</t>
  </si>
  <si>
    <t>0.914(0.9/0.9)</t>
  </si>
  <si>
    <r>
      <rPr>
        <rFont val="Montserrat, Helvetica, Arial, serif"/>
        <color rgb="FF22292F"/>
        <sz val="11.0"/>
      </rPr>
      <t>Andre Drummond</t>
    </r>
  </si>
  <si>
    <t>0.574(4.0/6.9)</t>
  </si>
  <si>
    <t>0.604(1.8/3.0)</t>
  </si>
  <si>
    <r>
      <rPr>
        <rFont val="Montserrat, Helvetica, Arial, serif"/>
        <color rgb="FF22292F"/>
        <sz val="11.0"/>
      </rPr>
      <t>Cole Anthony</t>
    </r>
  </si>
  <si>
    <t>0.444(4.0/9.0)</t>
  </si>
  <si>
    <t>0.855(2.2/2.6)</t>
  </si>
  <si>
    <r>
      <rPr>
        <rFont val="Montserrat, Helvetica, Arial, serif"/>
        <color rgb="FF22292F"/>
        <sz val="11.0"/>
      </rPr>
      <t>Reed Sheppard</t>
    </r>
  </si>
  <si>
    <t>0.472(2.2/4.8)</t>
  </si>
  <si>
    <t>0.835(0.9/1.0)</t>
  </si>
  <si>
    <r>
      <rPr>
        <rFont val="Montserrat, Helvetica, Arial, serif"/>
        <color rgb="FF22292F"/>
        <sz val="11.0"/>
      </rPr>
      <t>Andrew Wiggins</t>
    </r>
  </si>
  <si>
    <t>0.461(5.6/12.1)</t>
  </si>
  <si>
    <r>
      <rPr>
        <rFont val="Montserrat, Helvetica, Arial, serif"/>
        <color rgb="FF22292F"/>
        <sz val="11.0"/>
      </rPr>
      <t>Jarred Vanderbilt</t>
    </r>
  </si>
  <si>
    <t>0.542(3.0/5.6)</t>
  </si>
  <si>
    <t>0.688(1.2/1.7)</t>
  </si>
  <si>
    <r>
      <rPr>
        <rFont val="Montserrat, Helvetica, Arial, serif"/>
        <color rgb="FF22292F"/>
        <sz val="11.0"/>
      </rPr>
      <t>Caleb Martin</t>
    </r>
  </si>
  <si>
    <t>0.447(3.9/8.8)</t>
  </si>
  <si>
    <t>0.796(1.3/1.7)</t>
  </si>
  <si>
    <r>
      <rPr>
        <rFont val="Montserrat, Helvetica, Arial, serif"/>
        <color rgb="FF22292F"/>
        <sz val="11.0"/>
      </rPr>
      <t>Russell Westbrook</t>
    </r>
  </si>
  <si>
    <t>0.444(5.7/12.8)</t>
  </si>
  <si>
    <t>0.668(2.5/3.7)</t>
  </si>
  <si>
    <r>
      <rPr>
        <rFont val="Montserrat, Helvetica, Arial, serif"/>
        <color rgb="FF22292F"/>
        <sz val="11.0"/>
      </rPr>
      <t>Malcolm Brogdon</t>
    </r>
  </si>
  <si>
    <t>0.466(4.3/9.2)</t>
  </si>
  <si>
    <t>0.849(1.9/2.3)</t>
  </si>
  <si>
    <r>
      <rPr>
        <rFont val="Montserrat, Helvetica, Arial, serif"/>
        <color rgb="FF22292F"/>
        <sz val="11.0"/>
      </rPr>
      <t>Caris LeVert</t>
    </r>
  </si>
  <si>
    <t>0.426(4.4/10.3)</t>
  </si>
  <si>
    <t>0.746(1.9/2.5)</t>
  </si>
  <si>
    <r>
      <rPr>
        <rFont val="Montserrat, Helvetica, Arial, serif"/>
        <color rgb="FF22292F"/>
        <sz val="11.0"/>
      </rPr>
      <t>Duncan Robinson</t>
    </r>
  </si>
  <si>
    <t>0.447(4.4/9.8)</t>
  </si>
  <si>
    <t>0.889(1.1/1.3)</t>
  </si>
  <si>
    <r>
      <rPr>
        <rFont val="Montserrat, Helvetica, Arial, serif"/>
        <color rgb="FF22292F"/>
        <sz val="11.0"/>
      </rPr>
      <t>Nikola Jovic</t>
    </r>
  </si>
  <si>
    <t>0.443(3.7/8.4)</t>
  </si>
  <si>
    <t>0.766(1.2/1.6)</t>
  </si>
  <si>
    <r>
      <rPr>
        <rFont val="Montserrat, Helvetica, Arial, serif"/>
        <color rgb="FF22292F"/>
        <sz val="11.0"/>
      </rPr>
      <t>Josh Richardson</t>
    </r>
  </si>
  <si>
    <t>0.436(3.8/8.7)</t>
  </si>
  <si>
    <t>0.885(1.2/1.3)</t>
  </si>
  <si>
    <r>
      <rPr>
        <rFont val="Montserrat, Helvetica, Arial, serif"/>
        <color rgb="FF22292F"/>
        <sz val="11.0"/>
      </rPr>
      <t>Kris Dunn</t>
    </r>
  </si>
  <si>
    <t>0.498(2.9/5.9)</t>
  </si>
  <si>
    <t>0.734(0.7/0.9)</t>
  </si>
  <si>
    <r>
      <rPr>
        <rFont val="Montserrat, Helvetica, Arial, serif"/>
        <color rgb="FF22292F"/>
        <sz val="11.0"/>
      </rPr>
      <t>Ayo Dosunmu</t>
    </r>
  </si>
  <si>
    <t>0.498(4.1/8.2)</t>
  </si>
  <si>
    <t>0.814(1.0/1.2)</t>
  </si>
  <si>
    <r>
      <rPr>
        <rFont val="Montserrat, Helvetica, Arial, serif"/>
        <color rgb="FF22292F"/>
        <sz val="11.0"/>
      </rPr>
      <t>Bennedict Mathurin</t>
    </r>
  </si>
  <si>
    <t>0.443(5.5/12.5)</t>
  </si>
  <si>
    <t>0.826(4.4/5.3)</t>
  </si>
  <si>
    <r>
      <rPr>
        <rFont val="Montserrat, Helvetica, Arial, serif"/>
        <color rgb="FF22292F"/>
        <sz val="11.0"/>
      </rPr>
      <t>Josh Green</t>
    </r>
  </si>
  <si>
    <t>0.472(4.2/8.9)</t>
  </si>
  <si>
    <t>0.709(1.1/1.5)</t>
  </si>
  <si>
    <r>
      <rPr>
        <rFont val="Montserrat, Helvetica, Arial, serif"/>
        <color rgb="FF22292F"/>
        <sz val="11.0"/>
      </rPr>
      <t>Peyton Watson</t>
    </r>
  </si>
  <si>
    <t>0.467(3.7/7.9)</t>
  </si>
  <si>
    <t>0.650(1.3/2.0)</t>
  </si>
  <si>
    <r>
      <rPr>
        <rFont val="Montserrat, Helvetica, Arial, serif"/>
        <color rgb="FF22292F"/>
        <sz val="11.0"/>
      </rPr>
      <t>Daniel Theis</t>
    </r>
  </si>
  <si>
    <t>0.524(3.5/6.7)</t>
  </si>
  <si>
    <t>0.762(0.9/1.2)</t>
  </si>
  <si>
    <r>
      <rPr>
        <rFont val="Montserrat, Helvetica, Arial, serif"/>
        <color rgb="FF22292F"/>
        <sz val="11.0"/>
      </rPr>
      <t>Nickeil Alexander-Walker</t>
    </r>
  </si>
  <si>
    <t>0.441(3.4/7.7)</t>
  </si>
  <si>
    <t>0.733(0.9/1.2)</t>
  </si>
  <si>
    <r>
      <rPr>
        <rFont val="Montserrat, Helvetica, Arial, serif"/>
        <color rgb="FF22292F"/>
        <sz val="11.0"/>
      </rPr>
      <t>Isaiah Jackson</t>
    </r>
  </si>
  <si>
    <t>0.607(3.1/5.1)</t>
  </si>
  <si>
    <t>0.675(1.5/2.3)</t>
  </si>
  <si>
    <r>
      <rPr>
        <rFont val="Montserrat, Helvetica, Arial, serif"/>
        <color rgb="FF22292F"/>
        <sz val="11.0"/>
      </rPr>
      <t>Sam Hauser</t>
    </r>
  </si>
  <si>
    <t>0.450(3.4/7.5)</t>
  </si>
  <si>
    <t>0.821(0.2/0.3)</t>
  </si>
  <si>
    <r>
      <rPr>
        <rFont val="Montserrat, Helvetica, Arial, serif"/>
        <color rgb="FF22292F"/>
        <sz val="11.0"/>
      </rPr>
      <t>Eric Gordon</t>
    </r>
  </si>
  <si>
    <t>0.444(4.1/9.2)</t>
  </si>
  <si>
    <t>0.813(1.4/1.7)</t>
  </si>
  <si>
    <r>
      <rPr>
        <rFont val="Montserrat, Helvetica, Arial, serif"/>
        <color rgb="FF22292F"/>
        <sz val="11.0"/>
      </rPr>
      <t>De'Andre Hunter</t>
    </r>
  </si>
  <si>
    <t>0.460(5.1/11.0)</t>
  </si>
  <si>
    <t>0.836(2.5/3.0)</t>
  </si>
  <si>
    <r>
      <rPr>
        <rFont val="Montserrat, Helvetica, Arial, serif"/>
        <color rgb="FF22292F"/>
        <sz val="11.0"/>
      </rPr>
      <t>Cason Wallace</t>
    </r>
  </si>
  <si>
    <t>0.491(2.9/5.8)</t>
  </si>
  <si>
    <t>0.776(0.4/0.5)</t>
  </si>
  <si>
    <r>
      <rPr>
        <rFont val="Montserrat, Helvetica, Arial, serif"/>
        <color rgb="FF22292F"/>
        <sz val="11.0"/>
      </rPr>
      <t>Nicolas Batum</t>
    </r>
  </si>
  <si>
    <t>0.432(2.1/4.9)</t>
  </si>
  <si>
    <t>0.717(0.4/0.5)</t>
  </si>
  <si>
    <r>
      <rPr>
        <rFont val="Montserrat, Helvetica, Arial, serif"/>
        <color rgb="FF22292F"/>
        <sz val="11.0"/>
      </rPr>
      <t>Harrison Barnes</t>
    </r>
  </si>
  <si>
    <t>0.473(4.0/8.4)</t>
  </si>
  <si>
    <t>0.832(2.8/3.3)</t>
  </si>
  <si>
    <r>
      <rPr>
        <rFont val="Montserrat, Helvetica, Arial, serif"/>
        <color rgb="FF22292F"/>
        <sz val="11.0"/>
      </rPr>
      <t>Larry Nance Jr.</t>
    </r>
  </si>
  <si>
    <t>0.593(2.4/4.1)</t>
  </si>
  <si>
    <t>0.745(0.8/1.0)</t>
  </si>
  <si>
    <r>
      <rPr>
        <rFont val="Montserrat, Helvetica, Arial, serif"/>
        <color rgb="FF22292F"/>
        <sz val="11.0"/>
      </rPr>
      <t>Payton Pritchard</t>
    </r>
  </si>
  <si>
    <t>0.453(4.0/8.8)</t>
  </si>
  <si>
    <t>0.806(0.6/0.7)</t>
  </si>
  <si>
    <r>
      <rPr>
        <rFont val="Montserrat, Helvetica, Arial, serif"/>
        <color rgb="FF22292F"/>
        <sz val="11.0"/>
      </rPr>
      <t>Obi Toppin</t>
    </r>
  </si>
  <si>
    <t>0.520(3.8/7.3)</t>
  </si>
  <si>
    <t>0.792(0.8/1.1)</t>
  </si>
  <si>
    <r>
      <rPr>
        <rFont val="Montserrat, Helvetica, Arial, serif"/>
        <color rgb="FF22292F"/>
        <sz val="11.0"/>
      </rPr>
      <t>Moritz Wagner</t>
    </r>
  </si>
  <si>
    <t>0.560(3.7/6.6)</t>
  </si>
  <si>
    <t>0.826(2.2/2.7)</t>
  </si>
  <si>
    <r>
      <rPr>
        <rFont val="Montserrat, Helvetica, Arial, serif"/>
        <color rgb="FF22292F"/>
        <sz val="11.0"/>
      </rPr>
      <t>Santi Aldama</t>
    </r>
  </si>
  <si>
    <t>0.452(3.5/7.6)</t>
  </si>
  <si>
    <t>0.702(1.1/1.6)</t>
  </si>
  <si>
    <r>
      <rPr>
        <rFont val="Montserrat, Helvetica, Arial, serif"/>
        <color rgb="FF22292F"/>
        <sz val="11.0"/>
      </rPr>
      <t>Matisse Thybulle</t>
    </r>
  </si>
  <si>
    <t>0.414(1.8/4.3)</t>
  </si>
  <si>
    <t>0.721(0.3/0.4)</t>
  </si>
  <si>
    <r>
      <rPr>
        <rFont val="Montserrat, Helvetica, Arial, serif"/>
        <color rgb="FF22292F"/>
        <sz val="11.0"/>
      </rPr>
      <t>Robert Williams III</t>
    </r>
  </si>
  <si>
    <t>0.737(2.4/3.2)</t>
  </si>
  <si>
    <t>0.639(0.5/0.8)</t>
  </si>
  <si>
    <r>
      <rPr>
        <rFont val="Montserrat, Helvetica, Arial, serif"/>
        <color rgb="FF22292F"/>
        <sz val="11.0"/>
      </rPr>
      <t>Taurean Prince</t>
    </r>
  </si>
  <si>
    <t>0.453(3.6/7.9)</t>
  </si>
  <si>
    <t>0.792(1.0/1.2)</t>
  </si>
  <si>
    <r>
      <rPr>
        <rFont val="Montserrat, Helvetica, Arial, serif"/>
        <color rgb="FF22292F"/>
        <sz val="11.0"/>
      </rPr>
      <t>Spencer Dinwiddie</t>
    </r>
  </si>
  <si>
    <t>0.421(3.6/8.5)</t>
  </si>
  <si>
    <r>
      <rPr>
        <rFont val="Montserrat, Helvetica, Arial, serif"/>
        <color rgb="FF22292F"/>
        <sz val="11.0"/>
      </rPr>
      <t>Dillon Brooks</t>
    </r>
  </si>
  <si>
    <t>0.425(4.8/11.2)</t>
  </si>
  <si>
    <t>0.809(1.6/2.0)</t>
  </si>
  <si>
    <r>
      <rPr>
        <rFont val="Montserrat, Helvetica, Arial, serif"/>
        <color rgb="FF22292F"/>
        <sz val="11.0"/>
      </rPr>
      <t>John Konchar</t>
    </r>
  </si>
  <si>
    <t>0.428(1.8/4.1)</t>
  </si>
  <si>
    <t>0.792(0.4/0.5)</t>
  </si>
  <si>
    <r>
      <rPr>
        <rFont val="Montserrat, Helvetica, Arial, serif"/>
        <color rgb="FF22292F"/>
        <sz val="11.0"/>
      </rPr>
      <t>Royce O'Neale</t>
    </r>
  </si>
  <si>
    <t>0.391(2.5/6.3)</t>
  </si>
  <si>
    <t>0.707(0.4/0.6)</t>
  </si>
  <si>
    <r>
      <rPr>
        <rFont val="Montserrat, Helvetica, Arial, serif"/>
        <color rgb="FF22292F"/>
        <sz val="11.0"/>
      </rPr>
      <t>Kyle Anderson</t>
    </r>
  </si>
  <si>
    <t>0.486(2.5/5.2)</t>
  </si>
  <si>
    <t>0.724(1.1/1.5)</t>
  </si>
  <si>
    <r>
      <rPr>
        <rFont val="Montserrat, Helvetica, Arial, serif"/>
        <color rgb="FF22292F"/>
        <sz val="11.0"/>
      </rPr>
      <t>Luke Kornet</t>
    </r>
  </si>
  <si>
    <t>0.684(2.3/3.3)</t>
  </si>
  <si>
    <t>0.866(0.7/0.8)</t>
  </si>
  <si>
    <r>
      <rPr>
        <rFont val="Montserrat, Helvetica, Arial, serif"/>
        <color rgb="FF22292F"/>
        <sz val="11.0"/>
      </rPr>
      <t>Bojan Bogdanovic</t>
    </r>
  </si>
  <si>
    <t>0.449(5.8/12.8)</t>
  </si>
  <si>
    <r>
      <rPr>
        <rFont val="Montserrat, Helvetica, Arial, serif"/>
        <color rgb="FF22292F"/>
        <sz val="11.0"/>
      </rPr>
      <t>Day'Ron Sharpe</t>
    </r>
  </si>
  <si>
    <t>0.561(3.2/5.7)</t>
  </si>
  <si>
    <t>0.635(1.4/2.2)</t>
  </si>
  <si>
    <r>
      <rPr>
        <rFont val="Montserrat, Helvetica, Arial, serif"/>
        <color rgb="FF22292F"/>
        <sz val="11.0"/>
      </rPr>
      <t>Isaac Okoro</t>
    </r>
  </si>
  <si>
    <t>0.491(3.2/6.4)</t>
  </si>
  <si>
    <t>0.714(1.3/1.9)</t>
  </si>
  <si>
    <r>
      <rPr>
        <rFont val="Montserrat, Helvetica, Arial, serif"/>
        <color rgb="FF22292F"/>
        <sz val="11.0"/>
      </rPr>
      <t>Delon Wright</t>
    </r>
  </si>
  <si>
    <t>0.442(1.8/4.1)</t>
  </si>
  <si>
    <t>0.846(0.8/0.9)</t>
  </si>
  <si>
    <r>
      <rPr>
        <rFont val="Montserrat, Helvetica, Arial, serif"/>
        <color rgb="FF22292F"/>
        <sz val="11.0"/>
      </rPr>
      <t>Malik Beasley</t>
    </r>
  </si>
  <si>
    <t>0.425(4.0/9.5)</t>
  </si>
  <si>
    <t>0.754(0.4/0.6)</t>
  </si>
  <si>
    <r>
      <rPr>
        <rFont val="Montserrat, Helvetica, Arial, serif"/>
        <color rgb="FF22292F"/>
        <sz val="11.0"/>
      </rPr>
      <t>Julian Strawther</t>
    </r>
  </si>
  <si>
    <t>0.435(3.8/8.7)</t>
  </si>
  <si>
    <t>0.729(1.0/1.4)</t>
  </si>
  <si>
    <r>
      <rPr>
        <rFont val="Montserrat, Helvetica, Arial, serif"/>
        <color rgb="FF22292F"/>
        <sz val="11.0"/>
      </rPr>
      <t>Zach Collins</t>
    </r>
  </si>
  <si>
    <t>0.501(3.5/7.0)</t>
  </si>
  <si>
    <t>0.760(1.4/1.8)</t>
  </si>
  <si>
    <r>
      <rPr>
        <rFont val="Montserrat, Helvetica, Arial, serif"/>
        <color rgb="FF22292F"/>
        <sz val="11.0"/>
      </rPr>
      <t>Grant Williams</t>
    </r>
  </si>
  <si>
    <t>0.455(3.1/6.8)</t>
  </si>
  <si>
    <t>0.762(1.3/1.6)</t>
  </si>
  <si>
    <r>
      <rPr>
        <rFont val="Montserrat, Helvetica, Arial, serif"/>
        <color rgb="FF22292F"/>
        <sz val="11.0"/>
      </rPr>
      <t>Dorian Finney-Smith</t>
    </r>
  </si>
  <si>
    <t>0.406(2.8/7.0)</t>
  </si>
  <si>
    <t>0.750(0.5/0.7)</t>
  </si>
  <si>
    <r>
      <rPr>
        <rFont val="Montserrat, Helvetica, Arial, serif"/>
        <color rgb="FF22292F"/>
        <sz val="11.0"/>
      </rPr>
      <t>Paul Reed</t>
    </r>
  </si>
  <si>
    <t>0.555(2.3/4.2)</t>
  </si>
  <si>
    <t>0.735(0.6/0.8)</t>
  </si>
  <si>
    <r>
      <rPr>
        <rFont val="Montserrat, Helvetica, Arial, serif"/>
        <color rgb="FF22292F"/>
        <sz val="11.0"/>
      </rPr>
      <t>Dario Saric</t>
    </r>
  </si>
  <si>
    <t>0.464(3.0/6.5)</t>
  </si>
  <si>
    <t>0.842(1.4/1.7)</t>
  </si>
  <si>
    <r>
      <rPr>
        <rFont val="Montserrat, Helvetica, Arial, serif"/>
        <color rgb="FF22292F"/>
        <sz val="11.0"/>
      </rPr>
      <t>Christian Wood</t>
    </r>
  </si>
  <si>
    <t>0.502(3.5/6.9)</t>
  </si>
  <si>
    <t>0.752(1.9/2.5)</t>
  </si>
  <si>
    <r>
      <rPr>
        <rFont val="Montserrat, Helvetica, Arial, serif"/>
        <color rgb="FF22292F"/>
        <sz val="11.0"/>
      </rPr>
      <t>Rob Dillingham</t>
    </r>
  </si>
  <si>
    <t>0.454(3.8/8.4)</t>
  </si>
  <si>
    <t>0.802(1.7/2.2)</t>
  </si>
  <si>
    <r>
      <rPr>
        <rFont val="Montserrat, Helvetica, Arial, serif"/>
        <color rgb="FF22292F"/>
        <sz val="11.0"/>
      </rPr>
      <t>Xavier Tillman Sr.</t>
    </r>
  </si>
  <si>
    <t>0.473(2.9/6.1)</t>
  </si>
  <si>
    <t>0.515(0.7/1.3)</t>
  </si>
  <si>
    <r>
      <rPr>
        <rFont val="Montserrat, Helvetica, Arial, serif"/>
        <color rgb="FF22292F"/>
        <sz val="11.0"/>
      </rPr>
      <t>Gradey Dick</t>
    </r>
  </si>
  <si>
    <t>0.424(4.2/9.9)</t>
  </si>
  <si>
    <t>0.860(1.0/1.1)</t>
  </si>
  <si>
    <r>
      <rPr>
        <rFont val="Montserrat, Helvetica, Arial, serif"/>
        <color rgb="FF22292F"/>
        <sz val="11.0"/>
      </rPr>
      <t>Ron Holland II</t>
    </r>
  </si>
  <si>
    <t>0.440(3.9/8.8)</t>
  </si>
  <si>
    <t>0.740(2.1/2.9)</t>
  </si>
  <si>
    <r>
      <rPr>
        <rFont val="Montserrat, Helvetica, Arial, serif"/>
        <color rgb="FF22292F"/>
        <sz val="11.0"/>
      </rPr>
      <t>Mo Bamba</t>
    </r>
  </si>
  <si>
    <t>0.487(2.3/4.6)</t>
  </si>
  <si>
    <t>0.669(0.8/1.2)</t>
  </si>
  <si>
    <r>
      <rPr>
        <rFont val="Montserrat, Helvetica, Arial, serif"/>
        <color rgb="FF22292F"/>
        <sz val="11.0"/>
      </rPr>
      <t>Derrick Jones Jr.</t>
    </r>
  </si>
  <si>
    <t>0.488(2.9/6.0)</t>
  </si>
  <si>
    <t>0.724(1.3/1.8)</t>
  </si>
  <si>
    <r>
      <rPr>
        <rFont val="Montserrat, Helvetica, Arial, serif"/>
        <color rgb="FF22292F"/>
        <sz val="11.0"/>
      </rPr>
      <t>Isaiah Joe</t>
    </r>
  </si>
  <si>
    <t>0.449(2.9/6.4)</t>
  </si>
  <si>
    <t>0.827(0.8/1.0)</t>
  </si>
  <si>
    <r>
      <rPr>
        <rFont val="Montserrat, Helvetica, Arial, serif"/>
        <color rgb="FF22292F"/>
        <sz val="11.0"/>
      </rPr>
      <t>Naji Marshall</t>
    </r>
  </si>
  <si>
    <t>0.446(3.1/6.8)</t>
  </si>
  <si>
    <t>0.789(1.5/1.9)</t>
  </si>
  <si>
    <r>
      <rPr>
        <rFont val="Montserrat, Helvetica, Arial, serif"/>
        <color rgb="FF22292F"/>
        <sz val="11.0"/>
      </rPr>
      <t>Carlton Carrington</t>
    </r>
  </si>
  <si>
    <t>0.412(3.8/9.3)</t>
  </si>
  <si>
    <t>0.785(1.8/2.2)</t>
  </si>
  <si>
    <r>
      <rPr>
        <rFont val="Montserrat, Helvetica, Arial, serif"/>
        <color rgb="FF22292F"/>
        <sz val="11.0"/>
      </rPr>
      <t>Bones Hyland</t>
    </r>
  </si>
  <si>
    <t>0.395(3.6/9.2)</t>
  </si>
  <si>
    <r>
      <rPr>
        <rFont val="Montserrat, Helvetica, Arial, serif"/>
        <color rgb="FF22292F"/>
        <sz val="11.0"/>
      </rPr>
      <t>GG Jackson II</t>
    </r>
  </si>
  <si>
    <t>0.428(4.5/10.4)</t>
  </si>
  <si>
    <t>0.753(2.1/2.8)</t>
  </si>
  <si>
    <r>
      <rPr>
        <rFont val="Montserrat, Helvetica, Arial, serif"/>
        <color rgb="FF22292F"/>
        <sz val="11.0"/>
      </rPr>
      <t>Neemias Queta</t>
    </r>
  </si>
  <si>
    <t>0.647(2.5/3.8)</t>
  </si>
  <si>
    <t>0.673(0.7/1.0)</t>
  </si>
  <si>
    <r>
      <rPr>
        <rFont val="Montserrat, Helvetica, Arial, serif"/>
        <color rgb="FF22292F"/>
        <sz val="11.0"/>
      </rPr>
      <t>Scotty Pippen Jr.</t>
    </r>
  </si>
  <si>
    <t>0.484(2.7/5.6)</t>
  </si>
  <si>
    <t>0.720(1.2/1.7)</t>
  </si>
  <si>
    <r>
      <rPr>
        <rFont val="Montserrat, Helvetica, Arial, serif"/>
        <color rgb="FF22292F"/>
        <sz val="11.0"/>
      </rPr>
      <t>Brice Sensabaugh</t>
    </r>
  </si>
  <si>
    <t>0.390(3.4/8.8)</t>
  </si>
  <si>
    <t>0.904(1.5/1.7)</t>
  </si>
  <si>
    <r>
      <rPr>
        <rFont val="Montserrat, Helvetica, Arial, serif"/>
        <color rgb="FF22292F"/>
        <sz val="11.0"/>
      </rPr>
      <t>Precious Achiuwa</t>
    </r>
  </si>
  <si>
    <t>0.494(3.1/6.2)</t>
  </si>
  <si>
    <t>0.661(1.1/1.7)</t>
  </si>
  <si>
    <r>
      <rPr>
        <rFont val="Montserrat, Helvetica, Arial, serif"/>
        <color rgb="FF22292F"/>
        <sz val="11.0"/>
      </rPr>
      <t>Marcus Sasser</t>
    </r>
  </si>
  <si>
    <t>0.428(3.1/7.3)</t>
  </si>
  <si>
    <t>0.872(0.8/0.9)</t>
  </si>
  <si>
    <r>
      <rPr>
        <rFont val="Montserrat, Helvetica, Arial, serif"/>
        <color rgb="FF22292F"/>
        <sz val="11.0"/>
      </rPr>
      <t>Trey Lyles</t>
    </r>
  </si>
  <si>
    <t>0.453(2.7/5.9)</t>
  </si>
  <si>
    <t>0.772(1.2/1.6)</t>
  </si>
  <si>
    <r>
      <rPr>
        <rFont val="Montserrat, Helvetica, Arial, serif"/>
        <color rgb="FF22292F"/>
        <sz val="11.0"/>
      </rPr>
      <t>Isaiah Stewart</t>
    </r>
  </si>
  <si>
    <t>0.462(3.0/6.5)</t>
  </si>
  <si>
    <t>0.743(1.4/1.8)</t>
  </si>
  <si>
    <r>
      <rPr>
        <rFont val="Montserrat, Helvetica, Arial, serif"/>
        <color rgb="FF22292F"/>
        <sz val="11.0"/>
      </rPr>
      <t>Georges Niang</t>
    </r>
  </si>
  <si>
    <t>0.446(3.3/7.3)</t>
  </si>
  <si>
    <t>0.853(0.6/0.7)</t>
  </si>
  <si>
    <r>
      <rPr>
        <rFont val="Montserrat, Helvetica, Arial, serif"/>
        <color rgb="FF22292F"/>
        <sz val="11.0"/>
      </rPr>
      <t>Jose Alvarado</t>
    </r>
  </si>
  <si>
    <t>0.411(2.7/6.5)</t>
  </si>
  <si>
    <t>0.757(0.8/1.0)</t>
  </si>
  <si>
    <r>
      <rPr>
        <rFont val="Montserrat, Helvetica, Arial, serif"/>
        <color rgb="FF22292F"/>
        <sz val="11.0"/>
      </rPr>
      <t>Saddiq Bey</t>
    </r>
  </si>
  <si>
    <t>0.419(3.1/7.4)</t>
  </si>
  <si>
    <t>0.854(1.8/2.1)</t>
  </si>
  <si>
    <r>
      <rPr>
        <rFont val="Montserrat, Helvetica, Arial, serif"/>
        <color rgb="FF22292F"/>
        <sz val="11.0"/>
      </rPr>
      <t>Reggie Jackson</t>
    </r>
  </si>
  <si>
    <t>0.422(3.8/9.1)</t>
  </si>
  <si>
    <t>0.852(1.0/1.2)</t>
  </si>
  <si>
    <r>
      <rPr>
        <rFont val="Montserrat, Helvetica, Arial, serif"/>
        <color rgb="FF22292F"/>
        <sz val="11.0"/>
      </rPr>
      <t>Goga Bitadze</t>
    </r>
  </si>
  <si>
    <t>0.583(2.0/3.4)</t>
  </si>
  <si>
    <t>0.617(0.8/1.3)</t>
  </si>
  <si>
    <r>
      <rPr>
        <rFont val="Montserrat, Helvetica, Arial, serif"/>
        <color rgb="FF22292F"/>
        <sz val="11.0"/>
      </rPr>
      <t>Stephon Castle</t>
    </r>
  </si>
  <si>
    <t>0.465(2.7/5.8)</t>
  </si>
  <si>
    <t>0.755(1.6/2.2)</t>
  </si>
  <si>
    <r>
      <rPr>
        <rFont val="Montserrat, Helvetica, Arial, serif"/>
        <color rgb="FF22292F"/>
        <sz val="11.0"/>
      </rPr>
      <t>Gary Payton II</t>
    </r>
  </si>
  <si>
    <t>0.572(2.1/3.6)</t>
  </si>
  <si>
    <t>0.674(0.3/0.4)</t>
  </si>
  <si>
    <r>
      <rPr>
        <rFont val="Montserrat, Helvetica, Arial, serif"/>
        <color rgb="FF22292F"/>
        <sz val="11.0"/>
      </rPr>
      <t>Matas Buzelis</t>
    </r>
  </si>
  <si>
    <t>0.447(3.1/6.8)</t>
  </si>
  <si>
    <t>0.678(0.8/1.2)</t>
  </si>
  <si>
    <r>
      <rPr>
        <rFont val="Montserrat, Helvetica, Arial, serif"/>
        <color rgb="FF22292F"/>
        <sz val="11.0"/>
      </rPr>
      <t>Jonathan Mogbo</t>
    </r>
  </si>
  <si>
    <t>0.635(2.4/3.8)</t>
  </si>
  <si>
    <t>0.697(0.9/1.2)</t>
  </si>
  <si>
    <r>
      <rPr>
        <rFont val="Montserrat, Helvetica, Arial, serif"/>
        <color rgb="FF22292F"/>
        <sz val="11.0"/>
      </rPr>
      <t>Moses Moody</t>
    </r>
  </si>
  <si>
    <t>0.466(3.1/6.6)</t>
  </si>
  <si>
    <t>0.757(1.1/1.5)</t>
  </si>
  <si>
    <r>
      <rPr>
        <rFont val="Montserrat, Helvetica, Arial, serif"/>
        <color rgb="FF22292F"/>
        <sz val="11.0"/>
      </rPr>
      <t>Killian Hayes</t>
    </r>
  </si>
  <si>
    <t>0.385(2.8/7.2)</t>
  </si>
  <si>
    <t>0.764(0.8/1.1)</t>
  </si>
  <si>
    <r>
      <rPr>
        <rFont val="Montserrat, Helvetica, Arial, serif"/>
        <color rgb="FF22292F"/>
        <sz val="11.0"/>
      </rPr>
      <t>Quentin Grimes</t>
    </r>
  </si>
  <si>
    <t>0.435(2.9/6.6)</t>
  </si>
  <si>
    <t>0.792(0.8/1.0)</t>
  </si>
  <si>
    <r>
      <rPr>
        <rFont val="Montserrat, Helvetica, Arial, serif"/>
        <color rgb="FF22292F"/>
        <sz val="11.0"/>
      </rPr>
      <t>Torrey Craig</t>
    </r>
  </si>
  <si>
    <t>0.447(2.1/4.8)</t>
  </si>
  <si>
    <t>0.731(0.4/0.5)</t>
  </si>
  <si>
    <r>
      <rPr>
        <rFont val="Montserrat, Helvetica, Arial, serif"/>
        <color rgb="FF22292F"/>
        <sz val="11.0"/>
      </rPr>
      <t>Gabe Vincent</t>
    </r>
  </si>
  <si>
    <t>0.395(3.0/7.7)</t>
  </si>
  <si>
    <t>0.860(0.9/1.0)</t>
  </si>
  <si>
    <r>
      <rPr>
        <rFont val="Montserrat, Helvetica, Arial, serif"/>
        <color rgb="FF22292F"/>
        <sz val="11.0"/>
      </rPr>
      <t>Julian Champagnie</t>
    </r>
  </si>
  <si>
    <t>0.420(2.3/5.4)</t>
  </si>
  <si>
    <t>0.811(0.9/1.1)</t>
  </si>
  <si>
    <r>
      <rPr>
        <rFont val="Montserrat, Helvetica, Arial, serif"/>
        <color rgb="FF22292F"/>
        <sz val="11.0"/>
      </rPr>
      <t>Drew Eubanks</t>
    </r>
  </si>
  <si>
    <t>0.622(2.0/3.2)</t>
  </si>
  <si>
    <t>0.709(0.8/1.2)</t>
  </si>
  <si>
    <r>
      <rPr>
        <rFont val="Montserrat, Helvetica, Arial, serif"/>
        <color rgb="FF22292F"/>
        <sz val="11.0"/>
      </rPr>
      <t>Pat Connaughton</t>
    </r>
  </si>
  <si>
    <t>0.417(2.4/5.8)</t>
  </si>
  <si>
    <t>0.740(0.5/0.7)</t>
  </si>
  <si>
    <r>
      <rPr>
        <rFont val="Montserrat, Helvetica, Arial, serif"/>
        <color rgb="FF22292F"/>
        <sz val="11.0"/>
      </rPr>
      <t>Toumani Camara</t>
    </r>
  </si>
  <si>
    <t>0.449(2.3/5.1)</t>
  </si>
  <si>
    <t>0.759(0.9/1.2)</t>
  </si>
  <si>
    <r>
      <rPr>
        <rFont val="Montserrat, Helvetica, Arial, serif"/>
        <color rgb="FF22292F"/>
        <sz val="11.0"/>
      </rPr>
      <t>Cody Martin</t>
    </r>
  </si>
  <si>
    <t>0.383(2.6/6.7)</t>
  </si>
  <si>
    <t>0.598(0.6/1.1)</t>
  </si>
  <si>
    <r>
      <rPr>
        <rFont val="Montserrat, Helvetica, Arial, serif"/>
        <color rgb="FF22292F"/>
        <sz val="11.0"/>
      </rPr>
      <t>Alec Burks</t>
    </r>
  </si>
  <si>
    <t>0.399(3.1/7.7)</t>
  </si>
  <si>
    <t>0.841(2.2/2.6)</t>
  </si>
  <si>
    <r>
      <rPr>
        <rFont val="Montserrat, Helvetica, Arial, serif"/>
        <color rgb="FF22292F"/>
        <sz val="11.0"/>
      </rPr>
      <t>Dean Wade</t>
    </r>
  </si>
  <si>
    <t>0.414(1.7/4.0)</t>
  </si>
  <si>
    <t>0.708(0.3/0.5)</t>
  </si>
  <si>
    <r>
      <rPr>
        <rFont val="Montserrat, Helvetica, Arial, serif"/>
        <color rgb="FF22292F"/>
        <sz val="11.0"/>
      </rPr>
      <t>Aaron Wiggins</t>
    </r>
  </si>
  <si>
    <t>0.538(2.5/4.7)</t>
  </si>
  <si>
    <t>0.811(0.7/0.9)</t>
  </si>
  <si>
    <r>
      <rPr>
        <rFont val="Montserrat, Helvetica, Arial, serif"/>
        <color rgb="FF22292F"/>
        <sz val="11.0"/>
      </rPr>
      <t>Shake Milton</t>
    </r>
  </si>
  <si>
    <t>0.457(3.0/6.7)</t>
  </si>
  <si>
    <t>0.847(1.3/1.6)</t>
  </si>
  <si>
    <r>
      <rPr>
        <rFont val="Montserrat, Helvetica, Arial, serif"/>
        <color rgb="FF22292F"/>
        <sz val="11.0"/>
      </rPr>
      <t>Kevin Love</t>
    </r>
  </si>
  <si>
    <t>0.412(2.3/5.7)</t>
  </si>
  <si>
    <t>0.826(1.2/1.4)</t>
  </si>
  <si>
    <r>
      <rPr>
        <rFont val="Montserrat, Helvetica, Arial, serif"/>
        <color rgb="FF22292F"/>
        <sz val="11.0"/>
      </rPr>
      <t>Jarace Walker</t>
    </r>
  </si>
  <si>
    <t>0.409(1.9/4.6)</t>
  </si>
  <si>
    <t>0.895(0.3/0.4)</t>
  </si>
  <si>
    <r>
      <rPr>
        <rFont val="Montserrat, Helvetica, Arial, serif"/>
        <color rgb="FF22292F"/>
        <sz val="11.0"/>
      </rPr>
      <t>Kyshawn George</t>
    </r>
  </si>
  <si>
    <t>0.425(2.1/4.8)</t>
  </si>
  <si>
    <t>0.768(0.5/0.7)</t>
  </si>
  <si>
    <r>
      <rPr>
        <rFont val="Montserrat, Helvetica, Arial, serif"/>
        <color rgb="FF22292F"/>
        <sz val="11.0"/>
      </rPr>
      <t>Josh Minott</t>
    </r>
  </si>
  <si>
    <t>0.487(1.9/3.9)</t>
  </si>
  <si>
    <t>0.915(1.1/1.2)</t>
  </si>
  <si>
    <r>
      <rPr>
        <rFont val="Montserrat, Helvetica, Arial, serif"/>
        <color rgb="FF22292F"/>
        <sz val="11.0"/>
      </rPr>
      <t>Cam Whitmore</t>
    </r>
  </si>
  <si>
    <t>0.454(4.2/9.2)</t>
  </si>
  <si>
    <t>0.677(1.5/2.2)</t>
  </si>
  <si>
    <r>
      <rPr>
        <rFont val="Montserrat, Helvetica, Arial, serif"/>
        <color rgb="FF22292F"/>
        <sz val="11.0"/>
      </rPr>
      <t>Mason Plumlee</t>
    </r>
  </si>
  <si>
    <t>0.654(2.5/3.9)</t>
  </si>
  <si>
    <t>0.652(1.6/2.5)</t>
  </si>
  <si>
    <r>
      <rPr>
        <rFont val="Montserrat, Helvetica, Arial, serif"/>
        <color rgb="FF22292F"/>
        <sz val="11.0"/>
      </rPr>
      <t>Ziaire Williams</t>
    </r>
  </si>
  <si>
    <t>0.408(3.2/7.8)</t>
  </si>
  <si>
    <t>0.811(1.1/1.3)</t>
  </si>
  <si>
    <r>
      <rPr>
        <rFont val="Montserrat, Helvetica, Arial, serif"/>
        <color rgb="FF22292F"/>
        <sz val="11.0"/>
      </rPr>
      <t>Jay Huff</t>
    </r>
  </si>
  <si>
    <t>0.599(1.5/2.5)</t>
  </si>
  <si>
    <t>0.946(1.1/1.1)</t>
  </si>
  <si>
    <r>
      <rPr>
        <rFont val="Montserrat, Helvetica, Arial, serif"/>
        <color rgb="FF22292F"/>
        <sz val="11.0"/>
      </rPr>
      <t>Max Christie</t>
    </r>
  </si>
  <si>
    <t>0.439(2.3/5.3)</t>
  </si>
  <si>
    <t>0.809(0.8/0.9)</t>
  </si>
  <si>
    <r>
      <rPr>
        <rFont val="Montserrat, Helvetica, Arial, serif"/>
        <color rgb="FF22292F"/>
        <sz val="11.0"/>
      </rPr>
      <t>Ryan Dunn</t>
    </r>
  </si>
  <si>
    <t>0.498(1.7/3.3)</t>
  </si>
  <si>
    <t>0.589(0.7/1.1)</t>
  </si>
  <si>
    <r>
      <rPr>
        <rFont val="Montserrat, Helvetica, Arial, serif"/>
        <color rgb="FF22292F"/>
        <sz val="11.0"/>
      </rPr>
      <t>Jericho Sims</t>
    </r>
  </si>
  <si>
    <t>0.744(1.5/2.0)</t>
  </si>
  <si>
    <t>0.694(0.3/0.5)</t>
  </si>
  <si>
    <r>
      <rPr>
        <rFont val="Montserrat, Helvetica, Arial, serif"/>
        <color rgb="FF22292F"/>
        <sz val="11.0"/>
      </rPr>
      <t>Dalton Knecht</t>
    </r>
  </si>
  <si>
    <t>0.444(3.0/6.8)</t>
  </si>
  <si>
    <t>0.770(1.9/2.4)</t>
  </si>
  <si>
    <r>
      <rPr>
        <rFont val="Montserrat, Helvetica, Arial, serif"/>
        <color rgb="FF22292F"/>
        <sz val="11.0"/>
      </rPr>
      <t>Damion Lee</t>
    </r>
  </si>
  <si>
    <t>0.443(2.4/5.4)</t>
  </si>
  <si>
    <t>0.903(1.1/1.2)</t>
  </si>
  <si>
    <r>
      <rPr>
        <rFont val="Montserrat, Helvetica, Arial, serif"/>
        <color rgb="FF22292F"/>
        <sz val="11.0"/>
      </rPr>
      <t>Chris Boucher</t>
    </r>
  </si>
  <si>
    <t>0.497(2.3/4.5)</t>
  </si>
  <si>
    <r>
      <rPr>
        <rFont val="Montserrat, Helvetica, Arial, serif"/>
        <color rgb="FF22292F"/>
        <sz val="11.0"/>
      </rPr>
      <t>Duop Reath</t>
    </r>
  </si>
  <si>
    <t>0.461(2.7/5.9)</t>
  </si>
  <si>
    <t>0.739(0.8/1.1)</t>
  </si>
  <si>
    <r>
      <rPr>
        <rFont val="Montserrat, Helvetica, Arial, serif"/>
        <color rgb="FF22292F"/>
        <sz val="11.0"/>
      </rPr>
      <t>Gary Harris</t>
    </r>
  </si>
  <si>
    <t>0.445(2.0/4.4)</t>
  </si>
  <si>
    <t>0.818(0.5/0.6)</t>
  </si>
  <si>
    <r>
      <rPr>
        <rFont val="Montserrat, Helvetica, Arial, serif"/>
        <color rgb="FF22292F"/>
        <sz val="11.0"/>
      </rPr>
      <t>Dante Exum</t>
    </r>
  </si>
  <si>
    <t>0.535(2.4/4.5)</t>
  </si>
  <si>
    <t>0.782(0.8/1.0)</t>
  </si>
  <si>
    <r>
      <rPr>
        <rFont val="Montserrat, Helvetica, Arial, serif"/>
        <color rgb="FF22292F"/>
        <sz val="11.0"/>
      </rPr>
      <t>Leonard Miller</t>
    </r>
  </si>
  <si>
    <t>0.652(2.2/3.4)</t>
  </si>
  <si>
    <t>0.500(0.2/0.3)</t>
  </si>
  <si>
    <r>
      <rPr>
        <rFont val="Montserrat, Helvetica, Arial, serif"/>
        <color rgb="FF22292F"/>
        <sz val="11.0"/>
      </rPr>
      <t>Steven Adams</t>
    </r>
  </si>
  <si>
    <t>0.597(2.5/4.2)</t>
  </si>
  <si>
    <t>0.366(0.8/2.1)</t>
  </si>
  <si>
    <r>
      <rPr>
        <rFont val="Montserrat, Helvetica, Arial, serif"/>
        <color rgb="FF22292F"/>
        <sz val="11.0"/>
      </rPr>
      <t>James Wiseman</t>
    </r>
  </si>
  <si>
    <t>0.584(3.0/5.1)</t>
  </si>
  <si>
    <t>0.703(1.1/1.6)</t>
  </si>
  <si>
    <r>
      <rPr>
        <rFont val="Montserrat, Helvetica, Arial, serif"/>
        <color rgb="FF22292F"/>
        <sz val="11.0"/>
      </rPr>
      <t>Seth Curry</t>
    </r>
  </si>
  <si>
    <t>0.441(2.6/5.8)</t>
  </si>
  <si>
    <t>0.921(0.7/0.8)</t>
  </si>
  <si>
    <r>
      <rPr>
        <rFont val="Montserrat, Helvetica, Arial, serif"/>
        <color rgb="FF22292F"/>
        <sz val="11.0"/>
      </rPr>
      <t>Jaylin Williams</t>
    </r>
  </si>
  <si>
    <t>0.426(1.6/3.7)</t>
  </si>
  <si>
    <t>0.740(0.6/0.8)</t>
  </si>
  <si>
    <r>
      <rPr>
        <rFont val="Montserrat, Helvetica, Arial, serif"/>
        <color rgb="FF22292F"/>
        <sz val="11.0"/>
      </rPr>
      <t>Trey Jemison</t>
    </r>
  </si>
  <si>
    <t>0.552(1.9/3.4)</t>
  </si>
  <si>
    <t>0.839(0.5/0.6)</t>
  </si>
  <si>
    <r>
      <rPr>
        <rFont val="Montserrat, Helvetica, Arial, serif"/>
        <color rgb="FF22292F"/>
        <sz val="11.0"/>
      </rPr>
      <t>Thomas Bryant</t>
    </r>
  </si>
  <si>
    <t>0.610(2.4/3.9)</t>
  </si>
  <si>
    <t>0.771(1.0/1.3)</t>
  </si>
  <si>
    <r>
      <rPr>
        <rFont val="Montserrat, Helvetica, Arial, serif"/>
        <color rgb="FF22292F"/>
        <sz val="11.0"/>
      </rPr>
      <t>Devin Carter</t>
    </r>
  </si>
  <si>
    <t>0.472(2.0/4.3)</t>
  </si>
  <si>
    <t>0.748(1.2/1.6)</t>
  </si>
  <si>
    <r>
      <rPr>
        <rFont val="Montserrat, Helvetica, Arial, serif"/>
        <color rgb="FF22292F"/>
        <sz val="11.0"/>
      </rPr>
      <t>Joe Ingles</t>
    </r>
  </si>
  <si>
    <t>0.437(1.4/3.3)</t>
  </si>
  <si>
    <t>0.842(0.3/0.4)</t>
  </si>
  <si>
    <r>
      <rPr>
        <rFont val="Montserrat, Helvetica, Arial, serif"/>
        <color rgb="FF22292F"/>
        <sz val="11.0"/>
      </rPr>
      <t>Tim Hardaway Jr.</t>
    </r>
  </si>
  <si>
    <t>0.402(3.2/7.9)</t>
  </si>
  <si>
    <t>0.813(1.2/1.4)</t>
  </si>
  <si>
    <r>
      <rPr>
        <rFont val="Montserrat, Helvetica, Arial, serif"/>
        <color rgb="FF22292F"/>
        <sz val="11.0"/>
      </rPr>
      <t>Tre Mann</t>
    </r>
  </si>
  <si>
    <t>0.419(2.5/6.0)</t>
  </si>
  <si>
    <t>0.771(0.6/0.8)</t>
  </si>
  <si>
    <r>
      <rPr>
        <rFont val="Montserrat, Helvetica, Arial, serif"/>
        <color rgb="FF22292F"/>
        <sz val="11.0"/>
      </rPr>
      <t>Davion Mitchell</t>
    </r>
  </si>
  <si>
    <t>0.453(2.6/5.7)</t>
  </si>
  <si>
    <t>0.741(0.4/0.6)</t>
  </si>
  <si>
    <r>
      <rPr>
        <rFont val="Montserrat, Helvetica, Arial, serif"/>
        <color rgb="FF22292F"/>
        <sz val="11.0"/>
      </rPr>
      <t>Josh Okogie</t>
    </r>
  </si>
  <si>
    <t>0.400(1.8/4.5)</t>
  </si>
  <si>
    <t>0.730(1.5/2.1)</t>
  </si>
  <si>
    <r>
      <rPr>
        <rFont val="Montserrat, Helvetica, Arial, serif"/>
        <color rgb="FF22292F"/>
        <sz val="11.0"/>
      </rPr>
      <t>Jaden Springer</t>
    </r>
  </si>
  <si>
    <t>0.416(1.6/3.8)</t>
  </si>
  <si>
    <t>0.824(0.8/1.0)</t>
  </si>
  <si>
    <r>
      <rPr>
        <rFont val="Montserrat, Helvetica, Arial, serif"/>
        <color rgb="FF22292F"/>
        <sz val="11.0"/>
      </rPr>
      <t>Bol Bol</t>
    </r>
  </si>
  <si>
    <t>0.563(2.0/3.6)</t>
  </si>
  <si>
    <t>0.764(0.6/0.7)</t>
  </si>
  <si>
    <r>
      <rPr>
        <rFont val="Montserrat, Helvetica, Arial, serif"/>
        <color rgb="FF22292F"/>
        <sz val="11.0"/>
      </rPr>
      <t>Cameron Payne</t>
    </r>
  </si>
  <si>
    <t>0.424(2.5/5.9)</t>
  </si>
  <si>
    <t>0.817(0.7/0.8)</t>
  </si>
  <si>
    <r>
      <rPr>
        <rFont val="Montserrat, Helvetica, Arial, serif"/>
        <color rgb="FF22292F"/>
        <sz val="11.0"/>
      </rPr>
      <t>Monte Morris</t>
    </r>
  </si>
  <si>
    <t>0.463(2.0/4.4)</t>
  </si>
  <si>
    <t>0.810(0.5/0.6)</t>
  </si>
  <si>
    <r>
      <rPr>
        <rFont val="Montserrat, Helvetica, Arial, serif"/>
        <color rgb="FF22292F"/>
        <sz val="11.0"/>
      </rPr>
      <t>Amir Coffey</t>
    </r>
  </si>
  <si>
    <t>0.447(2.2/5.0)</t>
  </si>
  <si>
    <t>0.822(1.1/1.4)</t>
  </si>
  <si>
    <r>
      <rPr>
        <rFont val="Montserrat, Helvetica, Arial, serif"/>
        <color rgb="FF22292F"/>
        <sz val="11.0"/>
      </rPr>
      <t>Anthony Black</t>
    </r>
  </si>
  <si>
    <t>0.466(2.2/4.7)</t>
  </si>
  <si>
    <t>0.634(1.0/1.5)</t>
  </si>
  <si>
    <r>
      <rPr>
        <rFont val="Montserrat, Helvetica, Arial, serif"/>
        <color rgb="FF22292F"/>
        <sz val="11.0"/>
      </rPr>
      <t>Cam Reddish</t>
    </r>
  </si>
  <si>
    <t>0.421(2.1/4.9)</t>
  </si>
  <si>
    <t>0.810(0.9/1.2)</t>
  </si>
  <si>
    <r>
      <rPr>
        <rFont val="Montserrat, Helvetica, Arial, serif"/>
        <color rgb="FF22292F"/>
        <sz val="11.0"/>
      </rPr>
      <t>Sam Merrill</t>
    </r>
  </si>
  <si>
    <t>0.402(2.2/5.4)</t>
  </si>
  <si>
    <t>0.923(0.4/0.4)</t>
  </si>
  <si>
    <r>
      <rPr>
        <rFont val="Montserrat, Helvetica, Arial, serif"/>
        <color rgb="FF22292F"/>
        <sz val="11.0"/>
      </rPr>
      <t>Ochai Agbaji</t>
    </r>
  </si>
  <si>
    <t>0.418(2.5/6.0)</t>
  </si>
  <si>
    <t>0.747(0.7/0.9)</t>
  </si>
  <si>
    <r>
      <rPr>
        <rFont val="Montserrat, Helvetica, Arial, serif"/>
        <color rgb="FF22292F"/>
        <sz val="11.0"/>
      </rPr>
      <t>Haywood Highsmith</t>
    </r>
  </si>
  <si>
    <t>0.453(1.8/3.9)</t>
  </si>
  <si>
    <t>0.565(0.3/0.5)</t>
  </si>
  <si>
    <r>
      <rPr>
        <rFont val="Montserrat, Helvetica, Arial, serif"/>
        <color rgb="FF22292F"/>
        <sz val="11.0"/>
      </rPr>
      <t>Malaki Branham</t>
    </r>
  </si>
  <si>
    <t>0.436(3.4/7.8)</t>
  </si>
  <si>
    <t>0.857(0.7/0.8)</t>
  </si>
  <si>
    <r>
      <rPr>
        <rFont val="Montserrat, Helvetica, Arial, serif"/>
        <color rgb="FF22292F"/>
        <sz val="11.0"/>
      </rPr>
      <t>Charles Bassey</t>
    </r>
  </si>
  <si>
    <t>0.665(1.5/2.2)</t>
  </si>
  <si>
    <t>0.630(0.3/0.5)</t>
  </si>
  <si>
    <r>
      <rPr>
        <rFont val="Montserrat, Helvetica, Arial, serif"/>
        <color rgb="FF22292F"/>
        <sz val="11.0"/>
      </rPr>
      <t>Maxi Kleber</t>
    </r>
  </si>
  <si>
    <t>0.443(1.5/3.3)</t>
  </si>
  <si>
    <t>0.705(0.6/0.9)</t>
  </si>
  <si>
    <r>
      <rPr>
        <rFont val="Montserrat, Helvetica, Arial, serif"/>
        <color rgb="FF22292F"/>
        <sz val="11.0"/>
      </rPr>
      <t>Guerschon Yabusele</t>
    </r>
  </si>
  <si>
    <t>0.466(2.0/4.3)</t>
  </si>
  <si>
    <t>0.770(0.9/1.1)</t>
  </si>
  <si>
    <r>
      <rPr>
        <rFont val="Montserrat, Helvetica, Arial, serif"/>
        <color rgb="FF22292F"/>
        <sz val="11.0"/>
      </rPr>
      <t>Kyle Filipowski</t>
    </r>
  </si>
  <si>
    <t>Average</t>
  </si>
  <si>
    <t>0.506(2.3/4.5)</t>
  </si>
  <si>
    <t>0.672(1.2/1.7)</t>
  </si>
  <si>
    <r>
      <rPr>
        <rFont val="Montserrat, Helvetica, Arial, serif"/>
        <color rgb="FF22292F"/>
        <sz val="11.0"/>
      </rPr>
      <t>Jaxson Hayes</t>
    </r>
  </si>
  <si>
    <t>0.641(2.0/3.1)</t>
  </si>
  <si>
    <t>0.664(1.0/1.5)</t>
  </si>
  <si>
    <r>
      <rPr>
        <rFont val="Montserrat, Helvetica, Arial, serif"/>
        <color rgb="FF22292F"/>
        <sz val="11.0"/>
      </rPr>
      <t>Richaun Holmes</t>
    </r>
  </si>
  <si>
    <t>0.582(2.1/3.5)</t>
  </si>
  <si>
    <t>0.747(0.7/1.0)</t>
  </si>
  <si>
    <r>
      <rPr>
        <rFont val="Montserrat, Helvetica, Arial, serif"/>
        <color rgb="FF22292F"/>
        <sz val="11.0"/>
      </rPr>
      <t>Jock Landale</t>
    </r>
  </si>
  <si>
    <t>0.523(2.0/3.9)</t>
  </si>
  <si>
    <t>0.770(0.9/1.2)</t>
  </si>
  <si>
    <r>
      <rPr>
        <rFont val="Montserrat, Helvetica, Arial, serif"/>
        <color rgb="FF22292F"/>
        <sz val="11.0"/>
      </rPr>
      <t>Craig Porter Jr.</t>
    </r>
  </si>
  <si>
    <t>0.509(2.2/4.4)</t>
  </si>
  <si>
    <t>0.731(0.8/1.1)</t>
  </si>
  <si>
    <r>
      <rPr>
        <rFont val="Montserrat, Helvetica, Arial, serif"/>
        <color rgb="FF22292F"/>
        <sz val="11.0"/>
      </rPr>
      <t>Jordan Hawkins</t>
    </r>
  </si>
  <si>
    <t>0.382(2.9/7.5)</t>
  </si>
  <si>
    <t>0.840(1.1/1.3)</t>
  </si>
  <si>
    <r>
      <rPr>
        <rFont val="Montserrat, Helvetica, Arial, serif"/>
        <color rgb="FF22292F"/>
        <sz val="11.0"/>
      </rPr>
      <t>Jabari Walker</t>
    </r>
  </si>
  <si>
    <t>0.449(2.4/5.3)</t>
  </si>
  <si>
    <t>0.752(1.2/1.6)</t>
  </si>
  <si>
    <r>
      <rPr>
        <rFont val="Montserrat, Helvetica, Arial, serif"/>
        <color rgb="FF22292F"/>
        <sz val="11.0"/>
      </rPr>
      <t>Vasilije Micic</t>
    </r>
  </si>
  <si>
    <t>0.429(2.3/5.2)</t>
  </si>
  <si>
    <r>
      <rPr>
        <rFont val="Montserrat, Helvetica, Arial, serif"/>
        <color rgb="FF22292F"/>
        <sz val="11.0"/>
      </rPr>
      <t>Kenrich Williams</t>
    </r>
  </si>
  <si>
    <t>0.495(2.0/4.0)</t>
  </si>
  <si>
    <t>0.441(0.2/0.3)</t>
  </si>
  <si>
    <r>
      <rPr>
        <rFont val="Montserrat, Helvetica, Arial, serif"/>
        <color rgb="FF22292F"/>
        <sz val="11.0"/>
      </rPr>
      <t>Jordan McLaughlin</t>
    </r>
  </si>
  <si>
    <t>ZScore</t>
  </si>
  <si>
    <t>0.453(1.2/2.7)</t>
  </si>
  <si>
    <t>0.765(0.3/0.3)</t>
  </si>
  <si>
    <r>
      <rPr>
        <rFont val="Montserrat, Helvetica, Arial, serif"/>
        <color rgb="FF22292F"/>
        <sz val="11.0"/>
      </rPr>
      <t>Johnny Furphy</t>
    </r>
  </si>
  <si>
    <t>0.457(1.7/3.6)</t>
  </si>
  <si>
    <t>0.761(1.1/1.4)</t>
  </si>
  <si>
    <r>
      <rPr>
        <rFont val="Montserrat, Helvetica, Arial, serif"/>
        <color rgb="FF22292F"/>
        <sz val="11.0"/>
      </rPr>
      <t>Ben Sheppard</t>
    </r>
  </si>
  <si>
    <t>0.393(1.8/4.7)</t>
  </si>
  <si>
    <t>0.887(0.5/0.5)</t>
  </si>
  <si>
    <r>
      <rPr>
        <rFont val="Montserrat, Helvetica, Arial, serif"/>
        <color rgb="FF22292F"/>
        <sz val="11.0"/>
      </rPr>
      <t>Kenyon Martin Jr.</t>
    </r>
  </si>
  <si>
    <t>0.562(2.7/4.8)</t>
  </si>
  <si>
    <t>0.657(0.9/1.4)</t>
  </si>
  <si>
    <r>
      <rPr>
        <rFont val="Montserrat, Helvetica, Arial, serif"/>
        <color rgb="FF22292F"/>
        <sz val="11.0"/>
      </rPr>
      <t>Dwight Powell</t>
    </r>
  </si>
  <si>
    <t>0.719(1.6/2.2)</t>
  </si>
  <si>
    <t>0.678(1.0/1.5)</t>
  </si>
  <si>
    <r>
      <rPr>
        <rFont val="Montserrat, Helvetica, Arial, serif"/>
        <color rgb="FF22292F"/>
        <sz val="11.0"/>
      </rPr>
      <t>Yves Missi</t>
    </r>
  </si>
  <si>
    <t>0.614(2.4/3.9)</t>
  </si>
  <si>
    <t>0.615(1.5/2.4)</t>
  </si>
  <si>
    <r>
      <rPr>
        <rFont val="Montserrat, Helvetica, Arial, serif"/>
        <color rgb="FF22292F"/>
        <sz val="11.0"/>
      </rPr>
      <t>Jake LaRavia</t>
    </r>
  </si>
  <si>
    <t>0.389(1.9/4.9)</t>
  </si>
  <si>
    <t>0.821(1.2/1.5)</t>
  </si>
  <si>
    <r>
      <rPr>
        <rFont val="Montserrat, Helvetica, Arial, serif"/>
        <color rgb="FF22292F"/>
        <sz val="11.0"/>
      </rPr>
      <t>Kel'el Ware</t>
    </r>
  </si>
  <si>
    <t>0.512(2.5/4.8)</t>
  </si>
  <si>
    <t>0.633(1.1/1.8)</t>
  </si>
  <si>
    <r>
      <rPr>
        <rFont val="Montserrat, Helvetica, Arial, serif"/>
        <color rgb="FF22292F"/>
        <sz val="11.0"/>
      </rPr>
      <t>Tristan Da Silva</t>
    </r>
  </si>
  <si>
    <t>0.492(1.9/3.9)</t>
  </si>
  <si>
    <t>0.833(0.9/1.0)</t>
  </si>
  <si>
    <r>
      <rPr>
        <rFont val="Montserrat, Helvetica, Arial, serif"/>
        <color rgb="FF22292F"/>
        <sz val="11.0"/>
      </rPr>
      <t>Simone Fontecchio</t>
    </r>
  </si>
  <si>
    <t>0.426(2.2/5.2)</t>
  </si>
  <si>
    <t>0.818(0.5/0.7)</t>
  </si>
  <si>
    <r>
      <rPr>
        <rFont val="Montserrat, Helvetica, Arial, serif"/>
        <color rgb="FF22292F"/>
        <sz val="11.0"/>
      </rPr>
      <t>Jaden Hardy</t>
    </r>
  </si>
  <si>
    <t>0.420(2.9/6.9)</t>
  </si>
  <si>
    <t>0.802(1.1/1.3)</t>
  </si>
  <si>
    <r>
      <rPr>
        <rFont val="Montserrat, Helvetica, Arial, serif"/>
        <color rgb="FF22292F"/>
        <sz val="11.0"/>
      </rPr>
      <t>Bobi Klintman</t>
    </r>
  </si>
  <si>
    <t>0.439(1.8/4.0)</t>
  </si>
  <si>
    <t>0.786(1.1/1.4)</t>
  </si>
  <si>
    <r>
      <rPr>
        <rFont val="Montserrat, Helvetica, Arial, serif"/>
        <color rgb="FF22292F"/>
        <sz val="11.0"/>
      </rPr>
      <t>Jevon Carter</t>
    </r>
  </si>
  <si>
    <t>0.406(1.8/4.4)</t>
  </si>
  <si>
    <t>0.810(0.2/0.2)</t>
  </si>
  <si>
    <r>
      <rPr>
        <rFont val="Montserrat, Helvetica, Arial, serif"/>
        <color rgb="FF22292F"/>
        <sz val="11.0"/>
      </rPr>
      <t>Tidjane Salaun</t>
    </r>
  </si>
  <si>
    <t>0.404(2.0/5.0)</t>
  </si>
  <si>
    <t>0.776(1.0/1.3)</t>
  </si>
  <si>
    <r>
      <rPr>
        <rFont val="Montserrat, Helvetica, Arial, serif"/>
        <color rgb="FF22292F"/>
        <sz val="11.0"/>
      </rPr>
      <t>Tyler Smith</t>
    </r>
  </si>
  <si>
    <t>0.483(2.0/4.1)</t>
  </si>
  <si>
    <t>0.731(0.6/0.8)</t>
  </si>
  <si>
    <r>
      <rPr>
        <rFont val="Montserrat, Helvetica, Arial, serif"/>
        <color rgb="FF22292F"/>
        <sz val="11.0"/>
      </rPr>
      <t>Andre Jackson Jr.</t>
    </r>
  </si>
  <si>
    <t>0.498(1.3/2.5)</t>
  </si>
  <si>
    <t>0.714(0.2/0.3)</t>
  </si>
  <si>
    <r>
      <rPr>
        <rFont val="Montserrat, Helvetica, Arial, serif"/>
        <color rgb="FF22292F"/>
        <sz val="11.0"/>
      </rPr>
      <t>Jaylon Tyson</t>
    </r>
  </si>
  <si>
    <t>0.452(2.3/5.2)</t>
  </si>
  <si>
    <t>0.779(1.2/1.5)</t>
  </si>
  <si>
    <r>
      <rPr>
        <rFont val="Montserrat, Helvetica, Arial, serif"/>
        <color rgb="FF22292F"/>
        <sz val="11.0"/>
      </rPr>
      <t>Keon Johnson</t>
    </r>
  </si>
  <si>
    <t>0.376(2.4/6.3)</t>
  </si>
  <si>
    <t>0.719(1.2/1.7)</t>
  </si>
  <si>
    <r>
      <rPr>
        <rFont val="Montserrat, Helvetica, Arial, serif"/>
        <color rgb="FF22292F"/>
        <sz val="11.0"/>
      </rPr>
      <t>Chris Duarte</t>
    </r>
  </si>
  <si>
    <t>0.373(1.9/5.1)</t>
  </si>
  <si>
    <t>0.837(0.8/1.0)</t>
  </si>
  <si>
    <r>
      <rPr>
        <rFont val="Montserrat, Helvetica, Arial, serif"/>
        <color rgb="FF22292F"/>
        <sz val="11.0"/>
      </rPr>
      <t>Alex Len</t>
    </r>
  </si>
  <si>
    <t>0.592(1.0/1.7)</t>
  </si>
  <si>
    <t>0.628(0.5/0.8)</t>
  </si>
  <si>
    <r>
      <rPr>
        <rFont val="Montserrat, Helvetica, Arial, serif"/>
        <color rgb="FF22292F"/>
        <sz val="11.0"/>
      </rPr>
      <t>Kevon Looney</t>
    </r>
  </si>
  <si>
    <t>0.617(1.3/2.1)</t>
  </si>
  <si>
    <t>0.633(0.5/0.8)</t>
  </si>
  <si>
    <r>
      <rPr>
        <rFont val="Montserrat, Helvetica, Arial, serif"/>
        <color rgb="FF22292F"/>
        <sz val="11.0"/>
      </rPr>
      <t>Jeremiah Robinson-Earl</t>
    </r>
  </si>
  <si>
    <t>0.452(1.7/3.7)</t>
  </si>
  <si>
    <t>0.806(0.5/0.6)</t>
  </si>
  <si>
    <r>
      <rPr>
        <rFont val="Montserrat, Helvetica, Arial, serif"/>
        <color rgb="FF22292F"/>
        <sz val="11.0"/>
      </rPr>
      <t>Jamal Cain</t>
    </r>
  </si>
  <si>
    <t>0.488(1.6/3.3)</t>
  </si>
  <si>
    <r>
      <rPr>
        <rFont val="Montserrat, Helvetica, Arial, serif"/>
        <color rgb="FF22292F"/>
        <sz val="11.0"/>
      </rPr>
      <t>Dru Smith</t>
    </r>
  </si>
  <si>
    <t>0.421(1.0/2.4)</t>
  </si>
  <si>
    <t>1.000(0.2/0.2)</t>
  </si>
  <si>
    <r>
      <rPr>
        <rFont val="Montserrat, Helvetica, Arial, serif"/>
        <color rgb="FF22292F"/>
        <sz val="11.0"/>
      </rPr>
      <t>Zeke Nnaji</t>
    </r>
  </si>
  <si>
    <t>0.519(1.7/3.2)</t>
  </si>
  <si>
    <t>0.664(0.8/1.2)</t>
  </si>
  <si>
    <r>
      <rPr>
        <rFont val="Montserrat, Helvetica, Arial, serif"/>
        <color rgb="FF22292F"/>
        <sz val="11.0"/>
      </rPr>
      <t>Kobe Bufkin</t>
    </r>
  </si>
  <si>
    <t>0.370(2.7/7.3)</t>
  </si>
  <si>
    <t>0.508(0.3/0.6)</t>
  </si>
  <si>
    <r>
      <rPr>
        <rFont val="Montserrat, Helvetica, Arial, serif"/>
        <color rgb="FF22292F"/>
        <sz val="11.0"/>
      </rPr>
      <t>Trendon Watford</t>
    </r>
  </si>
  <si>
    <t>0.546(1.7/3.2)</t>
  </si>
  <si>
    <t>0.758(0.8/1.0)</t>
  </si>
  <si>
    <r>
      <rPr>
        <rFont val="Montserrat, Helvetica, Arial, serif"/>
        <color rgb="FF22292F"/>
        <sz val="11.0"/>
      </rPr>
      <t>Garrison Mathews</t>
    </r>
  </si>
  <si>
    <t>0.414(1.4/3.3)</t>
  </si>
  <si>
    <t>0.863(0.6/0.7)</t>
  </si>
  <si>
    <r>
      <rPr>
        <rFont val="Montserrat, Helvetica, Arial, serif"/>
        <color rgb="FF22292F"/>
        <sz val="11.0"/>
      </rPr>
      <t>Nikola Djurisic</t>
    </r>
  </si>
  <si>
    <t>0.449(2.2/4.8)</t>
  </si>
  <si>
    <t>0.759(1.7/2.2)</t>
  </si>
  <si>
    <r>
      <rPr>
        <rFont val="Montserrat, Helvetica, Arial, serif"/>
        <color rgb="FF22292F"/>
        <sz val="11.0"/>
      </rPr>
      <t>Adem Bona</t>
    </r>
  </si>
  <si>
    <t>0.590(1.5/2.5)</t>
  </si>
  <si>
    <t>0.702(1.0/1.4)</t>
  </si>
  <si>
    <r>
      <rPr>
        <rFont val="Montserrat, Helvetica, Arial, serif"/>
        <color rgb="FF22292F"/>
        <sz val="11.0"/>
      </rPr>
      <t>Cody Williams</t>
    </r>
  </si>
  <si>
    <t>0.552(2.1/3.7)</t>
  </si>
  <si>
    <t>0.716(1.1/1.5)</t>
  </si>
  <si>
    <r>
      <rPr>
        <rFont val="Montserrat, Helvetica, Arial, serif"/>
        <color rgb="FF22292F"/>
        <sz val="11.0"/>
      </rPr>
      <t>MarJon Beauchamp</t>
    </r>
  </si>
  <si>
    <t>0.432(1.9/4.4)</t>
  </si>
  <si>
    <t>0.710(0.5/0.7)</t>
  </si>
  <si>
    <r>
      <rPr>
        <rFont val="Montserrat, Helvetica, Arial, serif"/>
        <color rgb="FF22292F"/>
        <sz val="11.0"/>
      </rPr>
      <t>Tristan Vukcevic</t>
    </r>
  </si>
  <si>
    <t>0.434(1.5/3.5)</t>
  </si>
  <si>
    <t>0.772(0.9/1.1)</t>
  </si>
  <si>
    <r>
      <rPr>
        <rFont val="Montserrat, Helvetica, Arial, serif"/>
        <color rgb="FF22292F"/>
        <sz val="11.0"/>
      </rPr>
      <t>Aaron Holiday</t>
    </r>
  </si>
  <si>
    <t>0.437(1.4/3.2)</t>
  </si>
  <si>
    <t>0.894(0.4/0.5)</t>
  </si>
  <si>
    <r>
      <rPr>
        <rFont val="Montserrat, Helvetica, Arial, serif"/>
        <color rgb="FF22292F"/>
        <sz val="11.0"/>
      </rPr>
      <t>Derrick Rose</t>
    </r>
  </si>
  <si>
    <t>0.423(2.1/5.1)</t>
  </si>
  <si>
    <t>0.902(0.6/0.6)</t>
  </si>
  <si>
    <r>
      <rPr>
        <rFont val="Montserrat, Helvetica, Arial, serif"/>
        <color rgb="FF22292F"/>
        <sz val="11.0"/>
      </rPr>
      <t>Jordan Walsh</t>
    </r>
  </si>
  <si>
    <t>0.401(0.8/2.0)</t>
  </si>
  <si>
    <t>0.481(0.1/0.3)</t>
  </si>
  <si>
    <r>
      <rPr>
        <rFont val="Montserrat, Helvetica, Arial, serif"/>
        <color rgb="FF22292F"/>
        <sz val="11.0"/>
      </rPr>
      <t>Dalano Banton</t>
    </r>
  </si>
  <si>
    <t>0.408(2.0/4.8)</t>
  </si>
  <si>
    <t>0.773(0.9/1.1)</t>
  </si>
  <si>
    <r>
      <rPr>
        <rFont val="Montserrat, Helvetica, Arial, serif"/>
        <color rgb="FF22292F"/>
        <sz val="11.0"/>
      </rPr>
      <t>Jalen McDaniels</t>
    </r>
  </si>
  <si>
    <t>0.429(1.5/3.5)</t>
  </si>
  <si>
    <t>0.813(0.6/0.8)</t>
  </si>
  <si>
    <r>
      <rPr>
        <rFont val="Montserrat, Helvetica, Arial, serif"/>
        <color rgb="FF22292F"/>
        <sz val="11.0"/>
      </rPr>
      <t>Jalen Wilson</t>
    </r>
  </si>
  <si>
    <t>0.425(1.6/3.7)</t>
  </si>
  <si>
    <t>0.830(0.8/0.9)</t>
  </si>
  <si>
    <r>
      <rPr>
        <rFont val="Montserrat, Helvetica, Arial, serif"/>
        <color rgb="FF22292F"/>
        <sz val="11.0"/>
      </rPr>
      <t>Devonte' Graham</t>
    </r>
  </si>
  <si>
    <t>0.369(1.4/3.7)</t>
  </si>
  <si>
    <t>0.750(0.8/1.0)</t>
  </si>
  <si>
    <r>
      <rPr>
        <rFont val="Montserrat, Helvetica, Arial, serif"/>
        <color rgb="FF22292F"/>
        <sz val="11.0"/>
      </rPr>
      <t>David Jones</t>
    </r>
  </si>
  <si>
    <t>0.461(1.4/3.0)</t>
  </si>
  <si>
    <t>0.795(1.1/1.3)</t>
  </si>
  <si>
    <r>
      <rPr>
        <rFont val="Montserrat, Helvetica, Arial, serif"/>
        <color rgb="FF22292F"/>
        <sz val="11.0"/>
      </rPr>
      <t>Orlando Robinson</t>
    </r>
  </si>
  <si>
    <t>0.514(1.1/2.1)</t>
  </si>
  <si>
    <t>0.726(0.5/0.7)</t>
  </si>
  <si>
    <r>
      <rPr>
        <rFont val="Montserrat, Helvetica, Arial, serif"/>
        <color rgb="FF22292F"/>
        <sz val="11.0"/>
      </rPr>
      <t>Baylor Scheierman</t>
    </r>
  </si>
  <si>
    <t>0.442(1.4/3.2)</t>
  </si>
  <si>
    <t>0.822(0.6/0.7)</t>
  </si>
  <si>
    <r>
      <rPr>
        <rFont val="Montserrat, Helvetica, Arial, serif"/>
        <color rgb="FF22292F"/>
        <sz val="11.0"/>
      </rPr>
      <t>AJ Green</t>
    </r>
  </si>
  <si>
    <t>0.425(1.5/3.5)</t>
  </si>
  <si>
    <t>0.920(0.2/0.3)</t>
  </si>
  <si>
    <r>
      <rPr>
        <rFont val="Montserrat, Helvetica, Arial, serif"/>
        <color rgb="FF22292F"/>
        <sz val="11.0"/>
      </rPr>
      <t>Isaiah Collier</t>
    </r>
  </si>
  <si>
    <t>0.491(2.2/4.5)</t>
  </si>
  <si>
    <t>0.671(1.5/2.3)</t>
  </si>
  <si>
    <r>
      <rPr>
        <rFont val="Montserrat, Helvetica, Arial, serif"/>
        <color rgb="FF22292F"/>
        <sz val="11.0"/>
      </rPr>
      <t>Cory Joseph</t>
    </r>
  </si>
  <si>
    <t>0.416(1.3/3.1)</t>
  </si>
  <si>
    <t>0.776(0.5/0.6)</t>
  </si>
  <si>
    <r>
      <rPr>
        <rFont val="Montserrat, Helvetica, Arial, serif"/>
        <color rgb="FF22292F"/>
        <sz val="11.0"/>
      </rPr>
      <t>DeAndre Jordan</t>
    </r>
  </si>
  <si>
    <t>0.701(1.5/2.1)</t>
  </si>
  <si>
    <t>0.471(0.5/1.0)</t>
  </si>
  <si>
    <r>
      <rPr>
        <rFont val="Montserrat, Helvetica, Arial, serif"/>
        <color rgb="FF22292F"/>
        <sz val="11.0"/>
      </rPr>
      <t>Pelle Larsson</t>
    </r>
  </si>
  <si>
    <t>0.519(1.4/2.7)</t>
  </si>
  <si>
    <r>
      <rPr>
        <rFont val="Montserrat, Helvetica, Arial, serif"/>
        <color rgb="FF22292F"/>
        <sz val="11.0"/>
      </rPr>
      <t>Keita Bates-Diop</t>
    </r>
  </si>
  <si>
    <t>0.487(1.3/2.7)</t>
  </si>
  <si>
    <t>0.778(0.6/0.8)</t>
  </si>
  <si>
    <r>
      <rPr>
        <rFont val="Montserrat, Helvetica, Arial, serif"/>
        <color rgb="FF22292F"/>
        <sz val="11.0"/>
      </rPr>
      <t>Johnny Juzang</t>
    </r>
  </si>
  <si>
    <t>0.402(2.1/5.3)</t>
  </si>
  <si>
    <t>0.667(0.3/0.5)</t>
  </si>
  <si>
    <r>
      <rPr>
        <rFont val="Montserrat, Helvetica, Arial, serif"/>
        <color rgb="FF22292F"/>
        <sz val="11.0"/>
      </rPr>
      <t>Nick Smith Jr.</t>
    </r>
  </si>
  <si>
    <t>0.390(2.1/5.3)</t>
  </si>
  <si>
    <t>0.889(0.2/0.3)</t>
  </si>
  <si>
    <r>
      <rPr>
        <rFont val="Montserrat, Helvetica, Arial, serif"/>
        <color rgb="FF22292F"/>
        <sz val="11.0"/>
      </rPr>
      <t>Vlatko Cancar</t>
    </r>
  </si>
  <si>
    <t>0.476(1.1/2.3)</t>
  </si>
  <si>
    <t>0.927(0.4/0.4)</t>
  </si>
  <si>
    <r>
      <rPr>
        <rFont val="Montserrat, Helvetica, Arial, serif"/>
        <color rgb="FF22292F"/>
        <sz val="11.0"/>
      </rPr>
      <t>KJ Simpson</t>
    </r>
  </si>
  <si>
    <t>0.476(1.2/2.5)</t>
  </si>
  <si>
    <t>0.878(0.8/0.9)</t>
  </si>
  <si>
    <r>
      <rPr>
        <rFont val="Montserrat, Helvetica, Arial, serif"/>
        <color rgb="FF22292F"/>
        <sz val="11.0"/>
      </rPr>
      <t>DaRon Holmes II</t>
    </r>
  </si>
  <si>
    <t>0.545(1.3/2.5)</t>
  </si>
  <si>
    <t>0.713(1.3/1.8)</t>
  </si>
  <si>
    <r>
      <rPr>
        <rFont val="Montserrat, Helvetica, Arial, serif"/>
        <color rgb="FF22292F"/>
        <sz val="11.0"/>
      </rPr>
      <t>Jeff Green</t>
    </r>
  </si>
  <si>
    <t>0.471(1.6/3.3)</t>
  </si>
  <si>
    <t>0.781(1.0/1.3)</t>
  </si>
  <si>
    <r>
      <rPr>
        <rFont val="Montserrat, Helvetica, Arial, serif"/>
        <color rgb="FF22292F"/>
        <sz val="11.0"/>
      </rPr>
      <t>Caleb Houstan</t>
    </r>
  </si>
  <si>
    <t>0.375(1.3/3.5)</t>
  </si>
  <si>
    <t>0.821(0.3/0.4)</t>
  </si>
  <si>
    <r>
      <rPr>
        <rFont val="Montserrat, Helvetica, Arial, serif"/>
        <color rgb="FF22292F"/>
        <sz val="11.0"/>
      </rPr>
      <t>Nassir Little</t>
    </r>
  </si>
  <si>
    <t>0.446(1.4/3.1)</t>
  </si>
  <si>
    <t>0.766(0.4/0.5)</t>
  </si>
  <si>
    <r>
      <rPr>
        <rFont val="Montserrat, Helvetica, Arial, serif"/>
        <color rgb="FF22292F"/>
        <sz val="11.0"/>
      </rPr>
      <t>Ariel Hukporti</t>
    </r>
  </si>
  <si>
    <t>0.563(1.2/2.1)</t>
  </si>
  <si>
    <t>0.615(0.6/1.0)</t>
  </si>
  <si>
    <r>
      <rPr>
        <rFont val="Montserrat, Helvetica, Arial, serif"/>
        <color rgb="FF22292F"/>
        <sz val="11.0"/>
      </rPr>
      <t>Matt Ryan</t>
    </r>
  </si>
  <si>
    <t>0.401(1.4/3.5)</t>
  </si>
  <si>
    <t>0.881(0.4/0.4)</t>
  </si>
  <si>
    <r>
      <rPr>
        <rFont val="Montserrat, Helvetica, Arial, serif"/>
        <color rgb="FF22292F"/>
        <sz val="11.0"/>
      </rPr>
      <t>Ousmane Dieng</t>
    </r>
  </si>
  <si>
    <t>0.422(1.4/3.3)</t>
  </si>
  <si>
    <t>0.750(0.3/0.4)</t>
  </si>
  <si>
    <r>
      <rPr>
        <rFont val="Montserrat, Helvetica, Arial, serif"/>
        <color rgb="FF22292F"/>
        <sz val="11.0"/>
      </rPr>
      <t>Kris Murray</t>
    </r>
  </si>
  <si>
    <t>0.397(1.2/3.1)</t>
  </si>
  <si>
    <t>0.660(0.3/0.5)</t>
  </si>
  <si>
    <r>
      <rPr>
        <rFont val="Montserrat, Helvetica, Arial, serif"/>
        <color rgb="FF22292F"/>
        <sz val="11.0"/>
      </rPr>
      <t>Garrett Temple</t>
    </r>
  </si>
  <si>
    <t>0.384(0.9/2.3)</t>
  </si>
  <si>
    <t>0.816(0.4/0.5)</t>
  </si>
  <si>
    <r>
      <rPr>
        <rFont val="Montserrat, Helvetica, Arial, serif"/>
        <color rgb="FF22292F"/>
        <sz val="11.0"/>
      </rPr>
      <t>Terrence Shannon Jr.</t>
    </r>
  </si>
  <si>
    <t>0.475(1.2/2.6)</t>
  </si>
  <si>
    <t>0.801(1.3/1.6)</t>
  </si>
  <si>
    <r>
      <rPr>
        <rFont val="Montserrat, Helvetica, Arial, serif"/>
        <color rgb="FF22292F"/>
        <sz val="11.0"/>
      </rPr>
      <t>Jamal Shead</t>
    </r>
  </si>
  <si>
    <t>0.407(0.9/2.3)</t>
  </si>
  <si>
    <t>0.778(0.4/0.5)</t>
  </si>
  <si>
    <r>
      <rPr>
        <rFont val="Montserrat, Helvetica, Arial, serif"/>
        <color rgb="FF22292F"/>
        <sz val="11.0"/>
      </rPr>
      <t>Blake Wesley</t>
    </r>
  </si>
  <si>
    <t>0.398(1.4/3.5)</t>
  </si>
  <si>
    <t>0.636(0.6/1.0)</t>
  </si>
  <si>
    <r>
      <rPr>
        <rFont val="Montserrat, Helvetica, Arial, serif"/>
        <color rgb="FF22292F"/>
        <sz val="11.0"/>
      </rPr>
      <t>Dalen Terry</t>
    </r>
  </si>
  <si>
    <t>0.442(1.0/2.2)</t>
  </si>
  <si>
    <t>0.607(0.4/0.6)</t>
  </si>
  <si>
    <r>
      <rPr>
        <rFont val="Montserrat, Helvetica, Arial, serif"/>
        <color rgb="FF22292F"/>
        <sz val="11.0"/>
      </rPr>
      <t>Vít Krejcí</t>
    </r>
  </si>
  <si>
    <t>0.469(0.8/1.8)</t>
  </si>
  <si>
    <t>0.800(0.1/0.1)</t>
  </si>
  <si>
    <r>
      <rPr>
        <rFont val="Montserrat, Helvetica, Arial, serif"/>
        <color rgb="FF22292F"/>
        <sz val="11.0"/>
      </rPr>
      <t>Anthony Gill</t>
    </r>
  </si>
  <si>
    <t>0.500(1.2/2.4)</t>
  </si>
  <si>
    <t>0.762(0.6/0.8)</t>
  </si>
  <si>
    <r>
      <rPr>
        <rFont val="Montserrat, Helvetica, Arial, serif"/>
        <color rgb="FF22292F"/>
        <sz val="11.0"/>
      </rPr>
      <t>Jared McCain</t>
    </r>
  </si>
  <si>
    <t>0.462(1.0/2.1)</t>
  </si>
  <si>
    <t>0.896(0.4/0.5)</t>
  </si>
  <si>
    <t>Rank</t>
  </si>
  <si>
    <t>Adv ADP</t>
  </si>
  <si>
    <t>Adv%</t>
  </si>
  <si>
    <t>Adv+-</t>
  </si>
  <si>
    <t>Value</t>
  </si>
  <si>
    <t>Note</t>
  </si>
  <si>
    <t>Inj</t>
  </si>
  <si>
    <t>Inj Risk</t>
  </si>
  <si>
    <t>Status</t>
  </si>
  <si>
    <t>Josh</t>
  </si>
  <si>
    <t>Matt</t>
  </si>
  <si>
    <t>Conf</t>
  </si>
  <si>
    <t>Tier</t>
  </si>
  <si>
    <t>Role</t>
  </si>
  <si>
    <t>g</t>
  </si>
  <si>
    <t>b2b</t>
  </si>
  <si>
    <t>Analysts</t>
  </si>
  <si>
    <t>m/g</t>
  </si>
  <si>
    <t>p/g</t>
  </si>
  <si>
    <t>3/g</t>
  </si>
  <si>
    <t>r/g</t>
  </si>
  <si>
    <t>a/g</t>
  </si>
  <si>
    <t>s/g</t>
  </si>
  <si>
    <t>b/g</t>
  </si>
  <si>
    <t>fg%</t>
  </si>
  <si>
    <t>ft%</t>
  </si>
  <si>
    <t>to/g</t>
  </si>
  <si>
    <t>USG</t>
  </si>
  <si>
    <t>pV</t>
  </si>
  <si>
    <t>3V</t>
  </si>
  <si>
    <t>rV</t>
  </si>
  <si>
    <t>aV</t>
  </si>
  <si>
    <t>sV</t>
  </si>
  <si>
    <t>bV</t>
  </si>
  <si>
    <t>fg%V</t>
  </si>
  <si>
    <t>ft%V</t>
  </si>
  <si>
    <t>toV</t>
  </si>
  <si>
    <t>SAS</t>
  </si>
  <si>
    <t>[Josh: Healthy and cleared, there is no reason to treat him as anything other than an elite first-rounder. Whether you take him at pick 1 or let him slide to 4, it is all viable. His game still has multiple levels left to unlock, so you are drafting into</t>
  </si>
  <si>
    <t>M</t>
  </si>
  <si>
    <t>C 1</t>
  </si>
  <si>
    <t>ST</t>
  </si>
  <si>
    <t>[Josh: Can almost guarantee some regression — minutes will dip, he likely won’t shoot 42% from three or get 1.8 steals, and another triple-double average is unlikely. Even with that, he’s still a fine choice at number one, but not clearly ahead of the res</t>
  </si>
  <si>
    <t>[Josh: The only real concern is Oklahoma City’s 3-3-3 playoff schedule if your league ends March 22. Maybe there are tiny dips in efficiency or defensive numbers, but he’s elite across the board and there’s no reason to overthink it.]</t>
  </si>
  <si>
    <t>PG 1</t>
  </si>
  <si>
    <t>PG/SG</t>
  </si>
  <si>
    <t>[Josh: Not really interested in any “revenge season” narrative — he’s just Luka. Still has some FT% volatility, but no playoff schedule worries this season. Easy top-4 pick.]</t>
  </si>
  <si>
    <t>H</t>
  </si>
  <si>
    <t>New Contract</t>
  </si>
  <si>
    <t>SF/PF</t>
  </si>
  <si>
    <t>[Josh: There’s doubt about a suspension due to the salary cap circumvention controversy, though it is possible his contract gets voided, but that investigation will take a long time. I will not draft him early because I cannot trust his knees, even though</t>
  </si>
  <si>
    <t>SF 2</t>
  </si>
  <si>
    <t>[Josh: New team but still elite for fantasy purposes. Minutes should hover around 30 with planned rest days to manage health, and the mystery illness appears behind him. With Onyeka Okongwu available, the Atlanta Hawks won’t need to push him hard, which k</t>
  </si>
  <si>
    <t>Unrestricted Free Agent|New Team</t>
  </si>
  <si>
    <t>C 4</t>
  </si>
  <si>
    <t>GSW</t>
  </si>
  <si>
    <t>[Josh: People still underrate him on draft day despite age concerns. Production has held steady at a high level and he remains a first round target without hesitation.]</t>
  </si>
  <si>
    <t>PG 2</t>
  </si>
  <si>
    <t>PF/C</t>
  </si>
  <si>
    <t>[Josh: Barely saw him in Dallas after the trade, but he’s still going to be elite. Playing at power forward instead of center hurts his fantasy ceiling (and probably the Mavericks overall), yet he remains a top-tier option. Health is the only real reason</t>
  </si>
  <si>
    <t>PF 1</t>
  </si>
  <si>
    <t>[Josh: Hard player to peg because his usage spikes when Joel Embiid sits but falls back when Embiid plays. The problem is his efficiency craters without Embiid, which hurts his overall fantasy value. There’s also some risk that if Embiid and Paul George m</t>
  </si>
  <si>
    <t>PG 3</t>
  </si>
  <si>
    <t>[Josh: Unlikely that Kenny Atkinson pushes his minutes higher, but with Darius Garland and Max Strus sidelined early, his assists and usage could rise. Still the clear offensive hub, and while the long-term role won’t change much, the early-season boost c</t>
  </si>
  <si>
    <t>SG 2</t>
  </si>
  <si>
    <t>[Josh: He’s still Kevin Durant, but there have been clear drops in his free-throw attempt rate and he’s getting older. Udoka isn’t known for cutting player minutes, yet it would make sense for Houston to manage him more carefully to keep him healthy. Stil</t>
  </si>
  <si>
    <t>SF 1</t>
  </si>
  <si>
    <t>[Josh: Last season was a disaster. He looked awful — efficiency cratered, minutes dipped, another knee injury piled on. Not expected to start this season healthy either. I wouldn’t touch him inside the top 50, as the knee looks permanently shot, taking aw</t>
  </si>
  <si>
    <t>Injured - knee (14g) - 11/20/2025</t>
  </si>
  <si>
    <t>C 6</t>
  </si>
  <si>
    <t>SG/SF</t>
  </si>
  <si>
    <t>[Josh: Three steals per game was an outlier and tough to replicate, and that single category will inflate his default rank far beyond his real value. Usage could dip with Kristaps Porzingis in the mix and Jalen Johnson expected to play more games. Risky p</t>
  </si>
  <si>
    <t>Restricted Free Agent</t>
  </si>
  <si>
    <t>SG 3</t>
  </si>
  <si>
    <t>[Josh: Still a strong fantasy option when he plays, but the missed games remain the biggest worry. No more contract drama, which helps, and he fit in well once he arrived last season.]</t>
  </si>
  <si>
    <t>SF 4</t>
  </si>
  <si>
    <t>[Josh: Healthy Kawhi could drop Harden’s usage again like we saw in the second half of last year, but he should still be great. His field goal percentage actually rose when Kawhi returned.]</t>
  </si>
  <si>
    <t>Player Option|New Contract</t>
  </si>
  <si>
    <t>[Josh: Steps into stretches as the clear number one option whenever Ja Morant is sidelined. The blocks aren’t spiking back to elite levels, so his fantasy value leans more toward offense now. Coming off offseason surgery, there’s a chance he misses the st</t>
  </si>
  <si>
    <t>Injured - turf toe surgery (2g) - 10/25/2025</t>
  </si>
  <si>
    <t>PF 4</t>
  </si>
  <si>
    <t>PG/SG/SF</t>
  </si>
  <si>
    <t>[Josh: Back to being the primary point guard with both assists and usage set to rise. Efficiency might take a small hit and there’s always the risk of a late-season shutdown if Phoenix bottoms out, but overall his fantasy value should climb significantly.</t>
  </si>
  <si>
    <t>[Josh: No longer in Indiana under Rick Carlisle, so the old minute caps aren’t a concern. Now in Milwaukee, he could see heavier playing time given Doc Rivers’ history of leaning on bigs, which makes him even more appealing in fantasy.]</t>
  </si>
  <si>
    <t>New Team|New Contract</t>
  </si>
  <si>
    <t>NYK</t>
  </si>
  <si>
    <t>[Josh: Thrived last season back at center, and the minutes weren’t even maxed out by Thibs’ standards. The concern is Mitchell Robinson’s return — if Towns is pushed back toward more power forward minutes, we’ve already seen that his fantasy numbers take</t>
  </si>
  <si>
    <t>C 2</t>
  </si>
  <si>
    <t>[Josh: Climbs draft boards this year with some of the usual top names injured, but the growth areas remain assists and free throw attempts. The three-point volume probably isn’t coming down, and it’s tough to trust last year’s percentage fully holding. He</t>
  </si>
  <si>
    <t>L</t>
  </si>
  <si>
    <t>SG 1</t>
  </si>
  <si>
    <t>[Josh: Reaves held up fine alongside Luka and proved himself as a consistent fantasy option. He works both on and off the ball, and his role is secure. He’ll spike when Luka or LeBron sit, but he’s shown he doesn’t need those absences to be relevant.]</t>
  </si>
  <si>
    <t>Player Option</t>
  </si>
  <si>
    <t>SG/SF/PF</t>
  </si>
  <si>
    <t>[Josh: Elite as a starter last season and should remain in that role, but the question is whether he gets 35 minutes again. Don’t expect reliable threes, but everything else is strong and he should play on-ball more with Jalen Green gone. His rebounds, as</t>
  </si>
  <si>
    <t>[Josh: One of the most reliable Celtics, but carries the same risk as Jaylen Brown when it comes to games played in a potential reset year. Usage and responsibility will climb, which could drag down efficiency and even take a toll on his defensive focus.</t>
  </si>
  <si>
    <t>PG 4</t>
  </si>
  <si>
    <t>[Josh: Injuries have been frustrating the last two years, but there’s no real concern about lingering effects. Kristaps Porzingis arriving could eat into some shot volume, yet the role as a secondary creator and defensive presence remains secure. Strong c</t>
  </si>
  <si>
    <t>PF 2</t>
  </si>
  <si>
    <t>[Josh: Will be a popular first-round pick, but it’ll be interesting to see if the loss of shooting around him in Malik Beasley and Tim Hardaway Jr. drags on his efficiency. Usage and playmaking are secure, but spacing could cap his ceiling a bit.]</t>
  </si>
  <si>
    <t>[Josh: Could have another level to unlock after last year’s leap. Should see more usage early in the season, and once Max Strus returns and adds depth on the wing, Mobley may slide into more minutes at center. The offensive growth is still the swing skill</t>
  </si>
  <si>
    <t>PF 3</t>
  </si>
  <si>
    <t>[Josh: Terrible start last season, but he was awesome down the stretch once healthy. Soft tissue injuries will always be a concern, but with no Michael Porter Jr. or Russell Westbrook around to eat usage or assists, Murray should have a clear path to stro</t>
  </si>
  <si>
    <t>[Josh: Can push into the first round, but the value is driven almost entirely by assists, which makes the profile a little skewed for category leagues. Still fine to take there if you want that strength locked in. If the three-point percentage climbs even</t>
  </si>
  <si>
    <t>[Josh: Ankle surgery pushes back his season debut until around November or December. That makes him a risky early pick, so he slides outside the top 50 and probably into top-70 range now. Still, his shot selection improved last season, which boosted effic</t>
  </si>
  <si>
    <t>Injured - left foot/ankle (19g) - 11/29/2025</t>
  </si>
  <si>
    <t>SG 4</t>
  </si>
  <si>
    <t>BN</t>
  </si>
  <si>
    <t>[Josh: The second half of last season showed a real spike in shooting and more offensive freedom once Jimmy Butler was moved. That looks sustainable going forward, but the days of him being a big shot-blocker are probably gone. Still a strong all-around f</t>
  </si>
  <si>
    <t>[Josh: Had an eye-opening second half with usage spiking when Jalen Brunson was out. That was a promising sign, though the arrival of Mike Brown could mean a few fewer minutes. Still a solid fantasy piece, but don’t expect the same volume if the roster st</t>
  </si>
  <si>
    <t>[Josh: An up-and-down season has some people penciling him in as an early second-rounder, but I’m not there. A lot of his defensive spikes came when he played center with Chet Holmgren and Isaiah Hartenstein out, and that dropped off later. Even his free</t>
  </si>
  <si>
    <t>Questionable - right wrist</t>
  </si>
  <si>
    <t>[Josh: Assuming he re-signs, he won’t replicate the hot stretch from the final six weeks of last season where his three-point shooting and defensive stats spiked. Still looks undervalued in fantasy, and with how Chicago leaned on him down the stretch, he</t>
  </si>
  <si>
    <t>[Josh: Still underrated. There’s no reason he can’t just repeat last season, with the added bonus of being one of the few centers who chips in steals and assists.]</t>
  </si>
  <si>
    <t>C 5</t>
  </si>
  <si>
    <t>[Josh: Minutes should climb, but the presence of Isaiah Hartenstein raises some concerns about how much time he spends at center. Usage may not rise much either. Still a player I like plenty, but I’m not pushing him up draft boards beyond where he already</t>
  </si>
  <si>
    <t>NOR</t>
  </si>
  <si>
    <t>[Josh: Should be ready for opening night, though there’s a chance he’s not quite there. As always, if Zion Williamson misses time his usage spikes, but he can get a little overrated in fantasy circles. Still, the way his game has evolved makes him a stron</t>
  </si>
  <si>
    <t>[Josh: Late start last season due to a blood clot, followed by an extended minutes restriction — and even after that was lifted, JB Bickerstaff kept him capped. Shooting is still a problem, and JB has shown a clear preference for spacing. Projected to sta</t>
  </si>
  <si>
    <t>SF 5</t>
  </si>
  <si>
    <t>[Josh: Big surprise last season and now rumored to start, which raises both his minute floor and ceiling. Usage and assists should climb, but his fantasy profile leans heavily on points and threes. If the shooting percentage slips, the value dries up quic</t>
  </si>
  <si>
    <t>PG 6</t>
  </si>
  <si>
    <t>mST</t>
  </si>
  <si>
    <t>[Josh: Broke out last season, but the arrivals of Brook Lopez and John Collins may cap the minutes upside.]</t>
  </si>
  <si>
    <t>[Josh: Predictably cooled off after a hot shooting stretch, which brought his true value back into focus. There’s talk he may not even open the season in Chicago, and even if he does it’s doubtful he finishes the year there. Given how poorly this franchis</t>
  </si>
  <si>
    <t>Unrestricted Free Agent</t>
  </si>
  <si>
    <t>[Josh: Locked in as a starter and a solid steals contributor. Shooting held up well last season, though it can be streaky. Usage and assists don’t really project higher, so while he is draftable, I doubt the upside.]</t>
  </si>
  <si>
    <t>SF 6</t>
  </si>
  <si>
    <t>[Josh: Some of last year’s injuries were more about tanking and preservation than long-term concern, but it’s fair to wonder if the team is any better positioned to avoid the same approach again. Brings insane usage, huge three-point volume, and his usual</t>
  </si>
  <si>
    <t>[Josh: Play tailed off when Zach LaVine arrived, though it is unclear if that was the hamstring injury or just the fit. Shot well from three on low volume, but I am not convinced it sticks. Feels very overrated for this season given how many holes remain</t>
  </si>
  <si>
    <t>C 3</t>
  </si>
  <si>
    <t>[Josh: No extension, but that doesn’t really matter for his role. Should still play around 30 minutes and do his thing as a rebounds and blocks big. Hopefully avoids the late-season threes chucking.]</t>
  </si>
  <si>
    <t>Questionable - shoulder</t>
  </si>
  <si>
    <t>[Josh: LeBron turns 41 in December, and while still brilliant, trusting his health at this stage is tough. Offseason noise adds some unease, and although he’ll have big moments, the risk of missed games lingers.]</t>
  </si>
  <si>
    <t>Injured - right side sciatica (8g) - 11/5/2025</t>
  </si>
  <si>
    <t>[Josh: Expected to take on more point guard duties and his usage should spike without Damian Lillard around. The concern is Milwaukee could slide in the standings, which might lead to rest or injury preservation late in the year. Still firmly a top-five f</t>
  </si>
  <si>
    <t>[Josh: Iisalo clearly trusted him more once he took over, bumping up both minutes and involvement. That sets him up for a bigger role this year, though offseason surgery that could delay his start cools things a bit. Even so, I’m still aggressively target</t>
  </si>
  <si>
    <t>Injured - ankle surgery (18g) - 11/26/2025</t>
  </si>
  <si>
    <t>C 8</t>
  </si>
  <si>
    <t>[Josh: At his age the block rate isn’t spiking back up, and he could even lose a minute or two compared to last season. Still an elite defensive presence, but the offensive contributions keep sliding.]</t>
  </si>
  <si>
    <t>C 7</t>
  </si>
  <si>
    <t>[Josh: Any shooting growth is a bonus, but last season’s version is a fair baseline with some small improvements. The big question is how his usage shifts now that Ingram is in the mix.]</t>
  </si>
  <si>
    <t>Questionable - knee</t>
  </si>
  <si>
    <t>[Josh: When healthy in Charlotte he was playing 30+ minutes a night before the late-season tank shutdown. The failed Lakers trade wasn’t about his foot or back, so I’m not docking him for health beyond normal risk. He’s clearly the Suns’ best center, and</t>
  </si>
  <si>
    <t>Probable - strength development</t>
  </si>
  <si>
    <t>Restricted Free Agent|New Team</t>
  </si>
  <si>
    <t>[Josh: Wrist injury cut his season short, but heading into year three he’s in line for a usage bump. Efficiency remains a concern, though the volume of threes is elite and locks him in as a strong category contributor. Profiles as an early-round option wh</t>
  </si>
  <si>
    <t>SF 3</t>
  </si>
  <si>
    <t>[Josh: Another season wrecked by knee issues, and his shooting fell off badly. Now coming into this year off yet another knee surgery, which means he’ll miss the start. Steals still hold up and the rest of the line is serviceable, but with low usage, shak</t>
  </si>
  <si>
    <t>Injured - knee surgery (10g) - 11/10/2025</t>
  </si>
  <si>
    <t>PF 5</t>
  </si>
  <si>
    <t>[Josh: Two straight years under 30% from three and his best stretches came when Paolo Banchero was out and he had to carry the offense. With everyone healthy, he’s solid, but last season’s numbers don’t fully reflect his true role.]</t>
  </si>
  <si>
    <t>[Josh: Looked great in EuroBasket but I don’t let that change the view. Last season was poor with injuries playing a part. Still carries massive risk of missed games due to tanking, and while a trade is possible I doubt it happens. Expect better per-game</t>
  </si>
  <si>
    <t>Questionable - wrist</t>
  </si>
  <si>
    <t>PF 6</t>
  </si>
  <si>
    <t>[Josh: Would’ve been a great bounceback pick if Ingram wasn’t here. Multiple injuries derailed last season, but he’s still their best shooter and a strong passer. With so few true point guards available late in drafts, I’m still grabbing him, but hard to</t>
  </si>
  <si>
    <t>[Josh: Played under 20 minutes as a rookie, but should open year two in the starting lineup and push toward 30 minutes a night. If the shooting takes a step forward, he has a path to real fantasy value thanks to his size and versatile game.]</t>
  </si>
  <si>
    <t>[Josh: Was excellent when he returned from injury last season, even though the Pelicans held him to low minutes. If he ever consistently logs 33 minutes a night and stays healthy, he destroys his ADP. Added back some defensive production that people overl</t>
  </si>
  <si>
    <t>[Josh: Flourished when starting last season, but the addition of Kristaps Porzingis puts that role in question. Unlikely to open games alongside Porzingis and Jalen Johnson, yet the minutes should still be strong enough to matter. Expectations need to be</t>
  </si>
  <si>
    <t>[Josh: Ayton took a big buyout to land in Los Angeles, and while usage won’t be high with Luka and LeBron around, he’s clearly the best center on the roster. That should secure his minutes, and even in a lower-usage role he projects as steady and reliable</t>
  </si>
  <si>
    <t>Player Option|New Contract|New Team</t>
  </si>
  <si>
    <t>[Josh: Should be locked in as the starter, though Josh Giddey will take on more of the playmaking load. White will still get usage, but his value leans heavily on scoring, making him prone to efficiency swings with hot and cold stretches. Reliant on big s</t>
  </si>
  <si>
    <t>Questionable - calf</t>
  </si>
  <si>
    <t>[Josh: With new coach Tuomas Iisalo expected to lean into more pick-and-roll, there’s a chance his role gets even friendlier for fantasy. The issue remains staying on the court after another season derailed by injuries. With Desmond Bane gone, his usage c</t>
  </si>
  <si>
    <t>Questionable - left ankle</t>
  </si>
  <si>
    <t>[Josh: Spent most of last year as Memphis’ top or second option, but in Orlando he’s at best the third or tied-for-second behind Paolo Banchero and Franz Wagner. That means a clear usage downtick is coming, even though he’ll still provide valuable spacing</t>
  </si>
  <si>
    <t>New Team</t>
  </si>
  <si>
    <t>[Josh: We all love the rebounds and defense Eason brings, but realistically there isn’t a clear path to big minutes. The recurring leg issue from the last two years adds extra worry. Per-minute value can still make him useful, but I’m not convinced this i</t>
  </si>
  <si>
    <t>[Josh: Will start some games but not all, and really thrives when Chet Holmgren sits. Injuries nagged him last year, but he’s still a solid back-end fantasy big who can help in the right builds.]</t>
  </si>
  <si>
    <t>[Josh: Can feel overrated in fantasy because he doesn’t contribute across enough categories. Could lose a touch of playing time under Brown, and it’s possible the offense shifts away from the constant ball-pounding we saw under Thibs. Solid, but not the f</t>
  </si>
  <si>
    <t>PG 5</t>
  </si>
  <si>
    <t>[Josh: Wore down chasing 82 games last season, with his minutes trending down as the year went on. Expected to see a reduced workload this season, but the Max Strus injury should keep his minutes a bit higher early. Still carries big overdraft risk given</t>
  </si>
  <si>
    <t>[Josh: Looked rough after the trade to San Antonio and now sits as the clear number two option behind Wembanyama. Usage is still strong, but efficiency, three-point shooting, and even his steals remain unreliable. Feels like he is being drafted too aggres</t>
  </si>
  <si>
    <t>Injured - right hamstring (6g) - 11/5/2025</t>
  </si>
  <si>
    <t>[Josh: No scope for him to do more with DeMar DeRozan, Zach LaVine, and Domantas Sabonis dominating touches. Shooting has been subpar since his rookie year. Still a little underrated for fantasy, but the team pigeonholes him into a low-usage defensive rol</t>
  </si>
  <si>
    <t>Questionable - thumb</t>
  </si>
  <si>
    <t>PF 8</t>
  </si>
  <si>
    <t>[Josh: Got off to a poor start last season with Isaiah Stewart cutting into his upside, but looked much better in the second half. Still, there’s an upper limit here with Stewart around, plus Duren’s lack of spacing and underwhelming shot blocking cap his</t>
  </si>
  <si>
    <t>[Josh: Usually steps up production when others are sidelined, but on a healthy roster he settles in as a third option. Defensive impact has slipped in recent seasons, lowering his all-around value compared to his earlier years.]</t>
  </si>
  <si>
    <t>[Josh: Coming off offseason toe surgery and likely to miss opening night, though the exact return timeline still isn’t clear. His draft value will hinge on when he’s expected back, and even then you have to factor in a ramp-up period and possible back-to-</t>
  </si>
  <si>
    <t>Injured - toe (6g) - 11/2/2025</t>
  </si>
  <si>
    <t>[Josh: Straight 1-for-1 replacement for Michael Porter Jr., but he’s the less talented player. Likely to carry lower usage and somehow even more injury risk. Doesn’t project to fully fill Porter’s role and comes with plenty of downside.]</t>
  </si>
  <si>
    <t>[Josh: Slow start last year but settled in with a solid second half. Still projects to start, though Ron Holland or Ausar Thompson could start chipping into his minutes. A little disappointing his usage didn’t spike much, and that may remain the case.]</t>
  </si>
  <si>
    <t>[Josh: When healthy, he should start over Daniel Gafford, but he really needs 27+ minutes to be solid for fantasy — unlike Gafford, who can deliver in fewer. Recovering from ankle surgery, though signs point to him being ready for opening night. Makes sen</t>
  </si>
  <si>
    <t>[Josh: Rookie season was limited to about 27 minutes a night, and that number should climb. The field goal percentage was disastrous and can only improve, while the shot blocking already showed real impact. The hope is the calf injury picked up at EuroBas</t>
  </si>
  <si>
    <t>Probable - calf</t>
  </si>
  <si>
    <t>[Josh: New to Brooklyn and stepping into the Cam Johnson role, with potential to produce more than Johnson did last season. The upside is clear, but the risk tied to the team’s shaky context and possible late-season shutdowns makes him far from safe.]</t>
  </si>
  <si>
    <t>PF 7</t>
  </si>
  <si>
    <t>[Josh: Started a good chunk of last season and showed his calling card with steals. There’s more usage and assist upside in his game, but it’s unlikely to be unlocked on this roster. For now he’s a specialist, though I wouldn’t be shocked if he eventually</t>
  </si>
  <si>
    <t>[Josh: Hobbled late last season and coming off offseason knee surgery. Usage and assists should rise with the roster gutted, but the percentages remain middling and turnovers can be an issue. There’s also the risk of rest days and even a full shutdown if</t>
  </si>
  <si>
    <t>[Josh: Started alongside Bam Adebayo in the second half of last season, but Erik Spoelstra often limited his minutes. With no real backup center on the roster, he could shift to a bench role to make staggering easier, which might actually help him get ste</t>
  </si>
  <si>
    <t>[Josh: Got spot starts last season when Al Horford and Kristaps Porzingis rested, and profiles as the opposite type of player to Luka Garza. Brings rebounds, field goal percentage, and blocks, but even as a starter it’s questionable whether he reaches 27+</t>
  </si>
  <si>
    <t>[Josh: Weird drop in FG% last season, possibly tied to VanVleet struggling to feed him, forcing more self-created looks. The bigger worry is Udoka leaning on Steven Adams or Jabari Smith Jr. if he wants to scapegoat Sengun’s defense. Still love the overal</t>
  </si>
  <si>
    <t>[Josh: Should be the clear number one option. Could see assists rise like in Toronto, but still offers little on defense. Efficiency may drop without Haliburton feeding him.]</t>
  </si>
  <si>
    <t>[Josh: Started slowly last season but broke out when Deandre Ayton and Jerami Grant were sidelined. He should start again, but those big March numbers are unlikely to carry over.]</t>
  </si>
  <si>
    <t>[Josh: His shooting was crazy last season, and I’ll always doubt that kind of efficiency repeating. No different here. With Bruce Brown and Tim Hardaway Jr. around, there’s added competition for minutes and touches. I wouldn’t look at his numbers and thin</t>
  </si>
  <si>
    <t>SG 6</t>
  </si>
  <si>
    <t>[Josh: I would start him, but San Antonio may not be sold. Lost usage last year and could see another dip with Fox and Wembanyama commanding the offense. Add in past knee issues and inconsistent shooting, and it is hard to project a breakout. There is sti</t>
  </si>
  <si>
    <t>SF 7</t>
  </si>
  <si>
    <t>[Josh: Looked great before the injury, then rusty when he returned, but once he got rolling again he was actually very strong even in category formats. Not worth a mid-second round pick like Yahoo suggests, because he still needs a few sustained improveme</t>
  </si>
  <si>
    <t>[Josh: Fell off badly last season, but with Scoot Henderson out he should get more touches to open the year. Usage should rise compared to Boston, and I love him as a late-round pick.]</t>
  </si>
  <si>
    <t>[Josh: Likely battling Chris Boucher for a starting spot, and could get rewarded with a bigger role in the same way Payton Pritchard did. Primarily a threes specialist, but there’s some scope for his usage to expand if Boston leans on him more heavily. A</t>
  </si>
  <si>
    <t>[Josh: Could easily push into top-35 territory as a rookie and projects as an above-average fantasy contributor across categories by year three. Should start and play 30+ minutes from opening night. The concern is being slotted at small forward, which cou</t>
  </si>
  <si>
    <t>[Josh: Recovering from a torn ACL and may not return until March, and even then he’ll likely sit back-to-backs and have his minutes managed. Wasting a pick in most formats unless you’ve got a very deep bench, play roto, or are in a weekly league where you</t>
  </si>
  <si>
    <t>Injured - torn acl (65g) - 3/15/2026</t>
  </si>
  <si>
    <t>[Josh: Should start and was efficient in Phoenix despite all the issues there, but health remains a concern. A nice later-round option.]</t>
  </si>
  <si>
    <t>Player Option|New Team|New Contract</t>
  </si>
  <si>
    <t>[Josh: Should open the year as a starter with Dejounte Murray out, and there’s a chance he holds onto that role even after Murray returns. Usage won’t be anywhere near his Washington levels, but he was underrated last season and can still provide value he</t>
  </si>
  <si>
    <t>[Josh: Barely played as a rookie but should be in the rotation now. Still flashed the elite steals and blocks that were there in college, but the shooting was poor. Doubt he plays enough to be a 12-team guy even if VanVleet gets hurt, but it’s time for hi</t>
  </si>
  <si>
    <t>PG 8</t>
  </si>
  <si>
    <t>[Josh: Mainly a steals type, but everyone needs to do more this year. Still think upside is low, though role is solid.]</t>
  </si>
  <si>
    <t>[Josh: With Anfernee Simons gone and Scoot Henderson hurt, he looks like a starter, possibly sliding in next to Jerami Grant. Needs to add more than just scoring, but I do think he is being undervalued in drafts.]</t>
  </si>
  <si>
    <t>SG 5</t>
  </si>
  <si>
    <t>[Josh: Won’t do as much as in Utah, but at least there’s no risk of a fake injury ending his season.]</t>
  </si>
  <si>
    <t>[Josh: Good fantasy profile, but tore his Achilles last season. Re-signed, though likely to miss back-to-backs and be limited early. If he starts opening night, he’ll be a must-add.]</t>
  </si>
  <si>
    <t>[Josh: Showed a midseason boost when injuries opened touches, but once the roster was healthy he fell right back to being a low-usage piece. That leaves him on the outside of standard-league value unless something changes.]</t>
  </si>
  <si>
    <t>Probable - ankle</t>
  </si>
  <si>
    <t>[Josh: Should open as the starting center. The concern is whether his body type allows him to handle 30 minutes a night. Offense is limited with poor efficiency for a paint-bound big and shaky hands, but the blocks and rebounds are elite. Maybe a bit unde</t>
  </si>
  <si>
    <t>[Josh: Logged ridiculous minutes last season that almost certainly won’t be repeated under Mike Brown. The playoffs exposed his limitations, and if Mitchell Robinson starts he could even slide to the bench. Almost guaranteed to be overdrafted if people le</t>
  </si>
  <si>
    <t>Probable - finger</t>
  </si>
  <si>
    <t>[Josh: Last season was disappointing and now Mike Brown could trim his minutes compared to the endless Thibodeau grind. People love to assume he’s indestructible because he’s never missed a game, but that streak isn’t permanent — at some point he will. If</t>
  </si>
  <si>
    <t>[Josh: Defense guarantees his role, but the shooting and lack of usage cap his ceiling. Injuries derailed his season, but if he’s healthy he’s still a solid contributor — just one whose fantasy upside is limited by offensive constraints.]</t>
  </si>
  <si>
    <t>SG 7</t>
  </si>
  <si>
    <t>[Josh: Hasn’t played yet since the trade and is perpetually injured with slow recoveries. Needs the ball in his hands to be effective, and it’s not clear how much he’ll get that here next to Barnes. Undervalued in drafts due to the injury history, which d</t>
  </si>
  <si>
    <t>[Josh: Elite fantasy profile if he plays enough, with steals, assists, and efficiency that translate well. The problem is his health and Oklahoma City’s depth — they’ll want him fresh for the playoffs, which makes him tough to trust for standard leagues.]</t>
  </si>
  <si>
    <t>[Josh: Grabbed the starting point guard job last season before getting hurt almost immediately after. He did struggle early, but if he’s starting again this year he’s a strong draft target. Off the bench though, his fantasy appeal takes a big hit.]</t>
  </si>
  <si>
    <t>PG 7</t>
  </si>
  <si>
    <t>[Josh: Finally healthy heading into the year and could start over Josh Hart. He’s almost certain to play more than last season, and while he’s not a must-draft across all builds, in the right team construction he offers clear value.]</t>
  </si>
  <si>
    <t>[Josh: Still the same bench role where he pops whenever Giannis Antetokounmpo or now Myles Turner miss time. Doc Rivers did toy with Jericho Sims as a backup center, but Portis should be locked into around 24 minutes most nights. Not a bad late pick for r</t>
  </si>
  <si>
    <t>[Josh: Relies heavily on usage and hot shooting to matter, and doesn’t bring much else across categories. With Tyler Herro sidelined early, he’s draftable as a short-term scorer, but expect him to trend toward being a drop once the roster stabilizes.]</t>
  </si>
  <si>
    <t>[Josh: Projects about the same as last season — steady production without a ton of upside. Reliable enough to roster, but don’t expect him to suddenly outkick his established fantasy lane.]</t>
  </si>
  <si>
    <t>[Josh: Year three should bring a bigger role, likely as a starter, though touches will be tougher to come by. Offseason surgeries and streaky shooting make him risky, but there is still plenty of upside worth taking a chance on.]</t>
  </si>
  <si>
    <t>[Josh: Purely a steals and blocks streamer at this point. Does not have a starting role, which caps his minutes and keeps him out of standard-league relevance.]</t>
  </si>
  <si>
    <t>[Josh: Locked in long term on a new deal, but the team isn’t reducing Julius Randle or Rudy Gobert’s roles to make more room. Works as a solid late-round stash with upside if one of the bigs goes down, but otherwise capped as a bench piece.]</t>
  </si>
  <si>
    <t>[Josh: Poor shooter in the regular season and hasn’t elevated when Haliburton is out during the year, though he has in the playoffs. Like picking him, but keep expectations cautious.]</t>
  </si>
  <si>
    <t>[Josh: Usage spiked to 28% last year when Paolo Banchero and Franz Wagner were sidelined, but now he’s the fourth option and carries constant injury risk given his physical style. He’s crucial to Orlando’s identity, but fantasy-wise there’s almost no chan</t>
  </si>
  <si>
    <t>Injured - knee surgery (8g) - 11/7/2025</t>
  </si>
  <si>
    <t>[Josh: Finally got to one three per game last season, though free throw percentage wobbled and the midrange dipped a bit. Feels a little overrated for fantasy. Some chatter he could come off the bench or be dealt, but I doubt that happens.]</t>
  </si>
  <si>
    <t>[Josh: A healthier start should give him a small bump early on, but he hasn’t looked spectacular since arriving in Miami. The role is steady enough though, and that makes him a safe later-round grab even if the upside is limited.]</t>
  </si>
  <si>
    <t>[Josh: Houston never gave him the minutes, but Washington made the move to bring him in, and with Bilal Coulibaly sidelined, there’s a real chance they give him a runway. The upside is simple — heavy usage, lots of shots. The risk is equally simple — they</t>
  </si>
  <si>
    <t>[Josh: So many calf issues last season and then a hamstring problem in the playoffs. He did transform into a real shooting threat, but I’m still skeptical it holds. Low-upside fantasy option, especially if Denver manages his minutes to protect against fur</t>
  </si>
  <si>
    <t>[Josh: Should slide into Max Strus’ spot to open the year. Very much a scoring-only option who needs elite efficiency to matter in fantasy, and too often contributes little elsewhere. Minutes and shots should rise early, but the overall ceiling remains li</t>
  </si>
  <si>
    <t>[Josh: Looked frustrated last season with ejections, flagrants, and technicals piling up while production dipped. A bounceback is possible, but he’s shown he needs strong teammates around him to thrive. With Day’Ron Sharpe and Danny Wolf likely to see min</t>
  </si>
  <si>
    <t>Robert Williams</t>
  </si>
  <si>
    <t>[Josh: Same story every year. If he gets over 20 minutes, the fantasy output is strong, but his body just cannot handle an NBA season. I expect him to be ahead of Hansen Yang to start, but there is no trust he lasts.]</t>
  </si>
  <si>
    <t>Doubtful - knee (1g) - 10/24/2025</t>
  </si>
  <si>
    <t>[Josh: Became an elite three-point shooter last season and added some assists. Just a solid player, but with Domantas Sabonis and DeMar DeRozan also needing touches, the upside is capped. A little overrated in drafts.]</t>
  </si>
  <si>
    <t>[Josh: Hard to pin down because his value swings on who’s available. If Zach Edey and Jaren Jackson Jr. both miss the start, he’ll be worth drafting as a short-term play, but otherwise he slides back into a backup role without standard-league appeal.]</t>
  </si>
  <si>
    <t>[Josh: Part of the Kevin Durant trade, and while there was talk he’d run point, that’s mostly to shield Devin Booker from the PG tag. He’s not the playmaker here. Showed a bit more consistency last season but is still essentially the same player — better</t>
  </si>
  <si>
    <t>Probable - hamstring</t>
  </si>
  <si>
    <t>[Josh: The drop-off last season was predictable, but it went even further than expected. He might step up again here, yet he sits behind Jalen Green and Dillon Brooks in the pecking order. Not a draft target, though it would not shock me if he is a little</t>
  </si>
  <si>
    <t>[Josh: Looks like he could start, though it’s far from guaranteed. Even if the efficiency hasn’t fully improved, his ability to rack up usage and assists makes him a strong late-round target if he’s in the first five.]</t>
  </si>
  <si>
    <t>[Josh: Still unsigned as a restricted free agent with Brooklyn showing little interest in a long-term commitment. If he returns, the usage will be massive, but efficiency is shaky and contributions outside of scoring remain limited. Expect the same mix of</t>
  </si>
  <si>
    <t>Unrestricted Free Agent|New Contract</t>
  </si>
  <si>
    <t>[Josh: Not going to score much, but still contributes across the board. Likely plays less centre which could drop his block numbers, but remains valuable in other categories.]</t>
  </si>
  <si>
    <t>[Josh: Expected to start and should be leaned on more than he was in Boston. Probably won’t play back to backs, yet still a solid late round option for steady minutes and production.]</t>
  </si>
  <si>
    <t>[Josh: Had some blazing-hot stretches where he looked like an offensive weapon, but the role isn’t secure enough for consistent value. Needs to start to be relevant, and that’s not happening regularly.]</t>
  </si>
  <si>
    <t>[Josh: Needs big minutes and usage to be fantasy-relevant, but he has improved as a steals contributor. With Jared McCain, Paul George, and Joel Embiid all expected to miss the start of the season, he’s in line for a sizable role early.]</t>
  </si>
  <si>
    <t>[Josh: Unsigned at the moment, but likely to land on a one-year deal. Last season he thrived when the big three were out, but couldn’t replicate that with a full roster. If he signs back, the early absences of Embiid and George could make him useful again</t>
  </si>
  <si>
    <t>[Josh: Looks behind Scotty Pippen Jr. in the rotation pecking order. His production last season was tied to an unsustainable mix of high usage and efficiency off the bench, which makes him tough to trust as anything more than deep-league insurance.]</t>
  </si>
  <si>
    <t>Daniel Gafford</t>
  </si>
  <si>
    <t>[Josh: Some believe he’s better than Dereck Lively II, but in reality he only starts when Lively is out. With PJ Washington, Anthony Davis, and Lively all able to play center, it’s hard to see Gafford consistently getting 20+ minutes. Plenty will buy into</t>
  </si>
  <si>
    <t>Questionable - ankle</t>
  </si>
  <si>
    <t>[Josh: Could start, but the fantasy gold from prior seasons has dried up and he’s older than most realize. More of a four than a five at this stage, and the high blocks plus elite three-point shooting that once made him stand out aren’t there anymore. If</t>
  </si>
  <si>
    <t>New Team|Unrestricted Free Agent|New Contract</t>
  </si>
  <si>
    <t>[Josh: Showed poorly before breaking his leg, but it was a tiny sample. Still has the blocks-steals-threes appeal. The lost development year matters though, and it’s not clear he’s a starter again this season. Could be, so we keep an eye on rotations.]</t>
  </si>
  <si>
    <t>[Josh: Could start at small forward, but his value is almost entirely tied to shooting and scoring. Occasionally spikes in steals, though it’s not something to bank on. Would feel a lot better about his outlook if one or two of Coby White, Josh Giddey, or</t>
  </si>
  <si>
    <t>[Josh: I think he starts, but far from a lock. Even if he does, the package isn’t enough to be draftable for most leagues. Too passive, doesn’t consistently impose himself, and the fantasy upside feels capped unless major aggression or efficiency shows up</t>
  </si>
  <si>
    <t>[Josh: Should still be in the starting lineup, but the way his minutes were kept down after the trade last season feels like the new normal. The role isn’t what it was in Milwaukee, and with so many guards and wings on this roster, there’s no incentive to</t>
  </si>
  <si>
    <t>[Josh: Very good down the stretch and dominated Summer League, but does he actually start? Can’t protect the rim, so he’s likely behind Lauri Markkanen and Walker Kessler, maybe even Ace Bailey, while also competing with Taylor Hendricks and Jusuf Nurkic</t>
  </si>
  <si>
    <t>Questionable - back</t>
  </si>
  <si>
    <t>[Josh: Coulibaly’s injury helps him in the short term, but even then he may not be locked in as a starter. The defensive production last year was a pleasant surprise, though his role was constantly jerked around. He should shoot it better than he did as a</t>
  </si>
  <si>
    <t>[Josh: Don’t be surprised if he grabs a starting spot. Fit nicely next to Ja Morant last season and puts up big lines whenever Ja sits. The shooting has come along and the steals are elite, giving him sleeper potential that shouldn’t be overlooked.]</t>
  </si>
  <si>
    <t>Moussa Diabate</t>
  </si>
  <si>
    <t>[Josh: Likely to start, but that doesn’t necessarily mean he’ll see 30+ minutes. Not much of a shot blocker, but adds value with steals and strong rebounding. Got starting opportunities last season and produced, though the overall upside remains limited.]</t>
  </si>
  <si>
    <t>[Josh: Coaches remain reluctant to give him a major role. Still fine as a threes streamer, but upside is capped and role remains limited.]</t>
  </si>
  <si>
    <t>[Josh: Struggled even before the injury and there’s no incentive for the Pelicans to rush him back. When he does return, expect limited minutes and rest on back-to-backs. Not someone to bother drafting this year.]</t>
  </si>
  <si>
    <t>Injured - torn achilles (41g) - 1/15/2026</t>
  </si>
  <si>
    <t>[Josh: Arrived in the Jrue Holiday trade but Boston is already exploring moving him again, even before the season starts. Rumored to slot in as a sixth man, which caps his usage and makes it tough for him to provide value outside of scoring. Still an elit</t>
  </si>
  <si>
    <t>[Josh: Health remains a mystery, and last season it was his wrist more than his knee that proved the bigger issue. Big opportunity early with the roster gaps, but the question is whether they push him past 25 minutes. If they do, there’s definite fantasy</t>
  </si>
  <si>
    <t>[Josh: Still starts, but with limited minutes and no real fantasy juice for standard leagues. Just not worth the roster spot.]</t>
  </si>
  <si>
    <t>[Josh: Projects to start, but his game remains one-dimensional. Offers threes and steals with the possibility of some scoring if usage climbs, though he looks more like a streamer than a locked-in draft target.]</t>
  </si>
  <si>
    <t>[Josh: Carlisle said he will start. Scoring and FT% are there, but he struggles in other areas. Longer leash this year. Likely worth a late pick.]</t>
  </si>
  <si>
    <t>[Josh: If he somehow started, he would be draftable everywhere with strong shooting and elite steals and blocks. In a rotation role, though, there just is not a big enough spot for him to matter in standard leagues.]</t>
  </si>
  <si>
    <t>Obi Toppin</t>
  </si>
  <si>
    <t>[Josh: More usage should come, and he could play some centre minutes, but his defense and rim protection are poor. Strong efficiency guy, though.]</t>
  </si>
  <si>
    <t>[Josh: Inconsistent as a rookie, though the shooting came around in the second half. Likely to start, but Quin Snyder has a track record of limiting minutes for young players, and that cap may linger. Expect a bump in opportunity, but the overall producti</t>
  </si>
  <si>
    <t>[Josh: Still expected to open as a starter and provide steady production early, but there are too many young guards on this roster to expect consistent usage. Combine that with no realistic chance of playing heavy minutes late in the season, and the risk</t>
  </si>
  <si>
    <t>[Josh: Favored to start, and while he took threes last season the early success quickly faded. Did not bring the elite defensive stats he had in college. Worth a last-round flier, but low usage and shaky percentages are major concerns.]</t>
  </si>
  <si>
    <t>[Josh: Arrived in the Desmond Bane trade but his fantasy stock has dipped. Still offers steals and threes with low turnovers padding value, but that’s more deep-league material than something to bother with in 12-team drafts.]</t>
  </si>
  <si>
    <t>Player Option|New Team</t>
  </si>
  <si>
    <t>Goga Bitadze</t>
  </si>
  <si>
    <t>[Josh: Whenever he plays big minutes, he’s a huge fantasy asset. Should cover the backup center role while Mo Wagner rehabs, but the idea of him starting doesn’t look realistic.]</t>
  </si>
  <si>
    <t>[Josh: Solid signing to run the second unit, but doesn’t bring the same shooting punch as Beasley or Hardaway. Could eat into Jaden Ivey’s minutes if the fit sours, but not a standard league draft guy.]</t>
  </si>
  <si>
    <t>New Contract|New Team</t>
  </si>
  <si>
    <t>Adem Bona</t>
  </si>
  <si>
    <t>[Josh: With Joel Embiid sidelined to start the season, the hope is Nick Nurse gives him the starting center job. He was excellent in April last year and has to be drafted in all leagues with this opportunity in front of him.]</t>
  </si>
  <si>
    <t>Jay Huff</t>
  </si>
  <si>
    <t>[Josh: Should open the season as starter, though it may not last. Like the flier pick, but he tailed off last season in Memphis. Unlikely to sustain shooting and block rates.]</t>
  </si>
  <si>
    <t>[Josh: Was excellent when starting last season, but Doug Christie pushed him back to the bench down the stretch. Sacramento has been aggressively shopping him and may end up moving him for Jonathan Kuminga. Even if he stays, he is just a bench guy battlin</t>
  </si>
  <si>
    <t>[Josh: Looked good when given starts last season, flashing steals and assists while showing progress with his shooting. Doc Rivers kept shuffling him with Kevin Porter Jr., but if he lands 28 minutes as the starter, he’s firmly draftable in standard leagu</t>
  </si>
  <si>
    <t>[Josh: Can’t shoot much worse than last season, and he’ll open as the starter while Kyrie Irving recovers. Classic draft-and-cut candidate — useful early for assists and scoring, but once Irving is back he’s likely to slide into irrelevance. With Kyrie no</t>
  </si>
  <si>
    <t>[Josh: Set to miss the start of the season with thumb surgery, and the team has already hinted other wings will get chances. He led the Wizards in minutes last year, but it’s hard to see that repeating. With the role in question and durability issues, he</t>
  </si>
  <si>
    <t>Injured - right thumb (6g) - 11/3/2025</t>
  </si>
  <si>
    <t>[Josh: In the mix to start, likely battling Kel’el Ware for that frontcourt spot. If he ever landed 28 minutes a night he’d be a solid fantasy piece, but inconsistency and shaky shooting hold him back. Still worth a late draft swing given the upside if he</t>
  </si>
  <si>
    <t>Rui Hachimura</t>
  </si>
  <si>
    <t>[Josh: Hachimura is the probable starter, but Marcus Smart could challenge him. He isn’t a strong category producer and would need elite efficiency to matter. Usage won’t be high, so he’s more of a fringe option.]</t>
  </si>
  <si>
    <t>[Josh: Carrying one of the league’s worst contracts, and his game has fallen off hard. Shot under 40 percent last season, no longer defends, and has not played in April in four years. Might even come off the bench for the first time since his Denver days.</t>
  </si>
  <si>
    <t>Josh Minott</t>
  </si>
  <si>
    <t>[Josh: Has the scaffolding for a great fantasy game and is a dark horse for the starting power forward spot. Brings elite steals, solid blocks, some passing, and a developing jumper. The situation is one to monitor closely because he has sneaky breakout p</t>
  </si>
  <si>
    <t>Wendell Carter Jr.</t>
  </si>
  <si>
    <t>[Josh: Doesn’t put up eye-popping numbers, but should remain the starter. Not really a fantasy target himself, though he continues to block the path for Goga Bitadze.]</t>
  </si>
  <si>
    <t>Ben Sheppard</t>
  </si>
  <si>
    <t>[Josh: Didn’t step up last season. A bit of a nothing player at this stage, hasn’t flashed much fantasy appeal.]</t>
  </si>
  <si>
    <t>Probable - undisclosed</t>
  </si>
  <si>
    <t>Moses Moody</t>
  </si>
  <si>
    <t>[Josh: Still hasn’t earned full trust for consistent minutes. With Hield, Melton, and Podziemski around, there isn’t a clear path to him elevating his role.]</t>
  </si>
  <si>
    <t>[Josh: Played big minutes after the trade but couldn’t secure a starting job. With Tyler Herro out to begin the year, he’s almost forced into a larger role, making him draftable now. Just don’t buy into the three-point shooting he flashed on arrival in Mi</t>
  </si>
  <si>
    <t>Sam Merrill</t>
  </si>
  <si>
    <t>[Josh: Should provide elite three-point shooting, making him a strong streaming option. Like many on this roster, he’ll see more chances early in the season, but his value remains mostly tied to threes.]</t>
  </si>
  <si>
    <t>[Josh: Came over in the Kevin Durant trade and should be locked in as a starter. Not a 12-team guy overall, but he has value in streaming spots for threes and steals while soaking up heavy minutes.]</t>
  </si>
  <si>
    <t>[Josh: Like the rest of this roster, he needs the ball to succeed, and there just isn’t enough to go around. Shooting is still a problem, defense is lacking, and the free throws are rough. Better points league guy than categories. With Ingram here, a down</t>
  </si>
  <si>
    <t>Isaiah Stewart</t>
  </si>
  <si>
    <t>[Josh: A good stream whenever Jalen Duren is out and capable of the occasional big game, but he played basically no power forward last season. That caps him as undraftable in 12-teamers. Did show some improvement in shot blocking, though.]</t>
  </si>
  <si>
    <t>[Josh: Still an elite assist guy, but not likely to start. Will spike when Harden or Beal sit, though he isn’t guaranteed to play every night.]</t>
  </si>
  <si>
    <t>Unrestricted Free Agent|New Team|New Contract</t>
  </si>
  <si>
    <t>[Josh: Won’t start, but in 21–24 minutes he can still be useful with assists, steals, and FG% combo.]</t>
  </si>
  <si>
    <t>Injured - hamstring strain (10g) - 11/11/2025</t>
  </si>
  <si>
    <t>Larry Nance Jr.</t>
  </si>
  <si>
    <t>[Josh: A huge upgrade at backup center and his presence could cut into Jarrett Allen’s role. Hard to see him playing enough to matter for fantasy in a healthy rotation, but if a starter goes down, Nance can still step in and provide useful value.]</t>
  </si>
  <si>
    <t>Unrestricted Free Agent|New Contract|New Team</t>
  </si>
  <si>
    <t>[Josh: Shifted into a 6th man role last season, but with Collin Sexton gone there’s a real chance he starts again. Field goal percentage has been awful, but that doesn’t mean it can’t improve. If he starts, his value rises, since it’s hard to find PG stat</t>
  </si>
  <si>
    <t>[Josh: Best shooter on the roster outside of Lauri, and maybe even better. Solid usage guy who improved a bit on defense but still isn’t good. A dark horse to start, and I like taking him as a deeper league flier because he offers something the rest of th</t>
  </si>
  <si>
    <t>[Josh: I liked him as a late-round flier, but the torn hamstring likely keeps him out until December and the role is murky when he does return. Too much uncertainty to bother drafting him outside of deep stashes.]</t>
  </si>
  <si>
    <t>Injured - left hamstring (13g) - 11/18/2025</t>
  </si>
  <si>
    <t>Day'Ron Sharpe</t>
  </si>
  <si>
    <t>[Josh: Showed real flashes late last season and would be a fantasy breakout if he ever claimed the starting job. Still blocked by Nic Claxton, but the hints of three-point shooting and improved passing add intrigue. If a starting role opens, he’s an insta</t>
  </si>
  <si>
    <t>Kevon Looney</t>
  </si>
  <si>
    <t>[Josh: A baffling signing given the money involved, and it’s not even clear if he’ll start or have a consistent role. Best case is situational minutes, which makes him irrelevant for fantasy.]</t>
  </si>
  <si>
    <t>Ayo Dosunmu</t>
  </si>
  <si>
    <t>[Josh: Needs mid-30s minutes to be fantasy relevant, which likely means he has to start. Even if he does, the upside is limited, and sharing the floor with Josh Giddey, Coby White, and Nikola Vucevic leaves him with little room to touch the ball. More of</t>
  </si>
  <si>
    <t>[Josh: Likely to open as the starting point guard, but I do not care much. His only real fantasy success has come on bad teams when he got huge usage and shot out of his mind. That is not happening here, and EuroBasket form means nothing for this situatio</t>
  </si>
  <si>
    <t>[Josh: Held a starting job throughout his rookie year but provided no real fantasy value. With usage to redistribute this season, there’s at least a sliver of upside if his game evolves, but for now he’s still just a watchlist name.]</t>
  </si>
  <si>
    <t>[Josh: The number three pick and already a steals machine. Shooting and usage are question marks, but with Joel Embiid and Paul George sidelined to start the year he could walk into an early role and never give it back. Worth a late flier.]</t>
  </si>
  <si>
    <t>Probable - left hip soreness</t>
  </si>
  <si>
    <t>[Josh: Likely brought in as the Malik Beasley/Tim Hardaway Jr. replacement. Not projected to start, but could sneak in if Ausar Thompson’s shooting becomes too much of a problem. Still, his game is very unfriendly for fantasy — just a threes streamer.]</t>
  </si>
  <si>
    <t>[Josh: Shot really well before a broken leg ended his season — but is that sustainable? Should start, though the fit with Cade Cunningham has always been clunky. Still has late-draft upside and this feels like a make-or-break year for him.]</t>
  </si>
  <si>
    <t>[Josh: No way he plays 32 minutes again. Will be the backup to Zubac and more of a streaming option if Zubac is hurt. Still a blocks source, but the role isn’t going to be huge.]</t>
  </si>
  <si>
    <t>Mouhamed Gueye</t>
  </si>
  <si>
    <t>[Josh: Made some starts last season and looked solid in a 20–22 minute role, showing shooting touch and shot blocking. That came with Jalen Johnson sidelined and Kristaps Porzingis still in Boston, though, and now the path is tighter. A useful backup, but</t>
  </si>
  <si>
    <t>Jaylin Williams</t>
  </si>
  <si>
    <t>[Josh: Piled up multiple triple-doubles when Chet Holmgren and Isaiah Hartenstein sat, but now he’s the third-string big. We know the drill though — if injuries hit, he becomes a clear streaming target.]</t>
  </si>
  <si>
    <t>[Josh: Strong before tearing his ACL last season, but will miss the start of this year and need time to ramp up. Could start, yet by the time he returns Podziemski may already be locked in.]</t>
  </si>
  <si>
    <t>Injured - knee (8g) - 11/5/2025</t>
  </si>
  <si>
    <t>Guerschon Yabusele</t>
  </si>
  <si>
    <t>[Josh: Had a strong year in Philadelphia but never truly exploded even with Joel Embiid sidelined. Solid backup big who adds more depth than New York had last season, though not someone who translates to fantasy value.]</t>
  </si>
  <si>
    <t>Tre Jones</t>
  </si>
  <si>
    <t>[Josh: Like his brother, he can be backend viable for fantasy when starting thanks to assists, but the shaky shooting holds him back. He isn’t a true starter and profiles as a backup who still has to share time with Josh Giddey or Coby White when one of t</t>
  </si>
  <si>
    <t>Nickeil Alexander-Walker</t>
  </si>
  <si>
    <t>[Josh: New team and set to battle Dyson Daniels for backup point guard duties, though he won’t have the starting path Daniels does. Useful as a stream option when filling in as a starter, but the regular role isn’t large enough to matter for most standard</t>
  </si>
  <si>
    <t>Jeremy Sochan</t>
  </si>
  <si>
    <t>[Josh: Made progress last season but still without a clear role. The question is whether he even starts. Not someone I’m drafting right now, but if we see him locked into 30-plus minutes as a starter, then interest rises quickly.]</t>
  </si>
  <si>
    <t>Justin Champagnie</t>
  </si>
  <si>
    <t>[Josh: Brings strong rebounding and reliable shooting from the wing spot, and every time he’s on the floor he looks like he belongs. The problem is the same as it has always been — minutes. Without a path to a consistent 28+ role, he’s more of a watchlist</t>
  </si>
  <si>
    <t>[Josh: Could be brutal in category leagues and more useful in points formats. Not sure he starts but seems favoured. Expect poor field goal percentage early, along with low assists and defensive numbers.]</t>
  </si>
  <si>
    <t>Bruce Brown</t>
  </si>
  <si>
    <t>[Josh: Back in Denver but sits behind Christian Braun now. Don’t expect anything close to his championship-season production — he isn’t that guy anymore. Still useful as a streamer when minutes spike.]</t>
  </si>
  <si>
    <t>[Josh: Pretty washed at this point. He’ll start and still shoot it well from three, but that’s about all he brings. There’s a real chance he doesn’t close games, and I wouldn’t bother drafting him outside of very deep formats.]</t>
  </si>
  <si>
    <t>Jonas Valanciunas</t>
  </si>
  <si>
    <t>[Josh: Didn’t get the Europe move he wanted and now settles in as a true backup. Must-add if Nikola Jokic ever misses time, but they likely won’t share the floor much. His presence should help keep Jokic’s minutes in check.]</t>
  </si>
  <si>
    <t>Max Strus</t>
  </si>
  <si>
    <t>[Josh: Could be sidelined until January with a foot fracture, which kills any chance of being draftable in standard leagues. Even once he returns, he’ll likely face minutes restrictions and a ramp-up period that further limits his impact.]</t>
  </si>
  <si>
    <t>Injured - left foot (34g) - 1/4/2026</t>
  </si>
  <si>
    <t>Luke Kornet</t>
  </si>
  <si>
    <t>[Josh: When he got spot starts in Boston he was useful, but now he’s Wemby’s backup and splitting those minutes with Olynyk. Only really worth using as a stream if he’s starting.]</t>
  </si>
  <si>
    <t>[Josh: Even if he starts, the upside is capped by heavy competition from similarly average options on the roster. Consistency has never been there, but if the depth chart clears and he lands 30+ minutes, then there’s a case to invest more.]</t>
  </si>
  <si>
    <t>SF/PF/C</t>
  </si>
  <si>
    <t>[Josh: Had some good stretches last season, but that was without Kyrie, Anthony Davis, Daniel Gafford, or Dereck Lively II in the mix. Now with Cooper Flagg added as well, he’s probably headed for a bench role, which caps his ceiling. Hard to see a path t</t>
  </si>
  <si>
    <t>Isaac Okoro</t>
  </si>
  <si>
    <t>[Josh: Acquired in the one-for-one Lonzo Ball trade and could be in line to start. Still doesn’t bring enough to the table for most fantasy leagues, with limited scoring punch and no standout category strength to lean on.]</t>
  </si>
  <si>
    <t>Dru Smith</t>
  </si>
  <si>
    <t>[Josh: Was starting before injury last season, and while that’s unlikely to repeat, Miami clearly values him. Provides some steals and hustle stats, but he’s really just a deep-league or watchlist guy.]</t>
  </si>
  <si>
    <t>mBN</t>
  </si>
  <si>
    <t>Jonathan Isaac</t>
  </si>
  <si>
    <t>[Josh: Surprised people by staying healthier than expected, but his minutes were capped and the days of big stat-stuffing lines are gone. More of a defensive role player now without real standard league upside.]</t>
  </si>
  <si>
    <t>Dorian Finney-Smith</t>
  </si>
  <si>
    <t>[Josh: Gives them great depth, but that depth also means players like Smith, Eason, and even Sengun could be chopped and changed when Udoka sees fit. Even if he starts over Smith, his low-usage game makes him undraftable outside of very deep formats.]</t>
  </si>
  <si>
    <t>Injured - ankle surgery rehab (4g) - 11/1/2025</t>
  </si>
  <si>
    <t>[Josh: Could start but may open the season behind Collin Sexton. Fits well with the roster, though as a rookie and a low-usage player he may not have enough opportunity to make a big fantasy dent right away.]</t>
  </si>
  <si>
    <t>Kris Dunn</t>
  </si>
  <si>
    <t>[Josh: Started last season, but Beal is likely to take that spot. A great steals guy, but the role upside is gone.]</t>
  </si>
  <si>
    <t>Zach Collins</t>
  </si>
  <si>
    <t>[Josh: Throw-in from the Zach LaVine deal who grabbed the backup center role when Smith was out last season. Could start if Nikola Vucevic is moved, but just as easily could slide back behind Smith if the roster shakes out that way.]</t>
  </si>
  <si>
    <t>Royce O'Neale</t>
  </si>
  <si>
    <t>[Josh: Shooting and minutes are unreliable, and while he could play over Ryan Dunn, that feels unlikely. His time as a serviceable starter looks finished.]</t>
  </si>
  <si>
    <t>[Josh: Smart also came in on a buyout, but his last two seasons have been poor and there’s a real chance he’s washed. His defense could keep him in the starting mix, yet for fantasy he’s basically just a steals streamer.]</t>
  </si>
  <si>
    <t>Mike Conley</t>
  </si>
  <si>
    <t>[Josh: Age has caught up with him and even if he holds a starting role, the minutes won’t be big. His two-point shooting cratered to comical levels last year, and there’s no reason to expect a bounce.]</t>
  </si>
  <si>
    <t>Brandon Clarke</t>
  </si>
  <si>
    <t>[Josh: Another year cut short by injury, though he should be ready for opening night. Could have some short-term streaming value if Jaren Jackson Jr. and Zach Edey both miss time early, but beyond that the upside is capped as a depth piece.]</t>
  </si>
  <si>
    <t>Injured - knee (14g) - 11/18/2025</t>
  </si>
  <si>
    <t>Aaron Holiday</t>
  </si>
  <si>
    <t>[Josh: Sheppard likely passes him in the rotation, but the Rockets like him as a reliable depth point guard.]</t>
  </si>
  <si>
    <t>Noah Clowney</t>
  </si>
  <si>
    <t>[Josh: Strange profile shift last season with a big jump in threes but no ability to finish inside the arc. Entering year three and needs Brooklyn to prioritize his development, though optimism is limited. Very close preseason watch to see if the role and</t>
  </si>
  <si>
    <t>Naji Marshall</t>
  </si>
  <si>
    <t>[Josh: Like PJ Washington, many will remember his late-season value, but that only came with everyone else out. Realistically he’s their 7th or 8th man, which means he needs multiple absences ahead of him to be worth considering in fantasy.]</t>
  </si>
  <si>
    <t>Jalen Smith</t>
  </si>
  <si>
    <t>[Josh: Brings blocks and some three-point shooting, and could end up as the backup to Nikola Vucevic. Just as possible he falls behind Zach Collins in the rotation, though. If he does stumble into a starting role he’s absolutely worth a flier, but a lot n</t>
  </si>
  <si>
    <t>Harrison Barnes</t>
  </si>
  <si>
    <t>[Josh: Probably starts, but he gives nothing for fantasy outside of a random hot shooting stretch somewhere in the middle of the year.]</t>
  </si>
  <si>
    <t>[Josh: New deal doesn’t guarantee a bigger role. Unlikely to start or close, and most nights will be limited outside of scoring. Fantasy value spikes only when stars sit, but overall role keeps him capped.]</t>
  </si>
  <si>
    <t>Josh Okogie</t>
  </si>
  <si>
    <t>[Josh: Another defensive wing for Udoka to use. Adds great depth and versatility, but not fantasy relevant given the lack of scoring or playmaking.]</t>
  </si>
  <si>
    <t>Anthony Black</t>
  </si>
  <si>
    <t>[Josh: With Desmond Bane and Tyus Jones arriving, it’s hard to see his minutes rising. Shooting is still inconsistent and Jamahl Mosley hasn’t fully trusted him. Looked better in the playoffs, but carving out enough playing time is the big obstacle.]</t>
  </si>
  <si>
    <t>Terance Mann</t>
  </si>
  <si>
    <t>[Josh: Veteran presence who’s never offered much fantasy appeal. Could open the year as a starter before giving way later, but the role doesn’t project to be impactful. Steals and threes are his usual calling cards, yet not at a level that makes him more</t>
  </si>
  <si>
    <t>Derrick Jones</t>
  </si>
  <si>
    <t>[Josh: Needs a few guys out to get minutes, and even then he isn’t really an option.]</t>
  </si>
  <si>
    <t>[Josh: Went through stretches of starting and coming off the bench last year, and now he has even more competition for minutes. The defense numbers don’t really pop, and his shooting was shaky. There should be some natural improvement, but this roster con</t>
  </si>
  <si>
    <t>Ryan Kalkbrenner</t>
  </si>
  <si>
    <t>[Josh: Rookie who could push Moussa Diabaté for the starting job, though that may not happen until later in the season. Brings shot-blocking and field goal percentage upside, with a chance to add some threes as well. Intriguing late-round flier for the up</t>
  </si>
  <si>
    <t>AJ Green</t>
  </si>
  <si>
    <t>[Josh: Elite three-point volume is his calling card, and while there’s a slim chance he sneaks into a starting role, he doesn’t bring much else. That makes him tough to draft outside of deep formats.]</t>
  </si>
  <si>
    <t>Tyus Jones</t>
  </si>
  <si>
    <t>[Josh: Back in the role he’s best suited for as a backup point guard. Even if he starts games here and there, there’s nothing to get excited about, and the last two seasons proved that.]</t>
  </si>
  <si>
    <t>[Josh: People will keep pointing to his Rookie of the Year award as if that matters, but it was a terrible class and his numbers were poor outside of a late-season spike when he was force-fed usage with Wembanyama, Fox, and others out. Not a high-assist g</t>
  </si>
  <si>
    <t>Baylor Scheierman</t>
  </si>
  <si>
    <t>[Josh: First-rounder from last year with an all-around game, but currently stuck behind Chris Boucher and Sam Hauser in the rotation. If Jaylen Brown misses significant time, he could slide in as a three and become more relevant, especially later in the s</t>
  </si>
  <si>
    <t>Jake LaRavia</t>
  </si>
  <si>
    <t>[Josh: Had a bit of a breakout last season, but his path to a starting role is shaky with him more likely coming off the bench. Offers a mix of contributions across categories, though nothing standout, which makes him more of a rotation filler than a lock</t>
  </si>
  <si>
    <t>Jarred Vanderbilt</t>
  </si>
  <si>
    <t>[Josh: Came back from a major injury but the offensive limitations remain glaring. Can chip in steals, rebounds, and efficient shooting if he somehow pushes into more minutes, but the odds of him getting enough run to matter are very slim.]</t>
  </si>
  <si>
    <t>Vince Williams Jr.</t>
  </si>
  <si>
    <t>[Josh: Season was derailed by injury and while there’s an outside shot at starting, the big numbers from 2023–24 were inflated by all the absences around him. Best to just monitor his role and whether the shooting holds up before considering him as more t</t>
  </si>
  <si>
    <t>Jose Alvarado</t>
  </si>
  <si>
    <t>[Josh: Settled in as a backup point guard who can deliver steals, but Jordan Poole is ahead of him and the team just drafted Jeremiah Fears. With Dejounte Murray also lurking, the opportunity that existed last season isn’t there now, leaving him off the f</t>
  </si>
  <si>
    <t>Probable - knee</t>
  </si>
  <si>
    <t>Moritz Wagner</t>
  </si>
  <si>
    <t>[Josh: A high-usage, high-efficiency backup big who has fantasy utility in the right situation. Won’t be ready to start the season, but when he’s active he can carve out streaming appeal.]</t>
  </si>
  <si>
    <t>Injured - torn acl (20g) - 12/1/2025</t>
  </si>
  <si>
    <t>Dean Wade</t>
  </si>
  <si>
    <t>[Josh: Has battled injuries but remains someone the Cavs rely on. Should see a larger role early in the season, though his fantasy appeal is limited to short-term streaming rather than long-term value.]</t>
  </si>
  <si>
    <t>Isaiah Collier</t>
  </si>
  <si>
    <t>[Josh: Surprised with how much he did after being truly the NBA’s worst player for the first two months. Still, it’s hard to be an NBA point guard when you can’t shoot or hit free throws. He is an elite passer, so the assists are valuable, but the upside</t>
  </si>
  <si>
    <t>Questionable - hamstring</t>
  </si>
  <si>
    <t>Bogdan Bogdanovic</t>
  </si>
  <si>
    <t>[Josh: Had a disappointing season last year and now has a hamstring injury from EuroBasket. Not draftable in 12-team leagues given the depth and health risk.]</t>
  </si>
  <si>
    <t>Isaiah Joe</t>
  </si>
  <si>
    <t>[Josh: Still an elite shooter but doesn’t bring much else, and there just isn’t enough role here with how stacked this roster is. Strictly a deep-league or streaming specialist.]</t>
  </si>
  <si>
    <t>Ron Holland</t>
  </si>
  <si>
    <t>[Josh: Still like the talent, but the fit alongside Ausar Thompson is tough with both lacking shooting. Would need to show a real jump as a shooter to carve out a big role. Worth watching the rotation closely.]</t>
  </si>
  <si>
    <t>Jared McCain</t>
  </si>
  <si>
    <t>[Josh: Recovering from thumb surgery and will miss the start of the season. People remember the hot stretch before his knee injury as a rookie, but right before that he had already slipped to the bench with falling usage and efficiency. Needs to be an eli</t>
  </si>
  <si>
    <t>Injured - thumb (20g) - 12/4/2025</t>
  </si>
  <si>
    <t>Karlo Matkovic</t>
  </si>
  <si>
    <t>[Josh: Looked solid in garbage-time stretches, but the front office bringing in multiple players over him shows how little they value him. No fantasy interest here.]</t>
  </si>
  <si>
    <t>Quinten Post</t>
  </si>
  <si>
    <t>[Josh: Elite shooting big man. With Horford in the mix his upside is capped, but whenever he draws spot starts the stream value is obvious.]</t>
  </si>
  <si>
    <t>Jaime Jaquez Jr.</t>
  </si>
  <si>
    <t>[Josh: Year two went poorly and he slipped out of the rotation, which isn’t far off from what his hot rookie start suggested might happen. The shooting is unreliable and he’d need multiple injuries ahead of him to be pushed into a meaningful role, which i</t>
  </si>
  <si>
    <t>Johnny Furphy</t>
  </si>
  <si>
    <t>[Josh: A dark horse sleeper. Looks bigger and stronger, and I think he’ll be in the rotation nightly. Not sure the fantasy appeal is high, though.]</t>
  </si>
  <si>
    <t>Questionable - left ankle sprain</t>
  </si>
  <si>
    <t>Collin Gillespie</t>
  </si>
  <si>
    <t>[Josh: Leapfrogged Tyus Jones last season and Phoenix has been hyping him up. I am keeping an eye on him, because if Devin Booker or Jalen Green goes down he could start and actually be useful for fantasy. Sneaky late development stash.]</t>
  </si>
  <si>
    <t>Gary Payton II</t>
  </si>
  <si>
    <t>[Josh: Still delivers strong field goal percentage and elite steals from the guard spot, but his body continues to fail him. Hard to rely on him for consistent production.]</t>
  </si>
  <si>
    <t>Malcolm Brogdon</t>
  </si>
  <si>
    <t>[Josh: In on a camp deal and should make the roster, but he won’t have the same starting role he had in Washington. A lighter workload might help him actually stay on the floor past February, though he’s not a fantasy option anymore.]</t>
  </si>
  <si>
    <t>New Contract|Unrestricted Free Agent|New Team</t>
  </si>
  <si>
    <t>Yves Missi</t>
  </si>
  <si>
    <t>[Josh: Likely to open as the starter, but it’s hard to care much from a fantasy standpoint. The fit next to Zion Williamson is poor, and the team could easily pivot to Derik Queen or Kevon Looney. Doesn’t block many shots, has efficiency issues, and offer</t>
  </si>
  <si>
    <t>Vit Krejci</t>
  </si>
  <si>
    <t>[Josh: Versatile enough to cover the 1, 2, or 3, with shooting and steals as his best assets. There’s spot value when he fills in, but the role is strictly backup and it would take multiple absences ahead of him to generate real fantasy impact.]</t>
  </si>
  <si>
    <t>Ochai Agbaji</t>
  </si>
  <si>
    <t>[Josh: Showed big improvements last season, but that doesn’t mean much for fantasy. Plays more like a power forward than a shooting guard. Shooting did tick up, but as a bench guy the appeal is still low.]</t>
  </si>
  <si>
    <t>Cole Anthony</t>
  </si>
  <si>
    <t>[Josh: Could push Kevin Porter Jr. for the starting job, and if he wins it then he’s definitely draftable. Still has to fight off Ryan Rollins for minutes, and coming off a rough year, he’s more of a late sleeper than someone to prioritize.]</t>
  </si>
  <si>
    <t>Grant Williams</t>
  </si>
  <si>
    <t>[Josh: Coming off last season’s ACL tear and should be ready to start the year, though likely to sit out back-to-backs. Can slide into small-ball center minutes, but the overall fantasy profile doesn’t bring enough excitement to make him draftable in most</t>
  </si>
  <si>
    <t>Jarace Walker</t>
  </si>
  <si>
    <t>[Josh: Theoretically could step up, but has no clear minutes path and hasn’t really excelled yet.]</t>
  </si>
  <si>
    <t>Saddiq Bey</t>
  </si>
  <si>
    <t>[Josh: Missed all of last season with an ACL injury and now slots in as a backup to Zion Williamson and Trey Murphy. Needs major minutes and usage to matter, which just isn’t on the table. Not draftable.]</t>
  </si>
  <si>
    <t>Clint Capela</t>
  </si>
  <si>
    <t>[Josh: Luxury depth piece. Likely to alternate games with Adams, which limits consistency. Not draftable, but could impact rotation patterns.]</t>
  </si>
  <si>
    <t>Walter Clayton</t>
  </si>
  <si>
    <t>[Josh: Older rookie point guard who’s a bit small but a great shooter. Could end up ahead of Collier or George at some point, though I doubt it’s clear cut. More of a watch-list guy than someone to draft.]</t>
  </si>
  <si>
    <t>Taurean Prince</t>
  </si>
  <si>
    <t>[Josh: Another candidate to slide into the starting lineup, and he did shoot the ball really well last season. Beyond that, there’s not much fantasy juice here, and it’s hard to see that changing.]</t>
  </si>
  <si>
    <t>Luke Kennard</t>
  </si>
  <si>
    <t>[Josh: Still one of the league’s best pure three-point shooters, but offers little beyond that and sits firmly as a backup, likely the fourth guard in the rotation. Always worth a stream when you need threes, essentially serving as an upgraded version of</t>
  </si>
  <si>
    <t>[Josh: San Antonio usually slow plays rookies, and he will be stuck behind Fox and Castle. A much better prospect than Castle, with real passing chops and defensive ability, but shooting is still a concern. Hard to see a rookie backup point guard carving</t>
  </si>
  <si>
    <t>Jordan Clarkson</t>
  </si>
  <si>
    <t>[Josh: On the decline and doesn’t bring the juice he once did, but he’s still a steadier option than some of the guards New York ran out last year. Best used as a flier or streamer when minutes spike.]</t>
  </si>
  <si>
    <t>Haywood Highsmith</t>
  </si>
  <si>
    <t>[Josh: Recent trade pickup who’s set to miss at least the first month with injury. Can provide defensive stats when active, but that’s the extent of his fantasy profile, and the chances of him carving out a strong enough role in Brooklyn look slim.]</t>
  </si>
  <si>
    <t>Questionable - torn meniscus</t>
  </si>
  <si>
    <t>[Josh: Felt underplayed by Thibs, but with Malcolm Brogdon and Jordan Clarkson added it’s tough to see him holding onto a sixth-man role. More of a depth guard than a fantasy piece now.]</t>
  </si>
  <si>
    <t>Peyton Watson</t>
  </si>
  <si>
    <t>[Josh: His only real shot is if Aaron Gordon misses time. Last season they often used Russell Westbrook in those spots, and now they could lean on Bruce Brown instead of Watson. Blocks are his calling card, but role security just isn’t there.]</t>
  </si>
  <si>
    <t>Jaxson Hayes</t>
  </si>
  <si>
    <t>[Josh: Slides into a more natural backup role this season rather than being forced into starting duty. Provides blocks and field goal percentage as his main fantasy appeal, but you’re only really interested if Deandre Ayton misses time.]</t>
  </si>
  <si>
    <t>Kelly Olynyk</t>
  </si>
  <si>
    <t>[Josh: Had some value late in New Orleans, but the days of Olynyk being an auto fantasy stud when starting are gone. Now he’s a backup big who could end up third string behind Kornet at center or even behind Barnes and Sochan at power forward.]</t>
  </si>
  <si>
    <t>Jamal Shead</t>
  </si>
  <si>
    <t>[Josh: Solid backup point guard who brings nice steals and should be part of a high-pressure unit that forces turnovers. Makes sense as a steals streaming option.]</t>
  </si>
  <si>
    <t>Keldon Johnson</t>
  </si>
  <si>
    <t>[Josh: A reminder that empty usage on bad teams doesn’t mean much long term. He’s now looking like a bench scorer who will barely register for fantasy.]</t>
  </si>
  <si>
    <t>Terrence Shannon Jr.</t>
  </si>
  <si>
    <t>[Josh: Looks like he’s in line to take Nickeil Alexander-Walker’s role and impressed in the playoffs. Still fairly one-dimensional, but he’s a name to keep on the watchlist to see if the minutes stick.]</t>
  </si>
  <si>
    <t>[Josh: Hard to know if he was brought in mainly to help land the pick, and it’s unclear how much he’ll actually be used. What seems certain is that his usage will drop compared to last season in Utah, and there’s no guarantee he’s prioritized in the long</t>
  </si>
  <si>
    <t>Jusuf Nurkic</t>
  </si>
  <si>
    <t>[Josh: Still showed last season in Charlotte that when he starts, he has fantasy value, but that opportunity isn’t here. Behind Walker Kessler and with Kyle Filipowski in the mix, his path is murky. At best he’s a stream when spot starting, but not someon</t>
  </si>
  <si>
    <t>Ajay Mitchell</t>
  </si>
  <si>
    <t>[Josh: Showed he can play by getting Finals minutes and then dominating Summer League. He’s a real NBA player, but there’s no meaningful role available on this roster right now.]</t>
  </si>
  <si>
    <t>Tre Mann</t>
  </si>
  <si>
    <t>[Josh: Back injury derailed what was shaping up to be a promising season. With Kon Knueppel and Collin Sexton added, the backcourt mix is more crowded, likely cutting into his opportunities. Should settle in as a sixth man, but probably won’t see the same</t>
  </si>
  <si>
    <t>[Josh: Got a long run as a starter last year and didn’t deliver. Now shifted to the bench, and without much in the way of peripheral stats, there isn’t much to get excited about.]</t>
  </si>
  <si>
    <t>Craig Porter Jr.</t>
  </si>
  <si>
    <t>[Josh: Intriguing defensive-minded point guard, though last season was a disappointment. Could see early minutes with Darius Garland out, but Lonzo Ball is still ahead of him in the rotation. A name to keep tabs on, especially if backcourt injuries pile u</t>
  </si>
  <si>
    <t>Julian Champagnie</t>
  </si>
  <si>
    <t>[Josh: Got some starts last year and can shoot, but he needs a consistent role to be useful. With Sochan, Barnes, and Vassell all in the same mix, it’s hard to see that happening.]</t>
  </si>
  <si>
    <t>Derik Queen</t>
  </si>
  <si>
    <t>[Josh: The fit with Zion Williamson is a mess. He carried huge usage in college with an elite post game, but the shooting isn’t reliable and the defense is flat-out bad. Probably better suited as a power forward, but that’s Zion’s spot, so it’s tough to s</t>
  </si>
  <si>
    <t>Questionable - left wrist</t>
  </si>
  <si>
    <t>Ja'Kobe Walter</t>
  </si>
  <si>
    <t>[Josh: Got more minutes last season during the tank stretch and flashed some scoring, but not much else and it came with a lot of inconsistency. Could be steadier this year, but there’s no path to real minutes.]</t>
  </si>
  <si>
    <t>Jaylon Tyson</t>
  </si>
  <si>
    <t>[Josh: Showed promise as a rookie and brings ball-handling ability from the wing. With Max Strus and Darius Garland out early, he could see big minutes and expanded opportunities. Probably not worth drafting yet, but definitely someone to monitor closely</t>
  </si>
  <si>
    <t>Marcus Sasser</t>
  </si>
  <si>
    <t>[Josh: Not a fan as a prospect — undersized and not an elite shooter, which he needs to be to stick. Has hot moments, but the question is whether he even plays every night.]</t>
  </si>
  <si>
    <t>Luka Garza</t>
  </si>
  <si>
    <t>[Josh: Competing with Neemias Queta and Xavier Tillman for the starting center spot in what looks like the worst rotation in the league. Can stretch the floor and flashed strong usage in Minnesota, but that production will dip if he’s starting instead of</t>
  </si>
  <si>
    <t>Jalen Pickett</t>
  </si>
  <si>
    <t>[Josh: Unless Bruce Brown is slotted as a point guard, Pickett should be Jamal Murray’s backup. Looked solid last season after being lost as a rookie. Doubt he actually starts if Murray misses time, but he’d at least see rotation minutes.]</t>
  </si>
  <si>
    <t>Tony Bradley</t>
  </si>
  <si>
    <t>[Josh: Will play when Jackson sits as the backup centre. Was good last season, and if he starts I wouldn’t get overly excited, but he’d be a watch.]</t>
  </si>
  <si>
    <t>Trendon Watford</t>
  </si>
  <si>
    <t>[Josh: Picked up on a bargain deal and has shown he can put up numbers on bad teams. A ball-handling forward who can defend and knock down some shots. If the injury pileup lingers into March, he’s the kind of player who could be a league-winning add.]</t>
  </si>
  <si>
    <t>New Team|Unrestricted Free Agent</t>
  </si>
  <si>
    <t>Charles Bassey</t>
  </si>
  <si>
    <t>Max Christie</t>
  </si>
  <si>
    <t>[Josh: Had some moments last season but tailed off. He’s behind Klay Thompson in the rotation, though if Klay really struggles there’s a chance Christie steps up. Still, there’s not enough here to consider him in most leagues.]</t>
  </si>
  <si>
    <t>Collin Murray-Boyles</t>
  </si>
  <si>
    <t>[Josh: Another curious draft pick. Can’t shoot, but brings excellent defense and passing. Problem is the overlap with Barnes and no clear starting spot yet. Could be a fantasy stud in the future, but the fit right now is tough.]</t>
  </si>
  <si>
    <t>Probable - elbow</t>
  </si>
  <si>
    <t>Paul Reed</t>
  </si>
  <si>
    <t>[Josh: Elite steals and blocks guy, but stuck as the third-string big. When pressed into action he’s always streamable, but that’s the extent of his value.]</t>
  </si>
  <si>
    <t>Tre Johnson</t>
  </si>
  <si>
    <t>[Josh: The hype will be about him stepping right in as a lead option, but it isn’t quite that simple. Yes, the shooting and scoring talent is there, but this roster still has CJ McCollum, Khris Middleton, and Bub Carrington all taking touches. Like most r</t>
  </si>
  <si>
    <t>Jock Landale</t>
  </si>
  <si>
    <t>[Josh: Steps into the Jay Huff role and could see early run if injuries pile up. We’ve seen he can be serviceable as a fantasy starter in a pinch, but he’s far removed from being a reliable option and is best left for deep-league streaming.]</t>
  </si>
  <si>
    <t>Yang Hansen</t>
  </si>
  <si>
    <t>[Josh: A surprise draft pick with good numbers in China, but I doubt he survives defensively in the NBA. Not draftable in standard leagues this season. Has advanced post moves and passing, but the hype feels overstated.]</t>
  </si>
  <si>
    <t>Nicolas Batum</t>
  </si>
  <si>
    <t>[Josh: A great bench piece who always has some fantasy moments each year, but nothing to suggest he should be a focus now.]</t>
  </si>
  <si>
    <t>Trayce Jackson-Davis</t>
  </si>
  <si>
    <t>[Josh: There was real excitement about him last season, but his play fell flat and Kerr’s trust disappeared. With Horford and Post now ahead of him, the path is blocked. Lack of shooting and being undersized limit his outlook even further.]</t>
  </si>
  <si>
    <t>Devin Carter</t>
  </si>
  <si>
    <t>[Josh: Shoulder surgery limited his rookie season. Brings strong rebounding for a guard, but the shooting is a concern. No clear path to real minutes yet.]</t>
  </si>
  <si>
    <t>Justin Edwards</t>
  </si>
  <si>
    <t>[Josh: Converted off a two-way last year and carved out a bigger role when injuries hit. Didn’t really wow for fantasy and was inconsistent, but with the ongoing injury risk for Embiid and Paul George, he’s the kind of player who could pop up as a streame</t>
  </si>
  <si>
    <t>Dominick Barlow</t>
  </si>
  <si>
    <t>[Josh: On his third team already but continues to land two-way deals. Has real fantasy juice when he gets minutes, but front offices just don’t seem eager to give him a consistent role.]</t>
  </si>
  <si>
    <t>New Team|New Contract|Two-Way Player</t>
  </si>
  <si>
    <t>Khaman Maluach</t>
  </si>
  <si>
    <t>[Josh: Was exciting when they drafted him at pick 10, but then they immediately traded for Mark Williams which blocks his path. Looked rough in Summer League, yet his fantasy profile is great with blocks, rebounds, good FG%, some threes, and solid FT%. St</t>
  </si>
  <si>
    <t>Marvin Bagley III</t>
  </si>
  <si>
    <t>[Josh: Not a good player at this point, but he is probably the backup center in Washington. That makes him a name to watch if he slides into a starting role. In that case you can stream him for boards and some field goal percentage help, though nothing lo</t>
  </si>
  <si>
    <t>Thomas Bryant</t>
  </si>
  <si>
    <t>Patrick Williams</t>
  </si>
  <si>
    <t>[Josh: Hopefully the Bulls’ fascination with him is finally over, as Matas Buzelis should be ahead in the pecking order. Could end up starting at small forward over Isaac Okoro or Kevin Huerter, but as we’ve seen for five years now, even in a starting rol</t>
  </si>
  <si>
    <t>Sandro Mamukelashvili</t>
  </si>
  <si>
    <t>[Josh: Same idea as Mogbo — when he starts, we use him in most leagues. Likely the backup to Poeltl, and worth monitoring if the team slides into tank mode again late in the year.]</t>
  </si>
  <si>
    <t>Simone Fontecchio</t>
  </si>
  <si>
    <t>[Josh: Brought in to replace Duncan Robinson but didn’t impress in Detroit. With Erik Spoelstra likely to shuffle wings constantly, his minutes will swing too much to hold standard-league relevance. Just a deep-league name to monitor.]</t>
  </si>
  <si>
    <t>Probable - leg</t>
  </si>
  <si>
    <t>Kyle Anderson</t>
  </si>
  <si>
    <t>[Josh: Adds more forward depth and can even function as a backup point guard. The issue is minutes—he might not play every night, and it wouldn’t shock me if he isn’t on the roster all season.]</t>
  </si>
  <si>
    <t>Dante Exum</t>
  </si>
  <si>
    <t>[Josh: Just another name on the wing, and he’s never been able to stay healthy in the NBA. No real fantasy interest here.]</t>
  </si>
  <si>
    <t>Injured - knee (5g) - 11/1/2025</t>
  </si>
  <si>
    <t>Nick Richards</t>
  </si>
  <si>
    <t>[Josh: Never looked like a reliable NBA or fantasy player, and now he is back behind Mark Williams with the chance of slipping under Oso Ighodaro and Khaman Maluach as well. No appeal here.]</t>
  </si>
  <si>
    <t>Julian Strawther</t>
  </si>
  <si>
    <t>[Josh: Had some moments last season, but with Bruce Brown and Tim Hardaway Jr. in the mix, a true breakout seems unlikely. Mostly just a threes-and-points guy at this stage.]</t>
  </si>
  <si>
    <t>Egor Demin</t>
  </si>
  <si>
    <t>[Josh: First-round pick with a real chance to open the season as starting point guard. Shot terribly in college and while Summer League looked better, it’s not enough to trust yet. Rookies usually struggle and there are plenty of holes in his game, but mi</t>
  </si>
  <si>
    <t>Probable - foot</t>
  </si>
  <si>
    <t>Andre Drummond</t>
  </si>
  <si>
    <t>[Josh: Looked washed last season even when Joel Embiid was out, and Guerschon Yabusele was playing ahead of him at times. With Yabusele gone, Adem Bona is likely the preferred option now. Still, if Drummond ends up starting games, you have to stream him s</t>
  </si>
  <si>
    <t>Corey Kispert</t>
  </si>
  <si>
    <t>[Josh: The shine has completely worn off. Once propped up as a shooter who could carve out a role, he’s now more or less an afterthought in this roster mix. Even in a developmental season, it’s tough to see where fantasy value emerges.]</t>
  </si>
  <si>
    <t>Javonte Green</t>
  </si>
  <si>
    <t>[Josh: Always seems to find a stretch where he carves out an elevated role, but it never lasts. Brings nice defense, yet remains too unreliable to draft outside of very deep formats.]</t>
  </si>
  <si>
    <t>Mason Plumlee</t>
  </si>
  <si>
    <t>[Josh: Back in Charlotte as the third center option. Could end up starting, but he’s clearly on the decline and offers little long-term upside. Even with a starting role it’s hard to see a reason to prioritize him in drafts.]</t>
  </si>
  <si>
    <t>Kyle Kuzma</t>
  </si>
  <si>
    <t>[Josh: Reports out of Milwaukee suggest he might come off the bench, with the front office even framing him as Giannis Antetokounmpo’s backup at power forward. The usage could still be there, but he’s a tricky category-league fit because of efficiency and</t>
  </si>
  <si>
    <t>Jordan Goodwin</t>
  </si>
  <si>
    <t>[Josh: An elite rebounding guard who has produced whenever given a chance. Still buried on the depth chart though, so he is only a deep cut to monitor.]</t>
  </si>
  <si>
    <t>Jonathan Mogbo</t>
  </si>
  <si>
    <t>[Josh: Fantastic fantasy profile as an undersized big who produced across categories last season. With Murray-Boyles drafted and likely a healthier roster overall, I don’t see him carving out a sizeable role this time.]</t>
  </si>
  <si>
    <t>Georges Niang</t>
  </si>
  <si>
    <t>[Josh: Back in Utah, but the story hasn’t changed. Solid shooter and elite locker room guy, yet buried in a crowded frontcourt. No fantasy appeal outside of being the best bloke on the team.]</t>
  </si>
  <si>
    <t>Questionable - left foot</t>
  </si>
  <si>
    <t>Jabari Walker</t>
  </si>
  <si>
    <t>[Josh: Hard to believe he’s only on a two-way after looking solid in Portland. I expect he gets converted during the year because he’s a clear NBA rotation-caliber forward. Doesn’t project as a major fantasy asset yet, but he’s someone to monitor.]</t>
  </si>
  <si>
    <t>Cedric Coward</t>
  </si>
  <si>
    <t>[Josh: Cleared for camp after an injury-shortened college season where he only played six games. The statistical profile is intriguing, and Memphis has shown they’re willing to give rookies real minutes if they earn it. Not someone to draft, but if he sho</t>
  </si>
  <si>
    <t>Quenton Jackson</t>
  </si>
  <si>
    <t>[Josh: Two-way contract, but played well last season and there’s a clear need for PG minutes.]</t>
  </si>
  <si>
    <t>Questionable - right hamstring</t>
  </si>
  <si>
    <t>Restricted Free Agent|Two-Way Player</t>
  </si>
  <si>
    <t>Drew Eubanks</t>
  </si>
  <si>
    <t>[Josh: Brought in as centre insurance if Dario Šaric and Maxime Raynaud do not work out. Struggled last season and could be washed.]</t>
  </si>
  <si>
    <t>Precious Achiuwa</t>
  </si>
  <si>
    <t>Kyle Lowry</t>
  </si>
  <si>
    <t>[Josh: It’s wild he’s still playing. Usage cratered last season, and he won’t suit up every night. Passing is still there, but he refuses to shoot, and now that he’s also signed on as a TV commentator, it’s safe to say playing basketball isn’t his sole fo</t>
  </si>
  <si>
    <t>Kobe Bufkin</t>
  </si>
  <si>
    <t>[Josh: Third season and still a mystery after injuries derailed the first two years. Flashes of ability are there, but with Nickeil Alexander-Walker and Luke Kennard likely ahead in the rotation, the path to relevance is murky. Hard to project anything co</t>
  </si>
  <si>
    <t>Pelle Larsson</t>
  </si>
  <si>
    <t>[Josh: Could easily slide ahead of Jaime Jaquez Jr. in the wing rotation. Doesn’t specialize in one category but does a bit of everything, which makes him the more intriguing of the two even if the upside is modest.]</t>
  </si>
  <si>
    <t>Eric Gordon</t>
  </si>
  <si>
    <t>[Josh: No real fantasy juice left even in spot starts. Strictly a veteran floor-spacer who hits threes.]</t>
  </si>
  <si>
    <t>Gabe Vincent</t>
  </si>
  <si>
    <t>[Josh: Never found his rhythm in Los Angeles and knee issues clearly played a part. With the guard depth in place, he’s now at real risk of being out of the rotation some nights, making him mostly irrelevant outside of very deep formats.]</t>
  </si>
  <si>
    <t>Tim Hardaway Jr.</t>
  </si>
  <si>
    <t>[Josh: Expect a big minutes dip after starting in Detroit last season. Doesn’t bring enough outside of scoring to matter for fantasy.]</t>
  </si>
  <si>
    <t>Josh Green</t>
  </si>
  <si>
    <t>[Josh: Shoulder surgery is a concern on top of an already underwhelming fantasy profile. The minutes don’t appear to be there anymore, leaving little reason to hold interest outside of very deep formats.]</t>
  </si>
  <si>
    <t>Injured - shoulder surgery (20g) - 12/1/2025</t>
  </si>
  <si>
    <t>Oso Ighodaro</t>
  </si>
  <si>
    <t>[Josh: Impressed as a rookie despite being undersized. Can cover both the four and five spots and might already be ahead of Nick Richards and Khaman Maluach in the rotation.]</t>
  </si>
  <si>
    <t>Jaylen Clark</t>
  </si>
  <si>
    <t>[Josh: Made his mark as a strong defender and has worked on his jumper, though he’s never going to be a volume scorer. There are limitations here, but overall he put together a solid year and could stick in a rotation role.]</t>
  </si>
  <si>
    <t>Jordan Hawkins</t>
  </si>
  <si>
    <t>[Josh: Two disappointing seasons in, and the supposed elite shooting hasn’t shown up. Offers nothing outside of threes and now looks to be falling behind in the rotation mix. No reason to draft him.]</t>
  </si>
  <si>
    <t>Svi Mykhailiuk</t>
  </si>
  <si>
    <t>[Josh: Will have the odd game where he plays 20+ minutes and then sit most other nights. Just an emergency option, not fantasy relevant.]</t>
  </si>
  <si>
    <t>Danny Wolf</t>
  </si>
  <si>
    <t>[Josh: First-round pick who played an unusual point-center role at Michigan that may not translate cleanly. Feels a bit gimmicky, and on the NBA depth chart he’s buried for now. Could end up more of a four than a five, but the main bankable skill is rebou</t>
  </si>
  <si>
    <t>Tristan Vukcevic</t>
  </si>
  <si>
    <t>[Josh: Still on a two way deal despite clearly being better than Bagley. The problem is the Wizards do not seem inclined to play him ahead of Bagley. We know there is fantasy appeal in his game if he ever gets consistent minutes, but the depth chart has t</t>
  </si>
  <si>
    <t>Tristan da Silva</t>
  </si>
  <si>
    <t>[Josh: Servicable backup forward, but needs to become an elite shooter to really stand out. Without that, there’s no clear fantasy relevance.]</t>
  </si>
  <si>
    <t>Maxime Raynaud</t>
  </si>
  <si>
    <t>[Josh: Will start behind Dario Šaric because of the rookie vs veteran dynamic, but it should become clear fast that he is the better option. Showed more shot blocking in the second half of college and already has scoring, shooting, and rebounding as a big</t>
  </si>
  <si>
    <t>Julian Phillips</t>
  </si>
  <si>
    <t>[Josh: Billy Donovan gave him more chances last season and he showed some improvement, but he still profiles as a typical do-nothing forward. Just another name in the crowded backup wing mix without much fantasy appeal.]</t>
  </si>
  <si>
    <t>Kenrich Williams</t>
  </si>
  <si>
    <t>[Josh: Glue guy who fills gaps whenever needed, but that doesn’t translate to fantasy. Not relevant for standard leagues.]</t>
  </si>
  <si>
    <t>Injured - left knee (20g) - 11/30/2025</t>
  </si>
  <si>
    <t>Joan Beringer</t>
  </si>
  <si>
    <t>[Josh: Young rookie big with raw tools who can offer blocks and field goal percentage down the line. Won’t play much this season unless injuries hit, so he’s just a developmental stash.]</t>
  </si>
  <si>
    <t>Cam Spencer</t>
  </si>
  <si>
    <t>[Josh: Profiles more as a backup-level NBA guard. Solid enough to belong, but with Scotty Pippen Jr. and Ty Jerome already in the mix, there’s no real path to fantasy value.]</t>
  </si>
  <si>
    <t>EM</t>
  </si>
  <si>
    <t>Steven Adams</t>
  </si>
  <si>
    <t>[Josh: Healthy and back, but Udoka used double big looks which meant Adams alongside Sengun. Not fantasy useful himself, but he can cramp the value of others.]</t>
  </si>
  <si>
    <t>Jae'Sean Tate</t>
  </si>
  <si>
    <t>[Josh: Great depth piece who defends and passes, but can’t shoot. Just another one of the many defensive forwards on this roster.]</t>
  </si>
  <si>
    <t>Dalton Knecht</t>
  </si>
  <si>
    <t>[Josh: Year one didn’t bring much excitement and his production looks fairly empty even when he plays. Without a significant usage or minute role, he’s just a deep-league bench name rather than someone who profiles as a standard-league option.]</t>
  </si>
  <si>
    <t>Gary Harris</t>
  </si>
  <si>
    <t>[Josh: Injuries have sapped most of his impact. If the jumper is falling he can help Milwaukee in real life, especially alongside Giannis, but there’s no fantasy case here.]</t>
  </si>
  <si>
    <t>Johnny Juzang</t>
  </si>
  <si>
    <t>Terry Rozier</t>
  </si>
  <si>
    <t>[Josh: The gambling investigation lingers, and he was flat-out awful last season to the point of falling out of the rotation. There’s a slim chance he recaptures form and even sneaks into a starting role, but it’s hard to bet on. If it somehow happens, th</t>
  </si>
  <si>
    <t>DaRon Holmes II</t>
  </si>
  <si>
    <t>[Josh: Missed his entire rookie season with a torn Achilles and will be limited this year. Sits as the third-string big behind Jonas Valanciunas. Like him long term, but there’s nothing here for this season.]</t>
  </si>
  <si>
    <t>Caleb Martin</t>
  </si>
  <si>
    <t>[Josh: Another dud trade from Nico Harrison. Martin will struggle to find minutes, sitting behind PJ Washington and Naji Marshall — both of whom are bench players themselves. Hard to see a fantasy angle here.]</t>
  </si>
  <si>
    <t>Brandon Williams</t>
  </si>
  <si>
    <t>[Josh: Was great last season when everyone was out, but with D’Angelo Russell in the mix, Williams is back to being a backup. No real path to consistent value unless multiple guards go down.]</t>
  </si>
  <si>
    <t>Nigel Hayes-Davis</t>
  </si>
  <si>
    <t>[Josh: Back from Europe where he proved himself as a solid shooter. Could push ahead of Royce O’Neale and even Ryan Dunn at power forward, but most likely he is just a role player.]</t>
  </si>
  <si>
    <t>Restricted Free Agent|New Contract</t>
  </si>
  <si>
    <t>John Konchar</t>
  </si>
  <si>
    <t>[Josh: Looks like he’ll fall out of the rotation once everyone is healthy, leaving no fantasy pathway outside of emergency depth.]</t>
  </si>
  <si>
    <t>N'Faly Dante</t>
  </si>
  <si>
    <t>[Josh: Rare two-way offer sheet pickup who slots in as Atlanta’s third-string center with depth behind Onyeka Okongwu and Kristaps Porzingis thin. Brings finishing and shot blocking, but the role is too small to matter outside of emergency fill-ins.]</t>
  </si>
  <si>
    <t>G.G. Jackson</t>
  </si>
  <si>
    <t>[Josh: Still extremely young and raw, but with Desmond Bane gone there’s a chance he grabs a big slice of usage if he shows any real efficiency. Just as easily could be on the fringe of the rotation though, and his game still looks pretty empty for fantas</t>
  </si>
  <si>
    <t>Nique Clifford</t>
  </si>
  <si>
    <t>[Josh: Looked great in Summer League and is an older rookie who has shown different skills each year in college. For now though, the path to usage or minutes is blocked, leaving him as just a low-usage backup wing.]</t>
  </si>
  <si>
    <t>Oscar Tshiebwe</t>
  </si>
  <si>
    <t>[Josh: An elite rebounder and absolutely nothing else. Only worth circling when the tank hits full swing and Utah starts rolling out silly season lineups.]</t>
  </si>
  <si>
    <t>Restricted Free Agent|New Contract|Two-Way Player</t>
  </si>
  <si>
    <t>Dario Saric</t>
  </si>
  <si>
    <t>[Josh: Has looked terrible the past two seasons in Golden State and Denver, often starting as a backup but quickly falling completely out of the rotation. The Kings are hoping it goes differently this time, but I doubt it. I expect Maxime Raynaud to pass</t>
  </si>
  <si>
    <t>Jared Butler</t>
  </si>
  <si>
    <t>[Josh: Put up big numbers on bad teams last season by leaning into high usage, but here he has to fight through Jordan Goodwin and Collin Gillespie. The talent is there, but the reliable role is not.]</t>
  </si>
  <si>
    <t>Jase Richardson</t>
  </si>
  <si>
    <t>[Josh: Impressed in Summer League and I thought he had lottery talent, but he’s undersized and has no clear role out of the gate. Still, he just knows how to play, and long term I wouldn’t rule him out.]</t>
  </si>
  <si>
    <t>Nikola Topic</t>
  </si>
  <si>
    <t>[Josh: Missed his rookie year with a torn ACL and will likely be shaky early on. Has real passing chops, but poor percentages and limited minutes mean he won’t be fantasy-relevant this season.]</t>
  </si>
  <si>
    <t>Injured - testicular (14g) - 11/17/2025</t>
  </si>
  <si>
    <t>Christian Koloko</t>
  </si>
  <si>
    <t>[Josh: Adds to the center depth chart but didn’t show much impact last year. Hard to see a path where he becomes more than a deep bench piece, leaving no realistic fantasy appeal.]</t>
  </si>
  <si>
    <t>Bones Hyland</t>
  </si>
  <si>
    <t>[Josh: New signing who has already burned through chances with questionable career decisions. Looks like a long shot to even be the fourth point guard, so there’s no fantasy case here.]</t>
  </si>
  <si>
    <t>Jericho Sims</t>
  </si>
  <si>
    <t>[Josh: Only relevant if Turner goes down. Otherwise he’s buried, and even then the upside is capped to specialist big-man stats at best.]</t>
  </si>
  <si>
    <t>Asa Newell</t>
  </si>
  <si>
    <t>[Josh: First-round pick with defensive tools but still raw offensively and in need of growth as a stretch shooter. Likely to spend time developing in a small role or in the G League before becoming a real factor.]</t>
  </si>
  <si>
    <t>Blake Wesley</t>
  </si>
  <si>
    <t>[Josh: Provides needed guard depth with Scoot Henderson out, but he is inefficient and has not shown enough flashes to be more than a deep cut.]</t>
  </si>
  <si>
    <t>Spencer Dinwiddie</t>
  </si>
  <si>
    <t>[Josh: When pressed into action he can be serviceable, but with LaMelo Ball and Tre Mann ahead of him he’s likely to be limited to a backup role. Doesn’t bring enough across categories to warrant much fantasy consideration unless injuries strike.]</t>
  </si>
  <si>
    <t>Rob Dillingham</t>
  </si>
  <si>
    <t>[Josh: Showed flashes as a rookie with some explosive scoring bursts, but overall he struggled. Terrence Shannon Jr. looks ahead of him in the pecking order, and it’s hard to see him leapfrogging Mike Conley. If he somehow landed a starting role he’d be w</t>
  </si>
  <si>
    <t>Tyrese Martin</t>
  </si>
  <si>
    <t>[Josh: Played more than expected last season, but never projected as a building block. Just another name in the crowded mix of guards on the roster. On a standard deal rather than a two-way, but still without a clear role or standout skill to separate him</t>
  </si>
  <si>
    <t>Cody Williams</t>
  </si>
  <si>
    <t>[Josh: Horrible rookie year with just a few flashes late, and he did look a bit different in Summer League. Still not sure how he does enough to matter for fantasy this year, but I haven’t written him off completely. I was low on him as a prospect, so the</t>
  </si>
  <si>
    <t>Amari Williams</t>
  </si>
  <si>
    <t>[Josh: Rookie center on a two-way deal after being taken in the second round. Known as a good passer for his size, but questions remain about whether he can handle the NBA level. More of a developmental project than someone to track for immediate impact.]</t>
  </si>
  <si>
    <t>Two-Way Player</t>
  </si>
  <si>
    <t>Kevin Love</t>
  </si>
  <si>
    <t>[Josh: Why is unc even here?]</t>
  </si>
  <si>
    <t>James Wiseman</t>
  </si>
  <si>
    <t>[Josh: Like Jackson, is recovering from a torn Achilles. He’s bad, though, and not worth investment.]</t>
  </si>
  <si>
    <t>Gui Santos</t>
  </si>
  <si>
    <t>[Josh: Has the trust of Kerr, yet it’s hard to point to a standout skill that translates into fantasy appeal. More of a depth piece than someone to track closely.]</t>
  </si>
  <si>
    <t>Leonard Miller</t>
  </si>
  <si>
    <t>[Josh: Year three and the production still hasn’t come. There’s always been intrigue with his skill set, but at this point it’s fair to wonder if Joan Beringer passes him in the pecking order. Still only a dynasty stash.]</t>
  </si>
  <si>
    <t>Questionable - pinky finger laceration</t>
  </si>
  <si>
    <t>Orlando Robinson</t>
  </si>
  <si>
    <t>[Josh: Got a decent run in Toronto late last year and looked fine, but he’s buried in the depth chart here. Not someone to keep on the radar.]</t>
  </si>
  <si>
    <t>Unrestricted Free Agent|New Contract|New Team|Two-Way Player</t>
  </si>
  <si>
    <t>Jeremiah Fears</t>
  </si>
  <si>
    <t>[Josh: The number seven pick, but rookie point guards are almost always rough, and he doesn’t have a clean path to minutes with Jordan Poole, Jose Alvarado, and eventually Dejounte Murray in front of him. Maybe he gets a look late in the year, but it’s mo</t>
  </si>
  <si>
    <t>Keaton Wallace</t>
  </si>
  <si>
    <t>[Josh: On a two-way deal and best known as Cason’s brother. Flashed strong defensive ability when pressed into action last season, but remains buried as a deep backup without a path to meaningful minutes.]</t>
  </si>
  <si>
    <t>Jordan Walsh</t>
  </si>
  <si>
    <t>[Josh: Strong defender entering year three, but the offense remains poor and hasn’t shown real signs of improvement. There will be chances on this roster, yet even with a bigger role he doesn’t project as an exciting fantasy option.]</t>
  </si>
  <si>
    <t>Duop Reath</t>
  </si>
  <si>
    <t>[Josh: Older than you would expect and likely buried as the fourth-string center. No real fantasy appeal.]</t>
  </si>
  <si>
    <t>Kris Murray</t>
  </si>
  <si>
    <t>[Josh: Abysmal shooting numbers and has not impressed me once. Clearly far worse than his brother Keegan and looks more like a fringe rotation player than anything useful.]</t>
  </si>
  <si>
    <t>Adou Thiero</t>
  </si>
  <si>
    <t>[Josh: Rookie defensive wing who showed surprisingly high usage in college, but it’s hard to see him carving out a role right away. Long term there’s a hint of OG Anunoby upside if things click, yet for this season he’s just a dynasty stash, not a redraft</t>
  </si>
  <si>
    <t>Noa Essengue</t>
  </si>
  <si>
    <t>[Josh: Rookie forward who impressed in Germany by drawing a ton of free throws as an 18-year-old. Shooting is a big weakness and he’ll struggle plenty early on. Would be interesting to see him get minutes, but with Chicago’s depth at small forward and pow</t>
  </si>
  <si>
    <t>Carter Bryant</t>
  </si>
  <si>
    <t>[Josh: Lottery wing with elite defense, though it doesn’t always translate to defensive stats. The offense could be comically bad. No clear role yet and not someone to worry about for fantasy this season.]</t>
  </si>
  <si>
    <t>Landry Shamet</t>
  </si>
  <si>
    <t>[Josh: Back for another year but locked into a minimal role. Offers very little production and isn’t worth fantasy consideration.]</t>
  </si>
  <si>
    <t>Tidjane Salaun</t>
  </si>
  <si>
    <t>[Josh: Dreadful rookie season followed by an equally rough Summer League showing. Still projects as a backup, but Liam McNeeley could push him out of the rotation entirely. Hard to pinpoint what he does well at this stage, leaving little reason for fantas</t>
  </si>
  <si>
    <t>Branden Carlson</t>
  </si>
  <si>
    <t>[Josh: Stretch big who returns after flashing a little last season. Functions more as a developmental depth piece than someone who’ll matter for fantasy.]</t>
  </si>
  <si>
    <t>Ben Saraf</t>
  </si>
  <si>
    <t>[Josh: Another rookie ball handler who functions more as a point forward than a true guard, but needs the ball in his hands to work. Shooting is a major weakness and the role will be small to start. Some intrigue long term, yet of the three rookie point g</t>
  </si>
  <si>
    <t>Jevon Carter</t>
  </si>
  <si>
    <t>[Josh: Came in with hopes of a bigger role but never made much impact. Now profiles as emergency depth at point guard, leaving little to no fantasy relevance.]</t>
  </si>
  <si>
    <t>Rasheer Fleming</t>
  </si>
  <si>
    <t>[Josh: A strong second-round steal with outrageous college numbers. Power forward depth is thin, so a rotation spot is definitely in play, maybe even more if he pops early.]</t>
  </si>
  <si>
    <t>Dalen Terry</t>
  </si>
  <si>
    <t>[Josh: Big disappointment as a former first-round pick, with little to show through three years. Shooting remains unreliable, usage is non-existent, and he’s likely out of the rotation at this point.]</t>
  </si>
  <si>
    <t>Ariel Hukporti</t>
  </si>
  <si>
    <t>[Josh: Showed some promise in limited minutes last season, but now sits as the third-string center. Has some long-term intrigue, just not one for fantasy this year.]</t>
  </si>
  <si>
    <t>New Team|Restricted Free Agent</t>
  </si>
  <si>
    <t>Liam McNeeley</t>
  </si>
  <si>
    <t>[Josh: Late first-round rookie who impressed in Summer League. Shooting will be his calling card, but he also flashed more versatility than expected. Role may not be there immediately, yet he’s one to track as the season progresses.]</t>
  </si>
  <si>
    <t>Maxi Kleber</t>
  </si>
  <si>
    <t>[Josh: Injuries have taken most of the pop out of his game and he’s unlikely to get back to being that threes-and-blocks option he once was. Could sneak some backup power forward minutes, but he’s not a fantasy factor anymore.]</t>
  </si>
  <si>
    <t>Probable - quad</t>
  </si>
  <si>
    <t>Dillon Jones</t>
  </si>
  <si>
    <t>[Josh: Arrives from Oklahoma City as a strange prospect. Functions like a point forward but undersized, and the lack of shooting really limits what he can be. Hard to make the case he is a true NBA rotation player.]</t>
  </si>
  <si>
    <t>Sion James</t>
  </si>
  <si>
    <t>[Josh: Solid wing defender with a history of shooting well on low volume in college. Needs injuries ahead of him to see real minutes, and even then doesn’t project as dynamic enough to make a fantasy impact.]</t>
  </si>
  <si>
    <t>Xavier Tillman</t>
  </si>
  <si>
    <t>[Josh: Knee injuries have taken away much of what made him effective in Memphis a few years back. Joe Mazzulla barely trusted him last season, and it’s hard to see him climbing above Neemias Queta or Luka Garza in the rotation. Once a passing, steals-orie</t>
  </si>
  <si>
    <t>Jaden Hardy</t>
  </si>
  <si>
    <t>[Josh: If he had developed more, he’d be in line to benefit from Kyrie Irving being out, but instead he’s stagnated. Not getting excited here, even with the temporary opening.]</t>
  </si>
  <si>
    <t>Kessler Edwards</t>
  </si>
  <si>
    <t>[Josh: Had some moments in Dallas last season, but he still needs a lot to go right to have any relevance. At best, he’s a deep rotation piece without a clear fantasy path.]</t>
  </si>
  <si>
    <t>Zeke Nnaji</t>
  </si>
  <si>
    <t>[Josh: Should be passed in the rotation by Jonas Valanciunas and DaRon Holmes. Had his chances but never capitalized, and now looks like an afterthought.]</t>
  </si>
  <si>
    <t>Tyrese Proctor</t>
  </si>
  <si>
    <t>[Josh: Rookie point guard who will battle Craig Porter Jr. for minutes. Had a nice Summer League and looks like a solid passer, but he’s obviously not reliable yet and more of a developmental piece than a draft target.]</t>
  </si>
  <si>
    <t>Lindy Waters III</t>
  </si>
  <si>
    <t>[Josh: Hall Pass legend whose shooting fell off last season. Likely just emergency depth at this point.]</t>
  </si>
  <si>
    <t>Bobi Klintman</t>
  </si>
  <si>
    <t>[Josh: Rookie year wiped out by injury. An interesting shooting and passing big, but we need to see him healthy before knowing if his game translates in the NBA.]</t>
  </si>
  <si>
    <t>Jackson Rowe</t>
  </si>
  <si>
    <t>Kobe Brown</t>
  </si>
  <si>
    <t>[Josh: Flashed some things, but has no clear role here yet.]</t>
  </si>
  <si>
    <t>Daeqwon Plowden</t>
  </si>
  <si>
    <t>[Josh: Has some skills, but there is no path to a real role here.]</t>
  </si>
  <si>
    <t>Restricted Free Agent|New Contract|New Team|Two-Way Player</t>
  </si>
  <si>
    <t>Nolan Traore</t>
  </si>
  <si>
    <t>[Josh: Another rookie point guard, likely slotted behind Egor Demin for now. Long-term outlook is more appealing, with a better shooting profile, but year one expectations are low. If he somehow wins the starting job he’s worth a flier, though odds are he</t>
  </si>
  <si>
    <t>Bronny James</t>
  </si>
  <si>
    <t>[Josh: Made some real strides as last season wore on and looked composed at Summer League, especially on defense. Shooting is still a major issue though, and while he might earn rotation minutes, he’s nowhere near standard league fantasy relevance.]</t>
  </si>
  <si>
    <t>Hunter Tyson</t>
  </si>
  <si>
    <t>[Josh: Hasn’t shown much through two years and isn’t relied upon in the rotation. No reason to expect a leap at this point.]</t>
  </si>
  <si>
    <t>PJ Hall</t>
  </si>
  <si>
    <t>[Josh: Second-year stretch big on a two-way deal. The shooting touch is interesting, but without a clear rotation path he’s not on the fantasy radar outside of very deep dynasty formats.]</t>
  </si>
  <si>
    <t>Tosan Evbuomwan</t>
  </si>
  <si>
    <t>[Josh: Got minutes only during last season’s tank stretch, showing some passing ability out of position and solid rebounding, but the shooting remains a problem. On a two-way deal now and unlikely to have much involvement beyond spot duty.]</t>
  </si>
  <si>
    <t>New Contract|Restricted Free Agent|Two-Way Player</t>
  </si>
  <si>
    <t>Antonio Reeves</t>
  </si>
  <si>
    <t>[Josh: Had a few moments very late last season with the Pelicans, but nothing that suggests reliable value. Interest should remain low heading into this year.]</t>
  </si>
  <si>
    <t>New Team|Restricted Free Agent|Two-Way Player</t>
  </si>
  <si>
    <t>Taelon Peter</t>
  </si>
  <si>
    <t>[Josh: Outrageously efficient in college, but has a long way to go before contributing at this level.]</t>
  </si>
  <si>
    <t>Nae'Qwan Tomlin</t>
  </si>
  <si>
    <t>[Josh: Barely saw the floor last season and returns on a two-way deal. Older for a second-year player, but brings some rebounding ability. Still just depth at this stage and unlikely to make much impact.]</t>
  </si>
  <si>
    <t>KJ Simpson</t>
  </si>
  <si>
    <t>[Josh: Filled in at point guard on a two-way as a rookie and held his own, showing he looks like an NBA player. Still buried on the depth chart, but there’s hope he can at least leap ahead of Spencer Dinwiddie. Worth tracking if backcourt injuries open a</t>
  </si>
  <si>
    <t>Hugo Gonzalez</t>
  </si>
  <si>
    <t>[Josh: First-round pick who looks likely to struggle in year one. Opportunities should rise later in the season, but there’s no clear standout skill to bank on. Profiles as a typical Euro-style point forward with poor shooting, making him more of a long-t</t>
  </si>
  <si>
    <t>Max Shulga</t>
  </si>
  <si>
    <t>[Josh: Second-round pick with a reputation as a shooting bomber from the guard spot. Question is whether he does enough in other areas to stick, making him more of a specialist than a real fantasy factor.]</t>
  </si>
  <si>
    <t>Johni Broome</t>
  </si>
  <si>
    <t>[Josh: Big-time usage player in college, but I’m very skeptical about his shooting and defense translating. Looks more like a college star than someone who will make a real NBA impact.]</t>
  </si>
  <si>
    <t>Kam Jones</t>
  </si>
  <si>
    <t>[Josh: Could be Carlisle’s new rookie infatuation. Can play both guard spots, and while not fantasy relevant, may play more than expected.]</t>
  </si>
  <si>
    <t>Injured - back (10g) - 11/11/2025</t>
  </si>
  <si>
    <t>Jordan Miller</t>
  </si>
  <si>
    <t>[Josh: Showed improvement last season, but is down the depth chart. The Clippers are leaning old and he is young.]</t>
  </si>
  <si>
    <t>Jaden Springer</t>
  </si>
  <si>
    <t>Jamal Cain</t>
  </si>
  <si>
    <t>Rayan Rupert</t>
  </si>
  <si>
    <t>[Josh: Has not flashed much as a backup wing. Shooting is still a big concern, though he can handle the ball a little. Nothing here for standard leagues.]</t>
  </si>
  <si>
    <t>Olivier-Maxence Prosper</t>
  </si>
  <si>
    <t>[Josh: Picked up on a two-way after being cut by Dallas. Brings defensive effort but the offense hasn’t translated, so he’s just another body in Memphis’ wing logjam without fantasy appeal.]</t>
  </si>
  <si>
    <t>Ousmane Dieng</t>
  </si>
  <si>
    <t>[Josh: Feels like a make-or-break year, and most likely it’s break. Could be trade bait. Has interesting assist numbers for his position, but the shooting and role are too unreliable to trust.]</t>
  </si>
  <si>
    <t>A.J. Lawson</t>
  </si>
  <si>
    <t>[Josh: Very quick guard and clearly NBA calibre, but the shooting remains a concern. No real role for him here.]</t>
  </si>
  <si>
    <t>David Jones-Garcia</t>
  </si>
  <si>
    <t>Restricted Free Agent|New Team|New Contract|Two-Way Player</t>
  </si>
  <si>
    <t>RayJ Dennis</t>
  </si>
  <si>
    <t>[Josh: On a two-way deal and could get thrown out there for minutes. If the Pacers lean into a tank, may see games in March.]</t>
  </si>
  <si>
    <t>Bismack Biyombo</t>
  </si>
  <si>
    <t>[Josh: Hard to see why they signed him with Olynyk and Kornet already there. Extremely limited upside.]</t>
  </si>
  <si>
    <t>Jeff Green</t>
  </si>
  <si>
    <t>[Josh: Unc is back. Deep depth piece, but still pops off once or twice a year.]</t>
  </si>
  <si>
    <t>Jordan McLaughlin</t>
  </si>
  <si>
    <t>[Josh: Emergency guard option at a position where they already have plenty of bodies. No real path to matter.]</t>
  </si>
  <si>
    <t>Dwight Powell</t>
  </si>
  <si>
    <t>[Josh: Somehow still hanging around. At this point more team mascot than rotation piece, with no fantasy relevance.]</t>
  </si>
  <si>
    <t>Yanic Konan Niederhauser</t>
  </si>
  <si>
    <t>[Josh: Does not look like an NBA-level player and sits far down the depth chart. Won’t play much.]</t>
  </si>
  <si>
    <t>Koby Brea</t>
  </si>
  <si>
    <t>[Josh: An unbelievable shooter who could fit nicely next to Devin Booker. On a two-way deal though, and it is not clear what else he brings beyond the jumper.]</t>
  </si>
  <si>
    <t>Jett Howard</t>
  </si>
  <si>
    <t>[Josh: Two awful years in and he still can’t get minutes despite Orlando’s desperate need for shooting. At this point there’s no real hope for him as a fantasy piece.]</t>
  </si>
  <si>
    <t>Tyler Kolek</t>
  </si>
  <si>
    <t>[Josh: Low-usage point guard who can rack up assists, but he looked overmatched against NBA athletes. Buried down the depth chart now, leaving no real fantasy pathway.]</t>
  </si>
  <si>
    <t>Isaac Jones</t>
  </si>
  <si>
    <t>Jamison Battle</t>
  </si>
  <si>
    <t>[Josh: Chucks a ton of threes and was a nice rookie surprise, but he’s not a rotation guy most nights.]</t>
  </si>
  <si>
    <t>Malaki Branham</t>
  </si>
  <si>
    <t>[Josh: San Antonio gave up on him and Washington took a cheap flyer. Last year was awful with bad efficiency and a ball stopping style that dragged lineups. It is just a lottery ticket and there is not much in his profile that suggests he becomes useful.]</t>
  </si>
  <si>
    <t>Drake Powell</t>
  </si>
  <si>
    <t>PG/SG/SF/PF</t>
  </si>
  <si>
    <t>[Josh: One of five first-rounders but sidelined for Summer League with injury. College production was underwhelming, and while the size fits on the wing, there’s little to suggest early impact. Likely to see more run late in the season, but not in a way t</t>
  </si>
  <si>
    <t>Dylan Cardwell</t>
  </si>
  <si>
    <t>[Josh: Rookie big man on a two-way contract. Hard to see him making any impact this season.]</t>
  </si>
  <si>
    <t>Chaz Lanier</t>
  </si>
  <si>
    <t>[Josh: Second-round pick brought in as a long-term shooter to replace the Beasley/Hardaway archetype. Limited role early, but the skill set is clear.]</t>
  </si>
  <si>
    <t>Keshad Johnson</t>
  </si>
  <si>
    <t>[Josh: Brings real athletic pop and could sneak into the rotation if things break his way, but it’s still a long shot. More of a name to monitor than someone you draft.]</t>
  </si>
  <si>
    <t>A.J. Johnson</t>
  </si>
  <si>
    <t>[Josh: They gave him some run at point guard to close last season and he showed flashes as a creator. The problem is the shot is not there and the Wizards now have too many other guards to make room for him. For now the role just does not exist.]</t>
  </si>
  <si>
    <t>Colby Jones</t>
  </si>
  <si>
    <t>[Josh: Had a couple of interesting games for the Wizards last season, but projects for only a limited role here and unlikely to matter for fantasy.]</t>
  </si>
  <si>
    <t>Vladislav Goldin</t>
  </si>
  <si>
    <t>[Josh: Rookie big on a two-way deal with some interesting tools. Given Miami’s shallow center depth, he might actually carve out minutes, though it’s unlikely to be enough for standard-league relevance. Just a deep-league watchlist guy.]</t>
  </si>
  <si>
    <t>Isaiah Livers</t>
  </si>
  <si>
    <t>[Josh: Missed all of last season and is back now on a two-way. Once had some intrigue in Detroit, but he never put it all together and feels like depth only.]</t>
  </si>
  <si>
    <t>EJ Harkless</t>
  </si>
  <si>
    <t>Chris Manon</t>
  </si>
  <si>
    <t>Drew Peterson</t>
  </si>
  <si>
    <t>[Josh: Two-way player who spent time with Boston last season. Already 26 years old and hasn’t shown enough to suggest he’s worth long-term investment. More of a roster filler than someone to track.]</t>
  </si>
  <si>
    <t>Alijah Martin</t>
  </si>
  <si>
    <t>Tyson Etienne</t>
  </si>
  <si>
    <t>[Josh: On a two-way contract after signing late and only appearing in seven games. A guard type the roster doesn’t need more of, making it hard to see any impact. With multiple rookie guards drafted and veterans ahead of him, he’s likely buried even deepe</t>
  </si>
  <si>
    <t>Cam Christie</t>
  </si>
  <si>
    <t>[Josh: Set for another development year. Could become a useful wing in time, but is still very young and without a real role at this stage.]</t>
  </si>
  <si>
    <t>Micah Peavy</t>
  </si>
  <si>
    <t>[Josh: Second-round rookie who might get some late-season run if the year goes south, but there’s nothing here for standard leagues.]</t>
  </si>
  <si>
    <t>Noah Penda</t>
  </si>
  <si>
    <t>[Josh: Intriguing second-round pick with good size and some projectable skills, but there’s no role for him this season. Strictly a developmental stash.]</t>
  </si>
  <si>
    <t>E.J. Liddell</t>
  </si>
  <si>
    <t>Two-Way Player|Restricted Free Agent|New Contract</t>
  </si>
  <si>
    <t>RJ Luis</t>
  </si>
  <si>
    <t>[Josh: Undrafted rookie wing on a two-way deal, brought in as part of the Georges Niang salary dump that Brad Stevens targeted. Has the size for the position, but isn’t expected to make an impact this season.]</t>
  </si>
  <si>
    <t>Pat Spencer</t>
  </si>
  <si>
    <t>Trey Alexander</t>
  </si>
  <si>
    <t>[Josh: Showed flashes in college and put up okay G League numbers after not cracking Denver’s rotation. Wouldn’t completely rule him out in New Orleans, especially if the season unravels, but he’s not draftable.]</t>
  </si>
  <si>
    <t>Kevin McCullar Jr</t>
  </si>
  <si>
    <t>[Josh: Back on a two-way deal after barely playing last season. Defense is solid but the limited shooting caps his upside. Not a fantasy option.]</t>
  </si>
  <si>
    <t>Will Richard</t>
  </si>
  <si>
    <t>Curtis Jones</t>
  </si>
  <si>
    <t>[Josh: On a two-way contract, but this team is far too deep for him to matter. No fantasy outlook here.]</t>
  </si>
  <si>
    <t>Tyler Smith</t>
  </si>
  <si>
    <t>[Josh: Was an intriguing draft prospect, but Doc Rivers buried him and he didn’t stand out in either the G League or NBA minutes he did get. Given Rivers’ track record with young players, there’s little reason to expect a breakout.]</t>
  </si>
  <si>
    <t>Alex Toohey</t>
  </si>
  <si>
    <t>Javon Small</t>
  </si>
  <si>
    <t>[Josh: An intriguing rookie guard with some playmaking pop, but the lack of size makes it tough to project a meaningful role early. More of a developmental piece than someone for fantasy consideration right now.]</t>
  </si>
  <si>
    <t>Ryan Nembhard</t>
  </si>
  <si>
    <t>[Josh: Good passer but undersized, and comes in as an undrafted rookie on a two-way deal. Brother of Andrew Nembhard in Indiana. Nothing here for fantasy unless the roster is completely gutted by injuries.]</t>
  </si>
  <si>
    <t>Trey Jemison</t>
  </si>
  <si>
    <t>[Josh: Showed flashes in Memphis and New Orleans but couldn’t carve out a steady role last season. Gets another shot here as a depth big, but he’ll need injuries to matter.]</t>
  </si>
  <si>
    <t>New Team|Unrestricted Free Agent|New Contract|Two-Way Player</t>
  </si>
  <si>
    <t>Enrique Freeman</t>
  </si>
  <si>
    <t>[Josh: Back for a second year on a two-way after spending last season with Indiana. An undersized center who rebounds well, but without a real role he’s just organizational depth.]</t>
  </si>
  <si>
    <t>Doug McDermott</t>
  </si>
  <si>
    <t>[Josh: Absolutely no idea why he is back on an NBA roster. Should not be in the rotation.]</t>
  </si>
  <si>
    <t>Nikola Djurisic</t>
  </si>
  <si>
    <t>[Josh: Second-rounder from last year who stayed unsigned after a broken foot but did get G League reps, where he struggled badly. Functions as a point forward in the European mold, but will need to show a much higher level than he has so far to push for r</t>
  </si>
  <si>
    <t>Brooks Barnhizer</t>
  </si>
  <si>
    <t>[Josh: High-energy wing who looks like he’ll carve out a rotation spot long term. Plays hard, but the fantasy-friendly numbers don’t appear to be there.]</t>
  </si>
  <si>
    <t>Garrett Temple</t>
  </si>
  <si>
    <t>Jamir Watkins</t>
  </si>
  <si>
    <t>Miles Kelly</t>
  </si>
  <si>
    <t>[Josh: A solid two-way signing out of Auburn. Good size for a wing and can shoot a bit, but he’s unlikely to see enough minutes to matter this season.]</t>
  </si>
  <si>
    <t>Kasparas Jakucionis</t>
  </si>
  <si>
    <t>[Josh: Rookie point guard with turnover issues and shaky shooting. Tyler Herro’s injury might open a temporary window for playing time, but it’s hard to see him succeeding in year one. Not worth drafting outside of very deep formats.]</t>
  </si>
  <si>
    <t>Bryce McGowens</t>
  </si>
  <si>
    <t>[Josh: Lost last season to injury and hasn’t made a mark in his prior years in the league. At this point he’s depth only with no fantasy appeal.]</t>
  </si>
  <si>
    <t>Unrestricted Free Agent|New Team|Two-Way Player</t>
  </si>
  <si>
    <t>John Tonje</t>
  </si>
  <si>
    <t>Luke Travers</t>
  </si>
  <si>
    <t>[Josh: A little surprising he’s back. Can’t really shoot and is an undersized power forward. Brings good energy and vibes, but that’s about the extent of his impact.]</t>
  </si>
  <si>
    <t>Will Riley</t>
  </si>
  <si>
    <t>[Josh: Probably my least liked pick from the first round. The steal rate was comically low in college and the shooting profile does not inspire confidence. He does have size, but with no defined role here he is a long term project more than a rookie contr</t>
  </si>
  <si>
    <t>Caleb Love</t>
  </si>
  <si>
    <t>[Josh: High-usage guard on a two-way deal, but I am not convinced he is NBA calibre.]</t>
  </si>
  <si>
    <t>Kevon Harris</t>
  </si>
  <si>
    <t>[Josh: Came from Orlando. Too old for a two-way guy and not relevant here.]</t>
  </si>
  <si>
    <t>CJ Huntley</t>
  </si>
  <si>
    <t>Sidy Cissoko</t>
  </si>
  <si>
    <t>Chucky Hepburn</t>
  </si>
  <si>
    <t>Pacome Dadiet</t>
  </si>
  <si>
    <t>[Josh: Last year’s first-rounder never got a look under Thibs, which wasn’t surprising. Total mystery whether he can even be serviceable in the rotation, so he’s just a stash-and-watch prospect.]</t>
  </si>
  <si>
    <t>Hunter Sallis</t>
  </si>
  <si>
    <t>[Josh: Two-way rookie wing with a well-rounded stat profile. Probably won’t matter most of the year, but if injuries pile up or the season goes off the rails, he could sneak into a Justin Edwards–type opportunity.]</t>
  </si>
  <si>
    <t>J.D. Davison</t>
  </si>
  <si>
    <t>[Josh: Two-way point guard. Nice passer, but the shooting doesn’t work. Not relevant for fantasy.]</t>
  </si>
  <si>
    <t>Thanasis Antetokounmpo</t>
  </si>
  <si>
    <t>[Josh: On the roster to keep Giannis Antetokounmpo happy, not to contribute. No fantasy relevance.]</t>
  </si>
  <si>
    <t>Sharife Cooper</t>
  </si>
  <si>
    <t>New Team|Restricted Free Agent|New Contract|Two-Way Player</t>
  </si>
  <si>
    <t>Spencer Jones</t>
  </si>
  <si>
    <t>[Josh: Got a little run last year and returns on a two-way deal. Doesn’t offer significant upside and unlikely to be more than deep depth.]</t>
  </si>
  <si>
    <t>Tamar Bates</t>
  </si>
  <si>
    <t>[Josh: Undrafted rookie on a two-way deal. No expected impact this season.]</t>
  </si>
  <si>
    <t>Hunter Dickinson</t>
  </si>
  <si>
    <t>Nick Smith Jr.</t>
  </si>
  <si>
    <t>Isaiah Stevens</t>
  </si>
  <si>
    <t>New Team|New Contract|Restricted Free Agent|Two-Way Player</t>
  </si>
  <si>
    <t>Chris Livingston</t>
  </si>
  <si>
    <t>[Josh: Another young piece who hasn’t been given much opportunity. Rebounding is a strength, but with no clear role he’s off the fantasy radar.]</t>
  </si>
  <si>
    <t>Harrison Ingram</t>
  </si>
  <si>
    <t>Tristen Newton</t>
  </si>
  <si>
    <t>[Josh: Didn’t show much last season to prove he belongs in the rotation, but the team kept him around anyway. No reason to consider him for fantasy.]</t>
  </si>
  <si>
    <t>Daniss Jenkins</t>
  </si>
  <si>
    <t>[Josh: Long way to climb the depth chart, but worth keeping in mind as a potential depth point guard. Not relevant now, but not completely out of the picture either.]</t>
  </si>
  <si>
    <t>Emanuel Miller</t>
  </si>
  <si>
    <t>[Josh: Back on a two-way deal, but Chicago rarely uses those guys in any meaningful way. Might be the least relevant player in the entire league from a fantasy perspective.]</t>
  </si>
  <si>
    <t>Ulrich Chomche</t>
  </si>
  <si>
    <t>Riley Minix</t>
  </si>
  <si>
    <t>Myron Gardner</t>
  </si>
  <si>
    <t>Isaiah Crawford</t>
  </si>
  <si>
    <t>[Josh: Lots of knee injuries and did nothing in Sacramento last season. Another two-way depth swing with little impact.]</t>
  </si>
  <si>
    <t>Eli John Ndiaye</t>
  </si>
  <si>
    <t>[Josh: Rookie big on a two-way deal, known mainly for shot blocking. Not a highly regarded prospect and unlikely to see meaningful opportunity.]</t>
  </si>
  <si>
    <t>Joe Ingles</t>
  </si>
  <si>
    <t>[Josh: Almost certainly re-signed just to provide leadership and locker-room stability. Strictly a vibes guy at this stage, not a fantasy option.]</t>
  </si>
  <si>
    <t>Yuki Kawamura</t>
  </si>
  <si>
    <t>[Josh: Undersized guard who spent last season in Memphis and now slots in as point guard depth. Realistically too small to carve out a role, and feels more like a marketing play to connect with Japan than a meaningful rotation piece.]</t>
  </si>
  <si>
    <t>Lachlan Olbrich</t>
  </si>
  <si>
    <t>[Josh: Tall Aussie on a two-way deal, following in the footsteps of Cam Bairstow and Luc Longley. Doubt he makes much of an impact, more a depth piece than someone to track.]</t>
  </si>
  <si>
    <t>Kobe Sanders</t>
  </si>
  <si>
    <t>[Josh: A late second-round pick who won’t see playing time here. The upside doesn’t look great.]</t>
  </si>
  <si>
    <t>Tolu Smith</t>
  </si>
  <si>
    <t>[Josh: Played just one game, and while the numbers looked good, it was the final game of the season. Already 25 and on a two-way deal, so expectations should be very low.]</t>
  </si>
  <si>
    <t>Rocco Zikarsky</t>
  </si>
  <si>
    <t>[Josh: Raw long-term center project signed to a two-way deal. Looked overmatched in the NBL last season and is years away from NBA impact. Strictly a developmental flier, not a fantasy name.]</t>
  </si>
  <si>
    <t>Cameron Matthews</t>
  </si>
  <si>
    <t>NVR</t>
  </si>
  <si>
    <t>Jacob Toppin</t>
  </si>
  <si>
    <t>[Josh: Obi’s brother, but doesn’t look like an NBA-level player even in a two-way role.]</t>
  </si>
  <si>
    <t>Trentyn Flowers</t>
  </si>
  <si>
    <t>[Josh: Another young raw piece who won’t play much. Functions more as a point forward, but the shooting is a real concern.]</t>
  </si>
  <si>
    <t>Pete Nance</t>
  </si>
  <si>
    <t>Mark Sears</t>
  </si>
  <si>
    <t>[Josh: Rookie point guard on a two-way deal with solid college production, but Milwaukee isn’t the place to expect developmental minutes. Safe to ignore for fantasy.]</t>
  </si>
  <si>
    <t>Jamaree Bouyea</t>
  </si>
  <si>
    <t>Alex Len</t>
  </si>
  <si>
    <t>Kadary Richmond</t>
  </si>
  <si>
    <t>Andre Jackson Jr.</t>
  </si>
  <si>
    <t>Dawson Garcia</t>
  </si>
  <si>
    <t>Olivier Sarr</t>
  </si>
  <si>
    <t>Malik Williams</t>
  </si>
  <si>
    <t>Thomas Sorber</t>
  </si>
  <si>
    <t>Out for season - torn acl (80g) - 7/12/2026</t>
  </si>
  <si>
    <t>Micah Potter</t>
  </si>
  <si>
    <t>Ron Harper Jr.</t>
  </si>
  <si>
    <t>Kobe Johnson</t>
  </si>
  <si>
    <t>Jon Elmore</t>
  </si>
  <si>
    <t>Dennis Smith Jr.</t>
  </si>
  <si>
    <t>Moussa Cisse</t>
  </si>
  <si>
    <t>Jalen Slawson</t>
  </si>
  <si>
    <t>Isaac Nogues</t>
  </si>
  <si>
    <t>Amir Coffey</t>
  </si>
  <si>
    <t>Dariq Whitehead</t>
  </si>
  <si>
    <t>[Josh: Injuries have derailed his career so far, though the shooting upside remains with 40+% potential from deep. Looked slow on court while recovering from foot issues, leaving him a long way off from consistent impact. Still a higher-upside swing than</t>
  </si>
  <si>
    <t>Drew Timme</t>
  </si>
  <si>
    <t>[Josh: Got into nine games late last season and put up decent numbers, but all in garbage time. Shooting remains a weakness and he’s undersized for a big, which makes it unclear if he’s truly an NBA-level player. At best he could intrigue as a deep backup</t>
  </si>
  <si>
    <t>Christian Shumate</t>
  </si>
  <si>
    <t>Dain Dainja</t>
  </si>
  <si>
    <t>Patrick McCaffery</t>
  </si>
  <si>
    <t>L.J. Cryer</t>
  </si>
  <si>
    <t>Lawson Lovering</t>
  </si>
  <si>
    <t>Cam Payne</t>
  </si>
  <si>
    <t>Terence Davis</t>
  </si>
  <si>
    <t>Matt Ryan</t>
  </si>
  <si>
    <t>Malevy Leons</t>
  </si>
  <si>
    <t>Augustas Marciulionis</t>
  </si>
  <si>
    <t>Lamont Butler</t>
  </si>
  <si>
    <t>Keon Johnson</t>
  </si>
  <si>
    <t>FA</t>
  </si>
  <si>
    <t>[Josh: Brooklyn leaned on him as a point guard last season, but shooting remains a clear weakness. Defense and steals are his strengths, yet with multiple rookie point guards added in the draft, it’s hard to see him matching last year’s role—unappealing a</t>
  </si>
  <si>
    <t>Eric Dixon</t>
  </si>
  <si>
    <t>Jaylen Sims</t>
  </si>
  <si>
    <t>Mouhamadou Gueye</t>
  </si>
  <si>
    <t>Chaney Johnson</t>
  </si>
  <si>
    <t>Anthony Gill</t>
  </si>
  <si>
    <t>Norchad Omier</t>
  </si>
  <si>
    <t>Jazian Gortman</t>
  </si>
  <si>
    <t>Tyler Burton</t>
  </si>
  <si>
    <t>R.J. Davis</t>
  </si>
  <si>
    <t>Braxton Key</t>
  </si>
  <si>
    <t>Alex Morales</t>
  </si>
  <si>
    <t>Jason Preston</t>
  </si>
  <si>
    <t>Fanbo Zeng</t>
  </si>
  <si>
    <t>Moses Brown</t>
  </si>
  <si>
    <t>Ethan Thompson</t>
  </si>
  <si>
    <t>Stanley Umude</t>
  </si>
  <si>
    <t>Lester Quinones</t>
  </si>
  <si>
    <t>Emoni Bates</t>
  </si>
  <si>
    <t>DaQuan Jeffries</t>
  </si>
  <si>
    <t>Seth Curry</t>
  </si>
  <si>
    <t>Cormac Ryan</t>
  </si>
  <si>
    <t>Mohamed Diawara</t>
  </si>
  <si>
    <t>Jahmir Young</t>
  </si>
  <si>
    <t>Tyrese Haliburton</t>
  </si>
  <si>
    <t>Out for season - torn achilles (80g) - 7/12/2026</t>
  </si>
  <si>
    <t>Garrison Mathews</t>
  </si>
  <si>
    <t>Brice Williams</t>
  </si>
  <si>
    <t>Jalen Bridges</t>
  </si>
  <si>
    <t>Damian Lillard</t>
  </si>
  <si>
    <t>[Josh: Back in Portland which is a nice story, but he will not play this season after the Achilles tear. Zero fantasy value for 2025–26.]</t>
  </si>
  <si>
    <t>Out for season - achilles (80g) - 7/12/2026</t>
  </si>
  <si>
    <t>Jahmai Mashack</t>
  </si>
  <si>
    <t>Patrick Baldwin</t>
  </si>
  <si>
    <t>Dalano Banton</t>
  </si>
  <si>
    <t>Colin Castleton</t>
  </si>
  <si>
    <t>Kennedy Chandler</t>
  </si>
  <si>
    <t>Skal Labissiere</t>
  </si>
  <si>
    <t>Reece Beekman</t>
  </si>
  <si>
    <t>Arthur Kaluma</t>
  </si>
  <si>
    <t>Chris Youngblood</t>
  </si>
  <si>
    <t>Saliou Niang</t>
  </si>
  <si>
    <t>Jarkel Joiner</t>
  </si>
  <si>
    <t>Charles Bediako</t>
  </si>
  <si>
    <t>Caleb Houstan</t>
  </si>
  <si>
    <t>[Josh: Comes over from Orlando as a wing who can shoot, but even with expanded minutes he hasn’t shown enough to spark real interest. Strictly a depth piece without a clear path to standard league relevance.]</t>
  </si>
  <si>
    <t>Jayson Tatum</t>
  </si>
  <si>
    <t>Injured - achilles tear (80g) - 7/12/2026</t>
  </si>
  <si>
    <t>Malcolm Hill</t>
  </si>
  <si>
    <t>Zack Austin</t>
  </si>
  <si>
    <t>Mo Bamba</t>
  </si>
  <si>
    <t>[Josh: On a non-guaranteed deal and hasn’t proven to be a reliable NBA player. No need to consider him for fantasy.]</t>
  </si>
  <si>
    <t>Kendall Brown</t>
  </si>
  <si>
    <t>Jalen Wilson</t>
  </si>
  <si>
    <t>[Josh: Last season’s production was more about circumstance on a bad roster than genuine breakout. Nothing in the profile stands out, and even with a starting role, there isn’t enough here to matter for fantasy.]</t>
  </si>
  <si>
    <t>Adam Flagler</t>
  </si>
  <si>
    <t>Pat Connaughton</t>
  </si>
  <si>
    <t>Jeremiah Robinson-Earl</t>
  </si>
  <si>
    <t>Fred VanVleet</t>
  </si>
  <si>
    <t>[Josh: Disappointing season with drops in field goal percentage, assists, and steals, but he remains vital for Houston as their stabilizing veteran guard. Minutes and usage should still be strong, but expectations need to be tempered from his Toronto peak</t>
  </si>
  <si>
    <t>David Roddy</t>
  </si>
  <si>
    <t>Trevor Keels</t>
  </si>
  <si>
    <t>TOP</t>
  </si>
  <si>
    <t>Don't sort this table!</t>
  </si>
  <si>
    <t>D</t>
  </si>
  <si>
    <t>E</t>
  </si>
  <si>
    <t>F</t>
  </si>
  <si>
    <t>G</t>
  </si>
  <si>
    <t>I</t>
  </si>
  <si>
    <t>J</t>
  </si>
  <si>
    <t>K</t>
  </si>
  <si>
    <t>N</t>
  </si>
  <si>
    <t>O</t>
  </si>
  <si>
    <t>P</t>
  </si>
  <si>
    <t>Q</t>
  </si>
  <si>
    <t>Current</t>
  </si>
  <si>
    <t>Last</t>
  </si>
  <si>
    <t>Categories Won</t>
  </si>
  <si>
    <t>PLAYERS</t>
  </si>
  <si>
    <t>STATUS</t>
  </si>
  <si>
    <t>RANK</t>
  </si>
  <si>
    <t>TYPE</t>
  </si>
  <si>
    <t>ACTION</t>
  </si>
  <si>
    <t>Nikola Jokic
DenC</t>
  </si>
  <si>
    <t/>
  </si>
  <si>
    <t>Giannis AntetokounmpoDTD
MilPF</t>
  </si>
  <si>
    <t>Luka Doncic
DalPG</t>
  </si>
  <si>
    <t>James Harden
BknSG, PG</t>
  </si>
  <si>
    <t>Karl-Anthony Towns
MinC</t>
  </si>
  <si>
    <t>Bradley Beal
WshSG</t>
  </si>
  <si>
    <t>Damian Lillard
PorPG</t>
  </si>
  <si>
    <t>Paul George
LACSF, SG</t>
  </si>
  <si>
    <t>Stephen Curry
GSPG</t>
  </si>
  <si>
    <t>Jayson Tatum
BosPF, SF</t>
  </si>
  <si>
    <t>Kevin Durant
BknSF, PF</t>
  </si>
  <si>
    <t>Nikola Vucevic
ChiC</t>
  </si>
  <si>
    <t>Zion WilliamsonO
NOPF</t>
  </si>
  <si>
    <t>De'Aaron Fox
SacPG</t>
  </si>
  <si>
    <t>Joel Embiid
PhiC</t>
  </si>
  <si>
    <t>LeBron JamesO
LALSF, PG, PF</t>
  </si>
  <si>
    <t>Trae Young
AtlPG</t>
  </si>
  <si>
    <t>Fred VanVleet
TorSG, PG</t>
  </si>
  <si>
    <t>Donovan Mitchell
UtahSG, PG</t>
  </si>
  <si>
    <t>Domantas Sabonis
IndPF</t>
  </si>
  <si>
    <t>Anthony Davis
LALPF</t>
  </si>
  <si>
    <t>Julius Randle
NYPF</t>
  </si>
  <si>
    <t>Rudy Gobert
UtahC</t>
  </si>
  <si>
    <t>LaMelo Ball
ChaPG</t>
  </si>
  <si>
    <t>Jimmy Butler
MiaSF, SG</t>
  </si>
  <si>
    <t>Shai Gilgeous-Alexander
OKCSG, PG</t>
  </si>
  <si>
    <t>Dejounte Murray
SAPG, SG</t>
  </si>
  <si>
    <t>Bam Adebayo
MiaC, PF</t>
  </si>
  <si>
    <t>Jrue Holiday
MilPG, SG</t>
  </si>
  <si>
    <t>Ben Simmons
PhiPG</t>
  </si>
  <si>
    <t>Kyrie Irving
BknPG, SG</t>
  </si>
  <si>
    <t>Michael Porter Jr.
DenSF, PF</t>
  </si>
  <si>
    <t>Chris PaulDTD
PhxPG</t>
  </si>
  <si>
    <t>Russell WestbrookO
LALPG</t>
  </si>
  <si>
    <t>Clint CapelaDTD
AtlC</t>
  </si>
  <si>
    <t>Deandre Ayton
PhxC</t>
  </si>
  <si>
    <t>Tobias Harris
PhiSF, PF</t>
  </si>
  <si>
    <t>Devin Booker
PhxSG, PG</t>
  </si>
  <si>
    <t>Khris Middleton
MilSF, SG</t>
  </si>
  <si>
    <t>Christian Wood
HouC, PF</t>
  </si>
  <si>
    <t>Jaylen Brown
BosSG, SF</t>
  </si>
  <si>
    <t>Lonzo Ball
ChiPG</t>
  </si>
  <si>
    <t>Zach LaVine
ChiSG</t>
  </si>
  <si>
    <t>Ja Morant
MemPG</t>
  </si>
  <si>
    <t>Brandon Ingram
NOSF, PF</t>
  </si>
  <si>
    <t>Caris LeVertO
IndSG, SF</t>
  </si>
  <si>
    <t>CJ McCollum
PorSG</t>
  </si>
  <si>
    <t>DeMar DeRozan
ChiSG, SF</t>
  </si>
  <si>
    <t>Collin Sexton
CleSG, PG</t>
  </si>
  <si>
    <t>Montrezl Harrell
WshC, PF</t>
  </si>
  <si>
    <t>Terry Rozier
ChaPG, SG</t>
  </si>
  <si>
    <t>Jusuf Nurkic
PorC</t>
  </si>
  <si>
    <t>Pascal SiakamO
TorPF</t>
  </si>
  <si>
    <t>Draymond Green
GSPF</t>
  </si>
  <si>
    <t>Jakob Poeltl
SAC</t>
  </si>
  <si>
    <t>Anthony Edwards
MinSG, SF</t>
  </si>
  <si>
    <t>Robert Williams III
BosC, PF</t>
  </si>
  <si>
    <t>Tyrese Haliburton
SacPG, SG</t>
  </si>
  <si>
    <t>Kyle Lowry
MiaPG</t>
  </si>
  <si>
    <t>Jalen Suggs
OrlPG, SG</t>
  </si>
  <si>
    <t>Derrick White
SAPG, SG</t>
  </si>
  <si>
    <t>Cade CunninghamDTD
DetPG</t>
  </si>
  <si>
    <t>Buddy Hield
SacSG, SF</t>
  </si>
  <si>
    <t>Jarrett AllenDTD
CleC</t>
  </si>
  <si>
    <t>Malcolm Brogdon
IndPG, SG</t>
  </si>
  <si>
    <t>Spencer Dinwiddie
WshSG, PG</t>
  </si>
  <si>
    <t>Jonathan IsaacO
OrlPF, SF</t>
  </si>
  <si>
    <t>D'Angelo Russell
MinPG, SG</t>
  </si>
  <si>
    <t>Kemba Walker
NYPG</t>
  </si>
  <si>
    <t>Andrew Wiggins
GSSF, SG</t>
  </si>
  <si>
    <t>OG Anunoby
TorSF, PF</t>
  </si>
  <si>
    <t>John Collins
AtlPF</t>
  </si>
  <si>
    <t>Kristaps Porzingis
DalC, PF</t>
  </si>
  <si>
    <t>Chris Boucher
TorC, PF</t>
  </si>
  <si>
    <t>Jerami Grant
DetSF, PF</t>
  </si>
  <si>
    <t>Isaiah StewartDTD
DetC, PF</t>
  </si>
  <si>
    <t>Richaun Holmes
SacC, PF</t>
  </si>
  <si>
    <t>Darius Garland
ClePG, SG</t>
  </si>
  <si>
    <t>Myles Turner
IndC, PF</t>
  </si>
  <si>
    <t>Nickeil Alexander-Walker
NOSG</t>
  </si>
  <si>
    <t>Jaren Jackson Jr.
MemPF</t>
  </si>
  <si>
    <t>RJ Barrett
NYSF, SG</t>
  </si>
  <si>
    <t>Mike Conley
UtahPG</t>
  </si>
  <si>
    <t>P.J. Washington
ChaPF</t>
  </si>
  <si>
    <t>Jalen Green
HouSG</t>
  </si>
  <si>
    <t>Norman Powell
PorSG, SF</t>
  </si>
  <si>
    <t>Ivica ZubacDTD
LACC</t>
  </si>
  <si>
    <t>Devonte' Graham
NOPG, SG</t>
  </si>
  <si>
    <t>Eric Bledsoe
LACPG, SG</t>
  </si>
  <si>
    <t>Mikal Bridges
PhxSF</t>
  </si>
  <si>
    <t>Wendell Carter Jr.
OrlC</t>
  </si>
  <si>
    <t>Robert Covington
PorPF, SF</t>
  </si>
  <si>
    <t>Thaddeus Young
SAPF, SF, C</t>
  </si>
  <si>
    <t>Marcus Smart
BosSG, PG</t>
  </si>
  <si>
    <t>Dennis Schroder
BosPG</t>
  </si>
  <si>
    <t>Bogdan Bogdanovic
AtlSG, SF</t>
  </si>
  <si>
    <t>Harrison Barnes
SacSF, PF</t>
  </si>
  <si>
    <t>Reggie Jackson
LACPG</t>
  </si>
  <si>
    <t>Keldon Johnson
SASF, PF</t>
  </si>
  <si>
    <t>Tim Hardaway Jr.
DalSG, SF</t>
  </si>
  <si>
    <t>RESEARCH</t>
  </si>
  <si>
    <t>%ROST</t>
  </si>
  <si>
    <t>Scottie Barnes
TorPF, SF</t>
  </si>
  <si>
    <t>Donte DiVincenzoO
MilSG, PG</t>
  </si>
  <si>
    <t>Saddiq Bey
DetSF</t>
  </si>
  <si>
    <t>Joe Ingles
UtahSF, SG, PF</t>
  </si>
  <si>
    <t>Miles Bridges
ChaSF, PF</t>
  </si>
  <si>
    <t>Brook Lopez
MilC</t>
  </si>
  <si>
    <t>Daniel Theis
HouC, PF</t>
  </si>
  <si>
    <t>Mitchell RobinsonO
NYC</t>
  </si>
  <si>
    <t>Jordan Clarkson
UtahSG</t>
  </si>
  <si>
    <t>Killian Hayes
DetPG</t>
  </si>
  <si>
    <t>Marvin Bagley III
SacPF</t>
  </si>
  <si>
    <t>Gordon Hayward
ChaSF</t>
  </si>
  <si>
    <t>Evan Fournier
NYSG, SF</t>
  </si>
  <si>
    <t>Brandon Clarke
MemPF, C</t>
  </si>
  <si>
    <t>Jonas Valanciunas
NOC</t>
  </si>
  <si>
    <t>Hassan Whiteside
UtahC</t>
  </si>
  <si>
    <t>Joe Harris
BknSG, SF</t>
  </si>
  <si>
    <t>Malik Beasley
MinSG, SF</t>
  </si>
  <si>
    <t>Kyle Kuzma
WshPF, SF</t>
  </si>
  <si>
    <t>T.J. McConnell
IndPG</t>
  </si>
  <si>
    <t>Lauri Markkanen
ClePF</t>
  </si>
  <si>
    <t>Thomas BryantO
WshC</t>
  </si>
  <si>
    <t>T.J. WarrenO
IndSF</t>
  </si>
  <si>
    <t>Bojan BogdanovicDTD
UtahPF, SF</t>
  </si>
  <si>
    <t>Steven Adams
MemC</t>
  </si>
  <si>
    <t>Bobby Portis
MilPF</t>
  </si>
  <si>
    <t>Mason Plumlee
ChaC</t>
  </si>
  <si>
    <t>Ricky Rubio
ClePG</t>
  </si>
  <si>
    <t>Klay ThompsonO
GSSG</t>
  </si>
  <si>
    <t>Kelly Olynyk
DetC, PF</t>
  </si>
  <si>
    <t>Monte Morris
DenPG</t>
  </si>
  <si>
    <t>John WallO
HouPG</t>
  </si>
  <si>
    <t>Kyle Anderson
MemSF, PF</t>
  </si>
  <si>
    <t>Kevin Porter Jr.
HouSG, PG</t>
  </si>
  <si>
    <t>Alperen Sengun
HouC</t>
  </si>
  <si>
    <t>Tyler Herro
MiaSG, PG</t>
  </si>
  <si>
    <t>Isaiah Roby
OKCPF</t>
  </si>
  <si>
    <t>Andre Drummond
PhiC</t>
  </si>
  <si>
    <t>Isaac OkoroDTD
CleSF</t>
  </si>
  <si>
    <t>Derrick Rose
NYPG</t>
  </si>
  <si>
    <t>Aaron Gordon
DenPF</t>
  </si>
  <si>
    <t>Patrick WilliamsO
ChiSF, PF</t>
  </si>
  <si>
    <t>Markelle FultzO
OrlPG</t>
  </si>
  <si>
    <t>Darius Bazley
OKCSF, PF</t>
  </si>
  <si>
    <t>Otto Porter Jr.
GSSF</t>
  </si>
  <si>
    <t>Serge IbakaDTD
LACC, PF</t>
  </si>
  <si>
    <t>Al Horford
BosC, PF</t>
  </si>
  <si>
    <t>Kelly Oubre Jr.
ChaPF, SF</t>
  </si>
  <si>
    <t>Dillon Brooks
MemSG, SF</t>
  </si>
  <si>
    <t>Rui HachimuraDTD
WshPF, SF</t>
  </si>
  <si>
    <t>Seth Curry
PhiSG, PG</t>
  </si>
  <si>
    <t>Marcus Morris Sr.
LACPF, SF</t>
  </si>
  <si>
    <t>Doug McDermott
SASF, PF</t>
  </si>
  <si>
    <t>Nerlens Noel
NYC</t>
  </si>
  <si>
    <t>LaMarcus Aldridge
BknPF</t>
  </si>
  <si>
    <t>Moses Brown
DalC</t>
  </si>
  <si>
    <t>Cole Anthony
OrlPG</t>
  </si>
  <si>
    <t>Duncan Robinson
MiaSG, SF</t>
  </si>
  <si>
    <t>Enes Kanter
BosC</t>
  </si>
  <si>
    <t>Talen Horton-Tucker
LALSG, SF</t>
  </si>
  <si>
    <t>Jalen Brunson
DalPG</t>
  </si>
  <si>
    <t>Jae Crowder
PhxPF, SF</t>
  </si>
  <si>
    <t>Danny Green
PhiSG, SF</t>
  </si>
  <si>
    <t>Terrence Ross
OrlSG, SF</t>
  </si>
  <si>
    <t>James WisemanO
GSC</t>
  </si>
  <si>
    <t>Daniel Gafford
WshC, PF</t>
  </si>
  <si>
    <t>Goran Dragic
TorPG</t>
  </si>
  <si>
    <t>Kevin Huerter
AtlSG, SF</t>
  </si>
  <si>
    <t>Alec Burks
NYSG</t>
  </si>
  <si>
    <t>Aleksej Pokusevski
OKCPF</t>
  </si>
  <si>
    <t>Evan Mobley
ClePF, C</t>
  </si>
  <si>
    <t>Dorian Finney-Smith
DalSF, PF</t>
  </si>
  <si>
    <t>Chuma OkekeDTD
OrlPF</t>
  </si>
  <si>
    <t>Khem Birch
TorC</t>
  </si>
  <si>
    <t>Terance Mann
LACSF</t>
  </si>
  <si>
    <t>Larry Nance Jr.
PorPF</t>
  </si>
  <si>
    <t>Franz Wagner
OrlSF</t>
  </si>
  <si>
    <t>Coby WhiteO
ChiPG</t>
  </si>
  <si>
    <t>Blake Griffin
BknPF</t>
  </si>
  <si>
    <t>Rudy GayO
UtahPF</t>
  </si>
  <si>
    <t>Josh Hart
NOSG, SF</t>
  </si>
  <si>
    <t>Kenrich Williams
OKCSF</t>
  </si>
  <si>
    <t>Terence Davis
SacSG</t>
  </si>
  <si>
    <t>Tomas Satoransky
NOPG, SG</t>
  </si>
  <si>
    <t>Kendrick Nunn
LALSG</t>
  </si>
  <si>
    <t>Luguentz Dort
OKCSG, SF</t>
  </si>
  <si>
    <t>Shake Milton
PhiPG, SG</t>
  </si>
  <si>
    <t>Nicolas Batum
LACSF, SG</t>
  </si>
  <si>
    <t>Jaxson Hayes
NOC</t>
  </si>
  <si>
    <t>Matisse Thybulle
PhiSF, SG</t>
  </si>
  <si>
    <t>Royce O'Neale
UtahSF, PF</t>
  </si>
  <si>
    <t>Devin Vassell
SASG, SF</t>
  </si>
  <si>
    <t>Victor OladipoO
MiaSG</t>
  </si>
  <si>
    <t>Davis Bertans
WshPF</t>
  </si>
  <si>
    <t>Kevin Love
ClePF</t>
  </si>
  <si>
    <t>Jeremy Lamb
IndSG, SF</t>
  </si>
  <si>
    <t>Bruce Brown
BknSG</t>
  </si>
  <si>
    <t>Derrick Favors
OKCC, PF</t>
  </si>
  <si>
    <t>Ish Smith
ChaPG</t>
  </si>
  <si>
    <t>Cedi Osman
CleSF</t>
  </si>
  <si>
    <t>Cameron Johnson
PhxSF</t>
  </si>
  <si>
    <t>Tyus Jones
MemPG</t>
  </si>
  <si>
    <t>Gary Trent Jr.
TorSG, SF</t>
  </si>
  <si>
    <t>Reggie BullockO
DalSF, SG</t>
  </si>
  <si>
    <t>Willie Cauley-Stein
DalC</t>
  </si>
  <si>
    <t>Hamidou Diallo
DetSG</t>
  </si>
  <si>
    <t>Carmelo AnthonyO
LALPF, SF</t>
  </si>
  <si>
    <t>Naz Reid
MinC</t>
  </si>
  <si>
    <t>De'Anthony Melton
MemPG</t>
  </si>
  <si>
    <t>Nicolas Claxton
BknC, PF</t>
  </si>
  <si>
    <t>De'Andre Hunter
AtlSF, PF</t>
  </si>
  <si>
    <t>Josh Jackson
DetSF, SG</t>
  </si>
  <si>
    <t>Marc Gasol
LALC</t>
  </si>
  <si>
    <t>Bryn Forbes
SASG, PG</t>
  </si>
  <si>
    <t>Lou Williams
AtlSG</t>
  </si>
  <si>
    <t>Josh Richardson
BosSG, SF</t>
  </si>
  <si>
    <t>Paul Millsap
BknPF</t>
  </si>
  <si>
    <t>Maxi Kleber
DalPF</t>
  </si>
  <si>
    <t>Danilo Gallinari
AtlPF, SF</t>
  </si>
  <si>
    <t>Dwight Howard
LALC</t>
  </si>
  <si>
    <t>Kentavious Caldwell-Pope
WshSG, SF</t>
  </si>
  <si>
    <t>Dwight Powell
DalC</t>
  </si>
  <si>
    <t>Onyeka OkongwuO
AtlC</t>
  </si>
  <si>
    <t>Justin Holiday
IndSG, SF</t>
  </si>
  <si>
    <t>Taurean PrinceO
MinSF, PF</t>
  </si>
  <si>
    <t>Patrick BeverleyO
MinPG</t>
  </si>
  <si>
    <t>Rajon Rondo
LALPG</t>
  </si>
  <si>
    <t>Tristan Thompson
SacC, PF</t>
  </si>
  <si>
    <t>Jeff Green
DenPF</t>
  </si>
  <si>
    <t>Cory Joseph
DetPG</t>
  </si>
  <si>
    <t>Patty Mills
BknPG</t>
  </si>
  <si>
    <t>Kira Lewis Jr.
NOPG</t>
  </si>
  <si>
    <t>James Bouknight
ChaSG</t>
  </si>
  <si>
    <t>Saben Lee
DetPG</t>
  </si>
  <si>
    <t>Delon Wright
AtlSG, PG</t>
  </si>
  <si>
    <t>Pat Connaughton
MilSG, SF</t>
  </si>
  <si>
    <t>Anfernee Simons
PorSG, PG</t>
  </si>
  <si>
    <t>George Hill
MilPG, SG</t>
  </si>
  <si>
    <t>Lonnie Walker IV
SASF, SG</t>
  </si>
  <si>
    <t>D.J. Augustin
HouPG</t>
  </si>
  <si>
    <t>Mo Bamba
OrlC</t>
  </si>
  <si>
    <t>JaMychal Green
DenPF</t>
  </si>
  <si>
    <t>Danuel House Jr.
HouSF, SG</t>
  </si>
  <si>
    <t>Cam Reddish
AtlSF, SG</t>
  </si>
  <si>
    <t>Landry Shamet
PhxSG</t>
  </si>
  <si>
    <t>Deni AvdijaDTD
WshSF</t>
  </si>
  <si>
    <t>Willy Hernangomez
NOC</t>
  </si>
  <si>
    <t>Gorgui Dieng
AtlC, PF</t>
  </si>
  <si>
    <t>Garrett Temple
NOSG, SF</t>
  </si>
  <si>
    <t>Eric Gordon
HouSG</t>
  </si>
  <si>
    <t>Kent Bazemore
LALSG, SF</t>
  </si>
  <si>
    <t>Alex Caruso
ChiPG, SG</t>
  </si>
  <si>
    <t>Grayson Allen
MilSG</t>
  </si>
  <si>
    <t>Elfrid Payton
PhxPG</t>
  </si>
  <si>
    <t>Frank Kaminsky
PhxC, PF</t>
  </si>
  <si>
    <t>Gary Harris
OrlSG</t>
  </si>
  <si>
    <t>Furkan Korkmaz
PhiSG</t>
  </si>
  <si>
    <t>Austin Rivers
DenSG</t>
  </si>
  <si>
    <t>Jamal MurrayO
DenPG, SG</t>
  </si>
  <si>
    <t>Trevor ArizaO
LALSF</t>
  </si>
  <si>
    <t>Luke Kennard
LACSG</t>
  </si>
  <si>
    <t>Wayne Ellington
LALSG</t>
  </si>
  <si>
    <t>Kenyon Martin Jr.
HouSF</t>
  </si>
  <si>
    <t>Justise Winslow
LACSF</t>
  </si>
  <si>
    <t>JaVale McGee
PhxC</t>
  </si>
  <si>
    <t>Jordan Poole
GSSG, PG</t>
  </si>
  <si>
    <t>Juancho HernangomezDTD
BosPF, SF</t>
  </si>
  <si>
    <t>PJ Dozier
DenPG</t>
  </si>
  <si>
    <t>Torrey Craig
IndSF</t>
  </si>
  <si>
    <t>DeAndre Jordan
LALC</t>
  </si>
  <si>
    <t>Eric Paschall
UtahPF</t>
  </si>
  <si>
    <t>Aaron Holiday
WshPG, SG</t>
  </si>
  <si>
    <t>Raul Neto
WshPG</t>
  </si>
  <si>
    <t>Sterling Brown
DalSG, SF</t>
  </si>
  <si>
    <t>Moritz Wagner
OrlC, PF</t>
  </si>
  <si>
    <t>Jalen McDaniels
ChaPF</t>
  </si>
  <si>
    <t>Dwayne Bacon
NYSG</t>
  </si>
  <si>
    <t>Damion Lee
GSSF, SG</t>
  </si>
  <si>
    <t>Aaron Nesmith
BosSF</t>
  </si>
  <si>
    <t>Juan Toscano-Anderson
GSPF, SF</t>
  </si>
  <si>
    <t>Josh Okogie
MinSG, SF</t>
  </si>
  <si>
    <t>Andre Iguodala
GSSF, SG</t>
  </si>
  <si>
    <t>Kevon Looney
GSPF</t>
  </si>
  <si>
    <t>Mike Muscala
OKCC, PF</t>
  </si>
  <si>
    <t>DeMarcus Cousins
LACC</t>
  </si>
  <si>
    <t>Jarrett CulverDTD
MemSG, SF</t>
  </si>
  <si>
    <t>Bismack Biyombo
ChaC</t>
  </si>
  <si>
    <t>Maurice Harkless
SacSF</t>
  </si>
  <si>
    <t>James Johnson
BknPF, SF</t>
  </si>
  <si>
    <t>Cody Martin
ChaSF</t>
  </si>
  <si>
    <t>Michael Carter-WilliamsO
OrlPG</t>
  </si>
  <si>
    <t>Al-Farouq Aminu
SAPF</t>
  </si>
  <si>
    <t>D.J. Wilson
OKCPF</t>
  </si>
  <si>
    <t>Trey Burke
DalPG, SG</t>
  </si>
  <si>
    <t>Zach CollinsO
SAC</t>
  </si>
  <si>
    <t>Edmond SumnerO
IndSG</t>
  </si>
  <si>
    <t>Georges Niang
PhiPF</t>
  </si>
  <si>
    <t>Aron Baynes
TorC</t>
  </si>
  <si>
    <t>Brad Wanamaker
ChaPG</t>
  </si>
  <si>
    <t>Robin Lopez
OrlC</t>
  </si>
  <si>
    <t>STATS</t>
  </si>
  <si>
    <t>FANTASY PTS</t>
  </si>
  <si>
    <t>TOT</t>
  </si>
  <si>
    <t>AVG</t>
  </si>
  <si>
    <t>Team 8</t>
  </si>
  <si>
    <t>Team 10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</si>
</sst>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
    <numFmt numFmtId="166" formatCode="0.0000"/>
    <numFmt numFmtId="167" formatCode="#,##0.0"/>
    <numFmt numFmtId="168" formatCode="h:mm am/pm"/>
  </numFmts>
  <fonts count="57">
    <font>
      <sz val="10.0"/>
      <color rgb="FF000000"/>
      <name val="Arial"/>
    </font>
    <font>
      <sz val="11.0"/>
      <color rgb="FFFFFFFF"/>
      <name val="Roboto"/>
    </font>
    <font/>
    <font>
      <color rgb="FFFFFFFF"/>
    </font>
    <font>
      <b/>
      <sz val="11.0"/>
      <color rgb="FFFFFFFF"/>
      <name val="Roboto"/>
    </font>
    <font>
      <sz val="11.0"/>
      <color rgb="FF1155CC"/>
      <name val="Inconsolata"/>
    </font>
    <font>
      <color rgb="FF000000"/>
    </font>
    <font>
      <b/>
      <sz val="11.0"/>
      <color rgb="FF000000"/>
      <name val="Roboto"/>
    </font>
    <font>
      <b/>
      <name val="Arial"/>
    </font>
    <font>
      <b/>
    </font>
    <font>
      <b/>
      <color rgb="FFFFFFFF"/>
    </font>
    <font>
      <name val="Arial"/>
    </font>
    <font>
      <b/>
      <sz val="9.0"/>
      <color rgb="FFFFFFFF"/>
    </font>
    <font>
      <u/>
      <color rgb="FF0000FF"/>
    </font>
    <font>
      <sz val="11.0"/>
      <color rgb="FF4285F4"/>
      <name val="Inconsolata"/>
    </font>
    <font>
      <sz val="11.0"/>
      <color rgb="FF7E3794"/>
      <name val="Inconsolata"/>
    </font>
    <font>
      <b/>
      <sz val="14.0"/>
      <color rgb="FFFFFFFF"/>
    </font>
    <font>
      <b/>
      <sz val="14.0"/>
      <color rgb="FF000000"/>
    </font>
    <font>
      <b/>
      <sz val="11.0"/>
      <name val="Roboto"/>
    </font>
    <font>
      <b/>
      <color rgb="FFFFFFFF"/>
      <name val="Arial"/>
    </font>
    <font>
      <b/>
      <sz val="7.0"/>
      <color rgb="FFFFFFFF"/>
    </font>
    <font>
      <b/>
      <sz val="7.0"/>
      <color rgb="FF000000"/>
    </font>
    <font>
      <u/>
      <color rgb="FF0000FF"/>
      <name val="Arial"/>
    </font>
    <font>
      <u/>
      <color rgb="FF1155CC"/>
      <name val="Arial"/>
    </font>
    <font>
      <sz val="11.0"/>
      <color rgb="FF000000"/>
      <name val="Inconsolata"/>
    </font>
    <font>
      <sz val="36.0"/>
      <color rgb="FFFFFFFF"/>
    </font>
    <font>
      <sz val="14.0"/>
      <color rgb="FFFFFFFF"/>
    </font>
    <font>
      <b/>
      <sz val="14.0"/>
      <color rgb="FFFFFFFF"/>
      <name val="Arial"/>
    </font>
    <font>
      <b/>
      <sz val="14.0"/>
      <color rgb="FF000000"/>
      <name val="Arial"/>
    </font>
    <font>
      <b/>
      <color rgb="FF000000"/>
    </font>
    <font>
      <b/>
      <sz val="10.0"/>
      <color rgb="FFFFFFFF"/>
    </font>
    <font>
      <b/>
      <color rgb="FF000000"/>
      <name val="Arial"/>
    </font>
    <font>
      <b/>
      <sz val="12.0"/>
      <color rgb="FFFFFFFF"/>
      <name val="Roboto"/>
    </font>
    <font>
      <b/>
      <sz val="12.0"/>
      <color rgb="FFFFFFFF"/>
    </font>
    <font>
      <sz val="9.0"/>
      <name val="Google Sans Mono"/>
    </font>
    <font>
      <color rgb="FFFFFFFF"/>
      <name val="Arial"/>
    </font>
    <font>
      <sz val="11.0"/>
      <color rgb="FF000000"/>
      <name val="Roboto"/>
    </font>
    <font>
      <sz val="11.0"/>
      <color rgb="FF22292F"/>
      <name val="Montserrat"/>
    </font>
    <font>
      <sz val="11.0"/>
      <name val="Montserrat"/>
    </font>
    <font>
      <u/>
      <sz val="11.0"/>
      <color rgb="FF0000FF"/>
      <name val="Montserrat"/>
    </font>
    <font>
      <sz val="11.0"/>
      <color rgb="FFFFFFFF"/>
      <name val="Arial"/>
    </font>
    <font>
      <u/>
      <color rgb="FF0000FF"/>
    </font>
    <font>
      <sz val="11.0"/>
      <name val="Roboto"/>
    </font>
    <font>
      <color rgb="FF000000"/>
      <name val="Arial"/>
    </font>
    <font>
      <sz val="14.0"/>
    </font>
    <font>
      <b/>
      <sz val="12.0"/>
    </font>
    <font>
      <b/>
      <sz val="8.0"/>
      <color rgb="FF48494A"/>
      <name val="-apple-system"/>
    </font>
    <font>
      <sz val="9.0"/>
      <color rgb="FF009444"/>
      <name val="-apple-system"/>
    </font>
    <font>
      <sz val="9.0"/>
      <color rgb="FF797B7D"/>
      <name val="-apple-system"/>
    </font>
    <font>
      <sz val="8.0"/>
      <color rgb="FF151617"/>
      <name val="-apple-system"/>
    </font>
    <font>
      <u/>
      <sz val="8.0"/>
      <color rgb="FF151617"/>
      <name val="-apple-system"/>
    </font>
    <font>
      <sz val="9.0"/>
      <color rgb="FF6C6D6F"/>
      <name val="-apple-system"/>
    </font>
    <font>
      <sz val="9.0"/>
      <color rgb="FFCC0000"/>
      <name val="-apple-system"/>
    </font>
    <font>
      <u/>
      <sz val="8.0"/>
      <color rgb="FF151617"/>
      <name val="-apple-system"/>
    </font>
    <font>
      <u/>
      <sz val="8.0"/>
      <color rgb="FF151617"/>
      <name val="-apple-system"/>
    </font>
    <font>
      <u/>
      <sz val="8.0"/>
      <color rgb="FF151617"/>
      <name val="-apple-system"/>
    </font>
    <font>
      <u/>
      <sz val="8.0"/>
      <color rgb="FF151617"/>
      <name val="-apple-system"/>
    </font>
  </fonts>
  <fills count="10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83FF83"/>
        <bgColor rgb="FF83FF83"/>
      </patternFill>
    </fill>
    <fill>
      <patternFill patternType="solid">
        <fgColor rgb="FFCDFFCD"/>
        <bgColor rgb="FFCDFFCD"/>
      </patternFill>
    </fill>
    <fill>
      <patternFill patternType="solid">
        <fgColor rgb="FFCCFFCC"/>
        <bgColor rgb="FFCCFFCC"/>
      </patternFill>
    </fill>
    <fill>
      <patternFill patternType="solid">
        <fgColor rgb="FFBEFFBE"/>
        <bgColor rgb="FFBEFFBE"/>
      </patternFill>
    </fill>
    <fill>
      <patternFill patternType="solid">
        <fgColor rgb="FF3FFF3F"/>
        <bgColor rgb="FF3FFF3F"/>
      </patternFill>
    </fill>
    <fill>
      <patternFill patternType="solid">
        <fgColor rgb="FFD2FFD2"/>
        <bgColor rgb="FFD2FFD2"/>
      </patternFill>
    </fill>
    <fill>
      <patternFill patternType="solid">
        <fgColor rgb="FFFF7B7B"/>
        <bgColor rgb="FFFF7B7B"/>
      </patternFill>
    </fill>
    <fill>
      <patternFill patternType="solid">
        <fgColor rgb="FFF6FFF6"/>
        <bgColor rgb="FFF6FFF6"/>
      </patternFill>
    </fill>
    <fill>
      <patternFill patternType="solid">
        <fgColor rgb="FF85FF85"/>
        <bgColor rgb="FF85FF85"/>
      </patternFill>
    </fill>
    <fill>
      <patternFill patternType="solid">
        <fgColor rgb="FFE2FFE2"/>
        <bgColor rgb="FFE2FFE2"/>
      </patternFill>
    </fill>
    <fill>
      <patternFill patternType="solid">
        <fgColor rgb="FFB7FFB7"/>
        <bgColor rgb="FFB7FFB7"/>
      </patternFill>
    </fill>
    <fill>
      <patternFill patternType="solid">
        <fgColor rgb="FF66FF66"/>
        <bgColor rgb="FF66FF66"/>
      </patternFill>
    </fill>
    <fill>
      <patternFill patternType="solid">
        <fgColor rgb="FFFFE4E4"/>
        <bgColor rgb="FFFFE4E4"/>
      </patternFill>
    </fill>
    <fill>
      <patternFill patternType="solid">
        <fgColor rgb="FFEDFFED"/>
        <bgColor rgb="FFEDFFED"/>
      </patternFill>
    </fill>
    <fill>
      <patternFill patternType="solid">
        <fgColor rgb="FF6FFF6F"/>
        <bgColor rgb="FF6FFF6F"/>
      </patternFill>
    </fill>
    <fill>
      <patternFill patternType="solid">
        <fgColor rgb="FFFF6C6C"/>
        <bgColor rgb="FFFF6C6C"/>
      </patternFill>
    </fill>
    <fill>
      <patternFill patternType="solid">
        <fgColor rgb="FFABFFAB"/>
        <bgColor rgb="FFABFFAB"/>
      </patternFill>
    </fill>
    <fill>
      <patternFill patternType="solid">
        <fgColor rgb="FF4AFF4A"/>
        <bgColor rgb="FF4AFF4A"/>
      </patternFill>
    </fill>
    <fill>
      <patternFill patternType="solid">
        <fgColor rgb="FF90FF90"/>
        <bgColor rgb="FF90FF90"/>
      </patternFill>
    </fill>
    <fill>
      <patternFill patternType="solid">
        <fgColor rgb="FFB9FFB9"/>
        <bgColor rgb="FFB9FFB9"/>
      </patternFill>
    </fill>
    <fill>
      <patternFill patternType="solid">
        <fgColor rgb="FF40FF40"/>
        <bgColor rgb="FF40FF40"/>
      </patternFill>
    </fill>
    <fill>
      <patternFill patternType="solid">
        <fgColor rgb="FFB2FFB2"/>
        <bgColor rgb="FFB2FFB2"/>
      </patternFill>
    </fill>
    <fill>
      <patternFill patternType="solid">
        <fgColor rgb="FFFFD1D1"/>
        <bgColor rgb="FFFFD1D1"/>
      </patternFill>
    </fill>
    <fill>
      <patternFill patternType="solid">
        <fgColor rgb="FFE8FFE8"/>
        <bgColor rgb="FFE8FFE8"/>
      </patternFill>
    </fill>
    <fill>
      <patternFill patternType="solid">
        <fgColor rgb="FFFFD0D0"/>
        <bgColor rgb="FFFFD0D0"/>
      </patternFill>
    </fill>
    <fill>
      <patternFill patternType="solid">
        <fgColor rgb="FFFF1515"/>
        <bgColor rgb="FFFF1515"/>
      </patternFill>
    </fill>
    <fill>
      <patternFill patternType="solid">
        <fgColor rgb="FFFF6666"/>
        <bgColor rgb="FFFF6666"/>
      </patternFill>
    </fill>
    <fill>
      <patternFill patternType="solid">
        <fgColor rgb="FF434343"/>
        <bgColor rgb="FF434343"/>
      </patternFill>
    </fill>
    <fill>
      <patternFill patternType="solid">
        <fgColor rgb="FF666666"/>
        <bgColor rgb="FF666666"/>
      </patternFill>
    </fill>
    <fill>
      <patternFill patternType="solid">
        <fgColor rgb="FF70FF70"/>
        <bgColor rgb="FF70FF70"/>
      </patternFill>
    </fill>
    <fill>
      <patternFill patternType="solid">
        <fgColor rgb="FFD9FFD9"/>
        <bgColor rgb="FFD9FFD9"/>
      </patternFill>
    </fill>
    <fill>
      <patternFill patternType="solid">
        <fgColor rgb="FFFFD3D3"/>
        <bgColor rgb="FFFFD3D3"/>
      </patternFill>
    </fill>
    <fill>
      <patternFill patternType="solid">
        <fgColor rgb="FFB8FFB8"/>
        <bgColor rgb="FFB8FFB8"/>
      </patternFill>
    </fill>
    <fill>
      <patternFill patternType="solid">
        <fgColor rgb="FF60FF60"/>
        <bgColor rgb="FF60FF60"/>
      </patternFill>
    </fill>
    <fill>
      <patternFill patternType="solid">
        <fgColor rgb="FFFEFFFE"/>
        <bgColor rgb="FFFEFFFE"/>
      </patternFill>
    </fill>
    <fill>
      <patternFill patternType="solid">
        <fgColor rgb="FFE9FFE9"/>
        <bgColor rgb="FFE9FFE9"/>
      </patternFill>
    </fill>
    <fill>
      <patternFill patternType="solid">
        <fgColor rgb="FF54FF54"/>
        <bgColor rgb="FF54FF54"/>
      </patternFill>
    </fill>
    <fill>
      <patternFill patternType="solid">
        <fgColor rgb="FFFFE8E8"/>
        <bgColor rgb="FFFFE8E8"/>
      </patternFill>
    </fill>
    <fill>
      <patternFill patternType="solid">
        <fgColor rgb="FF00FF00"/>
        <bgColor rgb="FF00FF00"/>
      </patternFill>
    </fill>
    <fill>
      <patternFill patternType="solid">
        <fgColor rgb="FF9CFF9C"/>
        <bgColor rgb="FF9CFF9C"/>
      </patternFill>
    </fill>
    <fill>
      <patternFill patternType="solid">
        <fgColor rgb="FFEAFFEA"/>
        <bgColor rgb="FFEAFFEA"/>
      </patternFill>
    </fill>
    <fill>
      <patternFill patternType="solid">
        <fgColor rgb="FF9AFF9A"/>
        <bgColor rgb="FF9AFF9A"/>
      </patternFill>
    </fill>
    <fill>
      <patternFill patternType="solid">
        <fgColor rgb="FFAFFFAF"/>
        <bgColor rgb="FFAFFFAF"/>
      </patternFill>
    </fill>
    <fill>
      <patternFill patternType="solid">
        <fgColor rgb="FF89FF89"/>
        <bgColor rgb="FF89FF89"/>
      </patternFill>
    </fill>
    <fill>
      <patternFill patternType="solid">
        <fgColor rgb="FFADFFAD"/>
        <bgColor rgb="FFADFFAD"/>
      </patternFill>
    </fill>
    <fill>
      <patternFill patternType="solid">
        <fgColor rgb="FFFFEBEB"/>
        <bgColor rgb="FFFFEBEB"/>
      </patternFill>
    </fill>
    <fill>
      <patternFill patternType="solid">
        <fgColor rgb="FFD8FFD8"/>
        <bgColor rgb="FFD8FFD8"/>
      </patternFill>
    </fill>
    <fill>
      <patternFill patternType="solid">
        <fgColor rgb="FFFF8282"/>
        <bgColor rgb="FFFF8282"/>
      </patternFill>
    </fill>
    <fill>
      <patternFill patternType="solid">
        <fgColor rgb="FFFFCCCC"/>
        <bgColor rgb="FFFFCCCC"/>
      </patternFill>
    </fill>
    <fill>
      <patternFill patternType="solid">
        <fgColor rgb="FFD0FFD0"/>
        <bgColor rgb="FFD0FFD0"/>
      </patternFill>
    </fill>
    <fill>
      <patternFill patternType="solid">
        <fgColor rgb="FFCFFFCF"/>
        <bgColor rgb="FFCFFFCF"/>
      </patternFill>
    </fill>
    <fill>
      <patternFill patternType="solid">
        <fgColor rgb="FFA0FFA0"/>
        <bgColor rgb="FFA0FFA0"/>
      </patternFill>
    </fill>
    <fill>
      <patternFill patternType="solid">
        <fgColor rgb="FFFFF7F7"/>
        <bgColor rgb="FFFFF7F7"/>
      </patternFill>
    </fill>
    <fill>
      <patternFill patternType="solid">
        <fgColor rgb="FFFFB9B9"/>
        <bgColor rgb="FFFFB9B9"/>
      </patternFill>
    </fill>
    <fill>
      <patternFill patternType="solid">
        <fgColor rgb="FFA3FFA3"/>
        <bgColor rgb="FFA3FFA3"/>
      </patternFill>
    </fill>
    <fill>
      <patternFill patternType="solid">
        <fgColor rgb="FFFF9191"/>
        <bgColor rgb="FFFF9191"/>
      </patternFill>
    </fill>
    <fill>
      <patternFill patternType="solid">
        <fgColor rgb="FFFFC1C1"/>
        <bgColor rgb="FFFFC1C1"/>
      </patternFill>
    </fill>
    <fill>
      <patternFill patternType="solid">
        <fgColor rgb="FF8FFF8F"/>
        <bgColor rgb="FF8FFF8F"/>
      </patternFill>
    </fill>
    <fill>
      <patternFill patternType="solid">
        <fgColor rgb="FF7FFF7F"/>
        <bgColor rgb="FF7FFF7F"/>
      </patternFill>
    </fill>
    <fill>
      <patternFill patternType="solid">
        <fgColor rgb="FFA5FFA5"/>
        <bgColor rgb="FFA5FFA5"/>
      </patternFill>
    </fill>
    <fill>
      <patternFill patternType="solid">
        <fgColor rgb="FFA1FFA1"/>
        <bgColor rgb="FFA1FFA1"/>
      </patternFill>
    </fill>
    <fill>
      <patternFill patternType="solid">
        <fgColor rgb="FFFF0303"/>
        <bgColor rgb="FFFF0303"/>
      </patternFill>
    </fill>
    <fill>
      <patternFill patternType="solid">
        <fgColor rgb="FFFF7474"/>
        <bgColor rgb="FFFF7474"/>
      </patternFill>
    </fill>
    <fill>
      <patternFill patternType="solid">
        <fgColor rgb="FFDBFFDB"/>
        <bgColor rgb="FFDBFFDB"/>
      </patternFill>
    </fill>
    <fill>
      <patternFill patternType="solid">
        <fgColor rgb="FF5DFF5D"/>
        <bgColor rgb="FF5DFF5D"/>
      </patternFill>
    </fill>
    <fill>
      <patternFill patternType="solid">
        <fgColor rgb="FFE1FFE1"/>
        <bgColor rgb="FFE1FFE1"/>
      </patternFill>
    </fill>
    <fill>
      <patternFill patternType="solid">
        <fgColor rgb="FFF5FFF5"/>
        <bgColor rgb="FFF5FFF5"/>
      </patternFill>
    </fill>
    <fill>
      <patternFill patternType="solid">
        <fgColor rgb="FF42FF42"/>
        <bgColor rgb="FF42FF42"/>
      </patternFill>
    </fill>
    <fill>
      <patternFill patternType="solid">
        <fgColor rgb="FFFF5757"/>
        <bgColor rgb="FFFF5757"/>
      </patternFill>
    </fill>
    <fill>
      <patternFill patternType="solid">
        <fgColor rgb="FF92FF92"/>
        <bgColor rgb="FF92FF92"/>
      </patternFill>
    </fill>
    <fill>
      <patternFill patternType="solid">
        <fgColor rgb="FFFFAFAF"/>
        <bgColor rgb="FFFFAFAF"/>
      </patternFill>
    </fill>
    <fill>
      <patternFill patternType="solid">
        <fgColor rgb="FFB3FFB3"/>
        <bgColor rgb="FFB3FFB3"/>
      </patternFill>
    </fill>
    <fill>
      <patternFill patternType="solid">
        <fgColor rgb="FFD1FFD1"/>
        <bgColor rgb="FFD1FFD1"/>
      </patternFill>
    </fill>
    <fill>
      <patternFill patternType="solid">
        <fgColor rgb="FFFFFAFA"/>
        <bgColor rgb="FFFFFAFA"/>
      </patternFill>
    </fill>
    <fill>
      <patternFill patternType="solid">
        <fgColor rgb="FFFFF3F3"/>
        <bgColor rgb="FFFFF3F3"/>
      </patternFill>
    </fill>
    <fill>
      <patternFill patternType="solid">
        <fgColor rgb="FFD6FFD6"/>
        <bgColor rgb="FFD6FFD6"/>
      </patternFill>
    </fill>
    <fill>
      <patternFill patternType="solid">
        <fgColor rgb="FFFF9E9E"/>
        <bgColor rgb="FFFF9E9E"/>
      </patternFill>
    </fill>
    <fill>
      <patternFill patternType="solid">
        <fgColor rgb="FFF2FFF2"/>
        <bgColor rgb="FFF2FFF2"/>
      </patternFill>
    </fill>
    <fill>
      <patternFill patternType="solid">
        <fgColor rgb="FFC3FFC3"/>
        <bgColor rgb="FFC3FFC3"/>
      </patternFill>
    </fill>
    <fill>
      <patternFill patternType="solid">
        <fgColor rgb="FF35FF35"/>
        <bgColor rgb="FF35FF35"/>
      </patternFill>
    </fill>
    <fill>
      <patternFill patternType="solid">
        <fgColor rgb="FFFFBEBE"/>
        <bgColor rgb="FFFFBEBE"/>
      </patternFill>
    </fill>
    <fill>
      <patternFill patternType="solid">
        <fgColor rgb="FFFCFFFC"/>
        <bgColor rgb="FFFCFFFC"/>
      </patternFill>
    </fill>
    <fill>
      <patternFill patternType="solid">
        <fgColor rgb="FFCEFFCE"/>
        <bgColor rgb="FFCEFFCE"/>
      </patternFill>
    </fill>
    <fill>
      <patternFill patternType="solid">
        <fgColor rgb="FFFF0000"/>
        <bgColor rgb="FFFF0000"/>
      </patternFill>
    </fill>
    <fill>
      <patternFill patternType="solid">
        <fgColor rgb="FF81FF81"/>
        <bgColor rgb="FF81FF81"/>
      </patternFill>
    </fill>
    <fill>
      <patternFill patternType="solid">
        <fgColor rgb="FF73FF73"/>
        <bgColor rgb="FF73FF73"/>
      </patternFill>
    </fill>
    <fill>
      <patternFill patternType="solid">
        <fgColor rgb="FFFFE5E5"/>
        <bgColor rgb="FFFFE5E5"/>
      </patternFill>
    </fill>
    <fill>
      <patternFill patternType="solid">
        <fgColor rgb="FFFFC5C5"/>
        <bgColor rgb="FFFFC5C5"/>
      </patternFill>
    </fill>
    <fill>
      <patternFill patternType="solid">
        <fgColor rgb="FFF7FFF7"/>
        <bgColor rgb="FFF7FFF7"/>
      </patternFill>
    </fill>
    <fill>
      <patternFill patternType="solid">
        <fgColor rgb="FFFFF6F6"/>
        <bgColor rgb="FFFFF6F6"/>
      </patternFill>
    </fill>
    <fill>
      <patternFill patternType="solid">
        <fgColor rgb="FFFF6565"/>
        <bgColor rgb="FFFF6565"/>
      </patternFill>
    </fill>
    <fill>
      <patternFill patternType="solid">
        <fgColor rgb="FF5AFF5A"/>
        <bgColor rgb="FF5AFF5A"/>
      </patternFill>
    </fill>
    <fill>
      <patternFill patternType="solid">
        <fgColor rgb="FF6CFF6C"/>
        <bgColor rgb="FF6CFF6C"/>
      </patternFill>
    </fill>
    <fill>
      <patternFill patternType="solid">
        <fgColor rgb="FFFFBDBD"/>
        <bgColor rgb="FFFFBDBD"/>
      </patternFill>
    </fill>
    <fill>
      <patternFill patternType="solid">
        <fgColor rgb="FFD7FFD7"/>
        <bgColor rgb="FFD7FFD7"/>
      </patternFill>
    </fill>
    <fill>
      <patternFill patternType="solid">
        <fgColor rgb="FF24FF24"/>
        <bgColor rgb="FF24FF24"/>
      </patternFill>
    </fill>
    <fill>
      <patternFill patternType="solid">
        <fgColor rgb="FFFFBABA"/>
        <bgColor rgb="FFFFBABA"/>
      </patternFill>
    </fill>
    <fill>
      <patternFill patternType="solid">
        <fgColor rgb="FFFF8989"/>
        <bgColor rgb="FFFF8989"/>
      </patternFill>
    </fill>
    <fill>
      <patternFill patternType="solid">
        <fgColor rgb="FF75FF75"/>
        <bgColor rgb="FF75FF75"/>
      </patternFill>
    </fill>
    <fill>
      <patternFill patternType="solid">
        <fgColor rgb="FFFF4444"/>
        <bgColor rgb="FFFF4444"/>
      </patternFill>
    </fill>
    <fill>
      <patternFill patternType="solid">
        <fgColor rgb="FFFF7100"/>
        <bgColor rgb="FFFF7100"/>
      </patternFill>
    </fill>
    <fill>
      <patternFill patternType="solid">
        <fgColor rgb="FFF3F2F7"/>
        <bgColor rgb="FFF3F2F7"/>
      </patternFill>
    </fill>
    <fill>
      <patternFill patternType="solid">
        <fgColor rgb="FFFEFEFE"/>
        <bgColor rgb="FFFEFEFE"/>
      </patternFill>
    </fill>
  </fills>
  <borders count="47">
    <border/>
    <border>
      <left style="thick">
        <color rgb="FF666666"/>
      </left>
      <right style="thick">
        <color rgb="FF666666"/>
      </right>
      <top style="thick">
        <color rgb="FF666666"/>
      </top>
      <bottom style="thick">
        <color rgb="FF666666"/>
      </bottom>
    </border>
    <border>
      <left style="medium">
        <color rgb="FF666666"/>
      </left>
      <right style="medium">
        <color rgb="FF666666"/>
      </right>
      <top style="medium">
        <color rgb="FF666666"/>
      </top>
      <bottom style="medium">
        <color rgb="FF666666"/>
      </bottom>
    </border>
    <border>
      <left style="medium">
        <color rgb="FF666666"/>
      </left>
      <top style="medium">
        <color rgb="FF666666"/>
      </top>
      <bottom style="medium">
        <color rgb="FF666666"/>
      </bottom>
    </border>
    <border>
      <top style="medium">
        <color rgb="FF666666"/>
      </top>
      <bottom style="medium">
        <color rgb="FF666666"/>
      </bottom>
    </border>
    <border>
      <right style="medium">
        <color rgb="FF666666"/>
      </right>
      <top style="medium">
        <color rgb="FF666666"/>
      </top>
      <bottom style="medium">
        <color rgb="FF666666"/>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right style="medium">
        <color rgb="FF666666"/>
      </right>
    </border>
    <border>
      <left style="medium">
        <color rgb="FF666666"/>
      </left>
    </border>
    <border>
      <left style="medium">
        <color rgb="FF666666"/>
      </left>
      <right style="medium">
        <color rgb="FF666666"/>
      </right>
    </border>
    <border>
      <left style="thick">
        <color rgb="FF666666"/>
      </left>
      <top style="thick">
        <color rgb="FF666666"/>
      </top>
      <bottom style="thick">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FFFFFF"/>
      </left>
      <bottom style="medium">
        <color rgb="FFFFFFFF"/>
      </bottom>
    </border>
    <border>
      <left style="medium">
        <color rgb="FFFFFFFF"/>
      </left>
      <right style="medium">
        <color rgb="FFFFFFFF"/>
      </right>
      <bottom style="medium">
        <color rgb="FFFFFFFF"/>
      </bottom>
    </border>
    <border>
      <left style="medium">
        <color rgb="FFFFFFFF"/>
      </left>
      <top style="medium">
        <color rgb="FFFFFFFF"/>
      </top>
    </border>
    <border>
      <right style="medium">
        <color rgb="FFFFFFFF"/>
      </right>
      <top style="medium">
        <color rgb="FFFFFFFF"/>
      </top>
    </border>
    <border>
      <right style="medium">
        <color rgb="FFFFFFFF"/>
      </right>
      <bottom style="medium">
        <color rgb="FFFFFFFF"/>
      </bottom>
    </border>
    <border>
      <bottom style="medium">
        <color rgb="FFFFFFFF"/>
      </bottom>
    </border>
    <border>
      <left style="medium">
        <color rgb="FFFFFFFF"/>
      </left>
    </border>
    <border>
      <left style="medium">
        <color rgb="FFFFFFFF"/>
      </left>
      <right style="medium">
        <color rgb="FFFFFFFF"/>
      </right>
    </border>
    <border>
      <right style="medium">
        <color rgb="FFFFFFFF"/>
      </right>
    </border>
    <border>
      <left style="medium">
        <color rgb="FF666666"/>
      </left>
      <right style="medium">
        <color rgb="FF666666"/>
      </right>
      <bottom style="medium">
        <color rgb="FF666666"/>
      </bottom>
    </border>
    <border>
      <left style="thick">
        <color rgb="FF666666"/>
      </left>
      <right style="medium">
        <color rgb="FF666666"/>
      </right>
      <top style="thick">
        <color rgb="FF666666"/>
      </top>
    </border>
    <border>
      <left style="medium">
        <color rgb="FF666666"/>
      </left>
      <right style="medium">
        <color rgb="FF666666"/>
      </right>
      <top style="thick">
        <color rgb="FF666666"/>
      </top>
    </border>
    <border>
      <left style="medium">
        <color rgb="FF666666"/>
      </left>
      <top style="thick">
        <color rgb="FF666666"/>
      </top>
    </border>
    <border>
      <left style="medium">
        <color rgb="FF666666"/>
      </left>
      <right style="thick">
        <color rgb="FF666666"/>
      </right>
      <top style="thick">
        <color rgb="FF666666"/>
      </top>
    </border>
    <border>
      <left style="thick">
        <color rgb="FF666666"/>
      </left>
      <right style="medium">
        <color rgb="FF666666"/>
      </right>
      <top style="thick">
        <color rgb="FF666666"/>
      </top>
      <bottom style="medium">
        <color rgb="FF666666"/>
      </bottom>
    </border>
    <border>
      <left style="medium">
        <color rgb="FF666666"/>
      </left>
      <top style="thick">
        <color rgb="FF666666"/>
      </top>
      <bottom style="medium">
        <color rgb="FF666666"/>
      </bottom>
    </border>
    <border>
      <left style="medium">
        <color rgb="FF666666"/>
      </left>
      <right style="medium">
        <color rgb="FF666666"/>
      </right>
      <top style="thick">
        <color rgb="FF666666"/>
      </top>
      <bottom style="medium">
        <color rgb="FF666666"/>
      </bottom>
    </border>
    <border>
      <left style="medium">
        <color rgb="FF666666"/>
      </left>
      <right style="thick">
        <color rgb="FF666666"/>
      </right>
      <top style="thick">
        <color rgb="FF666666"/>
      </top>
      <bottom style="medium">
        <color rgb="FF666666"/>
      </bottom>
    </border>
    <border>
      <left style="medium">
        <color rgb="FF666666"/>
      </left>
      <right style="thick">
        <color rgb="FF666666"/>
      </right>
      <top style="medium">
        <color rgb="FF666666"/>
      </top>
      <bottom style="medium">
        <color rgb="FF666666"/>
      </bottom>
    </border>
    <border>
      <left style="medium">
        <color rgb="FF434343"/>
      </left>
      <right style="medium">
        <color rgb="FF434343"/>
      </right>
      <top style="medium">
        <color rgb="FF434343"/>
      </top>
      <bottom style="medium">
        <color rgb="FF434343"/>
      </bottom>
    </border>
    <border>
      <left style="thin">
        <color rgb="FF000000"/>
      </left>
      <right style="thin">
        <color rgb="FF000000"/>
      </right>
      <top style="thin">
        <color rgb="FF000000"/>
      </top>
      <bottom style="thin">
        <color rgb="FF000000"/>
      </bottom>
    </border>
    <border>
      <left style="medium">
        <color rgb="FF434343"/>
      </left>
      <top style="medium">
        <color rgb="FF434343"/>
      </top>
      <bottom style="medium">
        <color rgb="FF434343"/>
      </bottom>
    </border>
    <border>
      <right style="medium">
        <color rgb="FF434343"/>
      </right>
      <top style="medium">
        <color rgb="FF434343"/>
      </top>
      <bottom style="medium">
        <color rgb="FF434343"/>
      </bottom>
    </border>
    <border>
      <left style="thin">
        <color rgb="FF000000"/>
      </left>
      <right style="thin">
        <color rgb="FF000000"/>
      </right>
    </border>
    <border>
      <left style="medium">
        <color rgb="FF434343"/>
      </left>
      <top style="medium">
        <color rgb="FF434343"/>
      </top>
    </border>
    <border>
      <right style="medium">
        <color rgb="FF434343"/>
      </right>
      <top style="medium">
        <color rgb="FF434343"/>
      </top>
    </border>
    <border>
      <left style="medium">
        <color rgb="FF666666"/>
      </left>
      <top style="medium">
        <color rgb="FF666666"/>
      </top>
      <bottom style="thick">
        <color rgb="FF666666"/>
      </bottom>
    </border>
    <border>
      <left style="medium">
        <color rgb="FF666666"/>
      </left>
      <right style="medium">
        <color rgb="FF666666"/>
      </right>
      <top style="medium">
        <color rgb="FF666666"/>
      </top>
      <bottom style="thick">
        <color rgb="FF666666"/>
      </bottom>
    </border>
    <border>
      <left style="medium">
        <color rgb="FF666666"/>
      </left>
      <right style="thick">
        <color rgb="FF666666"/>
      </right>
      <top style="medium">
        <color rgb="FF666666"/>
      </top>
      <bottom style="thick">
        <color rgb="FF666666"/>
      </bottom>
    </border>
    <border>
      <left style="medium">
        <color rgb="FF666666"/>
      </left>
      <bottom style="medium">
        <color rgb="FF666666"/>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76">
    <xf borderId="0" fillId="0" fontId="0" numFmtId="0" xfId="0" applyAlignment="1" applyFont="1">
      <alignment readingOrder="0" shrinkToFit="0" vertical="bottom" wrapText="0"/>
    </xf>
    <xf borderId="0" fillId="2" fontId="1" numFmtId="4" xfId="0" applyFill="1" applyFont="1" applyNumberFormat="1"/>
    <xf borderId="0" fillId="0" fontId="2" numFmtId="0" xfId="0" applyAlignment="1" applyFont="1">
      <alignment readingOrder="0"/>
    </xf>
    <xf borderId="0" fillId="2" fontId="1" numFmtId="0" xfId="0" applyFill="1" applyFont="1"/>
    <xf borderId="0" fillId="2" fontId="1" numFmtId="0" xfId="0" applyAlignment="1" applyFill="1" applyFont="1">
      <alignment readingOrder="0"/>
    </xf>
    <xf borderId="0" fillId="0" fontId="2" numFmtId="2" xfId="0" applyAlignment="1" applyFont="1" applyNumberFormat="1">
      <alignment readingOrder="0"/>
    </xf>
    <xf borderId="0" fillId="0" fontId="2" numFmtId="49" xfId="0" applyAlignment="1" applyFont="1" applyNumberFormat="1">
      <alignment readingOrder="0"/>
    </xf>
    <xf borderId="0" fillId="2" fontId="3" numFmtId="0" xfId="0" applyFill="1" applyFont="1"/>
    <xf borderId="0" fillId="2" fontId="4" numFmtId="4" xfId="0" applyAlignment="1" applyFill="1" applyFont="1" applyNumberFormat="1">
      <alignment readingOrder="0"/>
    </xf>
    <xf borderId="1" fillId="2" fontId="4" numFmtId="4" xfId="0" applyAlignment="1" applyBorder="1" applyFill="1" applyFont="1" applyNumberFormat="1">
      <alignment readingOrder="0"/>
    </xf>
    <xf borderId="1" fillId="2" fontId="4" numFmtId="0" xfId="0" applyAlignment="1" applyBorder="1" applyFill="1" applyFont="1">
      <alignment readingOrder="0"/>
    </xf>
    <xf borderId="0" fillId="0" fontId="2" numFmtId="2" xfId="0" applyFont="1" applyNumberFormat="1"/>
    <xf borderId="0" fillId="2" fontId="1" numFmtId="3" xfId="0" applyAlignment="1" applyFill="1" applyFont="1" applyNumberFormat="1">
      <alignment readingOrder="0"/>
    </xf>
    <xf borderId="1" fillId="2" fontId="1" numFmtId="3" xfId="0" applyAlignment="1" applyBorder="1" applyFill="1" applyFont="1" applyNumberFormat="1">
      <alignment readingOrder="0"/>
    </xf>
    <xf borderId="0" fillId="0" fontId="2" numFmtId="164" xfId="0" applyFont="1" applyNumberFormat="1"/>
    <xf borderId="0" fillId="0" fontId="2" numFmtId="165" xfId="0" applyFont="1" applyNumberFormat="1"/>
    <xf borderId="1" fillId="2" fontId="1" numFmtId="0" xfId="0" applyAlignment="1" applyBorder="1" applyFill="1" applyFont="1">
      <alignment readingOrder="0"/>
    </xf>
    <xf borderId="0" fillId="2" fontId="3" numFmtId="0" xfId="0" applyAlignment="1" applyFill="1" applyFont="1">
      <alignment readingOrder="0"/>
    </xf>
    <xf borderId="0" fillId="2" fontId="3" numFmtId="0" xfId="0" applyAlignment="1" applyFill="1" applyFont="1">
      <alignment horizontal="center" readingOrder="0"/>
    </xf>
    <xf borderId="0" fillId="2" fontId="3" numFmtId="0" xfId="0" applyAlignment="1" applyFill="1" applyFont="1">
      <alignment horizontal="center"/>
    </xf>
    <xf borderId="0" fillId="2" fontId="4" numFmtId="0" xfId="0" applyAlignment="1" applyFill="1" applyFont="1">
      <alignment readingOrder="0"/>
    </xf>
    <xf borderId="0" fillId="2" fontId="4" numFmtId="0" xfId="0" applyAlignment="1" applyFill="1" applyFont="1">
      <alignment horizontal="center" readingOrder="0"/>
    </xf>
    <xf borderId="0" fillId="2" fontId="4" numFmtId="0" xfId="0" applyAlignment="1" applyFill="1" applyFont="1">
      <alignment horizontal="left" readingOrder="0"/>
    </xf>
    <xf borderId="0" fillId="2" fontId="2" numFmtId="0" xfId="0" applyFill="1" applyFont="1"/>
    <xf borderId="0" fillId="3" fontId="5" numFmtId="0" xfId="0" applyAlignment="1" applyFill="1" applyFont="1">
      <alignment readingOrder="0"/>
    </xf>
    <xf borderId="0" fillId="3" fontId="6" numFmtId="0" xfId="0" applyFill="1" applyFont="1"/>
    <xf borderId="0" fillId="3" fontId="7" numFmtId="0" xfId="0" applyAlignment="1" applyFill="1" applyFont="1">
      <alignment horizontal="center"/>
    </xf>
    <xf borderId="0" fillId="2" fontId="7" numFmtId="0" xfId="0" applyAlignment="1" applyFill="1" applyFont="1">
      <alignment horizontal="center"/>
    </xf>
    <xf borderId="0" fillId="2" fontId="6" numFmtId="0" xfId="0" applyFill="1" applyFont="1"/>
    <xf borderId="0" fillId="0" fontId="8" numFmtId="0" xfId="0" applyAlignment="1" applyFont="1">
      <alignment readingOrder="0" shrinkToFit="0" vertical="bottom" wrapText="0"/>
    </xf>
    <xf borderId="0" fillId="0" fontId="9" numFmtId="0" xfId="0" applyAlignment="1" applyFont="1">
      <alignment readingOrder="0"/>
    </xf>
    <xf borderId="2" fillId="2" fontId="4" numFmtId="0" xfId="0" applyAlignment="1" applyBorder="1" applyFill="1" applyFont="1">
      <alignment horizontal="center" readingOrder="0"/>
    </xf>
    <xf borderId="0" fillId="0" fontId="8" numFmtId="0" xfId="0" applyAlignment="1" applyFont="1">
      <alignment vertical="bottom"/>
    </xf>
    <xf borderId="3" fillId="2" fontId="4" numFmtId="0" xfId="0" applyAlignment="1" applyBorder="1" applyFill="1" applyFont="1">
      <alignment horizontal="center" readingOrder="0"/>
    </xf>
    <xf borderId="3" fillId="2" fontId="10" numFmtId="0" xfId="0" applyAlignment="1" applyBorder="1" applyFill="1" applyFont="1">
      <alignment horizontal="center" readingOrder="0"/>
    </xf>
    <xf borderId="2" fillId="2" fontId="10" numFmtId="0" xfId="0" applyAlignment="1" applyBorder="1" applyFill="1" applyFont="1">
      <alignment horizontal="center" readingOrder="0"/>
    </xf>
    <xf borderId="0" fillId="0" fontId="8" numFmtId="0" xfId="0" applyAlignment="1" applyFont="1">
      <alignment readingOrder="0" vertical="bottom"/>
    </xf>
    <xf borderId="0" fillId="0" fontId="11" numFmtId="0" xfId="0" applyAlignment="1" applyFont="1">
      <alignment readingOrder="0"/>
    </xf>
    <xf borderId="4" fillId="2" fontId="12" numFmtId="0" xfId="0" applyAlignment="1" applyBorder="1" applyFill="1" applyFont="1">
      <alignment horizontal="center"/>
    </xf>
    <xf borderId="5" fillId="0" fontId="2" numFmtId="0" xfId="0" applyBorder="1" applyFont="1"/>
    <xf borderId="0" fillId="0" fontId="13" numFmtId="0" xfId="0" applyFont="1"/>
    <xf borderId="3" fillId="2" fontId="12" numFmtId="0" xfId="0" applyAlignment="1" applyBorder="1" applyFill="1" applyFont="1">
      <alignment horizontal="center"/>
    </xf>
    <xf borderId="0" fillId="0" fontId="11" numFmtId="2" xfId="0" applyAlignment="1" applyFont="1" applyNumberFormat="1">
      <alignment horizontal="right" vertical="bottom"/>
    </xf>
    <xf borderId="0" fillId="0" fontId="11" numFmtId="2" xfId="0" applyAlignment="1" applyFont="1" applyNumberFormat="1">
      <alignment horizontal="right" readingOrder="0" vertical="bottom"/>
    </xf>
    <xf borderId="0" fillId="0" fontId="11" numFmtId="0" xfId="0" applyAlignment="1" applyFont="1">
      <alignment horizontal="right" readingOrder="0" shrinkToFit="0" vertical="bottom" wrapText="0"/>
    </xf>
    <xf borderId="0" fillId="0" fontId="11" numFmtId="0" xfId="0" applyAlignment="1" applyFont="1">
      <alignment shrinkToFit="0" vertical="bottom" wrapText="0"/>
    </xf>
    <xf borderId="0" fillId="0" fontId="11" numFmtId="0" xfId="0" applyAlignment="1" applyFont="1">
      <alignment readingOrder="0" shrinkToFit="0" vertical="bottom" wrapText="0"/>
    </xf>
    <xf borderId="0" fillId="3" fontId="14" numFmtId="2" xfId="0" applyFill="1" applyFont="1" applyNumberFormat="1"/>
    <xf borderId="0" fillId="3" fontId="15" numFmtId="2" xfId="0" applyFill="1" applyFont="1" applyNumberFormat="1"/>
    <xf borderId="2" fillId="2" fontId="12" numFmtId="0" xfId="0" applyAlignment="1" applyBorder="1" applyFill="1" applyFont="1">
      <alignment horizontal="center"/>
    </xf>
    <xf borderId="0" fillId="2" fontId="16" numFmtId="0" xfId="0" applyAlignment="1" applyFill="1" applyFont="1">
      <alignment horizontal="center" readingOrder="0"/>
    </xf>
    <xf borderId="6" fillId="2" fontId="16" numFmtId="0" xfId="0" applyAlignment="1" applyBorder="1" applyFill="1" applyFont="1">
      <alignment horizontal="center" readingOrder="0"/>
    </xf>
    <xf borderId="7" fillId="2" fontId="17" numFmtId="0" xfId="0" applyAlignment="1" applyBorder="1" applyFill="1" applyFont="1">
      <alignment horizontal="center" readingOrder="0"/>
    </xf>
    <xf borderId="0" fillId="2" fontId="3" numFmtId="4" xfId="0" applyAlignment="1" applyFill="1" applyFont="1" applyNumberFormat="1">
      <alignment readingOrder="0"/>
    </xf>
    <xf borderId="0" fillId="2" fontId="3" numFmtId="4" xfId="0" applyFill="1" applyFont="1" applyNumberFormat="1"/>
    <xf borderId="2" fillId="2" fontId="2" numFmtId="0" xfId="0" applyAlignment="1" applyBorder="1" applyFill="1" applyFont="1">
      <alignment horizontal="center" readingOrder="0"/>
    </xf>
    <xf borderId="1" fillId="2" fontId="10" numFmtId="0" xfId="0" applyAlignment="1" applyBorder="1" applyFill="1" applyFont="1">
      <alignment readingOrder="0"/>
    </xf>
    <xf borderId="2" fillId="4" fontId="18" numFmtId="2" xfId="0" applyAlignment="1" applyBorder="1" applyFill="1" applyFont="1" applyNumberFormat="1">
      <alignment horizontal="center" vertical="bottom"/>
    </xf>
    <xf borderId="2" fillId="5" fontId="18" numFmtId="2" xfId="0" applyAlignment="1" applyBorder="1" applyFill="1" applyFont="1" applyNumberFormat="1">
      <alignment horizontal="center" vertical="bottom"/>
    </xf>
    <xf borderId="2" fillId="6" fontId="18" numFmtId="2" xfId="0" applyAlignment="1" applyBorder="1" applyFill="1" applyFont="1" applyNumberFormat="1">
      <alignment horizontal="center" vertical="bottom"/>
    </xf>
    <xf borderId="2" fillId="7" fontId="18" numFmtId="2" xfId="0" applyAlignment="1" applyBorder="1" applyFill="1" applyFont="1" applyNumberFormat="1">
      <alignment horizontal="center" vertical="bottom"/>
    </xf>
    <xf borderId="2" fillId="8" fontId="18" numFmtId="2" xfId="0" applyAlignment="1" applyBorder="1" applyFill="1" applyFont="1" applyNumberFormat="1">
      <alignment horizontal="center" vertical="bottom"/>
    </xf>
    <xf borderId="1" fillId="2" fontId="1" numFmtId="0" xfId="0" applyAlignment="1" applyBorder="1" applyFill="1" applyFont="1">
      <alignment horizontal="center"/>
    </xf>
    <xf borderId="2" fillId="2" fontId="18" numFmtId="2" xfId="0" applyAlignment="1" applyBorder="1" applyFill="1" applyFont="1" applyNumberFormat="1">
      <alignment horizontal="center" vertical="bottom"/>
    </xf>
    <xf borderId="2" fillId="9" fontId="18" numFmtId="2" xfId="0" applyAlignment="1" applyBorder="1" applyFill="1" applyFont="1" applyNumberFormat="1">
      <alignment horizontal="center" vertical="bottom"/>
    </xf>
    <xf borderId="2" fillId="10" fontId="18" numFmtId="2" xfId="0" applyAlignment="1" applyBorder="1" applyFill="1" applyFont="1" applyNumberFormat="1">
      <alignment horizontal="center" vertical="bottom"/>
    </xf>
    <xf borderId="0" fillId="0" fontId="11" numFmtId="2" xfId="0" applyAlignment="1" applyFont="1" applyNumberFormat="1">
      <alignment horizontal="right" readingOrder="0" vertical="bottom"/>
    </xf>
    <xf borderId="0" fillId="0" fontId="8" numFmtId="0" xfId="0" applyAlignment="1" applyFont="1">
      <alignment horizontal="right" readingOrder="0" vertical="bottom"/>
    </xf>
    <xf borderId="0" fillId="0" fontId="11" numFmtId="0" xfId="0" applyAlignment="1" applyFont="1">
      <alignment horizontal="right" readingOrder="0" vertical="bottom"/>
    </xf>
    <xf borderId="0" fillId="0" fontId="8" numFmtId="0" xfId="0" applyAlignment="1" applyFont="1">
      <alignment vertical="bottom"/>
    </xf>
    <xf borderId="1" fillId="2" fontId="1" numFmtId="3" xfId="0" applyAlignment="1" applyBorder="1" applyFill="1" applyFont="1" applyNumberFormat="1">
      <alignment horizontal="center" readingOrder="0"/>
    </xf>
    <xf borderId="2" fillId="3" fontId="7" numFmtId="0" xfId="0" applyAlignment="1" applyBorder="1" applyFill="1" applyFont="1">
      <alignment horizontal="center" vertical="bottom"/>
    </xf>
    <xf borderId="0" fillId="0" fontId="11" numFmtId="164" xfId="0" applyAlignment="1" applyFont="1" applyNumberFormat="1">
      <alignment horizontal="right" readingOrder="0" vertical="bottom"/>
    </xf>
    <xf borderId="0" fillId="0" fontId="11" numFmtId="2" xfId="0" applyAlignment="1" applyFont="1" applyNumberFormat="1">
      <alignment horizontal="right" vertical="bottom"/>
    </xf>
    <xf borderId="2" fillId="11" fontId="18" numFmtId="165" xfId="0" applyAlignment="1" applyBorder="1" applyFill="1" applyFont="1" applyNumberFormat="1">
      <alignment horizontal="center" vertical="bottom"/>
    </xf>
    <xf borderId="3" fillId="2" fontId="19" numFmtId="2" xfId="0" applyAlignment="1" applyBorder="1" applyFill="1" applyFont="1" applyNumberFormat="1">
      <alignment horizontal="right" vertical="bottom"/>
    </xf>
    <xf borderId="1" fillId="2" fontId="1" numFmtId="3" xfId="0" applyAlignment="1" applyBorder="1" applyFill="1" applyFont="1" applyNumberFormat="1">
      <alignment horizontal="center"/>
    </xf>
    <xf borderId="2" fillId="2" fontId="19" numFmtId="2" xfId="0" applyAlignment="1" applyBorder="1" applyFill="1" applyFont="1" applyNumberFormat="1">
      <alignment horizontal="center" vertical="bottom"/>
    </xf>
    <xf borderId="0" fillId="2" fontId="20" numFmtId="0" xfId="0" applyAlignment="1" applyFill="1" applyFont="1">
      <alignment shrinkToFit="0" wrapText="0"/>
    </xf>
    <xf borderId="8" fillId="0" fontId="2" numFmtId="0" xfId="0" applyBorder="1" applyFont="1"/>
    <xf borderId="9" fillId="2" fontId="20" numFmtId="0" xfId="0" applyAlignment="1" applyBorder="1" applyFill="1" applyFont="1">
      <alignment shrinkToFit="0" wrapText="0"/>
    </xf>
    <xf borderId="9" fillId="2" fontId="20" numFmtId="4" xfId="0" applyAlignment="1" applyBorder="1" applyFill="1" applyFont="1" applyNumberFormat="1">
      <alignment shrinkToFit="0" wrapText="0"/>
    </xf>
    <xf borderId="10" fillId="2" fontId="21" numFmtId="0" xfId="0" applyBorder="1" applyFill="1" applyFont="1"/>
    <xf borderId="10" fillId="2" fontId="20" numFmtId="4" xfId="0" applyBorder="1" applyFill="1" applyFont="1" applyNumberFormat="1"/>
    <xf borderId="10" fillId="2" fontId="3" numFmtId="0" xfId="0" applyBorder="1" applyFill="1" applyFont="1"/>
    <xf borderId="0" fillId="0" fontId="9" numFmtId="0" xfId="0" applyAlignment="1" applyFont="1">
      <alignment horizontal="left" readingOrder="0"/>
    </xf>
    <xf borderId="2" fillId="12" fontId="18" numFmtId="2" xfId="0" applyAlignment="1" applyBorder="1" applyFill="1" applyFont="1" applyNumberFormat="1">
      <alignment horizontal="center" vertical="bottom"/>
    </xf>
    <xf borderId="2" fillId="13" fontId="18" numFmtId="2" xfId="0" applyAlignment="1" applyBorder="1" applyFill="1" applyFont="1" applyNumberFormat="1">
      <alignment horizontal="center" vertical="bottom"/>
    </xf>
    <xf borderId="2" fillId="14" fontId="18" numFmtId="2" xfId="0" applyAlignment="1" applyBorder="1" applyFill="1" applyFont="1" applyNumberFormat="1">
      <alignment horizontal="center" vertical="bottom"/>
    </xf>
    <xf borderId="2" fillId="15" fontId="18" numFmtId="2" xfId="0" applyAlignment="1" applyBorder="1" applyFill="1" applyFont="1" applyNumberFormat="1">
      <alignment horizontal="center" vertical="bottom"/>
    </xf>
    <xf borderId="2" fillId="16" fontId="18" numFmtId="2" xfId="0" applyAlignment="1" applyBorder="1" applyFill="1" applyFont="1" applyNumberFormat="1">
      <alignment horizontal="center" vertical="bottom"/>
    </xf>
    <xf borderId="2" fillId="17" fontId="18" numFmtId="2" xfId="0" applyAlignment="1" applyBorder="1" applyFill="1" applyFont="1" applyNumberFormat="1">
      <alignment horizontal="center" vertical="bottom"/>
    </xf>
    <xf borderId="2" fillId="18" fontId="18" numFmtId="2" xfId="0" applyAlignment="1" applyBorder="1" applyFill="1" applyFont="1" applyNumberFormat="1">
      <alignment horizontal="center" vertical="bottom"/>
    </xf>
    <xf borderId="2" fillId="19" fontId="18" numFmtId="2" xfId="0" applyAlignment="1" applyBorder="1" applyFill="1" applyFont="1" applyNumberFormat="1">
      <alignment horizontal="center" vertical="bottom"/>
    </xf>
    <xf borderId="0" fillId="0" fontId="11" numFmtId="0" xfId="0" applyAlignment="1" applyFont="1">
      <alignment vertical="bottom"/>
    </xf>
    <xf borderId="0" fillId="0" fontId="8" numFmtId="0" xfId="0" applyAlignment="1" applyFont="1">
      <alignment readingOrder="0" vertical="bottom"/>
    </xf>
    <xf borderId="0" fillId="0" fontId="8" numFmtId="0" xfId="0" applyAlignment="1" applyFont="1">
      <alignment vertical="bottom"/>
    </xf>
    <xf borderId="0" fillId="0" fontId="8" numFmtId="0" xfId="0" applyAlignment="1" applyFont="1">
      <alignment vertical="bottom"/>
    </xf>
    <xf borderId="11" fillId="2" fontId="1" numFmtId="3" xfId="0" applyAlignment="1" applyBorder="1" applyFill="1" applyFont="1" applyNumberFormat="1">
      <alignment horizontal="center"/>
    </xf>
    <xf borderId="1" fillId="2" fontId="1" numFmtId="4" xfId="0" applyAlignment="1" applyBorder="1" applyFill="1" applyFont="1" applyNumberFormat="1">
      <alignment horizontal="center" vertical="bottom"/>
    </xf>
    <xf borderId="0" fillId="0" fontId="11" numFmtId="0" xfId="0" applyAlignment="1" applyFont="1">
      <alignment horizontal="right" vertical="bottom"/>
    </xf>
    <xf borderId="0" fillId="0" fontId="22" numFmtId="0" xfId="0" applyAlignment="1" applyFont="1">
      <alignment horizontal="right" vertical="bottom"/>
    </xf>
    <xf borderId="2" fillId="20" fontId="18" numFmtId="165" xfId="0" applyAlignment="1" applyBorder="1" applyFill="1" applyFont="1" applyNumberFormat="1">
      <alignment horizontal="center" vertical="bottom"/>
    </xf>
    <xf borderId="1" fillId="2" fontId="19" numFmtId="0" xfId="0" applyAlignment="1" applyBorder="1" applyFill="1" applyFont="1">
      <alignment vertical="bottom"/>
    </xf>
    <xf borderId="1" fillId="2" fontId="1" numFmtId="0" xfId="0" applyAlignment="1" applyBorder="1" applyFill="1" applyFont="1">
      <alignment horizontal="center" vertical="bottom"/>
    </xf>
    <xf borderId="0" fillId="0" fontId="23" numFmtId="2" xfId="0" applyAlignment="1" applyFont="1" applyNumberFormat="1">
      <alignment vertical="bottom"/>
    </xf>
    <xf borderId="1" fillId="2" fontId="1" numFmtId="3" xfId="0" applyAlignment="1" applyBorder="1" applyFill="1" applyFont="1" applyNumberFormat="1">
      <alignment horizontal="center" vertical="bottom"/>
    </xf>
    <xf borderId="0" fillId="0" fontId="11" numFmtId="165" xfId="0" applyAlignment="1" applyFont="1" applyNumberFormat="1">
      <alignment horizontal="right" vertical="bottom"/>
    </xf>
    <xf borderId="0" fillId="2" fontId="2" numFmtId="0" xfId="0" applyAlignment="1" applyFill="1" applyFont="1">
      <alignment horizontal="center" readingOrder="0"/>
    </xf>
    <xf borderId="6" fillId="2" fontId="2" numFmtId="0" xfId="0" applyAlignment="1" applyBorder="1" applyFill="1" applyFont="1">
      <alignment horizontal="center" readingOrder="0"/>
    </xf>
    <xf borderId="7" fillId="0" fontId="2" numFmtId="0" xfId="0" applyBorder="1" applyFont="1"/>
    <xf borderId="2" fillId="21" fontId="18" numFmtId="2" xfId="0" applyAlignment="1" applyBorder="1" applyFill="1" applyFont="1" applyNumberFormat="1">
      <alignment horizontal="center" vertical="bottom"/>
    </xf>
    <xf borderId="2" fillId="22" fontId="18" numFmtId="2" xfId="0" applyAlignment="1" applyBorder="1" applyFill="1" applyFont="1" applyNumberFormat="1">
      <alignment horizontal="center" vertical="bottom"/>
    </xf>
    <xf borderId="2" fillId="23" fontId="18" numFmtId="2" xfId="0" applyAlignment="1" applyBorder="1" applyFill="1" applyFont="1" applyNumberFormat="1">
      <alignment horizontal="center" vertical="bottom"/>
    </xf>
    <xf borderId="2" fillId="24" fontId="18" numFmtId="2" xfId="0" applyAlignment="1" applyBorder="1" applyFill="1" applyFont="1" applyNumberFormat="1">
      <alignment horizontal="center" vertical="bottom"/>
    </xf>
    <xf borderId="2" fillId="25" fontId="18" numFmtId="2" xfId="0" applyAlignment="1" applyBorder="1" applyFill="1" applyFont="1" applyNumberFormat="1">
      <alignment horizontal="center" vertical="bottom"/>
    </xf>
    <xf borderId="2" fillId="26" fontId="18" numFmtId="2" xfId="0" applyAlignment="1" applyBorder="1" applyFill="1" applyFont="1" applyNumberFormat="1">
      <alignment horizontal="center" vertical="bottom"/>
    </xf>
    <xf borderId="2" fillId="27" fontId="18" numFmtId="2" xfId="0" applyAlignment="1" applyBorder="1" applyFill="1" applyFont="1" applyNumberFormat="1">
      <alignment horizontal="center" vertical="bottom"/>
    </xf>
    <xf borderId="2" fillId="28" fontId="18" numFmtId="2" xfId="0" applyAlignment="1" applyBorder="1" applyFill="1" applyFont="1" applyNumberFormat="1">
      <alignment horizontal="center" vertical="bottom"/>
    </xf>
    <xf borderId="2" fillId="29" fontId="18" numFmtId="2" xfId="0" applyAlignment="1" applyBorder="1" applyFill="1" applyFont="1" applyNumberFormat="1">
      <alignment horizontal="center" vertical="bottom"/>
    </xf>
    <xf borderId="0" fillId="3" fontId="24" numFmtId="2" xfId="0" applyAlignment="1" applyFill="1" applyFont="1" applyNumberFormat="1">
      <alignment vertical="bottom"/>
    </xf>
    <xf borderId="2" fillId="30" fontId="7" numFmtId="0" xfId="0" applyAlignment="1" applyBorder="1" applyFill="1" applyFont="1">
      <alignment horizontal="center" vertical="bottom"/>
    </xf>
    <xf borderId="2" fillId="12" fontId="18" numFmtId="165" xfId="0" applyAlignment="1" applyBorder="1" applyFill="1" applyFont="1" applyNumberFormat="1">
      <alignment horizontal="center" vertical="bottom"/>
    </xf>
    <xf borderId="11" fillId="2" fontId="1" numFmtId="3" xfId="0" applyAlignment="1" applyBorder="1" applyFill="1" applyFont="1" applyNumberFormat="1">
      <alignment horizontal="center" vertical="bottom"/>
    </xf>
    <xf borderId="12" fillId="2" fontId="25" numFmtId="0" xfId="0" applyAlignment="1" applyBorder="1" applyFill="1" applyFont="1">
      <alignment readingOrder="0"/>
    </xf>
    <xf borderId="13" fillId="0" fontId="2" numFmtId="0" xfId="0" applyBorder="1" applyFont="1"/>
    <xf borderId="14" fillId="0" fontId="2" numFmtId="0" xfId="0" applyBorder="1" applyFont="1"/>
    <xf borderId="0" fillId="2" fontId="25" numFmtId="0" xfId="0" applyAlignment="1" applyFill="1" applyFont="1">
      <alignment readingOrder="0"/>
    </xf>
    <xf borderId="12" fillId="2" fontId="26" numFmtId="0" xfId="0" applyAlignment="1" applyBorder="1" applyFill="1" applyFont="1">
      <alignment readingOrder="0"/>
    </xf>
    <xf borderId="0" fillId="2" fontId="27" numFmtId="0" xfId="0" applyAlignment="1" applyFill="1" applyFont="1">
      <alignment horizontal="center" readingOrder="0" vertical="bottom"/>
    </xf>
    <xf borderId="15" fillId="31" fontId="27" numFmtId="0" xfId="0" applyAlignment="1" applyBorder="1" applyFill="1" applyFont="1">
      <alignment horizontal="center" readingOrder="0" vertical="bottom"/>
    </xf>
    <xf borderId="16" fillId="32" fontId="28" numFmtId="0" xfId="0" applyAlignment="1" applyBorder="1" applyFill="1" applyFont="1">
      <alignment horizontal="center" readingOrder="0" vertical="bottom"/>
    </xf>
    <xf borderId="2" fillId="33" fontId="18" numFmtId="2" xfId="0" applyAlignment="1" applyBorder="1" applyFill="1" applyFont="1" applyNumberFormat="1">
      <alignment horizontal="center" vertical="bottom"/>
    </xf>
    <xf borderId="2" fillId="34" fontId="18" numFmtId="2" xfId="0" applyAlignment="1" applyBorder="1" applyFill="1" applyFont="1" applyNumberFormat="1">
      <alignment horizontal="center" vertical="bottom"/>
    </xf>
    <xf borderId="2" fillId="35" fontId="18" numFmtId="2" xfId="0" applyAlignment="1" applyBorder="1" applyFill="1" applyFont="1" applyNumberFormat="1">
      <alignment horizontal="center" vertical="bottom"/>
    </xf>
    <xf borderId="2" fillId="36" fontId="18" numFmtId="2" xfId="0" applyAlignment="1" applyBorder="1" applyFill="1" applyFont="1" applyNumberFormat="1">
      <alignment horizontal="center" vertical="bottom"/>
    </xf>
    <xf borderId="2" fillId="37" fontId="18" numFmtId="2" xfId="0" applyAlignment="1" applyBorder="1" applyFill="1" applyFont="1" applyNumberFormat="1">
      <alignment horizontal="center" vertical="bottom"/>
    </xf>
    <xf borderId="2" fillId="38" fontId="18" numFmtId="2" xfId="0" applyAlignment="1" applyBorder="1" applyFill="1" applyFont="1" applyNumberFormat="1">
      <alignment horizontal="center" vertical="bottom"/>
    </xf>
    <xf borderId="2" fillId="39" fontId="18" numFmtId="2" xfId="0" applyAlignment="1" applyBorder="1" applyFill="1" applyFont="1" applyNumberFormat="1">
      <alignment horizontal="center" vertical="bottom"/>
    </xf>
    <xf borderId="2" fillId="40" fontId="18" numFmtId="2" xfId="0" applyAlignment="1" applyBorder="1" applyFill="1" applyFont="1" applyNumberFormat="1">
      <alignment horizontal="center" vertical="bottom"/>
    </xf>
    <xf borderId="2" fillId="41" fontId="18" numFmtId="2" xfId="0" applyAlignment="1" applyBorder="1" applyFill="1" applyFont="1" applyNumberFormat="1">
      <alignment horizontal="center" vertical="bottom"/>
    </xf>
    <xf borderId="2" fillId="42" fontId="18" numFmtId="165" xfId="0" applyAlignment="1" applyBorder="1" applyFill="1" applyFont="1" applyNumberFormat="1">
      <alignment horizontal="center" vertical="bottom"/>
    </xf>
    <xf borderId="0" fillId="2" fontId="29" numFmtId="0" xfId="0" applyAlignment="1" applyFill="1" applyFont="1">
      <alignment horizontal="center" readingOrder="0" vertical="center"/>
    </xf>
    <xf borderId="17" fillId="32" fontId="29" numFmtId="0" xfId="0" applyAlignment="1" applyBorder="1" applyFill="1" applyFont="1">
      <alignment horizontal="center" readingOrder="0" vertical="center"/>
    </xf>
    <xf borderId="18" fillId="0" fontId="2" numFmtId="0" xfId="0" applyBorder="1" applyFont="1"/>
    <xf borderId="2" fillId="43" fontId="18" numFmtId="2" xfId="0" applyAlignment="1" applyBorder="1" applyFill="1" applyFont="1" applyNumberFormat="1">
      <alignment horizontal="center" vertical="bottom"/>
    </xf>
    <xf borderId="2" fillId="44" fontId="18" numFmtId="2" xfId="0" applyAlignment="1" applyBorder="1" applyFill="1" applyFont="1" applyNumberFormat="1">
      <alignment horizontal="center" vertical="bottom"/>
    </xf>
    <xf borderId="2" fillId="45" fontId="18" numFmtId="2" xfId="0" applyAlignment="1" applyBorder="1" applyFill="1" applyFont="1" applyNumberFormat="1">
      <alignment horizontal="center" vertical="bottom"/>
    </xf>
    <xf borderId="2" fillId="46" fontId="18" numFmtId="2" xfId="0" applyAlignment="1" applyBorder="1" applyFill="1" applyFont="1" applyNumberFormat="1">
      <alignment horizontal="center" vertical="bottom"/>
    </xf>
    <xf borderId="2" fillId="47" fontId="18" numFmtId="2" xfId="0" applyAlignment="1" applyBorder="1" applyFill="1" applyFont="1" applyNumberFormat="1">
      <alignment horizontal="center" vertical="bottom"/>
    </xf>
    <xf borderId="2" fillId="48" fontId="18" numFmtId="2" xfId="0" applyAlignment="1" applyBorder="1" applyFill="1" applyFont="1" applyNumberFormat="1">
      <alignment horizontal="center" vertical="bottom"/>
    </xf>
    <xf borderId="2" fillId="49" fontId="18" numFmtId="2" xfId="0" applyAlignment="1" applyBorder="1" applyFill="1" applyFont="1" applyNumberFormat="1">
      <alignment horizontal="center" vertical="bottom"/>
    </xf>
    <xf borderId="2" fillId="50" fontId="18" numFmtId="2" xfId="0" applyAlignment="1" applyBorder="1" applyFill="1" applyFont="1" applyNumberFormat="1">
      <alignment horizontal="center" vertical="bottom"/>
    </xf>
    <xf borderId="2" fillId="51" fontId="18" numFmtId="2" xfId="0" applyAlignment="1" applyBorder="1" applyFill="1" applyFont="1" applyNumberFormat="1">
      <alignment horizontal="center" vertical="bottom"/>
    </xf>
    <xf borderId="2" fillId="52" fontId="7" numFmtId="0" xfId="0" applyAlignment="1" applyBorder="1" applyFill="1" applyFont="1">
      <alignment horizontal="center" vertical="bottom"/>
    </xf>
    <xf borderId="2" fillId="53" fontId="18" numFmtId="165" xfId="0" applyAlignment="1" applyBorder="1" applyFill="1" applyFont="1" applyNumberFormat="1">
      <alignment horizontal="center" vertical="bottom"/>
    </xf>
    <xf borderId="0" fillId="2" fontId="19" numFmtId="0" xfId="0" applyAlignment="1" applyFill="1" applyFont="1">
      <alignment horizontal="center"/>
    </xf>
    <xf borderId="17" fillId="2" fontId="19" numFmtId="0" xfId="0" applyAlignment="1" applyBorder="1" applyFill="1" applyFont="1">
      <alignment horizontal="center"/>
    </xf>
    <xf borderId="18" fillId="2" fontId="19" numFmtId="0" xfId="0" applyAlignment="1" applyBorder="1" applyFill="1" applyFont="1">
      <alignment horizontal="center"/>
    </xf>
    <xf borderId="2" fillId="54" fontId="7" numFmtId="2" xfId="0" applyAlignment="1" applyBorder="1" applyFill="1" applyFont="1" applyNumberFormat="1">
      <alignment horizontal="center" vertical="bottom"/>
    </xf>
    <xf borderId="2" fillId="55" fontId="7" numFmtId="2" xfId="0" applyAlignment="1" applyBorder="1" applyFill="1" applyFont="1" applyNumberFormat="1">
      <alignment horizontal="center" vertical="bottom"/>
    </xf>
    <xf borderId="2" fillId="35" fontId="7" numFmtId="2" xfId="0" applyAlignment="1" applyBorder="1" applyFill="1" applyFont="1" applyNumberFormat="1">
      <alignment horizontal="center" vertical="bottom"/>
    </xf>
    <xf borderId="2" fillId="42" fontId="7" numFmtId="2" xfId="0" applyAlignment="1" applyBorder="1" applyFill="1" applyFont="1" applyNumberFormat="1">
      <alignment horizontal="center" vertical="bottom"/>
    </xf>
    <xf borderId="2" fillId="25" fontId="7" numFmtId="2" xfId="0" applyAlignment="1" applyBorder="1" applyFill="1" applyFont="1" applyNumberFormat="1">
      <alignment horizontal="center" vertical="bottom"/>
    </xf>
    <xf borderId="2" fillId="56" fontId="7" numFmtId="2" xfId="0" applyAlignment="1" applyBorder="1" applyFill="1" applyFont="1" applyNumberFormat="1">
      <alignment horizontal="center" vertical="bottom"/>
    </xf>
    <xf borderId="2" fillId="57" fontId="7" numFmtId="2" xfId="0" applyAlignment="1" applyBorder="1" applyFill="1" applyFont="1" applyNumberFormat="1">
      <alignment horizontal="center" vertical="bottom"/>
    </xf>
    <xf borderId="2" fillId="58" fontId="7" numFmtId="2" xfId="0" applyAlignment="1" applyBorder="1" applyFill="1" applyFont="1" applyNumberFormat="1">
      <alignment horizontal="center" vertical="bottom"/>
    </xf>
    <xf borderId="2" fillId="59" fontId="7" numFmtId="2" xfId="0" applyAlignment="1" applyBorder="1" applyFill="1" applyFont="1" applyNumberFormat="1">
      <alignment horizontal="center" vertical="bottom"/>
    </xf>
    <xf borderId="2" fillId="60" fontId="18" numFmtId="165" xfId="0" applyAlignment="1" applyBorder="1" applyFill="1" applyFont="1" applyNumberFormat="1">
      <alignment horizontal="center" vertical="bottom"/>
    </xf>
    <xf borderId="15" fillId="2" fontId="19" numFmtId="0" xfId="0" applyAlignment="1" applyBorder="1" applyFill="1" applyFont="1">
      <alignment horizontal="center"/>
    </xf>
    <xf borderId="19" fillId="2" fontId="19" numFmtId="0" xfId="0" applyAlignment="1" applyBorder="1" applyFill="1" applyFont="1">
      <alignment horizontal="center"/>
    </xf>
    <xf borderId="2" fillId="61" fontId="18" numFmtId="2" xfId="0" applyAlignment="1" applyBorder="1" applyFill="1" applyFont="1" applyNumberFormat="1">
      <alignment horizontal="center" vertical="bottom"/>
    </xf>
    <xf borderId="2" fillId="60" fontId="18" numFmtId="2" xfId="0" applyAlignment="1" applyBorder="1" applyFill="1" applyFont="1" applyNumberFormat="1">
      <alignment horizontal="center" vertical="bottom"/>
    </xf>
    <xf borderId="2" fillId="62" fontId="18" numFmtId="2" xfId="0" applyAlignment="1" applyBorder="1" applyFill="1" applyFont="1" applyNumberFormat="1">
      <alignment horizontal="center" vertical="bottom"/>
    </xf>
    <xf borderId="2" fillId="63" fontId="18" numFmtId="2" xfId="0" applyAlignment="1" applyBorder="1" applyFill="1" applyFont="1" applyNumberFormat="1">
      <alignment horizontal="center" vertical="bottom"/>
    </xf>
    <xf borderId="2" fillId="64" fontId="18" numFmtId="2" xfId="0" applyAlignment="1" applyBorder="1" applyFill="1" applyFont="1" applyNumberFormat="1">
      <alignment horizontal="center" vertical="bottom"/>
    </xf>
    <xf borderId="2" fillId="65" fontId="18" numFmtId="2" xfId="0" applyAlignment="1" applyBorder="1" applyFill="1" applyFont="1" applyNumberFormat="1">
      <alignment horizontal="center" vertical="bottom"/>
    </xf>
    <xf borderId="2" fillId="66" fontId="18" numFmtId="2" xfId="0" applyAlignment="1" applyBorder="1" applyFill="1" applyFont="1" applyNumberFormat="1">
      <alignment horizontal="center" vertical="bottom"/>
    </xf>
    <xf borderId="2" fillId="67" fontId="7" numFmtId="0" xfId="0" applyAlignment="1" applyBorder="1" applyFill="1" applyFont="1">
      <alignment horizontal="center" vertical="bottom"/>
    </xf>
    <xf borderId="0" fillId="2" fontId="11" numFmtId="0" xfId="0" applyAlignment="1" applyFill="1" applyFont="1">
      <alignment vertical="bottom"/>
    </xf>
    <xf borderId="20" fillId="2" fontId="11" numFmtId="0" xfId="0" applyAlignment="1" applyBorder="1" applyFill="1" applyFont="1">
      <alignment vertical="bottom"/>
    </xf>
    <xf borderId="2" fillId="68" fontId="18" numFmtId="2" xfId="0" applyAlignment="1" applyBorder="1" applyFill="1" applyFont="1" applyNumberFormat="1">
      <alignment horizontal="center" vertical="bottom"/>
    </xf>
    <xf borderId="2" fillId="69" fontId="18" numFmtId="2" xfId="0" applyAlignment="1" applyBorder="1" applyFill="1" applyFont="1" applyNumberFormat="1">
      <alignment horizontal="center" vertical="bottom"/>
    </xf>
    <xf borderId="2" fillId="11" fontId="18" numFmtId="2" xfId="0" applyAlignment="1" applyBorder="1" applyFill="1" applyFont="1" applyNumberFormat="1">
      <alignment horizontal="center" vertical="bottom"/>
    </xf>
    <xf borderId="2" fillId="70" fontId="18" numFmtId="2" xfId="0" applyAlignment="1" applyBorder="1" applyFill="1" applyFont="1" applyNumberFormat="1">
      <alignment horizontal="center" vertical="bottom"/>
    </xf>
    <xf borderId="2" fillId="71" fontId="18" numFmtId="2" xfId="0" applyAlignment="1" applyBorder="1" applyFill="1" applyFont="1" applyNumberFormat="1">
      <alignment horizontal="center" vertical="bottom"/>
    </xf>
    <xf borderId="2" fillId="72" fontId="18" numFmtId="2" xfId="0" applyAlignment="1" applyBorder="1" applyFill="1" applyFont="1" applyNumberFormat="1">
      <alignment horizontal="center" vertical="bottom"/>
    </xf>
    <xf borderId="2" fillId="73" fontId="7" numFmtId="0" xfId="0" applyAlignment="1" applyBorder="1" applyFill="1" applyFont="1">
      <alignment horizontal="center" vertical="bottom"/>
    </xf>
    <xf borderId="2" fillId="74" fontId="18" numFmtId="165" xfId="0" applyAlignment="1" applyBorder="1" applyFill="1" applyFont="1" applyNumberFormat="1">
      <alignment horizontal="center" vertical="bottom"/>
    </xf>
    <xf borderId="2" fillId="75" fontId="18" numFmtId="2" xfId="0" applyAlignment="1" applyBorder="1" applyFill="1" applyFont="1" applyNumberFormat="1">
      <alignment horizontal="center" vertical="bottom"/>
    </xf>
    <xf borderId="2" fillId="76" fontId="18" numFmtId="2" xfId="0" applyAlignment="1" applyBorder="1" applyFill="1" applyFont="1" applyNumberFormat="1">
      <alignment horizontal="center" vertical="bottom"/>
    </xf>
    <xf borderId="2" fillId="77" fontId="18" numFmtId="2" xfId="0" applyAlignment="1" applyBorder="1" applyFill="1" applyFont="1" applyNumberFormat="1">
      <alignment horizontal="center" vertical="bottom"/>
    </xf>
    <xf borderId="2" fillId="78" fontId="18" numFmtId="2" xfId="0" applyAlignment="1" applyBorder="1" applyFill="1" applyFont="1" applyNumberFormat="1">
      <alignment horizontal="center" vertical="bottom"/>
    </xf>
    <xf borderId="2" fillId="79" fontId="18" numFmtId="2" xfId="0" applyAlignment="1" applyBorder="1" applyFill="1" applyFont="1" applyNumberFormat="1">
      <alignment horizontal="center" vertical="bottom"/>
    </xf>
    <xf borderId="2" fillId="80" fontId="18" numFmtId="165" xfId="0" applyAlignment="1" applyBorder="1" applyFill="1" applyFont="1" applyNumberFormat="1">
      <alignment horizontal="center" vertical="bottom"/>
    </xf>
    <xf borderId="0" fillId="2" fontId="30" numFmtId="0" xfId="0" applyAlignment="1" applyFill="1" applyFont="1">
      <alignment horizontal="center" readingOrder="0"/>
    </xf>
    <xf borderId="0" fillId="2" fontId="30" numFmtId="0" xfId="0" applyAlignment="1" applyFill="1" applyFont="1">
      <alignment horizontal="center" readingOrder="0" vertical="center"/>
    </xf>
    <xf borderId="21" fillId="31" fontId="30" numFmtId="0" xfId="0" applyAlignment="1" applyBorder="1" applyFill="1" applyFont="1">
      <alignment horizontal="center" readingOrder="0" vertical="center"/>
    </xf>
    <xf borderId="22" fillId="32" fontId="30" numFmtId="0" xfId="0" applyAlignment="1" applyBorder="1" applyFill="1" applyFont="1">
      <alignment horizontal="center" readingOrder="0" vertical="center"/>
    </xf>
    <xf borderId="2" fillId="81" fontId="18" numFmtId="2" xfId="0" applyAlignment="1" applyBorder="1" applyFill="1" applyFont="1" applyNumberFormat="1">
      <alignment horizontal="center" vertical="bottom"/>
    </xf>
    <xf borderId="2" fillId="82" fontId="18" numFmtId="2" xfId="0" applyAlignment="1" applyBorder="1" applyFill="1" applyFont="1" applyNumberFormat="1">
      <alignment horizontal="center" vertical="bottom"/>
    </xf>
    <xf borderId="2" fillId="83" fontId="18" numFmtId="2" xfId="0" applyAlignment="1" applyBorder="1" applyFill="1" applyFont="1" applyNumberFormat="1">
      <alignment horizontal="center" vertical="bottom"/>
    </xf>
    <xf borderId="2" fillId="84" fontId="18" numFmtId="2" xfId="0" applyAlignment="1" applyBorder="1" applyFill="1" applyFont="1" applyNumberFormat="1">
      <alignment horizontal="center" vertical="bottom"/>
    </xf>
    <xf borderId="2" fillId="85" fontId="18" numFmtId="2" xfId="0" applyAlignment="1" applyBorder="1" applyFill="1" applyFont="1" applyNumberFormat="1">
      <alignment horizontal="center" vertical="bottom"/>
    </xf>
    <xf borderId="2" fillId="86" fontId="18" numFmtId="2" xfId="0" applyAlignment="1" applyBorder="1" applyFill="1" applyFont="1" applyNumberFormat="1">
      <alignment horizontal="center" vertical="bottom"/>
    </xf>
    <xf borderId="2" fillId="87" fontId="18" numFmtId="2" xfId="0" applyAlignment="1" applyBorder="1" applyFill="1" applyFont="1" applyNumberFormat="1">
      <alignment horizontal="center" vertical="bottom"/>
    </xf>
    <xf borderId="2" fillId="87" fontId="18" numFmtId="165" xfId="0" applyAlignment="1" applyBorder="1" applyFill="1" applyFont="1" applyNumberFormat="1">
      <alignment horizontal="center" vertical="bottom"/>
    </xf>
    <xf borderId="0" fillId="2" fontId="10" numFmtId="0" xfId="0" applyAlignment="1" applyFill="1" applyFont="1">
      <alignment horizontal="center" readingOrder="0"/>
    </xf>
    <xf borderId="0" fillId="2" fontId="10" numFmtId="0" xfId="0" applyAlignment="1" applyFill="1" applyFont="1">
      <alignment horizontal="center" readingOrder="0" vertical="center"/>
    </xf>
    <xf borderId="21" fillId="31" fontId="10" numFmtId="0" xfId="0" applyAlignment="1" applyBorder="1" applyFill="1" applyFont="1">
      <alignment horizontal="center" readingOrder="0" vertical="center"/>
    </xf>
    <xf borderId="22" fillId="32" fontId="10" numFmtId="0" xfId="0" applyAlignment="1" applyBorder="1" applyFill="1" applyFont="1">
      <alignment horizontal="center" readingOrder="0" vertical="center"/>
    </xf>
    <xf borderId="2" fillId="88" fontId="18" numFmtId="2" xfId="0" applyAlignment="1" applyBorder="1" applyFill="1" applyFont="1" applyNumberFormat="1">
      <alignment horizontal="center" vertical="bottom"/>
    </xf>
    <xf borderId="2" fillId="89" fontId="18" numFmtId="2" xfId="0" applyAlignment="1" applyBorder="1" applyFill="1" applyFont="1" applyNumberFormat="1">
      <alignment horizontal="center" vertical="bottom"/>
    </xf>
    <xf borderId="2" fillId="90" fontId="18" numFmtId="2" xfId="0" applyAlignment="1" applyBorder="1" applyFill="1" applyFont="1" applyNumberFormat="1">
      <alignment horizontal="center" vertical="bottom"/>
    </xf>
    <xf borderId="2" fillId="91" fontId="18" numFmtId="2" xfId="0" applyAlignment="1" applyBorder="1" applyFill="1" applyFont="1" applyNumberFormat="1">
      <alignment horizontal="center" vertical="bottom"/>
    </xf>
    <xf borderId="2" fillId="92" fontId="18" numFmtId="2" xfId="0" applyAlignment="1" applyBorder="1" applyFill="1" applyFont="1" applyNumberFormat="1">
      <alignment horizontal="center" vertical="bottom"/>
    </xf>
    <xf borderId="2" fillId="93" fontId="18" numFmtId="2" xfId="0" applyAlignment="1" applyBorder="1" applyFill="1" applyFont="1" applyNumberFormat="1">
      <alignment horizontal="center" vertical="bottom"/>
    </xf>
    <xf borderId="2" fillId="94" fontId="18" numFmtId="2" xfId="0" applyAlignment="1" applyBorder="1" applyFill="1" applyFont="1" applyNumberFormat="1">
      <alignment horizontal="center" vertical="bottom"/>
    </xf>
    <xf borderId="2" fillId="95" fontId="18" numFmtId="2" xfId="0" applyAlignment="1" applyBorder="1" applyFill="1" applyFont="1" applyNumberFormat="1">
      <alignment horizontal="center" vertical="bottom"/>
    </xf>
    <xf borderId="2" fillId="96" fontId="18" numFmtId="2" xfId="0" applyAlignment="1" applyBorder="1" applyFill="1" applyFont="1" applyNumberFormat="1">
      <alignment horizontal="center" vertical="bottom"/>
    </xf>
    <xf borderId="2" fillId="97" fontId="18" numFmtId="2" xfId="0" applyAlignment="1" applyBorder="1" applyFill="1" applyFont="1" applyNumberFormat="1">
      <alignment horizontal="center" vertical="bottom"/>
    </xf>
    <xf borderId="2" fillId="98" fontId="18" numFmtId="2" xfId="0" applyAlignment="1" applyBorder="1" applyFill="1" applyFont="1" applyNumberFormat="1">
      <alignment horizontal="center" vertical="bottom"/>
    </xf>
    <xf borderId="2" fillId="99" fontId="18" numFmtId="2" xfId="0" applyAlignment="1" applyBorder="1" applyFill="1" applyFont="1" applyNumberFormat="1">
      <alignment horizontal="center" vertical="bottom"/>
    </xf>
    <xf borderId="2" fillId="100" fontId="18" numFmtId="2" xfId="0" applyAlignment="1" applyBorder="1" applyFill="1" applyFont="1" applyNumberFormat="1">
      <alignment horizontal="center" vertical="bottom"/>
    </xf>
    <xf borderId="2" fillId="101" fontId="18" numFmtId="2" xfId="0" applyAlignment="1" applyBorder="1" applyFill="1" applyFont="1" applyNumberFormat="1">
      <alignment horizontal="center" vertical="bottom"/>
    </xf>
    <xf borderId="2" fillId="102" fontId="18" numFmtId="2" xfId="0" applyAlignment="1" applyBorder="1" applyFill="1" applyFont="1" applyNumberFormat="1">
      <alignment horizontal="center" vertical="bottom"/>
    </xf>
    <xf borderId="2" fillId="103" fontId="18" numFmtId="2" xfId="0" applyAlignment="1" applyBorder="1" applyFill="1" applyFont="1" applyNumberFormat="1">
      <alignment horizontal="center" vertical="bottom"/>
    </xf>
    <xf borderId="0" fillId="2" fontId="29" numFmtId="0" xfId="0" applyAlignment="1" applyFill="1" applyFont="1">
      <alignment readingOrder="0"/>
    </xf>
    <xf borderId="15" fillId="31" fontId="10" numFmtId="0" xfId="0" applyAlignment="1" applyBorder="1" applyFill="1" applyFont="1">
      <alignment horizontal="center" readingOrder="0" vertical="center"/>
    </xf>
    <xf borderId="16" fillId="32" fontId="29" numFmtId="0" xfId="0" applyAlignment="1" applyBorder="1" applyFill="1" applyFont="1">
      <alignment readingOrder="0" vertical="center"/>
    </xf>
    <xf borderId="2" fillId="2" fontId="4" numFmtId="0" xfId="0" applyAlignment="1" applyBorder="1" applyFill="1" applyFont="1">
      <alignment horizontal="center" vertical="bottom"/>
    </xf>
    <xf borderId="2" fillId="104" fontId="31" numFmtId="166" xfId="0" applyAlignment="1" applyBorder="1" applyFill="1" applyFont="1" applyNumberFormat="1">
      <alignment horizontal="center" vertical="bottom"/>
    </xf>
    <xf borderId="3" fillId="2" fontId="10" numFmtId="0" xfId="0" applyBorder="1" applyFill="1" applyFont="1"/>
    <xf borderId="3" fillId="2" fontId="10" numFmtId="3" xfId="0" applyBorder="1" applyFill="1" applyFont="1" applyNumberFormat="1"/>
    <xf borderId="2" fillId="2" fontId="10" numFmtId="3" xfId="0" applyBorder="1" applyFill="1" applyFont="1" applyNumberFormat="1"/>
    <xf borderId="21" fillId="2" fontId="2" numFmtId="0" xfId="0" applyBorder="1" applyFill="1" applyFont="1"/>
    <xf borderId="23" fillId="2" fontId="2" numFmtId="0" xfId="0" applyBorder="1" applyFill="1" applyFont="1"/>
    <xf borderId="24" fillId="2" fontId="4" numFmtId="0" xfId="0" applyAlignment="1" applyBorder="1" applyFill="1" applyFont="1">
      <alignment horizontal="center" readingOrder="0"/>
    </xf>
    <xf borderId="3" fillId="2" fontId="32" numFmtId="0" xfId="0" applyAlignment="1" applyBorder="1" applyFill="1" applyFont="1">
      <alignment horizontal="center" readingOrder="0"/>
    </xf>
    <xf borderId="3" fillId="2" fontId="32" numFmtId="0" xfId="0" applyAlignment="1" applyBorder="1" applyFill="1" applyFont="1">
      <alignment horizontal="center" readingOrder="0" vertical="bottom"/>
    </xf>
    <xf borderId="4" fillId="0" fontId="2" numFmtId="0" xfId="0" applyBorder="1" applyFont="1"/>
    <xf borderId="3" fillId="2" fontId="33" numFmtId="0" xfId="0" applyAlignment="1" applyBorder="1" applyFill="1" applyFont="1">
      <alignment horizontal="center" readingOrder="0"/>
    </xf>
    <xf borderId="2" fillId="2" fontId="33" numFmtId="0" xfId="0" applyAlignment="1" applyBorder="1" applyFill="1" applyFont="1">
      <alignment horizontal="left" readingOrder="0"/>
    </xf>
    <xf borderId="2" fillId="2" fontId="33" numFmtId="0" xfId="0" applyAlignment="1" applyBorder="1" applyFill="1" applyFont="1">
      <alignment horizontal="center" readingOrder="0"/>
    </xf>
    <xf borderId="15" fillId="2" fontId="3" numFmtId="0" xfId="0" applyBorder="1" applyFill="1" applyFont="1"/>
    <xf borderId="19" fillId="2" fontId="3" numFmtId="0" xfId="0" applyBorder="1" applyFill="1" applyFont="1"/>
    <xf borderId="2" fillId="2" fontId="19" numFmtId="0" xfId="0" applyAlignment="1" applyBorder="1" applyFill="1" applyFont="1">
      <alignment horizontal="center" readingOrder="0"/>
    </xf>
    <xf borderId="2" fillId="2" fontId="19" numFmtId="0" xfId="0" applyAlignment="1" applyBorder="1" applyFill="1" applyFont="1">
      <alignment readingOrder="0"/>
    </xf>
    <xf borderId="2" fillId="2" fontId="4" numFmtId="0" xfId="0" applyAlignment="1" applyBorder="1" applyFill="1" applyFont="1">
      <alignment horizontal="center" readingOrder="0" vertical="bottom"/>
    </xf>
    <xf borderId="2" fillId="2" fontId="4" numFmtId="0" xfId="0" applyAlignment="1" applyBorder="1" applyFill="1" applyFont="1">
      <alignment horizontal="right" readingOrder="0"/>
    </xf>
    <xf borderId="2" fillId="2" fontId="4" numFmtId="0" xfId="0" applyAlignment="1" applyBorder="1" applyFill="1" applyFont="1">
      <alignment readingOrder="0"/>
    </xf>
    <xf borderId="3" fillId="2" fontId="19" numFmtId="0" xfId="0" applyAlignment="1" applyBorder="1" applyFill="1" applyFont="1">
      <alignment readingOrder="0"/>
    </xf>
    <xf borderId="3" fillId="2" fontId="29" numFmtId="0" xfId="0" applyAlignment="1" applyBorder="1" applyFill="1" applyFont="1">
      <alignment horizontal="center" readingOrder="0"/>
    </xf>
    <xf borderId="25" fillId="2" fontId="4" numFmtId="0" xfId="0" applyAlignment="1" applyBorder="1" applyFill="1" applyFont="1">
      <alignment horizontal="center" readingOrder="0" vertical="bottom"/>
    </xf>
    <xf borderId="26" fillId="2" fontId="4" numFmtId="0" xfId="0" applyAlignment="1" applyBorder="1" applyFill="1" applyFont="1">
      <alignment horizontal="center" readingOrder="0" vertical="bottom"/>
    </xf>
    <xf borderId="27" fillId="2" fontId="4" numFmtId="0" xfId="0" applyAlignment="1" applyBorder="1" applyFill="1" applyFont="1">
      <alignment horizontal="center" readingOrder="0" vertical="bottom"/>
    </xf>
    <xf borderId="0" fillId="2" fontId="4" numFmtId="0" xfId="0" applyAlignment="1" applyFill="1" applyFont="1">
      <alignment horizontal="center" readingOrder="0" vertical="bottom"/>
    </xf>
    <xf borderId="26" fillId="2" fontId="4" numFmtId="0" xfId="0" applyAlignment="1" applyBorder="1" applyFill="1" applyFont="1">
      <alignment horizontal="center" vertical="bottom"/>
    </xf>
    <xf borderId="28" fillId="2" fontId="4" numFmtId="0" xfId="0" applyAlignment="1" applyBorder="1" applyFill="1" applyFont="1">
      <alignment horizontal="center" vertical="bottom"/>
    </xf>
    <xf borderId="29" fillId="0" fontId="8" numFmtId="0" xfId="0" applyAlignment="1" applyBorder="1" applyFont="1">
      <alignment vertical="bottom"/>
    </xf>
    <xf borderId="30" fillId="0" fontId="8" numFmtId="0" xfId="0" applyAlignment="1" applyBorder="1" applyFont="1">
      <alignment vertical="bottom"/>
    </xf>
    <xf borderId="31" fillId="2" fontId="4" numFmtId="0" xfId="0" applyAlignment="1" applyBorder="1" applyFill="1" applyFont="1">
      <alignment horizontal="center" readingOrder="0"/>
    </xf>
    <xf borderId="31" fillId="2" fontId="4" numFmtId="0" xfId="0" applyAlignment="1" applyBorder="1" applyFill="1" applyFont="1">
      <alignment horizontal="center" readingOrder="0" vertical="bottom"/>
    </xf>
    <xf borderId="31" fillId="2" fontId="4" numFmtId="0" xfId="0" applyAlignment="1" applyBorder="1" applyFill="1" applyFont="1">
      <alignment horizontal="center"/>
    </xf>
    <xf borderId="31" fillId="2" fontId="4" numFmtId="0" xfId="0" applyBorder="1" applyFill="1" applyFont="1"/>
    <xf borderId="31" fillId="2" fontId="4" numFmtId="2" xfId="0" applyBorder="1" applyFill="1" applyFont="1" applyNumberFormat="1"/>
    <xf borderId="31" fillId="0" fontId="18" numFmtId="2" xfId="0" applyBorder="1" applyFont="1" applyNumberFormat="1"/>
    <xf borderId="31" fillId="0" fontId="18" numFmtId="164" xfId="0" applyBorder="1" applyFont="1" applyNumberFormat="1"/>
    <xf borderId="31" fillId="2" fontId="4" numFmtId="164" xfId="0" applyBorder="1" applyFill="1" applyFont="1" applyNumberFormat="1"/>
    <xf borderId="31" fillId="2" fontId="4" numFmtId="164" xfId="0" applyAlignment="1" applyBorder="1" applyFill="1" applyFont="1" applyNumberFormat="1">
      <alignment horizontal="right"/>
    </xf>
    <xf borderId="0" fillId="0" fontId="11" numFmtId="11" xfId="0" applyAlignment="1" applyFont="1" applyNumberFormat="1">
      <alignment horizontal="right" readingOrder="0" shrinkToFit="0" vertical="bottom" wrapText="0"/>
    </xf>
    <xf borderId="31" fillId="3" fontId="7" numFmtId="2" xfId="0" applyAlignment="1" applyBorder="1" applyFill="1" applyFont="1" applyNumberFormat="1">
      <alignment horizontal="right"/>
    </xf>
    <xf borderId="32" fillId="2" fontId="18" numFmtId="0" xfId="0" applyBorder="1" applyFill="1" applyFont="1"/>
    <xf borderId="0" fillId="2" fontId="9" numFmtId="0" xfId="0" applyFill="1" applyFont="1"/>
    <xf borderId="0" fillId="0" fontId="34" numFmtId="0" xfId="0" applyAlignment="1" applyFont="1">
      <alignment horizontal="right" readingOrder="0" vertical="bottom"/>
    </xf>
    <xf borderId="0" fillId="2" fontId="18" numFmtId="0" xfId="0" applyAlignment="1" applyFill="1" applyFont="1">
      <alignment readingOrder="0"/>
    </xf>
    <xf borderId="29" fillId="0" fontId="8" numFmtId="1" xfId="0" applyAlignment="1" applyBorder="1" applyFont="1" applyNumberFormat="1">
      <alignment vertical="bottom"/>
    </xf>
    <xf borderId="3" fillId="0" fontId="8" numFmtId="1" xfId="0" applyAlignment="1" applyBorder="1" applyFont="1" applyNumberFormat="1">
      <alignment vertical="bottom"/>
    </xf>
    <xf borderId="2" fillId="2" fontId="4" numFmtId="0" xfId="0" applyAlignment="1" applyBorder="1" applyFill="1" applyFont="1">
      <alignment horizontal="center"/>
    </xf>
    <xf borderId="2" fillId="2" fontId="4" numFmtId="0" xfId="0" applyBorder="1" applyFill="1" applyFont="1"/>
    <xf borderId="2" fillId="2" fontId="4" numFmtId="2" xfId="0" applyBorder="1" applyFill="1" applyFont="1" applyNumberFormat="1"/>
    <xf borderId="2" fillId="0" fontId="18" numFmtId="2" xfId="0" applyBorder="1" applyFont="1" applyNumberFormat="1"/>
    <xf borderId="2" fillId="0" fontId="18" numFmtId="164" xfId="0" applyBorder="1" applyFont="1" applyNumberFormat="1"/>
    <xf borderId="2" fillId="2" fontId="4" numFmtId="164" xfId="0" applyBorder="1" applyFill="1" applyFont="1" applyNumberFormat="1"/>
    <xf borderId="2" fillId="2" fontId="4" numFmtId="164" xfId="0" applyAlignment="1" applyBorder="1" applyFill="1" applyFont="1" applyNumberFormat="1">
      <alignment horizontal="right"/>
    </xf>
    <xf borderId="33" fillId="2" fontId="18" numFmtId="0" xfId="0" applyBorder="1" applyFill="1" applyFont="1"/>
    <xf borderId="0" fillId="2" fontId="18" numFmtId="0" xfId="0" applyAlignment="1" applyFill="1" applyFont="1">
      <alignment vertical="bottom"/>
    </xf>
    <xf borderId="34" fillId="2" fontId="4" numFmtId="0" xfId="0" applyAlignment="1" applyBorder="1" applyFill="1" applyFont="1">
      <alignment vertical="bottom"/>
    </xf>
    <xf borderId="14" fillId="0" fontId="18" numFmtId="0" xfId="0" applyAlignment="1" applyBorder="1" applyFont="1">
      <alignment vertical="bottom"/>
    </xf>
    <xf borderId="35" fillId="0" fontId="11" numFmtId="0" xfId="0" applyAlignment="1" applyBorder="1" applyFont="1">
      <alignment vertical="bottom"/>
    </xf>
    <xf borderId="12" fillId="0" fontId="11" numFmtId="0" xfId="0" applyAlignment="1" applyBorder="1" applyFont="1">
      <alignment vertical="bottom"/>
    </xf>
    <xf borderId="34" fillId="2" fontId="19" numFmtId="0" xfId="0" applyAlignment="1" applyBorder="1" applyFill="1" applyFont="1">
      <alignment horizontal="center" vertical="bottom"/>
    </xf>
    <xf borderId="36" fillId="2" fontId="4" numFmtId="0" xfId="0" applyAlignment="1" applyBorder="1" applyFill="1" applyFont="1">
      <alignment horizontal="center" vertical="bottom"/>
    </xf>
    <xf borderId="37" fillId="0" fontId="2" numFmtId="0" xfId="0" applyBorder="1" applyFont="1"/>
    <xf borderId="34" fillId="2" fontId="4" numFmtId="0" xfId="0" applyAlignment="1" applyBorder="1" applyFill="1" applyFont="1">
      <alignment horizontal="center" vertical="bottom"/>
    </xf>
    <xf borderId="34" fillId="2" fontId="4" numFmtId="2" xfId="0" applyAlignment="1" applyBorder="1" applyFill="1" applyFont="1" applyNumberFormat="1">
      <alignment horizontal="center" vertical="bottom"/>
    </xf>
    <xf borderId="14" fillId="2" fontId="11" numFmtId="2" xfId="0" applyAlignment="1" applyBorder="1" applyFill="1" applyFont="1" applyNumberFormat="1">
      <alignment vertical="bottom"/>
    </xf>
    <xf borderId="35" fillId="2" fontId="11" numFmtId="2" xfId="0" applyAlignment="1" applyBorder="1" applyFill="1" applyFont="1" applyNumberFormat="1">
      <alignment vertical="bottom"/>
    </xf>
    <xf borderId="0" fillId="2" fontId="9" numFmtId="2" xfId="0" applyFill="1" applyFont="1" applyNumberFormat="1"/>
    <xf borderId="34" fillId="2" fontId="35" numFmtId="0" xfId="0" applyAlignment="1" applyBorder="1" applyFill="1" applyFont="1">
      <alignment horizontal="center" vertical="bottom"/>
    </xf>
    <xf borderId="14" fillId="3" fontId="36" numFmtId="0" xfId="0" applyAlignment="1" applyBorder="1" applyFill="1" applyFont="1">
      <alignment horizontal="center" vertical="bottom"/>
    </xf>
    <xf borderId="35" fillId="3" fontId="36" numFmtId="0" xfId="0" applyAlignment="1" applyBorder="1" applyFill="1" applyFont="1">
      <alignment horizontal="center" vertical="bottom"/>
    </xf>
    <xf borderId="12" fillId="3" fontId="36" numFmtId="0" xfId="0" applyAlignment="1" applyBorder="1" applyFill="1" applyFont="1">
      <alignment horizontal="center" vertical="bottom"/>
    </xf>
    <xf borderId="34" fillId="2" fontId="1" numFmtId="0" xfId="0" applyAlignment="1" applyBorder="1" applyFill="1" applyFont="1">
      <alignment horizontal="center" vertical="bottom"/>
    </xf>
    <xf borderId="36" fillId="2" fontId="1" numFmtId="0" xfId="0" applyAlignment="1" applyBorder="1" applyFill="1" applyFont="1">
      <alignment horizontal="left" vertical="bottom"/>
    </xf>
    <xf borderId="37" fillId="2" fontId="11" numFmtId="0" xfId="0" applyAlignment="1" applyBorder="1" applyFill="1" applyFont="1">
      <alignment vertical="bottom"/>
    </xf>
    <xf borderId="34" fillId="2" fontId="1" numFmtId="167" xfId="0" applyAlignment="1" applyBorder="1" applyFill="1" applyFont="1" applyNumberFormat="1">
      <alignment horizontal="center" vertical="bottom"/>
    </xf>
    <xf borderId="34" fillId="2" fontId="1" numFmtId="4" xfId="0" applyAlignment="1" applyBorder="1" applyFill="1" applyFont="1" applyNumberFormat="1">
      <alignment horizontal="center" vertical="bottom"/>
    </xf>
    <xf borderId="34" fillId="2" fontId="1" numFmtId="1" xfId="0" applyAlignment="1" applyBorder="1" applyFill="1" applyFont="1" applyNumberFormat="1">
      <alignment horizontal="center" vertical="bottom"/>
    </xf>
    <xf borderId="34" fillId="2" fontId="1" numFmtId="2" xfId="0" applyAlignment="1" applyBorder="1" applyFill="1" applyFont="1" applyNumberFormat="1">
      <alignment horizontal="center" vertical="bottom"/>
    </xf>
    <xf borderId="38" fillId="105" fontId="37" numFmtId="0" xfId="0" applyAlignment="1" applyBorder="1" applyFill="1" applyFont="1">
      <alignment horizontal="center" readingOrder="0"/>
    </xf>
    <xf borderId="38" fillId="105" fontId="38" numFmtId="0" xfId="0" applyAlignment="1" applyBorder="1" applyFill="1" applyFont="1">
      <alignment horizontal="center" readingOrder="0"/>
    </xf>
    <xf borderId="38" fillId="105" fontId="38" numFmtId="168" xfId="0" applyAlignment="1" applyBorder="1" applyFill="1" applyFont="1" applyNumberFormat="1">
      <alignment horizontal="center" readingOrder="0"/>
    </xf>
    <xf borderId="38" fillId="106" fontId="37" numFmtId="0" xfId="0" applyAlignment="1" applyBorder="1" applyFill="1" applyFont="1">
      <alignment horizontal="center" readingOrder="0" vertical="bottom"/>
    </xf>
    <xf borderId="38" fillId="0" fontId="39" numFmtId="0" xfId="0" applyAlignment="1" applyBorder="1" applyFont="1">
      <alignment horizontal="center" readingOrder="0" vertical="bottom"/>
    </xf>
    <xf borderId="36" fillId="2" fontId="1" numFmtId="4" xfId="0" applyAlignment="1" applyBorder="1" applyFill="1" applyFont="1" applyNumberFormat="1">
      <alignment horizontal="left" vertical="bottom"/>
    </xf>
    <xf borderId="37" fillId="2" fontId="35" numFmtId="0" xfId="0" applyAlignment="1" applyBorder="1" applyFill="1" applyFont="1">
      <alignment vertical="bottom"/>
    </xf>
    <xf borderId="37" fillId="2" fontId="35" numFmtId="4" xfId="0" applyAlignment="1" applyBorder="1" applyFill="1" applyFont="1" applyNumberFormat="1">
      <alignment vertical="bottom"/>
    </xf>
    <xf borderId="0" fillId="2" fontId="11" numFmtId="2" xfId="0" applyAlignment="1" applyFill="1" applyFont="1" applyNumberFormat="1">
      <alignment vertical="bottom"/>
    </xf>
    <xf borderId="0" fillId="2" fontId="35" numFmtId="2" xfId="0" applyAlignment="1" applyFill="1" applyFont="1" applyNumberFormat="1">
      <alignment horizontal="center" vertical="bottom"/>
    </xf>
    <xf borderId="38" fillId="106" fontId="37" numFmtId="0" xfId="0" applyAlignment="1" applyBorder="1" applyFill="1" applyFont="1">
      <alignment horizontal="center" vertical="bottom"/>
    </xf>
    <xf borderId="2" fillId="3" fontId="7" numFmtId="2" xfId="0" applyAlignment="1" applyBorder="1" applyFill="1" applyFont="1" applyNumberFormat="1">
      <alignment horizontal="right" readingOrder="0"/>
    </xf>
    <xf borderId="2" fillId="0" fontId="18" numFmtId="2" xfId="0" applyAlignment="1" applyBorder="1" applyFont="1" applyNumberFormat="1">
      <alignment readingOrder="0"/>
    </xf>
    <xf borderId="38" fillId="106" fontId="37" numFmtId="0" xfId="0" applyAlignment="1" applyBorder="1" applyFill="1" applyFont="1">
      <alignment horizontal="center" vertical="bottom"/>
    </xf>
    <xf borderId="39" fillId="2" fontId="1" numFmtId="4" xfId="0" applyAlignment="1" applyBorder="1" applyFill="1" applyFont="1" applyNumberFormat="1">
      <alignment horizontal="left" vertical="bottom"/>
    </xf>
    <xf borderId="40" fillId="2" fontId="35" numFmtId="4" xfId="0" applyAlignment="1" applyBorder="1" applyFill="1" applyFont="1" applyNumberFormat="1">
      <alignment vertical="bottom"/>
    </xf>
    <xf borderId="0" fillId="2" fontId="11" numFmtId="0" xfId="0" applyAlignment="1" applyFill="1" applyFont="1">
      <alignment vertical="bottom"/>
    </xf>
    <xf borderId="0" fillId="2" fontId="35" numFmtId="0" xfId="0" applyAlignment="1" applyFill="1" applyFont="1">
      <alignment horizontal="center" vertical="bottom"/>
    </xf>
    <xf borderId="35" fillId="2" fontId="11" numFmtId="0" xfId="0" applyAlignment="1" applyBorder="1" applyFill="1" applyFont="1">
      <alignment vertical="bottom"/>
    </xf>
    <xf borderId="3" fillId="0" fontId="8" numFmtId="0" xfId="0" applyAlignment="1" applyBorder="1" applyFont="1">
      <alignment vertical="bottom"/>
    </xf>
    <xf borderId="34" fillId="2" fontId="35" numFmtId="3" xfId="0" applyAlignment="1" applyBorder="1" applyFill="1" applyFont="1" applyNumberFormat="1">
      <alignment horizontal="center" readingOrder="0" vertical="bottom"/>
    </xf>
    <xf borderId="36" fillId="2" fontId="1" numFmtId="0" xfId="0" applyAlignment="1" applyBorder="1" applyFill="1" applyFont="1">
      <alignment horizontal="center" vertical="bottom"/>
    </xf>
    <xf borderId="14" fillId="2" fontId="11" numFmtId="0" xfId="0" applyAlignment="1" applyBorder="1" applyFill="1" applyFont="1">
      <alignment vertical="bottom"/>
    </xf>
    <xf borderId="12" fillId="2" fontId="11" numFmtId="0" xfId="0" applyAlignment="1" applyBorder="1" applyFill="1" applyFont="1">
      <alignment vertical="bottom"/>
    </xf>
    <xf borderId="34" fillId="2" fontId="40" numFmtId="0" xfId="0" applyAlignment="1" applyBorder="1" applyFill="1" applyFont="1">
      <alignment horizontal="center" vertical="bottom"/>
    </xf>
    <xf borderId="34" fillId="2" fontId="1" numFmtId="164" xfId="0" applyAlignment="1" applyBorder="1" applyFill="1" applyFont="1" applyNumberFormat="1">
      <alignment horizontal="right" vertical="bottom"/>
    </xf>
    <xf borderId="34" fillId="2" fontId="11" numFmtId="0" xfId="0" applyAlignment="1" applyBorder="1" applyFill="1" applyFont="1">
      <alignment vertical="bottom"/>
    </xf>
    <xf borderId="34" fillId="2" fontId="1" numFmtId="2" xfId="0" applyAlignment="1" applyBorder="1" applyFill="1" applyFont="1" applyNumberFormat="1">
      <alignment horizontal="right" vertical="bottom"/>
    </xf>
    <xf borderId="0" fillId="2" fontId="9" numFmtId="2" xfId="0" applyAlignment="1" applyFill="1" applyFont="1" applyNumberFormat="1">
      <alignment horizontal="center"/>
    </xf>
    <xf borderId="0" fillId="2" fontId="10" numFmtId="2" xfId="0" applyFill="1" applyFont="1" applyNumberFormat="1"/>
    <xf borderId="0" fillId="2" fontId="9" numFmtId="0" xfId="0" applyAlignment="1" applyFill="1" applyFont="1">
      <alignment horizontal="center"/>
    </xf>
    <xf borderId="0" fillId="2" fontId="10" numFmtId="0" xfId="0" applyFill="1" applyFont="1"/>
    <xf borderId="0" fillId="0" fontId="2" numFmtId="168" xfId="0" applyAlignment="1" applyFont="1" applyNumberFormat="1">
      <alignment readingOrder="0"/>
    </xf>
    <xf borderId="0" fillId="0" fontId="41" numFmtId="0" xfId="0" applyAlignment="1" applyFont="1">
      <alignment readingOrder="0"/>
    </xf>
    <xf borderId="0" fillId="0" fontId="11" numFmtId="4" xfId="0" applyAlignment="1" applyFont="1" applyNumberFormat="1">
      <alignment vertical="bottom"/>
    </xf>
    <xf borderId="0" fillId="0" fontId="11" numFmtId="2" xfId="0" applyAlignment="1" applyFont="1" applyNumberFormat="1">
      <alignment vertical="bottom"/>
    </xf>
    <xf borderId="0" fillId="0" fontId="11" numFmtId="2" xfId="0" applyAlignment="1" applyFont="1" applyNumberFormat="1">
      <alignment readingOrder="0" vertical="bottom"/>
    </xf>
    <xf borderId="0" fillId="0" fontId="11" numFmtId="0" xfId="0" applyAlignment="1" applyFont="1">
      <alignment readingOrder="0" vertical="bottom"/>
    </xf>
    <xf borderId="38" fillId="106" fontId="37" numFmtId="2" xfId="0" applyAlignment="1" applyBorder="1" applyFill="1" applyFont="1" applyNumberFormat="1">
      <alignment horizontal="center" readingOrder="0" vertical="bottom"/>
    </xf>
    <xf borderId="38" fillId="106" fontId="37" numFmtId="1" xfId="0" applyAlignment="1" applyBorder="1" applyFill="1" applyFont="1" applyNumberFormat="1">
      <alignment horizontal="center" readingOrder="0" vertical="bottom"/>
    </xf>
    <xf borderId="0" fillId="2" fontId="10" numFmtId="0" xfId="0" applyAlignment="1" applyFill="1" applyFont="1">
      <alignment horizontal="center"/>
    </xf>
    <xf borderId="2" fillId="0" fontId="18" numFmtId="0" xfId="0" applyBorder="1" applyFont="1"/>
    <xf borderId="41" fillId="0" fontId="8" numFmtId="0" xfId="0" applyAlignment="1" applyBorder="1" applyFont="1">
      <alignment vertical="bottom"/>
    </xf>
    <xf borderId="42" fillId="2" fontId="4" numFmtId="0" xfId="0" applyAlignment="1" applyBorder="1" applyFill="1" applyFont="1">
      <alignment horizontal="center" readingOrder="0"/>
    </xf>
    <xf borderId="42" fillId="2" fontId="4" numFmtId="0" xfId="0" applyAlignment="1" applyBorder="1" applyFill="1" applyFont="1">
      <alignment horizontal="center"/>
    </xf>
    <xf borderId="42" fillId="2" fontId="4" numFmtId="0" xfId="0" applyBorder="1" applyFill="1" applyFont="1"/>
    <xf borderId="42" fillId="2" fontId="4" numFmtId="2" xfId="0" applyBorder="1" applyFill="1" applyFont="1" applyNumberFormat="1"/>
    <xf borderId="42" fillId="0" fontId="18" numFmtId="2" xfId="0" applyBorder="1" applyFont="1" applyNumberFormat="1"/>
    <xf borderId="42" fillId="0" fontId="18" numFmtId="164" xfId="0" applyBorder="1" applyFont="1" applyNumberFormat="1"/>
    <xf borderId="42" fillId="2" fontId="4" numFmtId="164" xfId="0" applyBorder="1" applyFill="1" applyFont="1" applyNumberFormat="1"/>
    <xf borderId="42" fillId="2" fontId="4" numFmtId="164" xfId="0" applyAlignment="1" applyBorder="1" applyFill="1" applyFont="1" applyNumberFormat="1">
      <alignment horizontal="right"/>
    </xf>
    <xf borderId="42" fillId="0" fontId="18" numFmtId="0" xfId="0" applyBorder="1" applyFont="1"/>
    <xf borderId="43" fillId="2" fontId="18" numFmtId="0" xfId="0" applyBorder="1" applyFill="1" applyFont="1"/>
    <xf borderId="44" fillId="0" fontId="11" numFmtId="0" xfId="0" applyAlignment="1" applyBorder="1" applyFont="1">
      <alignment vertical="bottom"/>
    </xf>
    <xf borderId="0" fillId="2" fontId="1" numFmtId="0" xfId="0" applyAlignment="1" applyFill="1" applyFont="1">
      <alignment horizontal="center" readingOrder="0"/>
    </xf>
    <xf borderId="24" fillId="2" fontId="1" numFmtId="0" xfId="0" applyAlignment="1" applyBorder="1" applyFill="1" applyFont="1">
      <alignment horizontal="center" readingOrder="0"/>
    </xf>
    <xf borderId="24" fillId="2" fontId="1" numFmtId="0" xfId="0" applyAlignment="1" applyBorder="1" applyFill="1" applyFont="1">
      <alignment horizontal="center"/>
    </xf>
    <xf borderId="24" fillId="2" fontId="1" numFmtId="0" xfId="0" applyBorder="1" applyFill="1" applyFont="1"/>
    <xf borderId="24" fillId="2" fontId="1" numFmtId="2" xfId="0" applyBorder="1" applyFill="1" applyFont="1" applyNumberFormat="1"/>
    <xf borderId="24" fillId="0" fontId="42" numFmtId="2" xfId="0" applyBorder="1" applyFont="1" applyNumberFormat="1"/>
    <xf borderId="24" fillId="0" fontId="42" numFmtId="164" xfId="0" applyBorder="1" applyFont="1" applyNumberFormat="1"/>
    <xf borderId="24" fillId="2" fontId="1" numFmtId="164" xfId="0" applyBorder="1" applyFill="1" applyFont="1" applyNumberFormat="1"/>
    <xf borderId="24" fillId="2" fontId="1" numFmtId="164" xfId="0" applyAlignment="1" applyBorder="1" applyFill="1" applyFont="1" applyNumberFormat="1">
      <alignment horizontal="right"/>
    </xf>
    <xf borderId="24" fillId="0" fontId="42" numFmtId="0" xfId="0" applyBorder="1" applyFont="1"/>
    <xf borderId="24" fillId="2" fontId="42" numFmtId="0" xfId="0" applyBorder="1" applyFill="1" applyFont="1"/>
    <xf borderId="0" fillId="2" fontId="2" numFmtId="0" xfId="0" applyAlignment="1" applyFill="1" applyFont="1">
      <alignment horizontal="center"/>
    </xf>
    <xf borderId="3" fillId="0" fontId="11" numFmtId="0" xfId="0" applyAlignment="1" applyBorder="1" applyFont="1">
      <alignment vertical="bottom"/>
    </xf>
    <xf borderId="5" fillId="2" fontId="1" numFmtId="0" xfId="0" applyAlignment="1" applyBorder="1" applyFill="1" applyFont="1">
      <alignment horizontal="center" readingOrder="0"/>
    </xf>
    <xf borderId="2" fillId="2" fontId="1" numFmtId="0" xfId="0" applyAlignment="1" applyBorder="1" applyFill="1" applyFont="1">
      <alignment horizontal="center" readingOrder="0"/>
    </xf>
    <xf borderId="2" fillId="2" fontId="1" numFmtId="0" xfId="0" applyAlignment="1" applyBorder="1" applyFill="1" applyFont="1">
      <alignment horizontal="center"/>
    </xf>
    <xf borderId="2" fillId="2" fontId="1" numFmtId="0" xfId="0" applyBorder="1" applyFill="1" applyFont="1"/>
    <xf borderId="2" fillId="2" fontId="1" numFmtId="2" xfId="0" applyBorder="1" applyFill="1" applyFont="1" applyNumberFormat="1"/>
    <xf borderId="2" fillId="0" fontId="42" numFmtId="2" xfId="0" applyBorder="1" applyFont="1" applyNumberFormat="1"/>
    <xf borderId="2" fillId="0" fontId="42" numFmtId="164" xfId="0" applyBorder="1" applyFont="1" applyNumberFormat="1"/>
    <xf borderId="2" fillId="2" fontId="1" numFmtId="164" xfId="0" applyBorder="1" applyFill="1" applyFont="1" applyNumberFormat="1"/>
    <xf borderId="2" fillId="2" fontId="1" numFmtId="164" xfId="0" applyAlignment="1" applyBorder="1" applyFill="1" applyFont="1" applyNumberFormat="1">
      <alignment horizontal="right"/>
    </xf>
    <xf borderId="2" fillId="0" fontId="42" numFmtId="0" xfId="0" applyBorder="1" applyFont="1"/>
    <xf borderId="0" fillId="2" fontId="35" numFmtId="0" xfId="0" applyAlignment="1" applyFill="1" applyFont="1">
      <alignment vertical="bottom"/>
    </xf>
    <xf borderId="0" fillId="2" fontId="3" numFmtId="2" xfId="0" applyFill="1" applyFont="1" applyNumberFormat="1"/>
    <xf borderId="0" fillId="0" fontId="11" numFmtId="0" xfId="0" applyAlignment="1" applyFont="1">
      <alignment shrinkToFit="0" vertical="bottom" wrapText="0"/>
    </xf>
    <xf borderId="0" fillId="0" fontId="11" numFmtId="0" xfId="0" applyAlignment="1" applyFont="1">
      <alignment horizontal="right" vertical="bottom"/>
    </xf>
    <xf borderId="0" fillId="0" fontId="11" numFmtId="0" xfId="0" applyAlignment="1" applyFont="1">
      <alignment vertical="bottom"/>
    </xf>
    <xf borderId="0" fillId="0" fontId="18" numFmtId="0" xfId="0" applyAlignment="1" applyFont="1">
      <alignment horizontal="center" vertical="bottom"/>
    </xf>
    <xf borderId="0" fillId="0" fontId="11" numFmtId="0" xfId="0" applyAlignment="1" applyFont="1">
      <alignment horizontal="center" vertical="bottom"/>
    </xf>
    <xf borderId="35" fillId="0" fontId="18" numFmtId="0" xfId="0" applyAlignment="1" applyBorder="1" applyFont="1">
      <alignment vertical="bottom"/>
    </xf>
    <xf borderId="35" fillId="0" fontId="18" numFmtId="0" xfId="0" applyAlignment="1" applyBorder="1" applyFont="1">
      <alignment horizontal="center" vertical="bottom"/>
    </xf>
    <xf borderId="35" fillId="0" fontId="11" numFmtId="0" xfId="0" applyAlignment="1" applyBorder="1" applyFont="1">
      <alignment horizontal="right" vertical="bottom"/>
    </xf>
    <xf borderId="35" fillId="0" fontId="42" numFmtId="0" xfId="0" applyAlignment="1" applyBorder="1" applyFont="1">
      <alignment horizontal="right" vertical="bottom"/>
    </xf>
    <xf borderId="35" fillId="0" fontId="42" numFmtId="0" xfId="0" applyAlignment="1" applyBorder="1" applyFont="1">
      <alignment vertical="bottom"/>
    </xf>
    <xf borderId="35" fillId="0" fontId="42" numFmtId="167" xfId="0" applyAlignment="1" applyBorder="1" applyFont="1" applyNumberFormat="1">
      <alignment horizontal="right" vertical="bottom"/>
    </xf>
    <xf borderId="35" fillId="0" fontId="42" numFmtId="165" xfId="0" applyAlignment="1" applyBorder="1" applyFont="1" applyNumberFormat="1">
      <alignment horizontal="right" vertical="bottom"/>
    </xf>
    <xf borderId="0" fillId="3" fontId="36" numFmtId="0" xfId="0" applyAlignment="1" applyFill="1" applyFont="1">
      <alignment vertical="bottom"/>
    </xf>
    <xf borderId="35" fillId="0" fontId="11" numFmtId="4" xfId="0" applyAlignment="1" applyBorder="1" applyFont="1" applyNumberFormat="1">
      <alignment vertical="bottom"/>
    </xf>
    <xf borderId="35" fillId="0" fontId="11" numFmtId="167" xfId="0" applyAlignment="1" applyBorder="1" applyFont="1" applyNumberFormat="1">
      <alignment vertical="bottom"/>
    </xf>
    <xf borderId="35" fillId="0" fontId="11" numFmtId="165" xfId="0" applyAlignment="1" applyBorder="1" applyFont="1" applyNumberFormat="1">
      <alignment vertical="bottom"/>
    </xf>
    <xf borderId="0" fillId="3" fontId="11" numFmtId="4" xfId="0" applyAlignment="1" applyFill="1" applyFont="1" applyNumberFormat="1">
      <alignment vertical="bottom"/>
    </xf>
    <xf borderId="35" fillId="0" fontId="43" numFmtId="4" xfId="0" applyAlignment="1" applyBorder="1" applyFont="1" applyNumberFormat="1">
      <alignment vertical="bottom"/>
    </xf>
    <xf borderId="0" fillId="3" fontId="43" numFmtId="4" xfId="0" applyAlignment="1" applyFill="1" applyFont="1" applyNumberFormat="1">
      <alignment vertical="bottom"/>
    </xf>
    <xf borderId="35" fillId="0" fontId="11" numFmtId="3" xfId="0" applyAlignment="1" applyBorder="1" applyFont="1" applyNumberFormat="1">
      <alignment horizontal="right" vertical="bottom"/>
    </xf>
    <xf borderId="35" fillId="0" fontId="42" numFmtId="164" xfId="0" applyAlignment="1" applyBorder="1" applyFont="1" applyNumberFormat="1">
      <alignment horizontal="right" vertical="bottom"/>
    </xf>
    <xf borderId="35" fillId="0" fontId="42" numFmtId="2" xfId="0" applyAlignment="1" applyBorder="1" applyFont="1" applyNumberFormat="1">
      <alignment horizontal="right" vertical="bottom"/>
    </xf>
    <xf borderId="35" fillId="0" fontId="43" numFmtId="167" xfId="0" applyAlignment="1" applyBorder="1" applyFont="1" applyNumberFormat="1">
      <alignment vertical="bottom"/>
    </xf>
    <xf borderId="35" fillId="0" fontId="43" numFmtId="165" xfId="0" applyAlignment="1" applyBorder="1" applyFont="1" applyNumberFormat="1">
      <alignment vertical="bottom"/>
    </xf>
    <xf borderId="35" fillId="0" fontId="11" numFmtId="0" xfId="0" applyAlignment="1" applyBorder="1" applyFont="1">
      <alignment horizontal="right" readingOrder="0" vertical="bottom"/>
    </xf>
    <xf borderId="0" fillId="0" fontId="11" numFmtId="0" xfId="0" applyAlignment="1" applyFont="1">
      <alignment horizontal="right" vertical="bottom"/>
    </xf>
    <xf borderId="45" fillId="0" fontId="44" numFmtId="0" xfId="0" applyAlignment="1" applyBorder="1" applyFont="1">
      <alignment horizontal="center" readingOrder="0" vertical="center"/>
    </xf>
    <xf borderId="45" fillId="0" fontId="2" numFmtId="0" xfId="0" applyAlignment="1" applyBorder="1" applyFont="1">
      <alignment horizontal="center" readingOrder="0" vertical="center"/>
    </xf>
    <xf borderId="0" fillId="3" fontId="24" numFmtId="0" xfId="0" applyAlignment="1" applyFill="1" applyFont="1">
      <alignment horizontal="left"/>
    </xf>
    <xf borderId="46" fillId="0" fontId="2" numFmtId="0" xfId="0" applyBorder="1" applyFont="1"/>
    <xf borderId="0" fillId="0" fontId="45" numFmtId="0" xfId="0" applyAlignment="1" applyFont="1">
      <alignment readingOrder="0"/>
    </xf>
    <xf borderId="0" fillId="3" fontId="24" numFmtId="0" xfId="0" applyAlignment="1" applyFill="1" applyFont="1">
      <alignment horizontal="right"/>
    </xf>
    <xf borderId="0" fillId="3" fontId="24" numFmtId="0" xfId="0" applyFill="1" applyFont="1"/>
    <xf borderId="35" fillId="3" fontId="24" numFmtId="0" xfId="0" applyAlignment="1" applyBorder="1" applyFill="1" applyFont="1">
      <alignment horizontal="center"/>
    </xf>
    <xf borderId="35" fillId="0" fontId="42" numFmtId="0" xfId="0" applyBorder="1" applyFont="1"/>
    <xf borderId="35" fillId="0" fontId="18" numFmtId="0" xfId="0" applyBorder="1" applyFont="1"/>
    <xf borderId="35" fillId="0" fontId="18" numFmtId="0" xfId="0" applyAlignment="1" applyBorder="1" applyFont="1">
      <alignment readingOrder="0" vertical="bottom"/>
    </xf>
    <xf borderId="35" fillId="0" fontId="18" numFmtId="0" xfId="0" applyAlignment="1" applyBorder="1" applyFont="1">
      <alignment readingOrder="0"/>
    </xf>
    <xf borderId="35" fillId="0" fontId="42" numFmtId="0" xfId="0" applyAlignment="1" applyBorder="1" applyFont="1">
      <alignment readingOrder="0"/>
    </xf>
    <xf borderId="35" fillId="0" fontId="42" numFmtId="167" xfId="0" applyBorder="1" applyFont="1" applyNumberFormat="1"/>
    <xf borderId="35" fillId="0" fontId="42" numFmtId="164" xfId="0" applyBorder="1" applyFont="1" applyNumberFormat="1"/>
    <xf borderId="0" fillId="3" fontId="36" numFmtId="0" xfId="0" applyAlignment="1" applyFill="1" applyFont="1">
      <alignment horizontal="left"/>
    </xf>
    <xf borderId="0" fillId="3" fontId="36" numFmtId="4" xfId="0" applyAlignment="1" applyFill="1" applyFont="1" applyNumberFormat="1">
      <alignment horizontal="left"/>
    </xf>
    <xf borderId="35" fillId="0" fontId="42" numFmtId="4" xfId="0" applyAlignment="1" applyBorder="1" applyFont="1" applyNumberFormat="1">
      <alignment readingOrder="0"/>
    </xf>
    <xf borderId="0" fillId="0" fontId="42" numFmtId="0" xfId="0" applyFont="1"/>
    <xf borderId="0" fillId="0" fontId="2" numFmtId="4" xfId="0" applyAlignment="1" applyFont="1" applyNumberFormat="1">
      <alignment readingOrder="0"/>
    </xf>
    <xf borderId="0" fillId="0" fontId="11" numFmtId="4" xfId="0" applyAlignment="1" applyFont="1" applyNumberFormat="1">
      <alignment horizontal="right" vertical="bottom"/>
    </xf>
    <xf borderId="0" fillId="0" fontId="2" numFmtId="4" xfId="0" applyFont="1" applyNumberFormat="1"/>
    <xf borderId="35" fillId="0" fontId="18" numFmtId="0" xfId="0" applyAlignment="1" applyBorder="1" applyFont="1">
      <alignment horizontal="center" readingOrder="0"/>
    </xf>
    <xf borderId="12" fillId="0" fontId="42" numFmtId="0" xfId="0" applyBorder="1" applyFont="1"/>
    <xf borderId="1" fillId="2" fontId="4" numFmtId="3" xfId="0" applyAlignment="1" applyBorder="1" applyFill="1" applyFont="1" applyNumberFormat="1">
      <alignment readingOrder="0"/>
    </xf>
    <xf borderId="35" fillId="0" fontId="18" numFmtId="0" xfId="0" applyAlignment="1" applyBorder="1" applyFont="1">
      <alignment horizontal="left" readingOrder="0"/>
    </xf>
    <xf borderId="35" fillId="0" fontId="2" numFmtId="0" xfId="0" applyAlignment="1" applyBorder="1" applyFont="1">
      <alignment readingOrder="0"/>
    </xf>
    <xf borderId="35" fillId="3" fontId="36" numFmtId="0" xfId="0" applyAlignment="1" applyBorder="1" applyFill="1" applyFont="1">
      <alignment horizontal="center"/>
    </xf>
    <xf borderId="35" fillId="0" fontId="42" numFmtId="2" xfId="0" applyBorder="1" applyFont="1" applyNumberFormat="1"/>
    <xf borderId="0" fillId="3" fontId="36" numFmtId="2" xfId="0" applyAlignment="1" applyFill="1" applyFont="1" applyNumberFormat="1">
      <alignment horizontal="right"/>
    </xf>
    <xf borderId="35" fillId="0" fontId="42" numFmtId="2" xfId="0" applyAlignment="1" applyBorder="1" applyFont="1" applyNumberFormat="1">
      <alignment readingOrder="0"/>
    </xf>
    <xf borderId="0" fillId="3" fontId="46" numFmtId="0" xfId="0" applyAlignment="1" applyFill="1" applyFont="1">
      <alignment horizontal="center" readingOrder="0" shrinkToFit="0" wrapText="0"/>
    </xf>
    <xf borderId="0" fillId="2" fontId="47" numFmtId="0" xfId="0" applyAlignment="1" applyFill="1" applyFont="1">
      <alignment shrinkToFit="0" wrapText="0"/>
    </xf>
    <xf borderId="0" fillId="2" fontId="48" numFmtId="0" xfId="0" applyAlignment="1" applyFill="1" applyFont="1">
      <alignment readingOrder="0" shrinkToFit="0" wrapText="0"/>
    </xf>
    <xf borderId="0" fillId="3" fontId="49" numFmtId="0" xfId="0" applyAlignment="1" applyFill="1" applyFont="1">
      <alignment horizontal="left" readingOrder="0" shrinkToFit="0" wrapText="0"/>
    </xf>
    <xf borderId="0" fillId="3" fontId="50" numFmtId="0" xfId="0" applyAlignment="1" applyFill="1" applyFont="1">
      <alignment horizontal="left" readingOrder="0" shrinkToFit="0" wrapText="0"/>
    </xf>
    <xf borderId="0" fillId="3" fontId="49" numFmtId="0" xfId="0" applyAlignment="1" applyFill="1" applyFont="1">
      <alignment horizontal="center" readingOrder="0" shrinkToFit="0" wrapText="0"/>
    </xf>
    <xf borderId="0" fillId="3" fontId="48" numFmtId="0" xfId="0" applyAlignment="1" applyFill="1" applyFont="1">
      <alignment readingOrder="0" shrinkToFit="0" wrapText="0"/>
    </xf>
    <xf borderId="0" fillId="3" fontId="47" numFmtId="0" xfId="0" applyAlignment="1" applyFill="1" applyFont="1">
      <alignment shrinkToFit="0" wrapText="0"/>
    </xf>
    <xf borderId="0" fillId="2" fontId="48" numFmtId="0" xfId="0" applyAlignment="1" applyFill="1" applyFont="1">
      <alignment horizontal="left" readingOrder="0" shrinkToFit="0" wrapText="0"/>
    </xf>
    <xf borderId="0" fillId="2" fontId="51" numFmtId="0" xfId="0" applyAlignment="1" applyFill="1" applyFont="1">
      <alignment horizontal="left" readingOrder="0" shrinkToFit="0" wrapText="0"/>
    </xf>
    <xf borderId="0" fillId="2" fontId="51" numFmtId="0" xfId="0" applyAlignment="1" applyFill="1" applyFont="1">
      <alignment horizontal="left" shrinkToFit="0" wrapText="0"/>
    </xf>
    <xf borderId="0" fillId="3" fontId="48" numFmtId="0" xfId="0" applyAlignment="1" applyFill="1" applyFont="1">
      <alignment horizontal="left" readingOrder="0" shrinkToFit="0" wrapText="0"/>
    </xf>
    <xf borderId="0" fillId="3" fontId="51" numFmtId="0" xfId="0" applyAlignment="1" applyFill="1" applyFont="1">
      <alignment horizontal="left" readingOrder="0" shrinkToFit="0" wrapText="0"/>
    </xf>
    <xf borderId="0" fillId="3" fontId="51" numFmtId="0" xfId="0" applyAlignment="1" applyFill="1" applyFont="1">
      <alignment horizontal="left" shrinkToFit="0" wrapText="0"/>
    </xf>
    <xf borderId="0" fillId="3" fontId="51" numFmtId="0" xfId="0" applyAlignment="1" applyFill="1" applyFont="1">
      <alignment horizontal="left" shrinkToFit="0" wrapText="0"/>
    </xf>
    <xf borderId="0" fillId="2" fontId="51" numFmtId="0" xfId="0" applyAlignment="1" applyFill="1" applyFont="1">
      <alignment horizontal="left" shrinkToFit="0" wrapText="0"/>
    </xf>
    <xf borderId="0" fillId="3" fontId="52" numFmtId="0" xfId="0" applyAlignment="1" applyFill="1" applyFont="1">
      <alignment readingOrder="0" shrinkToFit="0" wrapText="0"/>
    </xf>
    <xf borderId="0" fillId="2" fontId="52" numFmtId="0" xfId="0" applyAlignment="1" applyFill="1" applyFont="1">
      <alignment readingOrder="0" shrinkToFit="0" wrapText="0"/>
    </xf>
    <xf borderId="0" fillId="3" fontId="46" numFmtId="0" xfId="0" applyAlignment="1" applyFill="1" applyFont="1">
      <alignment horizontal="right" readingOrder="0" shrinkToFit="0" wrapText="0"/>
    </xf>
    <xf borderId="0" fillId="0" fontId="53" numFmtId="0" xfId="0" applyAlignment="1" applyFont="1">
      <alignment horizontal="right" readingOrder="0" shrinkToFit="0" wrapText="0"/>
    </xf>
    <xf borderId="0" fillId="0" fontId="54" numFmtId="168" xfId="0" applyAlignment="1" applyFont="1" applyNumberFormat="1">
      <alignment horizontal="right" readingOrder="0" shrinkToFit="0" wrapText="0"/>
    </xf>
    <xf borderId="0" fillId="0" fontId="55" numFmtId="0" xfId="0" applyAlignment="1" applyFont="1">
      <alignment horizontal="right" shrinkToFit="0" wrapText="0"/>
    </xf>
    <xf borderId="0" fillId="2" fontId="48" numFmtId="0" xfId="0" applyAlignment="1" applyFill="1" applyFont="1">
      <alignment horizontal="right" readingOrder="0" shrinkToFit="0" wrapText="0"/>
    </xf>
    <xf borderId="0" fillId="0" fontId="48" numFmtId="0" xfId="0" applyAlignment="1" applyFont="1">
      <alignment horizontal="right" readingOrder="0" shrinkToFit="0" wrapText="0"/>
    </xf>
    <xf borderId="0" fillId="0" fontId="47" numFmtId="0" xfId="0" applyAlignment="1" applyFont="1">
      <alignment horizontal="right" shrinkToFit="0" wrapText="0"/>
    </xf>
    <xf borderId="0" fillId="2" fontId="47" numFmtId="0" xfId="0" applyAlignment="1" applyFill="1" applyFont="1">
      <alignment horizontal="right" shrinkToFit="0" wrapText="0"/>
    </xf>
    <xf borderId="0" fillId="2" fontId="52" numFmtId="0" xfId="0" applyAlignment="1" applyFill="1" applyFont="1">
      <alignment horizontal="right" readingOrder="0" shrinkToFit="0" wrapText="0"/>
    </xf>
    <xf borderId="0" fillId="0" fontId="52" numFmtId="0" xfId="0" applyAlignment="1" applyFont="1">
      <alignment horizontal="right" readingOrder="0" shrinkToFit="0" wrapText="0"/>
    </xf>
    <xf borderId="0" fillId="3" fontId="56" numFmtId="0" xfId="0" applyAlignment="1" applyFill="1" applyFont="1">
      <alignment horizontal="right" readingOrder="0" shrinkToFit="0" wrapText="0"/>
    </xf>
    <xf borderId="0" fillId="3" fontId="48" numFmtId="0" xfId="0" applyAlignment="1" applyFill="1" applyFont="1">
      <alignment horizontal="right" readingOrder="0" shrinkToFit="0" wrapText="0"/>
    </xf>
  </cellXfs>
  <cellStyles count="1">
    <cellStyle xfId="0" name="Normal" builtinId="0"/>
  </cellStyles>
  <dxfs count="7">
    <dxf>
      <font/>
      <fill>
        <patternFill patternType="solid">
          <fgColor rgb="FF00FF00"/>
          <bgColor rgb="FF00FF00"/>
        </patternFill>
      </fill>
      <border/>
    </dxf>
    <dxf>
      <font>
        <color rgb="FF000000"/>
      </font>
      <fill>
        <patternFill patternType="solid">
          <fgColor rgb="FF00FF00"/>
          <bgColor rgb="FF00FF00"/>
        </patternFill>
      </fill>
      <border/>
    </dxf>
    <dxf>
      <font>
        <color rgb="FFFFFFFF"/>
      </font>
      <fill>
        <patternFill patternType="solid">
          <fgColor rgb="FF000000"/>
          <bgColor rgb="FF000000"/>
        </patternFill>
      </fill>
      <border/>
    </dxf>
    <dxf>
      <font/>
      <fill>
        <patternFill patternType="solid">
          <fgColor rgb="FFFFFFFF"/>
          <bgColor rgb="FFFFFFFF"/>
        </patternFill>
      </fill>
      <border/>
    </dxf>
    <dxf>
      <font/>
      <fill>
        <patternFill patternType="solid">
          <fgColor rgb="FFFFFF00"/>
          <bgColor rgb="FFFFFF00"/>
        </patternFill>
      </fill>
      <border/>
    </dxf>
    <dxf>
      <font/>
      <fill>
        <patternFill patternType="solid">
          <fgColor rgb="FFFF0000"/>
          <bgColor rgb="FFFF0000"/>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190500</xdr:colOff>
      <xdr:row>15</xdr:row>
      <xdr:rowOff>57150</xdr:rowOff>
    </xdr:from>
    <xdr:ext cx="676275" cy="304800"/>
    <xdr:sp>
      <xdr:nvSpPr>
        <xdr:cNvPr id="3" name="Shape 3"/>
        <xdr:cNvSpPr/>
      </xdr:nvSpPr>
      <xdr:spPr>
        <a:xfrm>
          <a:off x="1007050" y="220925"/>
          <a:ext cx="846000" cy="417900"/>
        </a:xfrm>
        <a:prstGeom prst="roundRect">
          <a:avLst>
            <a:gd fmla="val 16667" name="adj"/>
          </a:avLst>
        </a:prstGeom>
        <a:gradFill>
          <a:gsLst>
            <a:gs pos="0">
              <a:srgbClr val="51AB2A"/>
            </a:gs>
            <a:gs pos="100000">
              <a:srgbClr val="203E13"/>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Input Pick</a:t>
          </a:r>
          <a:endParaRPr b="1" sz="1400"/>
        </a:p>
      </xdr:txBody>
    </xdr:sp>
    <xdr:clientData fLocksWithSheet="0"/>
  </xdr:oneCellAnchor>
  <xdr:oneCellAnchor>
    <xdr:from>
      <xdr:col>5</xdr:col>
      <xdr:colOff>1038225</xdr:colOff>
      <xdr:row>15</xdr:row>
      <xdr:rowOff>57150</xdr:rowOff>
    </xdr:from>
    <xdr:ext cx="676275" cy="304800"/>
    <xdr:sp>
      <xdr:nvSpPr>
        <xdr:cNvPr id="4" name="Shape 4"/>
        <xdr:cNvSpPr/>
      </xdr:nvSpPr>
      <xdr:spPr>
        <a:xfrm>
          <a:off x="360225" y="230875"/>
          <a:ext cx="875700" cy="417900"/>
        </a:xfrm>
        <a:prstGeom prst="roundRect">
          <a:avLst>
            <a:gd fmla="val 16667" name="adj"/>
          </a:avLst>
        </a:prstGeom>
        <a:gradFill>
          <a:gsLst>
            <a:gs pos="0">
              <a:srgbClr val="DB0000"/>
            </a:gs>
            <a:gs pos="100000">
              <a:srgbClr val="54030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Clear Last</a:t>
          </a:r>
          <a:endParaRPr b="1" sz="1400"/>
        </a:p>
      </xdr:txBody>
    </xdr:sp>
    <xdr:clientData fLocksWithSheet="0"/>
  </xdr:oneCellAnchor>
  <xdr:oneCellAnchor>
    <xdr:from>
      <xdr:col>5</xdr:col>
      <xdr:colOff>114300</xdr:colOff>
      <xdr:row>7</xdr:row>
      <xdr:rowOff>38100</xdr:rowOff>
    </xdr:from>
    <xdr:ext cx="838200" cy="333375"/>
    <xdr:sp>
      <xdr:nvSpPr>
        <xdr:cNvPr id="5" name="Shape 5"/>
        <xdr:cNvSpPr/>
      </xdr:nvSpPr>
      <xdr:spPr>
        <a:xfrm>
          <a:off x="668725" y="240825"/>
          <a:ext cx="1054800" cy="438000"/>
        </a:xfrm>
        <a:prstGeom prst="roundRect">
          <a:avLst>
            <a:gd fmla="val 16667" name="adj"/>
          </a:avLst>
        </a:prstGeom>
        <a:gradFill>
          <a:gsLst>
            <a:gs pos="0">
              <a:srgbClr val="51AB2A"/>
            </a:gs>
            <a:gs pos="100000">
              <a:srgbClr val="203E13"/>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t>Make Pick</a:t>
          </a:r>
          <a:endParaRPr b="1" sz="1200"/>
        </a:p>
      </xdr:txBody>
    </xdr:sp>
    <xdr:clientData fLocksWithSheet="0"/>
  </xdr:oneCellAnchor>
  <xdr:oneCellAnchor>
    <xdr:from>
      <xdr:col>5</xdr:col>
      <xdr:colOff>1019175</xdr:colOff>
      <xdr:row>7</xdr:row>
      <xdr:rowOff>38100</xdr:rowOff>
    </xdr:from>
    <xdr:ext cx="723900" cy="333375"/>
    <xdr:sp>
      <xdr:nvSpPr>
        <xdr:cNvPr id="6" name="Shape 6"/>
        <xdr:cNvSpPr/>
      </xdr:nvSpPr>
      <xdr:spPr>
        <a:xfrm>
          <a:off x="628925" y="320425"/>
          <a:ext cx="1104600" cy="527400"/>
        </a:xfrm>
        <a:prstGeom prst="roundRect">
          <a:avLst>
            <a:gd fmla="val 16667" name="adj"/>
          </a:avLst>
        </a:prstGeom>
        <a:gradFill>
          <a:gsLst>
            <a:gs pos="0">
              <a:srgbClr val="DB0000"/>
            </a:gs>
            <a:gs pos="100000">
              <a:srgbClr val="540303"/>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Delete Pick</a:t>
          </a:r>
          <a:endParaRPr b="1"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hashtagbasketball.com/15288/player" TargetMode="External"/><Relationship Id="rId194" Type="http://schemas.openxmlformats.org/officeDocument/2006/relationships/hyperlink" Target="https://hashtagbasketball.com/9659/player" TargetMode="External"/><Relationship Id="rId193" Type="http://schemas.openxmlformats.org/officeDocument/2006/relationships/hyperlink" Target="https://hashtagbasketball.com/10127/player" TargetMode="External"/><Relationship Id="rId192" Type="http://schemas.openxmlformats.org/officeDocument/2006/relationships/hyperlink" Target="https://hashtagbasketball.com/9387/player" TargetMode="External"/><Relationship Id="rId191" Type="http://schemas.openxmlformats.org/officeDocument/2006/relationships/hyperlink" Target="https://hashtagbasketball.com/17312/player" TargetMode="External"/><Relationship Id="rId187" Type="http://schemas.openxmlformats.org/officeDocument/2006/relationships/hyperlink" Target="https://hashtagbasketball.com/27590/player" TargetMode="External"/><Relationship Id="rId186" Type="http://schemas.openxmlformats.org/officeDocument/2006/relationships/hyperlink" Target="https://hashtagbasketball.com/9202/player" TargetMode="External"/><Relationship Id="rId185" Type="http://schemas.openxmlformats.org/officeDocument/2006/relationships/hyperlink" Target="https://hashtagbasketball.com/13740/player" TargetMode="External"/><Relationship Id="rId184" Type="http://schemas.openxmlformats.org/officeDocument/2006/relationships/hyperlink" Target="https://hashtagbasketball.com/9283/player" TargetMode="External"/><Relationship Id="rId189" Type="http://schemas.openxmlformats.org/officeDocument/2006/relationships/hyperlink" Target="https://hashtagbasketball.com/9342/player" TargetMode="External"/><Relationship Id="rId188" Type="http://schemas.openxmlformats.org/officeDocument/2006/relationships/hyperlink" Target="https://hashtagbasketball.com/120004/player" TargetMode="External"/><Relationship Id="rId183" Type="http://schemas.openxmlformats.org/officeDocument/2006/relationships/hyperlink" Target="https://hashtagbasketball.com/120005/player" TargetMode="External"/><Relationship Id="rId182" Type="http://schemas.openxmlformats.org/officeDocument/2006/relationships/hyperlink" Target="https://hashtagbasketball.com/38570/player" TargetMode="External"/><Relationship Id="rId181" Type="http://schemas.openxmlformats.org/officeDocument/2006/relationships/hyperlink" Target="https://hashtagbasketball.com/17305/player" TargetMode="External"/><Relationship Id="rId180" Type="http://schemas.openxmlformats.org/officeDocument/2006/relationships/hyperlink" Target="https://hashtagbasketball.com/15355/player" TargetMode="External"/><Relationship Id="rId176" Type="http://schemas.openxmlformats.org/officeDocument/2006/relationships/hyperlink" Target="https://hashtagbasketball.com/111214/player" TargetMode="External"/><Relationship Id="rId297" Type="http://schemas.openxmlformats.org/officeDocument/2006/relationships/hyperlink" Target="https://hashtagbasketball.com/9390/player" TargetMode="External"/><Relationship Id="rId175" Type="http://schemas.openxmlformats.org/officeDocument/2006/relationships/hyperlink" Target="https://hashtagbasketball.com/13733/player" TargetMode="External"/><Relationship Id="rId296" Type="http://schemas.openxmlformats.org/officeDocument/2006/relationships/hyperlink" Target="https://hashtagbasketball.com/111229/player" TargetMode="External"/><Relationship Id="rId174" Type="http://schemas.openxmlformats.org/officeDocument/2006/relationships/hyperlink" Target="https://hashtagbasketball.com/10087/player" TargetMode="External"/><Relationship Id="rId295" Type="http://schemas.openxmlformats.org/officeDocument/2006/relationships/hyperlink" Target="https://hashtagbasketball.com/9509/player" TargetMode="External"/><Relationship Id="rId173" Type="http://schemas.openxmlformats.org/officeDocument/2006/relationships/hyperlink" Target="https://hashtagbasketball.com/38941/player" TargetMode="External"/><Relationship Id="rId294" Type="http://schemas.openxmlformats.org/officeDocument/2006/relationships/hyperlink" Target="https://hashtagbasketball.com/9191/player" TargetMode="External"/><Relationship Id="rId179" Type="http://schemas.openxmlformats.org/officeDocument/2006/relationships/hyperlink" Target="https://hashtagbasketball.com/38953/player" TargetMode="External"/><Relationship Id="rId178" Type="http://schemas.openxmlformats.org/officeDocument/2006/relationships/hyperlink" Target="https://hashtagbasketball.com/13728/player" TargetMode="External"/><Relationship Id="rId299" Type="http://schemas.openxmlformats.org/officeDocument/2006/relationships/hyperlink" Target="https://hashtagbasketball.com/9467/player" TargetMode="External"/><Relationship Id="rId177" Type="http://schemas.openxmlformats.org/officeDocument/2006/relationships/hyperlink" Target="https://hashtagbasketball.com/15216/player" TargetMode="External"/><Relationship Id="rId298" Type="http://schemas.openxmlformats.org/officeDocument/2006/relationships/hyperlink" Target="https://hashtagbasketball.com/27636/player" TargetMode="External"/><Relationship Id="rId198" Type="http://schemas.openxmlformats.org/officeDocument/2006/relationships/hyperlink" Target="https://hashtagbasketball.com/10129/player" TargetMode="External"/><Relationship Id="rId197" Type="http://schemas.openxmlformats.org/officeDocument/2006/relationships/hyperlink" Target="https://hashtagbasketball.com/9317/player" TargetMode="External"/><Relationship Id="rId196" Type="http://schemas.openxmlformats.org/officeDocument/2006/relationships/hyperlink" Target="https://hashtagbasketball.com/39836/player" TargetMode="External"/><Relationship Id="rId195" Type="http://schemas.openxmlformats.org/officeDocument/2006/relationships/hyperlink" Target="https://hashtagbasketball.com/15300/player" TargetMode="External"/><Relationship Id="rId199" Type="http://schemas.openxmlformats.org/officeDocument/2006/relationships/hyperlink" Target="https://hashtagbasketball.com/31067/player" TargetMode="External"/><Relationship Id="rId150" Type="http://schemas.openxmlformats.org/officeDocument/2006/relationships/hyperlink" Target="https://hashtagbasketball.com/109467/player" TargetMode="External"/><Relationship Id="rId271" Type="http://schemas.openxmlformats.org/officeDocument/2006/relationships/hyperlink" Target="https://hashtagbasketball.com/15323/player" TargetMode="External"/><Relationship Id="rId392" Type="http://schemas.openxmlformats.org/officeDocument/2006/relationships/hyperlink" Target="https://hashtagbasketball.com/111219/player" TargetMode="External"/><Relationship Id="rId270" Type="http://schemas.openxmlformats.org/officeDocument/2006/relationships/hyperlink" Target="https://hashtagbasketball.com/53823/player" TargetMode="External"/><Relationship Id="rId391" Type="http://schemas.openxmlformats.org/officeDocument/2006/relationships/hyperlink" Target="https://hashtagbasketball.com/39834/player" TargetMode="External"/><Relationship Id="rId390" Type="http://schemas.openxmlformats.org/officeDocument/2006/relationships/hyperlink" Target="https://hashtagbasketball.com/37957/player" TargetMode="External"/><Relationship Id="rId1" Type="http://schemas.openxmlformats.org/officeDocument/2006/relationships/hyperlink" Target="https://hashtagbasketball.com/110399/player" TargetMode="External"/><Relationship Id="rId2" Type="http://schemas.openxmlformats.org/officeDocument/2006/relationships/hyperlink" Target="https://hashtagbasketball.com/9196/player" TargetMode="External"/><Relationship Id="rId3" Type="http://schemas.openxmlformats.org/officeDocument/2006/relationships/hyperlink" Target="https://hashtagbasketball.com/15208/player" TargetMode="External"/><Relationship Id="rId149" Type="http://schemas.openxmlformats.org/officeDocument/2006/relationships/hyperlink" Target="https://hashtagbasketball.com/9100/player" TargetMode="External"/><Relationship Id="rId4" Type="http://schemas.openxmlformats.org/officeDocument/2006/relationships/hyperlink" Target="https://hashtagbasketball.com/15200/player" TargetMode="External"/><Relationship Id="rId148" Type="http://schemas.openxmlformats.org/officeDocument/2006/relationships/hyperlink" Target="https://hashtagbasketball.com/15199/player" TargetMode="External"/><Relationship Id="rId269" Type="http://schemas.openxmlformats.org/officeDocument/2006/relationships/hyperlink" Target="https://hashtagbasketball.com/15324/player" TargetMode="External"/><Relationship Id="rId9" Type="http://schemas.openxmlformats.org/officeDocument/2006/relationships/hyperlink" Target="https://hashtagbasketball.com/15202/player" TargetMode="External"/><Relationship Id="rId143" Type="http://schemas.openxmlformats.org/officeDocument/2006/relationships/hyperlink" Target="https://hashtagbasketball.com/13756/player" TargetMode="External"/><Relationship Id="rId264" Type="http://schemas.openxmlformats.org/officeDocument/2006/relationships/hyperlink" Target="https://hashtagbasketball.com/120048/player" TargetMode="External"/><Relationship Id="rId385" Type="http://schemas.openxmlformats.org/officeDocument/2006/relationships/hyperlink" Target="https://hashtagbasketball.com/120022/player" TargetMode="External"/><Relationship Id="rId142" Type="http://schemas.openxmlformats.org/officeDocument/2006/relationships/hyperlink" Target="https://hashtagbasketball.com/17195/player" TargetMode="External"/><Relationship Id="rId263" Type="http://schemas.openxmlformats.org/officeDocument/2006/relationships/hyperlink" Target="https://hashtagbasketball.com/120011/player" TargetMode="External"/><Relationship Id="rId384" Type="http://schemas.openxmlformats.org/officeDocument/2006/relationships/hyperlink" Target="https://hashtagbasketball.com/120035/player" TargetMode="External"/><Relationship Id="rId141" Type="http://schemas.openxmlformats.org/officeDocument/2006/relationships/hyperlink" Target="https://hashtagbasketball.com/111205/player" TargetMode="External"/><Relationship Id="rId262" Type="http://schemas.openxmlformats.org/officeDocument/2006/relationships/hyperlink" Target="https://hashtagbasketball.com/11882/player" TargetMode="External"/><Relationship Id="rId383" Type="http://schemas.openxmlformats.org/officeDocument/2006/relationships/hyperlink" Target="https://hashtagbasketball.com/17236/player" TargetMode="External"/><Relationship Id="rId140" Type="http://schemas.openxmlformats.org/officeDocument/2006/relationships/hyperlink" Target="https://hashtagbasketball.com/17255/player" TargetMode="External"/><Relationship Id="rId261" Type="http://schemas.openxmlformats.org/officeDocument/2006/relationships/hyperlink" Target="https://hashtagbasketball.com/120002/player" TargetMode="External"/><Relationship Id="rId382" Type="http://schemas.openxmlformats.org/officeDocument/2006/relationships/hyperlink" Target="https://hashtagbasketball.com/111223/player" TargetMode="External"/><Relationship Id="rId5" Type="http://schemas.openxmlformats.org/officeDocument/2006/relationships/hyperlink" Target="https://hashtagbasketball.com/9354/player" TargetMode="External"/><Relationship Id="rId147" Type="http://schemas.openxmlformats.org/officeDocument/2006/relationships/hyperlink" Target="https://hashtagbasketball.com/17251/player" TargetMode="External"/><Relationship Id="rId268" Type="http://schemas.openxmlformats.org/officeDocument/2006/relationships/hyperlink" Target="https://hashtagbasketball.com/13790/player" TargetMode="External"/><Relationship Id="rId389" Type="http://schemas.openxmlformats.org/officeDocument/2006/relationships/hyperlink" Target="https://hashtagbasketball.com/120070/player" TargetMode="External"/><Relationship Id="rId6" Type="http://schemas.openxmlformats.org/officeDocument/2006/relationships/hyperlink" Target="https://hashtagbasketball.com/9418/player" TargetMode="External"/><Relationship Id="rId146" Type="http://schemas.openxmlformats.org/officeDocument/2006/relationships/hyperlink" Target="https://hashtagbasketball.com/27883/player" TargetMode="External"/><Relationship Id="rId267" Type="http://schemas.openxmlformats.org/officeDocument/2006/relationships/hyperlink" Target="https://hashtagbasketball.com/31054/player" TargetMode="External"/><Relationship Id="rId388" Type="http://schemas.openxmlformats.org/officeDocument/2006/relationships/hyperlink" Target="https://hashtagbasketball.com/17233/player" TargetMode="External"/><Relationship Id="rId7" Type="http://schemas.openxmlformats.org/officeDocument/2006/relationships/hyperlink" Target="https://hashtagbasketball.com/9325/player" TargetMode="External"/><Relationship Id="rId145" Type="http://schemas.openxmlformats.org/officeDocument/2006/relationships/hyperlink" Target="https://hashtagbasketball.com/38938/player" TargetMode="External"/><Relationship Id="rId266" Type="http://schemas.openxmlformats.org/officeDocument/2006/relationships/hyperlink" Target="https://hashtagbasketball.com/27587/player" TargetMode="External"/><Relationship Id="rId387" Type="http://schemas.openxmlformats.org/officeDocument/2006/relationships/hyperlink" Target="https://hashtagbasketball.com/38958/player" TargetMode="External"/><Relationship Id="rId8" Type="http://schemas.openxmlformats.org/officeDocument/2006/relationships/hyperlink" Target="https://hashtagbasketball.com/27619/player" TargetMode="External"/><Relationship Id="rId144" Type="http://schemas.openxmlformats.org/officeDocument/2006/relationships/hyperlink" Target="https://hashtagbasketball.com/15204/player" TargetMode="External"/><Relationship Id="rId265" Type="http://schemas.openxmlformats.org/officeDocument/2006/relationships/hyperlink" Target="https://hashtagbasketball.com/31043/player" TargetMode="External"/><Relationship Id="rId386" Type="http://schemas.openxmlformats.org/officeDocument/2006/relationships/hyperlink" Target="https://hashtagbasketball.com/9271/player" TargetMode="External"/><Relationship Id="rId260" Type="http://schemas.openxmlformats.org/officeDocument/2006/relationships/hyperlink" Target="https://hashtagbasketball.com/17241/player" TargetMode="External"/><Relationship Id="rId381" Type="http://schemas.openxmlformats.org/officeDocument/2006/relationships/hyperlink" Target="https://hashtagbasketball.com/39851/player" TargetMode="External"/><Relationship Id="rId380" Type="http://schemas.openxmlformats.org/officeDocument/2006/relationships/hyperlink" Target="https://hashtagbasketball.com/15319/player" TargetMode="External"/><Relationship Id="rId139" Type="http://schemas.openxmlformats.org/officeDocument/2006/relationships/hyperlink" Target="https://hashtagbasketball.com/13739/player" TargetMode="External"/><Relationship Id="rId138" Type="http://schemas.openxmlformats.org/officeDocument/2006/relationships/hyperlink" Target="https://hashtagbasketball.com/17273/player" TargetMode="External"/><Relationship Id="rId259" Type="http://schemas.openxmlformats.org/officeDocument/2006/relationships/hyperlink" Target="https://hashtagbasketball.com/9213/player" TargetMode="External"/><Relationship Id="rId137" Type="http://schemas.openxmlformats.org/officeDocument/2006/relationships/hyperlink" Target="https://hashtagbasketball.com/17181/player" TargetMode="External"/><Relationship Id="rId258" Type="http://schemas.openxmlformats.org/officeDocument/2006/relationships/hyperlink" Target="https://hashtagbasketball.com/27593/player" TargetMode="External"/><Relationship Id="rId379" Type="http://schemas.openxmlformats.org/officeDocument/2006/relationships/hyperlink" Target="https://hashtagbasketball.com/120067/player" TargetMode="External"/><Relationship Id="rId132" Type="http://schemas.openxmlformats.org/officeDocument/2006/relationships/hyperlink" Target="https://hashtagbasketball.com/9151/player" TargetMode="External"/><Relationship Id="rId253" Type="http://schemas.openxmlformats.org/officeDocument/2006/relationships/hyperlink" Target="https://hashtagbasketball.com/111221/player" TargetMode="External"/><Relationship Id="rId374" Type="http://schemas.openxmlformats.org/officeDocument/2006/relationships/hyperlink" Target="https://hashtagbasketball.com/120052/player" TargetMode="External"/><Relationship Id="rId131" Type="http://schemas.openxmlformats.org/officeDocument/2006/relationships/hyperlink" Target="https://hashtagbasketball.com/17224/player" TargetMode="External"/><Relationship Id="rId252" Type="http://schemas.openxmlformats.org/officeDocument/2006/relationships/hyperlink" Target="https://hashtagbasketball.com/27843/player" TargetMode="External"/><Relationship Id="rId373" Type="http://schemas.openxmlformats.org/officeDocument/2006/relationships/hyperlink" Target="https://hashtagbasketball.com/53607/player" TargetMode="External"/><Relationship Id="rId130" Type="http://schemas.openxmlformats.org/officeDocument/2006/relationships/hyperlink" Target="https://hashtagbasketball.com/15218/player" TargetMode="External"/><Relationship Id="rId251" Type="http://schemas.openxmlformats.org/officeDocument/2006/relationships/hyperlink" Target="https://hashtagbasketball.com/111224/player" TargetMode="External"/><Relationship Id="rId372" Type="http://schemas.openxmlformats.org/officeDocument/2006/relationships/hyperlink" Target="https://hashtagbasketball.com/120072/player" TargetMode="External"/><Relationship Id="rId250" Type="http://schemas.openxmlformats.org/officeDocument/2006/relationships/hyperlink" Target="https://hashtagbasketball.com/53593/player" TargetMode="External"/><Relationship Id="rId371" Type="http://schemas.openxmlformats.org/officeDocument/2006/relationships/hyperlink" Target="https://hashtagbasketball.com/15297/player" TargetMode="External"/><Relationship Id="rId136" Type="http://schemas.openxmlformats.org/officeDocument/2006/relationships/hyperlink" Target="https://hashtagbasketball.com/38635/player" TargetMode="External"/><Relationship Id="rId257" Type="http://schemas.openxmlformats.org/officeDocument/2006/relationships/hyperlink" Target="https://hashtagbasketball.com/35219/player" TargetMode="External"/><Relationship Id="rId378" Type="http://schemas.openxmlformats.org/officeDocument/2006/relationships/hyperlink" Target="https://hashtagbasketball.com/9268/player" TargetMode="External"/><Relationship Id="rId135" Type="http://schemas.openxmlformats.org/officeDocument/2006/relationships/hyperlink" Target="https://hashtagbasketball.com/120000/player" TargetMode="External"/><Relationship Id="rId256" Type="http://schemas.openxmlformats.org/officeDocument/2006/relationships/hyperlink" Target="https://hashtagbasketball.com/10162/player" TargetMode="External"/><Relationship Id="rId377" Type="http://schemas.openxmlformats.org/officeDocument/2006/relationships/hyperlink" Target="https://hashtagbasketball.com/9498/player" TargetMode="External"/><Relationship Id="rId134" Type="http://schemas.openxmlformats.org/officeDocument/2006/relationships/hyperlink" Target="https://hashtagbasketball.com/9203/player" TargetMode="External"/><Relationship Id="rId255" Type="http://schemas.openxmlformats.org/officeDocument/2006/relationships/hyperlink" Target="https://hashtagbasketball.com/27622/player" TargetMode="External"/><Relationship Id="rId376" Type="http://schemas.openxmlformats.org/officeDocument/2006/relationships/hyperlink" Target="https://hashtagbasketball.com/120015/player" TargetMode="External"/><Relationship Id="rId133" Type="http://schemas.openxmlformats.org/officeDocument/2006/relationships/hyperlink" Target="https://hashtagbasketball.com/111212/player" TargetMode="External"/><Relationship Id="rId254" Type="http://schemas.openxmlformats.org/officeDocument/2006/relationships/hyperlink" Target="https://hashtagbasketball.com/9512/player" TargetMode="External"/><Relationship Id="rId375" Type="http://schemas.openxmlformats.org/officeDocument/2006/relationships/hyperlink" Target="https://hashtagbasketball.com/39849/player" TargetMode="External"/><Relationship Id="rId172" Type="http://schemas.openxmlformats.org/officeDocument/2006/relationships/hyperlink" Target="https://hashtagbasketball.com/27454/player" TargetMode="External"/><Relationship Id="rId293" Type="http://schemas.openxmlformats.org/officeDocument/2006/relationships/hyperlink" Target="https://hashtagbasketball.com/11259/player" TargetMode="External"/><Relationship Id="rId171" Type="http://schemas.openxmlformats.org/officeDocument/2006/relationships/hyperlink" Target="https://hashtagbasketball.com/31065/player" TargetMode="External"/><Relationship Id="rId292" Type="http://schemas.openxmlformats.org/officeDocument/2006/relationships/hyperlink" Target="https://hashtagbasketball.com/13766/player" TargetMode="External"/><Relationship Id="rId170" Type="http://schemas.openxmlformats.org/officeDocument/2006/relationships/hyperlink" Target="https://hashtagbasketball.com/9423/player" TargetMode="External"/><Relationship Id="rId291" Type="http://schemas.openxmlformats.org/officeDocument/2006/relationships/hyperlink" Target="https://hashtagbasketball.com/14134/player" TargetMode="External"/><Relationship Id="rId290" Type="http://schemas.openxmlformats.org/officeDocument/2006/relationships/hyperlink" Target="https://hashtagbasketball.com/120008/player" TargetMode="External"/><Relationship Id="rId165" Type="http://schemas.openxmlformats.org/officeDocument/2006/relationships/hyperlink" Target="https://hashtagbasketball.com/38614/player" TargetMode="External"/><Relationship Id="rId286" Type="http://schemas.openxmlformats.org/officeDocument/2006/relationships/hyperlink" Target="https://hashtagbasketball.com/35209/player" TargetMode="External"/><Relationship Id="rId164" Type="http://schemas.openxmlformats.org/officeDocument/2006/relationships/hyperlink" Target="https://hashtagbasketball.com/39833/player" TargetMode="External"/><Relationship Id="rId285" Type="http://schemas.openxmlformats.org/officeDocument/2006/relationships/hyperlink" Target="https://hashtagbasketball.com/31039/player" TargetMode="External"/><Relationship Id="rId163" Type="http://schemas.openxmlformats.org/officeDocument/2006/relationships/hyperlink" Target="https://hashtagbasketball.com/9490/player" TargetMode="External"/><Relationship Id="rId284" Type="http://schemas.openxmlformats.org/officeDocument/2006/relationships/hyperlink" Target="https://hashtagbasketball.com/9442/player" TargetMode="External"/><Relationship Id="rId162" Type="http://schemas.openxmlformats.org/officeDocument/2006/relationships/hyperlink" Target="https://hashtagbasketball.com/111203/player" TargetMode="External"/><Relationship Id="rId283" Type="http://schemas.openxmlformats.org/officeDocument/2006/relationships/hyperlink" Target="https://hashtagbasketball.com/111216/player" TargetMode="External"/><Relationship Id="rId169" Type="http://schemas.openxmlformats.org/officeDocument/2006/relationships/hyperlink" Target="https://hashtagbasketball.com/17276/player" TargetMode="External"/><Relationship Id="rId168" Type="http://schemas.openxmlformats.org/officeDocument/2006/relationships/hyperlink" Target="https://hashtagbasketball.com/120096/player" TargetMode="External"/><Relationship Id="rId289" Type="http://schemas.openxmlformats.org/officeDocument/2006/relationships/hyperlink" Target="https://hashtagbasketball.com/31087/player" TargetMode="External"/><Relationship Id="rId167" Type="http://schemas.openxmlformats.org/officeDocument/2006/relationships/hyperlink" Target="https://hashtagbasketball.com/27627/player" TargetMode="External"/><Relationship Id="rId288" Type="http://schemas.openxmlformats.org/officeDocument/2006/relationships/hyperlink" Target="https://hashtagbasketball.com/120019/player" TargetMode="External"/><Relationship Id="rId166" Type="http://schemas.openxmlformats.org/officeDocument/2006/relationships/hyperlink" Target="https://hashtagbasketball.com/27700/player" TargetMode="External"/><Relationship Id="rId287" Type="http://schemas.openxmlformats.org/officeDocument/2006/relationships/hyperlink" Target="https://hashtagbasketball.com/38582/player" TargetMode="External"/><Relationship Id="rId161" Type="http://schemas.openxmlformats.org/officeDocument/2006/relationships/hyperlink" Target="https://hashtagbasketball.com/120018/player" TargetMode="External"/><Relationship Id="rId282" Type="http://schemas.openxmlformats.org/officeDocument/2006/relationships/hyperlink" Target="https://hashtagbasketball.com/38847/player" TargetMode="External"/><Relationship Id="rId160" Type="http://schemas.openxmlformats.org/officeDocument/2006/relationships/hyperlink" Target="https://hashtagbasketball.com/27679/player" TargetMode="External"/><Relationship Id="rId281" Type="http://schemas.openxmlformats.org/officeDocument/2006/relationships/hyperlink" Target="https://hashtagbasketball.com/120020/player" TargetMode="External"/><Relationship Id="rId280" Type="http://schemas.openxmlformats.org/officeDocument/2006/relationships/hyperlink" Target="https://hashtagbasketball.com/109468/player" TargetMode="External"/><Relationship Id="rId159" Type="http://schemas.openxmlformats.org/officeDocument/2006/relationships/hyperlink" Target="https://hashtagbasketball.com/9406/player" TargetMode="External"/><Relationship Id="rId154" Type="http://schemas.openxmlformats.org/officeDocument/2006/relationships/hyperlink" Target="https://hashtagbasketball.com/27661/player" TargetMode="External"/><Relationship Id="rId275" Type="http://schemas.openxmlformats.org/officeDocument/2006/relationships/hyperlink" Target="https://hashtagbasketball.com/9507/player" TargetMode="External"/><Relationship Id="rId396" Type="http://schemas.openxmlformats.org/officeDocument/2006/relationships/hyperlink" Target="https://hashtagbasketball.com/38946/player" TargetMode="External"/><Relationship Id="rId153" Type="http://schemas.openxmlformats.org/officeDocument/2006/relationships/hyperlink" Target="https://hashtagbasketball.com/9526/player" TargetMode="External"/><Relationship Id="rId274" Type="http://schemas.openxmlformats.org/officeDocument/2006/relationships/hyperlink" Target="https://hashtagbasketball.com/17334/player" TargetMode="External"/><Relationship Id="rId395" Type="http://schemas.openxmlformats.org/officeDocument/2006/relationships/hyperlink" Target="https://hashtagbasketball.com/120046/player" TargetMode="External"/><Relationship Id="rId152" Type="http://schemas.openxmlformats.org/officeDocument/2006/relationships/hyperlink" Target="https://hashtagbasketball.com/15287/player" TargetMode="External"/><Relationship Id="rId273" Type="http://schemas.openxmlformats.org/officeDocument/2006/relationships/hyperlink" Target="https://hashtagbasketball.com/111248/player" TargetMode="External"/><Relationship Id="rId394" Type="http://schemas.openxmlformats.org/officeDocument/2006/relationships/hyperlink" Target="https://hashtagbasketball.com/120063/player" TargetMode="External"/><Relationship Id="rId151" Type="http://schemas.openxmlformats.org/officeDocument/2006/relationships/hyperlink" Target="https://hashtagbasketball.com/17286/player" TargetMode="External"/><Relationship Id="rId272" Type="http://schemas.openxmlformats.org/officeDocument/2006/relationships/hyperlink" Target="https://hashtagbasketball.com/9456/player" TargetMode="External"/><Relationship Id="rId393" Type="http://schemas.openxmlformats.org/officeDocument/2006/relationships/hyperlink" Target="https://hashtagbasketball.com/9525/player" TargetMode="External"/><Relationship Id="rId158" Type="http://schemas.openxmlformats.org/officeDocument/2006/relationships/hyperlink" Target="https://hashtagbasketball.com/38950/player" TargetMode="External"/><Relationship Id="rId279" Type="http://schemas.openxmlformats.org/officeDocument/2006/relationships/hyperlink" Target="https://hashtagbasketball.com/9161/player" TargetMode="External"/><Relationship Id="rId157" Type="http://schemas.openxmlformats.org/officeDocument/2006/relationships/hyperlink" Target="https://hashtagbasketball.com/120003/player" TargetMode="External"/><Relationship Id="rId278" Type="http://schemas.openxmlformats.org/officeDocument/2006/relationships/hyperlink" Target="https://hashtagbasketball.com/15261/player" TargetMode="External"/><Relationship Id="rId399" Type="http://schemas.openxmlformats.org/officeDocument/2006/relationships/hyperlink" Target="https://hashtagbasketball.com/27720/player" TargetMode="External"/><Relationship Id="rId156" Type="http://schemas.openxmlformats.org/officeDocument/2006/relationships/hyperlink" Target="https://hashtagbasketball.com/15282/player" TargetMode="External"/><Relationship Id="rId277" Type="http://schemas.openxmlformats.org/officeDocument/2006/relationships/hyperlink" Target="https://hashtagbasketball.com/31084/player" TargetMode="External"/><Relationship Id="rId398" Type="http://schemas.openxmlformats.org/officeDocument/2006/relationships/hyperlink" Target="https://hashtagbasketball.com/111260/player" TargetMode="External"/><Relationship Id="rId155" Type="http://schemas.openxmlformats.org/officeDocument/2006/relationships/hyperlink" Target="https://hashtagbasketball.com/111217/player" TargetMode="External"/><Relationship Id="rId276" Type="http://schemas.openxmlformats.org/officeDocument/2006/relationships/hyperlink" Target="https://hashtagbasketball.com/17274/player" TargetMode="External"/><Relationship Id="rId397" Type="http://schemas.openxmlformats.org/officeDocument/2006/relationships/hyperlink" Target="https://hashtagbasketball.com/38947/player" TargetMode="External"/><Relationship Id="rId40" Type="http://schemas.openxmlformats.org/officeDocument/2006/relationships/hyperlink" Target="https://hashtagbasketball.com/27649/player" TargetMode="External"/><Relationship Id="rId42" Type="http://schemas.openxmlformats.org/officeDocument/2006/relationships/hyperlink" Target="https://hashtagbasketball.com/31045/player" TargetMode="External"/><Relationship Id="rId41" Type="http://schemas.openxmlformats.org/officeDocument/2006/relationships/hyperlink" Target="https://hashtagbasketball.com/10165/player" TargetMode="External"/><Relationship Id="rId44" Type="http://schemas.openxmlformats.org/officeDocument/2006/relationships/hyperlink" Target="https://hashtagbasketball.com/9373/player" TargetMode="External"/><Relationship Id="rId43" Type="http://schemas.openxmlformats.org/officeDocument/2006/relationships/hyperlink" Target="https://hashtagbasketball.com/13742/player" TargetMode="External"/><Relationship Id="rId46" Type="http://schemas.openxmlformats.org/officeDocument/2006/relationships/hyperlink" Target="https://hashtagbasketball.com/9252/player" TargetMode="External"/><Relationship Id="rId45" Type="http://schemas.openxmlformats.org/officeDocument/2006/relationships/hyperlink" Target="https://hashtagbasketball.com/31030/player" TargetMode="External"/><Relationship Id="rId48" Type="http://schemas.openxmlformats.org/officeDocument/2006/relationships/hyperlink" Target="https://hashtagbasketball.com/10134/player" TargetMode="External"/><Relationship Id="rId47" Type="http://schemas.openxmlformats.org/officeDocument/2006/relationships/hyperlink" Target="https://hashtagbasketball.com/27724/player" TargetMode="External"/><Relationship Id="rId49" Type="http://schemas.openxmlformats.org/officeDocument/2006/relationships/hyperlink" Target="https://hashtagbasketball.com/31037/player" TargetMode="External"/><Relationship Id="rId31" Type="http://schemas.openxmlformats.org/officeDocument/2006/relationships/hyperlink" Target="https://hashtagbasketball.com/27450/player" TargetMode="External"/><Relationship Id="rId30" Type="http://schemas.openxmlformats.org/officeDocument/2006/relationships/hyperlink" Target="https://hashtagbasketball.com/15201/player" TargetMode="External"/><Relationship Id="rId33" Type="http://schemas.openxmlformats.org/officeDocument/2006/relationships/hyperlink" Target="https://hashtagbasketball.com/31049/player" TargetMode="External"/><Relationship Id="rId32" Type="http://schemas.openxmlformats.org/officeDocument/2006/relationships/hyperlink" Target="https://hashtagbasketball.com/10124/player" TargetMode="External"/><Relationship Id="rId35" Type="http://schemas.openxmlformats.org/officeDocument/2006/relationships/hyperlink" Target="https://hashtagbasketball.com/13755/player" TargetMode="External"/><Relationship Id="rId34" Type="http://schemas.openxmlformats.org/officeDocument/2006/relationships/hyperlink" Target="https://hashtagbasketball.com/13732/player" TargetMode="External"/><Relationship Id="rId37" Type="http://schemas.openxmlformats.org/officeDocument/2006/relationships/hyperlink" Target="https://hashtagbasketball.com/9489/player" TargetMode="External"/><Relationship Id="rId36" Type="http://schemas.openxmlformats.org/officeDocument/2006/relationships/hyperlink" Target="https://hashtagbasketball.com/17189/player" TargetMode="External"/><Relationship Id="rId39" Type="http://schemas.openxmlformats.org/officeDocument/2006/relationships/hyperlink" Target="https://hashtagbasketball.com/9476/player" TargetMode="External"/><Relationship Id="rId38" Type="http://schemas.openxmlformats.org/officeDocument/2006/relationships/hyperlink" Target="https://hashtagbasketball.com/31032/player" TargetMode="External"/><Relationship Id="rId20" Type="http://schemas.openxmlformats.org/officeDocument/2006/relationships/hyperlink" Target="https://hashtagbasketball.com/27469/player" TargetMode="External"/><Relationship Id="rId22" Type="http://schemas.openxmlformats.org/officeDocument/2006/relationships/hyperlink" Target="https://hashtagbasketball.com/10113/player" TargetMode="External"/><Relationship Id="rId21" Type="http://schemas.openxmlformats.org/officeDocument/2006/relationships/hyperlink" Target="https://hashtagbasketball.com/9346/player" TargetMode="External"/><Relationship Id="rId24" Type="http://schemas.openxmlformats.org/officeDocument/2006/relationships/hyperlink" Target="https://hashtagbasketball.com/38617/player" TargetMode="External"/><Relationship Id="rId23" Type="http://schemas.openxmlformats.org/officeDocument/2006/relationships/hyperlink" Target="https://hashtagbasketball.com/13734/player" TargetMode="External"/><Relationship Id="rId401" Type="http://schemas.openxmlformats.org/officeDocument/2006/relationships/drawing" Target="../drawings/drawing5.xml"/><Relationship Id="rId26" Type="http://schemas.openxmlformats.org/officeDocument/2006/relationships/hyperlink" Target="https://hashtagbasketball.com/27638/player" TargetMode="External"/><Relationship Id="rId25" Type="http://schemas.openxmlformats.org/officeDocument/2006/relationships/hyperlink" Target="https://hashtagbasketball.com/15280/player" TargetMode="External"/><Relationship Id="rId28" Type="http://schemas.openxmlformats.org/officeDocument/2006/relationships/hyperlink" Target="https://hashtagbasketball.com/38949/player" TargetMode="External"/><Relationship Id="rId27" Type="http://schemas.openxmlformats.org/officeDocument/2006/relationships/hyperlink" Target="https://hashtagbasketball.com/9250/player" TargetMode="External"/><Relationship Id="rId400" Type="http://schemas.openxmlformats.org/officeDocument/2006/relationships/hyperlink" Target="https://hashtagbasketball.com/120009/player" TargetMode="External"/><Relationship Id="rId29" Type="http://schemas.openxmlformats.org/officeDocument/2006/relationships/hyperlink" Target="https://hashtagbasketball.com/9152/player" TargetMode="External"/><Relationship Id="rId11" Type="http://schemas.openxmlformats.org/officeDocument/2006/relationships/hyperlink" Target="https://hashtagbasketball.com/9232/player" TargetMode="External"/><Relationship Id="rId10" Type="http://schemas.openxmlformats.org/officeDocument/2006/relationships/hyperlink" Target="https://hashtagbasketball.com/13730/player" TargetMode="External"/><Relationship Id="rId13" Type="http://schemas.openxmlformats.org/officeDocument/2006/relationships/hyperlink" Target="https://hashtagbasketball.com/13741/player" TargetMode="External"/><Relationship Id="rId12" Type="http://schemas.openxmlformats.org/officeDocument/2006/relationships/hyperlink" Target="https://hashtagbasketball.com/9218/player" TargetMode="External"/><Relationship Id="rId15" Type="http://schemas.openxmlformats.org/officeDocument/2006/relationships/hyperlink" Target="https://hashtagbasketball.com/9386/player" TargetMode="External"/><Relationship Id="rId14" Type="http://schemas.openxmlformats.org/officeDocument/2006/relationships/hyperlink" Target="https://hashtagbasketball.com/9157/player" TargetMode="External"/><Relationship Id="rId17" Type="http://schemas.openxmlformats.org/officeDocument/2006/relationships/hyperlink" Target="https://hashtagbasketball.com/31033/player" TargetMode="External"/><Relationship Id="rId16" Type="http://schemas.openxmlformats.org/officeDocument/2006/relationships/hyperlink" Target="https://hashtagbasketball.com/9158/player" TargetMode="External"/><Relationship Id="rId19" Type="http://schemas.openxmlformats.org/officeDocument/2006/relationships/hyperlink" Target="https://hashtagbasketball.com/9434/player" TargetMode="External"/><Relationship Id="rId18" Type="http://schemas.openxmlformats.org/officeDocument/2006/relationships/hyperlink" Target="https://hashtagbasketball.com/9445/player" TargetMode="External"/><Relationship Id="rId84" Type="http://schemas.openxmlformats.org/officeDocument/2006/relationships/hyperlink" Target="https://hashtagbasketball.com/35041/player" TargetMode="External"/><Relationship Id="rId83" Type="http://schemas.openxmlformats.org/officeDocument/2006/relationships/hyperlink" Target="https://hashtagbasketball.com/38840/player" TargetMode="External"/><Relationship Id="rId86" Type="http://schemas.openxmlformats.org/officeDocument/2006/relationships/hyperlink" Target="https://hashtagbasketball.com/27342/player" TargetMode="External"/><Relationship Id="rId85" Type="http://schemas.openxmlformats.org/officeDocument/2006/relationships/hyperlink" Target="https://hashtagbasketball.com/38942/player" TargetMode="External"/><Relationship Id="rId88" Type="http://schemas.openxmlformats.org/officeDocument/2006/relationships/hyperlink" Target="https://hashtagbasketball.com/17193/player" TargetMode="External"/><Relationship Id="rId87" Type="http://schemas.openxmlformats.org/officeDocument/2006/relationships/hyperlink" Target="https://hashtagbasketball.com/13750/player" TargetMode="External"/><Relationship Id="rId89" Type="http://schemas.openxmlformats.org/officeDocument/2006/relationships/hyperlink" Target="https://hashtagbasketball.com/15211/player" TargetMode="External"/><Relationship Id="rId80" Type="http://schemas.openxmlformats.org/officeDocument/2006/relationships/hyperlink" Target="https://hashtagbasketball.com/38797/player" TargetMode="External"/><Relationship Id="rId82" Type="http://schemas.openxmlformats.org/officeDocument/2006/relationships/hyperlink" Target="https://hashtagbasketball.com/13726/player" TargetMode="External"/><Relationship Id="rId81" Type="http://schemas.openxmlformats.org/officeDocument/2006/relationships/hyperlink" Target="https://hashtagbasketball.com/111207/player" TargetMode="External"/><Relationship Id="rId73" Type="http://schemas.openxmlformats.org/officeDocument/2006/relationships/hyperlink" Target="https://hashtagbasketball.com/27644/player" TargetMode="External"/><Relationship Id="rId72" Type="http://schemas.openxmlformats.org/officeDocument/2006/relationships/hyperlink" Target="https://hashtagbasketball.com/10149/player" TargetMode="External"/><Relationship Id="rId75" Type="http://schemas.openxmlformats.org/officeDocument/2006/relationships/hyperlink" Target="https://hashtagbasketball.com/109470/player" TargetMode="External"/><Relationship Id="rId74" Type="http://schemas.openxmlformats.org/officeDocument/2006/relationships/hyperlink" Target="https://hashtagbasketball.com/15221/player" TargetMode="External"/><Relationship Id="rId77" Type="http://schemas.openxmlformats.org/officeDocument/2006/relationships/hyperlink" Target="https://hashtagbasketball.com/31035/player" TargetMode="External"/><Relationship Id="rId76" Type="http://schemas.openxmlformats.org/officeDocument/2006/relationships/hyperlink" Target="https://hashtagbasketball.com/15205/player" TargetMode="External"/><Relationship Id="rId79" Type="http://schemas.openxmlformats.org/officeDocument/2006/relationships/hyperlink" Target="https://hashtagbasketball.com/31034/player" TargetMode="External"/><Relationship Id="rId78" Type="http://schemas.openxmlformats.org/officeDocument/2006/relationships/hyperlink" Target="https://hashtagbasketball.com/38835/player" TargetMode="External"/><Relationship Id="rId71" Type="http://schemas.openxmlformats.org/officeDocument/2006/relationships/hyperlink" Target="https://hashtagbasketball.com/15207/player" TargetMode="External"/><Relationship Id="rId70" Type="http://schemas.openxmlformats.org/officeDocument/2006/relationships/hyperlink" Target="https://hashtagbasketball.com/38790/player" TargetMode="External"/><Relationship Id="rId62" Type="http://schemas.openxmlformats.org/officeDocument/2006/relationships/hyperlink" Target="https://hashtagbasketball.com/10123/player" TargetMode="External"/><Relationship Id="rId61" Type="http://schemas.openxmlformats.org/officeDocument/2006/relationships/hyperlink" Target="https://hashtagbasketball.com/16958/player" TargetMode="External"/><Relationship Id="rId64" Type="http://schemas.openxmlformats.org/officeDocument/2006/relationships/hyperlink" Target="https://hashtagbasketball.com/17329/player" TargetMode="External"/><Relationship Id="rId63" Type="http://schemas.openxmlformats.org/officeDocument/2006/relationships/hyperlink" Target="https://hashtagbasketball.com/9343/player" TargetMode="External"/><Relationship Id="rId66" Type="http://schemas.openxmlformats.org/officeDocument/2006/relationships/hyperlink" Target="https://hashtagbasketball.com/15209/player" TargetMode="External"/><Relationship Id="rId65" Type="http://schemas.openxmlformats.org/officeDocument/2006/relationships/hyperlink" Target="https://hashtagbasketball.com/17252/player" TargetMode="External"/><Relationship Id="rId68" Type="http://schemas.openxmlformats.org/officeDocument/2006/relationships/hyperlink" Target="https://hashtagbasketball.com/31046/player" TargetMode="External"/><Relationship Id="rId67" Type="http://schemas.openxmlformats.org/officeDocument/2006/relationships/hyperlink" Target="https://hashtagbasketball.com/17295/player" TargetMode="External"/><Relationship Id="rId60" Type="http://schemas.openxmlformats.org/officeDocument/2006/relationships/hyperlink" Target="https://hashtagbasketball.com/9355/player" TargetMode="External"/><Relationship Id="rId69" Type="http://schemas.openxmlformats.org/officeDocument/2006/relationships/hyperlink" Target="https://hashtagbasketball.com/15281/player" TargetMode="External"/><Relationship Id="rId51" Type="http://schemas.openxmlformats.org/officeDocument/2006/relationships/hyperlink" Target="https://hashtagbasketball.com/9412/player" TargetMode="External"/><Relationship Id="rId50" Type="http://schemas.openxmlformats.org/officeDocument/2006/relationships/hyperlink" Target="https://hashtagbasketball.com/9212/player" TargetMode="External"/><Relationship Id="rId53" Type="http://schemas.openxmlformats.org/officeDocument/2006/relationships/hyperlink" Target="https://hashtagbasketball.com/9503/player" TargetMode="External"/><Relationship Id="rId52" Type="http://schemas.openxmlformats.org/officeDocument/2006/relationships/hyperlink" Target="https://hashtagbasketball.com/13749/player" TargetMode="External"/><Relationship Id="rId55" Type="http://schemas.openxmlformats.org/officeDocument/2006/relationships/hyperlink" Target="https://hashtagbasketball.com/10090/player" TargetMode="External"/><Relationship Id="rId54" Type="http://schemas.openxmlformats.org/officeDocument/2006/relationships/hyperlink" Target="https://hashtagbasketball.com/17191/player" TargetMode="External"/><Relationship Id="rId57" Type="http://schemas.openxmlformats.org/officeDocument/2006/relationships/hyperlink" Target="https://hashtagbasketball.com/9523/player" TargetMode="External"/><Relationship Id="rId56" Type="http://schemas.openxmlformats.org/officeDocument/2006/relationships/hyperlink" Target="https://hashtagbasketball.com/15198/player" TargetMode="External"/><Relationship Id="rId59" Type="http://schemas.openxmlformats.org/officeDocument/2006/relationships/hyperlink" Target="https://hashtagbasketball.com/38848/player" TargetMode="External"/><Relationship Id="rId58" Type="http://schemas.openxmlformats.org/officeDocument/2006/relationships/hyperlink" Target="https://hashtagbasketball.com/9285/player" TargetMode="External"/><Relationship Id="rId107" Type="http://schemas.openxmlformats.org/officeDocument/2006/relationships/hyperlink" Target="https://hashtagbasketball.com/13753/player" TargetMode="External"/><Relationship Id="rId228" Type="http://schemas.openxmlformats.org/officeDocument/2006/relationships/hyperlink" Target="https://hashtagbasketball.com/27637/player" TargetMode="External"/><Relationship Id="rId349" Type="http://schemas.openxmlformats.org/officeDocument/2006/relationships/hyperlink" Target="https://hashtagbasketball.com/31050/player" TargetMode="External"/><Relationship Id="rId106" Type="http://schemas.openxmlformats.org/officeDocument/2006/relationships/hyperlink" Target="https://hashtagbasketball.com/9419/player" TargetMode="External"/><Relationship Id="rId227" Type="http://schemas.openxmlformats.org/officeDocument/2006/relationships/hyperlink" Target="https://hashtagbasketball.com/31058/player" TargetMode="External"/><Relationship Id="rId348" Type="http://schemas.openxmlformats.org/officeDocument/2006/relationships/hyperlink" Target="https://hashtagbasketball.com/120023/player" TargetMode="External"/><Relationship Id="rId105" Type="http://schemas.openxmlformats.org/officeDocument/2006/relationships/hyperlink" Target="https://hashtagbasketball.com/9118/player" TargetMode="External"/><Relationship Id="rId226" Type="http://schemas.openxmlformats.org/officeDocument/2006/relationships/hyperlink" Target="https://hashtagbasketball.com/9114/player" TargetMode="External"/><Relationship Id="rId347" Type="http://schemas.openxmlformats.org/officeDocument/2006/relationships/hyperlink" Target="https://hashtagbasketball.com/111232/player" TargetMode="External"/><Relationship Id="rId104" Type="http://schemas.openxmlformats.org/officeDocument/2006/relationships/hyperlink" Target="https://hashtagbasketball.com/9347/player" TargetMode="External"/><Relationship Id="rId225" Type="http://schemas.openxmlformats.org/officeDocument/2006/relationships/hyperlink" Target="https://hashtagbasketball.com/13862/player" TargetMode="External"/><Relationship Id="rId346" Type="http://schemas.openxmlformats.org/officeDocument/2006/relationships/hyperlink" Target="https://hashtagbasketball.com/120017/player" TargetMode="External"/><Relationship Id="rId109" Type="http://schemas.openxmlformats.org/officeDocument/2006/relationships/hyperlink" Target="https://hashtagbasketball.com/9237/player" TargetMode="External"/><Relationship Id="rId108" Type="http://schemas.openxmlformats.org/officeDocument/2006/relationships/hyperlink" Target="https://hashtagbasketball.com/9500/player" TargetMode="External"/><Relationship Id="rId229" Type="http://schemas.openxmlformats.org/officeDocument/2006/relationships/hyperlink" Target="https://hashtagbasketball.com/9495/player" TargetMode="External"/><Relationship Id="rId220" Type="http://schemas.openxmlformats.org/officeDocument/2006/relationships/hyperlink" Target="https://hashtagbasketball.com/9209/player" TargetMode="External"/><Relationship Id="rId341" Type="http://schemas.openxmlformats.org/officeDocument/2006/relationships/hyperlink" Target="https://hashtagbasketball.com/43375/player" TargetMode="External"/><Relationship Id="rId340" Type="http://schemas.openxmlformats.org/officeDocument/2006/relationships/hyperlink" Target="https://hashtagbasketball.com/120016/player" TargetMode="External"/><Relationship Id="rId103" Type="http://schemas.openxmlformats.org/officeDocument/2006/relationships/hyperlink" Target="https://hashtagbasketball.com/110400/player" TargetMode="External"/><Relationship Id="rId224" Type="http://schemas.openxmlformats.org/officeDocument/2006/relationships/hyperlink" Target="https://hashtagbasketball.com/9475/player" TargetMode="External"/><Relationship Id="rId345" Type="http://schemas.openxmlformats.org/officeDocument/2006/relationships/hyperlink" Target="https://hashtagbasketball.com/120027/player" TargetMode="External"/><Relationship Id="rId102" Type="http://schemas.openxmlformats.org/officeDocument/2006/relationships/hyperlink" Target="https://hashtagbasketball.com/9491/player" TargetMode="External"/><Relationship Id="rId223" Type="http://schemas.openxmlformats.org/officeDocument/2006/relationships/hyperlink" Target="https://hashtagbasketball.com/13792/player" TargetMode="External"/><Relationship Id="rId344" Type="http://schemas.openxmlformats.org/officeDocument/2006/relationships/hyperlink" Target="https://hashtagbasketball.com/15293/player" TargetMode="External"/><Relationship Id="rId101" Type="http://schemas.openxmlformats.org/officeDocument/2006/relationships/hyperlink" Target="https://hashtagbasketball.com/9296/player" TargetMode="External"/><Relationship Id="rId222" Type="http://schemas.openxmlformats.org/officeDocument/2006/relationships/hyperlink" Target="https://hashtagbasketball.com/17308/player" TargetMode="External"/><Relationship Id="rId343" Type="http://schemas.openxmlformats.org/officeDocument/2006/relationships/hyperlink" Target="https://hashtagbasketball.com/120040/player" TargetMode="External"/><Relationship Id="rId100" Type="http://schemas.openxmlformats.org/officeDocument/2006/relationships/hyperlink" Target="https://hashtagbasketball.com/9334/player" TargetMode="External"/><Relationship Id="rId221" Type="http://schemas.openxmlformats.org/officeDocument/2006/relationships/hyperlink" Target="https://hashtagbasketball.com/13786/player" TargetMode="External"/><Relationship Id="rId342" Type="http://schemas.openxmlformats.org/officeDocument/2006/relationships/hyperlink" Target="https://hashtagbasketball.com/39838/player" TargetMode="External"/><Relationship Id="rId217" Type="http://schemas.openxmlformats.org/officeDocument/2006/relationships/hyperlink" Target="https://hashtagbasketball.com/17275/player" TargetMode="External"/><Relationship Id="rId338" Type="http://schemas.openxmlformats.org/officeDocument/2006/relationships/hyperlink" Target="https://hashtagbasketball.com/38948/player" TargetMode="External"/><Relationship Id="rId216" Type="http://schemas.openxmlformats.org/officeDocument/2006/relationships/hyperlink" Target="https://hashtagbasketball.com/31059/player" TargetMode="External"/><Relationship Id="rId337" Type="http://schemas.openxmlformats.org/officeDocument/2006/relationships/hyperlink" Target="https://hashtagbasketball.com/120029/player" TargetMode="External"/><Relationship Id="rId215" Type="http://schemas.openxmlformats.org/officeDocument/2006/relationships/hyperlink" Target="https://hashtagbasketball.com/15222/player" TargetMode="External"/><Relationship Id="rId336" Type="http://schemas.openxmlformats.org/officeDocument/2006/relationships/hyperlink" Target="https://hashtagbasketball.com/9177/player" TargetMode="External"/><Relationship Id="rId214" Type="http://schemas.openxmlformats.org/officeDocument/2006/relationships/hyperlink" Target="https://hashtagbasketball.com/27591/player" TargetMode="External"/><Relationship Id="rId335" Type="http://schemas.openxmlformats.org/officeDocument/2006/relationships/hyperlink" Target="https://hashtagbasketball.com/27624/player" TargetMode="External"/><Relationship Id="rId219" Type="http://schemas.openxmlformats.org/officeDocument/2006/relationships/hyperlink" Target="https://hashtagbasketball.com/10155/player" TargetMode="External"/><Relationship Id="rId218" Type="http://schemas.openxmlformats.org/officeDocument/2006/relationships/hyperlink" Target="https://hashtagbasketball.com/15224/player" TargetMode="External"/><Relationship Id="rId339" Type="http://schemas.openxmlformats.org/officeDocument/2006/relationships/hyperlink" Target="https://hashtagbasketball.com/120030/player" TargetMode="External"/><Relationship Id="rId330" Type="http://schemas.openxmlformats.org/officeDocument/2006/relationships/hyperlink" Target="https://hashtagbasketball.com/28550/player" TargetMode="External"/><Relationship Id="rId213" Type="http://schemas.openxmlformats.org/officeDocument/2006/relationships/hyperlink" Target="https://hashtagbasketball.com/27718/player" TargetMode="External"/><Relationship Id="rId334" Type="http://schemas.openxmlformats.org/officeDocument/2006/relationships/hyperlink" Target="https://hashtagbasketball.com/111222/player" TargetMode="External"/><Relationship Id="rId212" Type="http://schemas.openxmlformats.org/officeDocument/2006/relationships/hyperlink" Target="https://hashtagbasketball.com/9286/player" TargetMode="External"/><Relationship Id="rId333" Type="http://schemas.openxmlformats.org/officeDocument/2006/relationships/hyperlink" Target="https://hashtagbasketball.com/120021/player" TargetMode="External"/><Relationship Id="rId211" Type="http://schemas.openxmlformats.org/officeDocument/2006/relationships/hyperlink" Target="https://hashtagbasketball.com/9220/player" TargetMode="External"/><Relationship Id="rId332" Type="http://schemas.openxmlformats.org/officeDocument/2006/relationships/hyperlink" Target="https://hashtagbasketball.com/15341/player" TargetMode="External"/><Relationship Id="rId210" Type="http://schemas.openxmlformats.org/officeDocument/2006/relationships/hyperlink" Target="https://hashtagbasketball.com/9133/player" TargetMode="External"/><Relationship Id="rId331" Type="http://schemas.openxmlformats.org/officeDocument/2006/relationships/hyperlink" Target="https://hashtagbasketball.com/15309/player" TargetMode="External"/><Relationship Id="rId370" Type="http://schemas.openxmlformats.org/officeDocument/2006/relationships/hyperlink" Target="https://hashtagbasketball.com/111247/player" TargetMode="External"/><Relationship Id="rId129" Type="http://schemas.openxmlformats.org/officeDocument/2006/relationships/hyperlink" Target="https://hashtagbasketball.com/9221/player" TargetMode="External"/><Relationship Id="rId128" Type="http://schemas.openxmlformats.org/officeDocument/2006/relationships/hyperlink" Target="https://hashtagbasketball.com/10136/player" TargetMode="External"/><Relationship Id="rId249" Type="http://schemas.openxmlformats.org/officeDocument/2006/relationships/hyperlink" Target="https://hashtagbasketball.com/31068/player" TargetMode="External"/><Relationship Id="rId127" Type="http://schemas.openxmlformats.org/officeDocument/2006/relationships/hyperlink" Target="https://hashtagbasketball.com/31044/player" TargetMode="External"/><Relationship Id="rId248" Type="http://schemas.openxmlformats.org/officeDocument/2006/relationships/hyperlink" Target="https://hashtagbasketball.com/111241/player" TargetMode="External"/><Relationship Id="rId369" Type="http://schemas.openxmlformats.org/officeDocument/2006/relationships/hyperlink" Target="https://hashtagbasketball.com/17317/player" TargetMode="External"/><Relationship Id="rId126" Type="http://schemas.openxmlformats.org/officeDocument/2006/relationships/hyperlink" Target="https://hashtagbasketball.com/27683/player" TargetMode="External"/><Relationship Id="rId247" Type="http://schemas.openxmlformats.org/officeDocument/2006/relationships/hyperlink" Target="https://hashtagbasketball.com/31055/player" TargetMode="External"/><Relationship Id="rId368" Type="http://schemas.openxmlformats.org/officeDocument/2006/relationships/hyperlink" Target="https://hashtagbasketball.com/31075/player" TargetMode="External"/><Relationship Id="rId121" Type="http://schemas.openxmlformats.org/officeDocument/2006/relationships/hyperlink" Target="https://hashtagbasketball.com/53595/player" TargetMode="External"/><Relationship Id="rId242" Type="http://schemas.openxmlformats.org/officeDocument/2006/relationships/hyperlink" Target="https://hashtagbasketball.com/15278/player" TargetMode="External"/><Relationship Id="rId363" Type="http://schemas.openxmlformats.org/officeDocument/2006/relationships/hyperlink" Target="https://hashtagbasketball.com/39835/player" TargetMode="External"/><Relationship Id="rId120" Type="http://schemas.openxmlformats.org/officeDocument/2006/relationships/hyperlink" Target="https://hashtagbasketball.com/15316/player" TargetMode="External"/><Relationship Id="rId241" Type="http://schemas.openxmlformats.org/officeDocument/2006/relationships/hyperlink" Target="https://hashtagbasketball.com/120010/player" TargetMode="External"/><Relationship Id="rId362" Type="http://schemas.openxmlformats.org/officeDocument/2006/relationships/hyperlink" Target="https://hashtagbasketball.com/120006/player" TargetMode="External"/><Relationship Id="rId240" Type="http://schemas.openxmlformats.org/officeDocument/2006/relationships/hyperlink" Target="https://hashtagbasketball.com/111209/player" TargetMode="External"/><Relationship Id="rId361" Type="http://schemas.openxmlformats.org/officeDocument/2006/relationships/hyperlink" Target="https://hashtagbasketball.com/120043/player" TargetMode="External"/><Relationship Id="rId360" Type="http://schemas.openxmlformats.org/officeDocument/2006/relationships/hyperlink" Target="https://hashtagbasketball.com/120059/player" TargetMode="External"/><Relationship Id="rId125" Type="http://schemas.openxmlformats.org/officeDocument/2006/relationships/hyperlink" Target="https://hashtagbasketball.com/9102/player" TargetMode="External"/><Relationship Id="rId246" Type="http://schemas.openxmlformats.org/officeDocument/2006/relationships/hyperlink" Target="https://hashtagbasketball.com/120039/player" TargetMode="External"/><Relationship Id="rId367" Type="http://schemas.openxmlformats.org/officeDocument/2006/relationships/hyperlink" Target="https://hashtagbasketball.com/111234/player" TargetMode="External"/><Relationship Id="rId124" Type="http://schemas.openxmlformats.org/officeDocument/2006/relationships/hyperlink" Target="https://hashtagbasketball.com/31036/player" TargetMode="External"/><Relationship Id="rId245" Type="http://schemas.openxmlformats.org/officeDocument/2006/relationships/hyperlink" Target="https://hashtagbasketball.com/27850/player" TargetMode="External"/><Relationship Id="rId366" Type="http://schemas.openxmlformats.org/officeDocument/2006/relationships/hyperlink" Target="https://hashtagbasketball.com/9142/player" TargetMode="External"/><Relationship Id="rId123" Type="http://schemas.openxmlformats.org/officeDocument/2006/relationships/hyperlink" Target="https://hashtagbasketball.com/9084/player" TargetMode="External"/><Relationship Id="rId244" Type="http://schemas.openxmlformats.org/officeDocument/2006/relationships/hyperlink" Target="https://hashtagbasketball.com/27881/player" TargetMode="External"/><Relationship Id="rId365" Type="http://schemas.openxmlformats.org/officeDocument/2006/relationships/hyperlink" Target="https://hashtagbasketball.com/15220/player" TargetMode="External"/><Relationship Id="rId122" Type="http://schemas.openxmlformats.org/officeDocument/2006/relationships/hyperlink" Target="https://hashtagbasketball.com/111215/player" TargetMode="External"/><Relationship Id="rId243" Type="http://schemas.openxmlformats.org/officeDocument/2006/relationships/hyperlink" Target="https://hashtagbasketball.com/10146/player" TargetMode="External"/><Relationship Id="rId364" Type="http://schemas.openxmlformats.org/officeDocument/2006/relationships/hyperlink" Target="https://hashtagbasketball.com/111238/player" TargetMode="External"/><Relationship Id="rId95" Type="http://schemas.openxmlformats.org/officeDocument/2006/relationships/hyperlink" Target="https://hashtagbasketball.com/111204/player" TargetMode="External"/><Relationship Id="rId94" Type="http://schemas.openxmlformats.org/officeDocument/2006/relationships/hyperlink" Target="https://hashtagbasketball.com/10122/player" TargetMode="External"/><Relationship Id="rId97" Type="http://schemas.openxmlformats.org/officeDocument/2006/relationships/hyperlink" Target="https://hashtagbasketball.com/31056/player" TargetMode="External"/><Relationship Id="rId96" Type="http://schemas.openxmlformats.org/officeDocument/2006/relationships/hyperlink" Target="https://hashtagbasketball.com/9447/player" TargetMode="External"/><Relationship Id="rId99" Type="http://schemas.openxmlformats.org/officeDocument/2006/relationships/hyperlink" Target="https://hashtagbasketball.com/10169/player" TargetMode="External"/><Relationship Id="rId98" Type="http://schemas.openxmlformats.org/officeDocument/2006/relationships/hyperlink" Target="https://hashtagbasketball.com/9082/player" TargetMode="External"/><Relationship Id="rId91" Type="http://schemas.openxmlformats.org/officeDocument/2006/relationships/hyperlink" Target="https://hashtagbasketball.com/31064/player" TargetMode="External"/><Relationship Id="rId90" Type="http://schemas.openxmlformats.org/officeDocument/2006/relationships/hyperlink" Target="https://hashtagbasketball.com/13860/player" TargetMode="External"/><Relationship Id="rId93" Type="http://schemas.openxmlformats.org/officeDocument/2006/relationships/hyperlink" Target="https://hashtagbasketball.com/9228/player" TargetMode="External"/><Relationship Id="rId92" Type="http://schemas.openxmlformats.org/officeDocument/2006/relationships/hyperlink" Target="https://hashtagbasketball.com/17259/player" TargetMode="External"/><Relationship Id="rId118" Type="http://schemas.openxmlformats.org/officeDocument/2006/relationships/hyperlink" Target="https://hashtagbasketball.com/17197/player" TargetMode="External"/><Relationship Id="rId239" Type="http://schemas.openxmlformats.org/officeDocument/2006/relationships/hyperlink" Target="https://hashtagbasketball.com/27462/player" TargetMode="External"/><Relationship Id="rId117" Type="http://schemas.openxmlformats.org/officeDocument/2006/relationships/hyperlink" Target="https://hashtagbasketball.com/9192/player" TargetMode="External"/><Relationship Id="rId238" Type="http://schemas.openxmlformats.org/officeDocument/2006/relationships/hyperlink" Target="https://hashtagbasketball.com/120007/player" TargetMode="External"/><Relationship Id="rId359" Type="http://schemas.openxmlformats.org/officeDocument/2006/relationships/hyperlink" Target="https://hashtagbasketball.com/17315/player" TargetMode="External"/><Relationship Id="rId116" Type="http://schemas.openxmlformats.org/officeDocument/2006/relationships/hyperlink" Target="https://hashtagbasketball.com/9265/player" TargetMode="External"/><Relationship Id="rId237" Type="http://schemas.openxmlformats.org/officeDocument/2006/relationships/hyperlink" Target="https://hashtagbasketball.com/9427/player" TargetMode="External"/><Relationship Id="rId358" Type="http://schemas.openxmlformats.org/officeDocument/2006/relationships/hyperlink" Target="https://hashtagbasketball.com/31122/player" TargetMode="External"/><Relationship Id="rId115" Type="http://schemas.openxmlformats.org/officeDocument/2006/relationships/hyperlink" Target="https://hashtagbasketball.com/13737/player" TargetMode="External"/><Relationship Id="rId236" Type="http://schemas.openxmlformats.org/officeDocument/2006/relationships/hyperlink" Target="https://hashtagbasketball.com/10115/player" TargetMode="External"/><Relationship Id="rId357" Type="http://schemas.openxmlformats.org/officeDocument/2006/relationships/hyperlink" Target="https://hashtagbasketball.com/111211/player" TargetMode="External"/><Relationship Id="rId119" Type="http://schemas.openxmlformats.org/officeDocument/2006/relationships/hyperlink" Target="https://hashtagbasketball.com/9105/player" TargetMode="External"/><Relationship Id="rId110" Type="http://schemas.openxmlformats.org/officeDocument/2006/relationships/hyperlink" Target="https://hashtagbasketball.com/111253/player" TargetMode="External"/><Relationship Id="rId231" Type="http://schemas.openxmlformats.org/officeDocument/2006/relationships/hyperlink" Target="https://hashtagbasketball.com/111225/player" TargetMode="External"/><Relationship Id="rId352" Type="http://schemas.openxmlformats.org/officeDocument/2006/relationships/hyperlink" Target="https://hashtagbasketball.com/9227/player" TargetMode="External"/><Relationship Id="rId230" Type="http://schemas.openxmlformats.org/officeDocument/2006/relationships/hyperlink" Target="https://hashtagbasketball.com/10133/player" TargetMode="External"/><Relationship Id="rId351" Type="http://schemas.openxmlformats.org/officeDocument/2006/relationships/hyperlink" Target="https://hashtagbasketball.com/9431/player" TargetMode="External"/><Relationship Id="rId350" Type="http://schemas.openxmlformats.org/officeDocument/2006/relationships/hyperlink" Target="https://hashtagbasketball.com/31042/player" TargetMode="External"/><Relationship Id="rId114" Type="http://schemas.openxmlformats.org/officeDocument/2006/relationships/hyperlink" Target="https://hashtagbasketball.com/15214/player" TargetMode="External"/><Relationship Id="rId235" Type="http://schemas.openxmlformats.org/officeDocument/2006/relationships/hyperlink" Target="https://hashtagbasketball.com/27884/player" TargetMode="External"/><Relationship Id="rId356" Type="http://schemas.openxmlformats.org/officeDocument/2006/relationships/hyperlink" Target="https://hashtagbasketball.com/27706/player" TargetMode="External"/><Relationship Id="rId113" Type="http://schemas.openxmlformats.org/officeDocument/2006/relationships/hyperlink" Target="https://hashtagbasketball.com/9282/player" TargetMode="External"/><Relationship Id="rId234" Type="http://schemas.openxmlformats.org/officeDocument/2006/relationships/hyperlink" Target="https://hashtagbasketball.com/10117/player" TargetMode="External"/><Relationship Id="rId355" Type="http://schemas.openxmlformats.org/officeDocument/2006/relationships/hyperlink" Target="https://hashtagbasketball.com/35173/player" TargetMode="External"/><Relationship Id="rId112" Type="http://schemas.openxmlformats.org/officeDocument/2006/relationships/hyperlink" Target="https://hashtagbasketball.com/17285/player" TargetMode="External"/><Relationship Id="rId233" Type="http://schemas.openxmlformats.org/officeDocument/2006/relationships/hyperlink" Target="https://hashtagbasketball.com/17270/player" TargetMode="External"/><Relationship Id="rId354" Type="http://schemas.openxmlformats.org/officeDocument/2006/relationships/hyperlink" Target="https://hashtagbasketball.com/53608/player" TargetMode="External"/><Relationship Id="rId111" Type="http://schemas.openxmlformats.org/officeDocument/2006/relationships/hyperlink" Target="https://hashtagbasketball.com/31031/player" TargetMode="External"/><Relationship Id="rId232" Type="http://schemas.openxmlformats.org/officeDocument/2006/relationships/hyperlink" Target="https://hashtagbasketball.com/13784/player" TargetMode="External"/><Relationship Id="rId353" Type="http://schemas.openxmlformats.org/officeDocument/2006/relationships/hyperlink" Target="https://hashtagbasketball.com/31061/player" TargetMode="External"/><Relationship Id="rId305" Type="http://schemas.openxmlformats.org/officeDocument/2006/relationships/hyperlink" Target="https://hashtagbasketball.com/9087/player" TargetMode="External"/><Relationship Id="rId304" Type="http://schemas.openxmlformats.org/officeDocument/2006/relationships/hyperlink" Target="https://hashtagbasketball.com/9513/player" TargetMode="External"/><Relationship Id="rId303" Type="http://schemas.openxmlformats.org/officeDocument/2006/relationships/hyperlink" Target="https://hashtagbasketball.com/120013/player" TargetMode="External"/><Relationship Id="rId302" Type="http://schemas.openxmlformats.org/officeDocument/2006/relationships/hyperlink" Target="https://hashtagbasketball.com/13856/player" TargetMode="External"/><Relationship Id="rId309" Type="http://schemas.openxmlformats.org/officeDocument/2006/relationships/hyperlink" Target="https://hashtagbasketball.com/31057/player" TargetMode="External"/><Relationship Id="rId308" Type="http://schemas.openxmlformats.org/officeDocument/2006/relationships/hyperlink" Target="https://hashtagbasketball.com/15217/player" TargetMode="External"/><Relationship Id="rId307" Type="http://schemas.openxmlformats.org/officeDocument/2006/relationships/hyperlink" Target="https://hashtagbasketball.com/31038/player" TargetMode="External"/><Relationship Id="rId306" Type="http://schemas.openxmlformats.org/officeDocument/2006/relationships/hyperlink" Target="https://hashtagbasketball.com/31047/player" TargetMode="External"/><Relationship Id="rId301" Type="http://schemas.openxmlformats.org/officeDocument/2006/relationships/hyperlink" Target="https://hashtagbasketball.com/111259/player" TargetMode="External"/><Relationship Id="rId300" Type="http://schemas.openxmlformats.org/officeDocument/2006/relationships/hyperlink" Target="https://hashtagbasketball.com/38695/player" TargetMode="External"/><Relationship Id="rId206" Type="http://schemas.openxmlformats.org/officeDocument/2006/relationships/hyperlink" Target="https://hashtagbasketball.com/36104/player" TargetMode="External"/><Relationship Id="rId327" Type="http://schemas.openxmlformats.org/officeDocument/2006/relationships/hyperlink" Target="https://hashtagbasketball.com/111258/player" TargetMode="External"/><Relationship Id="rId205" Type="http://schemas.openxmlformats.org/officeDocument/2006/relationships/hyperlink" Target="https://hashtagbasketball.com/31051/player" TargetMode="External"/><Relationship Id="rId326" Type="http://schemas.openxmlformats.org/officeDocument/2006/relationships/hyperlink" Target="https://hashtagbasketball.com/33899/player" TargetMode="External"/><Relationship Id="rId204" Type="http://schemas.openxmlformats.org/officeDocument/2006/relationships/hyperlink" Target="https://hashtagbasketball.com/17208/player" TargetMode="External"/><Relationship Id="rId325" Type="http://schemas.openxmlformats.org/officeDocument/2006/relationships/hyperlink" Target="https://hashtagbasketball.com/9422/player" TargetMode="External"/><Relationship Id="rId203" Type="http://schemas.openxmlformats.org/officeDocument/2006/relationships/hyperlink" Target="https://hashtagbasketball.com/13777/player" TargetMode="External"/><Relationship Id="rId324" Type="http://schemas.openxmlformats.org/officeDocument/2006/relationships/hyperlink" Target="https://hashtagbasketball.com/17194/player" TargetMode="External"/><Relationship Id="rId209" Type="http://schemas.openxmlformats.org/officeDocument/2006/relationships/hyperlink" Target="https://hashtagbasketball.com/109469/player" TargetMode="External"/><Relationship Id="rId208" Type="http://schemas.openxmlformats.org/officeDocument/2006/relationships/hyperlink" Target="https://hashtagbasketball.com/17190/player" TargetMode="External"/><Relationship Id="rId329" Type="http://schemas.openxmlformats.org/officeDocument/2006/relationships/hyperlink" Target="https://hashtagbasketball.com/38959/player" TargetMode="External"/><Relationship Id="rId207" Type="http://schemas.openxmlformats.org/officeDocument/2006/relationships/hyperlink" Target="https://hashtagbasketball.com/9352/player" TargetMode="External"/><Relationship Id="rId328" Type="http://schemas.openxmlformats.org/officeDocument/2006/relationships/hyperlink" Target="https://hashtagbasketball.com/111210/player" TargetMode="External"/><Relationship Id="rId202" Type="http://schemas.openxmlformats.org/officeDocument/2006/relationships/hyperlink" Target="https://hashtagbasketball.com/38944/player" TargetMode="External"/><Relationship Id="rId323" Type="http://schemas.openxmlformats.org/officeDocument/2006/relationships/hyperlink" Target="https://hashtagbasketball.com/120014/player" TargetMode="External"/><Relationship Id="rId201" Type="http://schemas.openxmlformats.org/officeDocument/2006/relationships/hyperlink" Target="https://hashtagbasketball.com/27652/player" TargetMode="External"/><Relationship Id="rId322" Type="http://schemas.openxmlformats.org/officeDocument/2006/relationships/hyperlink" Target="https://hashtagbasketball.com/120149/player" TargetMode="External"/><Relationship Id="rId200" Type="http://schemas.openxmlformats.org/officeDocument/2006/relationships/hyperlink" Target="https://hashtagbasketball.com/38940/player" TargetMode="External"/><Relationship Id="rId321" Type="http://schemas.openxmlformats.org/officeDocument/2006/relationships/hyperlink" Target="https://hashtagbasketball.com/13817/player" TargetMode="External"/><Relationship Id="rId320" Type="http://schemas.openxmlformats.org/officeDocument/2006/relationships/hyperlink" Target="https://hashtagbasketball.com/31082/player" TargetMode="External"/><Relationship Id="rId316" Type="http://schemas.openxmlformats.org/officeDocument/2006/relationships/hyperlink" Target="https://hashtagbasketball.com/27691/player" TargetMode="External"/><Relationship Id="rId315" Type="http://schemas.openxmlformats.org/officeDocument/2006/relationships/hyperlink" Target="https://hashtagbasketball.com/17196/player" TargetMode="External"/><Relationship Id="rId314" Type="http://schemas.openxmlformats.org/officeDocument/2006/relationships/hyperlink" Target="https://hashtagbasketball.com/111206/player" TargetMode="External"/><Relationship Id="rId313" Type="http://schemas.openxmlformats.org/officeDocument/2006/relationships/hyperlink" Target="https://hashtagbasketball.com/17215/player" TargetMode="External"/><Relationship Id="rId319" Type="http://schemas.openxmlformats.org/officeDocument/2006/relationships/hyperlink" Target="https://hashtagbasketball.com/38740/player" TargetMode="External"/><Relationship Id="rId318" Type="http://schemas.openxmlformats.org/officeDocument/2006/relationships/hyperlink" Target="https://hashtagbasketball.com/15462/player" TargetMode="External"/><Relationship Id="rId317" Type="http://schemas.openxmlformats.org/officeDocument/2006/relationships/hyperlink" Target="https://hashtagbasketball.com/38571/player" TargetMode="External"/><Relationship Id="rId312" Type="http://schemas.openxmlformats.org/officeDocument/2006/relationships/hyperlink" Target="https://hashtagbasketball.com/13791/player" TargetMode="External"/><Relationship Id="rId311" Type="http://schemas.openxmlformats.org/officeDocument/2006/relationships/hyperlink" Target="https://hashtagbasketball.com/9394/player" TargetMode="External"/><Relationship Id="rId310" Type="http://schemas.openxmlformats.org/officeDocument/2006/relationships/hyperlink" Target="https://hashtagbasketball.com/17229/playe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4.88"/>
    <col customWidth="1" min="3" max="3" width="11.75"/>
    <col customWidth="1" min="4" max="4" width="16.75"/>
    <col customWidth="1" min="5" max="5" width="13.38"/>
    <col customWidth="1" min="6" max="6" width="16.13"/>
    <col customWidth="1" min="7" max="7" width="14.5"/>
    <col customWidth="1" min="8" max="8" width="14.88"/>
    <col customWidth="1" min="9" max="9" width="16.88"/>
    <col customWidth="1" min="10" max="10" width="15.63"/>
    <col customWidth="1" min="11" max="11" width="14.88"/>
    <col customWidth="1" min="12" max="12" width="13.25"/>
    <col customWidth="1" min="13" max="13" width="14.38"/>
    <col customWidth="1" min="14" max="14" width="13.88"/>
    <col customWidth="1" min="15" max="15" width="16.88"/>
  </cols>
  <sheetData>
    <row r="1">
      <c r="A1" s="1"/>
      <c r="B1" s="1"/>
      <c r="C1" s="3"/>
      <c r="D1" s="3"/>
      <c r="E1" s="4"/>
      <c r="F1" s="3"/>
      <c r="G1" s="3"/>
      <c r="H1" s="3"/>
      <c r="I1" s="3"/>
      <c r="J1" s="3"/>
      <c r="K1" s="3"/>
      <c r="L1" s="3"/>
      <c r="M1" s="3"/>
      <c r="N1" s="3"/>
      <c r="O1" s="3"/>
      <c r="P1" s="7"/>
      <c r="Q1" s="7"/>
      <c r="R1" s="7"/>
      <c r="S1" s="7"/>
      <c r="T1" s="7"/>
      <c r="U1" s="7"/>
      <c r="V1" s="7"/>
      <c r="W1" s="7"/>
      <c r="X1" s="7"/>
      <c r="Y1" s="7"/>
      <c r="Z1" s="7"/>
      <c r="AA1" s="7"/>
    </row>
    <row r="2">
      <c r="A2" s="8"/>
      <c r="B2" s="9" t="s">
        <v>21</v>
      </c>
      <c r="C2" s="10" t="s">
        <v>22</v>
      </c>
      <c r="D2" s="10" t="s">
        <v>23</v>
      </c>
      <c r="E2" s="10" t="s">
        <v>24</v>
      </c>
      <c r="F2" s="9" t="s">
        <v>25</v>
      </c>
      <c r="G2" s="9" t="s">
        <v>26</v>
      </c>
      <c r="H2" s="9" t="s">
        <v>27</v>
      </c>
      <c r="I2" s="9" t="s">
        <v>28</v>
      </c>
      <c r="J2" s="9" t="s">
        <v>29</v>
      </c>
      <c r="K2" s="9" t="s">
        <v>30</v>
      </c>
      <c r="L2" s="9" t="s">
        <v>31</v>
      </c>
      <c r="M2" s="9" t="s">
        <v>32</v>
      </c>
      <c r="N2" s="9" t="s">
        <v>33</v>
      </c>
      <c r="O2" s="9" t="s">
        <v>34</v>
      </c>
      <c r="P2" s="9" t="s">
        <v>35</v>
      </c>
      <c r="Q2" s="9" t="s">
        <v>36</v>
      </c>
      <c r="R2" s="7"/>
      <c r="S2" s="7"/>
      <c r="T2" s="7"/>
      <c r="U2" s="7"/>
      <c r="V2" s="7"/>
      <c r="W2" s="7"/>
      <c r="X2" s="7"/>
      <c r="Y2" s="7"/>
      <c r="Z2" s="7"/>
      <c r="AA2" s="7"/>
    </row>
    <row r="3">
      <c r="A3" s="12"/>
      <c r="B3" s="13">
        <v>1.0</v>
      </c>
      <c r="C3" s="16" t="b">
        <f>IF(B3=Projections!$G$3,TRUE)</f>
        <v>0</v>
      </c>
      <c r="D3" s="10" t="s">
        <v>37</v>
      </c>
      <c r="E3" s="10" t="s">
        <v>38</v>
      </c>
      <c r="F3" s="9" t="s">
        <v>39</v>
      </c>
      <c r="G3" s="9" t="s">
        <v>40</v>
      </c>
      <c r="H3" s="9" t="s">
        <v>41</v>
      </c>
      <c r="I3" s="9" t="s">
        <v>42</v>
      </c>
      <c r="J3" s="9" t="s">
        <v>43</v>
      </c>
      <c r="K3" s="9" t="s">
        <v>44</v>
      </c>
      <c r="L3" s="9" t="s">
        <v>45</v>
      </c>
      <c r="M3" s="9" t="s">
        <v>46</v>
      </c>
      <c r="N3" s="9" t="s">
        <v>47</v>
      </c>
      <c r="O3" s="9" t="s">
        <v>48</v>
      </c>
      <c r="P3" s="9" t="s">
        <v>49</v>
      </c>
      <c r="Q3" s="9"/>
      <c r="R3" s="7"/>
      <c r="S3" s="7"/>
      <c r="T3" s="7"/>
      <c r="U3" s="7"/>
      <c r="V3" s="7"/>
      <c r="W3" s="7"/>
      <c r="X3" s="7"/>
      <c r="Y3" s="7"/>
      <c r="Z3" s="7"/>
      <c r="AA3" s="7"/>
    </row>
    <row r="4">
      <c r="A4" s="12"/>
      <c r="B4" s="13">
        <v>2.0</v>
      </c>
      <c r="C4" s="16" t="b">
        <f>IF(B4=Projections!$G$3,TRUE)</f>
        <v>0</v>
      </c>
      <c r="D4" s="10" t="s">
        <v>50</v>
      </c>
      <c r="E4" s="10" t="s">
        <v>51</v>
      </c>
      <c r="F4" s="9" t="s">
        <v>52</v>
      </c>
      <c r="G4" s="9" t="s">
        <v>53</v>
      </c>
      <c r="H4" s="9" t="s">
        <v>54</v>
      </c>
      <c r="I4" s="9" t="s">
        <v>55</v>
      </c>
      <c r="J4" s="9" t="s">
        <v>56</v>
      </c>
      <c r="K4" s="9" t="s">
        <v>57</v>
      </c>
      <c r="L4" s="9" t="s">
        <v>58</v>
      </c>
      <c r="M4" s="9" t="s">
        <v>59</v>
      </c>
      <c r="N4" s="9" t="s">
        <v>60</v>
      </c>
      <c r="O4" s="9" t="s">
        <v>61</v>
      </c>
      <c r="P4" s="9" t="s">
        <v>63</v>
      </c>
      <c r="Q4" s="9"/>
      <c r="R4" s="7"/>
      <c r="S4" s="7"/>
      <c r="T4" s="7"/>
      <c r="U4" s="7"/>
      <c r="V4" s="7"/>
      <c r="W4" s="7"/>
      <c r="X4" s="7"/>
      <c r="Y4" s="7"/>
      <c r="Z4" s="7"/>
      <c r="AA4" s="7"/>
    </row>
    <row r="5">
      <c r="A5" s="12"/>
      <c r="B5" s="13">
        <v>3.0</v>
      </c>
      <c r="C5" s="16" t="b">
        <f>IF(B5=Projections!$G$3,TRUE)</f>
        <v>0</v>
      </c>
      <c r="D5" s="10" t="s">
        <v>64</v>
      </c>
      <c r="E5" s="10" t="s">
        <v>65</v>
      </c>
      <c r="F5" s="9" t="s">
        <v>66</v>
      </c>
      <c r="G5" s="9" t="s">
        <v>67</v>
      </c>
      <c r="H5" s="9" t="s">
        <v>68</v>
      </c>
      <c r="I5" s="9" t="s">
        <v>69</v>
      </c>
      <c r="J5" s="9" t="s">
        <v>70</v>
      </c>
      <c r="K5" s="9" t="s">
        <v>71</v>
      </c>
      <c r="L5" s="9" t="s">
        <v>72</v>
      </c>
      <c r="M5" s="9" t="s">
        <v>73</v>
      </c>
      <c r="N5" s="9" t="s">
        <v>74</v>
      </c>
      <c r="O5" s="9" t="s">
        <v>75</v>
      </c>
      <c r="P5" s="9" t="s">
        <v>76</v>
      </c>
      <c r="Q5" s="9"/>
      <c r="R5" s="7"/>
      <c r="S5" s="7"/>
      <c r="T5" s="7"/>
      <c r="U5" s="7"/>
      <c r="V5" s="7"/>
      <c r="W5" s="7"/>
      <c r="X5" s="7"/>
      <c r="Y5" s="7"/>
      <c r="Z5" s="7"/>
      <c r="AA5" s="7"/>
    </row>
    <row r="6">
      <c r="A6" s="12"/>
      <c r="B6" s="13">
        <v>4.0</v>
      </c>
      <c r="C6" s="16" t="b">
        <f>IF(B6=Projections!$G$3,TRUE)</f>
        <v>1</v>
      </c>
      <c r="D6" s="10" t="s">
        <v>86</v>
      </c>
      <c r="E6" s="10" t="s">
        <v>87</v>
      </c>
      <c r="F6" s="9" t="s">
        <v>89</v>
      </c>
      <c r="G6" s="9" t="s">
        <v>91</v>
      </c>
      <c r="H6" s="9" t="s">
        <v>94</v>
      </c>
      <c r="I6" s="9" t="s">
        <v>96</v>
      </c>
      <c r="J6" s="9" t="s">
        <v>98</v>
      </c>
      <c r="K6" s="9" t="s">
        <v>100</v>
      </c>
      <c r="L6" s="9" t="s">
        <v>102</v>
      </c>
      <c r="M6" s="9" t="s">
        <v>103</v>
      </c>
      <c r="N6" s="9" t="s">
        <v>104</v>
      </c>
      <c r="O6" s="9" t="s">
        <v>105</v>
      </c>
      <c r="P6" s="9" t="s">
        <v>107</v>
      </c>
      <c r="Q6" s="9"/>
      <c r="R6" s="7"/>
      <c r="S6" s="7"/>
      <c r="T6" s="7"/>
      <c r="U6" s="7"/>
      <c r="V6" s="7"/>
      <c r="W6" s="7"/>
      <c r="X6" s="7"/>
      <c r="Y6" s="7"/>
      <c r="Z6" s="7"/>
      <c r="AA6" s="7"/>
    </row>
    <row r="7">
      <c r="A7" s="12"/>
      <c r="B7" s="13">
        <v>5.0</v>
      </c>
      <c r="C7" s="16" t="b">
        <f>IF(B7=Projections!$G$3,TRUE)</f>
        <v>0</v>
      </c>
      <c r="D7" s="10" t="s">
        <v>122</v>
      </c>
      <c r="E7" s="10" t="s">
        <v>123</v>
      </c>
      <c r="F7" s="9" t="s">
        <v>124</v>
      </c>
      <c r="G7" s="9" t="s">
        <v>125</v>
      </c>
      <c r="H7" s="9" t="s">
        <v>126</v>
      </c>
      <c r="I7" s="9" t="s">
        <v>127</v>
      </c>
      <c r="J7" s="9" t="s">
        <v>128</v>
      </c>
      <c r="K7" s="9" t="s">
        <v>129</v>
      </c>
      <c r="L7" s="9" t="s">
        <v>130</v>
      </c>
      <c r="M7" s="9" t="s">
        <v>131</v>
      </c>
      <c r="N7" s="9" t="s">
        <v>132</v>
      </c>
      <c r="O7" s="9" t="s">
        <v>133</v>
      </c>
      <c r="P7" s="9" t="s">
        <v>134</v>
      </c>
      <c r="Q7" s="9"/>
      <c r="R7" s="7"/>
      <c r="S7" s="7"/>
      <c r="T7" s="7"/>
      <c r="U7" s="7"/>
      <c r="V7" s="7"/>
      <c r="W7" s="7"/>
      <c r="X7" s="7"/>
      <c r="Y7" s="7"/>
      <c r="Z7" s="7"/>
      <c r="AA7" s="7"/>
    </row>
    <row r="8">
      <c r="A8" s="12"/>
      <c r="B8" s="13">
        <v>6.0</v>
      </c>
      <c r="C8" s="16" t="b">
        <f>IF(B8=Projections!$G$3,TRUE)</f>
        <v>0</v>
      </c>
      <c r="D8" s="10" t="s">
        <v>135</v>
      </c>
      <c r="E8" s="10" t="s">
        <v>136</v>
      </c>
      <c r="F8" s="9" t="s">
        <v>137</v>
      </c>
      <c r="G8" s="9" t="s">
        <v>138</v>
      </c>
      <c r="H8" s="9" t="s">
        <v>139</v>
      </c>
      <c r="I8" s="9" t="s">
        <v>140</v>
      </c>
      <c r="J8" s="9" t="s">
        <v>141</v>
      </c>
      <c r="K8" s="9" t="s">
        <v>142</v>
      </c>
      <c r="L8" s="9" t="s">
        <v>143</v>
      </c>
      <c r="M8" s="9" t="s">
        <v>144</v>
      </c>
      <c r="N8" s="9" t="s">
        <v>145</v>
      </c>
      <c r="O8" s="9" t="s">
        <v>146</v>
      </c>
      <c r="P8" s="9" t="s">
        <v>147</v>
      </c>
      <c r="Q8" s="9"/>
      <c r="R8" s="7"/>
      <c r="S8" s="7"/>
      <c r="T8" s="7"/>
      <c r="U8" s="7"/>
      <c r="V8" s="7"/>
      <c r="W8" s="7"/>
      <c r="X8" s="7"/>
      <c r="Y8" s="7"/>
      <c r="Z8" s="7"/>
      <c r="AA8" s="7"/>
    </row>
    <row r="9">
      <c r="A9" s="12"/>
      <c r="B9" s="13">
        <v>7.0</v>
      </c>
      <c r="C9" s="16" t="b">
        <f>IF(B9=Projections!$G$3,TRUE)</f>
        <v>0</v>
      </c>
      <c r="D9" s="10" t="s">
        <v>148</v>
      </c>
      <c r="E9" s="10" t="s">
        <v>149</v>
      </c>
      <c r="F9" s="9" t="s">
        <v>150</v>
      </c>
      <c r="G9" s="9" t="s">
        <v>151</v>
      </c>
      <c r="H9" s="9" t="s">
        <v>152</v>
      </c>
      <c r="I9" s="9" t="s">
        <v>153</v>
      </c>
      <c r="J9" s="9" t="s">
        <v>154</v>
      </c>
      <c r="K9" s="9" t="s">
        <v>155</v>
      </c>
      <c r="L9" s="9" t="s">
        <v>156</v>
      </c>
      <c r="M9" s="9" t="s">
        <v>157</v>
      </c>
      <c r="N9" s="9" t="s">
        <v>158</v>
      </c>
      <c r="O9" s="9" t="s">
        <v>159</v>
      </c>
      <c r="P9" s="9" t="s">
        <v>160</v>
      </c>
      <c r="Q9" s="9"/>
      <c r="R9" s="7"/>
      <c r="S9" s="7"/>
      <c r="T9" s="7"/>
      <c r="U9" s="7"/>
      <c r="V9" s="7"/>
      <c r="W9" s="7"/>
      <c r="X9" s="7"/>
      <c r="Y9" s="7"/>
      <c r="Z9" s="7"/>
      <c r="AA9" s="7"/>
    </row>
    <row r="10">
      <c r="A10" s="12"/>
      <c r="B10" s="13">
        <v>8.0</v>
      </c>
      <c r="C10" s="16" t="b">
        <f>IF(B10=Projections!$G$3,TRUE)</f>
        <v>0</v>
      </c>
      <c r="D10" s="10" t="s">
        <v>161</v>
      </c>
      <c r="E10" s="10" t="s">
        <v>162</v>
      </c>
      <c r="F10" s="9" t="s">
        <v>163</v>
      </c>
      <c r="G10" s="9" t="s">
        <v>164</v>
      </c>
      <c r="H10" s="9" t="s">
        <v>165</v>
      </c>
      <c r="I10" s="9" t="s">
        <v>166</v>
      </c>
      <c r="J10" s="9" t="s">
        <v>167</v>
      </c>
      <c r="K10" s="9" t="s">
        <v>168</v>
      </c>
      <c r="L10" s="9" t="s">
        <v>169</v>
      </c>
      <c r="M10" s="9" t="s">
        <v>170</v>
      </c>
      <c r="N10" s="9" t="s">
        <v>171</v>
      </c>
      <c r="O10" s="9" t="s">
        <v>172</v>
      </c>
      <c r="P10" s="9" t="s">
        <v>173</v>
      </c>
      <c r="Q10" s="9"/>
      <c r="R10" s="7"/>
      <c r="S10" s="7"/>
      <c r="T10" s="7"/>
      <c r="U10" s="7"/>
      <c r="V10" s="7"/>
      <c r="W10" s="7"/>
      <c r="X10" s="7"/>
      <c r="Y10" s="7"/>
      <c r="Z10" s="7"/>
      <c r="AA10" s="7"/>
    </row>
    <row r="11">
      <c r="A11" s="12"/>
      <c r="B11" s="13">
        <v>9.0</v>
      </c>
      <c r="C11" s="16" t="b">
        <f>IF(B11=Projections!$G$3,TRUE)</f>
        <v>0</v>
      </c>
      <c r="D11" s="10" t="s">
        <v>174</v>
      </c>
      <c r="E11" s="10" t="s">
        <v>175</v>
      </c>
      <c r="F11" s="9" t="s">
        <v>176</v>
      </c>
      <c r="G11" s="9" t="s">
        <v>177</v>
      </c>
      <c r="H11" s="9" t="s">
        <v>178</v>
      </c>
      <c r="I11" s="9" t="s">
        <v>179</v>
      </c>
      <c r="J11" s="9" t="s">
        <v>180</v>
      </c>
      <c r="K11" s="9" t="s">
        <v>181</v>
      </c>
      <c r="L11" s="9" t="s">
        <v>182</v>
      </c>
      <c r="M11" s="9" t="s">
        <v>183</v>
      </c>
      <c r="N11" s="9" t="s">
        <v>184</v>
      </c>
      <c r="O11" s="9" t="s">
        <v>185</v>
      </c>
      <c r="P11" s="9" t="s">
        <v>186</v>
      </c>
      <c r="Q11" s="9"/>
      <c r="R11" s="7"/>
      <c r="S11" s="7"/>
      <c r="T11" s="7"/>
      <c r="U11" s="7"/>
      <c r="V11" s="7"/>
      <c r="W11" s="7"/>
      <c r="X11" s="7"/>
      <c r="Y11" s="7"/>
      <c r="Z11" s="7"/>
      <c r="AA11" s="7"/>
    </row>
    <row r="12">
      <c r="A12" s="12"/>
      <c r="B12" s="13">
        <v>10.0</v>
      </c>
      <c r="C12" s="16" t="b">
        <f>IF(B12=Projections!$G$3,TRUE)</f>
        <v>0</v>
      </c>
      <c r="D12" s="10" t="s">
        <v>187</v>
      </c>
      <c r="E12" s="10" t="s">
        <v>188</v>
      </c>
      <c r="F12" s="9" t="s">
        <v>189</v>
      </c>
      <c r="G12" s="9" t="s">
        <v>190</v>
      </c>
      <c r="H12" s="9" t="s">
        <v>191</v>
      </c>
      <c r="I12" s="9" t="s">
        <v>192</v>
      </c>
      <c r="J12" s="9" t="s">
        <v>193</v>
      </c>
      <c r="K12" s="9" t="s">
        <v>194</v>
      </c>
      <c r="L12" s="9" t="s">
        <v>195</v>
      </c>
      <c r="M12" s="9" t="s">
        <v>196</v>
      </c>
      <c r="N12" s="9" t="s">
        <v>197</v>
      </c>
      <c r="O12" s="9" t="s">
        <v>198</v>
      </c>
      <c r="P12" s="9" t="s">
        <v>199</v>
      </c>
      <c r="Q12" s="9"/>
      <c r="R12" s="7"/>
      <c r="S12" s="7"/>
      <c r="T12" s="7"/>
      <c r="U12" s="7"/>
      <c r="V12" s="7"/>
      <c r="W12" s="7"/>
      <c r="X12" s="7"/>
      <c r="Y12" s="7"/>
      <c r="Z12" s="7"/>
      <c r="AA12" s="7"/>
    </row>
    <row r="13">
      <c r="A13" s="12"/>
      <c r="B13" s="13">
        <v>11.0</v>
      </c>
      <c r="C13" s="16" t="b">
        <f>IF(B13=Projections!$G$3,TRUE)</f>
        <v>0</v>
      </c>
      <c r="D13" s="10" t="s">
        <v>200</v>
      </c>
      <c r="E13" s="10" t="s">
        <v>201</v>
      </c>
      <c r="F13" s="9" t="s">
        <v>202</v>
      </c>
      <c r="G13" s="9" t="s">
        <v>203</v>
      </c>
      <c r="H13" s="9" t="s">
        <v>204</v>
      </c>
      <c r="I13" s="9" t="s">
        <v>205</v>
      </c>
      <c r="J13" s="9" t="s">
        <v>206</v>
      </c>
      <c r="K13" s="9" t="s">
        <v>38</v>
      </c>
      <c r="L13" s="9" t="s">
        <v>207</v>
      </c>
      <c r="M13" s="9" t="s">
        <v>208</v>
      </c>
      <c r="N13" s="9" t="s">
        <v>209</v>
      </c>
      <c r="O13" s="9" t="s">
        <v>210</v>
      </c>
      <c r="P13" s="9" t="s">
        <v>211</v>
      </c>
      <c r="Q13" s="9"/>
      <c r="R13" s="7"/>
      <c r="S13" s="7"/>
      <c r="T13" s="7"/>
      <c r="U13" s="7"/>
      <c r="V13" s="7"/>
      <c r="W13" s="7"/>
      <c r="X13" s="7"/>
      <c r="Y13" s="7"/>
      <c r="Z13" s="7"/>
      <c r="AA13" s="7"/>
    </row>
    <row r="14">
      <c r="A14" s="12"/>
      <c r="B14" s="13">
        <v>12.0</v>
      </c>
      <c r="C14" s="16" t="b">
        <f>IF(B14=Projections!$G$3,TRUE)</f>
        <v>0</v>
      </c>
      <c r="D14" s="10" t="s">
        <v>212</v>
      </c>
      <c r="E14" s="10" t="s">
        <v>214</v>
      </c>
      <c r="F14" s="9" t="s">
        <v>215</v>
      </c>
      <c r="G14" s="9" t="s">
        <v>216</v>
      </c>
      <c r="H14" s="9" t="s">
        <v>217</v>
      </c>
      <c r="I14" s="9" t="s">
        <v>218</v>
      </c>
      <c r="J14" s="9" t="s">
        <v>219</v>
      </c>
      <c r="K14" s="9" t="s">
        <v>220</v>
      </c>
      <c r="L14" s="9" t="s">
        <v>221</v>
      </c>
      <c r="M14" s="9" t="s">
        <v>222</v>
      </c>
      <c r="N14" s="9" t="s">
        <v>223</v>
      </c>
      <c r="O14" s="9" t="s">
        <v>224</v>
      </c>
      <c r="P14" s="9" t="s">
        <v>225</v>
      </c>
      <c r="Q14" s="9"/>
      <c r="R14" s="7"/>
      <c r="S14" s="7"/>
      <c r="T14" s="7"/>
      <c r="U14" s="7"/>
      <c r="V14" s="7"/>
      <c r="W14" s="7"/>
      <c r="X14" s="7"/>
      <c r="Y14" s="7"/>
      <c r="Z14" s="7"/>
      <c r="AA14" s="7"/>
    </row>
    <row r="15">
      <c r="A15" s="53"/>
      <c r="B15" s="53"/>
      <c r="C15" s="7"/>
      <c r="D15" s="7"/>
      <c r="E15" s="7"/>
      <c r="F15" s="54"/>
      <c r="G15" s="54"/>
      <c r="H15" s="54"/>
      <c r="I15" s="54"/>
      <c r="J15" s="54"/>
      <c r="K15" s="54"/>
      <c r="L15" s="54"/>
      <c r="M15" s="54"/>
      <c r="N15" s="54"/>
      <c r="O15" s="54"/>
      <c r="P15" s="7"/>
      <c r="Q15" s="7"/>
      <c r="R15" s="7"/>
      <c r="S15" s="7"/>
      <c r="T15" s="7"/>
      <c r="U15" s="7"/>
      <c r="V15" s="7"/>
      <c r="W15" s="7"/>
      <c r="X15" s="7"/>
      <c r="Y15" s="7"/>
      <c r="Z15" s="7"/>
      <c r="AA15" s="7"/>
    </row>
    <row r="16">
      <c r="A16" s="53"/>
      <c r="B16" s="53"/>
      <c r="C16" s="56" t="s">
        <v>93</v>
      </c>
      <c r="D16" s="62">
        <f>IF(C3=TRUE,"1",IF(C4=TRUE,"2", IF(C5=True, "3",IF(C6=True, "4",IF(C7=True, "5",IF(C8=True, "6",IF(C9=True, "7",IF(C10=True, "8",IF(C11=True, "9",IF(C12=True, "10",IF(C13=True, "11",IF(C14=True, "12"))))))))))))*1</f>
        <v>4</v>
      </c>
      <c r="E16" s="62">
        <f>IF(C3=TRUE,"24",IF(C4=TRUE,"23", IF(C5=True, "22",IF(C6=True, "21",IF(C7=True, "20",IF(C8=True, "19",IF(C9=True, "18",IF(C10=True, "17",IF(C11=True, "16",IF(C12=True, "15",IF(C13=True, "14",IF(C14=True, "13"))))))))))))*1</f>
        <v>21</v>
      </c>
      <c r="F16" s="70">
        <f>IF(C3=TRUE,"25",IF(C4=TRUE,"26", IF(C5=True, "27",IF(C6=True, "28",IF(C7=True, "29",IF(C8=True, "30",IF(C9=True, "31",IF(C10=True, "32",IF(C11=True, "33",IF(C12=True, "34",IF(C13=True, "35",IF(C14=True, "36"))))))))))))*1</f>
        <v>28</v>
      </c>
      <c r="G16" s="70">
        <f>IF(C3=TRUE,"48",IF(C4=TRUE,"47", IF(C5=True, "46",IF(C6=True, "45",IF(C7=True, "44",IF(C8=True, "43",IF(C9=True, "42",IF(C10=True, "41",IF(C11=True, "40",IF(C12=True, "39",IF(C13=True, "38",IF(C14=True, "37"))))))))))))*1</f>
        <v>45</v>
      </c>
      <c r="H16" s="76">
        <f>IF(C3=TRUE,"49",IF(C4=TRUE,"50", IF(C5=True, "51",IF(C6=True, "52",IF(C7=True, "53",IF(C8=True, "54",IF(C9=True, "55",IF(C10=True, "56",IF(C11=True, "57",IF(C12=True, "58",IF(C13=True, "59",IF(C14=True, "60"))))))))))))*1</f>
        <v>52</v>
      </c>
      <c r="I16" s="76">
        <f>IF(C3=TRUE,"72",IF(C4=TRUE,"71", IF(C5=True, "70",IF(C6=True, "69",IF(C7=True, "68",IF(C8=True, "67",IF(C9=True, "66",IF(C10=True, "65",IF(C11=True, "64",IF(C12=True, "63",IF(C13=True, "62",IF(C14=True, "61"))))))))))))*1</f>
        <v>69</v>
      </c>
      <c r="J16" s="76">
        <f>IF(C3=TRUE,"73",IF(C4=TRUE,"74", IF(C5=True, "75",IF(C6=True, "76",IF(C7=True, "77",IF(C8=True, "78",IF(C9=True, "79",IF(C10=True, "80",IF(C11=True, "81",IF(C12=True, "82",IF(C13=True, "83",IF(C14=True, "84"))))))))))))*1</f>
        <v>76</v>
      </c>
      <c r="K16" s="76">
        <f>IF(C3=TRUE,"96",IF(C4=TRUE,"95", IF(C5=True, "94",IF(C6=True, "93",IF(C7=True, "92",IF(C8=True, "91",IF(C9=True, "90",IF(C10=True, "89",IF(C11=True, "88",IF(C12=True, "87",IF(C13=True, "86",IF(C14=True, "85"))))))))))))*1</f>
        <v>93</v>
      </c>
      <c r="L16" s="76">
        <f>IF(C3=TRUE,"97",IF(C4=TRUE,"98", IF(C5=True, "99",IF(C6=True, "100",IF(C7=True, "101",IF(C8=True, "102",IF(C9=True, "103",IF(C10=True, "104",IF(C11=True, "105",IF(C12=True, "106",IF(C13=True, "107",IF(C14=True, "108"))))))))))))*1</f>
        <v>100</v>
      </c>
      <c r="M16" s="76">
        <f>IF(C3=TRUE,"120",IF(C4=TRUE,"119", IF(C5=True, "118",IF(C6=True, "117",IF(C7=True, "116",IF(C8=True, "115",IF(C9=True, "114",IF(C10=True, "113",IF(C11=True, "112",IF(C12=True, "111",IF(C13=True, "110",IF(C14=True, "109"))))))))))))*1</f>
        <v>117</v>
      </c>
      <c r="N16" s="76">
        <f>IF(C3=TRUE,"121",IF(C4=TRUE,"122", IF(C5=True, "123",IF(C6=True, "124",IF(C7=True, "125",IF(C8=True, "126",IF(C9=True, "127",IF(C10=True, "128",IF(C11=True, "129",IF(C12=True, "130",IF(C13=True, "131",IF(C14=True, "132"))))))))))))*1</f>
        <v>124</v>
      </c>
      <c r="O16" s="98">
        <f>IF(C3=TRUE,"144",IF(C4=TRUE,"143", IF(C5=True, "142",IF(C6=True, "141",IF(C7=True, "140",IF(C8=True, "139",IF(C9=True, "138",IF(C10=True, "137",IF(C11=True, "136",IF(C12=True, "135",IF(C13=True, "134",IF(C14=True, "133"))))))))))))*1</f>
        <v>141</v>
      </c>
      <c r="P16" s="99" t="str">
        <f>IF(C3=TRUE,"145",IF(C4=TRUE,"146", IF(C5=True, "147",IF(C6=True, "148",IF(C7=True, "149",IF(C8=True, "150",IF(C9=True, "151",IF(C10=True, "152",IF(C11=True, "153",IF(C12=True, "154",IF(C13=True, "155",IF(C14=True, "156"))))))))))))</f>
        <v>148</v>
      </c>
      <c r="Q16" s="99" t="str">
        <f>IF(C3=TRUE,"168",IF(C4=TRUE,"167", IF(C5=True, "166",IF(C6=True, "165",IF(C7=True, "164",IF(C8=True, "163",IF(C9=True, "162",IF(C10=True, "161",IF(C11=True, "160",IF(C12=True, "159",IF(C13=True, "158",IF(C14=True, "157"))))))))))))</f>
        <v>165</v>
      </c>
      <c r="R16" s="7"/>
      <c r="S16" s="7"/>
      <c r="T16" s="7"/>
      <c r="U16" s="7"/>
      <c r="V16" s="7"/>
      <c r="W16" s="7"/>
      <c r="X16" s="7"/>
      <c r="Y16" s="7"/>
      <c r="Z16" s="7"/>
      <c r="AA16" s="7"/>
    </row>
    <row r="17">
      <c r="A17" s="54"/>
      <c r="B17" s="54"/>
      <c r="C17" s="103" t="s">
        <v>232</v>
      </c>
      <c r="D17" s="104">
        <f t="shared" ref="D17:E17" si="1">D16</f>
        <v>4</v>
      </c>
      <c r="E17" s="104">
        <f t="shared" si="1"/>
        <v>21</v>
      </c>
      <c r="F17" s="106">
        <f>F16+IF($C$3,11, IF($C$4,9,IF($C$5,7,IF($C$6,5,IF($C$7,3,IF($C$8,1,IF($C$9,-1,IF($C$10,-3,IF($C$11,-5,IF($C$12,-7, IF($C$13,-9, IF($C$14,-11))))))))))))*1</f>
        <v>33</v>
      </c>
      <c r="G17" s="106">
        <f>G16-IF($C$3,11, IF($C$4,9,IF($C$5,7,IF($C$6,5,IF($C$7,3,IF($C$8,1,IF($C$9,-1,IF($C$10,-3,IF($C$11,-5,IF($C$12,-7, IF($C$13,-9, IF($C$14,-11))))))))))))*1</f>
        <v>40</v>
      </c>
      <c r="H17" s="106">
        <f>H16+IF($C$3,11, IF($C$4,9,IF($C$5,7,IF($C$6,5,IF($C$7,3,IF($C$8,1,IF($C$9,-1,IF($C$10,-3,IF($C$11,-5,IF($C$12,-7, IF($C$13,-9, IF($C$14,-11))))))))))))*1</f>
        <v>57</v>
      </c>
      <c r="I17" s="106">
        <f>I16-IF($C$3,11, IF($C$4,9,IF($C$5,7,IF($C$6,5,IF($C$7,3,IF($C$8,1,IF($C$9,-1,IF($C$10,-3,IF($C$11,-5,IF($C$12,-7, IF($C$13,-9, IF($C$14,-11))))))))))))*1</f>
        <v>64</v>
      </c>
      <c r="J17" s="106">
        <f>J16+IF($C$3,11, IF($C$4,9,IF($C$5,7,IF($C$6,5,IF($C$7,3,IF($C$8,1,IF($C$9,-1,IF($C$10,-3,IF($C$11,-5,IF($C$12,-7, IF($C$13,-9, IF($C$14,-11))))))))))))*1</f>
        <v>81</v>
      </c>
      <c r="K17" s="106">
        <f>K16-IF($C$3,11, IF($C$4,9,IF($C$5,7,IF($C$6,5,IF($C$7,3,IF($C$8,1,IF($C$9,-1,IF($C$10,-3,IF($C$11,-5,IF($C$12,-7, IF($C$13,-9, IF($C$14,-11))))))))))))*1</f>
        <v>88</v>
      </c>
      <c r="L17" s="106">
        <f>L16+IF($C$3,11, IF($C$4,9,IF($C$5,7,IF($C$6,5,IF($C$7,3,IF($C$8,1,IF($C$9,-1,IF($C$10,-3,IF($C$11,-5,IF($C$12,-7, IF($C$13,-9, IF($C$14,-11))))))))))))*1</f>
        <v>105</v>
      </c>
      <c r="M17" s="106">
        <f>M16-IF($C$3,11, IF($C$4,9,IF($C$5,7,IF($C$6,5,IF($C$7,3,IF($C$8,1,IF($C$9,-1,IF($C$10,-3,IF($C$11,-5,IF($C$12,-7, IF($C$13,-9, IF($C$14,-11))))))))))))*1</f>
        <v>112</v>
      </c>
      <c r="N17" s="106">
        <f>N16+IF($C$3,11, IF($C$4,9,IF($C$5,7,IF($C$6,5,IF($C$7,3,IF($C$8,1,IF($C$9,-1,IF($C$10,-3,IF($C$11,-5,IF($C$12,-7, IF($C$13,-9, IF($C$14,-11))))))))))))*1</f>
        <v>129</v>
      </c>
      <c r="O17" s="123">
        <f>O16-IF($C$3,11, IF($C$4,9,IF($C$5,7,IF($C$6,5,IF($C$7,3,IF($C$8,1,IF($C$9,-1,IF($C$10,-3,IF($C$11,-5,IF($C$12,-7, IF($C$13,-9, IF($C$14,-11))))))))))))*1</f>
        <v>136</v>
      </c>
      <c r="P17" s="106">
        <f>P16+IF($B$3,11, IF($B$4,9,IF($B$5,7,IF($B$6,5,IF($B$7,3,IF($B$8,1,IF($B$9,-1,IF($B$10,-3,IF($B$11,-5,IF($B$12,-7, IF($B$13,-9, IF($B$14,-11))))))))))))</f>
        <v>159</v>
      </c>
      <c r="Q17" s="106">
        <f>Q16-IF($B$3,11, IF($B$4,9,IF($B$5,7,IF($B$6,5,IF($B$7,3,IF($B$8,1,IF($B$9,-1,IF($B$10,-3,IF($B$11,-5,IF($B$12,-7, IF($B$13,-9, IF($B$14,-11))))))))))))</f>
        <v>154</v>
      </c>
      <c r="R17" s="7"/>
      <c r="S17" s="7"/>
      <c r="T17" s="7"/>
      <c r="U17" s="7"/>
      <c r="V17" s="7"/>
      <c r="W17" s="7"/>
      <c r="X17" s="7"/>
      <c r="Y17" s="7"/>
      <c r="Z17" s="7"/>
      <c r="AA17" s="7"/>
    </row>
    <row r="18">
      <c r="A18" s="54"/>
      <c r="B18" s="54"/>
      <c r="C18" s="7"/>
      <c r="D18" s="7"/>
      <c r="E18" s="7"/>
      <c r="F18" s="54"/>
      <c r="G18" s="54"/>
      <c r="H18" s="54"/>
      <c r="I18" s="54"/>
      <c r="J18" s="54"/>
      <c r="K18" s="54"/>
      <c r="L18" s="54"/>
      <c r="M18" s="54"/>
      <c r="N18" s="54"/>
      <c r="O18" s="54"/>
      <c r="P18" s="7"/>
      <c r="Q18" s="7"/>
      <c r="R18" s="7"/>
      <c r="S18" s="7"/>
      <c r="T18" s="7"/>
      <c r="U18" s="7"/>
      <c r="V18" s="7"/>
      <c r="W18" s="7"/>
      <c r="X18" s="7"/>
      <c r="Y18" s="7"/>
      <c r="Z18" s="7"/>
      <c r="AA18" s="7"/>
    </row>
    <row r="19">
      <c r="A19" s="54"/>
      <c r="B19" s="54"/>
      <c r="C19" s="7"/>
      <c r="D19" s="124" t="s">
        <v>234</v>
      </c>
      <c r="E19" s="125"/>
      <c r="F19" s="126"/>
      <c r="G19" s="127"/>
      <c r="H19" s="54"/>
      <c r="I19" s="54"/>
      <c r="J19" s="54"/>
      <c r="K19" s="54"/>
      <c r="L19" s="54"/>
      <c r="M19" s="54"/>
      <c r="N19" s="54"/>
      <c r="O19" s="54"/>
      <c r="P19" s="7"/>
      <c r="Q19" s="7"/>
      <c r="R19" s="7"/>
      <c r="S19" s="7"/>
      <c r="T19" s="7"/>
      <c r="U19" s="7"/>
      <c r="V19" s="7"/>
      <c r="W19" s="7"/>
      <c r="X19" s="7"/>
      <c r="Y19" s="7"/>
      <c r="Z19" s="7"/>
      <c r="AA19" s="7"/>
    </row>
    <row r="20">
      <c r="A20" s="54"/>
      <c r="B20" s="54"/>
      <c r="C20" s="7"/>
      <c r="D20" s="128" t="s">
        <v>235</v>
      </c>
      <c r="E20" s="126"/>
      <c r="F20" s="127"/>
      <c r="G20" s="127"/>
      <c r="H20" s="54"/>
      <c r="I20" s="54"/>
      <c r="J20" s="54"/>
      <c r="K20" s="54"/>
      <c r="L20" s="54"/>
      <c r="M20" s="54"/>
      <c r="N20" s="54"/>
      <c r="O20" s="54"/>
      <c r="P20" s="7"/>
      <c r="Q20" s="7"/>
      <c r="R20" s="7"/>
      <c r="S20" s="7"/>
      <c r="T20" s="7"/>
      <c r="U20" s="7"/>
      <c r="V20" s="7"/>
      <c r="W20" s="7"/>
      <c r="X20" s="7"/>
      <c r="Y20" s="7"/>
      <c r="Z20" s="7"/>
      <c r="AA20" s="7"/>
    </row>
    <row r="21">
      <c r="A21" s="54"/>
      <c r="B21" s="54"/>
      <c r="C21" s="7"/>
      <c r="D21" s="127"/>
      <c r="E21" s="127"/>
      <c r="F21" s="127"/>
      <c r="G21" s="127"/>
      <c r="H21" s="54"/>
      <c r="I21" s="54"/>
      <c r="J21" s="54"/>
      <c r="K21" s="54"/>
      <c r="L21" s="54"/>
      <c r="M21" s="54"/>
      <c r="N21" s="54"/>
      <c r="O21" s="54"/>
      <c r="P21" s="7"/>
      <c r="Q21" s="7"/>
      <c r="R21" s="7"/>
      <c r="S21" s="7"/>
      <c r="T21" s="7"/>
      <c r="U21" s="7"/>
      <c r="V21" s="7"/>
      <c r="W21" s="7"/>
      <c r="X21" s="7"/>
      <c r="Y21" s="7"/>
      <c r="Z21" s="7"/>
      <c r="AA21" s="7"/>
    </row>
    <row r="22">
      <c r="A22" s="54"/>
      <c r="B22" s="54"/>
      <c r="C22" s="7"/>
      <c r="D22" s="7"/>
      <c r="E22" s="7"/>
      <c r="F22" s="54"/>
      <c r="G22" s="54"/>
      <c r="H22" s="54"/>
      <c r="I22" s="54"/>
      <c r="J22" s="54"/>
      <c r="K22" s="54"/>
      <c r="L22" s="54"/>
      <c r="M22" s="54"/>
      <c r="N22" s="54"/>
      <c r="O22" s="54"/>
      <c r="P22" s="7"/>
      <c r="Q22" s="7"/>
      <c r="R22" s="7"/>
      <c r="S22" s="7"/>
      <c r="T22" s="7"/>
      <c r="U22" s="7"/>
      <c r="V22" s="7"/>
      <c r="W22" s="7"/>
      <c r="X22" s="7"/>
      <c r="Y22" s="7"/>
      <c r="Z22" s="7"/>
      <c r="AA22" s="7"/>
    </row>
    <row r="23">
      <c r="A23" s="54"/>
      <c r="B23" s="54"/>
      <c r="C23" s="7"/>
      <c r="D23" s="7"/>
      <c r="E23" s="7"/>
      <c r="F23" s="54"/>
      <c r="G23" s="54"/>
      <c r="H23" s="54"/>
      <c r="I23" s="54"/>
      <c r="J23" s="54"/>
      <c r="K23" s="54"/>
      <c r="L23" s="54"/>
      <c r="M23" s="54"/>
      <c r="N23" s="54"/>
      <c r="O23" s="54"/>
      <c r="P23" s="7"/>
      <c r="Q23" s="7"/>
      <c r="R23" s="7"/>
      <c r="S23" s="7"/>
      <c r="T23" s="7"/>
      <c r="U23" s="7"/>
      <c r="V23" s="7"/>
      <c r="W23" s="7"/>
      <c r="X23" s="7"/>
      <c r="Y23" s="7"/>
      <c r="Z23" s="7"/>
      <c r="AA23" s="7"/>
    </row>
    <row r="24">
      <c r="A24" s="54"/>
      <c r="B24" s="54"/>
      <c r="C24" s="7"/>
      <c r="D24" s="7"/>
      <c r="E24" s="7"/>
      <c r="F24" s="54"/>
      <c r="G24" s="54"/>
      <c r="H24" s="54"/>
      <c r="I24" s="54"/>
      <c r="J24" s="54"/>
      <c r="K24" s="54"/>
      <c r="L24" s="54"/>
      <c r="M24" s="54"/>
      <c r="N24" s="54"/>
      <c r="O24" s="54"/>
      <c r="P24" s="7"/>
      <c r="Q24" s="7"/>
      <c r="R24" s="7"/>
      <c r="S24" s="7"/>
      <c r="T24" s="7"/>
      <c r="U24" s="7"/>
      <c r="V24" s="7"/>
      <c r="W24" s="7"/>
      <c r="X24" s="7"/>
      <c r="Y24" s="7"/>
      <c r="Z24" s="7"/>
      <c r="AA24" s="7"/>
    </row>
    <row r="25">
      <c r="A25" s="54"/>
      <c r="B25" s="54"/>
      <c r="C25" s="7"/>
      <c r="D25" s="7"/>
      <c r="E25" s="7"/>
      <c r="F25" s="54"/>
      <c r="G25" s="54"/>
      <c r="H25" s="54"/>
      <c r="I25" s="54"/>
      <c r="J25" s="54"/>
      <c r="K25" s="54"/>
      <c r="L25" s="54"/>
      <c r="M25" s="54"/>
      <c r="N25" s="54"/>
      <c r="O25" s="54"/>
      <c r="P25" s="7"/>
      <c r="Q25" s="7"/>
      <c r="R25" s="7"/>
      <c r="S25" s="7"/>
      <c r="T25" s="7"/>
      <c r="U25" s="7"/>
      <c r="V25" s="7"/>
      <c r="W25" s="7"/>
      <c r="X25" s="7"/>
      <c r="Y25" s="7"/>
      <c r="Z25" s="7"/>
      <c r="AA25" s="7"/>
    </row>
    <row r="26">
      <c r="A26" s="54"/>
      <c r="B26" s="54"/>
      <c r="C26" s="7"/>
      <c r="D26" s="7"/>
      <c r="E26" s="7"/>
      <c r="F26" s="54"/>
      <c r="G26" s="54"/>
      <c r="H26" s="54"/>
      <c r="I26" s="54"/>
      <c r="J26" s="54"/>
      <c r="K26" s="54"/>
      <c r="L26" s="54"/>
      <c r="M26" s="54"/>
      <c r="N26" s="54"/>
      <c r="O26" s="54"/>
      <c r="P26" s="7"/>
      <c r="Q26" s="7"/>
      <c r="R26" s="7"/>
      <c r="S26" s="7"/>
      <c r="T26" s="7"/>
      <c r="U26" s="7"/>
      <c r="V26" s="7"/>
      <c r="W26" s="7"/>
      <c r="X26" s="7"/>
      <c r="Y26" s="7"/>
      <c r="Z26" s="7"/>
      <c r="AA26" s="7"/>
    </row>
    <row r="27">
      <c r="A27" s="54"/>
      <c r="B27" s="54"/>
      <c r="C27" s="7"/>
      <c r="D27" s="7"/>
      <c r="E27" s="7"/>
      <c r="F27" s="54"/>
      <c r="G27" s="54"/>
      <c r="H27" s="54"/>
      <c r="I27" s="54"/>
      <c r="J27" s="54"/>
      <c r="K27" s="54"/>
      <c r="L27" s="54"/>
      <c r="M27" s="54"/>
      <c r="N27" s="54"/>
      <c r="O27" s="54"/>
      <c r="P27" s="7"/>
      <c r="Q27" s="7"/>
      <c r="R27" s="7"/>
      <c r="S27" s="7"/>
      <c r="T27" s="7"/>
      <c r="U27" s="7"/>
      <c r="V27" s="7"/>
      <c r="W27" s="7"/>
      <c r="X27" s="7"/>
      <c r="Y27" s="7"/>
      <c r="Z27" s="7"/>
      <c r="AA27" s="7"/>
    </row>
    <row r="28">
      <c r="A28" s="54"/>
      <c r="B28" s="54"/>
      <c r="C28" s="7"/>
      <c r="D28" s="7"/>
      <c r="E28" s="7"/>
      <c r="F28" s="54"/>
      <c r="G28" s="54"/>
      <c r="H28" s="54"/>
      <c r="I28" s="54"/>
      <c r="J28" s="54"/>
      <c r="K28" s="54"/>
      <c r="L28" s="54"/>
      <c r="M28" s="54"/>
      <c r="N28" s="54"/>
      <c r="O28" s="54"/>
      <c r="P28" s="7"/>
      <c r="Q28" s="7"/>
      <c r="R28" s="7"/>
      <c r="S28" s="7"/>
      <c r="T28" s="7"/>
      <c r="U28" s="7"/>
      <c r="V28" s="7"/>
      <c r="W28" s="7"/>
      <c r="X28" s="7"/>
      <c r="Y28" s="7"/>
      <c r="Z28" s="7"/>
      <c r="AA28" s="7"/>
    </row>
    <row r="29">
      <c r="A29" s="54"/>
      <c r="B29" s="54"/>
      <c r="C29" s="7"/>
      <c r="D29" s="7"/>
      <c r="E29" s="7"/>
      <c r="F29" s="54"/>
      <c r="G29" s="54"/>
      <c r="H29" s="54"/>
      <c r="I29" s="54"/>
      <c r="J29" s="54"/>
      <c r="K29" s="54"/>
      <c r="L29" s="54"/>
      <c r="M29" s="54"/>
      <c r="N29" s="54"/>
      <c r="O29" s="54"/>
      <c r="P29" s="7"/>
      <c r="Q29" s="7"/>
      <c r="R29" s="7"/>
      <c r="S29" s="7"/>
      <c r="T29" s="7"/>
      <c r="U29" s="7"/>
      <c r="V29" s="7"/>
      <c r="W29" s="7"/>
      <c r="X29" s="7"/>
      <c r="Y29" s="7"/>
      <c r="Z29" s="7"/>
      <c r="AA29" s="7"/>
    </row>
    <row r="30">
      <c r="A30" s="54"/>
      <c r="B30" s="54"/>
      <c r="C30" s="7"/>
      <c r="D30" s="7"/>
      <c r="E30" s="7"/>
      <c r="F30" s="54"/>
      <c r="G30" s="54"/>
      <c r="H30" s="54"/>
      <c r="I30" s="54"/>
      <c r="J30" s="54"/>
      <c r="K30" s="54"/>
      <c r="L30" s="54"/>
      <c r="M30" s="54"/>
      <c r="N30" s="54"/>
      <c r="O30" s="54"/>
      <c r="P30" s="7"/>
      <c r="Q30" s="7"/>
      <c r="R30" s="7"/>
      <c r="S30" s="7"/>
      <c r="T30" s="7"/>
      <c r="U30" s="7"/>
      <c r="V30" s="7"/>
      <c r="W30" s="7"/>
      <c r="X30" s="7"/>
      <c r="Y30" s="7"/>
      <c r="Z30" s="7"/>
      <c r="AA30" s="7"/>
    </row>
    <row r="31">
      <c r="A31" s="54"/>
      <c r="B31" s="54"/>
      <c r="C31" s="7"/>
      <c r="D31" s="7"/>
      <c r="E31" s="7"/>
      <c r="F31" s="54"/>
      <c r="G31" s="54"/>
      <c r="H31" s="54"/>
      <c r="I31" s="54"/>
      <c r="J31" s="54"/>
      <c r="K31" s="54"/>
      <c r="L31" s="54"/>
      <c r="M31" s="54"/>
      <c r="N31" s="54"/>
      <c r="O31" s="54"/>
      <c r="P31" s="7"/>
      <c r="Q31" s="7"/>
      <c r="R31" s="7"/>
      <c r="S31" s="7"/>
      <c r="T31" s="7"/>
      <c r="U31" s="7"/>
      <c r="V31" s="7"/>
      <c r="W31" s="7"/>
      <c r="X31" s="7"/>
      <c r="Y31" s="7"/>
      <c r="Z31" s="7"/>
      <c r="AA31" s="7"/>
    </row>
    <row r="32">
      <c r="A32" s="54"/>
      <c r="B32" s="54"/>
      <c r="C32" s="7"/>
      <c r="D32" s="7"/>
      <c r="E32" s="7"/>
      <c r="F32" s="54"/>
      <c r="G32" s="54"/>
      <c r="H32" s="54"/>
      <c r="I32" s="54"/>
      <c r="J32" s="54"/>
      <c r="K32" s="54"/>
      <c r="L32" s="54"/>
      <c r="M32" s="54"/>
      <c r="N32" s="54"/>
      <c r="O32" s="54"/>
      <c r="P32" s="7"/>
      <c r="Q32" s="7"/>
      <c r="R32" s="7"/>
      <c r="S32" s="7"/>
      <c r="T32" s="7"/>
      <c r="U32" s="7"/>
      <c r="V32" s="7"/>
      <c r="W32" s="7"/>
      <c r="X32" s="7"/>
      <c r="Y32" s="7"/>
      <c r="Z32" s="7"/>
      <c r="AA32" s="7"/>
    </row>
    <row r="33">
      <c r="A33" s="54"/>
      <c r="B33" s="54"/>
      <c r="C33" s="7"/>
      <c r="D33" s="7"/>
      <c r="E33" s="7"/>
      <c r="F33" s="54"/>
      <c r="G33" s="54"/>
      <c r="H33" s="54"/>
      <c r="I33" s="54"/>
      <c r="J33" s="54"/>
      <c r="K33" s="54"/>
      <c r="L33" s="54"/>
      <c r="M33" s="54"/>
      <c r="N33" s="54"/>
      <c r="O33" s="54"/>
      <c r="P33" s="7"/>
      <c r="Q33" s="7"/>
      <c r="R33" s="7"/>
      <c r="S33" s="7"/>
      <c r="T33" s="7"/>
      <c r="U33" s="7"/>
      <c r="V33" s="7"/>
      <c r="W33" s="7"/>
      <c r="X33" s="7"/>
      <c r="Y33" s="7"/>
      <c r="Z33" s="7"/>
      <c r="AA33" s="7"/>
    </row>
    <row r="34">
      <c r="A34" s="54"/>
      <c r="B34" s="54"/>
      <c r="C34" s="7"/>
      <c r="D34" s="7"/>
      <c r="E34" s="7"/>
      <c r="F34" s="54"/>
      <c r="G34" s="54"/>
      <c r="H34" s="54"/>
      <c r="I34" s="54"/>
      <c r="J34" s="54"/>
      <c r="K34" s="54"/>
      <c r="L34" s="54"/>
      <c r="M34" s="54"/>
      <c r="N34" s="54"/>
      <c r="O34" s="54"/>
      <c r="P34" s="7"/>
      <c r="Q34" s="7"/>
      <c r="R34" s="7"/>
      <c r="S34" s="7"/>
      <c r="T34" s="7"/>
      <c r="U34" s="7"/>
      <c r="V34" s="7"/>
      <c r="W34" s="7"/>
      <c r="X34" s="7"/>
      <c r="Y34" s="7"/>
      <c r="Z34" s="7"/>
      <c r="AA34" s="7"/>
    </row>
    <row r="35">
      <c r="A35" s="54"/>
      <c r="B35" s="54"/>
      <c r="C35" s="7"/>
      <c r="D35" s="7"/>
      <c r="E35" s="7"/>
      <c r="F35" s="54"/>
      <c r="G35" s="54"/>
      <c r="H35" s="54"/>
      <c r="I35" s="54"/>
      <c r="J35" s="54"/>
      <c r="K35" s="54"/>
      <c r="L35" s="54"/>
      <c r="M35" s="54"/>
      <c r="N35" s="54"/>
      <c r="O35" s="54"/>
      <c r="P35" s="7"/>
      <c r="Q35" s="7"/>
      <c r="R35" s="7"/>
      <c r="S35" s="7"/>
      <c r="T35" s="7"/>
      <c r="U35" s="7"/>
      <c r="V35" s="7"/>
      <c r="W35" s="7"/>
      <c r="X35" s="7"/>
      <c r="Y35" s="7"/>
      <c r="Z35" s="7"/>
      <c r="AA35" s="7"/>
    </row>
    <row r="36">
      <c r="A36" s="54"/>
      <c r="B36" s="54"/>
      <c r="C36" s="7"/>
      <c r="D36" s="7"/>
      <c r="E36" s="7"/>
      <c r="F36" s="54"/>
      <c r="G36" s="54"/>
      <c r="H36" s="54"/>
      <c r="I36" s="54"/>
      <c r="J36" s="54"/>
      <c r="K36" s="54"/>
      <c r="L36" s="54"/>
      <c r="M36" s="54"/>
      <c r="N36" s="54"/>
      <c r="O36" s="54"/>
      <c r="P36" s="7"/>
      <c r="Q36" s="7"/>
      <c r="R36" s="7"/>
      <c r="S36" s="7"/>
      <c r="T36" s="7"/>
      <c r="U36" s="7"/>
      <c r="V36" s="7"/>
      <c r="W36" s="7"/>
      <c r="X36" s="7"/>
      <c r="Y36" s="7"/>
      <c r="Z36" s="7"/>
      <c r="AA36" s="7"/>
    </row>
    <row r="37">
      <c r="A37" s="54"/>
      <c r="B37" s="54"/>
      <c r="C37" s="7"/>
      <c r="D37" s="7"/>
      <c r="E37" s="7"/>
      <c r="F37" s="54"/>
      <c r="G37" s="54"/>
      <c r="H37" s="54"/>
      <c r="I37" s="54"/>
      <c r="J37" s="54"/>
      <c r="K37" s="54"/>
      <c r="L37" s="54"/>
      <c r="M37" s="54"/>
      <c r="N37" s="54"/>
      <c r="O37" s="54"/>
      <c r="P37" s="7"/>
      <c r="Q37" s="7"/>
      <c r="R37" s="7"/>
      <c r="S37" s="7"/>
      <c r="T37" s="7"/>
      <c r="U37" s="7"/>
      <c r="V37" s="7"/>
      <c r="W37" s="7"/>
      <c r="X37" s="7"/>
      <c r="Y37" s="7"/>
      <c r="Z37" s="7"/>
      <c r="AA37" s="7"/>
    </row>
    <row r="38">
      <c r="A38" s="54"/>
      <c r="B38" s="54"/>
      <c r="C38" s="7"/>
      <c r="D38" s="7"/>
      <c r="E38" s="7"/>
      <c r="F38" s="54"/>
      <c r="G38" s="54"/>
      <c r="H38" s="54"/>
      <c r="I38" s="54"/>
      <c r="J38" s="54"/>
      <c r="K38" s="54"/>
      <c r="L38" s="54"/>
      <c r="M38" s="54"/>
      <c r="N38" s="54"/>
      <c r="O38" s="54"/>
      <c r="P38" s="7"/>
      <c r="Q38" s="7"/>
      <c r="R38" s="7"/>
      <c r="S38" s="7"/>
      <c r="T38" s="7"/>
      <c r="U38" s="7"/>
      <c r="V38" s="7"/>
      <c r="W38" s="7"/>
      <c r="X38" s="7"/>
      <c r="Y38" s="7"/>
      <c r="Z38" s="7"/>
      <c r="AA38" s="7"/>
    </row>
    <row r="39">
      <c r="A39" s="54"/>
      <c r="B39" s="54"/>
      <c r="C39" s="7"/>
      <c r="D39" s="7"/>
      <c r="E39" s="7"/>
      <c r="F39" s="54"/>
      <c r="G39" s="54"/>
      <c r="H39" s="54"/>
      <c r="I39" s="54"/>
      <c r="J39" s="54"/>
      <c r="K39" s="54"/>
      <c r="L39" s="54"/>
      <c r="M39" s="54"/>
      <c r="N39" s="54"/>
      <c r="O39" s="54"/>
      <c r="P39" s="7"/>
      <c r="Q39" s="7"/>
      <c r="R39" s="7"/>
      <c r="S39" s="7"/>
      <c r="T39" s="7"/>
      <c r="U39" s="7"/>
      <c r="V39" s="7"/>
      <c r="W39" s="7"/>
      <c r="X39" s="7"/>
      <c r="Y39" s="7"/>
      <c r="Z39" s="7"/>
      <c r="AA39" s="7"/>
    </row>
    <row r="40">
      <c r="A40" s="54"/>
      <c r="B40" s="54"/>
      <c r="C40" s="7"/>
      <c r="D40" s="7"/>
      <c r="E40" s="7"/>
      <c r="F40" s="54"/>
      <c r="G40" s="54"/>
      <c r="H40" s="54"/>
      <c r="I40" s="54"/>
      <c r="J40" s="54"/>
      <c r="K40" s="54"/>
      <c r="L40" s="54"/>
      <c r="M40" s="54"/>
      <c r="N40" s="54"/>
      <c r="O40" s="54"/>
      <c r="P40" s="7"/>
      <c r="Q40" s="7"/>
      <c r="R40" s="7"/>
      <c r="S40" s="7"/>
      <c r="T40" s="7"/>
      <c r="U40" s="7"/>
      <c r="V40" s="7"/>
      <c r="W40" s="7"/>
      <c r="X40" s="7"/>
      <c r="Y40" s="7"/>
      <c r="Z40" s="7"/>
      <c r="AA40" s="7"/>
    </row>
    <row r="41">
      <c r="A41" s="54"/>
      <c r="B41" s="54"/>
      <c r="C41" s="7"/>
      <c r="D41" s="7"/>
      <c r="E41" s="7"/>
      <c r="F41" s="54"/>
      <c r="G41" s="54"/>
      <c r="H41" s="54"/>
      <c r="I41" s="54"/>
      <c r="J41" s="54"/>
      <c r="K41" s="54"/>
      <c r="L41" s="54"/>
      <c r="M41" s="54"/>
      <c r="N41" s="54"/>
      <c r="O41" s="54"/>
      <c r="P41" s="7"/>
      <c r="Q41" s="7"/>
      <c r="R41" s="7"/>
      <c r="S41" s="7"/>
      <c r="T41" s="7"/>
      <c r="U41" s="7"/>
      <c r="V41" s="7"/>
      <c r="W41" s="7"/>
      <c r="X41" s="7"/>
      <c r="Y41" s="7"/>
      <c r="Z41" s="7"/>
      <c r="AA41" s="7"/>
    </row>
    <row r="42">
      <c r="A42" s="54"/>
      <c r="B42" s="54"/>
      <c r="C42" s="7"/>
      <c r="D42" s="7"/>
      <c r="E42" s="7"/>
      <c r="F42" s="54"/>
      <c r="G42" s="54"/>
      <c r="H42" s="54"/>
      <c r="I42" s="54"/>
      <c r="J42" s="54"/>
      <c r="K42" s="54"/>
      <c r="L42" s="54"/>
      <c r="M42" s="54"/>
      <c r="N42" s="54"/>
      <c r="O42" s="54"/>
      <c r="P42" s="7"/>
      <c r="Q42" s="7"/>
      <c r="R42" s="7"/>
      <c r="S42" s="7"/>
      <c r="T42" s="7"/>
      <c r="U42" s="7"/>
      <c r="V42" s="7"/>
      <c r="W42" s="7"/>
      <c r="X42" s="7"/>
      <c r="Y42" s="7"/>
      <c r="Z42" s="7"/>
      <c r="AA42" s="7"/>
    </row>
    <row r="43">
      <c r="A43" s="54"/>
      <c r="B43" s="54"/>
      <c r="C43" s="7"/>
      <c r="D43" s="7"/>
      <c r="E43" s="7"/>
      <c r="F43" s="54"/>
      <c r="G43" s="54"/>
      <c r="H43" s="54"/>
      <c r="I43" s="54"/>
      <c r="J43" s="54"/>
      <c r="K43" s="54"/>
      <c r="L43" s="54"/>
      <c r="M43" s="54"/>
      <c r="N43" s="54"/>
      <c r="O43" s="54"/>
      <c r="P43" s="7"/>
      <c r="Q43" s="7"/>
      <c r="R43" s="7"/>
      <c r="S43" s="7"/>
      <c r="T43" s="7"/>
      <c r="U43" s="7"/>
      <c r="V43" s="7"/>
      <c r="W43" s="7"/>
      <c r="X43" s="7"/>
      <c r="Y43" s="7"/>
      <c r="Z43" s="7"/>
      <c r="AA43" s="7"/>
    </row>
    <row r="44">
      <c r="A44" s="54"/>
      <c r="B44" s="54"/>
      <c r="C44" s="7"/>
      <c r="D44" s="7"/>
      <c r="E44" s="7"/>
      <c r="F44" s="54"/>
      <c r="G44" s="54"/>
      <c r="H44" s="54"/>
      <c r="I44" s="54"/>
      <c r="J44" s="54"/>
      <c r="K44" s="54"/>
      <c r="L44" s="54"/>
      <c r="M44" s="54"/>
      <c r="N44" s="54"/>
      <c r="O44" s="54"/>
      <c r="P44" s="7"/>
      <c r="Q44" s="7"/>
      <c r="R44" s="7"/>
      <c r="S44" s="7"/>
      <c r="T44" s="7"/>
      <c r="U44" s="7"/>
      <c r="V44" s="7"/>
      <c r="W44" s="7"/>
      <c r="X44" s="7"/>
      <c r="Y44" s="7"/>
      <c r="Z44" s="7"/>
      <c r="AA44" s="7"/>
    </row>
    <row r="45">
      <c r="A45" s="54"/>
      <c r="B45" s="54"/>
      <c r="C45" s="7"/>
      <c r="D45" s="7"/>
      <c r="E45" s="7"/>
      <c r="F45" s="54"/>
      <c r="G45" s="54"/>
      <c r="H45" s="54"/>
      <c r="I45" s="54"/>
      <c r="J45" s="54"/>
      <c r="K45" s="54"/>
      <c r="L45" s="54"/>
      <c r="M45" s="54"/>
      <c r="N45" s="54"/>
      <c r="O45" s="54"/>
      <c r="P45" s="7"/>
      <c r="Q45" s="7"/>
      <c r="R45" s="7"/>
      <c r="S45" s="7"/>
      <c r="T45" s="7"/>
      <c r="U45" s="7"/>
      <c r="V45" s="7"/>
      <c r="W45" s="7"/>
      <c r="X45" s="7"/>
      <c r="Y45" s="7"/>
      <c r="Z45" s="7"/>
      <c r="AA45" s="7"/>
    </row>
    <row r="46">
      <c r="A46" s="54"/>
      <c r="B46" s="54"/>
      <c r="C46" s="7"/>
      <c r="D46" s="7"/>
      <c r="E46" s="7"/>
      <c r="F46" s="54"/>
      <c r="G46" s="54"/>
      <c r="H46" s="54"/>
      <c r="I46" s="54"/>
      <c r="J46" s="54"/>
      <c r="K46" s="54"/>
      <c r="L46" s="54"/>
      <c r="M46" s="54"/>
      <c r="N46" s="54"/>
      <c r="O46" s="54"/>
      <c r="P46" s="7"/>
      <c r="Q46" s="7"/>
      <c r="R46" s="7"/>
      <c r="S46" s="7"/>
      <c r="T46" s="7"/>
      <c r="U46" s="7"/>
      <c r="V46" s="7"/>
      <c r="W46" s="7"/>
      <c r="X46" s="7"/>
      <c r="Y46" s="7"/>
      <c r="Z46" s="7"/>
      <c r="AA46" s="7"/>
    </row>
    <row r="47">
      <c r="A47" s="54"/>
      <c r="B47" s="54"/>
      <c r="C47" s="7"/>
      <c r="D47" s="7"/>
      <c r="E47" s="7"/>
      <c r="F47" s="54"/>
      <c r="G47" s="54"/>
      <c r="H47" s="54"/>
      <c r="I47" s="54"/>
      <c r="J47" s="54"/>
      <c r="K47" s="54"/>
      <c r="L47" s="54"/>
      <c r="M47" s="54"/>
      <c r="N47" s="54"/>
      <c r="O47" s="54"/>
      <c r="P47" s="7"/>
      <c r="Q47" s="7"/>
      <c r="R47" s="7"/>
      <c r="S47" s="7"/>
      <c r="T47" s="7"/>
      <c r="U47" s="7"/>
      <c r="V47" s="7"/>
      <c r="W47" s="7"/>
      <c r="X47" s="7"/>
      <c r="Y47" s="7"/>
      <c r="Z47" s="7"/>
      <c r="AA47" s="7"/>
    </row>
    <row r="48">
      <c r="A48" s="54"/>
      <c r="B48" s="54"/>
      <c r="C48" s="7"/>
      <c r="D48" s="7"/>
      <c r="E48" s="7"/>
      <c r="F48" s="54"/>
      <c r="G48" s="54"/>
      <c r="H48" s="54"/>
      <c r="I48" s="54"/>
      <c r="J48" s="54"/>
      <c r="K48" s="54"/>
      <c r="L48" s="54"/>
      <c r="M48" s="54"/>
      <c r="N48" s="54"/>
      <c r="O48" s="54"/>
      <c r="P48" s="7"/>
      <c r="Q48" s="7"/>
      <c r="R48" s="7"/>
      <c r="S48" s="7"/>
      <c r="T48" s="7"/>
      <c r="U48" s="7"/>
      <c r="V48" s="7"/>
      <c r="W48" s="7"/>
      <c r="X48" s="7"/>
      <c r="Y48" s="7"/>
      <c r="Z48" s="7"/>
      <c r="AA48" s="7"/>
    </row>
    <row r="49">
      <c r="A49" s="54"/>
      <c r="B49" s="54"/>
      <c r="C49" s="7"/>
      <c r="D49" s="7"/>
      <c r="E49" s="7"/>
      <c r="F49" s="54"/>
      <c r="G49" s="54"/>
      <c r="H49" s="54"/>
      <c r="I49" s="54"/>
      <c r="J49" s="54"/>
      <c r="K49" s="54"/>
      <c r="L49" s="54"/>
      <c r="M49" s="54"/>
      <c r="N49" s="54"/>
      <c r="O49" s="54"/>
      <c r="P49" s="7"/>
      <c r="Q49" s="7"/>
      <c r="R49" s="7"/>
      <c r="S49" s="7"/>
      <c r="T49" s="7"/>
      <c r="U49" s="7"/>
      <c r="V49" s="7"/>
      <c r="W49" s="7"/>
      <c r="X49" s="7"/>
      <c r="Y49" s="7"/>
      <c r="Z49" s="7"/>
      <c r="AA49" s="7"/>
    </row>
    <row r="50">
      <c r="A50" s="54"/>
      <c r="B50" s="54"/>
      <c r="C50" s="7"/>
      <c r="D50" s="7"/>
      <c r="E50" s="7"/>
      <c r="F50" s="54"/>
      <c r="G50" s="54"/>
      <c r="H50" s="54"/>
      <c r="I50" s="54"/>
      <c r="J50" s="54"/>
      <c r="K50" s="54"/>
      <c r="L50" s="54"/>
      <c r="M50" s="54"/>
      <c r="N50" s="54"/>
      <c r="O50" s="54"/>
      <c r="P50" s="7"/>
      <c r="Q50" s="7"/>
      <c r="R50" s="7"/>
      <c r="S50" s="7"/>
      <c r="T50" s="7"/>
      <c r="U50" s="7"/>
      <c r="V50" s="7"/>
      <c r="W50" s="7"/>
      <c r="X50" s="7"/>
      <c r="Y50" s="7"/>
      <c r="Z50" s="7"/>
      <c r="AA50" s="7"/>
    </row>
    <row r="51">
      <c r="A51" s="54"/>
      <c r="B51" s="54"/>
      <c r="C51" s="7"/>
      <c r="D51" s="7"/>
      <c r="E51" s="7"/>
      <c r="F51" s="54"/>
      <c r="G51" s="54"/>
      <c r="H51" s="54"/>
      <c r="I51" s="54"/>
      <c r="J51" s="54"/>
      <c r="K51" s="54"/>
      <c r="L51" s="54"/>
      <c r="M51" s="54"/>
      <c r="N51" s="54"/>
      <c r="O51" s="54"/>
      <c r="P51" s="7"/>
      <c r="Q51" s="7"/>
      <c r="R51" s="7"/>
      <c r="S51" s="7"/>
      <c r="T51" s="7"/>
      <c r="U51" s="7"/>
      <c r="V51" s="7"/>
      <c r="W51" s="7"/>
      <c r="X51" s="7"/>
      <c r="Y51" s="7"/>
      <c r="Z51" s="7"/>
      <c r="AA51" s="7"/>
    </row>
    <row r="52">
      <c r="A52" s="54"/>
      <c r="B52" s="54"/>
      <c r="C52" s="7"/>
      <c r="D52" s="7"/>
      <c r="E52" s="7"/>
      <c r="F52" s="54"/>
      <c r="G52" s="54"/>
      <c r="H52" s="54"/>
      <c r="I52" s="54"/>
      <c r="J52" s="54"/>
      <c r="K52" s="54"/>
      <c r="L52" s="54"/>
      <c r="M52" s="54"/>
      <c r="N52" s="54"/>
      <c r="O52" s="54"/>
      <c r="P52" s="7"/>
      <c r="Q52" s="7"/>
      <c r="R52" s="7"/>
      <c r="S52" s="7"/>
      <c r="T52" s="7"/>
      <c r="U52" s="7"/>
      <c r="V52" s="7"/>
      <c r="W52" s="7"/>
      <c r="X52" s="7"/>
      <c r="Y52" s="7"/>
      <c r="Z52" s="7"/>
      <c r="AA52" s="7"/>
    </row>
    <row r="53">
      <c r="A53" s="54"/>
      <c r="B53" s="54"/>
      <c r="C53" s="7"/>
      <c r="D53" s="7"/>
      <c r="E53" s="7"/>
      <c r="F53" s="54"/>
      <c r="G53" s="54"/>
      <c r="H53" s="54"/>
      <c r="I53" s="54"/>
      <c r="J53" s="54"/>
      <c r="K53" s="54"/>
      <c r="L53" s="54"/>
      <c r="M53" s="54"/>
      <c r="N53" s="54"/>
      <c r="O53" s="54"/>
      <c r="P53" s="7"/>
      <c r="Q53" s="7"/>
      <c r="R53" s="7"/>
      <c r="S53" s="7"/>
      <c r="T53" s="7"/>
      <c r="U53" s="7"/>
      <c r="V53" s="7"/>
      <c r="W53" s="7"/>
      <c r="X53" s="7"/>
      <c r="Y53" s="7"/>
      <c r="Z53" s="7"/>
      <c r="AA53" s="7"/>
    </row>
    <row r="54">
      <c r="A54" s="54"/>
      <c r="B54" s="54"/>
      <c r="C54" s="7"/>
      <c r="D54" s="7"/>
      <c r="E54" s="7"/>
      <c r="F54" s="54"/>
      <c r="G54" s="54"/>
      <c r="H54" s="54"/>
      <c r="I54" s="54"/>
      <c r="J54" s="54"/>
      <c r="K54" s="54"/>
      <c r="L54" s="54"/>
      <c r="M54" s="54"/>
      <c r="N54" s="54"/>
      <c r="O54" s="54"/>
      <c r="P54" s="7"/>
      <c r="Q54" s="7"/>
      <c r="R54" s="7"/>
      <c r="S54" s="7"/>
      <c r="T54" s="7"/>
      <c r="U54" s="7"/>
      <c r="V54" s="7"/>
      <c r="W54" s="7"/>
      <c r="X54" s="7"/>
      <c r="Y54" s="7"/>
      <c r="Z54" s="7"/>
      <c r="AA54" s="7"/>
    </row>
    <row r="55">
      <c r="A55" s="54"/>
      <c r="B55" s="54"/>
      <c r="C55" s="7"/>
      <c r="D55" s="7"/>
      <c r="E55" s="7"/>
      <c r="F55" s="54"/>
      <c r="G55" s="54"/>
      <c r="H55" s="54"/>
      <c r="I55" s="54"/>
      <c r="J55" s="54"/>
      <c r="K55" s="54"/>
      <c r="L55" s="54"/>
      <c r="M55" s="54"/>
      <c r="N55" s="54"/>
      <c r="O55" s="54"/>
      <c r="P55" s="7"/>
      <c r="Q55" s="7"/>
      <c r="R55" s="7"/>
      <c r="S55" s="7"/>
      <c r="T55" s="7"/>
      <c r="U55" s="7"/>
      <c r="V55" s="7"/>
      <c r="W55" s="7"/>
      <c r="X55" s="7"/>
      <c r="Y55" s="7"/>
      <c r="Z55" s="7"/>
      <c r="AA55" s="7"/>
    </row>
    <row r="56">
      <c r="A56" s="54"/>
      <c r="B56" s="54"/>
      <c r="C56" s="7"/>
      <c r="D56" s="7"/>
      <c r="E56" s="7"/>
      <c r="F56" s="54"/>
      <c r="G56" s="54"/>
      <c r="H56" s="54"/>
      <c r="I56" s="54"/>
      <c r="J56" s="54"/>
      <c r="K56" s="54"/>
      <c r="L56" s="54"/>
      <c r="M56" s="54"/>
      <c r="N56" s="54"/>
      <c r="O56" s="54"/>
      <c r="P56" s="7"/>
      <c r="Q56" s="7"/>
      <c r="R56" s="7"/>
      <c r="S56" s="7"/>
      <c r="T56" s="7"/>
      <c r="U56" s="7"/>
      <c r="V56" s="7"/>
      <c r="W56" s="7"/>
      <c r="X56" s="7"/>
      <c r="Y56" s="7"/>
      <c r="Z56" s="7"/>
      <c r="AA56" s="7"/>
    </row>
    <row r="57">
      <c r="A57" s="54"/>
      <c r="B57" s="54"/>
      <c r="C57" s="7"/>
      <c r="D57" s="7"/>
      <c r="E57" s="7"/>
      <c r="F57" s="54"/>
      <c r="G57" s="54"/>
      <c r="H57" s="54"/>
      <c r="I57" s="54"/>
      <c r="J57" s="54"/>
      <c r="K57" s="54"/>
      <c r="L57" s="54"/>
      <c r="M57" s="54"/>
      <c r="N57" s="54"/>
      <c r="O57" s="54"/>
      <c r="P57" s="7"/>
      <c r="Q57" s="7"/>
      <c r="R57" s="7"/>
      <c r="S57" s="7"/>
      <c r="T57" s="7"/>
      <c r="U57" s="7"/>
      <c r="V57" s="7"/>
      <c r="W57" s="7"/>
      <c r="X57" s="7"/>
      <c r="Y57" s="7"/>
      <c r="Z57" s="7"/>
      <c r="AA57" s="7"/>
    </row>
    <row r="58">
      <c r="A58" s="54"/>
      <c r="B58" s="54"/>
      <c r="C58" s="7"/>
      <c r="D58" s="7"/>
      <c r="E58" s="7"/>
      <c r="F58" s="54"/>
      <c r="G58" s="54"/>
      <c r="H58" s="54"/>
      <c r="I58" s="54"/>
      <c r="J58" s="54"/>
      <c r="K58" s="54"/>
      <c r="L58" s="54"/>
      <c r="M58" s="54"/>
      <c r="N58" s="54"/>
      <c r="O58" s="54"/>
      <c r="P58" s="7"/>
      <c r="Q58" s="7"/>
      <c r="R58" s="7"/>
      <c r="S58" s="7"/>
      <c r="T58" s="7"/>
      <c r="U58" s="7"/>
      <c r="V58" s="7"/>
      <c r="W58" s="7"/>
      <c r="X58" s="7"/>
      <c r="Y58" s="7"/>
      <c r="Z58" s="7"/>
      <c r="AA58" s="7"/>
    </row>
    <row r="59">
      <c r="A59" s="54"/>
      <c r="B59" s="54"/>
      <c r="C59" s="7"/>
      <c r="D59" s="7"/>
      <c r="E59" s="7"/>
      <c r="F59" s="54"/>
      <c r="G59" s="54"/>
      <c r="H59" s="54"/>
      <c r="I59" s="54"/>
      <c r="J59" s="54"/>
      <c r="K59" s="54"/>
      <c r="L59" s="54"/>
      <c r="M59" s="54"/>
      <c r="N59" s="54"/>
      <c r="O59" s="54"/>
      <c r="P59" s="7"/>
      <c r="Q59" s="7"/>
      <c r="R59" s="7"/>
      <c r="S59" s="7"/>
      <c r="T59" s="7"/>
      <c r="U59" s="7"/>
      <c r="V59" s="7"/>
      <c r="W59" s="7"/>
      <c r="X59" s="7"/>
      <c r="Y59" s="7"/>
      <c r="Z59" s="7"/>
      <c r="AA59" s="7"/>
    </row>
    <row r="60">
      <c r="A60" s="54"/>
      <c r="B60" s="54"/>
      <c r="C60" s="7"/>
      <c r="D60" s="7"/>
      <c r="E60" s="7"/>
      <c r="F60" s="54"/>
      <c r="G60" s="54"/>
      <c r="H60" s="54"/>
      <c r="I60" s="54"/>
      <c r="J60" s="54"/>
      <c r="K60" s="54"/>
      <c r="L60" s="54"/>
      <c r="M60" s="54"/>
      <c r="N60" s="54"/>
      <c r="O60" s="54"/>
      <c r="P60" s="7"/>
      <c r="Q60" s="7"/>
      <c r="R60" s="7"/>
      <c r="S60" s="7"/>
      <c r="T60" s="7"/>
      <c r="U60" s="7"/>
      <c r="V60" s="7"/>
      <c r="W60" s="7"/>
      <c r="X60" s="7"/>
      <c r="Y60" s="7"/>
      <c r="Z60" s="7"/>
      <c r="AA60" s="7"/>
    </row>
    <row r="61">
      <c r="A61" s="54"/>
      <c r="B61" s="54"/>
      <c r="C61" s="7"/>
      <c r="D61" s="7"/>
      <c r="E61" s="7"/>
      <c r="F61" s="54"/>
      <c r="G61" s="54"/>
      <c r="H61" s="54"/>
      <c r="I61" s="54"/>
      <c r="J61" s="54"/>
      <c r="K61" s="54"/>
      <c r="L61" s="54"/>
      <c r="M61" s="54"/>
      <c r="N61" s="54"/>
      <c r="O61" s="54"/>
      <c r="P61" s="7"/>
      <c r="Q61" s="7"/>
      <c r="R61" s="7"/>
      <c r="S61" s="7"/>
      <c r="T61" s="7"/>
      <c r="U61" s="7"/>
      <c r="V61" s="7"/>
      <c r="W61" s="7"/>
      <c r="X61" s="7"/>
      <c r="Y61" s="7"/>
      <c r="Z61" s="7"/>
      <c r="AA61" s="7"/>
    </row>
    <row r="62">
      <c r="A62" s="54"/>
      <c r="B62" s="54"/>
      <c r="C62" s="7"/>
      <c r="D62" s="7"/>
      <c r="E62" s="7"/>
      <c r="F62" s="54"/>
      <c r="G62" s="54"/>
      <c r="H62" s="54"/>
      <c r="I62" s="54"/>
      <c r="J62" s="54"/>
      <c r="K62" s="54"/>
      <c r="L62" s="54"/>
      <c r="M62" s="54"/>
      <c r="N62" s="54"/>
      <c r="O62" s="54"/>
      <c r="P62" s="7"/>
      <c r="Q62" s="7"/>
      <c r="R62" s="7"/>
      <c r="S62" s="7"/>
      <c r="T62" s="7"/>
      <c r="U62" s="7"/>
      <c r="V62" s="7"/>
      <c r="W62" s="7"/>
      <c r="X62" s="7"/>
      <c r="Y62" s="7"/>
      <c r="Z62" s="7"/>
      <c r="AA62" s="7"/>
    </row>
    <row r="63">
      <c r="A63" s="54"/>
      <c r="B63" s="54"/>
      <c r="C63" s="7"/>
      <c r="D63" s="7"/>
      <c r="E63" s="7"/>
      <c r="F63" s="54"/>
      <c r="G63" s="54"/>
      <c r="H63" s="54"/>
      <c r="I63" s="54"/>
      <c r="J63" s="54"/>
      <c r="K63" s="54"/>
      <c r="L63" s="54"/>
      <c r="M63" s="54"/>
      <c r="N63" s="54"/>
      <c r="O63" s="54"/>
      <c r="P63" s="7"/>
      <c r="Q63" s="7"/>
      <c r="R63" s="7"/>
      <c r="S63" s="7"/>
      <c r="T63" s="7"/>
      <c r="U63" s="7"/>
      <c r="V63" s="7"/>
      <c r="W63" s="7"/>
      <c r="X63" s="7"/>
      <c r="Y63" s="7"/>
      <c r="Z63" s="7"/>
      <c r="AA63" s="7"/>
    </row>
    <row r="64">
      <c r="A64" s="54"/>
      <c r="B64" s="54"/>
      <c r="C64" s="7"/>
      <c r="D64" s="7"/>
      <c r="E64" s="7"/>
      <c r="F64" s="54"/>
      <c r="G64" s="54"/>
      <c r="H64" s="54"/>
      <c r="I64" s="54"/>
      <c r="J64" s="54"/>
      <c r="K64" s="54"/>
      <c r="L64" s="54"/>
      <c r="M64" s="54"/>
      <c r="N64" s="54"/>
      <c r="O64" s="54"/>
      <c r="P64" s="7"/>
      <c r="Q64" s="7"/>
      <c r="R64" s="7"/>
      <c r="S64" s="7"/>
      <c r="T64" s="7"/>
      <c r="U64" s="7"/>
      <c r="V64" s="7"/>
      <c r="W64" s="7"/>
      <c r="X64" s="7"/>
      <c r="Y64" s="7"/>
      <c r="Z64" s="7"/>
      <c r="AA64" s="7"/>
    </row>
    <row r="65">
      <c r="A65" s="54"/>
      <c r="B65" s="54"/>
      <c r="C65" s="7"/>
      <c r="D65" s="7"/>
      <c r="E65" s="7"/>
      <c r="F65" s="54"/>
      <c r="G65" s="54"/>
      <c r="H65" s="54"/>
      <c r="I65" s="54"/>
      <c r="J65" s="54"/>
      <c r="K65" s="54"/>
      <c r="L65" s="54"/>
      <c r="M65" s="54"/>
      <c r="N65" s="54"/>
      <c r="O65" s="54"/>
      <c r="P65" s="7"/>
      <c r="Q65" s="7"/>
      <c r="R65" s="7"/>
      <c r="S65" s="7"/>
      <c r="T65" s="7"/>
      <c r="U65" s="7"/>
      <c r="V65" s="7"/>
      <c r="W65" s="7"/>
      <c r="X65" s="7"/>
      <c r="Y65" s="7"/>
      <c r="Z65" s="7"/>
      <c r="AA65" s="7"/>
    </row>
    <row r="66">
      <c r="A66" s="54"/>
      <c r="B66" s="54"/>
      <c r="C66" s="7"/>
      <c r="D66" s="7"/>
      <c r="E66" s="7"/>
      <c r="F66" s="54"/>
      <c r="G66" s="54"/>
      <c r="H66" s="54"/>
      <c r="I66" s="54"/>
      <c r="J66" s="54"/>
      <c r="K66" s="54"/>
      <c r="L66" s="54"/>
      <c r="M66" s="54"/>
      <c r="N66" s="54"/>
      <c r="O66" s="54"/>
      <c r="P66" s="7"/>
      <c r="Q66" s="7"/>
      <c r="R66" s="7"/>
      <c r="S66" s="7"/>
      <c r="T66" s="7"/>
      <c r="U66" s="7"/>
      <c r="V66" s="7"/>
      <c r="W66" s="7"/>
      <c r="X66" s="7"/>
      <c r="Y66" s="7"/>
      <c r="Z66" s="7"/>
      <c r="AA66" s="7"/>
    </row>
    <row r="67">
      <c r="A67" s="54"/>
      <c r="B67" s="54"/>
      <c r="C67" s="7"/>
      <c r="D67" s="7"/>
      <c r="E67" s="7"/>
      <c r="F67" s="54"/>
      <c r="G67" s="54"/>
      <c r="H67" s="54"/>
      <c r="I67" s="54"/>
      <c r="J67" s="54"/>
      <c r="K67" s="54"/>
      <c r="L67" s="54"/>
      <c r="M67" s="54"/>
      <c r="N67" s="54"/>
      <c r="O67" s="54"/>
      <c r="P67" s="7"/>
      <c r="Q67" s="7"/>
      <c r="R67" s="7"/>
      <c r="S67" s="7"/>
      <c r="T67" s="7"/>
      <c r="U67" s="7"/>
      <c r="V67" s="7"/>
      <c r="W67" s="7"/>
      <c r="X67" s="7"/>
      <c r="Y67" s="7"/>
      <c r="Z67" s="7"/>
      <c r="AA67" s="7"/>
    </row>
    <row r="68">
      <c r="A68" s="54"/>
      <c r="B68" s="54"/>
      <c r="C68" s="7"/>
      <c r="D68" s="7"/>
      <c r="E68" s="7"/>
      <c r="F68" s="54"/>
      <c r="G68" s="54"/>
      <c r="H68" s="54"/>
      <c r="I68" s="54"/>
      <c r="J68" s="54"/>
      <c r="K68" s="54"/>
      <c r="L68" s="54"/>
      <c r="M68" s="54"/>
      <c r="N68" s="54"/>
      <c r="O68" s="54"/>
      <c r="P68" s="7"/>
      <c r="Q68" s="7"/>
      <c r="R68" s="7"/>
      <c r="S68" s="7"/>
      <c r="T68" s="7"/>
      <c r="U68" s="7"/>
      <c r="V68" s="7"/>
      <c r="W68" s="7"/>
      <c r="X68" s="7"/>
      <c r="Y68" s="7"/>
      <c r="Z68" s="7"/>
      <c r="AA68" s="7"/>
    </row>
    <row r="69">
      <c r="A69" s="54"/>
      <c r="B69" s="54"/>
      <c r="C69" s="7"/>
      <c r="D69" s="7"/>
      <c r="E69" s="7"/>
      <c r="F69" s="54"/>
      <c r="G69" s="54"/>
      <c r="H69" s="54"/>
      <c r="I69" s="54"/>
      <c r="J69" s="54"/>
      <c r="K69" s="54"/>
      <c r="L69" s="54"/>
      <c r="M69" s="54"/>
      <c r="N69" s="54"/>
      <c r="O69" s="54"/>
      <c r="P69" s="7"/>
      <c r="Q69" s="7"/>
      <c r="R69" s="7"/>
      <c r="S69" s="7"/>
      <c r="T69" s="7"/>
      <c r="U69" s="7"/>
      <c r="V69" s="7"/>
      <c r="W69" s="7"/>
      <c r="X69" s="7"/>
      <c r="Y69" s="7"/>
      <c r="Z69" s="7"/>
      <c r="AA69" s="7"/>
    </row>
    <row r="70">
      <c r="A70" s="54"/>
      <c r="B70" s="54"/>
      <c r="C70" s="7"/>
      <c r="D70" s="7"/>
      <c r="E70" s="7"/>
      <c r="F70" s="54"/>
      <c r="G70" s="54"/>
      <c r="H70" s="54"/>
      <c r="I70" s="54"/>
      <c r="J70" s="54"/>
      <c r="K70" s="54"/>
      <c r="L70" s="54"/>
      <c r="M70" s="54"/>
      <c r="N70" s="54"/>
      <c r="O70" s="54"/>
      <c r="P70" s="7"/>
      <c r="Q70" s="7"/>
      <c r="R70" s="7"/>
      <c r="S70" s="7"/>
      <c r="T70" s="7"/>
      <c r="U70" s="7"/>
      <c r="V70" s="7"/>
      <c r="W70" s="7"/>
      <c r="X70" s="7"/>
      <c r="Y70" s="7"/>
      <c r="Z70" s="7"/>
      <c r="AA70" s="7"/>
    </row>
    <row r="71">
      <c r="A71" s="54"/>
      <c r="B71" s="54"/>
      <c r="C71" s="7"/>
      <c r="D71" s="7"/>
      <c r="E71" s="7"/>
      <c r="F71" s="54"/>
      <c r="G71" s="54"/>
      <c r="H71" s="54"/>
      <c r="I71" s="54"/>
      <c r="J71" s="54"/>
      <c r="K71" s="54"/>
      <c r="L71" s="54"/>
      <c r="M71" s="54"/>
      <c r="N71" s="54"/>
      <c r="O71" s="54"/>
      <c r="P71" s="7"/>
      <c r="Q71" s="7"/>
      <c r="R71" s="7"/>
      <c r="S71" s="7"/>
      <c r="T71" s="7"/>
      <c r="U71" s="7"/>
      <c r="V71" s="7"/>
      <c r="W71" s="7"/>
      <c r="X71" s="7"/>
      <c r="Y71" s="7"/>
      <c r="Z71" s="7"/>
      <c r="AA71" s="7"/>
    </row>
    <row r="72">
      <c r="A72" s="54"/>
      <c r="B72" s="54"/>
      <c r="C72" s="7"/>
      <c r="D72" s="7"/>
      <c r="E72" s="7"/>
      <c r="F72" s="54"/>
      <c r="G72" s="54"/>
      <c r="H72" s="54"/>
      <c r="I72" s="54"/>
      <c r="J72" s="54"/>
      <c r="K72" s="54"/>
      <c r="L72" s="54"/>
      <c r="M72" s="54"/>
      <c r="N72" s="54"/>
      <c r="O72" s="54"/>
      <c r="P72" s="7"/>
      <c r="Q72" s="7"/>
      <c r="R72" s="7"/>
      <c r="S72" s="7"/>
      <c r="T72" s="7"/>
      <c r="U72" s="7"/>
      <c r="V72" s="7"/>
      <c r="W72" s="7"/>
      <c r="X72" s="7"/>
      <c r="Y72" s="7"/>
      <c r="Z72" s="7"/>
      <c r="AA72" s="7"/>
    </row>
    <row r="73">
      <c r="A73" s="54"/>
      <c r="B73" s="54"/>
      <c r="C73" s="7"/>
      <c r="D73" s="7"/>
      <c r="E73" s="7"/>
      <c r="F73" s="54"/>
      <c r="G73" s="54"/>
      <c r="H73" s="54"/>
      <c r="I73" s="54"/>
      <c r="J73" s="54"/>
      <c r="K73" s="54"/>
      <c r="L73" s="54"/>
      <c r="M73" s="54"/>
      <c r="N73" s="54"/>
      <c r="O73" s="54"/>
      <c r="P73" s="7"/>
      <c r="Q73" s="7"/>
      <c r="R73" s="7"/>
      <c r="S73" s="7"/>
      <c r="T73" s="7"/>
      <c r="U73" s="7"/>
      <c r="V73" s="7"/>
      <c r="W73" s="7"/>
      <c r="X73" s="7"/>
      <c r="Y73" s="7"/>
      <c r="Z73" s="7"/>
      <c r="AA73" s="7"/>
    </row>
    <row r="74">
      <c r="A74" s="54"/>
      <c r="B74" s="54"/>
      <c r="C74" s="7"/>
      <c r="D74" s="7"/>
      <c r="E74" s="7"/>
      <c r="F74" s="54"/>
      <c r="G74" s="54"/>
      <c r="H74" s="54"/>
      <c r="I74" s="54"/>
      <c r="J74" s="54"/>
      <c r="K74" s="54"/>
      <c r="L74" s="54"/>
      <c r="M74" s="54"/>
      <c r="N74" s="54"/>
      <c r="O74" s="54"/>
      <c r="P74" s="7"/>
      <c r="Q74" s="7"/>
      <c r="R74" s="7"/>
      <c r="S74" s="7"/>
      <c r="T74" s="7"/>
      <c r="U74" s="7"/>
      <c r="V74" s="7"/>
      <c r="W74" s="7"/>
      <c r="X74" s="7"/>
      <c r="Y74" s="7"/>
      <c r="Z74" s="7"/>
      <c r="AA74" s="7"/>
    </row>
    <row r="75">
      <c r="A75" s="54"/>
      <c r="B75" s="54"/>
      <c r="C75" s="7"/>
      <c r="D75" s="7"/>
      <c r="E75" s="7"/>
      <c r="F75" s="54"/>
      <c r="G75" s="54"/>
      <c r="H75" s="54"/>
      <c r="I75" s="54"/>
      <c r="J75" s="54"/>
      <c r="K75" s="54"/>
      <c r="L75" s="54"/>
      <c r="M75" s="54"/>
      <c r="N75" s="54"/>
      <c r="O75" s="54"/>
      <c r="P75" s="7"/>
      <c r="Q75" s="7"/>
      <c r="R75" s="7"/>
      <c r="S75" s="7"/>
      <c r="T75" s="7"/>
      <c r="U75" s="7"/>
      <c r="V75" s="7"/>
      <c r="W75" s="7"/>
      <c r="X75" s="7"/>
      <c r="Y75" s="7"/>
      <c r="Z75" s="7"/>
      <c r="AA75" s="7"/>
    </row>
    <row r="76">
      <c r="A76" s="54"/>
      <c r="B76" s="54"/>
      <c r="C76" s="7"/>
      <c r="D76" s="7"/>
      <c r="E76" s="7"/>
      <c r="F76" s="54"/>
      <c r="G76" s="54"/>
      <c r="H76" s="54"/>
      <c r="I76" s="54"/>
      <c r="J76" s="54"/>
      <c r="K76" s="54"/>
      <c r="L76" s="54"/>
      <c r="M76" s="54"/>
      <c r="N76" s="54"/>
      <c r="O76" s="54"/>
      <c r="P76" s="7"/>
      <c r="Q76" s="7"/>
      <c r="R76" s="7"/>
      <c r="S76" s="7"/>
      <c r="T76" s="7"/>
      <c r="U76" s="7"/>
      <c r="V76" s="7"/>
      <c r="W76" s="7"/>
      <c r="X76" s="7"/>
      <c r="Y76" s="7"/>
      <c r="Z76" s="7"/>
      <c r="AA76" s="7"/>
    </row>
    <row r="77">
      <c r="A77" s="54"/>
      <c r="B77" s="54"/>
      <c r="C77" s="7"/>
      <c r="D77" s="7"/>
      <c r="E77" s="7"/>
      <c r="F77" s="54"/>
      <c r="G77" s="54"/>
      <c r="H77" s="54"/>
      <c r="I77" s="54"/>
      <c r="J77" s="54"/>
      <c r="K77" s="54"/>
      <c r="L77" s="54"/>
      <c r="M77" s="54"/>
      <c r="N77" s="54"/>
      <c r="O77" s="54"/>
      <c r="P77" s="7"/>
      <c r="Q77" s="7"/>
      <c r="R77" s="7"/>
      <c r="S77" s="7"/>
      <c r="T77" s="7"/>
      <c r="U77" s="7"/>
      <c r="V77" s="7"/>
      <c r="W77" s="7"/>
      <c r="X77" s="7"/>
      <c r="Y77" s="7"/>
      <c r="Z77" s="7"/>
      <c r="AA77" s="7"/>
    </row>
    <row r="78">
      <c r="A78" s="54"/>
      <c r="B78" s="54"/>
      <c r="C78" s="7"/>
      <c r="D78" s="7"/>
      <c r="E78" s="7"/>
      <c r="F78" s="54"/>
      <c r="G78" s="54"/>
      <c r="H78" s="54"/>
      <c r="I78" s="54"/>
      <c r="J78" s="54"/>
      <c r="K78" s="54"/>
      <c r="L78" s="54"/>
      <c r="M78" s="54"/>
      <c r="N78" s="54"/>
      <c r="O78" s="54"/>
      <c r="P78" s="7"/>
      <c r="Q78" s="7"/>
      <c r="R78" s="7"/>
      <c r="S78" s="7"/>
      <c r="T78" s="7"/>
      <c r="U78" s="7"/>
      <c r="V78" s="7"/>
      <c r="W78" s="7"/>
      <c r="X78" s="7"/>
      <c r="Y78" s="7"/>
      <c r="Z78" s="7"/>
      <c r="AA78" s="7"/>
    </row>
    <row r="79">
      <c r="A79" s="54"/>
      <c r="B79" s="54"/>
      <c r="C79" s="7"/>
      <c r="D79" s="7"/>
      <c r="E79" s="7"/>
      <c r="F79" s="54"/>
      <c r="G79" s="54"/>
      <c r="H79" s="54"/>
      <c r="I79" s="54"/>
      <c r="J79" s="54"/>
      <c r="K79" s="54"/>
      <c r="L79" s="54"/>
      <c r="M79" s="54"/>
      <c r="N79" s="54"/>
      <c r="O79" s="54"/>
      <c r="P79" s="7"/>
      <c r="Q79" s="7"/>
      <c r="R79" s="7"/>
      <c r="S79" s="7"/>
      <c r="T79" s="7"/>
      <c r="U79" s="7"/>
      <c r="V79" s="7"/>
      <c r="W79" s="7"/>
      <c r="X79" s="7"/>
      <c r="Y79" s="7"/>
      <c r="Z79" s="7"/>
      <c r="AA79" s="7"/>
    </row>
    <row r="80">
      <c r="A80" s="54"/>
      <c r="B80" s="54"/>
      <c r="C80" s="7"/>
      <c r="D80" s="7"/>
      <c r="E80" s="7"/>
      <c r="F80" s="54"/>
      <c r="G80" s="54"/>
      <c r="H80" s="54"/>
      <c r="I80" s="54"/>
      <c r="J80" s="54"/>
      <c r="K80" s="54"/>
      <c r="L80" s="54"/>
      <c r="M80" s="54"/>
      <c r="N80" s="54"/>
      <c r="O80" s="54"/>
      <c r="P80" s="7"/>
      <c r="Q80" s="7"/>
      <c r="R80" s="7"/>
      <c r="S80" s="7"/>
      <c r="T80" s="7"/>
      <c r="U80" s="7"/>
      <c r="V80" s="7"/>
      <c r="W80" s="7"/>
      <c r="X80" s="7"/>
      <c r="Y80" s="7"/>
      <c r="Z80" s="7"/>
      <c r="AA80" s="7"/>
    </row>
    <row r="81">
      <c r="A81" s="54"/>
      <c r="B81" s="54"/>
      <c r="C81" s="7"/>
      <c r="D81" s="7"/>
      <c r="E81" s="7"/>
      <c r="F81" s="54"/>
      <c r="G81" s="54"/>
      <c r="H81" s="54"/>
      <c r="I81" s="54"/>
      <c r="J81" s="54"/>
      <c r="K81" s="54"/>
      <c r="L81" s="54"/>
      <c r="M81" s="54"/>
      <c r="N81" s="54"/>
      <c r="O81" s="54"/>
      <c r="P81" s="7"/>
      <c r="Q81" s="7"/>
      <c r="R81" s="7"/>
      <c r="S81" s="7"/>
      <c r="T81" s="7"/>
      <c r="U81" s="7"/>
      <c r="V81" s="7"/>
      <c r="W81" s="7"/>
      <c r="X81" s="7"/>
      <c r="Y81" s="7"/>
      <c r="Z81" s="7"/>
      <c r="AA81" s="7"/>
    </row>
    <row r="82">
      <c r="A82" s="54"/>
      <c r="B82" s="54"/>
      <c r="C82" s="7"/>
      <c r="D82" s="7"/>
      <c r="E82" s="7"/>
      <c r="F82" s="54"/>
      <c r="G82" s="54"/>
      <c r="H82" s="54"/>
      <c r="I82" s="54"/>
      <c r="J82" s="54"/>
      <c r="K82" s="54"/>
      <c r="L82" s="54"/>
      <c r="M82" s="54"/>
      <c r="N82" s="54"/>
      <c r="O82" s="54"/>
      <c r="P82" s="7"/>
      <c r="Q82" s="7"/>
      <c r="R82" s="7"/>
      <c r="S82" s="7"/>
      <c r="T82" s="7"/>
      <c r="U82" s="7"/>
      <c r="V82" s="7"/>
      <c r="W82" s="7"/>
      <c r="X82" s="7"/>
      <c r="Y82" s="7"/>
      <c r="Z82" s="7"/>
      <c r="AA82" s="7"/>
    </row>
    <row r="83">
      <c r="A83" s="54"/>
      <c r="B83" s="54"/>
      <c r="C83" s="7"/>
      <c r="D83" s="7"/>
      <c r="E83" s="7"/>
      <c r="F83" s="54"/>
      <c r="G83" s="54"/>
      <c r="H83" s="54"/>
      <c r="I83" s="54"/>
      <c r="J83" s="54"/>
      <c r="K83" s="54"/>
      <c r="L83" s="54"/>
      <c r="M83" s="54"/>
      <c r="N83" s="54"/>
      <c r="O83" s="54"/>
      <c r="P83" s="7"/>
      <c r="Q83" s="7"/>
      <c r="R83" s="7"/>
      <c r="S83" s="7"/>
      <c r="T83" s="7"/>
      <c r="U83" s="7"/>
      <c r="V83" s="7"/>
      <c r="W83" s="7"/>
      <c r="X83" s="7"/>
      <c r="Y83" s="7"/>
      <c r="Z83" s="7"/>
      <c r="AA83" s="7"/>
    </row>
    <row r="84">
      <c r="A84" s="54"/>
      <c r="B84" s="54"/>
      <c r="C84" s="7"/>
      <c r="D84" s="7"/>
      <c r="E84" s="7"/>
      <c r="F84" s="54"/>
      <c r="G84" s="54"/>
      <c r="H84" s="54"/>
      <c r="I84" s="54"/>
      <c r="J84" s="54"/>
      <c r="K84" s="54"/>
      <c r="L84" s="54"/>
      <c r="M84" s="54"/>
      <c r="N84" s="54"/>
      <c r="O84" s="54"/>
      <c r="P84" s="7"/>
      <c r="Q84" s="7"/>
      <c r="R84" s="7"/>
      <c r="S84" s="7"/>
      <c r="T84" s="7"/>
      <c r="U84" s="7"/>
      <c r="V84" s="7"/>
      <c r="W84" s="7"/>
      <c r="X84" s="7"/>
      <c r="Y84" s="7"/>
      <c r="Z84" s="7"/>
      <c r="AA84" s="7"/>
    </row>
    <row r="85">
      <c r="A85" s="54"/>
      <c r="B85" s="54"/>
      <c r="C85" s="7"/>
      <c r="D85" s="7"/>
      <c r="E85" s="7"/>
      <c r="F85" s="54"/>
      <c r="G85" s="54"/>
      <c r="H85" s="54"/>
      <c r="I85" s="54"/>
      <c r="J85" s="54"/>
      <c r="K85" s="54"/>
      <c r="L85" s="54"/>
      <c r="M85" s="54"/>
      <c r="N85" s="54"/>
      <c r="O85" s="54"/>
      <c r="P85" s="7"/>
      <c r="Q85" s="7"/>
      <c r="R85" s="7"/>
      <c r="S85" s="7"/>
      <c r="T85" s="7"/>
      <c r="U85" s="7"/>
      <c r="V85" s="7"/>
      <c r="W85" s="7"/>
      <c r="X85" s="7"/>
      <c r="Y85" s="7"/>
      <c r="Z85" s="7"/>
      <c r="AA85" s="7"/>
    </row>
    <row r="86">
      <c r="A86" s="54"/>
      <c r="B86" s="54"/>
      <c r="C86" s="7"/>
      <c r="D86" s="7"/>
      <c r="E86" s="7"/>
      <c r="F86" s="54"/>
      <c r="G86" s="54"/>
      <c r="H86" s="54"/>
      <c r="I86" s="54"/>
      <c r="J86" s="54"/>
      <c r="K86" s="54"/>
      <c r="L86" s="54"/>
      <c r="M86" s="54"/>
      <c r="N86" s="54"/>
      <c r="O86" s="54"/>
      <c r="P86" s="7"/>
      <c r="Q86" s="7"/>
      <c r="R86" s="7"/>
      <c r="S86" s="7"/>
      <c r="T86" s="7"/>
      <c r="U86" s="7"/>
      <c r="V86" s="7"/>
      <c r="W86" s="7"/>
      <c r="X86" s="7"/>
      <c r="Y86" s="7"/>
      <c r="Z86" s="7"/>
      <c r="AA86" s="7"/>
    </row>
    <row r="87">
      <c r="A87" s="54"/>
      <c r="B87" s="54"/>
      <c r="C87" s="7"/>
      <c r="D87" s="7"/>
      <c r="E87" s="7"/>
      <c r="F87" s="54"/>
      <c r="G87" s="54"/>
      <c r="H87" s="54"/>
      <c r="I87" s="54"/>
      <c r="J87" s="54"/>
      <c r="K87" s="54"/>
      <c r="L87" s="54"/>
      <c r="M87" s="54"/>
      <c r="N87" s="54"/>
      <c r="O87" s="54"/>
      <c r="P87" s="7"/>
      <c r="Q87" s="7"/>
      <c r="R87" s="7"/>
      <c r="S87" s="7"/>
      <c r="T87" s="7"/>
      <c r="U87" s="7"/>
      <c r="V87" s="7"/>
      <c r="W87" s="7"/>
      <c r="X87" s="7"/>
      <c r="Y87" s="7"/>
      <c r="Z87" s="7"/>
      <c r="AA87" s="7"/>
    </row>
    <row r="88">
      <c r="A88" s="54"/>
      <c r="B88" s="54"/>
      <c r="C88" s="7"/>
      <c r="D88" s="7"/>
      <c r="E88" s="7"/>
      <c r="F88" s="54"/>
      <c r="G88" s="54"/>
      <c r="H88" s="54"/>
      <c r="I88" s="54"/>
      <c r="J88" s="54"/>
      <c r="K88" s="54"/>
      <c r="L88" s="54"/>
      <c r="M88" s="54"/>
      <c r="N88" s="54"/>
      <c r="O88" s="54"/>
      <c r="P88" s="7"/>
      <c r="Q88" s="7"/>
      <c r="R88" s="7"/>
      <c r="S88" s="7"/>
      <c r="T88" s="7"/>
      <c r="U88" s="7"/>
      <c r="V88" s="7"/>
      <c r="W88" s="7"/>
      <c r="X88" s="7"/>
      <c r="Y88" s="7"/>
      <c r="Z88" s="7"/>
      <c r="AA88" s="7"/>
    </row>
    <row r="89">
      <c r="A89" s="54"/>
      <c r="B89" s="54"/>
      <c r="C89" s="7"/>
      <c r="D89" s="7"/>
      <c r="E89" s="7"/>
      <c r="F89" s="54"/>
      <c r="G89" s="54"/>
      <c r="H89" s="54"/>
      <c r="I89" s="54"/>
      <c r="J89" s="54"/>
      <c r="K89" s="54"/>
      <c r="L89" s="54"/>
      <c r="M89" s="54"/>
      <c r="N89" s="54"/>
      <c r="O89" s="54"/>
      <c r="P89" s="7"/>
      <c r="Q89" s="7"/>
      <c r="R89" s="7"/>
      <c r="S89" s="7"/>
      <c r="T89" s="7"/>
      <c r="U89" s="7"/>
      <c r="V89" s="7"/>
      <c r="W89" s="7"/>
      <c r="X89" s="7"/>
      <c r="Y89" s="7"/>
      <c r="Z89" s="7"/>
      <c r="AA89" s="7"/>
    </row>
    <row r="90">
      <c r="A90" s="54"/>
      <c r="B90" s="54"/>
      <c r="C90" s="7"/>
      <c r="D90" s="7"/>
      <c r="E90" s="7"/>
      <c r="F90" s="54"/>
      <c r="G90" s="54"/>
      <c r="H90" s="54"/>
      <c r="I90" s="54"/>
      <c r="J90" s="54"/>
      <c r="K90" s="54"/>
      <c r="L90" s="54"/>
      <c r="M90" s="54"/>
      <c r="N90" s="54"/>
      <c r="O90" s="54"/>
      <c r="P90" s="7"/>
      <c r="Q90" s="7"/>
      <c r="R90" s="7"/>
      <c r="S90" s="7"/>
      <c r="T90" s="7"/>
      <c r="U90" s="7"/>
      <c r="V90" s="7"/>
      <c r="W90" s="7"/>
      <c r="X90" s="7"/>
      <c r="Y90" s="7"/>
      <c r="Z90" s="7"/>
      <c r="AA90" s="7"/>
    </row>
    <row r="91">
      <c r="A91" s="54"/>
      <c r="B91" s="54"/>
      <c r="C91" s="7"/>
      <c r="D91" s="7"/>
      <c r="E91" s="7"/>
      <c r="F91" s="54"/>
      <c r="G91" s="54"/>
      <c r="H91" s="54"/>
      <c r="I91" s="54"/>
      <c r="J91" s="54"/>
      <c r="K91" s="54"/>
      <c r="L91" s="54"/>
      <c r="M91" s="54"/>
      <c r="N91" s="54"/>
      <c r="O91" s="54"/>
      <c r="P91" s="7"/>
      <c r="Q91" s="7"/>
      <c r="R91" s="7"/>
      <c r="S91" s="7"/>
      <c r="T91" s="7"/>
      <c r="U91" s="7"/>
      <c r="V91" s="7"/>
      <c r="W91" s="7"/>
      <c r="X91" s="7"/>
      <c r="Y91" s="7"/>
      <c r="Z91" s="7"/>
      <c r="AA91" s="7"/>
    </row>
    <row r="92">
      <c r="A92" s="54"/>
      <c r="B92" s="54"/>
      <c r="C92" s="7"/>
      <c r="D92" s="7"/>
      <c r="E92" s="7"/>
      <c r="F92" s="54"/>
      <c r="G92" s="54"/>
      <c r="H92" s="54"/>
      <c r="I92" s="54"/>
      <c r="J92" s="54"/>
      <c r="K92" s="54"/>
      <c r="L92" s="54"/>
      <c r="M92" s="54"/>
      <c r="N92" s="54"/>
      <c r="O92" s="54"/>
      <c r="P92" s="7"/>
      <c r="Q92" s="7"/>
      <c r="R92" s="7"/>
      <c r="S92" s="7"/>
      <c r="T92" s="7"/>
      <c r="U92" s="7"/>
      <c r="V92" s="7"/>
      <c r="W92" s="7"/>
      <c r="X92" s="7"/>
      <c r="Y92" s="7"/>
      <c r="Z92" s="7"/>
      <c r="AA92" s="7"/>
    </row>
    <row r="93">
      <c r="A93" s="54"/>
      <c r="B93" s="54"/>
      <c r="C93" s="7"/>
      <c r="D93" s="7"/>
      <c r="E93" s="7"/>
      <c r="F93" s="54"/>
      <c r="G93" s="54"/>
      <c r="H93" s="54"/>
      <c r="I93" s="54"/>
      <c r="J93" s="54"/>
      <c r="K93" s="54"/>
      <c r="L93" s="54"/>
      <c r="M93" s="54"/>
      <c r="N93" s="54"/>
      <c r="O93" s="54"/>
      <c r="P93" s="7"/>
      <c r="Q93" s="7"/>
      <c r="R93" s="7"/>
      <c r="S93" s="7"/>
      <c r="T93" s="7"/>
      <c r="U93" s="7"/>
      <c r="V93" s="7"/>
      <c r="W93" s="7"/>
      <c r="X93" s="7"/>
      <c r="Y93" s="7"/>
      <c r="Z93" s="7"/>
      <c r="AA93" s="7"/>
    </row>
    <row r="94">
      <c r="A94" s="54"/>
      <c r="B94" s="54"/>
      <c r="C94" s="7"/>
      <c r="D94" s="7"/>
      <c r="E94" s="7"/>
      <c r="F94" s="54"/>
      <c r="G94" s="54"/>
      <c r="H94" s="54"/>
      <c r="I94" s="54"/>
      <c r="J94" s="54"/>
      <c r="K94" s="54"/>
      <c r="L94" s="54"/>
      <c r="M94" s="54"/>
      <c r="N94" s="54"/>
      <c r="O94" s="54"/>
      <c r="P94" s="7"/>
      <c r="Q94" s="7"/>
      <c r="R94" s="7"/>
      <c r="S94" s="7"/>
      <c r="T94" s="7"/>
      <c r="U94" s="7"/>
      <c r="V94" s="7"/>
      <c r="W94" s="7"/>
      <c r="X94" s="7"/>
      <c r="Y94" s="7"/>
      <c r="Z94" s="7"/>
      <c r="AA94" s="7"/>
    </row>
    <row r="95">
      <c r="A95" s="54"/>
      <c r="B95" s="54"/>
      <c r="C95" s="7"/>
      <c r="D95" s="7"/>
      <c r="E95" s="7"/>
      <c r="F95" s="54"/>
      <c r="G95" s="54"/>
      <c r="H95" s="54"/>
      <c r="I95" s="54"/>
      <c r="J95" s="54"/>
      <c r="K95" s="54"/>
      <c r="L95" s="54"/>
      <c r="M95" s="54"/>
      <c r="N95" s="54"/>
      <c r="O95" s="54"/>
      <c r="P95" s="7"/>
      <c r="Q95" s="7"/>
      <c r="R95" s="7"/>
      <c r="S95" s="7"/>
      <c r="T95" s="7"/>
      <c r="U95" s="7"/>
      <c r="V95" s="7"/>
      <c r="W95" s="7"/>
      <c r="X95" s="7"/>
      <c r="Y95" s="7"/>
      <c r="Z95" s="7"/>
      <c r="AA95" s="7"/>
    </row>
    <row r="96">
      <c r="A96" s="54"/>
      <c r="B96" s="54"/>
      <c r="C96" s="7"/>
      <c r="D96" s="7"/>
      <c r="E96" s="7"/>
      <c r="F96" s="54"/>
      <c r="G96" s="54"/>
      <c r="H96" s="54"/>
      <c r="I96" s="54"/>
      <c r="J96" s="54"/>
      <c r="K96" s="54"/>
      <c r="L96" s="54"/>
      <c r="M96" s="54"/>
      <c r="N96" s="54"/>
      <c r="O96" s="54"/>
      <c r="P96" s="7"/>
      <c r="Q96" s="7"/>
      <c r="R96" s="7"/>
      <c r="S96" s="7"/>
      <c r="T96" s="7"/>
      <c r="U96" s="7"/>
      <c r="V96" s="7"/>
      <c r="W96" s="7"/>
      <c r="X96" s="7"/>
      <c r="Y96" s="7"/>
      <c r="Z96" s="7"/>
      <c r="AA96" s="7"/>
    </row>
    <row r="97">
      <c r="A97" s="54"/>
      <c r="B97" s="54"/>
      <c r="C97" s="7"/>
      <c r="D97" s="7"/>
      <c r="E97" s="7"/>
      <c r="F97" s="54"/>
      <c r="G97" s="54"/>
      <c r="H97" s="54"/>
      <c r="I97" s="54"/>
      <c r="J97" s="54"/>
      <c r="K97" s="54"/>
      <c r="L97" s="54"/>
      <c r="M97" s="54"/>
      <c r="N97" s="54"/>
      <c r="O97" s="54"/>
      <c r="P97" s="7"/>
      <c r="Q97" s="7"/>
      <c r="R97" s="7"/>
      <c r="S97" s="7"/>
      <c r="T97" s="7"/>
      <c r="U97" s="7"/>
      <c r="V97" s="7"/>
      <c r="W97" s="7"/>
      <c r="X97" s="7"/>
      <c r="Y97" s="7"/>
      <c r="Z97" s="7"/>
      <c r="AA97" s="7"/>
    </row>
    <row r="98">
      <c r="A98" s="54"/>
      <c r="B98" s="54"/>
      <c r="C98" s="7"/>
      <c r="D98" s="7"/>
      <c r="E98" s="7"/>
      <c r="F98" s="54"/>
      <c r="G98" s="54"/>
      <c r="H98" s="54"/>
      <c r="I98" s="54"/>
      <c r="J98" s="54"/>
      <c r="K98" s="54"/>
      <c r="L98" s="54"/>
      <c r="M98" s="54"/>
      <c r="N98" s="54"/>
      <c r="O98" s="54"/>
      <c r="P98" s="7"/>
      <c r="Q98" s="7"/>
      <c r="R98" s="7"/>
      <c r="S98" s="7"/>
      <c r="T98" s="7"/>
      <c r="U98" s="7"/>
      <c r="V98" s="7"/>
      <c r="W98" s="7"/>
      <c r="X98" s="7"/>
      <c r="Y98" s="7"/>
      <c r="Z98" s="7"/>
      <c r="AA98" s="7"/>
    </row>
    <row r="99">
      <c r="A99" s="54"/>
      <c r="B99" s="54"/>
      <c r="C99" s="7"/>
      <c r="D99" s="7"/>
      <c r="E99" s="7"/>
      <c r="F99" s="54"/>
      <c r="G99" s="54"/>
      <c r="H99" s="54"/>
      <c r="I99" s="54"/>
      <c r="J99" s="54"/>
      <c r="K99" s="54"/>
      <c r="L99" s="54"/>
      <c r="M99" s="54"/>
      <c r="N99" s="54"/>
      <c r="O99" s="54"/>
      <c r="P99" s="7"/>
      <c r="Q99" s="7"/>
      <c r="R99" s="7"/>
      <c r="S99" s="7"/>
      <c r="T99" s="7"/>
      <c r="U99" s="7"/>
      <c r="V99" s="7"/>
      <c r="W99" s="7"/>
      <c r="X99" s="7"/>
      <c r="Y99" s="7"/>
      <c r="Z99" s="7"/>
      <c r="AA99" s="7"/>
    </row>
    <row r="100">
      <c r="A100" s="54"/>
      <c r="B100" s="54"/>
      <c r="C100" s="7"/>
      <c r="D100" s="7"/>
      <c r="E100" s="7"/>
      <c r="F100" s="54"/>
      <c r="G100" s="54"/>
      <c r="H100" s="54"/>
      <c r="I100" s="54"/>
      <c r="J100" s="54"/>
      <c r="K100" s="54"/>
      <c r="L100" s="54"/>
      <c r="M100" s="54"/>
      <c r="N100" s="54"/>
      <c r="O100" s="54"/>
      <c r="P100" s="7"/>
      <c r="Q100" s="7"/>
      <c r="R100" s="7"/>
      <c r="S100" s="7"/>
      <c r="T100" s="7"/>
      <c r="U100" s="7"/>
      <c r="V100" s="7"/>
      <c r="W100" s="7"/>
      <c r="X100" s="7"/>
      <c r="Y100" s="7"/>
      <c r="Z100" s="7"/>
      <c r="AA100" s="7"/>
    </row>
    <row r="101">
      <c r="A101" s="54"/>
      <c r="B101" s="54"/>
      <c r="C101" s="7"/>
      <c r="D101" s="7"/>
      <c r="E101" s="7"/>
      <c r="F101" s="54"/>
      <c r="G101" s="54"/>
      <c r="H101" s="54"/>
      <c r="I101" s="54"/>
      <c r="J101" s="54"/>
      <c r="K101" s="54"/>
      <c r="L101" s="54"/>
      <c r="M101" s="54"/>
      <c r="N101" s="54"/>
      <c r="O101" s="54"/>
      <c r="P101" s="7"/>
      <c r="Q101" s="7"/>
      <c r="R101" s="7"/>
      <c r="S101" s="7"/>
      <c r="T101" s="7"/>
      <c r="U101" s="7"/>
      <c r="V101" s="7"/>
      <c r="W101" s="7"/>
      <c r="X101" s="7"/>
      <c r="Y101" s="7"/>
      <c r="Z101" s="7"/>
      <c r="AA101" s="7"/>
    </row>
    <row r="102">
      <c r="A102" s="54"/>
      <c r="B102" s="54"/>
      <c r="C102" s="7"/>
      <c r="D102" s="7"/>
      <c r="E102" s="7"/>
      <c r="F102" s="54"/>
      <c r="G102" s="54"/>
      <c r="H102" s="54"/>
      <c r="I102" s="54"/>
      <c r="J102" s="54"/>
      <c r="K102" s="54"/>
      <c r="L102" s="54"/>
      <c r="M102" s="54"/>
      <c r="N102" s="54"/>
      <c r="O102" s="54"/>
      <c r="P102" s="7"/>
      <c r="Q102" s="7"/>
      <c r="R102" s="7"/>
      <c r="S102" s="7"/>
      <c r="T102" s="7"/>
      <c r="U102" s="7"/>
      <c r="V102" s="7"/>
      <c r="W102" s="7"/>
      <c r="X102" s="7"/>
      <c r="Y102" s="7"/>
      <c r="Z102" s="7"/>
      <c r="AA102" s="7"/>
    </row>
    <row r="103">
      <c r="A103" s="54"/>
      <c r="B103" s="54"/>
      <c r="C103" s="7"/>
      <c r="D103" s="7"/>
      <c r="E103" s="7"/>
      <c r="F103" s="54"/>
      <c r="G103" s="54"/>
      <c r="H103" s="54"/>
      <c r="I103" s="54"/>
      <c r="J103" s="54"/>
      <c r="K103" s="54"/>
      <c r="L103" s="54"/>
      <c r="M103" s="54"/>
      <c r="N103" s="54"/>
      <c r="O103" s="54"/>
      <c r="P103" s="7"/>
      <c r="Q103" s="7"/>
      <c r="R103" s="7"/>
      <c r="S103" s="7"/>
      <c r="T103" s="7"/>
      <c r="U103" s="7"/>
      <c r="V103" s="7"/>
      <c r="W103" s="7"/>
      <c r="X103" s="7"/>
      <c r="Y103" s="7"/>
      <c r="Z103" s="7"/>
      <c r="AA103" s="7"/>
    </row>
    <row r="104">
      <c r="A104" s="54"/>
      <c r="B104" s="54"/>
      <c r="C104" s="7"/>
      <c r="D104" s="7"/>
      <c r="E104" s="7"/>
      <c r="F104" s="54"/>
      <c r="G104" s="54"/>
      <c r="H104" s="54"/>
      <c r="I104" s="54"/>
      <c r="J104" s="54"/>
      <c r="K104" s="54"/>
      <c r="L104" s="54"/>
      <c r="M104" s="54"/>
      <c r="N104" s="54"/>
      <c r="O104" s="54"/>
      <c r="P104" s="7"/>
      <c r="Q104" s="7"/>
      <c r="R104" s="7"/>
      <c r="S104" s="7"/>
      <c r="T104" s="7"/>
      <c r="U104" s="7"/>
      <c r="V104" s="7"/>
      <c r="W104" s="7"/>
      <c r="X104" s="7"/>
      <c r="Y104" s="7"/>
      <c r="Z104" s="7"/>
      <c r="AA104" s="7"/>
    </row>
    <row r="105">
      <c r="A105" s="54"/>
      <c r="B105" s="54"/>
      <c r="C105" s="7"/>
      <c r="D105" s="7"/>
      <c r="E105" s="7"/>
      <c r="F105" s="54"/>
      <c r="G105" s="54"/>
      <c r="H105" s="54"/>
      <c r="I105" s="54"/>
      <c r="J105" s="54"/>
      <c r="K105" s="54"/>
      <c r="L105" s="54"/>
      <c r="M105" s="54"/>
      <c r="N105" s="54"/>
      <c r="O105" s="54"/>
      <c r="P105" s="7"/>
      <c r="Q105" s="7"/>
      <c r="R105" s="7"/>
      <c r="S105" s="7"/>
      <c r="T105" s="7"/>
      <c r="U105" s="7"/>
      <c r="V105" s="7"/>
      <c r="W105" s="7"/>
      <c r="X105" s="7"/>
      <c r="Y105" s="7"/>
      <c r="Z105" s="7"/>
      <c r="AA105" s="7"/>
    </row>
    <row r="106">
      <c r="A106" s="54"/>
      <c r="B106" s="54"/>
      <c r="C106" s="7"/>
      <c r="D106" s="7"/>
      <c r="E106" s="7"/>
      <c r="F106" s="54"/>
      <c r="G106" s="54"/>
      <c r="H106" s="54"/>
      <c r="I106" s="54"/>
      <c r="J106" s="54"/>
      <c r="K106" s="54"/>
      <c r="L106" s="54"/>
      <c r="M106" s="54"/>
      <c r="N106" s="54"/>
      <c r="O106" s="54"/>
      <c r="P106" s="7"/>
      <c r="Q106" s="7"/>
      <c r="R106" s="7"/>
      <c r="S106" s="7"/>
      <c r="T106" s="7"/>
      <c r="U106" s="7"/>
      <c r="V106" s="7"/>
      <c r="W106" s="7"/>
      <c r="X106" s="7"/>
      <c r="Y106" s="7"/>
      <c r="Z106" s="7"/>
      <c r="AA106" s="7"/>
    </row>
    <row r="107">
      <c r="A107" s="54"/>
      <c r="B107" s="54"/>
      <c r="C107" s="7"/>
      <c r="D107" s="7"/>
      <c r="E107" s="7"/>
      <c r="F107" s="54"/>
      <c r="G107" s="54"/>
      <c r="H107" s="54"/>
      <c r="I107" s="54"/>
      <c r="J107" s="54"/>
      <c r="K107" s="54"/>
      <c r="L107" s="54"/>
      <c r="M107" s="54"/>
      <c r="N107" s="54"/>
      <c r="O107" s="54"/>
      <c r="P107" s="7"/>
      <c r="Q107" s="7"/>
      <c r="R107" s="7"/>
      <c r="S107" s="7"/>
      <c r="T107" s="7"/>
      <c r="U107" s="7"/>
      <c r="V107" s="7"/>
      <c r="W107" s="7"/>
      <c r="X107" s="7"/>
      <c r="Y107" s="7"/>
      <c r="Z107" s="7"/>
      <c r="AA107" s="7"/>
    </row>
    <row r="108">
      <c r="A108" s="54"/>
      <c r="B108" s="54"/>
      <c r="C108" s="7"/>
      <c r="D108" s="7"/>
      <c r="E108" s="7"/>
      <c r="F108" s="54"/>
      <c r="G108" s="54"/>
      <c r="H108" s="54"/>
      <c r="I108" s="54"/>
      <c r="J108" s="54"/>
      <c r="K108" s="54"/>
      <c r="L108" s="54"/>
      <c r="M108" s="54"/>
      <c r="N108" s="54"/>
      <c r="O108" s="54"/>
      <c r="P108" s="7"/>
      <c r="Q108" s="7"/>
      <c r="R108" s="7"/>
      <c r="S108" s="7"/>
      <c r="T108" s="7"/>
      <c r="U108" s="7"/>
      <c r="V108" s="7"/>
      <c r="W108" s="7"/>
      <c r="X108" s="7"/>
      <c r="Y108" s="7"/>
      <c r="Z108" s="7"/>
      <c r="AA108" s="7"/>
    </row>
    <row r="109">
      <c r="A109" s="54"/>
      <c r="B109" s="54"/>
      <c r="C109" s="7"/>
      <c r="D109" s="7"/>
      <c r="E109" s="7"/>
      <c r="F109" s="54"/>
      <c r="G109" s="54"/>
      <c r="H109" s="54"/>
      <c r="I109" s="54"/>
      <c r="J109" s="54"/>
      <c r="K109" s="54"/>
      <c r="L109" s="54"/>
      <c r="M109" s="54"/>
      <c r="N109" s="54"/>
      <c r="O109" s="54"/>
      <c r="P109" s="7"/>
      <c r="Q109" s="7"/>
      <c r="R109" s="7"/>
      <c r="S109" s="7"/>
      <c r="T109" s="7"/>
      <c r="U109" s="7"/>
      <c r="V109" s="7"/>
      <c r="W109" s="7"/>
      <c r="X109" s="7"/>
      <c r="Y109" s="7"/>
      <c r="Z109" s="7"/>
      <c r="AA109" s="7"/>
    </row>
    <row r="110">
      <c r="A110" s="54"/>
      <c r="B110" s="54"/>
      <c r="C110" s="7"/>
      <c r="D110" s="7"/>
      <c r="E110" s="7"/>
      <c r="F110" s="54"/>
      <c r="G110" s="54"/>
      <c r="H110" s="54"/>
      <c r="I110" s="54"/>
      <c r="J110" s="54"/>
      <c r="K110" s="54"/>
      <c r="L110" s="54"/>
      <c r="M110" s="54"/>
      <c r="N110" s="54"/>
      <c r="O110" s="54"/>
      <c r="P110" s="7"/>
      <c r="Q110" s="7"/>
      <c r="R110" s="7"/>
      <c r="S110" s="7"/>
      <c r="T110" s="7"/>
      <c r="U110" s="7"/>
      <c r="V110" s="7"/>
      <c r="W110" s="7"/>
      <c r="X110" s="7"/>
      <c r="Y110" s="7"/>
      <c r="Z110" s="7"/>
      <c r="AA110" s="7"/>
    </row>
    <row r="111">
      <c r="A111" s="54"/>
      <c r="B111" s="54"/>
      <c r="C111" s="7"/>
      <c r="D111" s="7"/>
      <c r="E111" s="7"/>
      <c r="F111" s="54"/>
      <c r="G111" s="54"/>
      <c r="H111" s="54"/>
      <c r="I111" s="54"/>
      <c r="J111" s="54"/>
      <c r="K111" s="54"/>
      <c r="L111" s="54"/>
      <c r="M111" s="54"/>
      <c r="N111" s="54"/>
      <c r="O111" s="54"/>
      <c r="P111" s="7"/>
      <c r="Q111" s="7"/>
      <c r="R111" s="7"/>
      <c r="S111" s="7"/>
      <c r="T111" s="7"/>
      <c r="U111" s="7"/>
      <c r="V111" s="7"/>
      <c r="W111" s="7"/>
      <c r="X111" s="7"/>
      <c r="Y111" s="7"/>
      <c r="Z111" s="7"/>
      <c r="AA111" s="7"/>
    </row>
    <row r="112">
      <c r="A112" s="54"/>
      <c r="B112" s="54"/>
      <c r="C112" s="7"/>
      <c r="D112" s="7"/>
      <c r="E112" s="7"/>
      <c r="F112" s="54"/>
      <c r="G112" s="54"/>
      <c r="H112" s="54"/>
      <c r="I112" s="54"/>
      <c r="J112" s="54"/>
      <c r="K112" s="54"/>
      <c r="L112" s="54"/>
      <c r="M112" s="54"/>
      <c r="N112" s="54"/>
      <c r="O112" s="54"/>
      <c r="P112" s="7"/>
      <c r="Q112" s="7"/>
      <c r="R112" s="7"/>
      <c r="S112" s="7"/>
      <c r="T112" s="7"/>
      <c r="U112" s="7"/>
      <c r="V112" s="7"/>
      <c r="W112" s="7"/>
      <c r="X112" s="7"/>
      <c r="Y112" s="7"/>
      <c r="Z112" s="7"/>
      <c r="AA112" s="7"/>
    </row>
    <row r="113">
      <c r="A113" s="54"/>
      <c r="B113" s="54"/>
      <c r="C113" s="7"/>
      <c r="D113" s="7"/>
      <c r="E113" s="7"/>
      <c r="F113" s="54"/>
      <c r="G113" s="54"/>
      <c r="H113" s="54"/>
      <c r="I113" s="54"/>
      <c r="J113" s="54"/>
      <c r="K113" s="54"/>
      <c r="L113" s="54"/>
      <c r="M113" s="54"/>
      <c r="N113" s="54"/>
      <c r="O113" s="54"/>
      <c r="P113" s="7"/>
      <c r="Q113" s="7"/>
      <c r="R113" s="7"/>
      <c r="S113" s="7"/>
      <c r="T113" s="7"/>
      <c r="U113" s="7"/>
      <c r="V113" s="7"/>
      <c r="W113" s="7"/>
      <c r="X113" s="7"/>
      <c r="Y113" s="7"/>
      <c r="Z113" s="7"/>
      <c r="AA113" s="7"/>
    </row>
    <row r="114">
      <c r="A114" s="54"/>
      <c r="B114" s="54"/>
      <c r="C114" s="7"/>
      <c r="D114" s="7"/>
      <c r="E114" s="7"/>
      <c r="F114" s="54"/>
      <c r="G114" s="54"/>
      <c r="H114" s="54"/>
      <c r="I114" s="54"/>
      <c r="J114" s="54"/>
      <c r="K114" s="54"/>
      <c r="L114" s="54"/>
      <c r="M114" s="54"/>
      <c r="N114" s="54"/>
      <c r="O114" s="54"/>
      <c r="P114" s="7"/>
      <c r="Q114" s="7"/>
      <c r="R114" s="7"/>
      <c r="S114" s="7"/>
      <c r="T114" s="7"/>
      <c r="U114" s="7"/>
      <c r="V114" s="7"/>
      <c r="W114" s="7"/>
      <c r="X114" s="7"/>
      <c r="Y114" s="7"/>
      <c r="Z114" s="7"/>
      <c r="AA114" s="7"/>
    </row>
    <row r="115">
      <c r="A115" s="54"/>
      <c r="B115" s="54"/>
      <c r="C115" s="7"/>
      <c r="D115" s="7"/>
      <c r="E115" s="7"/>
      <c r="F115" s="54"/>
      <c r="G115" s="54"/>
      <c r="H115" s="54"/>
      <c r="I115" s="54"/>
      <c r="J115" s="54"/>
      <c r="K115" s="54"/>
      <c r="L115" s="54"/>
      <c r="M115" s="54"/>
      <c r="N115" s="54"/>
      <c r="O115" s="54"/>
      <c r="P115" s="7"/>
      <c r="Q115" s="7"/>
      <c r="R115" s="7"/>
      <c r="S115" s="7"/>
      <c r="T115" s="7"/>
      <c r="U115" s="7"/>
      <c r="V115" s="7"/>
      <c r="W115" s="7"/>
      <c r="X115" s="7"/>
      <c r="Y115" s="7"/>
      <c r="Z115" s="7"/>
      <c r="AA115" s="7"/>
    </row>
    <row r="116">
      <c r="A116" s="54"/>
      <c r="B116" s="54"/>
      <c r="C116" s="7"/>
      <c r="D116" s="7"/>
      <c r="E116" s="7"/>
      <c r="F116" s="54"/>
      <c r="G116" s="54"/>
      <c r="H116" s="54"/>
      <c r="I116" s="54"/>
      <c r="J116" s="54"/>
      <c r="K116" s="54"/>
      <c r="L116" s="54"/>
      <c r="M116" s="54"/>
      <c r="N116" s="54"/>
      <c r="O116" s="54"/>
      <c r="P116" s="7"/>
      <c r="Q116" s="7"/>
      <c r="R116" s="7"/>
      <c r="S116" s="7"/>
      <c r="T116" s="7"/>
      <c r="U116" s="7"/>
      <c r="V116" s="7"/>
      <c r="W116" s="7"/>
      <c r="X116" s="7"/>
      <c r="Y116" s="7"/>
      <c r="Z116" s="7"/>
      <c r="AA116" s="7"/>
    </row>
    <row r="117">
      <c r="A117" s="54"/>
      <c r="B117" s="54"/>
      <c r="C117" s="7"/>
      <c r="D117" s="7"/>
      <c r="E117" s="7"/>
      <c r="F117" s="54"/>
      <c r="G117" s="54"/>
      <c r="H117" s="54"/>
      <c r="I117" s="54"/>
      <c r="J117" s="54"/>
      <c r="K117" s="54"/>
      <c r="L117" s="54"/>
      <c r="M117" s="54"/>
      <c r="N117" s="54"/>
      <c r="O117" s="54"/>
      <c r="P117" s="7"/>
      <c r="Q117" s="7"/>
      <c r="R117" s="7"/>
      <c r="S117" s="7"/>
      <c r="T117" s="7"/>
      <c r="U117" s="7"/>
      <c r="V117" s="7"/>
      <c r="W117" s="7"/>
      <c r="X117" s="7"/>
      <c r="Y117" s="7"/>
      <c r="Z117" s="7"/>
      <c r="AA117" s="7"/>
    </row>
    <row r="118">
      <c r="A118" s="54"/>
      <c r="B118" s="54"/>
      <c r="C118" s="7"/>
      <c r="D118" s="7"/>
      <c r="E118" s="7"/>
      <c r="F118" s="54"/>
      <c r="G118" s="54"/>
      <c r="H118" s="54"/>
      <c r="I118" s="54"/>
      <c r="J118" s="54"/>
      <c r="K118" s="54"/>
      <c r="L118" s="54"/>
      <c r="M118" s="54"/>
      <c r="N118" s="54"/>
      <c r="O118" s="54"/>
      <c r="P118" s="7"/>
      <c r="Q118" s="7"/>
      <c r="R118" s="7"/>
      <c r="S118" s="7"/>
      <c r="T118" s="7"/>
      <c r="U118" s="7"/>
      <c r="V118" s="7"/>
      <c r="W118" s="7"/>
      <c r="X118" s="7"/>
      <c r="Y118" s="7"/>
      <c r="Z118" s="7"/>
      <c r="AA118" s="7"/>
    </row>
    <row r="119">
      <c r="A119" s="54"/>
      <c r="B119" s="54"/>
      <c r="C119" s="7"/>
      <c r="D119" s="7"/>
      <c r="E119" s="7"/>
      <c r="F119" s="54"/>
      <c r="G119" s="54"/>
      <c r="H119" s="54"/>
      <c r="I119" s="54"/>
      <c r="J119" s="54"/>
      <c r="K119" s="54"/>
      <c r="L119" s="54"/>
      <c r="M119" s="54"/>
      <c r="N119" s="54"/>
      <c r="O119" s="54"/>
      <c r="P119" s="7"/>
      <c r="Q119" s="7"/>
      <c r="R119" s="7"/>
      <c r="S119" s="7"/>
      <c r="T119" s="7"/>
      <c r="U119" s="7"/>
      <c r="V119" s="7"/>
      <c r="W119" s="7"/>
      <c r="X119" s="7"/>
      <c r="Y119" s="7"/>
      <c r="Z119" s="7"/>
      <c r="AA119" s="7"/>
    </row>
    <row r="120">
      <c r="A120" s="54"/>
      <c r="B120" s="54"/>
      <c r="C120" s="7"/>
      <c r="D120" s="7"/>
      <c r="E120" s="7"/>
      <c r="F120" s="54"/>
      <c r="G120" s="54"/>
      <c r="H120" s="54"/>
      <c r="I120" s="54"/>
      <c r="J120" s="54"/>
      <c r="K120" s="54"/>
      <c r="L120" s="54"/>
      <c r="M120" s="54"/>
      <c r="N120" s="54"/>
      <c r="O120" s="54"/>
      <c r="P120" s="7"/>
      <c r="Q120" s="7"/>
      <c r="R120" s="7"/>
      <c r="S120" s="7"/>
      <c r="T120" s="7"/>
      <c r="U120" s="7"/>
      <c r="V120" s="7"/>
      <c r="W120" s="7"/>
      <c r="X120" s="7"/>
      <c r="Y120" s="7"/>
      <c r="Z120" s="7"/>
      <c r="AA120" s="7"/>
    </row>
    <row r="121">
      <c r="A121" s="54"/>
      <c r="B121" s="54"/>
      <c r="C121" s="7"/>
      <c r="D121" s="7"/>
      <c r="E121" s="7"/>
      <c r="F121" s="54"/>
      <c r="G121" s="54"/>
      <c r="H121" s="54"/>
      <c r="I121" s="54"/>
      <c r="J121" s="54"/>
      <c r="K121" s="54"/>
      <c r="L121" s="54"/>
      <c r="M121" s="54"/>
      <c r="N121" s="54"/>
      <c r="O121" s="54"/>
      <c r="P121" s="7"/>
      <c r="Q121" s="7"/>
      <c r="R121" s="7"/>
      <c r="S121" s="7"/>
      <c r="T121" s="7"/>
      <c r="U121" s="7"/>
      <c r="V121" s="7"/>
      <c r="W121" s="7"/>
      <c r="X121" s="7"/>
      <c r="Y121" s="7"/>
      <c r="Z121" s="7"/>
      <c r="AA121" s="7"/>
    </row>
    <row r="122">
      <c r="A122" s="54"/>
      <c r="B122" s="54"/>
      <c r="C122" s="7"/>
      <c r="D122" s="7"/>
      <c r="E122" s="7"/>
      <c r="F122" s="54"/>
      <c r="G122" s="54"/>
      <c r="H122" s="54"/>
      <c r="I122" s="54"/>
      <c r="J122" s="54"/>
      <c r="K122" s="54"/>
      <c r="L122" s="54"/>
      <c r="M122" s="54"/>
      <c r="N122" s="54"/>
      <c r="O122" s="54"/>
      <c r="P122" s="7"/>
      <c r="Q122" s="7"/>
      <c r="R122" s="7"/>
      <c r="S122" s="7"/>
      <c r="T122" s="7"/>
      <c r="U122" s="7"/>
      <c r="V122" s="7"/>
      <c r="W122" s="7"/>
      <c r="X122" s="7"/>
      <c r="Y122" s="7"/>
      <c r="Z122" s="7"/>
      <c r="AA122" s="7"/>
    </row>
    <row r="123">
      <c r="A123" s="54"/>
      <c r="B123" s="54"/>
      <c r="C123" s="7"/>
      <c r="D123" s="7"/>
      <c r="E123" s="7"/>
      <c r="F123" s="54"/>
      <c r="G123" s="54"/>
      <c r="H123" s="54"/>
      <c r="I123" s="54"/>
      <c r="J123" s="54"/>
      <c r="K123" s="54"/>
      <c r="L123" s="54"/>
      <c r="M123" s="54"/>
      <c r="N123" s="54"/>
      <c r="O123" s="54"/>
      <c r="P123" s="7"/>
      <c r="Q123" s="7"/>
      <c r="R123" s="7"/>
      <c r="S123" s="7"/>
      <c r="T123" s="7"/>
      <c r="U123" s="7"/>
      <c r="V123" s="7"/>
      <c r="W123" s="7"/>
      <c r="X123" s="7"/>
      <c r="Y123" s="7"/>
      <c r="Z123" s="7"/>
      <c r="AA123" s="7"/>
    </row>
    <row r="124">
      <c r="A124" s="54"/>
      <c r="B124" s="54"/>
      <c r="C124" s="7"/>
      <c r="D124" s="7"/>
      <c r="E124" s="7"/>
      <c r="F124" s="54"/>
      <c r="G124" s="54"/>
      <c r="H124" s="54"/>
      <c r="I124" s="54"/>
      <c r="J124" s="54"/>
      <c r="K124" s="54"/>
      <c r="L124" s="54"/>
      <c r="M124" s="54"/>
      <c r="N124" s="54"/>
      <c r="O124" s="54"/>
      <c r="P124" s="7"/>
      <c r="Q124" s="7"/>
      <c r="R124" s="7"/>
      <c r="S124" s="7"/>
      <c r="T124" s="7"/>
      <c r="U124" s="7"/>
      <c r="V124" s="7"/>
      <c r="W124" s="7"/>
      <c r="X124" s="7"/>
      <c r="Y124" s="7"/>
      <c r="Z124" s="7"/>
      <c r="AA124" s="7"/>
    </row>
    <row r="125">
      <c r="A125" s="54"/>
      <c r="B125" s="54"/>
      <c r="C125" s="7"/>
      <c r="D125" s="7"/>
      <c r="E125" s="7"/>
      <c r="F125" s="54"/>
      <c r="G125" s="54"/>
      <c r="H125" s="54"/>
      <c r="I125" s="54"/>
      <c r="J125" s="54"/>
      <c r="K125" s="54"/>
      <c r="L125" s="54"/>
      <c r="M125" s="54"/>
      <c r="N125" s="54"/>
      <c r="O125" s="54"/>
      <c r="P125" s="7"/>
      <c r="Q125" s="7"/>
      <c r="R125" s="7"/>
      <c r="S125" s="7"/>
      <c r="T125" s="7"/>
      <c r="U125" s="7"/>
      <c r="V125" s="7"/>
      <c r="W125" s="7"/>
      <c r="X125" s="7"/>
      <c r="Y125" s="7"/>
      <c r="Z125" s="7"/>
      <c r="AA125" s="7"/>
    </row>
    <row r="126">
      <c r="A126" s="54"/>
      <c r="B126" s="54"/>
      <c r="C126" s="7"/>
      <c r="D126" s="7"/>
      <c r="E126" s="7"/>
      <c r="F126" s="54"/>
      <c r="G126" s="54"/>
      <c r="H126" s="54"/>
      <c r="I126" s="54"/>
      <c r="J126" s="54"/>
      <c r="K126" s="54"/>
      <c r="L126" s="54"/>
      <c r="M126" s="54"/>
      <c r="N126" s="54"/>
      <c r="O126" s="54"/>
      <c r="P126" s="7"/>
      <c r="Q126" s="7"/>
      <c r="R126" s="7"/>
      <c r="S126" s="7"/>
      <c r="T126" s="7"/>
      <c r="U126" s="7"/>
      <c r="V126" s="7"/>
      <c r="W126" s="7"/>
      <c r="X126" s="7"/>
      <c r="Y126" s="7"/>
      <c r="Z126" s="7"/>
      <c r="AA126" s="7"/>
    </row>
    <row r="127">
      <c r="A127" s="54"/>
      <c r="B127" s="54"/>
      <c r="C127" s="7"/>
      <c r="D127" s="7"/>
      <c r="E127" s="7"/>
      <c r="F127" s="54"/>
      <c r="G127" s="54"/>
      <c r="H127" s="54"/>
      <c r="I127" s="54"/>
      <c r="J127" s="54"/>
      <c r="K127" s="54"/>
      <c r="L127" s="54"/>
      <c r="M127" s="54"/>
      <c r="N127" s="54"/>
      <c r="O127" s="54"/>
      <c r="P127" s="7"/>
      <c r="Q127" s="7"/>
      <c r="R127" s="7"/>
      <c r="S127" s="7"/>
      <c r="T127" s="7"/>
      <c r="U127" s="7"/>
      <c r="V127" s="7"/>
      <c r="W127" s="7"/>
      <c r="X127" s="7"/>
      <c r="Y127" s="7"/>
      <c r="Z127" s="7"/>
      <c r="AA127" s="7"/>
    </row>
    <row r="128">
      <c r="A128" s="54"/>
      <c r="B128" s="54"/>
      <c r="C128" s="7"/>
      <c r="D128" s="7"/>
      <c r="E128" s="7"/>
      <c r="F128" s="54"/>
      <c r="G128" s="54"/>
      <c r="H128" s="54"/>
      <c r="I128" s="54"/>
      <c r="J128" s="54"/>
      <c r="K128" s="54"/>
      <c r="L128" s="54"/>
      <c r="M128" s="54"/>
      <c r="N128" s="54"/>
      <c r="O128" s="54"/>
      <c r="P128" s="7"/>
      <c r="Q128" s="7"/>
      <c r="R128" s="7"/>
      <c r="S128" s="7"/>
      <c r="T128" s="7"/>
      <c r="U128" s="7"/>
      <c r="V128" s="7"/>
      <c r="W128" s="7"/>
      <c r="X128" s="7"/>
      <c r="Y128" s="7"/>
      <c r="Z128" s="7"/>
      <c r="AA128" s="7"/>
    </row>
    <row r="129">
      <c r="A129" s="54"/>
      <c r="B129" s="54"/>
      <c r="C129" s="7"/>
      <c r="D129" s="7"/>
      <c r="E129" s="7"/>
      <c r="F129" s="54"/>
      <c r="G129" s="54"/>
      <c r="H129" s="54"/>
      <c r="I129" s="54"/>
      <c r="J129" s="54"/>
      <c r="K129" s="54"/>
      <c r="L129" s="54"/>
      <c r="M129" s="54"/>
      <c r="N129" s="54"/>
      <c r="O129" s="54"/>
      <c r="P129" s="7"/>
      <c r="Q129" s="7"/>
      <c r="R129" s="7"/>
      <c r="S129" s="7"/>
      <c r="T129" s="7"/>
      <c r="U129" s="7"/>
      <c r="V129" s="7"/>
      <c r="W129" s="7"/>
      <c r="X129" s="7"/>
      <c r="Y129" s="7"/>
      <c r="Z129" s="7"/>
      <c r="AA129" s="7"/>
    </row>
    <row r="130">
      <c r="A130" s="54"/>
      <c r="B130" s="54"/>
      <c r="C130" s="7"/>
      <c r="D130" s="7"/>
      <c r="E130" s="7"/>
      <c r="F130" s="54"/>
      <c r="G130" s="54"/>
      <c r="H130" s="54"/>
      <c r="I130" s="54"/>
      <c r="J130" s="54"/>
      <c r="K130" s="54"/>
      <c r="L130" s="54"/>
      <c r="M130" s="54"/>
      <c r="N130" s="54"/>
      <c r="O130" s="54"/>
      <c r="P130" s="7"/>
      <c r="Q130" s="7"/>
      <c r="R130" s="7"/>
      <c r="S130" s="7"/>
      <c r="T130" s="7"/>
      <c r="U130" s="7"/>
      <c r="V130" s="7"/>
      <c r="W130" s="7"/>
      <c r="X130" s="7"/>
      <c r="Y130" s="7"/>
      <c r="Z130" s="7"/>
      <c r="AA130" s="7"/>
    </row>
    <row r="131">
      <c r="A131" s="54"/>
      <c r="B131" s="54"/>
      <c r="C131" s="7"/>
      <c r="D131" s="7"/>
      <c r="E131" s="7"/>
      <c r="F131" s="54"/>
      <c r="G131" s="54"/>
      <c r="H131" s="54"/>
      <c r="I131" s="54"/>
      <c r="J131" s="54"/>
      <c r="K131" s="54"/>
      <c r="L131" s="54"/>
      <c r="M131" s="54"/>
      <c r="N131" s="54"/>
      <c r="O131" s="54"/>
      <c r="P131" s="7"/>
      <c r="Q131" s="7"/>
      <c r="R131" s="7"/>
      <c r="S131" s="7"/>
      <c r="T131" s="7"/>
      <c r="U131" s="7"/>
      <c r="V131" s="7"/>
      <c r="W131" s="7"/>
      <c r="X131" s="7"/>
      <c r="Y131" s="7"/>
      <c r="Z131" s="7"/>
      <c r="AA131" s="7"/>
    </row>
    <row r="132">
      <c r="A132" s="54"/>
      <c r="B132" s="54"/>
      <c r="C132" s="7"/>
      <c r="D132" s="7"/>
      <c r="E132" s="7"/>
      <c r="F132" s="54"/>
      <c r="G132" s="54"/>
      <c r="H132" s="54"/>
      <c r="I132" s="54"/>
      <c r="J132" s="54"/>
      <c r="K132" s="54"/>
      <c r="L132" s="54"/>
      <c r="M132" s="54"/>
      <c r="N132" s="54"/>
      <c r="O132" s="54"/>
      <c r="P132" s="7"/>
      <c r="Q132" s="7"/>
      <c r="R132" s="7"/>
      <c r="S132" s="7"/>
      <c r="T132" s="7"/>
      <c r="U132" s="7"/>
      <c r="V132" s="7"/>
      <c r="W132" s="7"/>
      <c r="X132" s="7"/>
      <c r="Y132" s="7"/>
      <c r="Z132" s="7"/>
      <c r="AA132" s="7"/>
    </row>
    <row r="133">
      <c r="A133" s="54"/>
      <c r="B133" s="54"/>
      <c r="C133" s="7"/>
      <c r="D133" s="7"/>
      <c r="E133" s="7"/>
      <c r="F133" s="54"/>
      <c r="G133" s="54"/>
      <c r="H133" s="54"/>
      <c r="I133" s="54"/>
      <c r="J133" s="54"/>
      <c r="K133" s="54"/>
      <c r="L133" s="54"/>
      <c r="M133" s="54"/>
      <c r="N133" s="54"/>
      <c r="O133" s="54"/>
      <c r="P133" s="7"/>
      <c r="Q133" s="7"/>
      <c r="R133" s="7"/>
      <c r="S133" s="7"/>
      <c r="T133" s="7"/>
      <c r="U133" s="7"/>
      <c r="V133" s="7"/>
      <c r="W133" s="7"/>
      <c r="X133" s="7"/>
      <c r="Y133" s="7"/>
      <c r="Z133" s="7"/>
      <c r="AA133" s="7"/>
    </row>
    <row r="134">
      <c r="A134" s="54"/>
      <c r="B134" s="54"/>
      <c r="C134" s="7"/>
      <c r="D134" s="7"/>
      <c r="E134" s="7"/>
      <c r="F134" s="54"/>
      <c r="G134" s="54"/>
      <c r="H134" s="54"/>
      <c r="I134" s="54"/>
      <c r="J134" s="54"/>
      <c r="K134" s="54"/>
      <c r="L134" s="54"/>
      <c r="M134" s="54"/>
      <c r="N134" s="54"/>
      <c r="O134" s="54"/>
      <c r="P134" s="7"/>
      <c r="Q134" s="7"/>
      <c r="R134" s="7"/>
      <c r="S134" s="7"/>
      <c r="T134" s="7"/>
      <c r="U134" s="7"/>
      <c r="V134" s="7"/>
      <c r="W134" s="7"/>
      <c r="X134" s="7"/>
      <c r="Y134" s="7"/>
      <c r="Z134" s="7"/>
      <c r="AA134" s="7"/>
    </row>
    <row r="135">
      <c r="A135" s="54"/>
      <c r="B135" s="54"/>
      <c r="C135" s="7"/>
      <c r="D135" s="7"/>
      <c r="E135" s="7"/>
      <c r="F135" s="54"/>
      <c r="G135" s="54"/>
      <c r="H135" s="54"/>
      <c r="I135" s="54"/>
      <c r="J135" s="54"/>
      <c r="K135" s="54"/>
      <c r="L135" s="54"/>
      <c r="M135" s="54"/>
      <c r="N135" s="54"/>
      <c r="O135" s="54"/>
      <c r="P135" s="7"/>
      <c r="Q135" s="7"/>
      <c r="R135" s="7"/>
      <c r="S135" s="7"/>
      <c r="T135" s="7"/>
      <c r="U135" s="7"/>
      <c r="V135" s="7"/>
      <c r="W135" s="7"/>
      <c r="X135" s="7"/>
      <c r="Y135" s="7"/>
      <c r="Z135" s="7"/>
      <c r="AA135" s="7"/>
    </row>
    <row r="136">
      <c r="A136" s="54"/>
      <c r="B136" s="54"/>
      <c r="C136" s="7"/>
      <c r="D136" s="7"/>
      <c r="E136" s="7"/>
      <c r="F136" s="54"/>
      <c r="G136" s="54"/>
      <c r="H136" s="54"/>
      <c r="I136" s="54"/>
      <c r="J136" s="54"/>
      <c r="K136" s="54"/>
      <c r="L136" s="54"/>
      <c r="M136" s="54"/>
      <c r="N136" s="54"/>
      <c r="O136" s="54"/>
      <c r="P136" s="7"/>
      <c r="Q136" s="7"/>
      <c r="R136" s="7"/>
      <c r="S136" s="7"/>
      <c r="T136" s="7"/>
      <c r="U136" s="7"/>
      <c r="V136" s="7"/>
      <c r="W136" s="7"/>
      <c r="X136" s="7"/>
      <c r="Y136" s="7"/>
      <c r="Z136" s="7"/>
      <c r="AA136" s="7"/>
    </row>
    <row r="137">
      <c r="A137" s="54"/>
      <c r="B137" s="54"/>
      <c r="C137" s="7"/>
      <c r="D137" s="7"/>
      <c r="E137" s="7"/>
      <c r="F137" s="54"/>
      <c r="G137" s="54"/>
      <c r="H137" s="54"/>
      <c r="I137" s="54"/>
      <c r="J137" s="54"/>
      <c r="K137" s="54"/>
      <c r="L137" s="54"/>
      <c r="M137" s="54"/>
      <c r="N137" s="54"/>
      <c r="O137" s="54"/>
      <c r="P137" s="7"/>
      <c r="Q137" s="7"/>
      <c r="R137" s="7"/>
      <c r="S137" s="7"/>
      <c r="T137" s="7"/>
      <c r="U137" s="7"/>
      <c r="V137" s="7"/>
      <c r="W137" s="7"/>
      <c r="X137" s="7"/>
      <c r="Y137" s="7"/>
      <c r="Z137" s="7"/>
      <c r="AA137" s="7"/>
    </row>
    <row r="138">
      <c r="A138" s="54"/>
      <c r="B138" s="54"/>
      <c r="C138" s="7"/>
      <c r="D138" s="7"/>
      <c r="E138" s="7"/>
      <c r="F138" s="54"/>
      <c r="G138" s="54"/>
      <c r="H138" s="54"/>
      <c r="I138" s="54"/>
      <c r="J138" s="54"/>
      <c r="K138" s="54"/>
      <c r="L138" s="54"/>
      <c r="M138" s="54"/>
      <c r="N138" s="54"/>
      <c r="O138" s="54"/>
      <c r="P138" s="7"/>
      <c r="Q138" s="7"/>
      <c r="R138" s="7"/>
      <c r="S138" s="7"/>
      <c r="T138" s="7"/>
      <c r="U138" s="7"/>
      <c r="V138" s="7"/>
      <c r="W138" s="7"/>
      <c r="X138" s="7"/>
      <c r="Y138" s="7"/>
      <c r="Z138" s="7"/>
      <c r="AA138" s="7"/>
    </row>
    <row r="139">
      <c r="A139" s="54"/>
      <c r="B139" s="54"/>
      <c r="C139" s="7"/>
      <c r="D139" s="7"/>
      <c r="E139" s="7"/>
      <c r="F139" s="54"/>
      <c r="G139" s="54"/>
      <c r="H139" s="54"/>
      <c r="I139" s="54"/>
      <c r="J139" s="54"/>
      <c r="K139" s="54"/>
      <c r="L139" s="54"/>
      <c r="M139" s="54"/>
      <c r="N139" s="54"/>
      <c r="O139" s="54"/>
      <c r="P139" s="7"/>
      <c r="Q139" s="7"/>
      <c r="R139" s="7"/>
      <c r="S139" s="7"/>
      <c r="T139" s="7"/>
      <c r="U139" s="7"/>
      <c r="V139" s="7"/>
      <c r="W139" s="7"/>
      <c r="X139" s="7"/>
      <c r="Y139" s="7"/>
      <c r="Z139" s="7"/>
      <c r="AA139" s="7"/>
    </row>
    <row r="140">
      <c r="A140" s="54"/>
      <c r="B140" s="54"/>
      <c r="C140" s="7"/>
      <c r="D140" s="7"/>
      <c r="E140" s="7"/>
      <c r="F140" s="54"/>
      <c r="G140" s="54"/>
      <c r="H140" s="54"/>
      <c r="I140" s="54"/>
      <c r="J140" s="54"/>
      <c r="K140" s="54"/>
      <c r="L140" s="54"/>
      <c r="M140" s="54"/>
      <c r="N140" s="54"/>
      <c r="O140" s="54"/>
      <c r="P140" s="7"/>
      <c r="Q140" s="7"/>
      <c r="R140" s="7"/>
      <c r="S140" s="7"/>
      <c r="T140" s="7"/>
      <c r="U140" s="7"/>
      <c r="V140" s="7"/>
      <c r="W140" s="7"/>
      <c r="X140" s="7"/>
      <c r="Y140" s="7"/>
      <c r="Z140" s="7"/>
      <c r="AA140" s="7"/>
    </row>
    <row r="141">
      <c r="A141" s="54"/>
      <c r="B141" s="54"/>
      <c r="C141" s="7"/>
      <c r="D141" s="7"/>
      <c r="E141" s="7"/>
      <c r="F141" s="54"/>
      <c r="G141" s="54"/>
      <c r="H141" s="54"/>
      <c r="I141" s="54"/>
      <c r="J141" s="54"/>
      <c r="K141" s="54"/>
      <c r="L141" s="54"/>
      <c r="M141" s="54"/>
      <c r="N141" s="54"/>
      <c r="O141" s="54"/>
      <c r="P141" s="7"/>
      <c r="Q141" s="7"/>
      <c r="R141" s="7"/>
      <c r="S141" s="7"/>
      <c r="T141" s="7"/>
      <c r="U141" s="7"/>
      <c r="V141" s="7"/>
      <c r="W141" s="7"/>
      <c r="X141" s="7"/>
      <c r="Y141" s="7"/>
      <c r="Z141" s="7"/>
      <c r="AA141" s="7"/>
    </row>
    <row r="142">
      <c r="A142" s="54"/>
      <c r="B142" s="54"/>
      <c r="C142" s="7"/>
      <c r="D142" s="7"/>
      <c r="E142" s="7"/>
      <c r="F142" s="54"/>
      <c r="G142" s="54"/>
      <c r="H142" s="54"/>
      <c r="I142" s="54"/>
      <c r="J142" s="54"/>
      <c r="K142" s="54"/>
      <c r="L142" s="54"/>
      <c r="M142" s="54"/>
      <c r="N142" s="54"/>
      <c r="O142" s="54"/>
      <c r="P142" s="7"/>
      <c r="Q142" s="7"/>
      <c r="R142" s="7"/>
      <c r="S142" s="7"/>
      <c r="T142" s="7"/>
      <c r="U142" s="7"/>
      <c r="V142" s="7"/>
      <c r="W142" s="7"/>
      <c r="X142" s="7"/>
      <c r="Y142" s="7"/>
      <c r="Z142" s="7"/>
      <c r="AA142" s="7"/>
    </row>
    <row r="143">
      <c r="A143" s="54"/>
      <c r="B143" s="54"/>
      <c r="C143" s="7"/>
      <c r="D143" s="7"/>
      <c r="E143" s="7"/>
      <c r="F143" s="54"/>
      <c r="G143" s="54"/>
      <c r="H143" s="54"/>
      <c r="I143" s="54"/>
      <c r="J143" s="54"/>
      <c r="K143" s="54"/>
      <c r="L143" s="54"/>
      <c r="M143" s="54"/>
      <c r="N143" s="54"/>
      <c r="O143" s="54"/>
      <c r="P143" s="7"/>
      <c r="Q143" s="7"/>
      <c r="R143" s="7"/>
      <c r="S143" s="7"/>
      <c r="T143" s="7"/>
      <c r="U143" s="7"/>
      <c r="V143" s="7"/>
      <c r="W143" s="7"/>
      <c r="X143" s="7"/>
      <c r="Y143" s="7"/>
      <c r="Z143" s="7"/>
      <c r="AA143" s="7"/>
    </row>
    <row r="144">
      <c r="A144" s="54"/>
      <c r="B144" s="54"/>
      <c r="C144" s="7"/>
      <c r="D144" s="7"/>
      <c r="E144" s="7"/>
      <c r="F144" s="54"/>
      <c r="G144" s="54"/>
      <c r="H144" s="54"/>
      <c r="I144" s="54"/>
      <c r="J144" s="54"/>
      <c r="K144" s="54"/>
      <c r="L144" s="54"/>
      <c r="M144" s="54"/>
      <c r="N144" s="54"/>
      <c r="O144" s="54"/>
      <c r="P144" s="7"/>
      <c r="Q144" s="7"/>
      <c r="R144" s="7"/>
      <c r="S144" s="7"/>
      <c r="T144" s="7"/>
      <c r="U144" s="7"/>
      <c r="V144" s="7"/>
      <c r="W144" s="7"/>
      <c r="X144" s="7"/>
      <c r="Y144" s="7"/>
      <c r="Z144" s="7"/>
      <c r="AA144" s="7"/>
    </row>
    <row r="145">
      <c r="A145" s="54"/>
      <c r="B145" s="54"/>
      <c r="C145" s="7"/>
      <c r="D145" s="7"/>
      <c r="E145" s="7"/>
      <c r="F145" s="54"/>
      <c r="G145" s="54"/>
      <c r="H145" s="54"/>
      <c r="I145" s="54"/>
      <c r="J145" s="54"/>
      <c r="K145" s="54"/>
      <c r="L145" s="54"/>
      <c r="M145" s="54"/>
      <c r="N145" s="54"/>
      <c r="O145" s="54"/>
      <c r="P145" s="7"/>
      <c r="Q145" s="7"/>
      <c r="R145" s="7"/>
      <c r="S145" s="7"/>
      <c r="T145" s="7"/>
      <c r="U145" s="7"/>
      <c r="V145" s="7"/>
      <c r="W145" s="7"/>
      <c r="X145" s="7"/>
      <c r="Y145" s="7"/>
      <c r="Z145" s="7"/>
      <c r="AA145" s="7"/>
    </row>
    <row r="146">
      <c r="A146" s="54"/>
      <c r="B146" s="54"/>
      <c r="C146" s="7"/>
      <c r="D146" s="7"/>
      <c r="E146" s="7"/>
      <c r="F146" s="54"/>
      <c r="G146" s="54"/>
      <c r="H146" s="54"/>
      <c r="I146" s="54"/>
      <c r="J146" s="54"/>
      <c r="K146" s="54"/>
      <c r="L146" s="54"/>
      <c r="M146" s="54"/>
      <c r="N146" s="54"/>
      <c r="O146" s="54"/>
      <c r="P146" s="7"/>
      <c r="Q146" s="7"/>
      <c r="R146" s="7"/>
      <c r="S146" s="7"/>
      <c r="T146" s="7"/>
      <c r="U146" s="7"/>
      <c r="V146" s="7"/>
      <c r="W146" s="7"/>
      <c r="X146" s="7"/>
      <c r="Y146" s="7"/>
      <c r="Z146" s="7"/>
      <c r="AA146" s="7"/>
    </row>
    <row r="147">
      <c r="A147" s="54"/>
      <c r="B147" s="54"/>
      <c r="C147" s="7"/>
      <c r="D147" s="7"/>
      <c r="E147" s="7"/>
      <c r="F147" s="54"/>
      <c r="G147" s="54"/>
      <c r="H147" s="54"/>
      <c r="I147" s="54"/>
      <c r="J147" s="54"/>
      <c r="K147" s="54"/>
      <c r="L147" s="54"/>
      <c r="M147" s="54"/>
      <c r="N147" s="54"/>
      <c r="O147" s="54"/>
      <c r="P147" s="7"/>
      <c r="Q147" s="7"/>
      <c r="R147" s="7"/>
      <c r="S147" s="7"/>
      <c r="T147" s="7"/>
      <c r="U147" s="7"/>
      <c r="V147" s="7"/>
      <c r="W147" s="7"/>
      <c r="X147" s="7"/>
      <c r="Y147" s="7"/>
      <c r="Z147" s="7"/>
      <c r="AA147" s="7"/>
    </row>
    <row r="148">
      <c r="A148" s="54"/>
      <c r="B148" s="54"/>
      <c r="C148" s="7"/>
      <c r="D148" s="7"/>
      <c r="E148" s="7"/>
      <c r="F148" s="54"/>
      <c r="G148" s="54"/>
      <c r="H148" s="54"/>
      <c r="I148" s="54"/>
      <c r="J148" s="54"/>
      <c r="K148" s="54"/>
      <c r="L148" s="54"/>
      <c r="M148" s="54"/>
      <c r="N148" s="54"/>
      <c r="O148" s="54"/>
      <c r="P148" s="7"/>
      <c r="Q148" s="7"/>
      <c r="R148" s="7"/>
      <c r="S148" s="7"/>
      <c r="T148" s="7"/>
      <c r="U148" s="7"/>
      <c r="V148" s="7"/>
      <c r="W148" s="7"/>
      <c r="X148" s="7"/>
      <c r="Y148" s="7"/>
      <c r="Z148" s="7"/>
      <c r="AA148" s="7"/>
    </row>
    <row r="149">
      <c r="A149" s="54"/>
      <c r="B149" s="54"/>
      <c r="C149" s="7"/>
      <c r="D149" s="7"/>
      <c r="E149" s="7"/>
      <c r="F149" s="54"/>
      <c r="G149" s="54"/>
      <c r="H149" s="54"/>
      <c r="I149" s="54"/>
      <c r="J149" s="54"/>
      <c r="K149" s="54"/>
      <c r="L149" s="54"/>
      <c r="M149" s="54"/>
      <c r="N149" s="54"/>
      <c r="O149" s="54"/>
      <c r="P149" s="7"/>
      <c r="Q149" s="7"/>
      <c r="R149" s="7"/>
      <c r="S149" s="7"/>
      <c r="T149" s="7"/>
      <c r="U149" s="7"/>
      <c r="V149" s="7"/>
      <c r="W149" s="7"/>
      <c r="X149" s="7"/>
      <c r="Y149" s="7"/>
      <c r="Z149" s="7"/>
      <c r="AA149" s="7"/>
    </row>
    <row r="150">
      <c r="A150" s="54"/>
      <c r="B150" s="54"/>
      <c r="C150" s="7"/>
      <c r="D150" s="7"/>
      <c r="E150" s="7"/>
      <c r="F150" s="54"/>
      <c r="G150" s="54"/>
      <c r="H150" s="54"/>
      <c r="I150" s="54"/>
      <c r="J150" s="54"/>
      <c r="K150" s="54"/>
      <c r="L150" s="54"/>
      <c r="M150" s="54"/>
      <c r="N150" s="54"/>
      <c r="O150" s="54"/>
      <c r="P150" s="7"/>
      <c r="Q150" s="7"/>
      <c r="R150" s="7"/>
      <c r="S150" s="7"/>
      <c r="T150" s="7"/>
      <c r="U150" s="7"/>
      <c r="V150" s="7"/>
      <c r="W150" s="7"/>
      <c r="X150" s="7"/>
      <c r="Y150" s="7"/>
      <c r="Z150" s="7"/>
      <c r="AA150" s="7"/>
    </row>
    <row r="151">
      <c r="A151" s="54"/>
      <c r="B151" s="54"/>
      <c r="C151" s="7"/>
      <c r="D151" s="7"/>
      <c r="E151" s="7"/>
      <c r="F151" s="54"/>
      <c r="G151" s="54"/>
      <c r="H151" s="54"/>
      <c r="I151" s="54"/>
      <c r="J151" s="54"/>
      <c r="K151" s="54"/>
      <c r="L151" s="54"/>
      <c r="M151" s="54"/>
      <c r="N151" s="54"/>
      <c r="O151" s="54"/>
      <c r="P151" s="7"/>
      <c r="Q151" s="7"/>
      <c r="R151" s="7"/>
      <c r="S151" s="7"/>
      <c r="T151" s="7"/>
      <c r="U151" s="7"/>
      <c r="V151" s="7"/>
      <c r="W151" s="7"/>
      <c r="X151" s="7"/>
      <c r="Y151" s="7"/>
      <c r="Z151" s="7"/>
      <c r="AA151" s="7"/>
    </row>
    <row r="152">
      <c r="A152" s="54"/>
      <c r="B152" s="54"/>
      <c r="C152" s="7"/>
      <c r="D152" s="7"/>
      <c r="E152" s="7"/>
      <c r="F152" s="54"/>
      <c r="G152" s="54"/>
      <c r="H152" s="54"/>
      <c r="I152" s="54"/>
      <c r="J152" s="54"/>
      <c r="K152" s="54"/>
      <c r="L152" s="54"/>
      <c r="M152" s="54"/>
      <c r="N152" s="54"/>
      <c r="O152" s="54"/>
      <c r="P152" s="7"/>
      <c r="Q152" s="7"/>
      <c r="R152" s="7"/>
      <c r="S152" s="7"/>
      <c r="T152" s="7"/>
      <c r="U152" s="7"/>
      <c r="V152" s="7"/>
      <c r="W152" s="7"/>
      <c r="X152" s="7"/>
      <c r="Y152" s="7"/>
      <c r="Z152" s="7"/>
      <c r="AA152" s="7"/>
    </row>
    <row r="153">
      <c r="A153" s="54"/>
      <c r="B153" s="54"/>
      <c r="C153" s="7"/>
      <c r="D153" s="7"/>
      <c r="E153" s="7"/>
      <c r="F153" s="54"/>
      <c r="G153" s="54"/>
      <c r="H153" s="54"/>
      <c r="I153" s="54"/>
      <c r="J153" s="54"/>
      <c r="K153" s="54"/>
      <c r="L153" s="54"/>
      <c r="M153" s="54"/>
      <c r="N153" s="54"/>
      <c r="O153" s="54"/>
      <c r="P153" s="7"/>
      <c r="Q153" s="7"/>
      <c r="R153" s="7"/>
      <c r="S153" s="7"/>
      <c r="T153" s="7"/>
      <c r="U153" s="7"/>
      <c r="V153" s="7"/>
      <c r="W153" s="7"/>
      <c r="X153" s="7"/>
      <c r="Y153" s="7"/>
      <c r="Z153" s="7"/>
      <c r="AA153" s="7"/>
    </row>
    <row r="154">
      <c r="A154" s="54"/>
      <c r="B154" s="54"/>
      <c r="C154" s="7"/>
      <c r="D154" s="7"/>
      <c r="E154" s="7"/>
      <c r="F154" s="54"/>
      <c r="G154" s="54"/>
      <c r="H154" s="54"/>
      <c r="I154" s="54"/>
      <c r="J154" s="54"/>
      <c r="K154" s="54"/>
      <c r="L154" s="54"/>
      <c r="M154" s="54"/>
      <c r="N154" s="54"/>
      <c r="O154" s="54"/>
      <c r="P154" s="7"/>
      <c r="Q154" s="7"/>
      <c r="R154" s="7"/>
      <c r="S154" s="7"/>
      <c r="T154" s="7"/>
      <c r="U154" s="7"/>
      <c r="V154" s="7"/>
      <c r="W154" s="7"/>
      <c r="X154" s="7"/>
      <c r="Y154" s="7"/>
      <c r="Z154" s="7"/>
      <c r="AA154" s="7"/>
    </row>
    <row r="155">
      <c r="A155" s="54"/>
      <c r="B155" s="54"/>
      <c r="C155" s="7"/>
      <c r="D155" s="7"/>
      <c r="E155" s="7"/>
      <c r="F155" s="54"/>
      <c r="G155" s="54"/>
      <c r="H155" s="54"/>
      <c r="I155" s="54"/>
      <c r="J155" s="54"/>
      <c r="K155" s="54"/>
      <c r="L155" s="54"/>
      <c r="M155" s="54"/>
      <c r="N155" s="54"/>
      <c r="O155" s="54"/>
      <c r="P155" s="7"/>
      <c r="Q155" s="7"/>
      <c r="R155" s="7"/>
      <c r="S155" s="7"/>
      <c r="T155" s="7"/>
      <c r="U155" s="7"/>
      <c r="V155" s="7"/>
      <c r="W155" s="7"/>
      <c r="X155" s="7"/>
      <c r="Y155" s="7"/>
      <c r="Z155" s="7"/>
      <c r="AA155" s="7"/>
    </row>
    <row r="156">
      <c r="A156" s="54"/>
      <c r="B156" s="54"/>
      <c r="C156" s="7"/>
      <c r="D156" s="7"/>
      <c r="E156" s="7"/>
      <c r="F156" s="54"/>
      <c r="G156" s="54"/>
      <c r="H156" s="54"/>
      <c r="I156" s="54"/>
      <c r="J156" s="54"/>
      <c r="K156" s="54"/>
      <c r="L156" s="54"/>
      <c r="M156" s="54"/>
      <c r="N156" s="54"/>
      <c r="O156" s="54"/>
      <c r="P156" s="7"/>
      <c r="Q156" s="7"/>
      <c r="R156" s="7"/>
      <c r="S156" s="7"/>
      <c r="T156" s="7"/>
      <c r="U156" s="7"/>
      <c r="V156" s="7"/>
      <c r="W156" s="7"/>
      <c r="X156" s="7"/>
      <c r="Y156" s="7"/>
      <c r="Z156" s="7"/>
      <c r="AA156" s="7"/>
    </row>
    <row r="157">
      <c r="A157" s="54"/>
      <c r="B157" s="54"/>
      <c r="C157" s="7"/>
      <c r="D157" s="7"/>
      <c r="E157" s="7"/>
      <c r="F157" s="54"/>
      <c r="G157" s="54"/>
      <c r="H157" s="54"/>
      <c r="I157" s="54"/>
      <c r="J157" s="54"/>
      <c r="K157" s="54"/>
      <c r="L157" s="54"/>
      <c r="M157" s="54"/>
      <c r="N157" s="54"/>
      <c r="O157" s="54"/>
      <c r="P157" s="7"/>
      <c r="Q157" s="7"/>
      <c r="R157" s="7"/>
      <c r="S157" s="7"/>
      <c r="T157" s="7"/>
      <c r="U157" s="7"/>
      <c r="V157" s="7"/>
      <c r="W157" s="7"/>
      <c r="X157" s="7"/>
      <c r="Y157" s="7"/>
      <c r="Z157" s="7"/>
      <c r="AA157" s="7"/>
    </row>
    <row r="158">
      <c r="A158" s="54"/>
      <c r="B158" s="54"/>
      <c r="C158" s="7"/>
      <c r="D158" s="7"/>
      <c r="E158" s="7"/>
      <c r="F158" s="54"/>
      <c r="G158" s="54"/>
      <c r="H158" s="54"/>
      <c r="I158" s="54"/>
      <c r="J158" s="54"/>
      <c r="K158" s="54"/>
      <c r="L158" s="54"/>
      <c r="M158" s="54"/>
      <c r="N158" s="54"/>
      <c r="O158" s="54"/>
      <c r="P158" s="7"/>
      <c r="Q158" s="7"/>
      <c r="R158" s="7"/>
      <c r="S158" s="7"/>
      <c r="T158" s="7"/>
      <c r="U158" s="7"/>
      <c r="V158" s="7"/>
      <c r="W158" s="7"/>
      <c r="X158" s="7"/>
      <c r="Y158" s="7"/>
      <c r="Z158" s="7"/>
      <c r="AA158" s="7"/>
    </row>
    <row r="159">
      <c r="A159" s="54"/>
      <c r="B159" s="54"/>
      <c r="C159" s="7"/>
      <c r="D159" s="7"/>
      <c r="E159" s="7"/>
      <c r="F159" s="54"/>
      <c r="G159" s="54"/>
      <c r="H159" s="54"/>
      <c r="I159" s="54"/>
      <c r="J159" s="54"/>
      <c r="K159" s="54"/>
      <c r="L159" s="54"/>
      <c r="M159" s="54"/>
      <c r="N159" s="54"/>
      <c r="O159" s="54"/>
      <c r="P159" s="7"/>
      <c r="Q159" s="7"/>
      <c r="R159" s="7"/>
      <c r="S159" s="7"/>
      <c r="T159" s="7"/>
      <c r="U159" s="7"/>
      <c r="V159" s="7"/>
      <c r="W159" s="7"/>
      <c r="X159" s="7"/>
      <c r="Y159" s="7"/>
      <c r="Z159" s="7"/>
      <c r="AA159" s="7"/>
    </row>
    <row r="160">
      <c r="A160" s="54"/>
      <c r="B160" s="54"/>
      <c r="C160" s="7"/>
      <c r="D160" s="7"/>
      <c r="E160" s="7"/>
      <c r="F160" s="54"/>
      <c r="G160" s="54"/>
      <c r="H160" s="54"/>
      <c r="I160" s="54"/>
      <c r="J160" s="54"/>
      <c r="K160" s="54"/>
      <c r="L160" s="54"/>
      <c r="M160" s="54"/>
      <c r="N160" s="54"/>
      <c r="O160" s="54"/>
      <c r="P160" s="7"/>
      <c r="Q160" s="7"/>
      <c r="R160" s="7"/>
      <c r="S160" s="7"/>
      <c r="T160" s="7"/>
      <c r="U160" s="7"/>
      <c r="V160" s="7"/>
      <c r="W160" s="7"/>
      <c r="X160" s="7"/>
      <c r="Y160" s="7"/>
      <c r="Z160" s="7"/>
      <c r="AA160" s="7"/>
    </row>
    <row r="161">
      <c r="A161" s="54"/>
      <c r="B161" s="54"/>
      <c r="C161" s="7"/>
      <c r="D161" s="7"/>
      <c r="E161" s="7"/>
      <c r="F161" s="54"/>
      <c r="G161" s="54"/>
      <c r="H161" s="54"/>
      <c r="I161" s="54"/>
      <c r="J161" s="54"/>
      <c r="K161" s="54"/>
      <c r="L161" s="54"/>
      <c r="M161" s="54"/>
      <c r="N161" s="54"/>
      <c r="O161" s="54"/>
      <c r="P161" s="7"/>
      <c r="Q161" s="7"/>
      <c r="R161" s="7"/>
      <c r="S161" s="7"/>
      <c r="T161" s="7"/>
      <c r="U161" s="7"/>
      <c r="V161" s="7"/>
      <c r="W161" s="7"/>
      <c r="X161" s="7"/>
      <c r="Y161" s="7"/>
      <c r="Z161" s="7"/>
      <c r="AA161" s="7"/>
    </row>
    <row r="162">
      <c r="A162" s="54"/>
      <c r="B162" s="54"/>
      <c r="C162" s="7"/>
      <c r="D162" s="7"/>
      <c r="E162" s="7"/>
      <c r="F162" s="54"/>
      <c r="G162" s="54"/>
      <c r="H162" s="54"/>
      <c r="I162" s="54"/>
      <c r="J162" s="54"/>
      <c r="K162" s="54"/>
      <c r="L162" s="54"/>
      <c r="M162" s="54"/>
      <c r="N162" s="54"/>
      <c r="O162" s="54"/>
      <c r="P162" s="7"/>
      <c r="Q162" s="7"/>
      <c r="R162" s="7"/>
      <c r="S162" s="7"/>
      <c r="T162" s="7"/>
      <c r="U162" s="7"/>
      <c r="V162" s="7"/>
      <c r="W162" s="7"/>
      <c r="X162" s="7"/>
      <c r="Y162" s="7"/>
      <c r="Z162" s="7"/>
      <c r="AA162" s="7"/>
    </row>
    <row r="163">
      <c r="A163" s="54"/>
      <c r="B163" s="54"/>
      <c r="C163" s="7"/>
      <c r="D163" s="7"/>
      <c r="E163" s="7"/>
      <c r="F163" s="54"/>
      <c r="G163" s="54"/>
      <c r="H163" s="54"/>
      <c r="I163" s="54"/>
      <c r="J163" s="54"/>
      <c r="K163" s="54"/>
      <c r="L163" s="54"/>
      <c r="M163" s="54"/>
      <c r="N163" s="54"/>
      <c r="O163" s="54"/>
      <c r="P163" s="7"/>
      <c r="Q163" s="7"/>
      <c r="R163" s="7"/>
      <c r="S163" s="7"/>
      <c r="T163" s="7"/>
      <c r="U163" s="7"/>
      <c r="V163" s="7"/>
      <c r="W163" s="7"/>
      <c r="X163" s="7"/>
      <c r="Y163" s="7"/>
      <c r="Z163" s="7"/>
      <c r="AA163" s="7"/>
    </row>
    <row r="164">
      <c r="A164" s="54"/>
      <c r="B164" s="54"/>
      <c r="C164" s="7"/>
      <c r="D164" s="7"/>
      <c r="E164" s="7"/>
      <c r="F164" s="54"/>
      <c r="G164" s="54"/>
      <c r="H164" s="54"/>
      <c r="I164" s="54"/>
      <c r="J164" s="54"/>
      <c r="K164" s="54"/>
      <c r="L164" s="54"/>
      <c r="M164" s="54"/>
      <c r="N164" s="54"/>
      <c r="O164" s="54"/>
      <c r="P164" s="7"/>
      <c r="Q164" s="7"/>
      <c r="R164" s="7"/>
      <c r="S164" s="7"/>
      <c r="T164" s="7"/>
      <c r="U164" s="7"/>
      <c r="V164" s="7"/>
      <c r="W164" s="7"/>
      <c r="X164" s="7"/>
      <c r="Y164" s="7"/>
      <c r="Z164" s="7"/>
      <c r="AA164" s="7"/>
    </row>
    <row r="165">
      <c r="A165" s="54"/>
      <c r="B165" s="54"/>
      <c r="C165" s="7"/>
      <c r="D165" s="7"/>
      <c r="E165" s="7"/>
      <c r="F165" s="54"/>
      <c r="G165" s="54"/>
      <c r="H165" s="54"/>
      <c r="I165" s="54"/>
      <c r="J165" s="54"/>
      <c r="K165" s="54"/>
      <c r="L165" s="54"/>
      <c r="M165" s="54"/>
      <c r="N165" s="54"/>
      <c r="O165" s="54"/>
      <c r="P165" s="7"/>
      <c r="Q165" s="7"/>
      <c r="R165" s="7"/>
      <c r="S165" s="7"/>
      <c r="T165" s="7"/>
      <c r="U165" s="7"/>
      <c r="V165" s="7"/>
      <c r="W165" s="7"/>
      <c r="X165" s="7"/>
      <c r="Y165" s="7"/>
      <c r="Z165" s="7"/>
      <c r="AA165" s="7"/>
    </row>
    <row r="166">
      <c r="A166" s="54"/>
      <c r="B166" s="54"/>
      <c r="C166" s="7"/>
      <c r="D166" s="7"/>
      <c r="E166" s="7"/>
      <c r="F166" s="54"/>
      <c r="G166" s="54"/>
      <c r="H166" s="54"/>
      <c r="I166" s="54"/>
      <c r="J166" s="54"/>
      <c r="K166" s="54"/>
      <c r="L166" s="54"/>
      <c r="M166" s="54"/>
      <c r="N166" s="54"/>
      <c r="O166" s="54"/>
      <c r="P166" s="7"/>
      <c r="Q166" s="7"/>
      <c r="R166" s="7"/>
      <c r="S166" s="7"/>
      <c r="T166" s="7"/>
      <c r="U166" s="7"/>
      <c r="V166" s="7"/>
      <c r="W166" s="7"/>
      <c r="X166" s="7"/>
      <c r="Y166" s="7"/>
      <c r="Z166" s="7"/>
      <c r="AA166" s="7"/>
    </row>
    <row r="167">
      <c r="A167" s="54"/>
      <c r="B167" s="54"/>
      <c r="C167" s="7"/>
      <c r="D167" s="7"/>
      <c r="E167" s="7"/>
      <c r="F167" s="54"/>
      <c r="G167" s="54"/>
      <c r="H167" s="54"/>
      <c r="I167" s="54"/>
      <c r="J167" s="54"/>
      <c r="K167" s="54"/>
      <c r="L167" s="54"/>
      <c r="M167" s="54"/>
      <c r="N167" s="54"/>
      <c r="O167" s="54"/>
      <c r="P167" s="7"/>
      <c r="Q167" s="7"/>
      <c r="R167" s="7"/>
      <c r="S167" s="7"/>
      <c r="T167" s="7"/>
      <c r="U167" s="7"/>
      <c r="V167" s="7"/>
      <c r="W167" s="7"/>
      <c r="X167" s="7"/>
      <c r="Y167" s="7"/>
      <c r="Z167" s="7"/>
      <c r="AA167" s="7"/>
    </row>
    <row r="168">
      <c r="A168" s="54"/>
      <c r="B168" s="54"/>
      <c r="C168" s="7"/>
      <c r="D168" s="7"/>
      <c r="E168" s="7"/>
      <c r="F168" s="54"/>
      <c r="G168" s="54"/>
      <c r="H168" s="54"/>
      <c r="I168" s="54"/>
      <c r="J168" s="54"/>
      <c r="K168" s="54"/>
      <c r="L168" s="54"/>
      <c r="M168" s="54"/>
      <c r="N168" s="54"/>
      <c r="O168" s="54"/>
      <c r="P168" s="7"/>
      <c r="Q168" s="7"/>
      <c r="R168" s="7"/>
      <c r="S168" s="7"/>
      <c r="T168" s="7"/>
      <c r="U168" s="7"/>
      <c r="V168" s="7"/>
      <c r="W168" s="7"/>
      <c r="X168" s="7"/>
      <c r="Y168" s="7"/>
      <c r="Z168" s="7"/>
      <c r="AA168" s="7"/>
    </row>
    <row r="169">
      <c r="A169" s="54"/>
      <c r="B169" s="54"/>
      <c r="C169" s="7"/>
      <c r="D169" s="7"/>
      <c r="E169" s="7"/>
      <c r="F169" s="54"/>
      <c r="G169" s="54"/>
      <c r="H169" s="54"/>
      <c r="I169" s="54"/>
      <c r="J169" s="54"/>
      <c r="K169" s="54"/>
      <c r="L169" s="54"/>
      <c r="M169" s="54"/>
      <c r="N169" s="54"/>
      <c r="O169" s="54"/>
      <c r="P169" s="7"/>
      <c r="Q169" s="7"/>
      <c r="R169" s="7"/>
      <c r="S169" s="7"/>
      <c r="T169" s="7"/>
      <c r="U169" s="7"/>
      <c r="V169" s="7"/>
      <c r="W169" s="7"/>
      <c r="X169" s="7"/>
      <c r="Y169" s="7"/>
      <c r="Z169" s="7"/>
      <c r="AA169" s="7"/>
    </row>
    <row r="170">
      <c r="A170" s="54"/>
      <c r="B170" s="54"/>
      <c r="C170" s="7"/>
      <c r="D170" s="7"/>
      <c r="E170" s="7"/>
      <c r="F170" s="54"/>
      <c r="G170" s="54"/>
      <c r="H170" s="54"/>
      <c r="I170" s="54"/>
      <c r="J170" s="54"/>
      <c r="K170" s="54"/>
      <c r="L170" s="54"/>
      <c r="M170" s="54"/>
      <c r="N170" s="54"/>
      <c r="O170" s="54"/>
      <c r="P170" s="7"/>
      <c r="Q170" s="7"/>
      <c r="R170" s="7"/>
      <c r="S170" s="7"/>
      <c r="T170" s="7"/>
      <c r="U170" s="7"/>
      <c r="V170" s="7"/>
      <c r="W170" s="7"/>
      <c r="X170" s="7"/>
      <c r="Y170" s="7"/>
      <c r="Z170" s="7"/>
      <c r="AA170" s="7"/>
    </row>
    <row r="171">
      <c r="A171" s="54"/>
      <c r="B171" s="54"/>
      <c r="C171" s="7"/>
      <c r="D171" s="7"/>
      <c r="E171" s="7"/>
      <c r="F171" s="54"/>
      <c r="G171" s="54"/>
      <c r="H171" s="54"/>
      <c r="I171" s="54"/>
      <c r="J171" s="54"/>
      <c r="K171" s="54"/>
      <c r="L171" s="54"/>
      <c r="M171" s="54"/>
      <c r="N171" s="54"/>
      <c r="O171" s="54"/>
      <c r="P171" s="7"/>
      <c r="Q171" s="7"/>
      <c r="R171" s="7"/>
      <c r="S171" s="7"/>
      <c r="T171" s="7"/>
      <c r="U171" s="7"/>
      <c r="V171" s="7"/>
      <c r="W171" s="7"/>
      <c r="X171" s="7"/>
      <c r="Y171" s="7"/>
      <c r="Z171" s="7"/>
      <c r="AA171" s="7"/>
    </row>
    <row r="172">
      <c r="A172" s="54"/>
      <c r="B172" s="54"/>
      <c r="C172" s="7"/>
      <c r="D172" s="7"/>
      <c r="E172" s="7"/>
      <c r="F172" s="54"/>
      <c r="G172" s="54"/>
      <c r="H172" s="54"/>
      <c r="I172" s="54"/>
      <c r="J172" s="54"/>
      <c r="K172" s="54"/>
      <c r="L172" s="54"/>
      <c r="M172" s="54"/>
      <c r="N172" s="54"/>
      <c r="O172" s="54"/>
      <c r="P172" s="7"/>
      <c r="Q172" s="7"/>
      <c r="R172" s="7"/>
      <c r="S172" s="7"/>
      <c r="T172" s="7"/>
      <c r="U172" s="7"/>
      <c r="V172" s="7"/>
      <c r="W172" s="7"/>
      <c r="X172" s="7"/>
      <c r="Y172" s="7"/>
      <c r="Z172" s="7"/>
      <c r="AA172" s="7"/>
    </row>
    <row r="173">
      <c r="A173" s="54"/>
      <c r="B173" s="54"/>
      <c r="C173" s="7"/>
      <c r="D173" s="7"/>
      <c r="E173" s="7"/>
      <c r="F173" s="54"/>
      <c r="G173" s="54"/>
      <c r="H173" s="54"/>
      <c r="I173" s="54"/>
      <c r="J173" s="54"/>
      <c r="K173" s="54"/>
      <c r="L173" s="54"/>
      <c r="M173" s="54"/>
      <c r="N173" s="54"/>
      <c r="O173" s="54"/>
      <c r="P173" s="7"/>
      <c r="Q173" s="7"/>
      <c r="R173" s="7"/>
      <c r="S173" s="7"/>
      <c r="T173" s="7"/>
      <c r="U173" s="7"/>
      <c r="V173" s="7"/>
      <c r="W173" s="7"/>
      <c r="X173" s="7"/>
      <c r="Y173" s="7"/>
      <c r="Z173" s="7"/>
      <c r="AA173" s="7"/>
    </row>
    <row r="174">
      <c r="A174" s="54"/>
      <c r="B174" s="54"/>
      <c r="C174" s="7"/>
      <c r="D174" s="7"/>
      <c r="E174" s="7"/>
      <c r="F174" s="54"/>
      <c r="G174" s="54"/>
      <c r="H174" s="54"/>
      <c r="I174" s="54"/>
      <c r="J174" s="54"/>
      <c r="K174" s="54"/>
      <c r="L174" s="54"/>
      <c r="M174" s="54"/>
      <c r="N174" s="54"/>
      <c r="O174" s="54"/>
      <c r="P174" s="7"/>
      <c r="Q174" s="7"/>
      <c r="R174" s="7"/>
      <c r="S174" s="7"/>
      <c r="T174" s="7"/>
      <c r="U174" s="7"/>
      <c r="V174" s="7"/>
      <c r="W174" s="7"/>
      <c r="X174" s="7"/>
      <c r="Y174" s="7"/>
      <c r="Z174" s="7"/>
      <c r="AA174" s="7"/>
    </row>
    <row r="175">
      <c r="A175" s="54"/>
      <c r="B175" s="54"/>
      <c r="C175" s="7"/>
      <c r="D175" s="7"/>
      <c r="E175" s="7"/>
      <c r="F175" s="54"/>
      <c r="G175" s="54"/>
      <c r="H175" s="54"/>
      <c r="I175" s="54"/>
      <c r="J175" s="54"/>
      <c r="K175" s="54"/>
      <c r="L175" s="54"/>
      <c r="M175" s="54"/>
      <c r="N175" s="54"/>
      <c r="O175" s="54"/>
      <c r="P175" s="7"/>
      <c r="Q175" s="7"/>
      <c r="R175" s="7"/>
      <c r="S175" s="7"/>
      <c r="T175" s="7"/>
      <c r="U175" s="7"/>
      <c r="V175" s="7"/>
      <c r="W175" s="7"/>
      <c r="X175" s="7"/>
      <c r="Y175" s="7"/>
      <c r="Z175" s="7"/>
      <c r="AA175" s="7"/>
    </row>
    <row r="176">
      <c r="A176" s="54"/>
      <c r="B176" s="54"/>
      <c r="C176" s="7"/>
      <c r="D176" s="7"/>
      <c r="E176" s="7"/>
      <c r="F176" s="54"/>
      <c r="G176" s="54"/>
      <c r="H176" s="54"/>
      <c r="I176" s="54"/>
      <c r="J176" s="54"/>
      <c r="K176" s="54"/>
      <c r="L176" s="54"/>
      <c r="M176" s="54"/>
      <c r="N176" s="54"/>
      <c r="O176" s="54"/>
      <c r="P176" s="7"/>
      <c r="Q176" s="7"/>
      <c r="R176" s="7"/>
      <c r="S176" s="7"/>
      <c r="T176" s="7"/>
      <c r="U176" s="7"/>
      <c r="V176" s="7"/>
      <c r="W176" s="7"/>
      <c r="X176" s="7"/>
      <c r="Y176" s="7"/>
      <c r="Z176" s="7"/>
      <c r="AA176" s="7"/>
    </row>
    <row r="177">
      <c r="A177" s="54"/>
      <c r="B177" s="54"/>
      <c r="C177" s="7"/>
      <c r="D177" s="7"/>
      <c r="E177" s="7"/>
      <c r="F177" s="54"/>
      <c r="G177" s="54"/>
      <c r="H177" s="54"/>
      <c r="I177" s="54"/>
      <c r="J177" s="54"/>
      <c r="K177" s="54"/>
      <c r="L177" s="54"/>
      <c r="M177" s="54"/>
      <c r="N177" s="54"/>
      <c r="O177" s="54"/>
      <c r="P177" s="7"/>
      <c r="Q177" s="7"/>
      <c r="R177" s="7"/>
      <c r="S177" s="7"/>
      <c r="T177" s="7"/>
      <c r="U177" s="7"/>
      <c r="V177" s="7"/>
      <c r="W177" s="7"/>
      <c r="X177" s="7"/>
      <c r="Y177" s="7"/>
      <c r="Z177" s="7"/>
      <c r="AA177" s="7"/>
    </row>
    <row r="178">
      <c r="A178" s="54"/>
      <c r="B178" s="54"/>
      <c r="C178" s="7"/>
      <c r="D178" s="7"/>
      <c r="E178" s="7"/>
      <c r="F178" s="54"/>
      <c r="G178" s="54"/>
      <c r="H178" s="54"/>
      <c r="I178" s="54"/>
      <c r="J178" s="54"/>
      <c r="K178" s="54"/>
      <c r="L178" s="54"/>
      <c r="M178" s="54"/>
      <c r="N178" s="54"/>
      <c r="O178" s="54"/>
      <c r="P178" s="7"/>
      <c r="Q178" s="7"/>
      <c r="R178" s="7"/>
      <c r="S178" s="7"/>
      <c r="T178" s="7"/>
      <c r="U178" s="7"/>
      <c r="V178" s="7"/>
      <c r="W178" s="7"/>
      <c r="X178" s="7"/>
      <c r="Y178" s="7"/>
      <c r="Z178" s="7"/>
      <c r="AA178" s="7"/>
    </row>
    <row r="179">
      <c r="A179" s="54"/>
      <c r="B179" s="54"/>
      <c r="C179" s="7"/>
      <c r="D179" s="7"/>
      <c r="E179" s="7"/>
      <c r="F179" s="54"/>
      <c r="G179" s="54"/>
      <c r="H179" s="54"/>
      <c r="I179" s="54"/>
      <c r="J179" s="54"/>
      <c r="K179" s="54"/>
      <c r="L179" s="54"/>
      <c r="M179" s="54"/>
      <c r="N179" s="54"/>
      <c r="O179" s="54"/>
      <c r="P179" s="7"/>
      <c r="Q179" s="7"/>
      <c r="R179" s="7"/>
      <c r="S179" s="7"/>
      <c r="T179" s="7"/>
      <c r="U179" s="7"/>
      <c r="V179" s="7"/>
      <c r="W179" s="7"/>
      <c r="X179" s="7"/>
      <c r="Y179" s="7"/>
      <c r="Z179" s="7"/>
      <c r="AA179" s="7"/>
    </row>
    <row r="180">
      <c r="A180" s="54"/>
      <c r="B180" s="54"/>
      <c r="C180" s="7"/>
      <c r="D180" s="7"/>
      <c r="E180" s="7"/>
      <c r="F180" s="54"/>
      <c r="G180" s="54"/>
      <c r="H180" s="54"/>
      <c r="I180" s="54"/>
      <c r="J180" s="54"/>
      <c r="K180" s="54"/>
      <c r="L180" s="54"/>
      <c r="M180" s="54"/>
      <c r="N180" s="54"/>
      <c r="O180" s="54"/>
      <c r="P180" s="7"/>
      <c r="Q180" s="7"/>
      <c r="R180" s="7"/>
      <c r="S180" s="7"/>
      <c r="T180" s="7"/>
      <c r="U180" s="7"/>
      <c r="V180" s="7"/>
      <c r="W180" s="7"/>
      <c r="X180" s="7"/>
      <c r="Y180" s="7"/>
      <c r="Z180" s="7"/>
      <c r="AA180" s="7"/>
    </row>
    <row r="181">
      <c r="A181" s="54"/>
      <c r="B181" s="54"/>
      <c r="C181" s="7"/>
      <c r="D181" s="7"/>
      <c r="E181" s="7"/>
      <c r="F181" s="54"/>
      <c r="G181" s="54"/>
      <c r="H181" s="54"/>
      <c r="I181" s="54"/>
      <c r="J181" s="54"/>
      <c r="K181" s="54"/>
      <c r="L181" s="54"/>
      <c r="M181" s="54"/>
      <c r="N181" s="54"/>
      <c r="O181" s="54"/>
      <c r="P181" s="7"/>
      <c r="Q181" s="7"/>
      <c r="R181" s="7"/>
      <c r="S181" s="7"/>
      <c r="T181" s="7"/>
      <c r="U181" s="7"/>
      <c r="V181" s="7"/>
      <c r="W181" s="7"/>
      <c r="X181" s="7"/>
      <c r="Y181" s="7"/>
      <c r="Z181" s="7"/>
      <c r="AA181" s="7"/>
    </row>
    <row r="182">
      <c r="A182" s="54"/>
      <c r="B182" s="54"/>
      <c r="C182" s="7"/>
      <c r="D182" s="7"/>
      <c r="E182" s="7"/>
      <c r="F182" s="54"/>
      <c r="G182" s="54"/>
      <c r="H182" s="54"/>
      <c r="I182" s="54"/>
      <c r="J182" s="54"/>
      <c r="K182" s="54"/>
      <c r="L182" s="54"/>
      <c r="M182" s="54"/>
      <c r="N182" s="54"/>
      <c r="O182" s="54"/>
      <c r="P182" s="7"/>
      <c r="Q182" s="7"/>
      <c r="R182" s="7"/>
      <c r="S182" s="7"/>
      <c r="T182" s="7"/>
      <c r="U182" s="7"/>
      <c r="V182" s="7"/>
      <c r="W182" s="7"/>
      <c r="X182" s="7"/>
      <c r="Y182" s="7"/>
      <c r="Z182" s="7"/>
      <c r="AA182" s="7"/>
    </row>
    <row r="183">
      <c r="A183" s="54"/>
      <c r="B183" s="54"/>
      <c r="C183" s="7"/>
      <c r="D183" s="7"/>
      <c r="E183" s="7"/>
      <c r="F183" s="54"/>
      <c r="G183" s="54"/>
      <c r="H183" s="54"/>
      <c r="I183" s="54"/>
      <c r="J183" s="54"/>
      <c r="K183" s="54"/>
      <c r="L183" s="54"/>
      <c r="M183" s="54"/>
      <c r="N183" s="54"/>
      <c r="O183" s="54"/>
      <c r="P183" s="7"/>
      <c r="Q183" s="7"/>
      <c r="R183" s="7"/>
      <c r="S183" s="7"/>
      <c r="T183" s="7"/>
      <c r="U183" s="7"/>
      <c r="V183" s="7"/>
      <c r="W183" s="7"/>
      <c r="X183" s="7"/>
      <c r="Y183" s="7"/>
      <c r="Z183" s="7"/>
      <c r="AA183" s="7"/>
    </row>
    <row r="184">
      <c r="A184" s="54"/>
      <c r="B184" s="54"/>
      <c r="C184" s="7"/>
      <c r="D184" s="7"/>
      <c r="E184" s="7"/>
      <c r="F184" s="54"/>
      <c r="G184" s="54"/>
      <c r="H184" s="54"/>
      <c r="I184" s="54"/>
      <c r="J184" s="54"/>
      <c r="K184" s="54"/>
      <c r="L184" s="54"/>
      <c r="M184" s="54"/>
      <c r="N184" s="54"/>
      <c r="O184" s="54"/>
      <c r="P184" s="7"/>
      <c r="Q184" s="7"/>
      <c r="R184" s="7"/>
      <c r="S184" s="7"/>
      <c r="T184" s="7"/>
      <c r="U184" s="7"/>
      <c r="V184" s="7"/>
      <c r="W184" s="7"/>
      <c r="X184" s="7"/>
      <c r="Y184" s="7"/>
      <c r="Z184" s="7"/>
      <c r="AA184" s="7"/>
    </row>
    <row r="185">
      <c r="A185" s="54"/>
      <c r="B185" s="54"/>
      <c r="C185" s="7"/>
      <c r="D185" s="7"/>
      <c r="E185" s="7"/>
      <c r="F185" s="54"/>
      <c r="G185" s="54"/>
      <c r="H185" s="54"/>
      <c r="I185" s="54"/>
      <c r="J185" s="54"/>
      <c r="K185" s="54"/>
      <c r="L185" s="54"/>
      <c r="M185" s="54"/>
      <c r="N185" s="54"/>
      <c r="O185" s="54"/>
      <c r="P185" s="7"/>
      <c r="Q185" s="7"/>
      <c r="R185" s="7"/>
      <c r="S185" s="7"/>
      <c r="T185" s="7"/>
      <c r="U185" s="7"/>
      <c r="V185" s="7"/>
      <c r="W185" s="7"/>
      <c r="X185" s="7"/>
      <c r="Y185" s="7"/>
      <c r="Z185" s="7"/>
      <c r="AA185" s="7"/>
    </row>
    <row r="186">
      <c r="A186" s="54"/>
      <c r="B186" s="54"/>
      <c r="C186" s="7"/>
      <c r="D186" s="7"/>
      <c r="E186" s="7"/>
      <c r="F186" s="54"/>
      <c r="G186" s="54"/>
      <c r="H186" s="54"/>
      <c r="I186" s="54"/>
      <c r="J186" s="54"/>
      <c r="K186" s="54"/>
      <c r="L186" s="54"/>
      <c r="M186" s="54"/>
      <c r="N186" s="54"/>
      <c r="O186" s="54"/>
      <c r="P186" s="7"/>
      <c r="Q186" s="7"/>
      <c r="R186" s="7"/>
      <c r="S186" s="7"/>
      <c r="T186" s="7"/>
      <c r="U186" s="7"/>
      <c r="V186" s="7"/>
      <c r="W186" s="7"/>
      <c r="X186" s="7"/>
      <c r="Y186" s="7"/>
      <c r="Z186" s="7"/>
      <c r="AA186" s="7"/>
    </row>
    <row r="187">
      <c r="A187" s="54"/>
      <c r="B187" s="54"/>
      <c r="C187" s="7"/>
      <c r="D187" s="7"/>
      <c r="E187" s="7"/>
      <c r="F187" s="54"/>
      <c r="G187" s="54"/>
      <c r="H187" s="54"/>
      <c r="I187" s="54"/>
      <c r="J187" s="54"/>
      <c r="K187" s="54"/>
      <c r="L187" s="54"/>
      <c r="M187" s="54"/>
      <c r="N187" s="54"/>
      <c r="O187" s="54"/>
      <c r="P187" s="7"/>
      <c r="Q187" s="7"/>
      <c r="R187" s="7"/>
      <c r="S187" s="7"/>
      <c r="T187" s="7"/>
      <c r="U187" s="7"/>
      <c r="V187" s="7"/>
      <c r="W187" s="7"/>
      <c r="X187" s="7"/>
      <c r="Y187" s="7"/>
      <c r="Z187" s="7"/>
      <c r="AA187" s="7"/>
    </row>
    <row r="188">
      <c r="A188" s="54"/>
      <c r="B188" s="54"/>
      <c r="C188" s="7"/>
      <c r="D188" s="7"/>
      <c r="E188" s="7"/>
      <c r="F188" s="54"/>
      <c r="G188" s="54"/>
      <c r="H188" s="54"/>
      <c r="I188" s="54"/>
      <c r="J188" s="54"/>
      <c r="K188" s="54"/>
      <c r="L188" s="54"/>
      <c r="M188" s="54"/>
      <c r="N188" s="54"/>
      <c r="O188" s="54"/>
      <c r="P188" s="7"/>
      <c r="Q188" s="7"/>
      <c r="R188" s="7"/>
      <c r="S188" s="7"/>
      <c r="T188" s="7"/>
      <c r="U188" s="7"/>
      <c r="V188" s="7"/>
      <c r="W188" s="7"/>
      <c r="X188" s="7"/>
      <c r="Y188" s="7"/>
      <c r="Z188" s="7"/>
      <c r="AA188" s="7"/>
    </row>
    <row r="189">
      <c r="A189" s="54"/>
      <c r="B189" s="54"/>
      <c r="C189" s="7"/>
      <c r="D189" s="7"/>
      <c r="E189" s="7"/>
      <c r="F189" s="54"/>
      <c r="G189" s="54"/>
      <c r="H189" s="54"/>
      <c r="I189" s="54"/>
      <c r="J189" s="54"/>
      <c r="K189" s="54"/>
      <c r="L189" s="54"/>
      <c r="M189" s="54"/>
      <c r="N189" s="54"/>
      <c r="O189" s="54"/>
      <c r="P189" s="7"/>
      <c r="Q189" s="7"/>
      <c r="R189" s="7"/>
      <c r="S189" s="7"/>
      <c r="T189" s="7"/>
      <c r="U189" s="7"/>
      <c r="V189" s="7"/>
      <c r="W189" s="7"/>
      <c r="X189" s="7"/>
      <c r="Y189" s="7"/>
      <c r="Z189" s="7"/>
      <c r="AA189" s="7"/>
    </row>
    <row r="190">
      <c r="A190" s="54"/>
      <c r="B190" s="54"/>
      <c r="C190" s="7"/>
      <c r="D190" s="7"/>
      <c r="E190" s="7"/>
      <c r="F190" s="54"/>
      <c r="G190" s="54"/>
      <c r="H190" s="54"/>
      <c r="I190" s="54"/>
      <c r="J190" s="54"/>
      <c r="K190" s="54"/>
      <c r="L190" s="54"/>
      <c r="M190" s="54"/>
      <c r="N190" s="54"/>
      <c r="O190" s="54"/>
      <c r="P190" s="7"/>
      <c r="Q190" s="7"/>
      <c r="R190" s="7"/>
      <c r="S190" s="7"/>
      <c r="T190" s="7"/>
      <c r="U190" s="7"/>
      <c r="V190" s="7"/>
      <c r="W190" s="7"/>
      <c r="X190" s="7"/>
      <c r="Y190" s="7"/>
      <c r="Z190" s="7"/>
      <c r="AA190" s="7"/>
    </row>
    <row r="191">
      <c r="A191" s="54"/>
      <c r="B191" s="54"/>
      <c r="C191" s="7"/>
      <c r="D191" s="7"/>
      <c r="E191" s="7"/>
      <c r="F191" s="54"/>
      <c r="G191" s="54"/>
      <c r="H191" s="54"/>
      <c r="I191" s="54"/>
      <c r="J191" s="54"/>
      <c r="K191" s="54"/>
      <c r="L191" s="54"/>
      <c r="M191" s="54"/>
      <c r="N191" s="54"/>
      <c r="O191" s="54"/>
      <c r="P191" s="7"/>
      <c r="Q191" s="7"/>
      <c r="R191" s="7"/>
      <c r="S191" s="7"/>
      <c r="T191" s="7"/>
      <c r="U191" s="7"/>
      <c r="V191" s="7"/>
      <c r="W191" s="7"/>
      <c r="X191" s="7"/>
      <c r="Y191" s="7"/>
      <c r="Z191" s="7"/>
      <c r="AA191" s="7"/>
    </row>
    <row r="192">
      <c r="A192" s="54"/>
      <c r="B192" s="54"/>
      <c r="C192" s="7"/>
      <c r="D192" s="7"/>
      <c r="E192" s="7"/>
      <c r="F192" s="54"/>
      <c r="G192" s="54"/>
      <c r="H192" s="54"/>
      <c r="I192" s="54"/>
      <c r="J192" s="54"/>
      <c r="K192" s="54"/>
      <c r="L192" s="54"/>
      <c r="M192" s="54"/>
      <c r="N192" s="54"/>
      <c r="O192" s="54"/>
      <c r="P192" s="7"/>
      <c r="Q192" s="7"/>
      <c r="R192" s="7"/>
      <c r="S192" s="7"/>
      <c r="T192" s="7"/>
      <c r="U192" s="7"/>
      <c r="V192" s="7"/>
      <c r="W192" s="7"/>
      <c r="X192" s="7"/>
      <c r="Y192" s="7"/>
      <c r="Z192" s="7"/>
      <c r="AA192" s="7"/>
    </row>
    <row r="193">
      <c r="A193" s="54"/>
      <c r="B193" s="54"/>
      <c r="C193" s="7"/>
      <c r="D193" s="7"/>
      <c r="E193" s="7"/>
      <c r="F193" s="54"/>
      <c r="G193" s="54"/>
      <c r="H193" s="54"/>
      <c r="I193" s="54"/>
      <c r="J193" s="54"/>
      <c r="K193" s="54"/>
      <c r="L193" s="54"/>
      <c r="M193" s="54"/>
      <c r="N193" s="54"/>
      <c r="O193" s="54"/>
      <c r="P193" s="7"/>
      <c r="Q193" s="7"/>
      <c r="R193" s="7"/>
      <c r="S193" s="7"/>
      <c r="T193" s="7"/>
      <c r="U193" s="7"/>
      <c r="V193" s="7"/>
      <c r="W193" s="7"/>
      <c r="X193" s="7"/>
      <c r="Y193" s="7"/>
      <c r="Z193" s="7"/>
      <c r="AA193" s="7"/>
    </row>
    <row r="194">
      <c r="A194" s="54"/>
      <c r="B194" s="54"/>
      <c r="C194" s="7"/>
      <c r="D194" s="7"/>
      <c r="E194" s="7"/>
      <c r="F194" s="54"/>
      <c r="G194" s="54"/>
      <c r="H194" s="54"/>
      <c r="I194" s="54"/>
      <c r="J194" s="54"/>
      <c r="K194" s="54"/>
      <c r="L194" s="54"/>
      <c r="M194" s="54"/>
      <c r="N194" s="54"/>
      <c r="O194" s="54"/>
      <c r="P194" s="7"/>
      <c r="Q194" s="7"/>
      <c r="R194" s="7"/>
      <c r="S194" s="7"/>
      <c r="T194" s="7"/>
      <c r="U194" s="7"/>
      <c r="V194" s="7"/>
      <c r="W194" s="7"/>
      <c r="X194" s="7"/>
      <c r="Y194" s="7"/>
      <c r="Z194" s="7"/>
      <c r="AA194" s="7"/>
    </row>
    <row r="195">
      <c r="A195" s="54"/>
      <c r="B195" s="54"/>
      <c r="C195" s="7"/>
      <c r="D195" s="7"/>
      <c r="E195" s="7"/>
      <c r="F195" s="54"/>
      <c r="G195" s="54"/>
      <c r="H195" s="54"/>
      <c r="I195" s="54"/>
      <c r="J195" s="54"/>
      <c r="K195" s="54"/>
      <c r="L195" s="54"/>
      <c r="M195" s="54"/>
      <c r="N195" s="54"/>
      <c r="O195" s="54"/>
      <c r="P195" s="7"/>
      <c r="Q195" s="7"/>
      <c r="R195" s="7"/>
      <c r="S195" s="7"/>
      <c r="T195" s="7"/>
      <c r="U195" s="7"/>
      <c r="V195" s="7"/>
      <c r="W195" s="7"/>
      <c r="X195" s="7"/>
      <c r="Y195" s="7"/>
      <c r="Z195" s="7"/>
      <c r="AA195" s="7"/>
    </row>
    <row r="196">
      <c r="A196" s="54"/>
      <c r="B196" s="54"/>
      <c r="C196" s="7"/>
      <c r="D196" s="7"/>
      <c r="E196" s="7"/>
      <c r="F196" s="54"/>
      <c r="G196" s="54"/>
      <c r="H196" s="54"/>
      <c r="I196" s="54"/>
      <c r="J196" s="54"/>
      <c r="K196" s="54"/>
      <c r="L196" s="54"/>
      <c r="M196" s="54"/>
      <c r="N196" s="54"/>
      <c r="O196" s="54"/>
      <c r="P196" s="7"/>
      <c r="Q196" s="7"/>
      <c r="R196" s="7"/>
      <c r="S196" s="7"/>
      <c r="T196" s="7"/>
      <c r="U196" s="7"/>
      <c r="V196" s="7"/>
      <c r="W196" s="7"/>
      <c r="X196" s="7"/>
      <c r="Y196" s="7"/>
      <c r="Z196" s="7"/>
      <c r="AA196" s="7"/>
    </row>
    <row r="197">
      <c r="A197" s="54"/>
      <c r="B197" s="54"/>
      <c r="C197" s="7"/>
      <c r="D197" s="7"/>
      <c r="E197" s="7"/>
      <c r="F197" s="54"/>
      <c r="G197" s="54"/>
      <c r="H197" s="54"/>
      <c r="I197" s="54"/>
      <c r="J197" s="54"/>
      <c r="K197" s="54"/>
      <c r="L197" s="54"/>
      <c r="M197" s="54"/>
      <c r="N197" s="54"/>
      <c r="O197" s="54"/>
      <c r="P197" s="7"/>
      <c r="Q197" s="7"/>
      <c r="R197" s="7"/>
      <c r="S197" s="7"/>
      <c r="T197" s="7"/>
      <c r="U197" s="7"/>
      <c r="V197" s="7"/>
      <c r="W197" s="7"/>
      <c r="X197" s="7"/>
      <c r="Y197" s="7"/>
      <c r="Z197" s="7"/>
      <c r="AA197" s="7"/>
    </row>
    <row r="198">
      <c r="A198" s="54"/>
      <c r="B198" s="54"/>
      <c r="C198" s="7"/>
      <c r="D198" s="7"/>
      <c r="E198" s="7"/>
      <c r="F198" s="54"/>
      <c r="G198" s="54"/>
      <c r="H198" s="54"/>
      <c r="I198" s="54"/>
      <c r="J198" s="54"/>
      <c r="K198" s="54"/>
      <c r="L198" s="54"/>
      <c r="M198" s="54"/>
      <c r="N198" s="54"/>
      <c r="O198" s="54"/>
      <c r="P198" s="7"/>
      <c r="Q198" s="7"/>
      <c r="R198" s="7"/>
      <c r="S198" s="7"/>
      <c r="T198" s="7"/>
      <c r="U198" s="7"/>
      <c r="V198" s="7"/>
      <c r="W198" s="7"/>
      <c r="X198" s="7"/>
      <c r="Y198" s="7"/>
      <c r="Z198" s="7"/>
      <c r="AA198" s="7"/>
    </row>
    <row r="199">
      <c r="A199" s="54"/>
      <c r="B199" s="54"/>
      <c r="C199" s="7"/>
      <c r="D199" s="7"/>
      <c r="E199" s="7"/>
      <c r="F199" s="54"/>
      <c r="G199" s="54"/>
      <c r="H199" s="54"/>
      <c r="I199" s="54"/>
      <c r="J199" s="54"/>
      <c r="K199" s="54"/>
      <c r="L199" s="54"/>
      <c r="M199" s="54"/>
      <c r="N199" s="54"/>
      <c r="O199" s="54"/>
      <c r="P199" s="7"/>
      <c r="Q199" s="7"/>
      <c r="R199" s="7"/>
      <c r="S199" s="7"/>
      <c r="T199" s="7"/>
      <c r="U199" s="7"/>
      <c r="V199" s="7"/>
      <c r="W199" s="7"/>
      <c r="X199" s="7"/>
      <c r="Y199" s="7"/>
      <c r="Z199" s="7"/>
      <c r="AA199" s="7"/>
    </row>
    <row r="200">
      <c r="A200" s="54"/>
      <c r="B200" s="54"/>
      <c r="C200" s="7"/>
      <c r="D200" s="7"/>
      <c r="E200" s="7"/>
      <c r="F200" s="54"/>
      <c r="G200" s="54"/>
      <c r="H200" s="54"/>
      <c r="I200" s="54"/>
      <c r="J200" s="54"/>
      <c r="K200" s="54"/>
      <c r="L200" s="54"/>
      <c r="M200" s="54"/>
      <c r="N200" s="54"/>
      <c r="O200" s="54"/>
      <c r="P200" s="7"/>
      <c r="Q200" s="7"/>
      <c r="R200" s="7"/>
      <c r="S200" s="7"/>
      <c r="T200" s="7"/>
      <c r="U200" s="7"/>
      <c r="V200" s="7"/>
      <c r="W200" s="7"/>
      <c r="X200" s="7"/>
      <c r="Y200" s="7"/>
      <c r="Z200" s="7"/>
      <c r="AA200" s="7"/>
    </row>
    <row r="201">
      <c r="A201" s="54"/>
      <c r="B201" s="54"/>
      <c r="C201" s="7"/>
      <c r="D201" s="7"/>
      <c r="E201" s="7"/>
      <c r="F201" s="54"/>
      <c r="G201" s="54"/>
      <c r="H201" s="54"/>
      <c r="I201" s="54"/>
      <c r="J201" s="54"/>
      <c r="K201" s="54"/>
      <c r="L201" s="54"/>
      <c r="M201" s="54"/>
      <c r="N201" s="54"/>
      <c r="O201" s="54"/>
      <c r="P201" s="7"/>
      <c r="Q201" s="7"/>
      <c r="R201" s="7"/>
      <c r="S201" s="7"/>
      <c r="T201" s="7"/>
      <c r="U201" s="7"/>
      <c r="V201" s="7"/>
      <c r="W201" s="7"/>
      <c r="X201" s="7"/>
      <c r="Y201" s="7"/>
      <c r="Z201" s="7"/>
      <c r="AA201" s="7"/>
    </row>
    <row r="202">
      <c r="A202" s="54"/>
      <c r="B202" s="54"/>
      <c r="C202" s="7"/>
      <c r="D202" s="7"/>
      <c r="E202" s="7"/>
      <c r="F202" s="54"/>
      <c r="G202" s="54"/>
      <c r="H202" s="54"/>
      <c r="I202" s="54"/>
      <c r="J202" s="54"/>
      <c r="K202" s="54"/>
      <c r="L202" s="54"/>
      <c r="M202" s="54"/>
      <c r="N202" s="54"/>
      <c r="O202" s="54"/>
      <c r="P202" s="7"/>
      <c r="Q202" s="7"/>
      <c r="R202" s="7"/>
      <c r="S202" s="7"/>
      <c r="T202" s="7"/>
      <c r="U202" s="7"/>
      <c r="V202" s="7"/>
      <c r="W202" s="7"/>
      <c r="X202" s="7"/>
      <c r="Y202" s="7"/>
      <c r="Z202" s="7"/>
      <c r="AA202" s="7"/>
    </row>
    <row r="203">
      <c r="A203" s="54"/>
      <c r="B203" s="54"/>
      <c r="C203" s="7"/>
      <c r="D203" s="7"/>
      <c r="E203" s="7"/>
      <c r="F203" s="54"/>
      <c r="G203" s="54"/>
      <c r="H203" s="54"/>
      <c r="I203" s="54"/>
      <c r="J203" s="54"/>
      <c r="K203" s="54"/>
      <c r="L203" s="54"/>
      <c r="M203" s="54"/>
      <c r="N203" s="54"/>
      <c r="O203" s="54"/>
      <c r="P203" s="7"/>
      <c r="Q203" s="7"/>
      <c r="R203" s="7"/>
      <c r="S203" s="7"/>
      <c r="T203" s="7"/>
      <c r="U203" s="7"/>
      <c r="V203" s="7"/>
      <c r="W203" s="7"/>
      <c r="X203" s="7"/>
      <c r="Y203" s="7"/>
      <c r="Z203" s="7"/>
      <c r="AA203" s="7"/>
    </row>
    <row r="204">
      <c r="A204" s="54"/>
      <c r="B204" s="54"/>
      <c r="C204" s="7"/>
      <c r="D204" s="7"/>
      <c r="E204" s="7"/>
      <c r="F204" s="54"/>
      <c r="G204" s="54"/>
      <c r="H204" s="54"/>
      <c r="I204" s="54"/>
      <c r="J204" s="54"/>
      <c r="K204" s="54"/>
      <c r="L204" s="54"/>
      <c r="M204" s="54"/>
      <c r="N204" s="54"/>
      <c r="O204" s="54"/>
      <c r="P204" s="7"/>
      <c r="Q204" s="7"/>
      <c r="R204" s="7"/>
      <c r="S204" s="7"/>
      <c r="T204" s="7"/>
      <c r="U204" s="7"/>
      <c r="V204" s="7"/>
      <c r="W204" s="7"/>
      <c r="X204" s="7"/>
      <c r="Y204" s="7"/>
      <c r="Z204" s="7"/>
      <c r="AA204" s="7"/>
    </row>
    <row r="205">
      <c r="A205" s="54"/>
      <c r="B205" s="54"/>
      <c r="C205" s="7"/>
      <c r="D205" s="7"/>
      <c r="E205" s="7"/>
      <c r="F205" s="54"/>
      <c r="G205" s="54"/>
      <c r="H205" s="54"/>
      <c r="I205" s="54"/>
      <c r="J205" s="54"/>
      <c r="K205" s="54"/>
      <c r="L205" s="54"/>
      <c r="M205" s="54"/>
      <c r="N205" s="54"/>
      <c r="O205" s="54"/>
      <c r="P205" s="7"/>
      <c r="Q205" s="7"/>
      <c r="R205" s="7"/>
      <c r="S205" s="7"/>
      <c r="T205" s="7"/>
      <c r="U205" s="7"/>
      <c r="V205" s="7"/>
      <c r="W205" s="7"/>
      <c r="X205" s="7"/>
      <c r="Y205" s="7"/>
      <c r="Z205" s="7"/>
      <c r="AA205" s="7"/>
    </row>
    <row r="206">
      <c r="A206" s="54"/>
      <c r="B206" s="54"/>
      <c r="C206" s="7"/>
      <c r="D206" s="7"/>
      <c r="E206" s="7"/>
      <c r="F206" s="54"/>
      <c r="G206" s="54"/>
      <c r="H206" s="54"/>
      <c r="I206" s="54"/>
      <c r="J206" s="54"/>
      <c r="K206" s="54"/>
      <c r="L206" s="54"/>
      <c r="M206" s="54"/>
      <c r="N206" s="54"/>
      <c r="O206" s="54"/>
      <c r="P206" s="7"/>
      <c r="Q206" s="7"/>
      <c r="R206" s="7"/>
      <c r="S206" s="7"/>
      <c r="T206" s="7"/>
      <c r="U206" s="7"/>
      <c r="V206" s="7"/>
      <c r="W206" s="7"/>
      <c r="X206" s="7"/>
      <c r="Y206" s="7"/>
      <c r="Z206" s="7"/>
      <c r="AA206" s="7"/>
    </row>
    <row r="207">
      <c r="A207" s="54"/>
      <c r="B207" s="54"/>
      <c r="C207" s="7"/>
      <c r="D207" s="7"/>
      <c r="E207" s="7"/>
      <c r="F207" s="54"/>
      <c r="G207" s="54"/>
      <c r="H207" s="54"/>
      <c r="I207" s="54"/>
      <c r="J207" s="54"/>
      <c r="K207" s="54"/>
      <c r="L207" s="54"/>
      <c r="M207" s="54"/>
      <c r="N207" s="54"/>
      <c r="O207" s="54"/>
      <c r="P207" s="7"/>
      <c r="Q207" s="7"/>
      <c r="R207" s="7"/>
      <c r="S207" s="7"/>
      <c r="T207" s="7"/>
      <c r="U207" s="7"/>
      <c r="V207" s="7"/>
      <c r="W207" s="7"/>
      <c r="X207" s="7"/>
      <c r="Y207" s="7"/>
      <c r="Z207" s="7"/>
      <c r="AA207" s="7"/>
    </row>
    <row r="208">
      <c r="A208" s="54"/>
      <c r="B208" s="54"/>
      <c r="C208" s="7"/>
      <c r="D208" s="7"/>
      <c r="E208" s="7"/>
      <c r="F208" s="54"/>
      <c r="G208" s="54"/>
      <c r="H208" s="54"/>
      <c r="I208" s="54"/>
      <c r="J208" s="54"/>
      <c r="K208" s="54"/>
      <c r="L208" s="54"/>
      <c r="M208" s="54"/>
      <c r="N208" s="54"/>
      <c r="O208" s="54"/>
      <c r="P208" s="7"/>
      <c r="Q208" s="7"/>
      <c r="R208" s="7"/>
      <c r="S208" s="7"/>
      <c r="T208" s="7"/>
      <c r="U208" s="7"/>
      <c r="V208" s="7"/>
      <c r="W208" s="7"/>
      <c r="X208" s="7"/>
      <c r="Y208" s="7"/>
      <c r="Z208" s="7"/>
      <c r="AA208" s="7"/>
    </row>
    <row r="209">
      <c r="A209" s="54"/>
      <c r="B209" s="54"/>
      <c r="C209" s="7"/>
      <c r="D209" s="7"/>
      <c r="E209" s="7"/>
      <c r="F209" s="54"/>
      <c r="G209" s="54"/>
      <c r="H209" s="54"/>
      <c r="I209" s="54"/>
      <c r="J209" s="54"/>
      <c r="K209" s="54"/>
      <c r="L209" s="54"/>
      <c r="M209" s="54"/>
      <c r="N209" s="54"/>
      <c r="O209" s="54"/>
      <c r="P209" s="7"/>
      <c r="Q209" s="7"/>
      <c r="R209" s="7"/>
      <c r="S209" s="7"/>
      <c r="T209" s="7"/>
      <c r="U209" s="7"/>
      <c r="V209" s="7"/>
      <c r="W209" s="7"/>
      <c r="X209" s="7"/>
      <c r="Y209" s="7"/>
      <c r="Z209" s="7"/>
      <c r="AA209" s="7"/>
    </row>
    <row r="210">
      <c r="A210" s="54"/>
      <c r="B210" s="54"/>
      <c r="C210" s="7"/>
      <c r="D210" s="7"/>
      <c r="E210" s="7"/>
      <c r="F210" s="54"/>
      <c r="G210" s="54"/>
      <c r="H210" s="54"/>
      <c r="I210" s="54"/>
      <c r="J210" s="54"/>
      <c r="K210" s="54"/>
      <c r="L210" s="54"/>
      <c r="M210" s="54"/>
      <c r="N210" s="54"/>
      <c r="O210" s="54"/>
      <c r="P210" s="7"/>
      <c r="Q210" s="7"/>
      <c r="R210" s="7"/>
      <c r="S210" s="7"/>
      <c r="T210" s="7"/>
      <c r="U210" s="7"/>
      <c r="V210" s="7"/>
      <c r="W210" s="7"/>
      <c r="X210" s="7"/>
      <c r="Y210" s="7"/>
      <c r="Z210" s="7"/>
      <c r="AA210" s="7"/>
    </row>
    <row r="211">
      <c r="A211" s="54"/>
      <c r="B211" s="54"/>
      <c r="C211" s="7"/>
      <c r="D211" s="7"/>
      <c r="E211" s="7"/>
      <c r="F211" s="54"/>
      <c r="G211" s="54"/>
      <c r="H211" s="54"/>
      <c r="I211" s="54"/>
      <c r="J211" s="54"/>
      <c r="K211" s="54"/>
      <c r="L211" s="54"/>
      <c r="M211" s="54"/>
      <c r="N211" s="54"/>
      <c r="O211" s="54"/>
      <c r="P211" s="7"/>
      <c r="Q211" s="7"/>
      <c r="R211" s="7"/>
      <c r="S211" s="7"/>
      <c r="T211" s="7"/>
      <c r="U211" s="7"/>
      <c r="V211" s="7"/>
      <c r="W211" s="7"/>
      <c r="X211" s="7"/>
      <c r="Y211" s="7"/>
      <c r="Z211" s="7"/>
      <c r="AA211" s="7"/>
    </row>
    <row r="212">
      <c r="A212" s="54"/>
      <c r="B212" s="54"/>
      <c r="C212" s="7"/>
      <c r="D212" s="7"/>
      <c r="E212" s="7"/>
      <c r="F212" s="54"/>
      <c r="G212" s="54"/>
      <c r="H212" s="54"/>
      <c r="I212" s="54"/>
      <c r="J212" s="54"/>
      <c r="K212" s="54"/>
      <c r="L212" s="54"/>
      <c r="M212" s="54"/>
      <c r="N212" s="54"/>
      <c r="O212" s="54"/>
      <c r="P212" s="7"/>
      <c r="Q212" s="7"/>
      <c r="R212" s="7"/>
      <c r="S212" s="7"/>
      <c r="T212" s="7"/>
      <c r="U212" s="7"/>
      <c r="V212" s="7"/>
      <c r="W212" s="7"/>
      <c r="X212" s="7"/>
      <c r="Y212" s="7"/>
      <c r="Z212" s="7"/>
      <c r="AA212" s="7"/>
    </row>
    <row r="213">
      <c r="A213" s="54"/>
      <c r="B213" s="54"/>
      <c r="C213" s="7"/>
      <c r="D213" s="7"/>
      <c r="E213" s="7"/>
      <c r="F213" s="54"/>
      <c r="G213" s="54"/>
      <c r="H213" s="54"/>
      <c r="I213" s="54"/>
      <c r="J213" s="54"/>
      <c r="K213" s="54"/>
      <c r="L213" s="54"/>
      <c r="M213" s="54"/>
      <c r="N213" s="54"/>
      <c r="O213" s="54"/>
      <c r="P213" s="7"/>
      <c r="Q213" s="7"/>
      <c r="R213" s="7"/>
      <c r="S213" s="7"/>
      <c r="T213" s="7"/>
      <c r="U213" s="7"/>
      <c r="V213" s="7"/>
      <c r="W213" s="7"/>
      <c r="X213" s="7"/>
      <c r="Y213" s="7"/>
      <c r="Z213" s="7"/>
      <c r="AA213" s="7"/>
    </row>
    <row r="214">
      <c r="A214" s="54"/>
      <c r="B214" s="54"/>
      <c r="C214" s="7"/>
      <c r="D214" s="7"/>
      <c r="E214" s="7"/>
      <c r="F214" s="54"/>
      <c r="G214" s="54"/>
      <c r="H214" s="54"/>
      <c r="I214" s="54"/>
      <c r="J214" s="54"/>
      <c r="K214" s="54"/>
      <c r="L214" s="54"/>
      <c r="M214" s="54"/>
      <c r="N214" s="54"/>
      <c r="O214" s="54"/>
      <c r="P214" s="7"/>
      <c r="Q214" s="7"/>
      <c r="R214" s="7"/>
      <c r="S214" s="7"/>
      <c r="T214" s="7"/>
      <c r="U214" s="7"/>
      <c r="V214" s="7"/>
      <c r="W214" s="7"/>
      <c r="X214" s="7"/>
      <c r="Y214" s="7"/>
      <c r="Z214" s="7"/>
      <c r="AA214" s="7"/>
    </row>
    <row r="215">
      <c r="A215" s="54"/>
      <c r="B215" s="54"/>
      <c r="C215" s="7"/>
      <c r="D215" s="7"/>
      <c r="E215" s="7"/>
      <c r="F215" s="54"/>
      <c r="G215" s="54"/>
      <c r="H215" s="54"/>
      <c r="I215" s="54"/>
      <c r="J215" s="54"/>
      <c r="K215" s="54"/>
      <c r="L215" s="54"/>
      <c r="M215" s="54"/>
      <c r="N215" s="54"/>
      <c r="O215" s="54"/>
      <c r="P215" s="7"/>
      <c r="Q215" s="7"/>
      <c r="R215" s="7"/>
      <c r="S215" s="7"/>
      <c r="T215" s="7"/>
      <c r="U215" s="7"/>
      <c r="V215" s="7"/>
      <c r="W215" s="7"/>
      <c r="X215" s="7"/>
      <c r="Y215" s="7"/>
      <c r="Z215" s="7"/>
      <c r="AA215" s="7"/>
    </row>
    <row r="216">
      <c r="A216" s="54"/>
      <c r="B216" s="54"/>
      <c r="C216" s="7"/>
      <c r="D216" s="7"/>
      <c r="E216" s="7"/>
      <c r="F216" s="54"/>
      <c r="G216" s="54"/>
      <c r="H216" s="54"/>
      <c r="I216" s="54"/>
      <c r="J216" s="54"/>
      <c r="K216" s="54"/>
      <c r="L216" s="54"/>
      <c r="M216" s="54"/>
      <c r="N216" s="54"/>
      <c r="O216" s="54"/>
      <c r="P216" s="7"/>
      <c r="Q216" s="7"/>
      <c r="R216" s="7"/>
      <c r="S216" s="7"/>
      <c r="T216" s="7"/>
      <c r="U216" s="7"/>
      <c r="V216" s="7"/>
      <c r="W216" s="7"/>
      <c r="X216" s="7"/>
      <c r="Y216" s="7"/>
      <c r="Z216" s="7"/>
      <c r="AA216" s="7"/>
    </row>
    <row r="217">
      <c r="A217" s="54"/>
      <c r="B217" s="54"/>
      <c r="C217" s="7"/>
      <c r="D217" s="7"/>
      <c r="E217" s="7"/>
      <c r="F217" s="54"/>
      <c r="G217" s="54"/>
      <c r="H217" s="54"/>
      <c r="I217" s="54"/>
      <c r="J217" s="54"/>
      <c r="K217" s="54"/>
      <c r="L217" s="54"/>
      <c r="M217" s="54"/>
      <c r="N217" s="54"/>
      <c r="O217" s="54"/>
      <c r="P217" s="7"/>
      <c r="Q217" s="7"/>
      <c r="R217" s="7"/>
      <c r="S217" s="7"/>
      <c r="T217" s="7"/>
      <c r="U217" s="7"/>
      <c r="V217" s="7"/>
      <c r="W217" s="7"/>
      <c r="X217" s="7"/>
      <c r="Y217" s="7"/>
      <c r="Z217" s="7"/>
      <c r="AA217" s="7"/>
    </row>
    <row r="218">
      <c r="A218" s="54"/>
      <c r="B218" s="54"/>
      <c r="C218" s="7"/>
      <c r="D218" s="7"/>
      <c r="E218" s="7"/>
      <c r="F218" s="54"/>
      <c r="G218" s="54"/>
      <c r="H218" s="54"/>
      <c r="I218" s="54"/>
      <c r="J218" s="54"/>
      <c r="K218" s="54"/>
      <c r="L218" s="54"/>
      <c r="M218" s="54"/>
      <c r="N218" s="54"/>
      <c r="O218" s="54"/>
      <c r="P218" s="7"/>
      <c r="Q218" s="7"/>
      <c r="R218" s="7"/>
      <c r="S218" s="7"/>
      <c r="T218" s="7"/>
      <c r="U218" s="7"/>
      <c r="V218" s="7"/>
      <c r="W218" s="7"/>
      <c r="X218" s="7"/>
      <c r="Y218" s="7"/>
      <c r="Z218" s="7"/>
      <c r="AA218" s="7"/>
    </row>
    <row r="219">
      <c r="A219" s="54"/>
      <c r="B219" s="54"/>
      <c r="C219" s="7"/>
      <c r="D219" s="7"/>
      <c r="E219" s="7"/>
      <c r="F219" s="54"/>
      <c r="G219" s="54"/>
      <c r="H219" s="54"/>
      <c r="I219" s="54"/>
      <c r="J219" s="54"/>
      <c r="K219" s="54"/>
      <c r="L219" s="54"/>
      <c r="M219" s="54"/>
      <c r="N219" s="54"/>
      <c r="O219" s="54"/>
      <c r="P219" s="7"/>
      <c r="Q219" s="7"/>
      <c r="R219" s="7"/>
      <c r="S219" s="7"/>
      <c r="T219" s="7"/>
      <c r="U219" s="7"/>
      <c r="V219" s="7"/>
      <c r="W219" s="7"/>
      <c r="X219" s="7"/>
      <c r="Y219" s="7"/>
      <c r="Z219" s="7"/>
      <c r="AA219" s="7"/>
    </row>
    <row r="220">
      <c r="A220" s="54"/>
      <c r="B220" s="54"/>
      <c r="C220" s="7"/>
      <c r="D220" s="7"/>
      <c r="E220" s="7"/>
      <c r="F220" s="54"/>
      <c r="G220" s="54"/>
      <c r="H220" s="54"/>
      <c r="I220" s="54"/>
      <c r="J220" s="54"/>
      <c r="K220" s="54"/>
      <c r="L220" s="54"/>
      <c r="M220" s="54"/>
      <c r="N220" s="54"/>
      <c r="O220" s="54"/>
      <c r="P220" s="7"/>
      <c r="Q220" s="7"/>
      <c r="R220" s="7"/>
      <c r="S220" s="7"/>
      <c r="T220" s="7"/>
      <c r="U220" s="7"/>
      <c r="V220" s="7"/>
      <c r="W220" s="7"/>
      <c r="X220" s="7"/>
      <c r="Y220" s="7"/>
      <c r="Z220" s="7"/>
      <c r="AA220" s="7"/>
    </row>
    <row r="221">
      <c r="A221" s="54"/>
      <c r="B221" s="54"/>
      <c r="C221" s="7"/>
      <c r="D221" s="7"/>
      <c r="E221" s="7"/>
      <c r="F221" s="54"/>
      <c r="G221" s="54"/>
      <c r="H221" s="54"/>
      <c r="I221" s="54"/>
      <c r="J221" s="54"/>
      <c r="K221" s="54"/>
      <c r="L221" s="54"/>
      <c r="M221" s="54"/>
      <c r="N221" s="54"/>
      <c r="O221" s="54"/>
      <c r="P221" s="7"/>
      <c r="Q221" s="7"/>
      <c r="R221" s="7"/>
      <c r="S221" s="7"/>
      <c r="T221" s="7"/>
      <c r="U221" s="7"/>
      <c r="V221" s="7"/>
      <c r="W221" s="7"/>
      <c r="X221" s="7"/>
      <c r="Y221" s="7"/>
      <c r="Z221" s="7"/>
      <c r="AA221" s="7"/>
    </row>
    <row r="222">
      <c r="A222" s="54"/>
      <c r="B222" s="54"/>
      <c r="C222" s="7"/>
      <c r="D222" s="7"/>
      <c r="E222" s="7"/>
      <c r="F222" s="54"/>
      <c r="G222" s="54"/>
      <c r="H222" s="54"/>
      <c r="I222" s="54"/>
      <c r="J222" s="54"/>
      <c r="K222" s="54"/>
      <c r="L222" s="54"/>
      <c r="M222" s="54"/>
      <c r="N222" s="54"/>
      <c r="O222" s="54"/>
      <c r="P222" s="7"/>
      <c r="Q222" s="7"/>
      <c r="R222" s="7"/>
      <c r="S222" s="7"/>
      <c r="T222" s="7"/>
      <c r="U222" s="7"/>
      <c r="V222" s="7"/>
      <c r="W222" s="7"/>
      <c r="X222" s="7"/>
      <c r="Y222" s="7"/>
      <c r="Z222" s="7"/>
      <c r="AA222" s="7"/>
    </row>
    <row r="223">
      <c r="A223" s="54"/>
      <c r="B223" s="54"/>
      <c r="C223" s="7"/>
      <c r="D223" s="7"/>
      <c r="E223" s="7"/>
      <c r="F223" s="54"/>
      <c r="G223" s="54"/>
      <c r="H223" s="54"/>
      <c r="I223" s="54"/>
      <c r="J223" s="54"/>
      <c r="K223" s="54"/>
      <c r="L223" s="54"/>
      <c r="M223" s="54"/>
      <c r="N223" s="54"/>
      <c r="O223" s="54"/>
      <c r="P223" s="7"/>
      <c r="Q223" s="7"/>
      <c r="R223" s="7"/>
      <c r="S223" s="7"/>
      <c r="T223" s="7"/>
      <c r="U223" s="7"/>
      <c r="V223" s="7"/>
      <c r="W223" s="7"/>
      <c r="X223" s="7"/>
      <c r="Y223" s="7"/>
      <c r="Z223" s="7"/>
      <c r="AA223" s="7"/>
    </row>
    <row r="224">
      <c r="A224" s="54"/>
      <c r="B224" s="54"/>
      <c r="C224" s="7"/>
      <c r="D224" s="7"/>
      <c r="E224" s="7"/>
      <c r="F224" s="54"/>
      <c r="G224" s="54"/>
      <c r="H224" s="54"/>
      <c r="I224" s="54"/>
      <c r="J224" s="54"/>
      <c r="K224" s="54"/>
      <c r="L224" s="54"/>
      <c r="M224" s="54"/>
      <c r="N224" s="54"/>
      <c r="O224" s="54"/>
      <c r="P224" s="7"/>
      <c r="Q224" s="7"/>
      <c r="R224" s="7"/>
      <c r="S224" s="7"/>
      <c r="T224" s="7"/>
      <c r="U224" s="7"/>
      <c r="V224" s="7"/>
      <c r="W224" s="7"/>
      <c r="X224" s="7"/>
      <c r="Y224" s="7"/>
      <c r="Z224" s="7"/>
      <c r="AA224" s="7"/>
    </row>
    <row r="225">
      <c r="A225" s="54"/>
      <c r="B225" s="54"/>
      <c r="C225" s="7"/>
      <c r="D225" s="7"/>
      <c r="E225" s="7"/>
      <c r="F225" s="54"/>
      <c r="G225" s="54"/>
      <c r="H225" s="54"/>
      <c r="I225" s="54"/>
      <c r="J225" s="54"/>
      <c r="K225" s="54"/>
      <c r="L225" s="54"/>
      <c r="M225" s="54"/>
      <c r="N225" s="54"/>
      <c r="O225" s="54"/>
      <c r="P225" s="7"/>
      <c r="Q225" s="7"/>
      <c r="R225" s="7"/>
      <c r="S225" s="7"/>
      <c r="T225" s="7"/>
      <c r="U225" s="7"/>
      <c r="V225" s="7"/>
      <c r="W225" s="7"/>
      <c r="X225" s="7"/>
      <c r="Y225" s="7"/>
      <c r="Z225" s="7"/>
      <c r="AA225" s="7"/>
    </row>
    <row r="226">
      <c r="A226" s="54"/>
      <c r="B226" s="54"/>
      <c r="C226" s="7"/>
      <c r="D226" s="7"/>
      <c r="E226" s="7"/>
      <c r="F226" s="54"/>
      <c r="G226" s="54"/>
      <c r="H226" s="54"/>
      <c r="I226" s="54"/>
      <c r="J226" s="54"/>
      <c r="K226" s="54"/>
      <c r="L226" s="54"/>
      <c r="M226" s="54"/>
      <c r="N226" s="54"/>
      <c r="O226" s="54"/>
      <c r="P226" s="7"/>
      <c r="Q226" s="7"/>
      <c r="R226" s="7"/>
      <c r="S226" s="7"/>
      <c r="T226" s="7"/>
      <c r="U226" s="7"/>
      <c r="V226" s="7"/>
      <c r="W226" s="7"/>
      <c r="X226" s="7"/>
      <c r="Y226" s="7"/>
      <c r="Z226" s="7"/>
      <c r="AA226" s="7"/>
    </row>
    <row r="227">
      <c r="A227" s="54"/>
      <c r="B227" s="54"/>
      <c r="C227" s="7"/>
      <c r="D227" s="7"/>
      <c r="E227" s="7"/>
      <c r="F227" s="54"/>
      <c r="G227" s="54"/>
      <c r="H227" s="54"/>
      <c r="I227" s="54"/>
      <c r="J227" s="54"/>
      <c r="K227" s="54"/>
      <c r="L227" s="54"/>
      <c r="M227" s="54"/>
      <c r="N227" s="54"/>
      <c r="O227" s="54"/>
      <c r="P227" s="7"/>
      <c r="Q227" s="7"/>
      <c r="R227" s="7"/>
      <c r="S227" s="7"/>
      <c r="T227" s="7"/>
      <c r="U227" s="7"/>
      <c r="V227" s="7"/>
      <c r="W227" s="7"/>
      <c r="X227" s="7"/>
      <c r="Y227" s="7"/>
      <c r="Z227" s="7"/>
      <c r="AA227" s="7"/>
    </row>
    <row r="228">
      <c r="A228" s="54"/>
      <c r="B228" s="54"/>
      <c r="C228" s="7"/>
      <c r="D228" s="7"/>
      <c r="E228" s="7"/>
      <c r="F228" s="54"/>
      <c r="G228" s="54"/>
      <c r="H228" s="54"/>
      <c r="I228" s="54"/>
      <c r="J228" s="54"/>
      <c r="K228" s="54"/>
      <c r="L228" s="54"/>
      <c r="M228" s="54"/>
      <c r="N228" s="54"/>
      <c r="O228" s="54"/>
      <c r="P228" s="7"/>
      <c r="Q228" s="7"/>
      <c r="R228" s="7"/>
      <c r="S228" s="7"/>
      <c r="T228" s="7"/>
      <c r="U228" s="7"/>
      <c r="V228" s="7"/>
      <c r="W228" s="7"/>
      <c r="X228" s="7"/>
      <c r="Y228" s="7"/>
      <c r="Z228" s="7"/>
      <c r="AA228" s="7"/>
    </row>
    <row r="229">
      <c r="A229" s="54"/>
      <c r="B229" s="54"/>
      <c r="C229" s="7"/>
      <c r="D229" s="7"/>
      <c r="E229" s="7"/>
      <c r="F229" s="54"/>
      <c r="G229" s="54"/>
      <c r="H229" s="54"/>
      <c r="I229" s="54"/>
      <c r="J229" s="54"/>
      <c r="K229" s="54"/>
      <c r="L229" s="54"/>
      <c r="M229" s="54"/>
      <c r="N229" s="54"/>
      <c r="O229" s="54"/>
      <c r="P229" s="7"/>
      <c r="Q229" s="7"/>
      <c r="R229" s="7"/>
      <c r="S229" s="7"/>
      <c r="T229" s="7"/>
      <c r="U229" s="7"/>
      <c r="V229" s="7"/>
      <c r="W229" s="7"/>
      <c r="X229" s="7"/>
      <c r="Y229" s="7"/>
      <c r="Z229" s="7"/>
      <c r="AA229" s="7"/>
    </row>
    <row r="230">
      <c r="A230" s="54"/>
      <c r="B230" s="54"/>
      <c r="C230" s="7"/>
      <c r="D230" s="7"/>
      <c r="E230" s="7"/>
      <c r="F230" s="54"/>
      <c r="G230" s="54"/>
      <c r="H230" s="54"/>
      <c r="I230" s="54"/>
      <c r="J230" s="54"/>
      <c r="K230" s="54"/>
      <c r="L230" s="54"/>
      <c r="M230" s="54"/>
      <c r="N230" s="54"/>
      <c r="O230" s="54"/>
      <c r="P230" s="7"/>
      <c r="Q230" s="7"/>
      <c r="R230" s="7"/>
      <c r="S230" s="7"/>
      <c r="T230" s="7"/>
      <c r="U230" s="7"/>
      <c r="V230" s="7"/>
      <c r="W230" s="7"/>
      <c r="X230" s="7"/>
      <c r="Y230" s="7"/>
      <c r="Z230" s="7"/>
      <c r="AA230" s="7"/>
    </row>
    <row r="231">
      <c r="A231" s="54"/>
      <c r="B231" s="54"/>
      <c r="C231" s="7"/>
      <c r="D231" s="7"/>
      <c r="E231" s="7"/>
      <c r="F231" s="54"/>
      <c r="G231" s="54"/>
      <c r="H231" s="54"/>
      <c r="I231" s="54"/>
      <c r="J231" s="54"/>
      <c r="K231" s="54"/>
      <c r="L231" s="54"/>
      <c r="M231" s="54"/>
      <c r="N231" s="54"/>
      <c r="O231" s="54"/>
      <c r="P231" s="7"/>
      <c r="Q231" s="7"/>
      <c r="R231" s="7"/>
      <c r="S231" s="7"/>
      <c r="T231" s="7"/>
      <c r="U231" s="7"/>
      <c r="V231" s="7"/>
      <c r="W231" s="7"/>
      <c r="X231" s="7"/>
      <c r="Y231" s="7"/>
      <c r="Z231" s="7"/>
      <c r="AA231" s="7"/>
    </row>
    <row r="232">
      <c r="A232" s="54"/>
      <c r="B232" s="54"/>
      <c r="C232" s="7"/>
      <c r="D232" s="7"/>
      <c r="E232" s="7"/>
      <c r="F232" s="54"/>
      <c r="G232" s="54"/>
      <c r="H232" s="54"/>
      <c r="I232" s="54"/>
      <c r="J232" s="54"/>
      <c r="K232" s="54"/>
      <c r="L232" s="54"/>
      <c r="M232" s="54"/>
      <c r="N232" s="54"/>
      <c r="O232" s="54"/>
      <c r="P232" s="7"/>
      <c r="Q232" s="7"/>
      <c r="R232" s="7"/>
      <c r="S232" s="7"/>
      <c r="T232" s="7"/>
      <c r="U232" s="7"/>
      <c r="V232" s="7"/>
      <c r="W232" s="7"/>
      <c r="X232" s="7"/>
      <c r="Y232" s="7"/>
      <c r="Z232" s="7"/>
      <c r="AA232" s="7"/>
    </row>
    <row r="233">
      <c r="A233" s="54"/>
      <c r="B233" s="54"/>
      <c r="C233" s="7"/>
      <c r="D233" s="7"/>
      <c r="E233" s="7"/>
      <c r="F233" s="54"/>
      <c r="G233" s="54"/>
      <c r="H233" s="54"/>
      <c r="I233" s="54"/>
      <c r="J233" s="54"/>
      <c r="K233" s="54"/>
      <c r="L233" s="54"/>
      <c r="M233" s="54"/>
      <c r="N233" s="54"/>
      <c r="O233" s="54"/>
      <c r="P233" s="7"/>
      <c r="Q233" s="7"/>
      <c r="R233" s="7"/>
      <c r="S233" s="7"/>
      <c r="T233" s="7"/>
      <c r="U233" s="7"/>
      <c r="V233" s="7"/>
      <c r="W233" s="7"/>
      <c r="X233" s="7"/>
      <c r="Y233" s="7"/>
      <c r="Z233" s="7"/>
      <c r="AA233" s="7"/>
    </row>
    <row r="234">
      <c r="A234" s="54"/>
      <c r="B234" s="54"/>
      <c r="C234" s="7"/>
      <c r="D234" s="7"/>
      <c r="E234" s="7"/>
      <c r="F234" s="54"/>
      <c r="G234" s="54"/>
      <c r="H234" s="54"/>
      <c r="I234" s="54"/>
      <c r="J234" s="54"/>
      <c r="K234" s="54"/>
      <c r="L234" s="54"/>
      <c r="M234" s="54"/>
      <c r="N234" s="54"/>
      <c r="O234" s="54"/>
      <c r="P234" s="7"/>
      <c r="Q234" s="7"/>
      <c r="R234" s="7"/>
      <c r="S234" s="7"/>
      <c r="T234" s="7"/>
      <c r="U234" s="7"/>
      <c r="V234" s="7"/>
      <c r="W234" s="7"/>
      <c r="X234" s="7"/>
      <c r="Y234" s="7"/>
      <c r="Z234" s="7"/>
      <c r="AA234" s="7"/>
    </row>
    <row r="235">
      <c r="A235" s="54"/>
      <c r="B235" s="54"/>
      <c r="C235" s="7"/>
      <c r="D235" s="7"/>
      <c r="E235" s="7"/>
      <c r="F235" s="54"/>
      <c r="G235" s="54"/>
      <c r="H235" s="54"/>
      <c r="I235" s="54"/>
      <c r="J235" s="54"/>
      <c r="K235" s="54"/>
      <c r="L235" s="54"/>
      <c r="M235" s="54"/>
      <c r="N235" s="54"/>
      <c r="O235" s="54"/>
      <c r="P235" s="7"/>
      <c r="Q235" s="7"/>
      <c r="R235" s="7"/>
      <c r="S235" s="7"/>
      <c r="T235" s="7"/>
      <c r="U235" s="7"/>
      <c r="V235" s="7"/>
      <c r="W235" s="7"/>
      <c r="X235" s="7"/>
      <c r="Y235" s="7"/>
      <c r="Z235" s="7"/>
      <c r="AA235" s="7"/>
    </row>
    <row r="236">
      <c r="A236" s="54"/>
      <c r="B236" s="54"/>
      <c r="C236" s="7"/>
      <c r="D236" s="7"/>
      <c r="E236" s="7"/>
      <c r="F236" s="54"/>
      <c r="G236" s="54"/>
      <c r="H236" s="54"/>
      <c r="I236" s="54"/>
      <c r="J236" s="54"/>
      <c r="K236" s="54"/>
      <c r="L236" s="54"/>
      <c r="M236" s="54"/>
      <c r="N236" s="54"/>
      <c r="O236" s="54"/>
      <c r="P236" s="7"/>
      <c r="Q236" s="7"/>
      <c r="R236" s="7"/>
      <c r="S236" s="7"/>
      <c r="T236" s="7"/>
      <c r="U236" s="7"/>
      <c r="V236" s="7"/>
      <c r="W236" s="7"/>
      <c r="X236" s="7"/>
      <c r="Y236" s="7"/>
      <c r="Z236" s="7"/>
      <c r="AA236" s="7"/>
    </row>
    <row r="237">
      <c r="A237" s="54"/>
      <c r="B237" s="54"/>
      <c r="C237" s="7"/>
      <c r="D237" s="7"/>
      <c r="E237" s="7"/>
      <c r="F237" s="54"/>
      <c r="G237" s="54"/>
      <c r="H237" s="54"/>
      <c r="I237" s="54"/>
      <c r="J237" s="54"/>
      <c r="K237" s="54"/>
      <c r="L237" s="54"/>
      <c r="M237" s="54"/>
      <c r="N237" s="54"/>
      <c r="O237" s="54"/>
      <c r="P237" s="7"/>
      <c r="Q237" s="7"/>
      <c r="R237" s="7"/>
      <c r="S237" s="7"/>
      <c r="T237" s="7"/>
      <c r="U237" s="7"/>
      <c r="V237" s="7"/>
      <c r="W237" s="7"/>
      <c r="X237" s="7"/>
      <c r="Y237" s="7"/>
      <c r="Z237" s="7"/>
      <c r="AA237" s="7"/>
    </row>
    <row r="238">
      <c r="A238" s="54"/>
      <c r="B238" s="54"/>
      <c r="C238" s="7"/>
      <c r="D238" s="7"/>
      <c r="E238" s="7"/>
      <c r="F238" s="54"/>
      <c r="G238" s="54"/>
      <c r="H238" s="54"/>
      <c r="I238" s="54"/>
      <c r="J238" s="54"/>
      <c r="K238" s="54"/>
      <c r="L238" s="54"/>
      <c r="M238" s="54"/>
      <c r="N238" s="54"/>
      <c r="O238" s="54"/>
      <c r="P238" s="7"/>
      <c r="Q238" s="7"/>
      <c r="R238" s="7"/>
      <c r="S238" s="7"/>
      <c r="T238" s="7"/>
      <c r="U238" s="7"/>
      <c r="V238" s="7"/>
      <c r="W238" s="7"/>
      <c r="X238" s="7"/>
      <c r="Y238" s="7"/>
      <c r="Z238" s="7"/>
      <c r="AA238" s="7"/>
    </row>
    <row r="239">
      <c r="A239" s="54"/>
      <c r="B239" s="54"/>
      <c r="C239" s="7"/>
      <c r="D239" s="7"/>
      <c r="E239" s="7"/>
      <c r="F239" s="54"/>
      <c r="G239" s="54"/>
      <c r="H239" s="54"/>
      <c r="I239" s="54"/>
      <c r="J239" s="54"/>
      <c r="K239" s="54"/>
      <c r="L239" s="54"/>
      <c r="M239" s="54"/>
      <c r="N239" s="54"/>
      <c r="O239" s="54"/>
      <c r="P239" s="7"/>
      <c r="Q239" s="7"/>
      <c r="R239" s="7"/>
      <c r="S239" s="7"/>
      <c r="T239" s="7"/>
      <c r="U239" s="7"/>
      <c r="V239" s="7"/>
      <c r="W239" s="7"/>
      <c r="X239" s="7"/>
      <c r="Y239" s="7"/>
      <c r="Z239" s="7"/>
      <c r="AA239" s="7"/>
    </row>
    <row r="240">
      <c r="A240" s="54"/>
      <c r="B240" s="54"/>
      <c r="C240" s="7"/>
      <c r="D240" s="7"/>
      <c r="E240" s="7"/>
      <c r="F240" s="54"/>
      <c r="G240" s="54"/>
      <c r="H240" s="54"/>
      <c r="I240" s="54"/>
      <c r="J240" s="54"/>
      <c r="K240" s="54"/>
      <c r="L240" s="54"/>
      <c r="M240" s="54"/>
      <c r="N240" s="54"/>
      <c r="O240" s="54"/>
      <c r="P240" s="7"/>
      <c r="Q240" s="7"/>
      <c r="R240" s="7"/>
      <c r="S240" s="7"/>
      <c r="T240" s="7"/>
      <c r="U240" s="7"/>
      <c r="V240" s="7"/>
      <c r="W240" s="7"/>
      <c r="X240" s="7"/>
      <c r="Y240" s="7"/>
      <c r="Z240" s="7"/>
      <c r="AA240" s="7"/>
    </row>
    <row r="241">
      <c r="A241" s="54"/>
      <c r="B241" s="54"/>
      <c r="C241" s="7"/>
      <c r="D241" s="7"/>
      <c r="E241" s="7"/>
      <c r="F241" s="54"/>
      <c r="G241" s="54"/>
      <c r="H241" s="54"/>
      <c r="I241" s="54"/>
      <c r="J241" s="54"/>
      <c r="K241" s="54"/>
      <c r="L241" s="54"/>
      <c r="M241" s="54"/>
      <c r="N241" s="54"/>
      <c r="O241" s="54"/>
      <c r="P241" s="7"/>
      <c r="Q241" s="7"/>
      <c r="R241" s="7"/>
      <c r="S241" s="7"/>
      <c r="T241" s="7"/>
      <c r="U241" s="7"/>
      <c r="V241" s="7"/>
      <c r="W241" s="7"/>
      <c r="X241" s="7"/>
      <c r="Y241" s="7"/>
      <c r="Z241" s="7"/>
      <c r="AA241" s="7"/>
    </row>
    <row r="242">
      <c r="A242" s="54"/>
      <c r="B242" s="54"/>
      <c r="C242" s="7"/>
      <c r="D242" s="7"/>
      <c r="E242" s="7"/>
      <c r="F242" s="54"/>
      <c r="G242" s="54"/>
      <c r="H242" s="54"/>
      <c r="I242" s="54"/>
      <c r="J242" s="54"/>
      <c r="K242" s="54"/>
      <c r="L242" s="54"/>
      <c r="M242" s="54"/>
      <c r="N242" s="54"/>
      <c r="O242" s="54"/>
      <c r="P242" s="7"/>
      <c r="Q242" s="7"/>
      <c r="R242" s="7"/>
      <c r="S242" s="7"/>
      <c r="T242" s="7"/>
      <c r="U242" s="7"/>
      <c r="V242" s="7"/>
      <c r="W242" s="7"/>
      <c r="X242" s="7"/>
      <c r="Y242" s="7"/>
      <c r="Z242" s="7"/>
      <c r="AA242" s="7"/>
    </row>
    <row r="243">
      <c r="A243" s="54"/>
      <c r="B243" s="54"/>
      <c r="C243" s="7"/>
      <c r="D243" s="7"/>
      <c r="E243" s="7"/>
      <c r="F243" s="54"/>
      <c r="G243" s="54"/>
      <c r="H243" s="54"/>
      <c r="I243" s="54"/>
      <c r="J243" s="54"/>
      <c r="K243" s="54"/>
      <c r="L243" s="54"/>
      <c r="M243" s="54"/>
      <c r="N243" s="54"/>
      <c r="O243" s="54"/>
      <c r="P243" s="7"/>
      <c r="Q243" s="7"/>
      <c r="R243" s="7"/>
      <c r="S243" s="7"/>
      <c r="T243" s="7"/>
      <c r="U243" s="7"/>
      <c r="V243" s="7"/>
      <c r="W243" s="7"/>
      <c r="X243" s="7"/>
      <c r="Y243" s="7"/>
      <c r="Z243" s="7"/>
      <c r="AA243" s="7"/>
    </row>
    <row r="244">
      <c r="A244" s="54"/>
      <c r="B244" s="54"/>
      <c r="C244" s="7"/>
      <c r="D244" s="7"/>
      <c r="E244" s="7"/>
      <c r="F244" s="54"/>
      <c r="G244" s="54"/>
      <c r="H244" s="54"/>
      <c r="I244" s="54"/>
      <c r="J244" s="54"/>
      <c r="K244" s="54"/>
      <c r="L244" s="54"/>
      <c r="M244" s="54"/>
      <c r="N244" s="54"/>
      <c r="O244" s="54"/>
      <c r="P244" s="7"/>
      <c r="Q244" s="7"/>
      <c r="R244" s="7"/>
      <c r="S244" s="7"/>
      <c r="T244" s="7"/>
      <c r="U244" s="7"/>
      <c r="V244" s="7"/>
      <c r="W244" s="7"/>
      <c r="X244" s="7"/>
      <c r="Y244" s="7"/>
      <c r="Z244" s="7"/>
      <c r="AA244" s="7"/>
    </row>
    <row r="245">
      <c r="A245" s="54"/>
      <c r="B245" s="54"/>
      <c r="C245" s="7"/>
      <c r="D245" s="7"/>
      <c r="E245" s="7"/>
      <c r="F245" s="54"/>
      <c r="G245" s="54"/>
      <c r="H245" s="54"/>
      <c r="I245" s="54"/>
      <c r="J245" s="54"/>
      <c r="K245" s="54"/>
      <c r="L245" s="54"/>
      <c r="M245" s="54"/>
      <c r="N245" s="54"/>
      <c r="O245" s="54"/>
      <c r="P245" s="7"/>
      <c r="Q245" s="7"/>
      <c r="R245" s="7"/>
      <c r="S245" s="7"/>
      <c r="T245" s="7"/>
      <c r="U245" s="7"/>
      <c r="V245" s="7"/>
      <c r="W245" s="7"/>
      <c r="X245" s="7"/>
      <c r="Y245" s="7"/>
      <c r="Z245" s="7"/>
      <c r="AA245" s="7"/>
    </row>
    <row r="246">
      <c r="A246" s="54"/>
      <c r="B246" s="54"/>
      <c r="C246" s="7"/>
      <c r="D246" s="7"/>
      <c r="E246" s="7"/>
      <c r="F246" s="54"/>
      <c r="G246" s="54"/>
      <c r="H246" s="54"/>
      <c r="I246" s="54"/>
      <c r="J246" s="54"/>
      <c r="K246" s="54"/>
      <c r="L246" s="54"/>
      <c r="M246" s="54"/>
      <c r="N246" s="54"/>
      <c r="O246" s="54"/>
      <c r="P246" s="7"/>
      <c r="Q246" s="7"/>
      <c r="R246" s="7"/>
      <c r="S246" s="7"/>
      <c r="T246" s="7"/>
      <c r="U246" s="7"/>
      <c r="V246" s="7"/>
      <c r="W246" s="7"/>
      <c r="X246" s="7"/>
      <c r="Y246" s="7"/>
      <c r="Z246" s="7"/>
      <c r="AA246" s="7"/>
    </row>
    <row r="247">
      <c r="A247" s="54"/>
      <c r="B247" s="54"/>
      <c r="C247" s="7"/>
      <c r="D247" s="7"/>
      <c r="E247" s="7"/>
      <c r="F247" s="54"/>
      <c r="G247" s="54"/>
      <c r="H247" s="54"/>
      <c r="I247" s="54"/>
      <c r="J247" s="54"/>
      <c r="K247" s="54"/>
      <c r="L247" s="54"/>
      <c r="M247" s="54"/>
      <c r="N247" s="54"/>
      <c r="O247" s="54"/>
      <c r="P247" s="7"/>
      <c r="Q247" s="7"/>
      <c r="R247" s="7"/>
      <c r="S247" s="7"/>
      <c r="T247" s="7"/>
      <c r="U247" s="7"/>
      <c r="V247" s="7"/>
      <c r="W247" s="7"/>
      <c r="X247" s="7"/>
      <c r="Y247" s="7"/>
      <c r="Z247" s="7"/>
      <c r="AA247" s="7"/>
    </row>
    <row r="248">
      <c r="A248" s="54"/>
      <c r="B248" s="54"/>
      <c r="C248" s="7"/>
      <c r="D248" s="7"/>
      <c r="E248" s="7"/>
      <c r="F248" s="54"/>
      <c r="G248" s="54"/>
      <c r="H248" s="54"/>
      <c r="I248" s="54"/>
      <c r="J248" s="54"/>
      <c r="K248" s="54"/>
      <c r="L248" s="54"/>
      <c r="M248" s="54"/>
      <c r="N248" s="54"/>
      <c r="O248" s="54"/>
      <c r="P248" s="7"/>
      <c r="Q248" s="7"/>
      <c r="R248" s="7"/>
      <c r="S248" s="7"/>
      <c r="T248" s="7"/>
      <c r="U248" s="7"/>
      <c r="V248" s="7"/>
      <c r="W248" s="7"/>
      <c r="X248" s="7"/>
      <c r="Y248" s="7"/>
      <c r="Z248" s="7"/>
      <c r="AA248" s="7"/>
    </row>
    <row r="249">
      <c r="A249" s="54"/>
      <c r="B249" s="54"/>
      <c r="C249" s="7"/>
      <c r="D249" s="7"/>
      <c r="E249" s="7"/>
      <c r="F249" s="54"/>
      <c r="G249" s="54"/>
      <c r="H249" s="54"/>
      <c r="I249" s="54"/>
      <c r="J249" s="54"/>
      <c r="K249" s="54"/>
      <c r="L249" s="54"/>
      <c r="M249" s="54"/>
      <c r="N249" s="54"/>
      <c r="O249" s="54"/>
      <c r="P249" s="7"/>
      <c r="Q249" s="7"/>
      <c r="R249" s="7"/>
      <c r="S249" s="7"/>
      <c r="T249" s="7"/>
      <c r="U249" s="7"/>
      <c r="V249" s="7"/>
      <c r="W249" s="7"/>
      <c r="X249" s="7"/>
      <c r="Y249" s="7"/>
      <c r="Z249" s="7"/>
      <c r="AA249" s="7"/>
    </row>
    <row r="250">
      <c r="A250" s="54"/>
      <c r="B250" s="54"/>
      <c r="C250" s="7"/>
      <c r="D250" s="7"/>
      <c r="E250" s="7"/>
      <c r="F250" s="54"/>
      <c r="G250" s="54"/>
      <c r="H250" s="54"/>
      <c r="I250" s="54"/>
      <c r="J250" s="54"/>
      <c r="K250" s="54"/>
      <c r="L250" s="54"/>
      <c r="M250" s="54"/>
      <c r="N250" s="54"/>
      <c r="O250" s="54"/>
      <c r="P250" s="7"/>
      <c r="Q250" s="7"/>
      <c r="R250" s="7"/>
      <c r="S250" s="7"/>
      <c r="T250" s="7"/>
      <c r="U250" s="7"/>
      <c r="V250" s="7"/>
      <c r="W250" s="7"/>
      <c r="X250" s="7"/>
      <c r="Y250" s="7"/>
      <c r="Z250" s="7"/>
      <c r="AA250" s="7"/>
    </row>
    <row r="251">
      <c r="A251" s="54"/>
      <c r="B251" s="54"/>
      <c r="C251" s="7"/>
      <c r="D251" s="7"/>
      <c r="E251" s="7"/>
      <c r="F251" s="54"/>
      <c r="G251" s="54"/>
      <c r="H251" s="54"/>
      <c r="I251" s="54"/>
      <c r="J251" s="54"/>
      <c r="K251" s="54"/>
      <c r="L251" s="54"/>
      <c r="M251" s="54"/>
      <c r="N251" s="54"/>
      <c r="O251" s="54"/>
      <c r="P251" s="7"/>
      <c r="Q251" s="7"/>
      <c r="R251" s="7"/>
      <c r="S251" s="7"/>
      <c r="T251" s="7"/>
      <c r="U251" s="7"/>
      <c r="V251" s="7"/>
      <c r="W251" s="7"/>
      <c r="X251" s="7"/>
      <c r="Y251" s="7"/>
      <c r="Z251" s="7"/>
      <c r="AA251" s="7"/>
    </row>
    <row r="252">
      <c r="A252" s="54"/>
      <c r="B252" s="54"/>
      <c r="C252" s="7"/>
      <c r="D252" s="7"/>
      <c r="E252" s="7"/>
      <c r="F252" s="54"/>
      <c r="G252" s="54"/>
      <c r="H252" s="54"/>
      <c r="I252" s="54"/>
      <c r="J252" s="54"/>
      <c r="K252" s="54"/>
      <c r="L252" s="54"/>
      <c r="M252" s="54"/>
      <c r="N252" s="54"/>
      <c r="O252" s="54"/>
      <c r="P252" s="7"/>
      <c r="Q252" s="7"/>
      <c r="R252" s="7"/>
      <c r="S252" s="7"/>
      <c r="T252" s="7"/>
      <c r="U252" s="7"/>
      <c r="V252" s="7"/>
      <c r="W252" s="7"/>
      <c r="X252" s="7"/>
      <c r="Y252" s="7"/>
      <c r="Z252" s="7"/>
      <c r="AA252" s="7"/>
    </row>
    <row r="253">
      <c r="A253" s="54"/>
      <c r="B253" s="54"/>
      <c r="C253" s="7"/>
      <c r="D253" s="7"/>
      <c r="E253" s="7"/>
      <c r="F253" s="54"/>
      <c r="G253" s="54"/>
      <c r="H253" s="54"/>
      <c r="I253" s="54"/>
      <c r="J253" s="54"/>
      <c r="K253" s="54"/>
      <c r="L253" s="54"/>
      <c r="M253" s="54"/>
      <c r="N253" s="54"/>
      <c r="O253" s="54"/>
      <c r="P253" s="7"/>
      <c r="Q253" s="7"/>
      <c r="R253" s="7"/>
      <c r="S253" s="7"/>
      <c r="T253" s="7"/>
      <c r="U253" s="7"/>
      <c r="V253" s="7"/>
      <c r="W253" s="7"/>
      <c r="X253" s="7"/>
      <c r="Y253" s="7"/>
      <c r="Z253" s="7"/>
      <c r="AA253" s="7"/>
    </row>
    <row r="254">
      <c r="A254" s="54"/>
      <c r="B254" s="54"/>
      <c r="C254" s="7"/>
      <c r="D254" s="7"/>
      <c r="E254" s="7"/>
      <c r="F254" s="54"/>
      <c r="G254" s="54"/>
      <c r="H254" s="54"/>
      <c r="I254" s="54"/>
      <c r="J254" s="54"/>
      <c r="K254" s="54"/>
      <c r="L254" s="54"/>
      <c r="M254" s="54"/>
      <c r="N254" s="54"/>
      <c r="O254" s="54"/>
      <c r="P254" s="7"/>
      <c r="Q254" s="7"/>
      <c r="R254" s="7"/>
      <c r="S254" s="7"/>
      <c r="T254" s="7"/>
      <c r="U254" s="7"/>
      <c r="V254" s="7"/>
      <c r="W254" s="7"/>
      <c r="X254" s="7"/>
      <c r="Y254" s="7"/>
      <c r="Z254" s="7"/>
      <c r="AA254" s="7"/>
    </row>
    <row r="255">
      <c r="A255" s="54"/>
      <c r="B255" s="54"/>
      <c r="C255" s="7"/>
      <c r="D255" s="7"/>
      <c r="E255" s="7"/>
      <c r="F255" s="54"/>
      <c r="G255" s="54"/>
      <c r="H255" s="54"/>
      <c r="I255" s="54"/>
      <c r="J255" s="54"/>
      <c r="K255" s="54"/>
      <c r="L255" s="54"/>
      <c r="M255" s="54"/>
      <c r="N255" s="54"/>
      <c r="O255" s="54"/>
      <c r="P255" s="7"/>
      <c r="Q255" s="7"/>
      <c r="R255" s="7"/>
      <c r="S255" s="7"/>
      <c r="T255" s="7"/>
      <c r="U255" s="7"/>
      <c r="V255" s="7"/>
      <c r="W255" s="7"/>
      <c r="X255" s="7"/>
      <c r="Y255" s="7"/>
      <c r="Z255" s="7"/>
      <c r="AA255" s="7"/>
    </row>
    <row r="256">
      <c r="A256" s="54"/>
      <c r="B256" s="54"/>
      <c r="C256" s="7"/>
      <c r="D256" s="7"/>
      <c r="E256" s="7"/>
      <c r="F256" s="54"/>
      <c r="G256" s="54"/>
      <c r="H256" s="54"/>
      <c r="I256" s="54"/>
      <c r="J256" s="54"/>
      <c r="K256" s="54"/>
      <c r="L256" s="54"/>
      <c r="M256" s="54"/>
      <c r="N256" s="54"/>
      <c r="O256" s="54"/>
      <c r="P256" s="7"/>
      <c r="Q256" s="7"/>
      <c r="R256" s="7"/>
      <c r="S256" s="7"/>
      <c r="T256" s="7"/>
      <c r="U256" s="7"/>
      <c r="V256" s="7"/>
      <c r="W256" s="7"/>
      <c r="X256" s="7"/>
      <c r="Y256" s="7"/>
      <c r="Z256" s="7"/>
      <c r="AA256" s="7"/>
    </row>
    <row r="257">
      <c r="A257" s="54"/>
      <c r="B257" s="54"/>
      <c r="C257" s="7"/>
      <c r="D257" s="7"/>
      <c r="E257" s="7"/>
      <c r="F257" s="54"/>
      <c r="G257" s="54"/>
      <c r="H257" s="54"/>
      <c r="I257" s="54"/>
      <c r="J257" s="54"/>
      <c r="K257" s="54"/>
      <c r="L257" s="54"/>
      <c r="M257" s="54"/>
      <c r="N257" s="54"/>
      <c r="O257" s="54"/>
      <c r="P257" s="7"/>
      <c r="Q257" s="7"/>
      <c r="R257" s="7"/>
      <c r="S257" s="7"/>
      <c r="T257" s="7"/>
      <c r="U257" s="7"/>
      <c r="V257" s="7"/>
      <c r="W257" s="7"/>
      <c r="X257" s="7"/>
      <c r="Y257" s="7"/>
      <c r="Z257" s="7"/>
      <c r="AA257" s="7"/>
    </row>
    <row r="258">
      <c r="A258" s="54"/>
      <c r="B258" s="54"/>
      <c r="C258" s="7"/>
      <c r="D258" s="7"/>
      <c r="E258" s="7"/>
      <c r="F258" s="54"/>
      <c r="G258" s="54"/>
      <c r="H258" s="54"/>
      <c r="I258" s="54"/>
      <c r="J258" s="54"/>
      <c r="K258" s="54"/>
      <c r="L258" s="54"/>
      <c r="M258" s="54"/>
      <c r="N258" s="54"/>
      <c r="O258" s="54"/>
      <c r="P258" s="7"/>
      <c r="Q258" s="7"/>
      <c r="R258" s="7"/>
      <c r="S258" s="7"/>
      <c r="T258" s="7"/>
      <c r="U258" s="7"/>
      <c r="V258" s="7"/>
      <c r="W258" s="7"/>
      <c r="X258" s="7"/>
      <c r="Y258" s="7"/>
      <c r="Z258" s="7"/>
      <c r="AA258" s="7"/>
    </row>
    <row r="259">
      <c r="A259" s="54"/>
      <c r="B259" s="54"/>
      <c r="C259" s="7"/>
      <c r="D259" s="7"/>
      <c r="E259" s="7"/>
      <c r="F259" s="54"/>
      <c r="G259" s="54"/>
      <c r="H259" s="54"/>
      <c r="I259" s="54"/>
      <c r="J259" s="54"/>
      <c r="K259" s="54"/>
      <c r="L259" s="54"/>
      <c r="M259" s="54"/>
      <c r="N259" s="54"/>
      <c r="O259" s="54"/>
      <c r="P259" s="7"/>
      <c r="Q259" s="7"/>
      <c r="R259" s="7"/>
      <c r="S259" s="7"/>
      <c r="T259" s="7"/>
      <c r="U259" s="7"/>
      <c r="V259" s="7"/>
      <c r="W259" s="7"/>
      <c r="X259" s="7"/>
      <c r="Y259" s="7"/>
      <c r="Z259" s="7"/>
      <c r="AA259" s="7"/>
    </row>
    <row r="260">
      <c r="A260" s="54"/>
      <c r="B260" s="54"/>
      <c r="C260" s="7"/>
      <c r="D260" s="7"/>
      <c r="E260" s="7"/>
      <c r="F260" s="54"/>
      <c r="G260" s="54"/>
      <c r="H260" s="54"/>
      <c r="I260" s="54"/>
      <c r="J260" s="54"/>
      <c r="K260" s="54"/>
      <c r="L260" s="54"/>
      <c r="M260" s="54"/>
      <c r="N260" s="54"/>
      <c r="O260" s="54"/>
      <c r="P260" s="7"/>
      <c r="Q260" s="7"/>
      <c r="R260" s="7"/>
      <c r="S260" s="7"/>
      <c r="T260" s="7"/>
      <c r="U260" s="7"/>
      <c r="V260" s="7"/>
      <c r="W260" s="7"/>
      <c r="X260" s="7"/>
      <c r="Y260" s="7"/>
      <c r="Z260" s="7"/>
      <c r="AA260" s="7"/>
    </row>
    <row r="261">
      <c r="A261" s="54"/>
      <c r="B261" s="54"/>
      <c r="C261" s="7"/>
      <c r="D261" s="7"/>
      <c r="E261" s="7"/>
      <c r="F261" s="54"/>
      <c r="G261" s="54"/>
      <c r="H261" s="54"/>
      <c r="I261" s="54"/>
      <c r="J261" s="54"/>
      <c r="K261" s="54"/>
      <c r="L261" s="54"/>
      <c r="M261" s="54"/>
      <c r="N261" s="54"/>
      <c r="O261" s="54"/>
      <c r="P261" s="7"/>
      <c r="Q261" s="7"/>
      <c r="R261" s="7"/>
      <c r="S261" s="7"/>
      <c r="T261" s="7"/>
      <c r="U261" s="7"/>
      <c r="V261" s="7"/>
      <c r="W261" s="7"/>
      <c r="X261" s="7"/>
      <c r="Y261" s="7"/>
      <c r="Z261" s="7"/>
      <c r="AA261" s="7"/>
    </row>
    <row r="262">
      <c r="A262" s="54"/>
      <c r="B262" s="54"/>
      <c r="C262" s="7"/>
      <c r="D262" s="7"/>
      <c r="E262" s="7"/>
      <c r="F262" s="54"/>
      <c r="G262" s="54"/>
      <c r="H262" s="54"/>
      <c r="I262" s="54"/>
      <c r="J262" s="54"/>
      <c r="K262" s="54"/>
      <c r="L262" s="54"/>
      <c r="M262" s="54"/>
      <c r="N262" s="54"/>
      <c r="O262" s="54"/>
      <c r="P262" s="7"/>
      <c r="Q262" s="7"/>
      <c r="R262" s="7"/>
      <c r="S262" s="7"/>
      <c r="T262" s="7"/>
      <c r="U262" s="7"/>
      <c r="V262" s="7"/>
      <c r="W262" s="7"/>
      <c r="X262" s="7"/>
      <c r="Y262" s="7"/>
      <c r="Z262" s="7"/>
      <c r="AA262" s="7"/>
    </row>
    <row r="263">
      <c r="A263" s="54"/>
      <c r="B263" s="54"/>
      <c r="C263" s="7"/>
      <c r="D263" s="7"/>
      <c r="E263" s="7"/>
      <c r="F263" s="54"/>
      <c r="G263" s="54"/>
      <c r="H263" s="54"/>
      <c r="I263" s="54"/>
      <c r="J263" s="54"/>
      <c r="K263" s="54"/>
      <c r="L263" s="54"/>
      <c r="M263" s="54"/>
      <c r="N263" s="54"/>
      <c r="O263" s="54"/>
      <c r="P263" s="7"/>
      <c r="Q263" s="7"/>
      <c r="R263" s="7"/>
      <c r="S263" s="7"/>
      <c r="T263" s="7"/>
      <c r="U263" s="7"/>
      <c r="V263" s="7"/>
      <c r="W263" s="7"/>
      <c r="X263" s="7"/>
      <c r="Y263" s="7"/>
      <c r="Z263" s="7"/>
      <c r="AA263" s="7"/>
    </row>
    <row r="264">
      <c r="A264" s="54"/>
      <c r="B264" s="54"/>
      <c r="C264" s="7"/>
      <c r="D264" s="7"/>
      <c r="E264" s="7"/>
      <c r="F264" s="54"/>
      <c r="G264" s="54"/>
      <c r="H264" s="54"/>
      <c r="I264" s="54"/>
      <c r="J264" s="54"/>
      <c r="K264" s="54"/>
      <c r="L264" s="54"/>
      <c r="M264" s="54"/>
      <c r="N264" s="54"/>
      <c r="O264" s="54"/>
      <c r="P264" s="7"/>
      <c r="Q264" s="7"/>
      <c r="R264" s="7"/>
      <c r="S264" s="7"/>
      <c r="T264" s="7"/>
      <c r="U264" s="7"/>
      <c r="V264" s="7"/>
      <c r="W264" s="7"/>
      <c r="X264" s="7"/>
      <c r="Y264" s="7"/>
      <c r="Z264" s="7"/>
      <c r="AA264" s="7"/>
    </row>
    <row r="265">
      <c r="A265" s="54"/>
      <c r="B265" s="54"/>
      <c r="C265" s="7"/>
      <c r="D265" s="7"/>
      <c r="E265" s="7"/>
      <c r="F265" s="54"/>
      <c r="G265" s="54"/>
      <c r="H265" s="54"/>
      <c r="I265" s="54"/>
      <c r="J265" s="54"/>
      <c r="K265" s="54"/>
      <c r="L265" s="54"/>
      <c r="M265" s="54"/>
      <c r="N265" s="54"/>
      <c r="O265" s="54"/>
      <c r="P265" s="7"/>
      <c r="Q265" s="7"/>
      <c r="R265" s="7"/>
      <c r="S265" s="7"/>
      <c r="T265" s="7"/>
      <c r="U265" s="7"/>
      <c r="V265" s="7"/>
      <c r="W265" s="7"/>
      <c r="X265" s="7"/>
      <c r="Y265" s="7"/>
      <c r="Z265" s="7"/>
      <c r="AA265" s="7"/>
    </row>
    <row r="266">
      <c r="A266" s="54"/>
      <c r="B266" s="54"/>
      <c r="C266" s="7"/>
      <c r="D266" s="7"/>
      <c r="E266" s="7"/>
      <c r="F266" s="54"/>
      <c r="G266" s="54"/>
      <c r="H266" s="54"/>
      <c r="I266" s="54"/>
      <c r="J266" s="54"/>
      <c r="K266" s="54"/>
      <c r="L266" s="54"/>
      <c r="M266" s="54"/>
      <c r="N266" s="54"/>
      <c r="O266" s="54"/>
      <c r="P266" s="7"/>
      <c r="Q266" s="7"/>
      <c r="R266" s="7"/>
      <c r="S266" s="7"/>
      <c r="T266" s="7"/>
      <c r="U266" s="7"/>
      <c r="V266" s="7"/>
      <c r="W266" s="7"/>
      <c r="X266" s="7"/>
      <c r="Y266" s="7"/>
      <c r="Z266" s="7"/>
      <c r="AA266" s="7"/>
    </row>
    <row r="267">
      <c r="A267" s="54"/>
      <c r="B267" s="54"/>
      <c r="C267" s="7"/>
      <c r="D267" s="7"/>
      <c r="E267" s="7"/>
      <c r="F267" s="54"/>
      <c r="G267" s="54"/>
      <c r="H267" s="54"/>
      <c r="I267" s="54"/>
      <c r="J267" s="54"/>
      <c r="K267" s="54"/>
      <c r="L267" s="54"/>
      <c r="M267" s="54"/>
      <c r="N267" s="54"/>
      <c r="O267" s="54"/>
      <c r="P267" s="7"/>
      <c r="Q267" s="7"/>
      <c r="R267" s="7"/>
      <c r="S267" s="7"/>
      <c r="T267" s="7"/>
      <c r="U267" s="7"/>
      <c r="V267" s="7"/>
      <c r="W267" s="7"/>
      <c r="X267" s="7"/>
      <c r="Y267" s="7"/>
      <c r="Z267" s="7"/>
      <c r="AA267" s="7"/>
    </row>
    <row r="268">
      <c r="A268" s="54"/>
      <c r="B268" s="54"/>
      <c r="C268" s="7"/>
      <c r="D268" s="7"/>
      <c r="E268" s="7"/>
      <c r="F268" s="54"/>
      <c r="G268" s="54"/>
      <c r="H268" s="54"/>
      <c r="I268" s="54"/>
      <c r="J268" s="54"/>
      <c r="K268" s="54"/>
      <c r="L268" s="54"/>
      <c r="M268" s="54"/>
      <c r="N268" s="54"/>
      <c r="O268" s="54"/>
      <c r="P268" s="7"/>
      <c r="Q268" s="7"/>
      <c r="R268" s="7"/>
      <c r="S268" s="7"/>
      <c r="T268" s="7"/>
      <c r="U268" s="7"/>
      <c r="V268" s="7"/>
      <c r="W268" s="7"/>
      <c r="X268" s="7"/>
      <c r="Y268" s="7"/>
      <c r="Z268" s="7"/>
      <c r="AA268" s="7"/>
    </row>
    <row r="269">
      <c r="A269" s="54"/>
      <c r="B269" s="54"/>
      <c r="C269" s="7"/>
      <c r="D269" s="7"/>
      <c r="E269" s="7"/>
      <c r="F269" s="54"/>
      <c r="G269" s="54"/>
      <c r="H269" s="54"/>
      <c r="I269" s="54"/>
      <c r="J269" s="54"/>
      <c r="K269" s="54"/>
      <c r="L269" s="54"/>
      <c r="M269" s="54"/>
      <c r="N269" s="54"/>
      <c r="O269" s="54"/>
      <c r="P269" s="7"/>
      <c r="Q269" s="7"/>
      <c r="R269" s="7"/>
      <c r="S269" s="7"/>
      <c r="T269" s="7"/>
      <c r="U269" s="7"/>
      <c r="V269" s="7"/>
      <c r="W269" s="7"/>
      <c r="X269" s="7"/>
      <c r="Y269" s="7"/>
      <c r="Z269" s="7"/>
      <c r="AA269" s="7"/>
    </row>
    <row r="270">
      <c r="A270" s="54"/>
      <c r="B270" s="54"/>
      <c r="C270" s="7"/>
      <c r="D270" s="7"/>
      <c r="E270" s="7"/>
      <c r="F270" s="54"/>
      <c r="G270" s="54"/>
      <c r="H270" s="54"/>
      <c r="I270" s="54"/>
      <c r="J270" s="54"/>
      <c r="K270" s="54"/>
      <c r="L270" s="54"/>
      <c r="M270" s="54"/>
      <c r="N270" s="54"/>
      <c r="O270" s="54"/>
      <c r="P270" s="7"/>
      <c r="Q270" s="7"/>
      <c r="R270" s="7"/>
      <c r="S270" s="7"/>
      <c r="T270" s="7"/>
      <c r="U270" s="7"/>
      <c r="V270" s="7"/>
      <c r="W270" s="7"/>
      <c r="X270" s="7"/>
      <c r="Y270" s="7"/>
      <c r="Z270" s="7"/>
      <c r="AA270" s="7"/>
    </row>
    <row r="271">
      <c r="A271" s="54"/>
      <c r="B271" s="54"/>
      <c r="C271" s="7"/>
      <c r="D271" s="7"/>
      <c r="E271" s="7"/>
      <c r="F271" s="54"/>
      <c r="G271" s="54"/>
      <c r="H271" s="54"/>
      <c r="I271" s="54"/>
      <c r="J271" s="54"/>
      <c r="K271" s="54"/>
      <c r="L271" s="54"/>
      <c r="M271" s="54"/>
      <c r="N271" s="54"/>
      <c r="O271" s="54"/>
      <c r="P271" s="7"/>
      <c r="Q271" s="7"/>
      <c r="R271" s="7"/>
      <c r="S271" s="7"/>
      <c r="T271" s="7"/>
      <c r="U271" s="7"/>
      <c r="V271" s="7"/>
      <c r="W271" s="7"/>
      <c r="X271" s="7"/>
      <c r="Y271" s="7"/>
      <c r="Z271" s="7"/>
      <c r="AA271" s="7"/>
    </row>
    <row r="272">
      <c r="A272" s="54"/>
      <c r="B272" s="54"/>
      <c r="C272" s="7"/>
      <c r="D272" s="7"/>
      <c r="E272" s="7"/>
      <c r="F272" s="54"/>
      <c r="G272" s="54"/>
      <c r="H272" s="54"/>
      <c r="I272" s="54"/>
      <c r="J272" s="54"/>
      <c r="K272" s="54"/>
      <c r="L272" s="54"/>
      <c r="M272" s="54"/>
      <c r="N272" s="54"/>
      <c r="O272" s="54"/>
      <c r="P272" s="7"/>
      <c r="Q272" s="7"/>
      <c r="R272" s="7"/>
      <c r="S272" s="7"/>
      <c r="T272" s="7"/>
      <c r="U272" s="7"/>
      <c r="V272" s="7"/>
      <c r="W272" s="7"/>
      <c r="X272" s="7"/>
      <c r="Y272" s="7"/>
      <c r="Z272" s="7"/>
      <c r="AA272" s="7"/>
    </row>
    <row r="273">
      <c r="A273" s="54"/>
      <c r="B273" s="54"/>
      <c r="C273" s="7"/>
      <c r="D273" s="7"/>
      <c r="E273" s="7"/>
      <c r="F273" s="54"/>
      <c r="G273" s="54"/>
      <c r="H273" s="54"/>
      <c r="I273" s="54"/>
      <c r="J273" s="54"/>
      <c r="K273" s="54"/>
      <c r="L273" s="54"/>
      <c r="M273" s="54"/>
      <c r="N273" s="54"/>
      <c r="O273" s="54"/>
      <c r="P273" s="7"/>
      <c r="Q273" s="7"/>
      <c r="R273" s="7"/>
      <c r="S273" s="7"/>
      <c r="T273" s="7"/>
      <c r="U273" s="7"/>
      <c r="V273" s="7"/>
      <c r="W273" s="7"/>
      <c r="X273" s="7"/>
      <c r="Y273" s="7"/>
      <c r="Z273" s="7"/>
      <c r="AA273" s="7"/>
    </row>
    <row r="274">
      <c r="A274" s="54"/>
      <c r="B274" s="54"/>
      <c r="C274" s="7"/>
      <c r="D274" s="7"/>
      <c r="E274" s="7"/>
      <c r="F274" s="54"/>
      <c r="G274" s="54"/>
      <c r="H274" s="54"/>
      <c r="I274" s="54"/>
      <c r="J274" s="54"/>
      <c r="K274" s="54"/>
      <c r="L274" s="54"/>
      <c r="M274" s="54"/>
      <c r="N274" s="54"/>
      <c r="O274" s="54"/>
      <c r="P274" s="7"/>
      <c r="Q274" s="7"/>
      <c r="R274" s="7"/>
      <c r="S274" s="7"/>
      <c r="T274" s="7"/>
      <c r="U274" s="7"/>
      <c r="V274" s="7"/>
      <c r="W274" s="7"/>
      <c r="X274" s="7"/>
      <c r="Y274" s="7"/>
      <c r="Z274" s="7"/>
      <c r="AA274" s="7"/>
    </row>
    <row r="275">
      <c r="A275" s="54"/>
      <c r="B275" s="54"/>
      <c r="C275" s="7"/>
      <c r="D275" s="7"/>
      <c r="E275" s="7"/>
      <c r="F275" s="54"/>
      <c r="G275" s="54"/>
      <c r="H275" s="54"/>
      <c r="I275" s="54"/>
      <c r="J275" s="54"/>
      <c r="K275" s="54"/>
      <c r="L275" s="54"/>
      <c r="M275" s="54"/>
      <c r="N275" s="54"/>
      <c r="O275" s="54"/>
      <c r="P275" s="7"/>
      <c r="Q275" s="7"/>
      <c r="R275" s="7"/>
      <c r="S275" s="7"/>
      <c r="T275" s="7"/>
      <c r="U275" s="7"/>
      <c r="V275" s="7"/>
      <c r="W275" s="7"/>
      <c r="X275" s="7"/>
      <c r="Y275" s="7"/>
      <c r="Z275" s="7"/>
      <c r="AA275" s="7"/>
    </row>
    <row r="276">
      <c r="A276" s="54"/>
      <c r="B276" s="54"/>
      <c r="C276" s="7"/>
      <c r="D276" s="7"/>
      <c r="E276" s="7"/>
      <c r="F276" s="54"/>
      <c r="G276" s="54"/>
      <c r="H276" s="54"/>
      <c r="I276" s="54"/>
      <c r="J276" s="54"/>
      <c r="K276" s="54"/>
      <c r="L276" s="54"/>
      <c r="M276" s="54"/>
      <c r="N276" s="54"/>
      <c r="O276" s="54"/>
      <c r="P276" s="7"/>
      <c r="Q276" s="7"/>
      <c r="R276" s="7"/>
      <c r="S276" s="7"/>
      <c r="T276" s="7"/>
      <c r="U276" s="7"/>
      <c r="V276" s="7"/>
      <c r="W276" s="7"/>
      <c r="X276" s="7"/>
      <c r="Y276" s="7"/>
      <c r="Z276" s="7"/>
      <c r="AA276" s="7"/>
    </row>
    <row r="277">
      <c r="A277" s="54"/>
      <c r="B277" s="54"/>
      <c r="C277" s="7"/>
      <c r="D277" s="7"/>
      <c r="E277" s="7"/>
      <c r="F277" s="54"/>
      <c r="G277" s="54"/>
      <c r="H277" s="54"/>
      <c r="I277" s="54"/>
      <c r="J277" s="54"/>
      <c r="K277" s="54"/>
      <c r="L277" s="54"/>
      <c r="M277" s="54"/>
      <c r="N277" s="54"/>
      <c r="O277" s="54"/>
      <c r="P277" s="7"/>
      <c r="Q277" s="7"/>
      <c r="R277" s="7"/>
      <c r="S277" s="7"/>
      <c r="T277" s="7"/>
      <c r="U277" s="7"/>
      <c r="V277" s="7"/>
      <c r="W277" s="7"/>
      <c r="X277" s="7"/>
      <c r="Y277" s="7"/>
      <c r="Z277" s="7"/>
      <c r="AA277" s="7"/>
    </row>
    <row r="278">
      <c r="A278" s="54"/>
      <c r="B278" s="54"/>
      <c r="C278" s="7"/>
      <c r="D278" s="7"/>
      <c r="E278" s="7"/>
      <c r="F278" s="54"/>
      <c r="G278" s="54"/>
      <c r="H278" s="54"/>
      <c r="I278" s="54"/>
      <c r="J278" s="54"/>
      <c r="K278" s="54"/>
      <c r="L278" s="54"/>
      <c r="M278" s="54"/>
      <c r="N278" s="54"/>
      <c r="O278" s="54"/>
      <c r="P278" s="7"/>
      <c r="Q278" s="7"/>
      <c r="R278" s="7"/>
      <c r="S278" s="7"/>
      <c r="T278" s="7"/>
      <c r="U278" s="7"/>
      <c r="V278" s="7"/>
      <c r="W278" s="7"/>
      <c r="X278" s="7"/>
      <c r="Y278" s="7"/>
      <c r="Z278" s="7"/>
      <c r="AA278" s="7"/>
    </row>
    <row r="279">
      <c r="A279" s="54"/>
      <c r="B279" s="54"/>
      <c r="C279" s="7"/>
      <c r="D279" s="7"/>
      <c r="E279" s="7"/>
      <c r="F279" s="54"/>
      <c r="G279" s="54"/>
      <c r="H279" s="54"/>
      <c r="I279" s="54"/>
      <c r="J279" s="54"/>
      <c r="K279" s="54"/>
      <c r="L279" s="54"/>
      <c r="M279" s="54"/>
      <c r="N279" s="54"/>
      <c r="O279" s="54"/>
      <c r="P279" s="7"/>
      <c r="Q279" s="7"/>
      <c r="R279" s="7"/>
      <c r="S279" s="7"/>
      <c r="T279" s="7"/>
      <c r="U279" s="7"/>
      <c r="V279" s="7"/>
      <c r="W279" s="7"/>
      <c r="X279" s="7"/>
      <c r="Y279" s="7"/>
      <c r="Z279" s="7"/>
      <c r="AA279" s="7"/>
    </row>
    <row r="280">
      <c r="A280" s="54"/>
      <c r="B280" s="54"/>
      <c r="C280" s="7"/>
      <c r="D280" s="7"/>
      <c r="E280" s="7"/>
      <c r="F280" s="54"/>
      <c r="G280" s="54"/>
      <c r="H280" s="54"/>
      <c r="I280" s="54"/>
      <c r="J280" s="54"/>
      <c r="K280" s="54"/>
      <c r="L280" s="54"/>
      <c r="M280" s="54"/>
      <c r="N280" s="54"/>
      <c r="O280" s="54"/>
      <c r="P280" s="7"/>
      <c r="Q280" s="7"/>
      <c r="R280" s="7"/>
      <c r="S280" s="7"/>
      <c r="T280" s="7"/>
      <c r="U280" s="7"/>
      <c r="V280" s="7"/>
      <c r="W280" s="7"/>
      <c r="X280" s="7"/>
      <c r="Y280" s="7"/>
      <c r="Z280" s="7"/>
      <c r="AA280" s="7"/>
    </row>
    <row r="281">
      <c r="A281" s="54"/>
      <c r="B281" s="54"/>
      <c r="C281" s="7"/>
      <c r="D281" s="7"/>
      <c r="E281" s="7"/>
      <c r="F281" s="54"/>
      <c r="G281" s="54"/>
      <c r="H281" s="54"/>
      <c r="I281" s="54"/>
      <c r="J281" s="54"/>
      <c r="K281" s="54"/>
      <c r="L281" s="54"/>
      <c r="M281" s="54"/>
      <c r="N281" s="54"/>
      <c r="O281" s="54"/>
      <c r="P281" s="7"/>
      <c r="Q281" s="7"/>
      <c r="R281" s="7"/>
      <c r="S281" s="7"/>
      <c r="T281" s="7"/>
      <c r="U281" s="7"/>
      <c r="V281" s="7"/>
      <c r="W281" s="7"/>
      <c r="X281" s="7"/>
      <c r="Y281" s="7"/>
      <c r="Z281" s="7"/>
      <c r="AA281" s="7"/>
    </row>
    <row r="282">
      <c r="A282" s="54"/>
      <c r="B282" s="54"/>
      <c r="C282" s="7"/>
      <c r="D282" s="7"/>
      <c r="E282" s="7"/>
      <c r="F282" s="54"/>
      <c r="G282" s="54"/>
      <c r="H282" s="54"/>
      <c r="I282" s="54"/>
      <c r="J282" s="54"/>
      <c r="K282" s="54"/>
      <c r="L282" s="54"/>
      <c r="M282" s="54"/>
      <c r="N282" s="54"/>
      <c r="O282" s="54"/>
      <c r="P282" s="7"/>
      <c r="Q282" s="7"/>
      <c r="R282" s="7"/>
      <c r="S282" s="7"/>
      <c r="T282" s="7"/>
      <c r="U282" s="7"/>
      <c r="V282" s="7"/>
      <c r="W282" s="7"/>
      <c r="X282" s="7"/>
      <c r="Y282" s="7"/>
      <c r="Z282" s="7"/>
      <c r="AA282" s="7"/>
    </row>
    <row r="283">
      <c r="A283" s="54"/>
      <c r="B283" s="54"/>
      <c r="C283" s="7"/>
      <c r="D283" s="7"/>
      <c r="E283" s="7"/>
      <c r="F283" s="54"/>
      <c r="G283" s="54"/>
      <c r="H283" s="54"/>
      <c r="I283" s="54"/>
      <c r="J283" s="54"/>
      <c r="K283" s="54"/>
      <c r="L283" s="54"/>
      <c r="M283" s="54"/>
      <c r="N283" s="54"/>
      <c r="O283" s="54"/>
      <c r="P283" s="7"/>
      <c r="Q283" s="7"/>
      <c r="R283" s="7"/>
      <c r="S283" s="7"/>
      <c r="T283" s="7"/>
      <c r="U283" s="7"/>
      <c r="V283" s="7"/>
      <c r="W283" s="7"/>
      <c r="X283" s="7"/>
      <c r="Y283" s="7"/>
      <c r="Z283" s="7"/>
      <c r="AA283" s="7"/>
    </row>
    <row r="284">
      <c r="A284" s="54"/>
      <c r="B284" s="54"/>
      <c r="C284" s="7"/>
      <c r="D284" s="7"/>
      <c r="E284" s="7"/>
      <c r="F284" s="54"/>
      <c r="G284" s="54"/>
      <c r="H284" s="54"/>
      <c r="I284" s="54"/>
      <c r="J284" s="54"/>
      <c r="K284" s="54"/>
      <c r="L284" s="54"/>
      <c r="M284" s="54"/>
      <c r="N284" s="54"/>
      <c r="O284" s="54"/>
      <c r="P284" s="7"/>
      <c r="Q284" s="7"/>
      <c r="R284" s="7"/>
      <c r="S284" s="7"/>
      <c r="T284" s="7"/>
      <c r="U284" s="7"/>
      <c r="V284" s="7"/>
      <c r="W284" s="7"/>
      <c r="X284" s="7"/>
      <c r="Y284" s="7"/>
      <c r="Z284" s="7"/>
      <c r="AA284" s="7"/>
    </row>
    <row r="285">
      <c r="A285" s="54"/>
      <c r="B285" s="54"/>
      <c r="C285" s="7"/>
      <c r="D285" s="7"/>
      <c r="E285" s="7"/>
      <c r="F285" s="54"/>
      <c r="G285" s="54"/>
      <c r="H285" s="54"/>
      <c r="I285" s="54"/>
      <c r="J285" s="54"/>
      <c r="K285" s="54"/>
      <c r="L285" s="54"/>
      <c r="M285" s="54"/>
      <c r="N285" s="54"/>
      <c r="O285" s="54"/>
      <c r="P285" s="7"/>
      <c r="Q285" s="7"/>
      <c r="R285" s="7"/>
      <c r="S285" s="7"/>
      <c r="T285" s="7"/>
      <c r="U285" s="7"/>
      <c r="V285" s="7"/>
      <c r="W285" s="7"/>
      <c r="X285" s="7"/>
      <c r="Y285" s="7"/>
      <c r="Z285" s="7"/>
      <c r="AA285" s="7"/>
    </row>
    <row r="286">
      <c r="A286" s="54"/>
      <c r="B286" s="54"/>
      <c r="C286" s="7"/>
      <c r="D286" s="7"/>
      <c r="E286" s="7"/>
      <c r="F286" s="54"/>
      <c r="G286" s="54"/>
      <c r="H286" s="54"/>
      <c r="I286" s="54"/>
      <c r="J286" s="54"/>
      <c r="K286" s="54"/>
      <c r="L286" s="54"/>
      <c r="M286" s="54"/>
      <c r="N286" s="54"/>
      <c r="O286" s="54"/>
      <c r="P286" s="7"/>
      <c r="Q286" s="7"/>
      <c r="R286" s="7"/>
      <c r="S286" s="7"/>
      <c r="T286" s="7"/>
      <c r="U286" s="7"/>
      <c r="V286" s="7"/>
      <c r="W286" s="7"/>
      <c r="X286" s="7"/>
      <c r="Y286" s="7"/>
      <c r="Z286" s="7"/>
      <c r="AA286" s="7"/>
    </row>
    <row r="287">
      <c r="A287" s="54"/>
      <c r="B287" s="54"/>
      <c r="C287" s="7"/>
      <c r="D287" s="7"/>
      <c r="E287" s="7"/>
      <c r="F287" s="54"/>
      <c r="G287" s="54"/>
      <c r="H287" s="54"/>
      <c r="I287" s="54"/>
      <c r="J287" s="54"/>
      <c r="K287" s="54"/>
      <c r="L287" s="54"/>
      <c r="M287" s="54"/>
      <c r="N287" s="54"/>
      <c r="O287" s="54"/>
      <c r="P287" s="7"/>
      <c r="Q287" s="7"/>
      <c r="R287" s="7"/>
      <c r="S287" s="7"/>
      <c r="T287" s="7"/>
      <c r="U287" s="7"/>
      <c r="V287" s="7"/>
      <c r="W287" s="7"/>
      <c r="X287" s="7"/>
      <c r="Y287" s="7"/>
      <c r="Z287" s="7"/>
      <c r="AA287" s="7"/>
    </row>
    <row r="288">
      <c r="A288" s="54"/>
      <c r="B288" s="54"/>
      <c r="C288" s="7"/>
      <c r="D288" s="7"/>
      <c r="E288" s="7"/>
      <c r="F288" s="54"/>
      <c r="G288" s="54"/>
      <c r="H288" s="54"/>
      <c r="I288" s="54"/>
      <c r="J288" s="54"/>
      <c r="K288" s="54"/>
      <c r="L288" s="54"/>
      <c r="M288" s="54"/>
      <c r="N288" s="54"/>
      <c r="O288" s="54"/>
      <c r="P288" s="7"/>
      <c r="Q288" s="7"/>
      <c r="R288" s="7"/>
      <c r="S288" s="7"/>
      <c r="T288" s="7"/>
      <c r="U288" s="7"/>
      <c r="V288" s="7"/>
      <c r="W288" s="7"/>
      <c r="X288" s="7"/>
      <c r="Y288" s="7"/>
      <c r="Z288" s="7"/>
      <c r="AA288" s="7"/>
    </row>
    <row r="289">
      <c r="A289" s="54"/>
      <c r="B289" s="54"/>
      <c r="C289" s="7"/>
      <c r="D289" s="7"/>
      <c r="E289" s="7"/>
      <c r="F289" s="54"/>
      <c r="G289" s="54"/>
      <c r="H289" s="54"/>
      <c r="I289" s="54"/>
      <c r="J289" s="54"/>
      <c r="K289" s="54"/>
      <c r="L289" s="54"/>
      <c r="M289" s="54"/>
      <c r="N289" s="54"/>
      <c r="O289" s="54"/>
      <c r="P289" s="7"/>
      <c r="Q289" s="7"/>
      <c r="R289" s="7"/>
      <c r="S289" s="7"/>
      <c r="T289" s="7"/>
      <c r="U289" s="7"/>
      <c r="V289" s="7"/>
      <c r="W289" s="7"/>
      <c r="X289" s="7"/>
      <c r="Y289" s="7"/>
      <c r="Z289" s="7"/>
      <c r="AA289" s="7"/>
    </row>
    <row r="290">
      <c r="A290" s="54"/>
      <c r="B290" s="54"/>
      <c r="C290" s="7"/>
      <c r="D290" s="7"/>
      <c r="E290" s="7"/>
      <c r="F290" s="54"/>
      <c r="G290" s="54"/>
      <c r="H290" s="54"/>
      <c r="I290" s="54"/>
      <c r="J290" s="54"/>
      <c r="K290" s="54"/>
      <c r="L290" s="54"/>
      <c r="M290" s="54"/>
      <c r="N290" s="54"/>
      <c r="O290" s="54"/>
      <c r="P290" s="7"/>
      <c r="Q290" s="7"/>
      <c r="R290" s="7"/>
      <c r="S290" s="7"/>
      <c r="T290" s="7"/>
      <c r="U290" s="7"/>
      <c r="V290" s="7"/>
      <c r="W290" s="7"/>
      <c r="X290" s="7"/>
      <c r="Y290" s="7"/>
      <c r="Z290" s="7"/>
      <c r="AA290" s="7"/>
    </row>
    <row r="291">
      <c r="A291" s="54"/>
      <c r="B291" s="54"/>
      <c r="C291" s="7"/>
      <c r="D291" s="7"/>
      <c r="E291" s="7"/>
      <c r="F291" s="54"/>
      <c r="G291" s="54"/>
      <c r="H291" s="54"/>
      <c r="I291" s="54"/>
      <c r="J291" s="54"/>
      <c r="K291" s="54"/>
      <c r="L291" s="54"/>
      <c r="M291" s="54"/>
      <c r="N291" s="54"/>
      <c r="O291" s="54"/>
      <c r="P291" s="7"/>
      <c r="Q291" s="7"/>
      <c r="R291" s="7"/>
      <c r="S291" s="7"/>
      <c r="T291" s="7"/>
      <c r="U291" s="7"/>
      <c r="V291" s="7"/>
      <c r="W291" s="7"/>
      <c r="X291" s="7"/>
      <c r="Y291" s="7"/>
      <c r="Z291" s="7"/>
      <c r="AA291" s="7"/>
    </row>
    <row r="292">
      <c r="A292" s="54"/>
      <c r="B292" s="54"/>
      <c r="C292" s="7"/>
      <c r="D292" s="7"/>
      <c r="E292" s="7"/>
      <c r="F292" s="54"/>
      <c r="G292" s="54"/>
      <c r="H292" s="54"/>
      <c r="I292" s="54"/>
      <c r="J292" s="54"/>
      <c r="K292" s="54"/>
      <c r="L292" s="54"/>
      <c r="M292" s="54"/>
      <c r="N292" s="54"/>
      <c r="O292" s="54"/>
      <c r="P292" s="7"/>
      <c r="Q292" s="7"/>
      <c r="R292" s="7"/>
      <c r="S292" s="7"/>
      <c r="T292" s="7"/>
      <c r="U292" s="7"/>
      <c r="V292" s="7"/>
      <c r="W292" s="7"/>
      <c r="X292" s="7"/>
      <c r="Y292" s="7"/>
      <c r="Z292" s="7"/>
      <c r="AA292" s="7"/>
    </row>
    <row r="293">
      <c r="A293" s="54"/>
      <c r="B293" s="54"/>
      <c r="C293" s="7"/>
      <c r="D293" s="7"/>
      <c r="E293" s="7"/>
      <c r="F293" s="54"/>
      <c r="G293" s="54"/>
      <c r="H293" s="54"/>
      <c r="I293" s="54"/>
      <c r="J293" s="54"/>
      <c r="K293" s="54"/>
      <c r="L293" s="54"/>
      <c r="M293" s="54"/>
      <c r="N293" s="54"/>
      <c r="O293" s="54"/>
      <c r="P293" s="7"/>
      <c r="Q293" s="7"/>
      <c r="R293" s="7"/>
      <c r="S293" s="7"/>
      <c r="T293" s="7"/>
      <c r="U293" s="7"/>
      <c r="V293" s="7"/>
      <c r="W293" s="7"/>
      <c r="X293" s="7"/>
      <c r="Y293" s="7"/>
      <c r="Z293" s="7"/>
      <c r="AA293" s="7"/>
    </row>
    <row r="294">
      <c r="A294" s="54"/>
      <c r="B294" s="54"/>
      <c r="C294" s="7"/>
      <c r="D294" s="7"/>
      <c r="E294" s="7"/>
      <c r="F294" s="54"/>
      <c r="G294" s="54"/>
      <c r="H294" s="54"/>
      <c r="I294" s="54"/>
      <c r="J294" s="54"/>
      <c r="K294" s="54"/>
      <c r="L294" s="54"/>
      <c r="M294" s="54"/>
      <c r="N294" s="54"/>
      <c r="O294" s="54"/>
      <c r="P294" s="7"/>
      <c r="Q294" s="7"/>
      <c r="R294" s="7"/>
      <c r="S294" s="7"/>
      <c r="T294" s="7"/>
      <c r="U294" s="7"/>
      <c r="V294" s="7"/>
      <c r="W294" s="7"/>
      <c r="X294" s="7"/>
      <c r="Y294" s="7"/>
      <c r="Z294" s="7"/>
      <c r="AA294" s="7"/>
    </row>
    <row r="295">
      <c r="A295" s="54"/>
      <c r="B295" s="54"/>
      <c r="C295" s="7"/>
      <c r="D295" s="7"/>
      <c r="E295" s="7"/>
      <c r="F295" s="54"/>
      <c r="G295" s="54"/>
      <c r="H295" s="54"/>
      <c r="I295" s="54"/>
      <c r="J295" s="54"/>
      <c r="K295" s="54"/>
      <c r="L295" s="54"/>
      <c r="M295" s="54"/>
      <c r="N295" s="54"/>
      <c r="O295" s="54"/>
      <c r="P295" s="7"/>
      <c r="Q295" s="7"/>
      <c r="R295" s="7"/>
      <c r="S295" s="7"/>
      <c r="T295" s="7"/>
      <c r="U295" s="7"/>
      <c r="V295" s="7"/>
      <c r="W295" s="7"/>
      <c r="X295" s="7"/>
      <c r="Y295" s="7"/>
      <c r="Z295" s="7"/>
      <c r="AA295" s="7"/>
    </row>
    <row r="296">
      <c r="A296" s="54"/>
      <c r="B296" s="54"/>
      <c r="C296" s="7"/>
      <c r="D296" s="7"/>
      <c r="E296" s="7"/>
      <c r="F296" s="54"/>
      <c r="G296" s="54"/>
      <c r="H296" s="54"/>
      <c r="I296" s="54"/>
      <c r="J296" s="54"/>
      <c r="K296" s="54"/>
      <c r="L296" s="54"/>
      <c r="M296" s="54"/>
      <c r="N296" s="54"/>
      <c r="O296" s="54"/>
      <c r="P296" s="7"/>
      <c r="Q296" s="7"/>
      <c r="R296" s="7"/>
      <c r="S296" s="7"/>
      <c r="T296" s="7"/>
      <c r="U296" s="7"/>
      <c r="V296" s="7"/>
      <c r="W296" s="7"/>
      <c r="X296" s="7"/>
      <c r="Y296" s="7"/>
      <c r="Z296" s="7"/>
      <c r="AA296" s="7"/>
    </row>
    <row r="297">
      <c r="A297" s="54"/>
      <c r="B297" s="54"/>
      <c r="C297" s="7"/>
      <c r="D297" s="7"/>
      <c r="E297" s="7"/>
      <c r="F297" s="54"/>
      <c r="G297" s="54"/>
      <c r="H297" s="54"/>
      <c r="I297" s="54"/>
      <c r="J297" s="54"/>
      <c r="K297" s="54"/>
      <c r="L297" s="54"/>
      <c r="M297" s="54"/>
      <c r="N297" s="54"/>
      <c r="O297" s="54"/>
      <c r="P297" s="7"/>
      <c r="Q297" s="7"/>
      <c r="R297" s="7"/>
      <c r="S297" s="7"/>
      <c r="T297" s="7"/>
      <c r="U297" s="7"/>
      <c r="V297" s="7"/>
      <c r="W297" s="7"/>
      <c r="X297" s="7"/>
      <c r="Y297" s="7"/>
      <c r="Z297" s="7"/>
      <c r="AA297" s="7"/>
    </row>
    <row r="298">
      <c r="A298" s="54"/>
      <c r="B298" s="54"/>
      <c r="C298" s="7"/>
      <c r="D298" s="7"/>
      <c r="E298" s="7"/>
      <c r="F298" s="54"/>
      <c r="G298" s="54"/>
      <c r="H298" s="54"/>
      <c r="I298" s="54"/>
      <c r="J298" s="54"/>
      <c r="K298" s="54"/>
      <c r="L298" s="54"/>
      <c r="M298" s="54"/>
      <c r="N298" s="54"/>
      <c r="O298" s="54"/>
      <c r="P298" s="7"/>
      <c r="Q298" s="7"/>
      <c r="R298" s="7"/>
      <c r="S298" s="7"/>
      <c r="T298" s="7"/>
      <c r="U298" s="7"/>
      <c r="V298" s="7"/>
      <c r="W298" s="7"/>
      <c r="X298" s="7"/>
      <c r="Y298" s="7"/>
      <c r="Z298" s="7"/>
      <c r="AA298" s="7"/>
    </row>
    <row r="299">
      <c r="A299" s="54"/>
      <c r="B299" s="54"/>
      <c r="C299" s="7"/>
      <c r="D299" s="7"/>
      <c r="E299" s="7"/>
      <c r="F299" s="54"/>
      <c r="G299" s="54"/>
      <c r="H299" s="54"/>
      <c r="I299" s="54"/>
      <c r="J299" s="54"/>
      <c r="K299" s="54"/>
      <c r="L299" s="54"/>
      <c r="M299" s="54"/>
      <c r="N299" s="54"/>
      <c r="O299" s="54"/>
      <c r="P299" s="7"/>
      <c r="Q299" s="7"/>
      <c r="R299" s="7"/>
      <c r="S299" s="7"/>
      <c r="T299" s="7"/>
      <c r="U299" s="7"/>
      <c r="V299" s="7"/>
      <c r="W299" s="7"/>
      <c r="X299" s="7"/>
      <c r="Y299" s="7"/>
      <c r="Z299" s="7"/>
      <c r="AA299" s="7"/>
    </row>
    <row r="300">
      <c r="A300" s="54"/>
      <c r="B300" s="54"/>
      <c r="C300" s="7"/>
      <c r="D300" s="7"/>
      <c r="E300" s="7"/>
      <c r="F300" s="54"/>
      <c r="G300" s="54"/>
      <c r="H300" s="54"/>
      <c r="I300" s="54"/>
      <c r="J300" s="54"/>
      <c r="K300" s="54"/>
      <c r="L300" s="54"/>
      <c r="M300" s="54"/>
      <c r="N300" s="54"/>
      <c r="O300" s="54"/>
      <c r="P300" s="7"/>
      <c r="Q300" s="7"/>
      <c r="R300" s="7"/>
      <c r="S300" s="7"/>
      <c r="T300" s="7"/>
      <c r="U300" s="7"/>
      <c r="V300" s="7"/>
      <c r="W300" s="7"/>
      <c r="X300" s="7"/>
      <c r="Y300" s="7"/>
      <c r="Z300" s="7"/>
      <c r="AA300" s="7"/>
    </row>
    <row r="301">
      <c r="A301" s="54"/>
      <c r="B301" s="54"/>
      <c r="C301" s="7"/>
      <c r="D301" s="7"/>
      <c r="E301" s="7"/>
      <c r="F301" s="54"/>
      <c r="G301" s="54"/>
      <c r="H301" s="54"/>
      <c r="I301" s="54"/>
      <c r="J301" s="54"/>
      <c r="K301" s="54"/>
      <c r="L301" s="54"/>
      <c r="M301" s="54"/>
      <c r="N301" s="54"/>
      <c r="O301" s="54"/>
      <c r="P301" s="7"/>
      <c r="Q301" s="7"/>
      <c r="R301" s="7"/>
      <c r="S301" s="7"/>
      <c r="T301" s="7"/>
      <c r="U301" s="7"/>
      <c r="V301" s="7"/>
      <c r="W301" s="7"/>
      <c r="X301" s="7"/>
      <c r="Y301" s="7"/>
      <c r="Z301" s="7"/>
      <c r="AA301" s="7"/>
    </row>
    <row r="302">
      <c r="A302" s="54"/>
      <c r="B302" s="54"/>
      <c r="C302" s="7"/>
      <c r="D302" s="7"/>
      <c r="E302" s="7"/>
      <c r="F302" s="54"/>
      <c r="G302" s="54"/>
      <c r="H302" s="54"/>
      <c r="I302" s="54"/>
      <c r="J302" s="54"/>
      <c r="K302" s="54"/>
      <c r="L302" s="54"/>
      <c r="M302" s="54"/>
      <c r="N302" s="54"/>
      <c r="O302" s="54"/>
      <c r="P302" s="7"/>
      <c r="Q302" s="7"/>
      <c r="R302" s="7"/>
      <c r="S302" s="7"/>
      <c r="T302" s="7"/>
      <c r="U302" s="7"/>
      <c r="V302" s="7"/>
      <c r="W302" s="7"/>
      <c r="X302" s="7"/>
      <c r="Y302" s="7"/>
      <c r="Z302" s="7"/>
      <c r="AA302" s="7"/>
    </row>
    <row r="303">
      <c r="A303" s="54"/>
      <c r="B303" s="54"/>
      <c r="C303" s="7"/>
      <c r="D303" s="7"/>
      <c r="E303" s="7"/>
      <c r="F303" s="54"/>
      <c r="G303" s="54"/>
      <c r="H303" s="54"/>
      <c r="I303" s="54"/>
      <c r="J303" s="54"/>
      <c r="K303" s="54"/>
      <c r="L303" s="54"/>
      <c r="M303" s="54"/>
      <c r="N303" s="54"/>
      <c r="O303" s="54"/>
      <c r="P303" s="7"/>
      <c r="Q303" s="7"/>
      <c r="R303" s="7"/>
      <c r="S303" s="7"/>
      <c r="T303" s="7"/>
      <c r="U303" s="7"/>
      <c r="V303" s="7"/>
      <c r="W303" s="7"/>
      <c r="X303" s="7"/>
      <c r="Y303" s="7"/>
      <c r="Z303" s="7"/>
      <c r="AA303" s="7"/>
    </row>
    <row r="304">
      <c r="A304" s="54"/>
      <c r="B304" s="54"/>
      <c r="C304" s="7"/>
      <c r="D304" s="7"/>
      <c r="E304" s="7"/>
      <c r="F304" s="54"/>
      <c r="G304" s="54"/>
      <c r="H304" s="54"/>
      <c r="I304" s="54"/>
      <c r="J304" s="54"/>
      <c r="K304" s="54"/>
      <c r="L304" s="54"/>
      <c r="M304" s="54"/>
      <c r="N304" s="54"/>
      <c r="O304" s="54"/>
      <c r="P304" s="7"/>
      <c r="Q304" s="7"/>
      <c r="R304" s="7"/>
      <c r="S304" s="7"/>
      <c r="T304" s="7"/>
      <c r="U304" s="7"/>
      <c r="V304" s="7"/>
      <c r="W304" s="7"/>
      <c r="X304" s="7"/>
      <c r="Y304" s="7"/>
      <c r="Z304" s="7"/>
      <c r="AA304" s="7"/>
    </row>
    <row r="305">
      <c r="A305" s="54"/>
      <c r="B305" s="54"/>
      <c r="C305" s="7"/>
      <c r="D305" s="7"/>
      <c r="E305" s="7"/>
      <c r="F305" s="54"/>
      <c r="G305" s="54"/>
      <c r="H305" s="54"/>
      <c r="I305" s="54"/>
      <c r="J305" s="54"/>
      <c r="K305" s="54"/>
      <c r="L305" s="54"/>
      <c r="M305" s="54"/>
      <c r="N305" s="54"/>
      <c r="O305" s="54"/>
      <c r="P305" s="7"/>
      <c r="Q305" s="7"/>
      <c r="R305" s="7"/>
      <c r="S305" s="7"/>
      <c r="T305" s="7"/>
      <c r="U305" s="7"/>
      <c r="V305" s="7"/>
      <c r="W305" s="7"/>
      <c r="X305" s="7"/>
      <c r="Y305" s="7"/>
      <c r="Z305" s="7"/>
      <c r="AA305" s="7"/>
    </row>
    <row r="306">
      <c r="A306" s="54"/>
      <c r="B306" s="54"/>
      <c r="C306" s="7"/>
      <c r="D306" s="7"/>
      <c r="E306" s="7"/>
      <c r="F306" s="54"/>
      <c r="G306" s="54"/>
      <c r="H306" s="54"/>
      <c r="I306" s="54"/>
      <c r="J306" s="54"/>
      <c r="K306" s="54"/>
      <c r="L306" s="54"/>
      <c r="M306" s="54"/>
      <c r="N306" s="54"/>
      <c r="O306" s="54"/>
      <c r="P306" s="7"/>
      <c r="Q306" s="7"/>
      <c r="R306" s="7"/>
      <c r="S306" s="7"/>
      <c r="T306" s="7"/>
      <c r="U306" s="7"/>
      <c r="V306" s="7"/>
      <c r="W306" s="7"/>
      <c r="X306" s="7"/>
      <c r="Y306" s="7"/>
      <c r="Z306" s="7"/>
      <c r="AA306" s="7"/>
    </row>
    <row r="307">
      <c r="A307" s="54"/>
      <c r="B307" s="54"/>
      <c r="C307" s="7"/>
      <c r="D307" s="7"/>
      <c r="E307" s="7"/>
      <c r="F307" s="54"/>
      <c r="G307" s="54"/>
      <c r="H307" s="54"/>
      <c r="I307" s="54"/>
      <c r="J307" s="54"/>
      <c r="K307" s="54"/>
      <c r="L307" s="54"/>
      <c r="M307" s="54"/>
      <c r="N307" s="54"/>
      <c r="O307" s="54"/>
      <c r="P307" s="7"/>
      <c r="Q307" s="7"/>
      <c r="R307" s="7"/>
      <c r="S307" s="7"/>
      <c r="T307" s="7"/>
      <c r="U307" s="7"/>
      <c r="V307" s="7"/>
      <c r="W307" s="7"/>
      <c r="X307" s="7"/>
      <c r="Y307" s="7"/>
      <c r="Z307" s="7"/>
      <c r="AA307" s="7"/>
    </row>
    <row r="308">
      <c r="A308" s="54"/>
      <c r="B308" s="54"/>
      <c r="C308" s="7"/>
      <c r="D308" s="7"/>
      <c r="E308" s="7"/>
      <c r="F308" s="54"/>
      <c r="G308" s="54"/>
      <c r="H308" s="54"/>
      <c r="I308" s="54"/>
      <c r="J308" s="54"/>
      <c r="K308" s="54"/>
      <c r="L308" s="54"/>
      <c r="M308" s="54"/>
      <c r="N308" s="54"/>
      <c r="O308" s="54"/>
      <c r="P308" s="7"/>
      <c r="Q308" s="7"/>
      <c r="R308" s="7"/>
      <c r="S308" s="7"/>
      <c r="T308" s="7"/>
      <c r="U308" s="7"/>
      <c r="V308" s="7"/>
      <c r="W308" s="7"/>
      <c r="X308" s="7"/>
      <c r="Y308" s="7"/>
      <c r="Z308" s="7"/>
      <c r="AA308" s="7"/>
    </row>
    <row r="309">
      <c r="A309" s="54"/>
      <c r="B309" s="54"/>
      <c r="C309" s="7"/>
      <c r="D309" s="7"/>
      <c r="E309" s="7"/>
      <c r="F309" s="54"/>
      <c r="G309" s="54"/>
      <c r="H309" s="54"/>
      <c r="I309" s="54"/>
      <c r="J309" s="54"/>
      <c r="K309" s="54"/>
      <c r="L309" s="54"/>
      <c r="M309" s="54"/>
      <c r="N309" s="54"/>
      <c r="O309" s="54"/>
      <c r="P309" s="7"/>
      <c r="Q309" s="7"/>
      <c r="R309" s="7"/>
      <c r="S309" s="7"/>
      <c r="T309" s="7"/>
      <c r="U309" s="7"/>
      <c r="V309" s="7"/>
      <c r="W309" s="7"/>
      <c r="X309" s="7"/>
      <c r="Y309" s="7"/>
      <c r="Z309" s="7"/>
      <c r="AA309" s="7"/>
    </row>
    <row r="310">
      <c r="A310" s="54"/>
      <c r="B310" s="54"/>
      <c r="C310" s="7"/>
      <c r="D310" s="7"/>
      <c r="E310" s="7"/>
      <c r="F310" s="54"/>
      <c r="G310" s="54"/>
      <c r="H310" s="54"/>
      <c r="I310" s="54"/>
      <c r="J310" s="54"/>
      <c r="K310" s="54"/>
      <c r="L310" s="54"/>
      <c r="M310" s="54"/>
      <c r="N310" s="54"/>
      <c r="O310" s="54"/>
      <c r="P310" s="7"/>
      <c r="Q310" s="7"/>
      <c r="R310" s="7"/>
      <c r="S310" s="7"/>
      <c r="T310" s="7"/>
      <c r="U310" s="7"/>
      <c r="V310" s="7"/>
      <c r="W310" s="7"/>
      <c r="X310" s="7"/>
      <c r="Y310" s="7"/>
      <c r="Z310" s="7"/>
      <c r="AA310" s="7"/>
    </row>
    <row r="311">
      <c r="A311" s="54"/>
      <c r="B311" s="54"/>
      <c r="C311" s="7"/>
      <c r="D311" s="7"/>
      <c r="E311" s="7"/>
      <c r="F311" s="54"/>
      <c r="G311" s="54"/>
      <c r="H311" s="54"/>
      <c r="I311" s="54"/>
      <c r="J311" s="54"/>
      <c r="K311" s="54"/>
      <c r="L311" s="54"/>
      <c r="M311" s="54"/>
      <c r="N311" s="54"/>
      <c r="O311" s="54"/>
      <c r="P311" s="7"/>
      <c r="Q311" s="7"/>
      <c r="R311" s="7"/>
      <c r="S311" s="7"/>
      <c r="T311" s="7"/>
      <c r="U311" s="7"/>
      <c r="V311" s="7"/>
      <c r="W311" s="7"/>
      <c r="X311" s="7"/>
      <c r="Y311" s="7"/>
      <c r="Z311" s="7"/>
      <c r="AA311" s="7"/>
    </row>
    <row r="312">
      <c r="A312" s="54"/>
      <c r="B312" s="54"/>
      <c r="C312" s="7"/>
      <c r="D312" s="7"/>
      <c r="E312" s="7"/>
      <c r="F312" s="54"/>
      <c r="G312" s="54"/>
      <c r="H312" s="54"/>
      <c r="I312" s="54"/>
      <c r="J312" s="54"/>
      <c r="K312" s="54"/>
      <c r="L312" s="54"/>
      <c r="M312" s="54"/>
      <c r="N312" s="54"/>
      <c r="O312" s="54"/>
      <c r="P312" s="7"/>
      <c r="Q312" s="7"/>
      <c r="R312" s="7"/>
      <c r="S312" s="7"/>
      <c r="T312" s="7"/>
      <c r="U312" s="7"/>
      <c r="V312" s="7"/>
      <c r="W312" s="7"/>
      <c r="X312" s="7"/>
      <c r="Y312" s="7"/>
      <c r="Z312" s="7"/>
      <c r="AA312" s="7"/>
    </row>
    <row r="313">
      <c r="A313" s="54"/>
      <c r="B313" s="54"/>
      <c r="C313" s="7"/>
      <c r="D313" s="7"/>
      <c r="E313" s="7"/>
      <c r="F313" s="54"/>
      <c r="G313" s="54"/>
      <c r="H313" s="54"/>
      <c r="I313" s="54"/>
      <c r="J313" s="54"/>
      <c r="K313" s="54"/>
      <c r="L313" s="54"/>
      <c r="M313" s="54"/>
      <c r="N313" s="54"/>
      <c r="O313" s="54"/>
      <c r="P313" s="7"/>
      <c r="Q313" s="7"/>
      <c r="R313" s="7"/>
      <c r="S313" s="7"/>
      <c r="T313" s="7"/>
      <c r="U313" s="7"/>
      <c r="V313" s="7"/>
      <c r="W313" s="7"/>
      <c r="X313" s="7"/>
      <c r="Y313" s="7"/>
      <c r="Z313" s="7"/>
      <c r="AA313" s="7"/>
    </row>
    <row r="314">
      <c r="A314" s="54"/>
      <c r="B314" s="54"/>
      <c r="C314" s="7"/>
      <c r="D314" s="7"/>
      <c r="E314" s="7"/>
      <c r="F314" s="54"/>
      <c r="G314" s="54"/>
      <c r="H314" s="54"/>
      <c r="I314" s="54"/>
      <c r="J314" s="54"/>
      <c r="K314" s="54"/>
      <c r="L314" s="54"/>
      <c r="M314" s="54"/>
      <c r="N314" s="54"/>
      <c r="O314" s="54"/>
      <c r="P314" s="7"/>
      <c r="Q314" s="7"/>
      <c r="R314" s="7"/>
      <c r="S314" s="7"/>
      <c r="T314" s="7"/>
      <c r="U314" s="7"/>
      <c r="V314" s="7"/>
      <c r="W314" s="7"/>
      <c r="X314" s="7"/>
      <c r="Y314" s="7"/>
      <c r="Z314" s="7"/>
      <c r="AA314" s="7"/>
    </row>
    <row r="315">
      <c r="A315" s="54"/>
      <c r="B315" s="54"/>
      <c r="C315" s="7"/>
      <c r="D315" s="7"/>
      <c r="E315" s="7"/>
      <c r="F315" s="54"/>
      <c r="G315" s="54"/>
      <c r="H315" s="54"/>
      <c r="I315" s="54"/>
      <c r="J315" s="54"/>
      <c r="K315" s="54"/>
      <c r="L315" s="54"/>
      <c r="M315" s="54"/>
      <c r="N315" s="54"/>
      <c r="O315" s="54"/>
      <c r="P315" s="7"/>
      <c r="Q315" s="7"/>
      <c r="R315" s="7"/>
      <c r="S315" s="7"/>
      <c r="T315" s="7"/>
      <c r="U315" s="7"/>
      <c r="V315" s="7"/>
      <c r="W315" s="7"/>
      <c r="X315" s="7"/>
      <c r="Y315" s="7"/>
      <c r="Z315" s="7"/>
      <c r="AA315" s="7"/>
    </row>
    <row r="316">
      <c r="A316" s="54"/>
      <c r="B316" s="54"/>
      <c r="C316" s="7"/>
      <c r="D316" s="7"/>
      <c r="E316" s="7"/>
      <c r="F316" s="54"/>
      <c r="G316" s="54"/>
      <c r="H316" s="54"/>
      <c r="I316" s="54"/>
      <c r="J316" s="54"/>
      <c r="K316" s="54"/>
      <c r="L316" s="54"/>
      <c r="M316" s="54"/>
      <c r="N316" s="54"/>
      <c r="O316" s="54"/>
      <c r="P316" s="7"/>
      <c r="Q316" s="7"/>
      <c r="R316" s="7"/>
      <c r="S316" s="7"/>
      <c r="T316" s="7"/>
      <c r="U316" s="7"/>
      <c r="V316" s="7"/>
      <c r="W316" s="7"/>
      <c r="X316" s="7"/>
      <c r="Y316" s="7"/>
      <c r="Z316" s="7"/>
      <c r="AA316" s="7"/>
    </row>
    <row r="317">
      <c r="A317" s="54"/>
      <c r="B317" s="54"/>
      <c r="C317" s="7"/>
      <c r="D317" s="7"/>
      <c r="E317" s="7"/>
      <c r="F317" s="54"/>
      <c r="G317" s="54"/>
      <c r="H317" s="54"/>
      <c r="I317" s="54"/>
      <c r="J317" s="54"/>
      <c r="K317" s="54"/>
      <c r="L317" s="54"/>
      <c r="M317" s="54"/>
      <c r="N317" s="54"/>
      <c r="O317" s="54"/>
      <c r="P317" s="7"/>
      <c r="Q317" s="7"/>
      <c r="R317" s="7"/>
      <c r="S317" s="7"/>
      <c r="T317" s="7"/>
      <c r="U317" s="7"/>
      <c r="V317" s="7"/>
      <c r="W317" s="7"/>
      <c r="X317" s="7"/>
      <c r="Y317" s="7"/>
      <c r="Z317" s="7"/>
      <c r="AA317" s="7"/>
    </row>
    <row r="318">
      <c r="A318" s="54"/>
      <c r="B318" s="54"/>
      <c r="C318" s="7"/>
      <c r="D318" s="7"/>
      <c r="E318" s="7"/>
      <c r="F318" s="54"/>
      <c r="G318" s="54"/>
      <c r="H318" s="54"/>
      <c r="I318" s="54"/>
      <c r="J318" s="54"/>
      <c r="K318" s="54"/>
      <c r="L318" s="54"/>
      <c r="M318" s="54"/>
      <c r="N318" s="54"/>
      <c r="O318" s="54"/>
      <c r="P318" s="7"/>
      <c r="Q318" s="7"/>
      <c r="R318" s="7"/>
      <c r="S318" s="7"/>
      <c r="T318" s="7"/>
      <c r="U318" s="7"/>
      <c r="V318" s="7"/>
      <c r="W318" s="7"/>
      <c r="X318" s="7"/>
      <c r="Y318" s="7"/>
      <c r="Z318" s="7"/>
      <c r="AA318" s="7"/>
    </row>
    <row r="319">
      <c r="A319" s="54"/>
      <c r="B319" s="54"/>
      <c r="C319" s="7"/>
      <c r="D319" s="7"/>
      <c r="E319" s="7"/>
      <c r="F319" s="54"/>
      <c r="G319" s="54"/>
      <c r="H319" s="54"/>
      <c r="I319" s="54"/>
      <c r="J319" s="54"/>
      <c r="K319" s="54"/>
      <c r="L319" s="54"/>
      <c r="M319" s="54"/>
      <c r="N319" s="54"/>
      <c r="O319" s="54"/>
      <c r="P319" s="7"/>
      <c r="Q319" s="7"/>
      <c r="R319" s="7"/>
      <c r="S319" s="7"/>
      <c r="T319" s="7"/>
      <c r="U319" s="7"/>
      <c r="V319" s="7"/>
      <c r="W319" s="7"/>
      <c r="X319" s="7"/>
      <c r="Y319" s="7"/>
      <c r="Z319" s="7"/>
      <c r="AA319" s="7"/>
    </row>
    <row r="320">
      <c r="A320" s="54"/>
      <c r="B320" s="54"/>
      <c r="C320" s="7"/>
      <c r="D320" s="7"/>
      <c r="E320" s="7"/>
      <c r="F320" s="54"/>
      <c r="G320" s="54"/>
      <c r="H320" s="54"/>
      <c r="I320" s="54"/>
      <c r="J320" s="54"/>
      <c r="K320" s="54"/>
      <c r="L320" s="54"/>
      <c r="M320" s="54"/>
      <c r="N320" s="54"/>
      <c r="O320" s="54"/>
      <c r="P320" s="7"/>
      <c r="Q320" s="7"/>
      <c r="R320" s="7"/>
      <c r="S320" s="7"/>
      <c r="T320" s="7"/>
      <c r="U320" s="7"/>
      <c r="V320" s="7"/>
      <c r="W320" s="7"/>
      <c r="X320" s="7"/>
      <c r="Y320" s="7"/>
      <c r="Z320" s="7"/>
      <c r="AA320" s="7"/>
    </row>
    <row r="321">
      <c r="A321" s="54"/>
      <c r="B321" s="54"/>
      <c r="C321" s="7"/>
      <c r="D321" s="7"/>
      <c r="E321" s="7"/>
      <c r="F321" s="54"/>
      <c r="G321" s="54"/>
      <c r="H321" s="54"/>
      <c r="I321" s="54"/>
      <c r="J321" s="54"/>
      <c r="K321" s="54"/>
      <c r="L321" s="54"/>
      <c r="M321" s="54"/>
      <c r="N321" s="54"/>
      <c r="O321" s="54"/>
      <c r="P321" s="7"/>
      <c r="Q321" s="7"/>
      <c r="R321" s="7"/>
      <c r="S321" s="7"/>
      <c r="T321" s="7"/>
      <c r="U321" s="7"/>
      <c r="V321" s="7"/>
      <c r="W321" s="7"/>
      <c r="X321" s="7"/>
      <c r="Y321" s="7"/>
      <c r="Z321" s="7"/>
      <c r="AA321" s="7"/>
    </row>
    <row r="322">
      <c r="A322" s="54"/>
      <c r="B322" s="54"/>
      <c r="C322" s="7"/>
      <c r="D322" s="7"/>
      <c r="E322" s="7"/>
      <c r="F322" s="54"/>
      <c r="G322" s="54"/>
      <c r="H322" s="54"/>
      <c r="I322" s="54"/>
      <c r="J322" s="54"/>
      <c r="K322" s="54"/>
      <c r="L322" s="54"/>
      <c r="M322" s="54"/>
      <c r="N322" s="54"/>
      <c r="O322" s="54"/>
      <c r="P322" s="7"/>
      <c r="Q322" s="7"/>
      <c r="R322" s="7"/>
      <c r="S322" s="7"/>
      <c r="T322" s="7"/>
      <c r="U322" s="7"/>
      <c r="V322" s="7"/>
      <c r="W322" s="7"/>
      <c r="X322" s="7"/>
      <c r="Y322" s="7"/>
      <c r="Z322" s="7"/>
      <c r="AA322" s="7"/>
    </row>
    <row r="323">
      <c r="A323" s="54"/>
      <c r="B323" s="54"/>
      <c r="C323" s="7"/>
      <c r="D323" s="7"/>
      <c r="E323" s="7"/>
      <c r="F323" s="54"/>
      <c r="G323" s="54"/>
      <c r="H323" s="54"/>
      <c r="I323" s="54"/>
      <c r="J323" s="54"/>
      <c r="K323" s="54"/>
      <c r="L323" s="54"/>
      <c r="M323" s="54"/>
      <c r="N323" s="54"/>
      <c r="O323" s="54"/>
      <c r="P323" s="7"/>
      <c r="Q323" s="7"/>
      <c r="R323" s="7"/>
      <c r="S323" s="7"/>
      <c r="T323" s="7"/>
      <c r="U323" s="7"/>
      <c r="V323" s="7"/>
      <c r="W323" s="7"/>
      <c r="X323" s="7"/>
      <c r="Y323" s="7"/>
      <c r="Z323" s="7"/>
      <c r="AA323" s="7"/>
    </row>
    <row r="324">
      <c r="A324" s="54"/>
      <c r="B324" s="54"/>
      <c r="C324" s="7"/>
      <c r="D324" s="7"/>
      <c r="E324" s="7"/>
      <c r="F324" s="54"/>
      <c r="G324" s="54"/>
      <c r="H324" s="54"/>
      <c r="I324" s="54"/>
      <c r="J324" s="54"/>
      <c r="K324" s="54"/>
      <c r="L324" s="54"/>
      <c r="M324" s="54"/>
      <c r="N324" s="54"/>
      <c r="O324" s="54"/>
      <c r="P324" s="7"/>
      <c r="Q324" s="7"/>
      <c r="R324" s="7"/>
      <c r="S324" s="7"/>
      <c r="T324" s="7"/>
      <c r="U324" s="7"/>
      <c r="V324" s="7"/>
      <c r="W324" s="7"/>
      <c r="X324" s="7"/>
      <c r="Y324" s="7"/>
      <c r="Z324" s="7"/>
      <c r="AA324" s="7"/>
    </row>
    <row r="325">
      <c r="A325" s="54"/>
      <c r="B325" s="54"/>
      <c r="C325" s="7"/>
      <c r="D325" s="7"/>
      <c r="E325" s="7"/>
      <c r="F325" s="54"/>
      <c r="G325" s="54"/>
      <c r="H325" s="54"/>
      <c r="I325" s="54"/>
      <c r="J325" s="54"/>
      <c r="K325" s="54"/>
      <c r="L325" s="54"/>
      <c r="M325" s="54"/>
      <c r="N325" s="54"/>
      <c r="O325" s="54"/>
      <c r="P325" s="7"/>
      <c r="Q325" s="7"/>
      <c r="R325" s="7"/>
      <c r="S325" s="7"/>
      <c r="T325" s="7"/>
      <c r="U325" s="7"/>
      <c r="V325" s="7"/>
      <c r="W325" s="7"/>
      <c r="X325" s="7"/>
      <c r="Y325" s="7"/>
      <c r="Z325" s="7"/>
      <c r="AA325" s="7"/>
    </row>
    <row r="326">
      <c r="A326" s="54"/>
      <c r="B326" s="54"/>
      <c r="C326" s="7"/>
      <c r="D326" s="7"/>
      <c r="E326" s="7"/>
      <c r="F326" s="54"/>
      <c r="G326" s="54"/>
      <c r="H326" s="54"/>
      <c r="I326" s="54"/>
      <c r="J326" s="54"/>
      <c r="K326" s="54"/>
      <c r="L326" s="54"/>
      <c r="M326" s="54"/>
      <c r="N326" s="54"/>
      <c r="O326" s="54"/>
      <c r="P326" s="7"/>
      <c r="Q326" s="7"/>
      <c r="R326" s="7"/>
      <c r="S326" s="7"/>
      <c r="T326" s="7"/>
      <c r="U326" s="7"/>
      <c r="V326" s="7"/>
      <c r="W326" s="7"/>
      <c r="X326" s="7"/>
      <c r="Y326" s="7"/>
      <c r="Z326" s="7"/>
      <c r="AA326" s="7"/>
    </row>
    <row r="327">
      <c r="A327" s="54"/>
      <c r="B327" s="54"/>
      <c r="C327" s="7"/>
      <c r="D327" s="7"/>
      <c r="E327" s="7"/>
      <c r="F327" s="54"/>
      <c r="G327" s="54"/>
      <c r="H327" s="54"/>
      <c r="I327" s="54"/>
      <c r="J327" s="54"/>
      <c r="K327" s="54"/>
      <c r="L327" s="54"/>
      <c r="M327" s="54"/>
      <c r="N327" s="54"/>
      <c r="O327" s="54"/>
      <c r="P327" s="7"/>
      <c r="Q327" s="7"/>
      <c r="R327" s="7"/>
      <c r="S327" s="7"/>
      <c r="T327" s="7"/>
      <c r="U327" s="7"/>
      <c r="V327" s="7"/>
      <c r="W327" s="7"/>
      <c r="X327" s="7"/>
      <c r="Y327" s="7"/>
      <c r="Z327" s="7"/>
      <c r="AA327" s="7"/>
    </row>
    <row r="328">
      <c r="A328" s="54"/>
      <c r="B328" s="54"/>
      <c r="C328" s="7"/>
      <c r="D328" s="7"/>
      <c r="E328" s="7"/>
      <c r="F328" s="54"/>
      <c r="G328" s="54"/>
      <c r="H328" s="54"/>
      <c r="I328" s="54"/>
      <c r="J328" s="54"/>
      <c r="K328" s="54"/>
      <c r="L328" s="54"/>
      <c r="M328" s="54"/>
      <c r="N328" s="54"/>
      <c r="O328" s="54"/>
      <c r="P328" s="7"/>
      <c r="Q328" s="7"/>
      <c r="R328" s="7"/>
      <c r="S328" s="7"/>
      <c r="T328" s="7"/>
      <c r="U328" s="7"/>
      <c r="V328" s="7"/>
      <c r="W328" s="7"/>
      <c r="X328" s="7"/>
      <c r="Y328" s="7"/>
      <c r="Z328" s="7"/>
      <c r="AA328" s="7"/>
    </row>
    <row r="329">
      <c r="A329" s="54"/>
      <c r="B329" s="54"/>
      <c r="C329" s="7"/>
      <c r="D329" s="7"/>
      <c r="E329" s="7"/>
      <c r="F329" s="54"/>
      <c r="G329" s="54"/>
      <c r="H329" s="54"/>
      <c r="I329" s="54"/>
      <c r="J329" s="54"/>
      <c r="K329" s="54"/>
      <c r="L329" s="54"/>
      <c r="M329" s="54"/>
      <c r="N329" s="54"/>
      <c r="O329" s="54"/>
      <c r="P329" s="7"/>
      <c r="Q329" s="7"/>
      <c r="R329" s="7"/>
      <c r="S329" s="7"/>
      <c r="T329" s="7"/>
      <c r="U329" s="7"/>
      <c r="V329" s="7"/>
      <c r="W329" s="7"/>
      <c r="X329" s="7"/>
      <c r="Y329" s="7"/>
      <c r="Z329" s="7"/>
      <c r="AA329" s="7"/>
    </row>
    <row r="330">
      <c r="A330" s="54"/>
      <c r="B330" s="54"/>
      <c r="C330" s="7"/>
      <c r="D330" s="7"/>
      <c r="E330" s="7"/>
      <c r="F330" s="54"/>
      <c r="G330" s="54"/>
      <c r="H330" s="54"/>
      <c r="I330" s="54"/>
      <c r="J330" s="54"/>
      <c r="K330" s="54"/>
      <c r="L330" s="54"/>
      <c r="M330" s="54"/>
      <c r="N330" s="54"/>
      <c r="O330" s="54"/>
      <c r="P330" s="7"/>
      <c r="Q330" s="7"/>
      <c r="R330" s="7"/>
      <c r="S330" s="7"/>
      <c r="T330" s="7"/>
      <c r="U330" s="7"/>
      <c r="V330" s="7"/>
      <c r="W330" s="7"/>
      <c r="X330" s="7"/>
      <c r="Y330" s="7"/>
      <c r="Z330" s="7"/>
      <c r="AA330" s="7"/>
    </row>
    <row r="331">
      <c r="A331" s="54"/>
      <c r="B331" s="54"/>
      <c r="C331" s="7"/>
      <c r="D331" s="7"/>
      <c r="E331" s="7"/>
      <c r="F331" s="54"/>
      <c r="G331" s="54"/>
      <c r="H331" s="54"/>
      <c r="I331" s="54"/>
      <c r="J331" s="54"/>
      <c r="K331" s="54"/>
      <c r="L331" s="54"/>
      <c r="M331" s="54"/>
      <c r="N331" s="54"/>
      <c r="O331" s="54"/>
      <c r="P331" s="7"/>
      <c r="Q331" s="7"/>
      <c r="R331" s="7"/>
      <c r="S331" s="7"/>
      <c r="T331" s="7"/>
      <c r="U331" s="7"/>
      <c r="V331" s="7"/>
      <c r="W331" s="7"/>
      <c r="X331" s="7"/>
      <c r="Y331" s="7"/>
      <c r="Z331" s="7"/>
      <c r="AA331" s="7"/>
    </row>
    <row r="332">
      <c r="A332" s="54"/>
      <c r="B332" s="54"/>
      <c r="C332" s="7"/>
      <c r="D332" s="7"/>
      <c r="E332" s="7"/>
      <c r="F332" s="54"/>
      <c r="G332" s="54"/>
      <c r="H332" s="54"/>
      <c r="I332" s="54"/>
      <c r="J332" s="54"/>
      <c r="K332" s="54"/>
      <c r="L332" s="54"/>
      <c r="M332" s="54"/>
      <c r="N332" s="54"/>
      <c r="O332" s="54"/>
      <c r="P332" s="7"/>
      <c r="Q332" s="7"/>
      <c r="R332" s="7"/>
      <c r="S332" s="7"/>
      <c r="T332" s="7"/>
      <c r="U332" s="7"/>
      <c r="V332" s="7"/>
      <c r="W332" s="7"/>
      <c r="X332" s="7"/>
      <c r="Y332" s="7"/>
      <c r="Z332" s="7"/>
      <c r="AA332" s="7"/>
    </row>
    <row r="333">
      <c r="A333" s="54"/>
      <c r="B333" s="54"/>
      <c r="C333" s="7"/>
      <c r="D333" s="7"/>
      <c r="E333" s="7"/>
      <c r="F333" s="54"/>
      <c r="G333" s="54"/>
      <c r="H333" s="54"/>
      <c r="I333" s="54"/>
      <c r="J333" s="54"/>
      <c r="K333" s="54"/>
      <c r="L333" s="54"/>
      <c r="M333" s="54"/>
      <c r="N333" s="54"/>
      <c r="O333" s="54"/>
      <c r="P333" s="7"/>
      <c r="Q333" s="7"/>
      <c r="R333" s="7"/>
      <c r="S333" s="7"/>
      <c r="T333" s="7"/>
      <c r="U333" s="7"/>
      <c r="V333" s="7"/>
      <c r="W333" s="7"/>
      <c r="X333" s="7"/>
      <c r="Y333" s="7"/>
      <c r="Z333" s="7"/>
      <c r="AA333" s="7"/>
    </row>
    <row r="334">
      <c r="A334" s="54"/>
      <c r="B334" s="54"/>
      <c r="C334" s="7"/>
      <c r="D334" s="7"/>
      <c r="E334" s="7"/>
      <c r="F334" s="54"/>
      <c r="G334" s="54"/>
      <c r="H334" s="54"/>
      <c r="I334" s="54"/>
      <c r="J334" s="54"/>
      <c r="K334" s="54"/>
      <c r="L334" s="54"/>
      <c r="M334" s="54"/>
      <c r="N334" s="54"/>
      <c r="O334" s="54"/>
      <c r="P334" s="7"/>
      <c r="Q334" s="7"/>
      <c r="R334" s="7"/>
      <c r="S334" s="7"/>
      <c r="T334" s="7"/>
      <c r="U334" s="7"/>
      <c r="V334" s="7"/>
      <c r="W334" s="7"/>
      <c r="X334" s="7"/>
      <c r="Y334" s="7"/>
      <c r="Z334" s="7"/>
      <c r="AA334" s="7"/>
    </row>
    <row r="335">
      <c r="A335" s="54"/>
      <c r="B335" s="54"/>
      <c r="C335" s="7"/>
      <c r="D335" s="7"/>
      <c r="E335" s="7"/>
      <c r="F335" s="54"/>
      <c r="G335" s="54"/>
      <c r="H335" s="54"/>
      <c r="I335" s="54"/>
      <c r="J335" s="54"/>
      <c r="K335" s="54"/>
      <c r="L335" s="54"/>
      <c r="M335" s="54"/>
      <c r="N335" s="54"/>
      <c r="O335" s="54"/>
      <c r="P335" s="7"/>
      <c r="Q335" s="7"/>
      <c r="R335" s="7"/>
      <c r="S335" s="7"/>
      <c r="T335" s="7"/>
      <c r="U335" s="7"/>
      <c r="V335" s="7"/>
      <c r="W335" s="7"/>
      <c r="X335" s="7"/>
      <c r="Y335" s="7"/>
      <c r="Z335" s="7"/>
      <c r="AA335" s="7"/>
    </row>
    <row r="336">
      <c r="A336" s="54"/>
      <c r="B336" s="54"/>
      <c r="C336" s="7"/>
      <c r="D336" s="7"/>
      <c r="E336" s="7"/>
      <c r="F336" s="54"/>
      <c r="G336" s="54"/>
      <c r="H336" s="54"/>
      <c r="I336" s="54"/>
      <c r="J336" s="54"/>
      <c r="K336" s="54"/>
      <c r="L336" s="54"/>
      <c r="M336" s="54"/>
      <c r="N336" s="54"/>
      <c r="O336" s="54"/>
      <c r="P336" s="7"/>
      <c r="Q336" s="7"/>
      <c r="R336" s="7"/>
      <c r="S336" s="7"/>
      <c r="T336" s="7"/>
      <c r="U336" s="7"/>
      <c r="V336" s="7"/>
      <c r="W336" s="7"/>
      <c r="X336" s="7"/>
      <c r="Y336" s="7"/>
      <c r="Z336" s="7"/>
      <c r="AA336" s="7"/>
    </row>
    <row r="337">
      <c r="A337" s="54"/>
      <c r="B337" s="54"/>
      <c r="C337" s="7"/>
      <c r="D337" s="7"/>
      <c r="E337" s="7"/>
      <c r="F337" s="54"/>
      <c r="G337" s="54"/>
      <c r="H337" s="54"/>
      <c r="I337" s="54"/>
      <c r="J337" s="54"/>
      <c r="K337" s="54"/>
      <c r="L337" s="54"/>
      <c r="M337" s="54"/>
      <c r="N337" s="54"/>
      <c r="O337" s="54"/>
      <c r="P337" s="7"/>
      <c r="Q337" s="7"/>
      <c r="R337" s="7"/>
      <c r="S337" s="7"/>
      <c r="T337" s="7"/>
      <c r="U337" s="7"/>
      <c r="V337" s="7"/>
      <c r="W337" s="7"/>
      <c r="X337" s="7"/>
      <c r="Y337" s="7"/>
      <c r="Z337" s="7"/>
      <c r="AA337" s="7"/>
    </row>
    <row r="338">
      <c r="A338" s="54"/>
      <c r="B338" s="54"/>
      <c r="C338" s="7"/>
      <c r="D338" s="7"/>
      <c r="E338" s="7"/>
      <c r="F338" s="54"/>
      <c r="G338" s="54"/>
      <c r="H338" s="54"/>
      <c r="I338" s="54"/>
      <c r="J338" s="54"/>
      <c r="K338" s="54"/>
      <c r="L338" s="54"/>
      <c r="M338" s="54"/>
      <c r="N338" s="54"/>
      <c r="O338" s="54"/>
      <c r="P338" s="7"/>
      <c r="Q338" s="7"/>
      <c r="R338" s="7"/>
      <c r="S338" s="7"/>
      <c r="T338" s="7"/>
      <c r="U338" s="7"/>
      <c r="V338" s="7"/>
      <c r="W338" s="7"/>
      <c r="X338" s="7"/>
      <c r="Y338" s="7"/>
      <c r="Z338" s="7"/>
      <c r="AA338" s="7"/>
    </row>
    <row r="339">
      <c r="A339" s="54"/>
      <c r="B339" s="54"/>
      <c r="C339" s="7"/>
      <c r="D339" s="7"/>
      <c r="E339" s="7"/>
      <c r="F339" s="54"/>
      <c r="G339" s="54"/>
      <c r="H339" s="54"/>
      <c r="I339" s="54"/>
      <c r="J339" s="54"/>
      <c r="K339" s="54"/>
      <c r="L339" s="54"/>
      <c r="M339" s="54"/>
      <c r="N339" s="54"/>
      <c r="O339" s="54"/>
      <c r="P339" s="7"/>
      <c r="Q339" s="7"/>
      <c r="R339" s="7"/>
      <c r="S339" s="7"/>
      <c r="T339" s="7"/>
      <c r="U339" s="7"/>
      <c r="V339" s="7"/>
      <c r="W339" s="7"/>
      <c r="X339" s="7"/>
      <c r="Y339" s="7"/>
      <c r="Z339" s="7"/>
      <c r="AA339" s="7"/>
    </row>
    <row r="340">
      <c r="A340" s="54"/>
      <c r="B340" s="54"/>
      <c r="C340" s="7"/>
      <c r="D340" s="7"/>
      <c r="E340" s="7"/>
      <c r="F340" s="54"/>
      <c r="G340" s="54"/>
      <c r="H340" s="54"/>
      <c r="I340" s="54"/>
      <c r="J340" s="54"/>
      <c r="K340" s="54"/>
      <c r="L340" s="54"/>
      <c r="M340" s="54"/>
      <c r="N340" s="54"/>
      <c r="O340" s="54"/>
      <c r="P340" s="7"/>
      <c r="Q340" s="7"/>
      <c r="R340" s="7"/>
      <c r="S340" s="7"/>
      <c r="T340" s="7"/>
      <c r="U340" s="7"/>
      <c r="V340" s="7"/>
      <c r="W340" s="7"/>
      <c r="X340" s="7"/>
      <c r="Y340" s="7"/>
      <c r="Z340" s="7"/>
      <c r="AA340" s="7"/>
    </row>
    <row r="341">
      <c r="A341" s="54"/>
      <c r="B341" s="54"/>
      <c r="C341" s="7"/>
      <c r="D341" s="7"/>
      <c r="E341" s="7"/>
      <c r="F341" s="54"/>
      <c r="G341" s="54"/>
      <c r="H341" s="54"/>
      <c r="I341" s="54"/>
      <c r="J341" s="54"/>
      <c r="K341" s="54"/>
      <c r="L341" s="54"/>
      <c r="M341" s="54"/>
      <c r="N341" s="54"/>
      <c r="O341" s="54"/>
      <c r="P341" s="7"/>
      <c r="Q341" s="7"/>
      <c r="R341" s="7"/>
      <c r="S341" s="7"/>
      <c r="T341" s="7"/>
      <c r="U341" s="7"/>
      <c r="V341" s="7"/>
      <c r="W341" s="7"/>
      <c r="X341" s="7"/>
      <c r="Y341" s="7"/>
      <c r="Z341" s="7"/>
      <c r="AA341" s="7"/>
    </row>
    <row r="342">
      <c r="A342" s="54"/>
      <c r="B342" s="54"/>
      <c r="C342" s="7"/>
      <c r="D342" s="7"/>
      <c r="E342" s="7"/>
      <c r="F342" s="54"/>
      <c r="G342" s="54"/>
      <c r="H342" s="54"/>
      <c r="I342" s="54"/>
      <c r="J342" s="54"/>
      <c r="K342" s="54"/>
      <c r="L342" s="54"/>
      <c r="M342" s="54"/>
      <c r="N342" s="54"/>
      <c r="O342" s="54"/>
      <c r="P342" s="7"/>
      <c r="Q342" s="7"/>
      <c r="R342" s="7"/>
      <c r="S342" s="7"/>
      <c r="T342" s="7"/>
      <c r="U342" s="7"/>
      <c r="V342" s="7"/>
      <c r="W342" s="7"/>
      <c r="X342" s="7"/>
      <c r="Y342" s="7"/>
      <c r="Z342" s="7"/>
      <c r="AA342" s="7"/>
    </row>
    <row r="343">
      <c r="A343" s="54"/>
      <c r="B343" s="54"/>
      <c r="C343" s="7"/>
      <c r="D343" s="7"/>
      <c r="E343" s="7"/>
      <c r="F343" s="54"/>
      <c r="G343" s="54"/>
      <c r="H343" s="54"/>
      <c r="I343" s="54"/>
      <c r="J343" s="54"/>
      <c r="K343" s="54"/>
      <c r="L343" s="54"/>
      <c r="M343" s="54"/>
      <c r="N343" s="54"/>
      <c r="O343" s="54"/>
      <c r="P343" s="7"/>
      <c r="Q343" s="7"/>
      <c r="R343" s="7"/>
      <c r="S343" s="7"/>
      <c r="T343" s="7"/>
      <c r="U343" s="7"/>
      <c r="V343" s="7"/>
      <c r="W343" s="7"/>
      <c r="X343" s="7"/>
      <c r="Y343" s="7"/>
      <c r="Z343" s="7"/>
      <c r="AA343" s="7"/>
    </row>
    <row r="344">
      <c r="A344" s="54"/>
      <c r="B344" s="54"/>
      <c r="C344" s="7"/>
      <c r="D344" s="7"/>
      <c r="E344" s="7"/>
      <c r="F344" s="54"/>
      <c r="G344" s="54"/>
      <c r="H344" s="54"/>
      <c r="I344" s="54"/>
      <c r="J344" s="54"/>
      <c r="K344" s="54"/>
      <c r="L344" s="54"/>
      <c r="M344" s="54"/>
      <c r="N344" s="54"/>
      <c r="O344" s="54"/>
      <c r="P344" s="7"/>
      <c r="Q344" s="7"/>
      <c r="R344" s="7"/>
      <c r="S344" s="7"/>
      <c r="T344" s="7"/>
      <c r="U344" s="7"/>
      <c r="V344" s="7"/>
      <c r="W344" s="7"/>
      <c r="X344" s="7"/>
      <c r="Y344" s="7"/>
      <c r="Z344" s="7"/>
      <c r="AA344" s="7"/>
    </row>
    <row r="345">
      <c r="A345" s="54"/>
      <c r="B345" s="54"/>
      <c r="C345" s="7"/>
      <c r="D345" s="7"/>
      <c r="E345" s="7"/>
      <c r="F345" s="54"/>
      <c r="G345" s="54"/>
      <c r="H345" s="54"/>
      <c r="I345" s="54"/>
      <c r="J345" s="54"/>
      <c r="K345" s="54"/>
      <c r="L345" s="54"/>
      <c r="M345" s="54"/>
      <c r="N345" s="54"/>
      <c r="O345" s="54"/>
      <c r="P345" s="7"/>
      <c r="Q345" s="7"/>
      <c r="R345" s="7"/>
      <c r="S345" s="7"/>
      <c r="T345" s="7"/>
      <c r="U345" s="7"/>
      <c r="V345" s="7"/>
      <c r="W345" s="7"/>
      <c r="X345" s="7"/>
      <c r="Y345" s="7"/>
      <c r="Z345" s="7"/>
      <c r="AA345" s="7"/>
    </row>
    <row r="346">
      <c r="A346" s="54"/>
      <c r="B346" s="54"/>
      <c r="C346" s="7"/>
      <c r="D346" s="7"/>
      <c r="E346" s="7"/>
      <c r="F346" s="54"/>
      <c r="G346" s="54"/>
      <c r="H346" s="54"/>
      <c r="I346" s="54"/>
      <c r="J346" s="54"/>
      <c r="K346" s="54"/>
      <c r="L346" s="54"/>
      <c r="M346" s="54"/>
      <c r="N346" s="54"/>
      <c r="O346" s="54"/>
      <c r="P346" s="7"/>
      <c r="Q346" s="7"/>
      <c r="R346" s="7"/>
      <c r="S346" s="7"/>
      <c r="T346" s="7"/>
      <c r="U346" s="7"/>
      <c r="V346" s="7"/>
      <c r="W346" s="7"/>
      <c r="X346" s="7"/>
      <c r="Y346" s="7"/>
      <c r="Z346" s="7"/>
      <c r="AA346" s="7"/>
    </row>
    <row r="347">
      <c r="A347" s="54"/>
      <c r="B347" s="54"/>
      <c r="C347" s="7"/>
      <c r="D347" s="7"/>
      <c r="E347" s="7"/>
      <c r="F347" s="54"/>
      <c r="G347" s="54"/>
      <c r="H347" s="54"/>
      <c r="I347" s="54"/>
      <c r="J347" s="54"/>
      <c r="K347" s="54"/>
      <c r="L347" s="54"/>
      <c r="M347" s="54"/>
      <c r="N347" s="54"/>
      <c r="O347" s="54"/>
      <c r="P347" s="7"/>
      <c r="Q347" s="7"/>
      <c r="R347" s="7"/>
      <c r="S347" s="7"/>
      <c r="T347" s="7"/>
      <c r="U347" s="7"/>
      <c r="V347" s="7"/>
      <c r="W347" s="7"/>
      <c r="X347" s="7"/>
      <c r="Y347" s="7"/>
      <c r="Z347" s="7"/>
      <c r="AA347" s="7"/>
    </row>
    <row r="348">
      <c r="A348" s="54"/>
      <c r="B348" s="54"/>
      <c r="C348" s="7"/>
      <c r="D348" s="7"/>
      <c r="E348" s="7"/>
      <c r="F348" s="54"/>
      <c r="G348" s="54"/>
      <c r="H348" s="54"/>
      <c r="I348" s="54"/>
      <c r="J348" s="54"/>
      <c r="K348" s="54"/>
      <c r="L348" s="54"/>
      <c r="M348" s="54"/>
      <c r="N348" s="54"/>
      <c r="O348" s="54"/>
      <c r="P348" s="7"/>
      <c r="Q348" s="7"/>
      <c r="R348" s="7"/>
      <c r="S348" s="7"/>
      <c r="T348" s="7"/>
      <c r="U348" s="7"/>
      <c r="V348" s="7"/>
      <c r="W348" s="7"/>
      <c r="X348" s="7"/>
      <c r="Y348" s="7"/>
      <c r="Z348" s="7"/>
      <c r="AA348" s="7"/>
    </row>
    <row r="349">
      <c r="A349" s="54"/>
      <c r="B349" s="54"/>
      <c r="C349" s="7"/>
      <c r="D349" s="7"/>
      <c r="E349" s="7"/>
      <c r="F349" s="54"/>
      <c r="G349" s="54"/>
      <c r="H349" s="54"/>
      <c r="I349" s="54"/>
      <c r="J349" s="54"/>
      <c r="K349" s="54"/>
      <c r="L349" s="54"/>
      <c r="M349" s="54"/>
      <c r="N349" s="54"/>
      <c r="O349" s="54"/>
      <c r="P349" s="7"/>
      <c r="Q349" s="7"/>
      <c r="R349" s="7"/>
      <c r="S349" s="7"/>
      <c r="T349" s="7"/>
      <c r="U349" s="7"/>
      <c r="V349" s="7"/>
      <c r="W349" s="7"/>
      <c r="X349" s="7"/>
      <c r="Y349" s="7"/>
      <c r="Z349" s="7"/>
      <c r="AA349" s="7"/>
    </row>
    <row r="350">
      <c r="A350" s="54"/>
      <c r="B350" s="54"/>
      <c r="C350" s="7"/>
      <c r="D350" s="7"/>
      <c r="E350" s="7"/>
      <c r="F350" s="54"/>
      <c r="G350" s="54"/>
      <c r="H350" s="54"/>
      <c r="I350" s="54"/>
      <c r="J350" s="54"/>
      <c r="K350" s="54"/>
      <c r="L350" s="54"/>
      <c r="M350" s="54"/>
      <c r="N350" s="54"/>
      <c r="O350" s="54"/>
      <c r="P350" s="7"/>
      <c r="Q350" s="7"/>
      <c r="R350" s="7"/>
      <c r="S350" s="7"/>
      <c r="T350" s="7"/>
      <c r="U350" s="7"/>
      <c r="V350" s="7"/>
      <c r="W350" s="7"/>
      <c r="X350" s="7"/>
      <c r="Y350" s="7"/>
      <c r="Z350" s="7"/>
      <c r="AA350" s="7"/>
    </row>
    <row r="351">
      <c r="A351" s="54"/>
      <c r="B351" s="54"/>
      <c r="C351" s="7"/>
      <c r="D351" s="7"/>
      <c r="E351" s="7"/>
      <c r="F351" s="54"/>
      <c r="G351" s="54"/>
      <c r="H351" s="54"/>
      <c r="I351" s="54"/>
      <c r="J351" s="54"/>
      <c r="K351" s="54"/>
      <c r="L351" s="54"/>
      <c r="M351" s="54"/>
      <c r="N351" s="54"/>
      <c r="O351" s="54"/>
      <c r="P351" s="7"/>
      <c r="Q351" s="7"/>
      <c r="R351" s="7"/>
      <c r="S351" s="7"/>
      <c r="T351" s="7"/>
      <c r="U351" s="7"/>
      <c r="V351" s="7"/>
      <c r="W351" s="7"/>
      <c r="X351" s="7"/>
      <c r="Y351" s="7"/>
      <c r="Z351" s="7"/>
      <c r="AA351" s="7"/>
    </row>
    <row r="352">
      <c r="A352" s="54"/>
      <c r="B352" s="54"/>
      <c r="C352" s="7"/>
      <c r="D352" s="7"/>
      <c r="E352" s="7"/>
      <c r="F352" s="54"/>
      <c r="G352" s="54"/>
      <c r="H352" s="54"/>
      <c r="I352" s="54"/>
      <c r="J352" s="54"/>
      <c r="K352" s="54"/>
      <c r="L352" s="54"/>
      <c r="M352" s="54"/>
      <c r="N352" s="54"/>
      <c r="O352" s="54"/>
      <c r="P352" s="7"/>
      <c r="Q352" s="7"/>
      <c r="R352" s="7"/>
      <c r="S352" s="7"/>
      <c r="T352" s="7"/>
      <c r="U352" s="7"/>
      <c r="V352" s="7"/>
      <c r="W352" s="7"/>
      <c r="X352" s="7"/>
      <c r="Y352" s="7"/>
      <c r="Z352" s="7"/>
      <c r="AA352" s="7"/>
    </row>
    <row r="353">
      <c r="A353" s="54"/>
      <c r="B353" s="54"/>
      <c r="C353" s="7"/>
      <c r="D353" s="7"/>
      <c r="E353" s="7"/>
      <c r="F353" s="54"/>
      <c r="G353" s="54"/>
      <c r="H353" s="54"/>
      <c r="I353" s="54"/>
      <c r="J353" s="54"/>
      <c r="K353" s="54"/>
      <c r="L353" s="54"/>
      <c r="M353" s="54"/>
      <c r="N353" s="54"/>
      <c r="O353" s="54"/>
      <c r="P353" s="7"/>
      <c r="Q353" s="7"/>
      <c r="R353" s="7"/>
      <c r="S353" s="7"/>
      <c r="T353" s="7"/>
      <c r="U353" s="7"/>
      <c r="V353" s="7"/>
      <c r="W353" s="7"/>
      <c r="X353" s="7"/>
      <c r="Y353" s="7"/>
      <c r="Z353" s="7"/>
      <c r="AA353" s="7"/>
    </row>
    <row r="354">
      <c r="A354" s="54"/>
      <c r="B354" s="54"/>
      <c r="C354" s="7"/>
      <c r="D354" s="7"/>
      <c r="E354" s="7"/>
      <c r="F354" s="54"/>
      <c r="G354" s="54"/>
      <c r="H354" s="54"/>
      <c r="I354" s="54"/>
      <c r="J354" s="54"/>
      <c r="K354" s="54"/>
      <c r="L354" s="54"/>
      <c r="M354" s="54"/>
      <c r="N354" s="54"/>
      <c r="O354" s="54"/>
      <c r="P354" s="7"/>
      <c r="Q354" s="7"/>
      <c r="R354" s="7"/>
      <c r="S354" s="7"/>
      <c r="T354" s="7"/>
      <c r="U354" s="7"/>
      <c r="V354" s="7"/>
      <c r="W354" s="7"/>
      <c r="X354" s="7"/>
      <c r="Y354" s="7"/>
      <c r="Z354" s="7"/>
      <c r="AA354" s="7"/>
    </row>
    <row r="355">
      <c r="A355" s="54"/>
      <c r="B355" s="54"/>
      <c r="C355" s="7"/>
      <c r="D355" s="7"/>
      <c r="E355" s="7"/>
      <c r="F355" s="54"/>
      <c r="G355" s="54"/>
      <c r="H355" s="54"/>
      <c r="I355" s="54"/>
      <c r="J355" s="54"/>
      <c r="K355" s="54"/>
      <c r="L355" s="54"/>
      <c r="M355" s="54"/>
      <c r="N355" s="54"/>
      <c r="O355" s="54"/>
      <c r="P355" s="7"/>
      <c r="Q355" s="7"/>
      <c r="R355" s="7"/>
      <c r="S355" s="7"/>
      <c r="T355" s="7"/>
      <c r="U355" s="7"/>
      <c r="V355" s="7"/>
      <c r="W355" s="7"/>
      <c r="X355" s="7"/>
      <c r="Y355" s="7"/>
      <c r="Z355" s="7"/>
      <c r="AA355" s="7"/>
    </row>
    <row r="356">
      <c r="A356" s="54"/>
      <c r="B356" s="54"/>
      <c r="C356" s="7"/>
      <c r="D356" s="7"/>
      <c r="E356" s="7"/>
      <c r="F356" s="54"/>
      <c r="G356" s="54"/>
      <c r="H356" s="54"/>
      <c r="I356" s="54"/>
      <c r="J356" s="54"/>
      <c r="K356" s="54"/>
      <c r="L356" s="54"/>
      <c r="M356" s="54"/>
      <c r="N356" s="54"/>
      <c r="O356" s="54"/>
      <c r="P356" s="7"/>
      <c r="Q356" s="7"/>
      <c r="R356" s="7"/>
      <c r="S356" s="7"/>
      <c r="T356" s="7"/>
      <c r="U356" s="7"/>
      <c r="V356" s="7"/>
      <c r="W356" s="7"/>
      <c r="X356" s="7"/>
      <c r="Y356" s="7"/>
      <c r="Z356" s="7"/>
      <c r="AA356" s="7"/>
    </row>
    <row r="357">
      <c r="A357" s="54"/>
      <c r="B357" s="54"/>
      <c r="C357" s="7"/>
      <c r="D357" s="7"/>
      <c r="E357" s="7"/>
      <c r="F357" s="54"/>
      <c r="G357" s="54"/>
      <c r="H357" s="54"/>
      <c r="I357" s="54"/>
      <c r="J357" s="54"/>
      <c r="K357" s="54"/>
      <c r="L357" s="54"/>
      <c r="M357" s="54"/>
      <c r="N357" s="54"/>
      <c r="O357" s="54"/>
      <c r="P357" s="7"/>
      <c r="Q357" s="7"/>
      <c r="R357" s="7"/>
      <c r="S357" s="7"/>
      <c r="T357" s="7"/>
      <c r="U357" s="7"/>
      <c r="V357" s="7"/>
      <c r="W357" s="7"/>
      <c r="X357" s="7"/>
      <c r="Y357" s="7"/>
      <c r="Z357" s="7"/>
      <c r="AA357" s="7"/>
    </row>
    <row r="358">
      <c r="A358" s="54"/>
      <c r="B358" s="54"/>
      <c r="C358" s="7"/>
      <c r="D358" s="7"/>
      <c r="E358" s="7"/>
      <c r="F358" s="54"/>
      <c r="G358" s="54"/>
      <c r="H358" s="54"/>
      <c r="I358" s="54"/>
      <c r="J358" s="54"/>
      <c r="K358" s="54"/>
      <c r="L358" s="54"/>
      <c r="M358" s="54"/>
      <c r="N358" s="54"/>
      <c r="O358" s="54"/>
      <c r="P358" s="7"/>
      <c r="Q358" s="7"/>
      <c r="R358" s="7"/>
      <c r="S358" s="7"/>
      <c r="T358" s="7"/>
      <c r="U358" s="7"/>
      <c r="V358" s="7"/>
      <c r="W358" s="7"/>
      <c r="X358" s="7"/>
      <c r="Y358" s="7"/>
      <c r="Z358" s="7"/>
      <c r="AA358" s="7"/>
    </row>
    <row r="359">
      <c r="A359" s="54"/>
      <c r="B359" s="54"/>
      <c r="C359" s="7"/>
      <c r="D359" s="7"/>
      <c r="E359" s="7"/>
      <c r="F359" s="54"/>
      <c r="G359" s="54"/>
      <c r="H359" s="54"/>
      <c r="I359" s="54"/>
      <c r="J359" s="54"/>
      <c r="K359" s="54"/>
      <c r="L359" s="54"/>
      <c r="M359" s="54"/>
      <c r="N359" s="54"/>
      <c r="O359" s="54"/>
      <c r="P359" s="7"/>
      <c r="Q359" s="7"/>
      <c r="R359" s="7"/>
      <c r="S359" s="7"/>
      <c r="T359" s="7"/>
      <c r="U359" s="7"/>
      <c r="V359" s="7"/>
      <c r="W359" s="7"/>
      <c r="X359" s="7"/>
      <c r="Y359" s="7"/>
      <c r="Z359" s="7"/>
      <c r="AA359" s="7"/>
    </row>
    <row r="360">
      <c r="A360" s="54"/>
      <c r="B360" s="54"/>
      <c r="C360" s="7"/>
      <c r="D360" s="7"/>
      <c r="E360" s="7"/>
      <c r="F360" s="54"/>
      <c r="G360" s="54"/>
      <c r="H360" s="54"/>
      <c r="I360" s="54"/>
      <c r="J360" s="54"/>
      <c r="K360" s="54"/>
      <c r="L360" s="54"/>
      <c r="M360" s="54"/>
      <c r="N360" s="54"/>
      <c r="O360" s="54"/>
      <c r="P360" s="7"/>
      <c r="Q360" s="7"/>
      <c r="R360" s="7"/>
      <c r="S360" s="7"/>
      <c r="T360" s="7"/>
      <c r="U360" s="7"/>
      <c r="V360" s="7"/>
      <c r="W360" s="7"/>
      <c r="X360" s="7"/>
      <c r="Y360" s="7"/>
      <c r="Z360" s="7"/>
      <c r="AA360" s="7"/>
    </row>
    <row r="361">
      <c r="A361" s="54"/>
      <c r="B361" s="54"/>
      <c r="C361" s="7"/>
      <c r="D361" s="7"/>
      <c r="E361" s="7"/>
      <c r="F361" s="54"/>
      <c r="G361" s="54"/>
      <c r="H361" s="54"/>
      <c r="I361" s="54"/>
      <c r="J361" s="54"/>
      <c r="K361" s="54"/>
      <c r="L361" s="54"/>
      <c r="M361" s="54"/>
      <c r="N361" s="54"/>
      <c r="O361" s="54"/>
      <c r="P361" s="7"/>
      <c r="Q361" s="7"/>
      <c r="R361" s="7"/>
      <c r="S361" s="7"/>
      <c r="T361" s="7"/>
      <c r="U361" s="7"/>
      <c r="V361" s="7"/>
      <c r="W361" s="7"/>
      <c r="X361" s="7"/>
      <c r="Y361" s="7"/>
      <c r="Z361" s="7"/>
      <c r="AA361" s="7"/>
    </row>
    <row r="362">
      <c r="A362" s="54"/>
      <c r="B362" s="54"/>
      <c r="C362" s="7"/>
      <c r="D362" s="7"/>
      <c r="E362" s="7"/>
      <c r="F362" s="54"/>
      <c r="G362" s="54"/>
      <c r="H362" s="54"/>
      <c r="I362" s="54"/>
      <c r="J362" s="54"/>
      <c r="K362" s="54"/>
      <c r="L362" s="54"/>
      <c r="M362" s="54"/>
      <c r="N362" s="54"/>
      <c r="O362" s="54"/>
      <c r="P362" s="7"/>
      <c r="Q362" s="7"/>
      <c r="R362" s="7"/>
      <c r="S362" s="7"/>
      <c r="T362" s="7"/>
      <c r="U362" s="7"/>
      <c r="V362" s="7"/>
      <c r="W362" s="7"/>
      <c r="X362" s="7"/>
      <c r="Y362" s="7"/>
      <c r="Z362" s="7"/>
      <c r="AA362" s="7"/>
    </row>
    <row r="363">
      <c r="A363" s="54"/>
      <c r="B363" s="54"/>
      <c r="C363" s="7"/>
      <c r="D363" s="7"/>
      <c r="E363" s="7"/>
      <c r="F363" s="54"/>
      <c r="G363" s="54"/>
      <c r="H363" s="54"/>
      <c r="I363" s="54"/>
      <c r="J363" s="54"/>
      <c r="K363" s="54"/>
      <c r="L363" s="54"/>
      <c r="M363" s="54"/>
      <c r="N363" s="54"/>
      <c r="O363" s="54"/>
      <c r="P363" s="7"/>
      <c r="Q363" s="7"/>
      <c r="R363" s="7"/>
      <c r="S363" s="7"/>
      <c r="T363" s="7"/>
      <c r="U363" s="7"/>
      <c r="V363" s="7"/>
      <c r="W363" s="7"/>
      <c r="X363" s="7"/>
      <c r="Y363" s="7"/>
      <c r="Z363" s="7"/>
      <c r="AA363" s="7"/>
    </row>
    <row r="364">
      <c r="A364" s="54"/>
      <c r="B364" s="54"/>
      <c r="C364" s="7"/>
      <c r="D364" s="7"/>
      <c r="E364" s="7"/>
      <c r="F364" s="54"/>
      <c r="G364" s="54"/>
      <c r="H364" s="54"/>
      <c r="I364" s="54"/>
      <c r="J364" s="54"/>
      <c r="K364" s="54"/>
      <c r="L364" s="54"/>
      <c r="M364" s="54"/>
      <c r="N364" s="54"/>
      <c r="O364" s="54"/>
      <c r="P364" s="7"/>
      <c r="Q364" s="7"/>
      <c r="R364" s="7"/>
      <c r="S364" s="7"/>
      <c r="T364" s="7"/>
      <c r="U364" s="7"/>
      <c r="V364" s="7"/>
      <c r="W364" s="7"/>
      <c r="X364" s="7"/>
      <c r="Y364" s="7"/>
      <c r="Z364" s="7"/>
      <c r="AA364" s="7"/>
    </row>
    <row r="365">
      <c r="A365" s="54"/>
      <c r="B365" s="54"/>
      <c r="C365" s="7"/>
      <c r="D365" s="7"/>
      <c r="E365" s="7"/>
      <c r="F365" s="54"/>
      <c r="G365" s="54"/>
      <c r="H365" s="54"/>
      <c r="I365" s="54"/>
      <c r="J365" s="54"/>
      <c r="K365" s="54"/>
      <c r="L365" s="54"/>
      <c r="M365" s="54"/>
      <c r="N365" s="54"/>
      <c r="O365" s="54"/>
      <c r="P365" s="7"/>
      <c r="Q365" s="7"/>
      <c r="R365" s="7"/>
      <c r="S365" s="7"/>
      <c r="T365" s="7"/>
      <c r="U365" s="7"/>
      <c r="V365" s="7"/>
      <c r="W365" s="7"/>
      <c r="X365" s="7"/>
      <c r="Y365" s="7"/>
      <c r="Z365" s="7"/>
      <c r="AA365" s="7"/>
    </row>
    <row r="366">
      <c r="A366" s="54"/>
      <c r="B366" s="54"/>
      <c r="C366" s="7"/>
      <c r="D366" s="7"/>
      <c r="E366" s="7"/>
      <c r="F366" s="54"/>
      <c r="G366" s="54"/>
      <c r="H366" s="54"/>
      <c r="I366" s="54"/>
      <c r="J366" s="54"/>
      <c r="K366" s="54"/>
      <c r="L366" s="54"/>
      <c r="M366" s="54"/>
      <c r="N366" s="54"/>
      <c r="O366" s="54"/>
      <c r="P366" s="7"/>
      <c r="Q366" s="7"/>
      <c r="R366" s="7"/>
      <c r="S366" s="7"/>
      <c r="T366" s="7"/>
      <c r="U366" s="7"/>
      <c r="V366" s="7"/>
      <c r="W366" s="7"/>
      <c r="X366" s="7"/>
      <c r="Y366" s="7"/>
      <c r="Z366" s="7"/>
      <c r="AA366" s="7"/>
    </row>
    <row r="367">
      <c r="A367" s="54"/>
      <c r="B367" s="54"/>
      <c r="C367" s="7"/>
      <c r="D367" s="7"/>
      <c r="E367" s="7"/>
      <c r="F367" s="54"/>
      <c r="G367" s="54"/>
      <c r="H367" s="54"/>
      <c r="I367" s="54"/>
      <c r="J367" s="54"/>
      <c r="K367" s="54"/>
      <c r="L367" s="54"/>
      <c r="M367" s="54"/>
      <c r="N367" s="54"/>
      <c r="O367" s="54"/>
      <c r="P367" s="7"/>
      <c r="Q367" s="7"/>
      <c r="R367" s="7"/>
      <c r="S367" s="7"/>
      <c r="T367" s="7"/>
      <c r="U367" s="7"/>
      <c r="V367" s="7"/>
      <c r="W367" s="7"/>
      <c r="X367" s="7"/>
      <c r="Y367" s="7"/>
      <c r="Z367" s="7"/>
      <c r="AA367" s="7"/>
    </row>
    <row r="368">
      <c r="A368" s="54"/>
      <c r="B368" s="54"/>
      <c r="C368" s="7"/>
      <c r="D368" s="7"/>
      <c r="E368" s="7"/>
      <c r="F368" s="54"/>
      <c r="G368" s="54"/>
      <c r="H368" s="54"/>
      <c r="I368" s="54"/>
      <c r="J368" s="54"/>
      <c r="K368" s="54"/>
      <c r="L368" s="54"/>
      <c r="M368" s="54"/>
      <c r="N368" s="54"/>
      <c r="O368" s="54"/>
      <c r="P368" s="7"/>
      <c r="Q368" s="7"/>
      <c r="R368" s="7"/>
      <c r="S368" s="7"/>
      <c r="T368" s="7"/>
      <c r="U368" s="7"/>
      <c r="V368" s="7"/>
      <c r="W368" s="7"/>
      <c r="X368" s="7"/>
      <c r="Y368" s="7"/>
      <c r="Z368" s="7"/>
      <c r="AA368" s="7"/>
    </row>
    <row r="369">
      <c r="A369" s="54"/>
      <c r="B369" s="54"/>
      <c r="C369" s="7"/>
      <c r="D369" s="7"/>
      <c r="E369" s="7"/>
      <c r="F369" s="54"/>
      <c r="G369" s="54"/>
      <c r="H369" s="54"/>
      <c r="I369" s="54"/>
      <c r="J369" s="54"/>
      <c r="K369" s="54"/>
      <c r="L369" s="54"/>
      <c r="M369" s="54"/>
      <c r="N369" s="54"/>
      <c r="O369" s="54"/>
      <c r="P369" s="7"/>
      <c r="Q369" s="7"/>
      <c r="R369" s="7"/>
      <c r="S369" s="7"/>
      <c r="T369" s="7"/>
      <c r="U369" s="7"/>
      <c r="V369" s="7"/>
      <c r="W369" s="7"/>
      <c r="X369" s="7"/>
      <c r="Y369" s="7"/>
      <c r="Z369" s="7"/>
      <c r="AA369" s="7"/>
    </row>
    <row r="370">
      <c r="A370" s="54"/>
      <c r="B370" s="54"/>
      <c r="C370" s="7"/>
      <c r="D370" s="7"/>
      <c r="E370" s="7"/>
      <c r="F370" s="54"/>
      <c r="G370" s="54"/>
      <c r="H370" s="54"/>
      <c r="I370" s="54"/>
      <c r="J370" s="54"/>
      <c r="K370" s="54"/>
      <c r="L370" s="54"/>
      <c r="M370" s="54"/>
      <c r="N370" s="54"/>
      <c r="O370" s="54"/>
      <c r="P370" s="7"/>
      <c r="Q370" s="7"/>
      <c r="R370" s="7"/>
      <c r="S370" s="7"/>
      <c r="T370" s="7"/>
      <c r="U370" s="7"/>
      <c r="V370" s="7"/>
      <c r="W370" s="7"/>
      <c r="X370" s="7"/>
      <c r="Y370" s="7"/>
      <c r="Z370" s="7"/>
      <c r="AA370" s="7"/>
    </row>
    <row r="371">
      <c r="A371" s="54"/>
      <c r="B371" s="54"/>
      <c r="C371" s="7"/>
      <c r="D371" s="7"/>
      <c r="E371" s="7"/>
      <c r="F371" s="54"/>
      <c r="G371" s="54"/>
      <c r="H371" s="54"/>
      <c r="I371" s="54"/>
      <c r="J371" s="54"/>
      <c r="K371" s="54"/>
      <c r="L371" s="54"/>
      <c r="M371" s="54"/>
      <c r="N371" s="54"/>
      <c r="O371" s="54"/>
      <c r="P371" s="7"/>
      <c r="Q371" s="7"/>
      <c r="R371" s="7"/>
      <c r="S371" s="7"/>
      <c r="T371" s="7"/>
      <c r="U371" s="7"/>
      <c r="V371" s="7"/>
      <c r="W371" s="7"/>
      <c r="X371" s="7"/>
      <c r="Y371" s="7"/>
      <c r="Z371" s="7"/>
      <c r="AA371" s="7"/>
    </row>
    <row r="372">
      <c r="A372" s="54"/>
      <c r="B372" s="54"/>
      <c r="C372" s="7"/>
      <c r="D372" s="7"/>
      <c r="E372" s="7"/>
      <c r="F372" s="54"/>
      <c r="G372" s="54"/>
      <c r="H372" s="54"/>
      <c r="I372" s="54"/>
      <c r="J372" s="54"/>
      <c r="K372" s="54"/>
      <c r="L372" s="54"/>
      <c r="M372" s="54"/>
      <c r="N372" s="54"/>
      <c r="O372" s="54"/>
      <c r="P372" s="7"/>
      <c r="Q372" s="7"/>
      <c r="R372" s="7"/>
      <c r="S372" s="7"/>
      <c r="T372" s="7"/>
      <c r="U372" s="7"/>
      <c r="V372" s="7"/>
      <c r="W372" s="7"/>
      <c r="X372" s="7"/>
      <c r="Y372" s="7"/>
      <c r="Z372" s="7"/>
      <c r="AA372" s="7"/>
    </row>
    <row r="373">
      <c r="A373" s="54"/>
      <c r="B373" s="54"/>
      <c r="C373" s="7"/>
      <c r="D373" s="7"/>
      <c r="E373" s="7"/>
      <c r="F373" s="54"/>
      <c r="G373" s="54"/>
      <c r="H373" s="54"/>
      <c r="I373" s="54"/>
      <c r="J373" s="54"/>
      <c r="K373" s="54"/>
      <c r="L373" s="54"/>
      <c r="M373" s="54"/>
      <c r="N373" s="54"/>
      <c r="O373" s="54"/>
      <c r="P373" s="7"/>
      <c r="Q373" s="7"/>
      <c r="R373" s="7"/>
      <c r="S373" s="7"/>
      <c r="T373" s="7"/>
      <c r="U373" s="7"/>
      <c r="V373" s="7"/>
      <c r="W373" s="7"/>
      <c r="X373" s="7"/>
      <c r="Y373" s="7"/>
      <c r="Z373" s="7"/>
      <c r="AA373" s="7"/>
    </row>
    <row r="374">
      <c r="A374" s="54"/>
      <c r="B374" s="54"/>
      <c r="C374" s="7"/>
      <c r="D374" s="7"/>
      <c r="E374" s="7"/>
      <c r="F374" s="54"/>
      <c r="G374" s="54"/>
      <c r="H374" s="54"/>
      <c r="I374" s="54"/>
      <c r="J374" s="54"/>
      <c r="K374" s="54"/>
      <c r="L374" s="54"/>
      <c r="M374" s="54"/>
      <c r="N374" s="54"/>
      <c r="O374" s="54"/>
      <c r="P374" s="7"/>
      <c r="Q374" s="7"/>
      <c r="R374" s="7"/>
      <c r="S374" s="7"/>
      <c r="T374" s="7"/>
      <c r="U374" s="7"/>
      <c r="V374" s="7"/>
      <c r="W374" s="7"/>
      <c r="X374" s="7"/>
      <c r="Y374" s="7"/>
      <c r="Z374" s="7"/>
      <c r="AA374" s="7"/>
    </row>
    <row r="375">
      <c r="A375" s="54"/>
      <c r="B375" s="54"/>
      <c r="C375" s="7"/>
      <c r="D375" s="7"/>
      <c r="E375" s="7"/>
      <c r="F375" s="54"/>
      <c r="G375" s="54"/>
      <c r="H375" s="54"/>
      <c r="I375" s="54"/>
      <c r="J375" s="54"/>
      <c r="K375" s="54"/>
      <c r="L375" s="54"/>
      <c r="M375" s="54"/>
      <c r="N375" s="54"/>
      <c r="O375" s="54"/>
      <c r="P375" s="7"/>
      <c r="Q375" s="7"/>
      <c r="R375" s="7"/>
      <c r="S375" s="7"/>
      <c r="T375" s="7"/>
      <c r="U375" s="7"/>
      <c r="V375" s="7"/>
      <c r="W375" s="7"/>
      <c r="X375" s="7"/>
      <c r="Y375" s="7"/>
      <c r="Z375" s="7"/>
      <c r="AA375" s="7"/>
    </row>
    <row r="376">
      <c r="A376" s="54"/>
      <c r="B376" s="54"/>
      <c r="C376" s="7"/>
      <c r="D376" s="7"/>
      <c r="E376" s="7"/>
      <c r="F376" s="54"/>
      <c r="G376" s="54"/>
      <c r="H376" s="54"/>
      <c r="I376" s="54"/>
      <c r="J376" s="54"/>
      <c r="K376" s="54"/>
      <c r="L376" s="54"/>
      <c r="M376" s="54"/>
      <c r="N376" s="54"/>
      <c r="O376" s="54"/>
      <c r="P376" s="7"/>
      <c r="Q376" s="7"/>
      <c r="R376" s="7"/>
      <c r="S376" s="7"/>
      <c r="T376" s="7"/>
      <c r="U376" s="7"/>
      <c r="V376" s="7"/>
      <c r="W376" s="7"/>
      <c r="X376" s="7"/>
      <c r="Y376" s="7"/>
      <c r="Z376" s="7"/>
      <c r="AA376" s="7"/>
    </row>
    <row r="377">
      <c r="A377" s="54"/>
      <c r="B377" s="54"/>
      <c r="C377" s="7"/>
      <c r="D377" s="7"/>
      <c r="E377" s="7"/>
      <c r="F377" s="54"/>
      <c r="G377" s="54"/>
      <c r="H377" s="54"/>
      <c r="I377" s="54"/>
      <c r="J377" s="54"/>
      <c r="K377" s="54"/>
      <c r="L377" s="54"/>
      <c r="M377" s="54"/>
      <c r="N377" s="54"/>
      <c r="O377" s="54"/>
      <c r="P377" s="7"/>
      <c r="Q377" s="7"/>
      <c r="R377" s="7"/>
      <c r="S377" s="7"/>
      <c r="T377" s="7"/>
      <c r="U377" s="7"/>
      <c r="V377" s="7"/>
      <c r="W377" s="7"/>
      <c r="X377" s="7"/>
      <c r="Y377" s="7"/>
      <c r="Z377" s="7"/>
      <c r="AA377" s="7"/>
    </row>
    <row r="378">
      <c r="A378" s="54"/>
      <c r="B378" s="54"/>
      <c r="C378" s="7"/>
      <c r="D378" s="7"/>
      <c r="E378" s="7"/>
      <c r="F378" s="54"/>
      <c r="G378" s="54"/>
      <c r="H378" s="54"/>
      <c r="I378" s="54"/>
      <c r="J378" s="54"/>
      <c r="K378" s="54"/>
      <c r="L378" s="54"/>
      <c r="M378" s="54"/>
      <c r="N378" s="54"/>
      <c r="O378" s="54"/>
      <c r="P378" s="7"/>
      <c r="Q378" s="7"/>
      <c r="R378" s="7"/>
      <c r="S378" s="7"/>
      <c r="T378" s="7"/>
      <c r="U378" s="7"/>
      <c r="V378" s="7"/>
      <c r="W378" s="7"/>
      <c r="X378" s="7"/>
      <c r="Y378" s="7"/>
      <c r="Z378" s="7"/>
      <c r="AA378" s="7"/>
    </row>
    <row r="379">
      <c r="A379" s="54"/>
      <c r="B379" s="54"/>
      <c r="C379" s="7"/>
      <c r="D379" s="7"/>
      <c r="E379" s="7"/>
      <c r="F379" s="54"/>
      <c r="G379" s="54"/>
      <c r="H379" s="54"/>
      <c r="I379" s="54"/>
      <c r="J379" s="54"/>
      <c r="K379" s="54"/>
      <c r="L379" s="54"/>
      <c r="M379" s="54"/>
      <c r="N379" s="54"/>
      <c r="O379" s="54"/>
      <c r="P379" s="7"/>
      <c r="Q379" s="7"/>
      <c r="R379" s="7"/>
      <c r="S379" s="7"/>
      <c r="T379" s="7"/>
      <c r="U379" s="7"/>
      <c r="V379" s="7"/>
      <c r="W379" s="7"/>
      <c r="X379" s="7"/>
      <c r="Y379" s="7"/>
      <c r="Z379" s="7"/>
      <c r="AA379" s="7"/>
    </row>
    <row r="380">
      <c r="A380" s="54"/>
      <c r="B380" s="54"/>
      <c r="C380" s="7"/>
      <c r="D380" s="7"/>
      <c r="E380" s="7"/>
      <c r="F380" s="54"/>
      <c r="G380" s="54"/>
      <c r="H380" s="54"/>
      <c r="I380" s="54"/>
      <c r="J380" s="54"/>
      <c r="K380" s="54"/>
      <c r="L380" s="54"/>
      <c r="M380" s="54"/>
      <c r="N380" s="54"/>
      <c r="O380" s="54"/>
      <c r="P380" s="7"/>
      <c r="Q380" s="7"/>
      <c r="R380" s="7"/>
      <c r="S380" s="7"/>
      <c r="T380" s="7"/>
      <c r="U380" s="7"/>
      <c r="V380" s="7"/>
      <c r="W380" s="7"/>
      <c r="X380" s="7"/>
      <c r="Y380" s="7"/>
      <c r="Z380" s="7"/>
      <c r="AA380" s="7"/>
    </row>
    <row r="381">
      <c r="A381" s="54"/>
      <c r="B381" s="54"/>
      <c r="C381" s="7"/>
      <c r="D381" s="7"/>
      <c r="E381" s="7"/>
      <c r="F381" s="54"/>
      <c r="G381" s="54"/>
      <c r="H381" s="54"/>
      <c r="I381" s="54"/>
      <c r="J381" s="54"/>
      <c r="K381" s="54"/>
      <c r="L381" s="54"/>
      <c r="M381" s="54"/>
      <c r="N381" s="54"/>
      <c r="O381" s="54"/>
      <c r="P381" s="7"/>
      <c r="Q381" s="7"/>
      <c r="R381" s="7"/>
      <c r="S381" s="7"/>
      <c r="T381" s="7"/>
      <c r="U381" s="7"/>
      <c r="V381" s="7"/>
      <c r="W381" s="7"/>
      <c r="X381" s="7"/>
      <c r="Y381" s="7"/>
      <c r="Z381" s="7"/>
      <c r="AA381" s="7"/>
    </row>
    <row r="382">
      <c r="A382" s="54"/>
      <c r="B382" s="54"/>
      <c r="C382" s="7"/>
      <c r="D382" s="7"/>
      <c r="E382" s="7"/>
      <c r="F382" s="54"/>
      <c r="G382" s="54"/>
      <c r="H382" s="54"/>
      <c r="I382" s="54"/>
      <c r="J382" s="54"/>
      <c r="K382" s="54"/>
      <c r="L382" s="54"/>
      <c r="M382" s="54"/>
      <c r="N382" s="54"/>
      <c r="O382" s="54"/>
      <c r="P382" s="7"/>
      <c r="Q382" s="7"/>
      <c r="R382" s="7"/>
      <c r="S382" s="7"/>
      <c r="T382" s="7"/>
      <c r="U382" s="7"/>
      <c r="V382" s="7"/>
      <c r="W382" s="7"/>
      <c r="X382" s="7"/>
      <c r="Y382" s="7"/>
      <c r="Z382" s="7"/>
      <c r="AA382" s="7"/>
    </row>
    <row r="383">
      <c r="A383" s="54"/>
      <c r="B383" s="54"/>
      <c r="C383" s="7"/>
      <c r="D383" s="7"/>
      <c r="E383" s="7"/>
      <c r="F383" s="54"/>
      <c r="G383" s="54"/>
      <c r="H383" s="54"/>
      <c r="I383" s="54"/>
      <c r="J383" s="54"/>
      <c r="K383" s="54"/>
      <c r="L383" s="54"/>
      <c r="M383" s="54"/>
      <c r="N383" s="54"/>
      <c r="O383" s="54"/>
      <c r="P383" s="7"/>
      <c r="Q383" s="7"/>
      <c r="R383" s="7"/>
      <c r="S383" s="7"/>
      <c r="T383" s="7"/>
      <c r="U383" s="7"/>
      <c r="V383" s="7"/>
      <c r="W383" s="7"/>
      <c r="X383" s="7"/>
      <c r="Y383" s="7"/>
      <c r="Z383" s="7"/>
      <c r="AA383" s="7"/>
    </row>
    <row r="384">
      <c r="A384" s="54"/>
      <c r="B384" s="54"/>
      <c r="C384" s="7"/>
      <c r="D384" s="7"/>
      <c r="E384" s="7"/>
      <c r="F384" s="54"/>
      <c r="G384" s="54"/>
      <c r="H384" s="54"/>
      <c r="I384" s="54"/>
      <c r="J384" s="54"/>
      <c r="K384" s="54"/>
      <c r="L384" s="54"/>
      <c r="M384" s="54"/>
      <c r="N384" s="54"/>
      <c r="O384" s="54"/>
      <c r="P384" s="7"/>
      <c r="Q384" s="7"/>
      <c r="R384" s="7"/>
      <c r="S384" s="7"/>
      <c r="T384" s="7"/>
      <c r="U384" s="7"/>
      <c r="V384" s="7"/>
      <c r="W384" s="7"/>
      <c r="X384" s="7"/>
      <c r="Y384" s="7"/>
      <c r="Z384" s="7"/>
      <c r="AA384" s="7"/>
    </row>
    <row r="385">
      <c r="A385" s="54"/>
      <c r="B385" s="54"/>
      <c r="C385" s="7"/>
      <c r="D385" s="7"/>
      <c r="E385" s="7"/>
      <c r="F385" s="54"/>
      <c r="G385" s="54"/>
      <c r="H385" s="54"/>
      <c r="I385" s="54"/>
      <c r="J385" s="54"/>
      <c r="K385" s="54"/>
      <c r="L385" s="54"/>
      <c r="M385" s="54"/>
      <c r="N385" s="54"/>
      <c r="O385" s="54"/>
      <c r="P385" s="7"/>
      <c r="Q385" s="7"/>
      <c r="R385" s="7"/>
      <c r="S385" s="7"/>
      <c r="T385" s="7"/>
      <c r="U385" s="7"/>
      <c r="V385" s="7"/>
      <c r="W385" s="7"/>
      <c r="X385" s="7"/>
      <c r="Y385" s="7"/>
      <c r="Z385" s="7"/>
      <c r="AA385" s="7"/>
    </row>
    <row r="386">
      <c r="A386" s="54"/>
      <c r="B386" s="54"/>
      <c r="C386" s="7"/>
      <c r="D386" s="7"/>
      <c r="E386" s="7"/>
      <c r="F386" s="54"/>
      <c r="G386" s="54"/>
      <c r="H386" s="54"/>
      <c r="I386" s="54"/>
      <c r="J386" s="54"/>
      <c r="K386" s="54"/>
      <c r="L386" s="54"/>
      <c r="M386" s="54"/>
      <c r="N386" s="54"/>
      <c r="O386" s="54"/>
      <c r="P386" s="7"/>
      <c r="Q386" s="7"/>
      <c r="R386" s="7"/>
      <c r="S386" s="7"/>
      <c r="T386" s="7"/>
      <c r="U386" s="7"/>
      <c r="V386" s="7"/>
      <c r="W386" s="7"/>
      <c r="X386" s="7"/>
      <c r="Y386" s="7"/>
      <c r="Z386" s="7"/>
      <c r="AA386" s="7"/>
    </row>
    <row r="387">
      <c r="A387" s="54"/>
      <c r="B387" s="54"/>
      <c r="C387" s="7"/>
      <c r="D387" s="7"/>
      <c r="E387" s="7"/>
      <c r="F387" s="54"/>
      <c r="G387" s="54"/>
      <c r="H387" s="54"/>
      <c r="I387" s="54"/>
      <c r="J387" s="54"/>
      <c r="K387" s="54"/>
      <c r="L387" s="54"/>
      <c r="M387" s="54"/>
      <c r="N387" s="54"/>
      <c r="O387" s="54"/>
      <c r="P387" s="7"/>
      <c r="Q387" s="7"/>
      <c r="R387" s="7"/>
      <c r="S387" s="7"/>
      <c r="T387" s="7"/>
      <c r="U387" s="7"/>
      <c r="V387" s="7"/>
      <c r="W387" s="7"/>
      <c r="X387" s="7"/>
      <c r="Y387" s="7"/>
      <c r="Z387" s="7"/>
      <c r="AA387" s="7"/>
    </row>
    <row r="388">
      <c r="A388" s="54"/>
      <c r="B388" s="54"/>
      <c r="C388" s="7"/>
      <c r="D388" s="7"/>
      <c r="E388" s="7"/>
      <c r="F388" s="54"/>
      <c r="G388" s="54"/>
      <c r="H388" s="54"/>
      <c r="I388" s="54"/>
      <c r="J388" s="54"/>
      <c r="K388" s="54"/>
      <c r="L388" s="54"/>
      <c r="M388" s="54"/>
      <c r="N388" s="54"/>
      <c r="O388" s="54"/>
      <c r="P388" s="7"/>
      <c r="Q388" s="7"/>
      <c r="R388" s="7"/>
      <c r="S388" s="7"/>
      <c r="T388" s="7"/>
      <c r="U388" s="7"/>
      <c r="V388" s="7"/>
      <c r="W388" s="7"/>
      <c r="X388" s="7"/>
      <c r="Y388" s="7"/>
      <c r="Z388" s="7"/>
      <c r="AA388" s="7"/>
    </row>
    <row r="389">
      <c r="A389" s="54"/>
      <c r="B389" s="54"/>
      <c r="C389" s="7"/>
      <c r="D389" s="7"/>
      <c r="E389" s="7"/>
      <c r="F389" s="54"/>
      <c r="G389" s="54"/>
      <c r="H389" s="54"/>
      <c r="I389" s="54"/>
      <c r="J389" s="54"/>
      <c r="K389" s="54"/>
      <c r="L389" s="54"/>
      <c r="M389" s="54"/>
      <c r="N389" s="54"/>
      <c r="O389" s="54"/>
      <c r="P389" s="7"/>
      <c r="Q389" s="7"/>
      <c r="R389" s="7"/>
      <c r="S389" s="7"/>
      <c r="T389" s="7"/>
      <c r="U389" s="7"/>
      <c r="V389" s="7"/>
      <c r="W389" s="7"/>
      <c r="X389" s="7"/>
      <c r="Y389" s="7"/>
      <c r="Z389" s="7"/>
      <c r="AA389" s="7"/>
    </row>
    <row r="390">
      <c r="A390" s="54"/>
      <c r="B390" s="54"/>
      <c r="C390" s="7"/>
      <c r="D390" s="7"/>
      <c r="E390" s="7"/>
      <c r="F390" s="54"/>
      <c r="G390" s="54"/>
      <c r="H390" s="54"/>
      <c r="I390" s="54"/>
      <c r="J390" s="54"/>
      <c r="K390" s="54"/>
      <c r="L390" s="54"/>
      <c r="M390" s="54"/>
      <c r="N390" s="54"/>
      <c r="O390" s="54"/>
      <c r="P390" s="7"/>
      <c r="Q390" s="7"/>
      <c r="R390" s="7"/>
      <c r="S390" s="7"/>
      <c r="T390" s="7"/>
      <c r="U390" s="7"/>
      <c r="V390" s="7"/>
      <c r="W390" s="7"/>
      <c r="X390" s="7"/>
      <c r="Y390" s="7"/>
      <c r="Z390" s="7"/>
      <c r="AA390" s="7"/>
    </row>
    <row r="391">
      <c r="A391" s="54"/>
      <c r="B391" s="54"/>
      <c r="C391" s="7"/>
      <c r="D391" s="7"/>
      <c r="E391" s="7"/>
      <c r="F391" s="54"/>
      <c r="G391" s="54"/>
      <c r="H391" s="54"/>
      <c r="I391" s="54"/>
      <c r="J391" s="54"/>
      <c r="K391" s="54"/>
      <c r="L391" s="54"/>
      <c r="M391" s="54"/>
      <c r="N391" s="54"/>
      <c r="O391" s="54"/>
      <c r="P391" s="7"/>
      <c r="Q391" s="7"/>
      <c r="R391" s="7"/>
      <c r="S391" s="7"/>
      <c r="T391" s="7"/>
      <c r="U391" s="7"/>
      <c r="V391" s="7"/>
      <c r="W391" s="7"/>
      <c r="X391" s="7"/>
      <c r="Y391" s="7"/>
      <c r="Z391" s="7"/>
      <c r="AA391" s="7"/>
    </row>
    <row r="392">
      <c r="A392" s="54"/>
      <c r="B392" s="54"/>
      <c r="C392" s="7"/>
      <c r="D392" s="7"/>
      <c r="E392" s="7"/>
      <c r="F392" s="54"/>
      <c r="G392" s="54"/>
      <c r="H392" s="54"/>
      <c r="I392" s="54"/>
      <c r="J392" s="54"/>
      <c r="K392" s="54"/>
      <c r="L392" s="54"/>
      <c r="M392" s="54"/>
      <c r="N392" s="54"/>
      <c r="O392" s="54"/>
      <c r="P392" s="7"/>
      <c r="Q392" s="7"/>
      <c r="R392" s="7"/>
      <c r="S392" s="7"/>
      <c r="T392" s="7"/>
      <c r="U392" s="7"/>
      <c r="V392" s="7"/>
      <c r="W392" s="7"/>
      <c r="X392" s="7"/>
      <c r="Y392" s="7"/>
      <c r="Z392" s="7"/>
      <c r="AA392" s="7"/>
    </row>
    <row r="393">
      <c r="A393" s="54"/>
      <c r="B393" s="54"/>
      <c r="C393" s="7"/>
      <c r="D393" s="7"/>
      <c r="E393" s="7"/>
      <c r="F393" s="54"/>
      <c r="G393" s="54"/>
      <c r="H393" s="54"/>
      <c r="I393" s="54"/>
      <c r="J393" s="54"/>
      <c r="K393" s="54"/>
      <c r="L393" s="54"/>
      <c r="M393" s="54"/>
      <c r="N393" s="54"/>
      <c r="O393" s="54"/>
      <c r="P393" s="7"/>
      <c r="Q393" s="7"/>
      <c r="R393" s="7"/>
      <c r="S393" s="7"/>
      <c r="T393" s="7"/>
      <c r="U393" s="7"/>
      <c r="V393" s="7"/>
      <c r="W393" s="7"/>
      <c r="X393" s="7"/>
      <c r="Y393" s="7"/>
      <c r="Z393" s="7"/>
      <c r="AA393" s="7"/>
    </row>
    <row r="394">
      <c r="A394" s="54"/>
      <c r="B394" s="54"/>
      <c r="C394" s="7"/>
      <c r="D394" s="7"/>
      <c r="E394" s="7"/>
      <c r="F394" s="54"/>
      <c r="G394" s="54"/>
      <c r="H394" s="54"/>
      <c r="I394" s="54"/>
      <c r="J394" s="54"/>
      <c r="K394" s="54"/>
      <c r="L394" s="54"/>
      <c r="M394" s="54"/>
      <c r="N394" s="54"/>
      <c r="O394" s="54"/>
      <c r="P394" s="7"/>
      <c r="Q394" s="7"/>
      <c r="R394" s="7"/>
      <c r="S394" s="7"/>
      <c r="T394" s="7"/>
      <c r="U394" s="7"/>
      <c r="V394" s="7"/>
      <c r="W394" s="7"/>
      <c r="X394" s="7"/>
      <c r="Y394" s="7"/>
      <c r="Z394" s="7"/>
      <c r="AA394" s="7"/>
    </row>
    <row r="395">
      <c r="A395" s="54"/>
      <c r="B395" s="54"/>
      <c r="C395" s="7"/>
      <c r="D395" s="7"/>
      <c r="E395" s="7"/>
      <c r="F395" s="54"/>
      <c r="G395" s="54"/>
      <c r="H395" s="54"/>
      <c r="I395" s="54"/>
      <c r="J395" s="54"/>
      <c r="K395" s="54"/>
      <c r="L395" s="54"/>
      <c r="M395" s="54"/>
      <c r="N395" s="54"/>
      <c r="O395" s="54"/>
      <c r="P395" s="7"/>
      <c r="Q395" s="7"/>
      <c r="R395" s="7"/>
      <c r="S395" s="7"/>
      <c r="T395" s="7"/>
      <c r="U395" s="7"/>
      <c r="V395" s="7"/>
      <c r="W395" s="7"/>
      <c r="X395" s="7"/>
      <c r="Y395" s="7"/>
      <c r="Z395" s="7"/>
      <c r="AA395" s="7"/>
    </row>
    <row r="396">
      <c r="A396" s="54"/>
      <c r="B396" s="54"/>
      <c r="C396" s="7"/>
      <c r="D396" s="7"/>
      <c r="E396" s="7"/>
      <c r="F396" s="54"/>
      <c r="G396" s="54"/>
      <c r="H396" s="54"/>
      <c r="I396" s="54"/>
      <c r="J396" s="54"/>
      <c r="K396" s="54"/>
      <c r="L396" s="54"/>
      <c r="M396" s="54"/>
      <c r="N396" s="54"/>
      <c r="O396" s="54"/>
      <c r="P396" s="7"/>
      <c r="Q396" s="7"/>
      <c r="R396" s="7"/>
      <c r="S396" s="7"/>
      <c r="T396" s="7"/>
      <c r="U396" s="7"/>
      <c r="V396" s="7"/>
      <c r="W396" s="7"/>
      <c r="X396" s="7"/>
      <c r="Y396" s="7"/>
      <c r="Z396" s="7"/>
      <c r="AA396" s="7"/>
    </row>
    <row r="397">
      <c r="A397" s="54"/>
      <c r="B397" s="54"/>
      <c r="C397" s="7"/>
      <c r="D397" s="7"/>
      <c r="E397" s="7"/>
      <c r="F397" s="54"/>
      <c r="G397" s="54"/>
      <c r="H397" s="54"/>
      <c r="I397" s="54"/>
      <c r="J397" s="54"/>
      <c r="K397" s="54"/>
      <c r="L397" s="54"/>
      <c r="M397" s="54"/>
      <c r="N397" s="54"/>
      <c r="O397" s="54"/>
      <c r="P397" s="7"/>
      <c r="Q397" s="7"/>
      <c r="R397" s="7"/>
      <c r="S397" s="7"/>
      <c r="T397" s="7"/>
      <c r="U397" s="7"/>
      <c r="V397" s="7"/>
      <c r="W397" s="7"/>
      <c r="X397" s="7"/>
      <c r="Y397" s="7"/>
      <c r="Z397" s="7"/>
      <c r="AA397" s="7"/>
    </row>
    <row r="398">
      <c r="A398" s="54"/>
      <c r="B398" s="54"/>
      <c r="C398" s="7"/>
      <c r="D398" s="7"/>
      <c r="E398" s="7"/>
      <c r="F398" s="54"/>
      <c r="G398" s="54"/>
      <c r="H398" s="54"/>
      <c r="I398" s="54"/>
      <c r="J398" s="54"/>
      <c r="K398" s="54"/>
      <c r="L398" s="54"/>
      <c r="M398" s="54"/>
      <c r="N398" s="54"/>
      <c r="O398" s="54"/>
      <c r="P398" s="7"/>
      <c r="Q398" s="7"/>
      <c r="R398" s="7"/>
      <c r="S398" s="7"/>
      <c r="T398" s="7"/>
      <c r="U398" s="7"/>
      <c r="V398" s="7"/>
      <c r="W398" s="7"/>
      <c r="X398" s="7"/>
      <c r="Y398" s="7"/>
      <c r="Z398" s="7"/>
      <c r="AA398" s="7"/>
    </row>
    <row r="399">
      <c r="A399" s="54"/>
      <c r="B399" s="54"/>
      <c r="C399" s="7"/>
      <c r="D399" s="7"/>
      <c r="E399" s="7"/>
      <c r="F399" s="54"/>
      <c r="G399" s="54"/>
      <c r="H399" s="54"/>
      <c r="I399" s="54"/>
      <c r="J399" s="54"/>
      <c r="K399" s="54"/>
      <c r="L399" s="54"/>
      <c r="M399" s="54"/>
      <c r="N399" s="54"/>
      <c r="O399" s="54"/>
      <c r="P399" s="7"/>
      <c r="Q399" s="7"/>
      <c r="R399" s="7"/>
      <c r="S399" s="7"/>
      <c r="T399" s="7"/>
      <c r="U399" s="7"/>
      <c r="V399" s="7"/>
      <c r="W399" s="7"/>
      <c r="X399" s="7"/>
      <c r="Y399" s="7"/>
      <c r="Z399" s="7"/>
      <c r="AA399" s="7"/>
    </row>
    <row r="400">
      <c r="A400" s="54"/>
      <c r="B400" s="54"/>
      <c r="C400" s="7"/>
      <c r="D400" s="7"/>
      <c r="E400" s="7"/>
      <c r="F400" s="54"/>
      <c r="G400" s="54"/>
      <c r="H400" s="54"/>
      <c r="I400" s="54"/>
      <c r="J400" s="54"/>
      <c r="K400" s="54"/>
      <c r="L400" s="54"/>
      <c r="M400" s="54"/>
      <c r="N400" s="54"/>
      <c r="O400" s="54"/>
      <c r="P400" s="7"/>
      <c r="Q400" s="7"/>
      <c r="R400" s="7"/>
      <c r="S400" s="7"/>
      <c r="T400" s="7"/>
      <c r="U400" s="7"/>
      <c r="V400" s="7"/>
      <c r="W400" s="7"/>
      <c r="X400" s="7"/>
      <c r="Y400" s="7"/>
      <c r="Z400" s="7"/>
      <c r="AA400" s="7"/>
    </row>
    <row r="401">
      <c r="A401" s="54"/>
      <c r="B401" s="54"/>
      <c r="C401" s="7"/>
      <c r="D401" s="7"/>
      <c r="E401" s="7"/>
      <c r="F401" s="54"/>
      <c r="G401" s="54"/>
      <c r="H401" s="54"/>
      <c r="I401" s="54"/>
      <c r="J401" s="54"/>
      <c r="K401" s="54"/>
      <c r="L401" s="54"/>
      <c r="M401" s="54"/>
      <c r="N401" s="54"/>
      <c r="O401" s="54"/>
      <c r="P401" s="7"/>
      <c r="Q401" s="7"/>
      <c r="R401" s="7"/>
      <c r="S401" s="7"/>
      <c r="T401" s="7"/>
      <c r="U401" s="7"/>
      <c r="V401" s="7"/>
      <c r="W401" s="7"/>
      <c r="X401" s="7"/>
      <c r="Y401" s="7"/>
      <c r="Z401" s="7"/>
      <c r="AA401" s="7"/>
    </row>
    <row r="402">
      <c r="A402" s="54"/>
      <c r="B402" s="54"/>
      <c r="C402" s="7"/>
      <c r="D402" s="7"/>
      <c r="E402" s="7"/>
      <c r="F402" s="54"/>
      <c r="G402" s="54"/>
      <c r="H402" s="54"/>
      <c r="I402" s="54"/>
      <c r="J402" s="54"/>
      <c r="K402" s="54"/>
      <c r="L402" s="54"/>
      <c r="M402" s="54"/>
      <c r="N402" s="54"/>
      <c r="O402" s="54"/>
      <c r="P402" s="7"/>
      <c r="Q402" s="7"/>
      <c r="R402" s="7"/>
      <c r="S402" s="7"/>
      <c r="T402" s="7"/>
      <c r="U402" s="7"/>
      <c r="V402" s="7"/>
      <c r="W402" s="7"/>
      <c r="X402" s="7"/>
      <c r="Y402" s="7"/>
      <c r="Z402" s="7"/>
      <c r="AA402" s="7"/>
    </row>
    <row r="403">
      <c r="A403" s="54"/>
      <c r="B403" s="54"/>
      <c r="C403" s="7"/>
      <c r="D403" s="7"/>
      <c r="E403" s="7"/>
      <c r="F403" s="54"/>
      <c r="G403" s="54"/>
      <c r="H403" s="54"/>
      <c r="I403" s="54"/>
      <c r="J403" s="54"/>
      <c r="K403" s="54"/>
      <c r="L403" s="54"/>
      <c r="M403" s="54"/>
      <c r="N403" s="54"/>
      <c r="O403" s="54"/>
      <c r="P403" s="7"/>
      <c r="Q403" s="7"/>
      <c r="R403" s="7"/>
      <c r="S403" s="7"/>
      <c r="T403" s="7"/>
      <c r="U403" s="7"/>
      <c r="V403" s="7"/>
      <c r="W403" s="7"/>
      <c r="X403" s="7"/>
      <c r="Y403" s="7"/>
      <c r="Z403" s="7"/>
      <c r="AA403" s="7"/>
    </row>
    <row r="404">
      <c r="A404" s="54"/>
      <c r="B404" s="54"/>
      <c r="C404" s="7"/>
      <c r="D404" s="7"/>
      <c r="E404" s="7"/>
      <c r="F404" s="54"/>
      <c r="G404" s="54"/>
      <c r="H404" s="54"/>
      <c r="I404" s="54"/>
      <c r="J404" s="54"/>
      <c r="K404" s="54"/>
      <c r="L404" s="54"/>
      <c r="M404" s="54"/>
      <c r="N404" s="54"/>
      <c r="O404" s="54"/>
      <c r="P404" s="7"/>
      <c r="Q404" s="7"/>
      <c r="R404" s="7"/>
      <c r="S404" s="7"/>
      <c r="T404" s="7"/>
      <c r="U404" s="7"/>
      <c r="V404" s="7"/>
      <c r="W404" s="7"/>
      <c r="X404" s="7"/>
      <c r="Y404" s="7"/>
      <c r="Z404" s="7"/>
      <c r="AA404" s="7"/>
    </row>
    <row r="405">
      <c r="A405" s="54"/>
      <c r="B405" s="54"/>
      <c r="C405" s="7"/>
      <c r="D405" s="7"/>
      <c r="E405" s="7"/>
      <c r="F405" s="54"/>
      <c r="G405" s="54"/>
      <c r="H405" s="54"/>
      <c r="I405" s="54"/>
      <c r="J405" s="54"/>
      <c r="K405" s="54"/>
      <c r="L405" s="54"/>
      <c r="M405" s="54"/>
      <c r="N405" s="54"/>
      <c r="O405" s="54"/>
      <c r="P405" s="7"/>
      <c r="Q405" s="7"/>
      <c r="R405" s="7"/>
      <c r="S405" s="7"/>
      <c r="T405" s="7"/>
      <c r="U405" s="7"/>
      <c r="V405" s="7"/>
      <c r="W405" s="7"/>
      <c r="X405" s="7"/>
      <c r="Y405" s="7"/>
      <c r="Z405" s="7"/>
      <c r="AA405" s="7"/>
    </row>
    <row r="406">
      <c r="A406" s="54"/>
      <c r="B406" s="54"/>
      <c r="C406" s="7"/>
      <c r="D406" s="7"/>
      <c r="E406" s="7"/>
      <c r="F406" s="54"/>
      <c r="G406" s="54"/>
      <c r="H406" s="54"/>
      <c r="I406" s="54"/>
      <c r="J406" s="54"/>
      <c r="K406" s="54"/>
      <c r="L406" s="54"/>
      <c r="M406" s="54"/>
      <c r="N406" s="54"/>
      <c r="O406" s="54"/>
      <c r="P406" s="7"/>
      <c r="Q406" s="7"/>
      <c r="R406" s="7"/>
      <c r="S406" s="7"/>
      <c r="T406" s="7"/>
      <c r="U406" s="7"/>
      <c r="V406" s="7"/>
      <c r="W406" s="7"/>
      <c r="X406" s="7"/>
      <c r="Y406" s="7"/>
      <c r="Z406" s="7"/>
      <c r="AA406" s="7"/>
    </row>
    <row r="407">
      <c r="A407" s="54"/>
      <c r="B407" s="54"/>
      <c r="C407" s="7"/>
      <c r="D407" s="7"/>
      <c r="E407" s="7"/>
      <c r="F407" s="54"/>
      <c r="G407" s="54"/>
      <c r="H407" s="54"/>
      <c r="I407" s="54"/>
      <c r="J407" s="54"/>
      <c r="K407" s="54"/>
      <c r="L407" s="54"/>
      <c r="M407" s="54"/>
      <c r="N407" s="54"/>
      <c r="O407" s="54"/>
      <c r="P407" s="7"/>
      <c r="Q407" s="7"/>
      <c r="R407" s="7"/>
      <c r="S407" s="7"/>
      <c r="T407" s="7"/>
      <c r="U407" s="7"/>
      <c r="V407" s="7"/>
      <c r="W407" s="7"/>
      <c r="X407" s="7"/>
      <c r="Y407" s="7"/>
      <c r="Z407" s="7"/>
      <c r="AA407" s="7"/>
    </row>
    <row r="408">
      <c r="A408" s="54"/>
      <c r="B408" s="54"/>
      <c r="C408" s="7"/>
      <c r="D408" s="7"/>
      <c r="E408" s="7"/>
      <c r="F408" s="54"/>
      <c r="G408" s="54"/>
      <c r="H408" s="54"/>
      <c r="I408" s="54"/>
      <c r="J408" s="54"/>
      <c r="K408" s="54"/>
      <c r="L408" s="54"/>
      <c r="M408" s="54"/>
      <c r="N408" s="54"/>
      <c r="O408" s="54"/>
      <c r="P408" s="7"/>
      <c r="Q408" s="7"/>
      <c r="R408" s="7"/>
      <c r="S408" s="7"/>
      <c r="T408" s="7"/>
      <c r="U408" s="7"/>
      <c r="V408" s="7"/>
      <c r="W408" s="7"/>
      <c r="X408" s="7"/>
      <c r="Y408" s="7"/>
      <c r="Z408" s="7"/>
      <c r="AA408" s="7"/>
    </row>
    <row r="409">
      <c r="A409" s="54"/>
      <c r="B409" s="54"/>
      <c r="C409" s="7"/>
      <c r="D409" s="7"/>
      <c r="E409" s="7"/>
      <c r="F409" s="54"/>
      <c r="G409" s="54"/>
      <c r="H409" s="54"/>
      <c r="I409" s="54"/>
      <c r="J409" s="54"/>
      <c r="K409" s="54"/>
      <c r="L409" s="54"/>
      <c r="M409" s="54"/>
      <c r="N409" s="54"/>
      <c r="O409" s="54"/>
      <c r="P409" s="7"/>
      <c r="Q409" s="7"/>
      <c r="R409" s="7"/>
      <c r="S409" s="7"/>
      <c r="T409" s="7"/>
      <c r="U409" s="7"/>
      <c r="V409" s="7"/>
      <c r="W409" s="7"/>
      <c r="X409" s="7"/>
      <c r="Y409" s="7"/>
      <c r="Z409" s="7"/>
      <c r="AA409" s="7"/>
    </row>
    <row r="410">
      <c r="A410" s="54"/>
      <c r="B410" s="54"/>
      <c r="C410" s="7"/>
      <c r="D410" s="7"/>
      <c r="E410" s="7"/>
      <c r="F410" s="54"/>
      <c r="G410" s="54"/>
      <c r="H410" s="54"/>
      <c r="I410" s="54"/>
      <c r="J410" s="54"/>
      <c r="K410" s="54"/>
      <c r="L410" s="54"/>
      <c r="M410" s="54"/>
      <c r="N410" s="54"/>
      <c r="O410" s="54"/>
      <c r="P410" s="7"/>
      <c r="Q410" s="7"/>
      <c r="R410" s="7"/>
      <c r="S410" s="7"/>
      <c r="T410" s="7"/>
      <c r="U410" s="7"/>
      <c r="V410" s="7"/>
      <c r="W410" s="7"/>
      <c r="X410" s="7"/>
      <c r="Y410" s="7"/>
      <c r="Z410" s="7"/>
      <c r="AA410" s="7"/>
    </row>
    <row r="411">
      <c r="A411" s="54"/>
      <c r="B411" s="54"/>
      <c r="C411" s="7"/>
      <c r="D411" s="7"/>
      <c r="E411" s="7"/>
      <c r="F411" s="54"/>
      <c r="G411" s="54"/>
      <c r="H411" s="54"/>
      <c r="I411" s="54"/>
      <c r="J411" s="54"/>
      <c r="K411" s="54"/>
      <c r="L411" s="54"/>
      <c r="M411" s="54"/>
      <c r="N411" s="54"/>
      <c r="O411" s="54"/>
      <c r="P411" s="7"/>
      <c r="Q411" s="7"/>
      <c r="R411" s="7"/>
      <c r="S411" s="7"/>
      <c r="T411" s="7"/>
      <c r="U411" s="7"/>
      <c r="V411" s="7"/>
      <c r="W411" s="7"/>
      <c r="X411" s="7"/>
      <c r="Y411" s="7"/>
      <c r="Z411" s="7"/>
      <c r="AA411" s="7"/>
    </row>
    <row r="412">
      <c r="A412" s="54"/>
      <c r="B412" s="54"/>
      <c r="C412" s="7"/>
      <c r="D412" s="7"/>
      <c r="E412" s="7"/>
      <c r="F412" s="54"/>
      <c r="G412" s="54"/>
      <c r="H412" s="54"/>
      <c r="I412" s="54"/>
      <c r="J412" s="54"/>
      <c r="K412" s="54"/>
      <c r="L412" s="54"/>
      <c r="M412" s="54"/>
      <c r="N412" s="54"/>
      <c r="O412" s="54"/>
      <c r="P412" s="7"/>
      <c r="Q412" s="7"/>
      <c r="R412" s="7"/>
      <c r="S412" s="7"/>
      <c r="T412" s="7"/>
      <c r="U412" s="7"/>
      <c r="V412" s="7"/>
      <c r="W412" s="7"/>
      <c r="X412" s="7"/>
      <c r="Y412" s="7"/>
      <c r="Z412" s="7"/>
      <c r="AA412" s="7"/>
    </row>
    <row r="413">
      <c r="A413" s="54"/>
      <c r="B413" s="54"/>
      <c r="C413" s="7"/>
      <c r="D413" s="7"/>
      <c r="E413" s="7"/>
      <c r="F413" s="54"/>
      <c r="G413" s="54"/>
      <c r="H413" s="54"/>
      <c r="I413" s="54"/>
      <c r="J413" s="54"/>
      <c r="K413" s="54"/>
      <c r="L413" s="54"/>
      <c r="M413" s="54"/>
      <c r="N413" s="54"/>
      <c r="O413" s="54"/>
      <c r="P413" s="7"/>
      <c r="Q413" s="7"/>
      <c r="R413" s="7"/>
      <c r="S413" s="7"/>
      <c r="T413" s="7"/>
      <c r="U413" s="7"/>
      <c r="V413" s="7"/>
      <c r="W413" s="7"/>
      <c r="X413" s="7"/>
      <c r="Y413" s="7"/>
      <c r="Z413" s="7"/>
      <c r="AA413" s="7"/>
    </row>
    <row r="414">
      <c r="A414" s="54"/>
      <c r="B414" s="54"/>
      <c r="C414" s="7"/>
      <c r="D414" s="7"/>
      <c r="E414" s="7"/>
      <c r="F414" s="54"/>
      <c r="G414" s="54"/>
      <c r="H414" s="54"/>
      <c r="I414" s="54"/>
      <c r="J414" s="54"/>
      <c r="K414" s="54"/>
      <c r="L414" s="54"/>
      <c r="M414" s="54"/>
      <c r="N414" s="54"/>
      <c r="O414" s="54"/>
      <c r="P414" s="7"/>
      <c r="Q414" s="7"/>
      <c r="R414" s="7"/>
      <c r="S414" s="7"/>
      <c r="T414" s="7"/>
      <c r="U414" s="7"/>
      <c r="V414" s="7"/>
      <c r="W414" s="7"/>
      <c r="X414" s="7"/>
      <c r="Y414" s="7"/>
      <c r="Z414" s="7"/>
      <c r="AA414" s="7"/>
    </row>
    <row r="415">
      <c r="A415" s="54"/>
      <c r="B415" s="54"/>
      <c r="C415" s="7"/>
      <c r="D415" s="7"/>
      <c r="E415" s="7"/>
      <c r="F415" s="54"/>
      <c r="G415" s="54"/>
      <c r="H415" s="54"/>
      <c r="I415" s="54"/>
      <c r="J415" s="54"/>
      <c r="K415" s="54"/>
      <c r="L415" s="54"/>
      <c r="M415" s="54"/>
      <c r="N415" s="54"/>
      <c r="O415" s="54"/>
      <c r="P415" s="7"/>
      <c r="Q415" s="7"/>
      <c r="R415" s="7"/>
      <c r="S415" s="7"/>
      <c r="T415" s="7"/>
      <c r="U415" s="7"/>
      <c r="V415" s="7"/>
      <c r="W415" s="7"/>
      <c r="X415" s="7"/>
      <c r="Y415" s="7"/>
      <c r="Z415" s="7"/>
      <c r="AA415" s="7"/>
    </row>
    <row r="416">
      <c r="A416" s="54"/>
      <c r="B416" s="54"/>
      <c r="C416" s="7"/>
      <c r="D416" s="7"/>
      <c r="E416" s="7"/>
      <c r="F416" s="54"/>
      <c r="G416" s="54"/>
      <c r="H416" s="54"/>
      <c r="I416" s="54"/>
      <c r="J416" s="54"/>
      <c r="K416" s="54"/>
      <c r="L416" s="54"/>
      <c r="M416" s="54"/>
      <c r="N416" s="54"/>
      <c r="O416" s="54"/>
      <c r="P416" s="7"/>
      <c r="Q416" s="7"/>
      <c r="R416" s="7"/>
      <c r="S416" s="7"/>
      <c r="T416" s="7"/>
      <c r="U416" s="7"/>
      <c r="V416" s="7"/>
      <c r="W416" s="7"/>
      <c r="X416" s="7"/>
      <c r="Y416" s="7"/>
      <c r="Z416" s="7"/>
      <c r="AA416" s="7"/>
    </row>
    <row r="417">
      <c r="A417" s="54"/>
      <c r="B417" s="54"/>
      <c r="C417" s="7"/>
      <c r="D417" s="7"/>
      <c r="E417" s="7"/>
      <c r="F417" s="54"/>
      <c r="G417" s="54"/>
      <c r="H417" s="54"/>
      <c r="I417" s="54"/>
      <c r="J417" s="54"/>
      <c r="K417" s="54"/>
      <c r="L417" s="54"/>
      <c r="M417" s="54"/>
      <c r="N417" s="54"/>
      <c r="O417" s="54"/>
      <c r="P417" s="7"/>
      <c r="Q417" s="7"/>
      <c r="R417" s="7"/>
      <c r="S417" s="7"/>
      <c r="T417" s="7"/>
      <c r="U417" s="7"/>
      <c r="V417" s="7"/>
      <c r="W417" s="7"/>
      <c r="X417" s="7"/>
      <c r="Y417" s="7"/>
      <c r="Z417" s="7"/>
      <c r="AA417" s="7"/>
    </row>
    <row r="418">
      <c r="A418" s="54"/>
      <c r="B418" s="54"/>
      <c r="C418" s="7"/>
      <c r="D418" s="7"/>
      <c r="E418" s="7"/>
      <c r="F418" s="54"/>
      <c r="G418" s="54"/>
      <c r="H418" s="54"/>
      <c r="I418" s="54"/>
      <c r="J418" s="54"/>
      <c r="K418" s="54"/>
      <c r="L418" s="54"/>
      <c r="M418" s="54"/>
      <c r="N418" s="54"/>
      <c r="O418" s="54"/>
      <c r="P418" s="7"/>
      <c r="Q418" s="7"/>
      <c r="R418" s="7"/>
      <c r="S418" s="7"/>
      <c r="T418" s="7"/>
      <c r="U418" s="7"/>
      <c r="V418" s="7"/>
      <c r="W418" s="7"/>
      <c r="X418" s="7"/>
      <c r="Y418" s="7"/>
      <c r="Z418" s="7"/>
      <c r="AA418" s="7"/>
    </row>
    <row r="419">
      <c r="A419" s="54"/>
      <c r="B419" s="54"/>
      <c r="C419" s="7"/>
      <c r="D419" s="7"/>
      <c r="E419" s="7"/>
      <c r="F419" s="54"/>
      <c r="G419" s="54"/>
      <c r="H419" s="54"/>
      <c r="I419" s="54"/>
      <c r="J419" s="54"/>
      <c r="K419" s="54"/>
      <c r="L419" s="54"/>
      <c r="M419" s="54"/>
      <c r="N419" s="54"/>
      <c r="O419" s="54"/>
      <c r="P419" s="7"/>
      <c r="Q419" s="7"/>
      <c r="R419" s="7"/>
      <c r="S419" s="7"/>
      <c r="T419" s="7"/>
      <c r="U419" s="7"/>
      <c r="V419" s="7"/>
      <c r="W419" s="7"/>
      <c r="X419" s="7"/>
      <c r="Y419" s="7"/>
      <c r="Z419" s="7"/>
      <c r="AA419" s="7"/>
    </row>
    <row r="420">
      <c r="A420" s="54"/>
      <c r="B420" s="54"/>
      <c r="C420" s="7"/>
      <c r="D420" s="7"/>
      <c r="E420" s="7"/>
      <c r="F420" s="54"/>
      <c r="G420" s="54"/>
      <c r="H420" s="54"/>
      <c r="I420" s="54"/>
      <c r="J420" s="54"/>
      <c r="K420" s="54"/>
      <c r="L420" s="54"/>
      <c r="M420" s="54"/>
      <c r="N420" s="54"/>
      <c r="O420" s="54"/>
      <c r="P420" s="7"/>
      <c r="Q420" s="7"/>
      <c r="R420" s="7"/>
      <c r="S420" s="7"/>
      <c r="T420" s="7"/>
      <c r="U420" s="7"/>
      <c r="V420" s="7"/>
      <c r="W420" s="7"/>
      <c r="X420" s="7"/>
      <c r="Y420" s="7"/>
      <c r="Z420" s="7"/>
      <c r="AA420" s="7"/>
    </row>
    <row r="421">
      <c r="A421" s="54"/>
      <c r="B421" s="54"/>
      <c r="C421" s="7"/>
      <c r="D421" s="7"/>
      <c r="E421" s="7"/>
      <c r="F421" s="54"/>
      <c r="G421" s="54"/>
      <c r="H421" s="54"/>
      <c r="I421" s="54"/>
      <c r="J421" s="54"/>
      <c r="K421" s="54"/>
      <c r="L421" s="54"/>
      <c r="M421" s="54"/>
      <c r="N421" s="54"/>
      <c r="O421" s="54"/>
      <c r="P421" s="7"/>
      <c r="Q421" s="7"/>
      <c r="R421" s="7"/>
      <c r="S421" s="7"/>
      <c r="T421" s="7"/>
      <c r="U421" s="7"/>
      <c r="V421" s="7"/>
      <c r="W421" s="7"/>
      <c r="X421" s="7"/>
      <c r="Y421" s="7"/>
      <c r="Z421" s="7"/>
      <c r="AA421" s="7"/>
    </row>
    <row r="422">
      <c r="A422" s="54"/>
      <c r="B422" s="54"/>
      <c r="C422" s="7"/>
      <c r="D422" s="7"/>
      <c r="E422" s="7"/>
      <c r="F422" s="54"/>
      <c r="G422" s="54"/>
      <c r="H422" s="54"/>
      <c r="I422" s="54"/>
      <c r="J422" s="54"/>
      <c r="K422" s="54"/>
      <c r="L422" s="54"/>
      <c r="M422" s="54"/>
      <c r="N422" s="54"/>
      <c r="O422" s="54"/>
      <c r="P422" s="7"/>
      <c r="Q422" s="7"/>
      <c r="R422" s="7"/>
      <c r="S422" s="7"/>
      <c r="T422" s="7"/>
      <c r="U422" s="7"/>
      <c r="V422" s="7"/>
      <c r="W422" s="7"/>
      <c r="X422" s="7"/>
      <c r="Y422" s="7"/>
      <c r="Z422" s="7"/>
      <c r="AA422" s="7"/>
    </row>
    <row r="423">
      <c r="A423" s="54"/>
      <c r="B423" s="54"/>
      <c r="C423" s="7"/>
      <c r="D423" s="7"/>
      <c r="E423" s="7"/>
      <c r="F423" s="54"/>
      <c r="G423" s="54"/>
      <c r="H423" s="54"/>
      <c r="I423" s="54"/>
      <c r="J423" s="54"/>
      <c r="K423" s="54"/>
      <c r="L423" s="54"/>
      <c r="M423" s="54"/>
      <c r="N423" s="54"/>
      <c r="O423" s="54"/>
      <c r="P423" s="7"/>
      <c r="Q423" s="7"/>
      <c r="R423" s="7"/>
      <c r="S423" s="7"/>
      <c r="T423" s="7"/>
      <c r="U423" s="7"/>
      <c r="V423" s="7"/>
      <c r="W423" s="7"/>
      <c r="X423" s="7"/>
      <c r="Y423" s="7"/>
      <c r="Z423" s="7"/>
      <c r="AA423" s="7"/>
    </row>
    <row r="424">
      <c r="A424" s="54"/>
      <c r="B424" s="54"/>
      <c r="C424" s="7"/>
      <c r="D424" s="7"/>
      <c r="E424" s="7"/>
      <c r="F424" s="54"/>
      <c r="G424" s="54"/>
      <c r="H424" s="54"/>
      <c r="I424" s="54"/>
      <c r="J424" s="54"/>
      <c r="K424" s="54"/>
      <c r="L424" s="54"/>
      <c r="M424" s="54"/>
      <c r="N424" s="54"/>
      <c r="O424" s="54"/>
      <c r="P424" s="7"/>
      <c r="Q424" s="7"/>
      <c r="R424" s="7"/>
      <c r="S424" s="7"/>
      <c r="T424" s="7"/>
      <c r="U424" s="7"/>
      <c r="V424" s="7"/>
      <c r="W424" s="7"/>
      <c r="X424" s="7"/>
      <c r="Y424" s="7"/>
      <c r="Z424" s="7"/>
      <c r="AA424" s="7"/>
    </row>
    <row r="425">
      <c r="A425" s="54"/>
      <c r="B425" s="54"/>
      <c r="C425" s="7"/>
      <c r="D425" s="7"/>
      <c r="E425" s="7"/>
      <c r="F425" s="54"/>
      <c r="G425" s="54"/>
      <c r="H425" s="54"/>
      <c r="I425" s="54"/>
      <c r="J425" s="54"/>
      <c r="K425" s="54"/>
      <c r="L425" s="54"/>
      <c r="M425" s="54"/>
      <c r="N425" s="54"/>
      <c r="O425" s="54"/>
      <c r="P425" s="7"/>
      <c r="Q425" s="7"/>
      <c r="R425" s="7"/>
      <c r="S425" s="7"/>
      <c r="T425" s="7"/>
      <c r="U425" s="7"/>
      <c r="V425" s="7"/>
      <c r="W425" s="7"/>
      <c r="X425" s="7"/>
      <c r="Y425" s="7"/>
      <c r="Z425" s="7"/>
      <c r="AA425" s="7"/>
    </row>
    <row r="426">
      <c r="A426" s="54"/>
      <c r="B426" s="54"/>
      <c r="C426" s="7"/>
      <c r="D426" s="7"/>
      <c r="E426" s="7"/>
      <c r="F426" s="54"/>
      <c r="G426" s="54"/>
      <c r="H426" s="54"/>
      <c r="I426" s="54"/>
      <c r="J426" s="54"/>
      <c r="K426" s="54"/>
      <c r="L426" s="54"/>
      <c r="M426" s="54"/>
      <c r="N426" s="54"/>
      <c r="O426" s="54"/>
      <c r="P426" s="7"/>
      <c r="Q426" s="7"/>
      <c r="R426" s="7"/>
      <c r="S426" s="7"/>
      <c r="T426" s="7"/>
      <c r="U426" s="7"/>
      <c r="V426" s="7"/>
      <c r="W426" s="7"/>
      <c r="X426" s="7"/>
      <c r="Y426" s="7"/>
      <c r="Z426" s="7"/>
      <c r="AA426" s="7"/>
    </row>
    <row r="427">
      <c r="A427" s="54"/>
      <c r="B427" s="54"/>
      <c r="C427" s="7"/>
      <c r="D427" s="7"/>
      <c r="E427" s="7"/>
      <c r="F427" s="54"/>
      <c r="G427" s="54"/>
      <c r="H427" s="54"/>
      <c r="I427" s="54"/>
      <c r="J427" s="54"/>
      <c r="K427" s="54"/>
      <c r="L427" s="54"/>
      <c r="M427" s="54"/>
      <c r="N427" s="54"/>
      <c r="O427" s="54"/>
      <c r="P427" s="7"/>
      <c r="Q427" s="7"/>
      <c r="R427" s="7"/>
      <c r="S427" s="7"/>
      <c r="T427" s="7"/>
      <c r="U427" s="7"/>
      <c r="V427" s="7"/>
      <c r="W427" s="7"/>
      <c r="X427" s="7"/>
      <c r="Y427" s="7"/>
      <c r="Z427" s="7"/>
      <c r="AA427" s="7"/>
    </row>
    <row r="428">
      <c r="A428" s="54"/>
      <c r="B428" s="54"/>
      <c r="C428" s="7"/>
      <c r="D428" s="7"/>
      <c r="E428" s="7"/>
      <c r="F428" s="54"/>
      <c r="G428" s="54"/>
      <c r="H428" s="54"/>
      <c r="I428" s="54"/>
      <c r="J428" s="54"/>
      <c r="K428" s="54"/>
      <c r="L428" s="54"/>
      <c r="M428" s="54"/>
      <c r="N428" s="54"/>
      <c r="O428" s="54"/>
      <c r="P428" s="7"/>
      <c r="Q428" s="7"/>
      <c r="R428" s="7"/>
      <c r="S428" s="7"/>
      <c r="T428" s="7"/>
      <c r="U428" s="7"/>
      <c r="V428" s="7"/>
      <c r="W428" s="7"/>
      <c r="X428" s="7"/>
      <c r="Y428" s="7"/>
      <c r="Z428" s="7"/>
      <c r="AA428" s="7"/>
    </row>
    <row r="429">
      <c r="A429" s="54"/>
      <c r="B429" s="54"/>
      <c r="C429" s="7"/>
      <c r="D429" s="7"/>
      <c r="E429" s="7"/>
      <c r="F429" s="54"/>
      <c r="G429" s="54"/>
      <c r="H429" s="54"/>
      <c r="I429" s="54"/>
      <c r="J429" s="54"/>
      <c r="K429" s="54"/>
      <c r="L429" s="54"/>
      <c r="M429" s="54"/>
      <c r="N429" s="54"/>
      <c r="O429" s="54"/>
      <c r="P429" s="7"/>
      <c r="Q429" s="7"/>
      <c r="R429" s="7"/>
      <c r="S429" s="7"/>
      <c r="T429" s="7"/>
      <c r="U429" s="7"/>
      <c r="V429" s="7"/>
      <c r="W429" s="7"/>
      <c r="X429" s="7"/>
      <c r="Y429" s="7"/>
      <c r="Z429" s="7"/>
      <c r="AA429" s="7"/>
    </row>
    <row r="430">
      <c r="A430" s="54"/>
      <c r="B430" s="54"/>
      <c r="C430" s="7"/>
      <c r="D430" s="7"/>
      <c r="E430" s="7"/>
      <c r="F430" s="54"/>
      <c r="G430" s="54"/>
      <c r="H430" s="54"/>
      <c r="I430" s="54"/>
      <c r="J430" s="54"/>
      <c r="K430" s="54"/>
      <c r="L430" s="54"/>
      <c r="M430" s="54"/>
      <c r="N430" s="54"/>
      <c r="O430" s="54"/>
      <c r="P430" s="7"/>
      <c r="Q430" s="7"/>
      <c r="R430" s="7"/>
      <c r="S430" s="7"/>
      <c r="T430" s="7"/>
      <c r="U430" s="7"/>
      <c r="V430" s="7"/>
      <c r="W430" s="7"/>
      <c r="X430" s="7"/>
      <c r="Y430" s="7"/>
      <c r="Z430" s="7"/>
      <c r="AA430" s="7"/>
    </row>
    <row r="431">
      <c r="A431" s="54"/>
      <c r="B431" s="54"/>
      <c r="C431" s="7"/>
      <c r="D431" s="7"/>
      <c r="E431" s="7"/>
      <c r="F431" s="54"/>
      <c r="G431" s="54"/>
      <c r="H431" s="54"/>
      <c r="I431" s="54"/>
      <c r="J431" s="54"/>
      <c r="K431" s="54"/>
      <c r="L431" s="54"/>
      <c r="M431" s="54"/>
      <c r="N431" s="54"/>
      <c r="O431" s="54"/>
      <c r="P431" s="7"/>
      <c r="Q431" s="7"/>
      <c r="R431" s="7"/>
      <c r="S431" s="7"/>
      <c r="T431" s="7"/>
      <c r="U431" s="7"/>
      <c r="V431" s="7"/>
      <c r="W431" s="7"/>
      <c r="X431" s="7"/>
      <c r="Y431" s="7"/>
      <c r="Z431" s="7"/>
      <c r="AA431" s="7"/>
    </row>
    <row r="432">
      <c r="A432" s="54"/>
      <c r="B432" s="54"/>
      <c r="C432" s="7"/>
      <c r="D432" s="7"/>
      <c r="E432" s="7"/>
      <c r="F432" s="54"/>
      <c r="G432" s="54"/>
      <c r="H432" s="54"/>
      <c r="I432" s="54"/>
      <c r="J432" s="54"/>
      <c r="K432" s="54"/>
      <c r="L432" s="54"/>
      <c r="M432" s="54"/>
      <c r="N432" s="54"/>
      <c r="O432" s="54"/>
      <c r="P432" s="7"/>
      <c r="Q432" s="7"/>
      <c r="R432" s="7"/>
      <c r="S432" s="7"/>
      <c r="T432" s="7"/>
      <c r="U432" s="7"/>
      <c r="V432" s="7"/>
      <c r="W432" s="7"/>
      <c r="X432" s="7"/>
      <c r="Y432" s="7"/>
      <c r="Z432" s="7"/>
      <c r="AA432" s="7"/>
    </row>
    <row r="433">
      <c r="A433" s="54"/>
      <c r="B433" s="54"/>
      <c r="C433" s="7"/>
      <c r="D433" s="7"/>
      <c r="E433" s="7"/>
      <c r="F433" s="54"/>
      <c r="G433" s="54"/>
      <c r="H433" s="54"/>
      <c r="I433" s="54"/>
      <c r="J433" s="54"/>
      <c r="K433" s="54"/>
      <c r="L433" s="54"/>
      <c r="M433" s="54"/>
      <c r="N433" s="54"/>
      <c r="O433" s="54"/>
      <c r="P433" s="7"/>
      <c r="Q433" s="7"/>
      <c r="R433" s="7"/>
      <c r="S433" s="7"/>
      <c r="T433" s="7"/>
      <c r="U433" s="7"/>
      <c r="V433" s="7"/>
      <c r="W433" s="7"/>
      <c r="X433" s="7"/>
      <c r="Y433" s="7"/>
      <c r="Z433" s="7"/>
      <c r="AA433" s="7"/>
    </row>
    <row r="434">
      <c r="A434" s="54"/>
      <c r="B434" s="54"/>
      <c r="C434" s="7"/>
      <c r="D434" s="7"/>
      <c r="E434" s="7"/>
      <c r="F434" s="54"/>
      <c r="G434" s="54"/>
      <c r="H434" s="54"/>
      <c r="I434" s="54"/>
      <c r="J434" s="54"/>
      <c r="K434" s="54"/>
      <c r="L434" s="54"/>
      <c r="M434" s="54"/>
      <c r="N434" s="54"/>
      <c r="O434" s="54"/>
      <c r="P434" s="7"/>
      <c r="Q434" s="7"/>
      <c r="R434" s="7"/>
      <c r="S434" s="7"/>
      <c r="T434" s="7"/>
      <c r="U434" s="7"/>
      <c r="V434" s="7"/>
      <c r="W434" s="7"/>
      <c r="X434" s="7"/>
      <c r="Y434" s="7"/>
      <c r="Z434" s="7"/>
      <c r="AA434" s="7"/>
    </row>
    <row r="435">
      <c r="A435" s="54"/>
      <c r="B435" s="54"/>
      <c r="C435" s="7"/>
      <c r="D435" s="7"/>
      <c r="E435" s="7"/>
      <c r="F435" s="54"/>
      <c r="G435" s="54"/>
      <c r="H435" s="54"/>
      <c r="I435" s="54"/>
      <c r="J435" s="54"/>
      <c r="K435" s="54"/>
      <c r="L435" s="54"/>
      <c r="M435" s="54"/>
      <c r="N435" s="54"/>
      <c r="O435" s="54"/>
      <c r="P435" s="7"/>
      <c r="Q435" s="7"/>
      <c r="R435" s="7"/>
      <c r="S435" s="7"/>
      <c r="T435" s="7"/>
      <c r="U435" s="7"/>
      <c r="V435" s="7"/>
      <c r="W435" s="7"/>
      <c r="X435" s="7"/>
      <c r="Y435" s="7"/>
      <c r="Z435" s="7"/>
      <c r="AA435" s="7"/>
    </row>
    <row r="436">
      <c r="A436" s="54"/>
      <c r="B436" s="54"/>
      <c r="C436" s="7"/>
      <c r="D436" s="7"/>
      <c r="E436" s="7"/>
      <c r="F436" s="54"/>
      <c r="G436" s="54"/>
      <c r="H436" s="54"/>
      <c r="I436" s="54"/>
      <c r="J436" s="54"/>
      <c r="K436" s="54"/>
      <c r="L436" s="54"/>
      <c r="M436" s="54"/>
      <c r="N436" s="54"/>
      <c r="O436" s="54"/>
      <c r="P436" s="7"/>
      <c r="Q436" s="7"/>
      <c r="R436" s="7"/>
      <c r="S436" s="7"/>
      <c r="T436" s="7"/>
      <c r="U436" s="7"/>
      <c r="V436" s="7"/>
      <c r="W436" s="7"/>
      <c r="X436" s="7"/>
      <c r="Y436" s="7"/>
      <c r="Z436" s="7"/>
      <c r="AA436" s="7"/>
    </row>
    <row r="437">
      <c r="A437" s="54"/>
      <c r="B437" s="54"/>
      <c r="C437" s="7"/>
      <c r="D437" s="7"/>
      <c r="E437" s="7"/>
      <c r="F437" s="54"/>
      <c r="G437" s="54"/>
      <c r="H437" s="54"/>
      <c r="I437" s="54"/>
      <c r="J437" s="54"/>
      <c r="K437" s="54"/>
      <c r="L437" s="54"/>
      <c r="M437" s="54"/>
      <c r="N437" s="54"/>
      <c r="O437" s="54"/>
      <c r="P437" s="7"/>
      <c r="Q437" s="7"/>
      <c r="R437" s="7"/>
      <c r="S437" s="7"/>
      <c r="T437" s="7"/>
      <c r="U437" s="7"/>
      <c r="V437" s="7"/>
      <c r="W437" s="7"/>
      <c r="X437" s="7"/>
      <c r="Y437" s="7"/>
      <c r="Z437" s="7"/>
      <c r="AA437" s="7"/>
    </row>
    <row r="438">
      <c r="A438" s="54"/>
      <c r="B438" s="54"/>
      <c r="C438" s="7"/>
      <c r="D438" s="7"/>
      <c r="E438" s="7"/>
      <c r="F438" s="54"/>
      <c r="G438" s="54"/>
      <c r="H438" s="54"/>
      <c r="I438" s="54"/>
      <c r="J438" s="54"/>
      <c r="K438" s="54"/>
      <c r="L438" s="54"/>
      <c r="M438" s="54"/>
      <c r="N438" s="54"/>
      <c r="O438" s="54"/>
      <c r="P438" s="7"/>
      <c r="Q438" s="7"/>
      <c r="R438" s="7"/>
      <c r="S438" s="7"/>
      <c r="T438" s="7"/>
      <c r="U438" s="7"/>
      <c r="V438" s="7"/>
      <c r="W438" s="7"/>
      <c r="X438" s="7"/>
      <c r="Y438" s="7"/>
      <c r="Z438" s="7"/>
      <c r="AA438" s="7"/>
    </row>
    <row r="439">
      <c r="A439" s="54"/>
      <c r="B439" s="54"/>
      <c r="C439" s="7"/>
      <c r="D439" s="7"/>
      <c r="E439" s="7"/>
      <c r="F439" s="54"/>
      <c r="G439" s="54"/>
      <c r="H439" s="54"/>
      <c r="I439" s="54"/>
      <c r="J439" s="54"/>
      <c r="K439" s="54"/>
      <c r="L439" s="54"/>
      <c r="M439" s="54"/>
      <c r="N439" s="54"/>
      <c r="O439" s="54"/>
      <c r="P439" s="7"/>
      <c r="Q439" s="7"/>
      <c r="R439" s="7"/>
      <c r="S439" s="7"/>
      <c r="T439" s="7"/>
      <c r="U439" s="7"/>
      <c r="V439" s="7"/>
      <c r="W439" s="7"/>
      <c r="X439" s="7"/>
      <c r="Y439" s="7"/>
      <c r="Z439" s="7"/>
      <c r="AA439" s="7"/>
    </row>
    <row r="440">
      <c r="A440" s="54"/>
      <c r="B440" s="54"/>
      <c r="C440" s="7"/>
      <c r="D440" s="7"/>
      <c r="E440" s="7"/>
      <c r="F440" s="54"/>
      <c r="G440" s="54"/>
      <c r="H440" s="54"/>
      <c r="I440" s="54"/>
      <c r="J440" s="54"/>
      <c r="K440" s="54"/>
      <c r="L440" s="54"/>
      <c r="M440" s="54"/>
      <c r="N440" s="54"/>
      <c r="O440" s="54"/>
      <c r="P440" s="7"/>
      <c r="Q440" s="7"/>
      <c r="R440" s="7"/>
      <c r="S440" s="7"/>
      <c r="T440" s="7"/>
      <c r="U440" s="7"/>
      <c r="V440" s="7"/>
      <c r="W440" s="7"/>
      <c r="X440" s="7"/>
      <c r="Y440" s="7"/>
      <c r="Z440" s="7"/>
      <c r="AA440" s="7"/>
    </row>
    <row r="441">
      <c r="A441" s="54"/>
      <c r="B441" s="54"/>
      <c r="C441" s="7"/>
      <c r="D441" s="7"/>
      <c r="E441" s="7"/>
      <c r="F441" s="54"/>
      <c r="G441" s="54"/>
      <c r="H441" s="54"/>
      <c r="I441" s="54"/>
      <c r="J441" s="54"/>
      <c r="K441" s="54"/>
      <c r="L441" s="54"/>
      <c r="M441" s="54"/>
      <c r="N441" s="54"/>
      <c r="O441" s="54"/>
      <c r="P441" s="7"/>
      <c r="Q441" s="7"/>
      <c r="R441" s="7"/>
      <c r="S441" s="7"/>
      <c r="T441" s="7"/>
      <c r="U441" s="7"/>
      <c r="V441" s="7"/>
      <c r="W441" s="7"/>
      <c r="X441" s="7"/>
      <c r="Y441" s="7"/>
      <c r="Z441" s="7"/>
      <c r="AA441" s="7"/>
    </row>
    <row r="442">
      <c r="A442" s="54"/>
      <c r="B442" s="54"/>
      <c r="C442" s="7"/>
      <c r="D442" s="7"/>
      <c r="E442" s="7"/>
      <c r="F442" s="54"/>
      <c r="G442" s="54"/>
      <c r="H442" s="54"/>
      <c r="I442" s="54"/>
      <c r="J442" s="54"/>
      <c r="K442" s="54"/>
      <c r="L442" s="54"/>
      <c r="M442" s="54"/>
      <c r="N442" s="54"/>
      <c r="O442" s="54"/>
      <c r="P442" s="7"/>
      <c r="Q442" s="7"/>
      <c r="R442" s="7"/>
      <c r="S442" s="7"/>
      <c r="T442" s="7"/>
      <c r="U442" s="7"/>
      <c r="V442" s="7"/>
      <c r="W442" s="7"/>
      <c r="X442" s="7"/>
      <c r="Y442" s="7"/>
      <c r="Z442" s="7"/>
      <c r="AA442" s="7"/>
    </row>
    <row r="443">
      <c r="A443" s="54"/>
      <c r="B443" s="54"/>
      <c r="C443" s="7"/>
      <c r="D443" s="7"/>
      <c r="E443" s="7"/>
      <c r="F443" s="54"/>
      <c r="G443" s="54"/>
      <c r="H443" s="54"/>
      <c r="I443" s="54"/>
      <c r="J443" s="54"/>
      <c r="K443" s="54"/>
      <c r="L443" s="54"/>
      <c r="M443" s="54"/>
      <c r="N443" s="54"/>
      <c r="O443" s="54"/>
      <c r="P443" s="7"/>
      <c r="Q443" s="7"/>
      <c r="R443" s="7"/>
      <c r="S443" s="7"/>
      <c r="T443" s="7"/>
      <c r="U443" s="7"/>
      <c r="V443" s="7"/>
      <c r="W443" s="7"/>
      <c r="X443" s="7"/>
      <c r="Y443" s="7"/>
      <c r="Z443" s="7"/>
      <c r="AA443" s="7"/>
    </row>
    <row r="444">
      <c r="A444" s="54"/>
      <c r="B444" s="54"/>
      <c r="C444" s="7"/>
      <c r="D444" s="7"/>
      <c r="E444" s="7"/>
      <c r="F444" s="54"/>
      <c r="G444" s="54"/>
      <c r="H444" s="54"/>
      <c r="I444" s="54"/>
      <c r="J444" s="54"/>
      <c r="K444" s="54"/>
      <c r="L444" s="54"/>
      <c r="M444" s="54"/>
      <c r="N444" s="54"/>
      <c r="O444" s="54"/>
      <c r="P444" s="7"/>
      <c r="Q444" s="7"/>
      <c r="R444" s="7"/>
      <c r="S444" s="7"/>
      <c r="T444" s="7"/>
      <c r="U444" s="7"/>
      <c r="V444" s="7"/>
      <c r="W444" s="7"/>
      <c r="X444" s="7"/>
      <c r="Y444" s="7"/>
      <c r="Z444" s="7"/>
      <c r="AA444" s="7"/>
    </row>
    <row r="445">
      <c r="A445" s="54"/>
      <c r="B445" s="54"/>
      <c r="C445" s="7"/>
      <c r="D445" s="7"/>
      <c r="E445" s="7"/>
      <c r="F445" s="54"/>
      <c r="G445" s="54"/>
      <c r="H445" s="54"/>
      <c r="I445" s="54"/>
      <c r="J445" s="54"/>
      <c r="K445" s="54"/>
      <c r="L445" s="54"/>
      <c r="M445" s="54"/>
      <c r="N445" s="54"/>
      <c r="O445" s="54"/>
      <c r="P445" s="7"/>
      <c r="Q445" s="7"/>
      <c r="R445" s="7"/>
      <c r="S445" s="7"/>
      <c r="T445" s="7"/>
      <c r="U445" s="7"/>
      <c r="V445" s="7"/>
      <c r="W445" s="7"/>
      <c r="X445" s="7"/>
      <c r="Y445" s="7"/>
      <c r="Z445" s="7"/>
      <c r="AA445" s="7"/>
    </row>
    <row r="446">
      <c r="A446" s="54"/>
      <c r="B446" s="54"/>
      <c r="C446" s="7"/>
      <c r="D446" s="7"/>
      <c r="E446" s="7"/>
      <c r="F446" s="54"/>
      <c r="G446" s="54"/>
      <c r="H446" s="54"/>
      <c r="I446" s="54"/>
      <c r="J446" s="54"/>
      <c r="K446" s="54"/>
      <c r="L446" s="54"/>
      <c r="M446" s="54"/>
      <c r="N446" s="54"/>
      <c r="O446" s="54"/>
      <c r="P446" s="7"/>
      <c r="Q446" s="7"/>
      <c r="R446" s="7"/>
      <c r="S446" s="7"/>
      <c r="T446" s="7"/>
      <c r="U446" s="7"/>
      <c r="V446" s="7"/>
      <c r="W446" s="7"/>
      <c r="X446" s="7"/>
      <c r="Y446" s="7"/>
      <c r="Z446" s="7"/>
      <c r="AA446" s="7"/>
    </row>
    <row r="447">
      <c r="A447" s="54"/>
      <c r="B447" s="54"/>
      <c r="C447" s="7"/>
      <c r="D447" s="7"/>
      <c r="E447" s="7"/>
      <c r="F447" s="54"/>
      <c r="G447" s="54"/>
      <c r="H447" s="54"/>
      <c r="I447" s="54"/>
      <c r="J447" s="54"/>
      <c r="K447" s="54"/>
      <c r="L447" s="54"/>
      <c r="M447" s="54"/>
      <c r="N447" s="54"/>
      <c r="O447" s="54"/>
      <c r="P447" s="7"/>
      <c r="Q447" s="7"/>
      <c r="R447" s="7"/>
      <c r="S447" s="7"/>
      <c r="T447" s="7"/>
      <c r="U447" s="7"/>
      <c r="V447" s="7"/>
      <c r="W447" s="7"/>
      <c r="X447" s="7"/>
      <c r="Y447" s="7"/>
      <c r="Z447" s="7"/>
      <c r="AA447" s="7"/>
    </row>
    <row r="448">
      <c r="A448" s="54"/>
      <c r="B448" s="54"/>
      <c r="C448" s="7"/>
      <c r="D448" s="7"/>
      <c r="E448" s="7"/>
      <c r="F448" s="54"/>
      <c r="G448" s="54"/>
      <c r="H448" s="54"/>
      <c r="I448" s="54"/>
      <c r="J448" s="54"/>
      <c r="K448" s="54"/>
      <c r="L448" s="54"/>
      <c r="M448" s="54"/>
      <c r="N448" s="54"/>
      <c r="O448" s="54"/>
      <c r="P448" s="7"/>
      <c r="Q448" s="7"/>
      <c r="R448" s="7"/>
      <c r="S448" s="7"/>
      <c r="T448" s="7"/>
      <c r="U448" s="7"/>
      <c r="V448" s="7"/>
      <c r="W448" s="7"/>
      <c r="X448" s="7"/>
      <c r="Y448" s="7"/>
      <c r="Z448" s="7"/>
      <c r="AA448" s="7"/>
    </row>
    <row r="449">
      <c r="A449" s="54"/>
      <c r="B449" s="54"/>
      <c r="C449" s="7"/>
      <c r="D449" s="7"/>
      <c r="E449" s="7"/>
      <c r="F449" s="54"/>
      <c r="G449" s="54"/>
      <c r="H449" s="54"/>
      <c r="I449" s="54"/>
      <c r="J449" s="54"/>
      <c r="K449" s="54"/>
      <c r="L449" s="54"/>
      <c r="M449" s="54"/>
      <c r="N449" s="54"/>
      <c r="O449" s="54"/>
      <c r="P449" s="7"/>
      <c r="Q449" s="7"/>
      <c r="R449" s="7"/>
      <c r="S449" s="7"/>
      <c r="T449" s="7"/>
      <c r="U449" s="7"/>
      <c r="V449" s="7"/>
      <c r="W449" s="7"/>
      <c r="X449" s="7"/>
      <c r="Y449" s="7"/>
      <c r="Z449" s="7"/>
      <c r="AA449" s="7"/>
    </row>
    <row r="450">
      <c r="A450" s="54"/>
      <c r="B450" s="54"/>
      <c r="C450" s="7"/>
      <c r="D450" s="7"/>
      <c r="E450" s="7"/>
      <c r="F450" s="54"/>
      <c r="G450" s="54"/>
      <c r="H450" s="54"/>
      <c r="I450" s="54"/>
      <c r="J450" s="54"/>
      <c r="K450" s="54"/>
      <c r="L450" s="54"/>
      <c r="M450" s="54"/>
      <c r="N450" s="54"/>
      <c r="O450" s="54"/>
      <c r="P450" s="7"/>
      <c r="Q450" s="7"/>
      <c r="R450" s="7"/>
      <c r="S450" s="7"/>
      <c r="T450" s="7"/>
      <c r="U450" s="7"/>
      <c r="V450" s="7"/>
      <c r="W450" s="7"/>
      <c r="X450" s="7"/>
      <c r="Y450" s="7"/>
      <c r="Z450" s="7"/>
      <c r="AA450" s="7"/>
    </row>
    <row r="451">
      <c r="A451" s="54"/>
      <c r="B451" s="54"/>
      <c r="C451" s="7"/>
      <c r="D451" s="7"/>
      <c r="E451" s="7"/>
      <c r="F451" s="54"/>
      <c r="G451" s="54"/>
      <c r="H451" s="54"/>
      <c r="I451" s="54"/>
      <c r="J451" s="54"/>
      <c r="K451" s="54"/>
      <c r="L451" s="54"/>
      <c r="M451" s="54"/>
      <c r="N451" s="54"/>
      <c r="O451" s="54"/>
      <c r="P451" s="7"/>
      <c r="Q451" s="7"/>
      <c r="R451" s="7"/>
      <c r="S451" s="7"/>
      <c r="T451" s="7"/>
      <c r="U451" s="7"/>
      <c r="V451" s="7"/>
      <c r="W451" s="7"/>
      <c r="X451" s="7"/>
      <c r="Y451" s="7"/>
      <c r="Z451" s="7"/>
      <c r="AA451" s="7"/>
    </row>
    <row r="452">
      <c r="A452" s="54"/>
      <c r="B452" s="54"/>
      <c r="C452" s="7"/>
      <c r="D452" s="7"/>
      <c r="E452" s="7"/>
      <c r="F452" s="54"/>
      <c r="G452" s="54"/>
      <c r="H452" s="54"/>
      <c r="I452" s="54"/>
      <c r="J452" s="54"/>
      <c r="K452" s="54"/>
      <c r="L452" s="54"/>
      <c r="M452" s="54"/>
      <c r="N452" s="54"/>
      <c r="O452" s="54"/>
      <c r="P452" s="7"/>
      <c r="Q452" s="7"/>
      <c r="R452" s="7"/>
      <c r="S452" s="7"/>
      <c r="T452" s="7"/>
      <c r="U452" s="7"/>
      <c r="V452" s="7"/>
      <c r="W452" s="7"/>
      <c r="X452" s="7"/>
      <c r="Y452" s="7"/>
      <c r="Z452" s="7"/>
      <c r="AA452" s="7"/>
    </row>
    <row r="453">
      <c r="A453" s="54"/>
      <c r="B453" s="54"/>
      <c r="C453" s="7"/>
      <c r="D453" s="7"/>
      <c r="E453" s="7"/>
      <c r="F453" s="54"/>
      <c r="G453" s="54"/>
      <c r="H453" s="54"/>
      <c r="I453" s="54"/>
      <c r="J453" s="54"/>
      <c r="K453" s="54"/>
      <c r="L453" s="54"/>
      <c r="M453" s="54"/>
      <c r="N453" s="54"/>
      <c r="O453" s="54"/>
      <c r="P453" s="7"/>
      <c r="Q453" s="7"/>
      <c r="R453" s="7"/>
      <c r="S453" s="7"/>
      <c r="T453" s="7"/>
      <c r="U453" s="7"/>
      <c r="V453" s="7"/>
      <c r="W453" s="7"/>
      <c r="X453" s="7"/>
      <c r="Y453" s="7"/>
      <c r="Z453" s="7"/>
      <c r="AA453" s="7"/>
    </row>
    <row r="454">
      <c r="A454" s="54"/>
      <c r="B454" s="54"/>
      <c r="C454" s="7"/>
      <c r="D454" s="7"/>
      <c r="E454" s="7"/>
      <c r="F454" s="54"/>
      <c r="G454" s="54"/>
      <c r="H454" s="54"/>
      <c r="I454" s="54"/>
      <c r="J454" s="54"/>
      <c r="K454" s="54"/>
      <c r="L454" s="54"/>
      <c r="M454" s="54"/>
      <c r="N454" s="54"/>
      <c r="O454" s="54"/>
      <c r="P454" s="7"/>
      <c r="Q454" s="7"/>
      <c r="R454" s="7"/>
      <c r="S454" s="7"/>
      <c r="T454" s="7"/>
      <c r="U454" s="7"/>
      <c r="V454" s="7"/>
      <c r="W454" s="7"/>
      <c r="X454" s="7"/>
      <c r="Y454" s="7"/>
      <c r="Z454" s="7"/>
      <c r="AA454" s="7"/>
    </row>
    <row r="455">
      <c r="A455" s="54"/>
      <c r="B455" s="54"/>
      <c r="C455" s="7"/>
      <c r="D455" s="7"/>
      <c r="E455" s="7"/>
      <c r="F455" s="54"/>
      <c r="G455" s="54"/>
      <c r="H455" s="54"/>
      <c r="I455" s="54"/>
      <c r="J455" s="54"/>
      <c r="K455" s="54"/>
      <c r="L455" s="54"/>
      <c r="M455" s="54"/>
      <c r="N455" s="54"/>
      <c r="O455" s="54"/>
      <c r="P455" s="7"/>
      <c r="Q455" s="7"/>
      <c r="R455" s="7"/>
      <c r="S455" s="7"/>
      <c r="T455" s="7"/>
      <c r="U455" s="7"/>
      <c r="V455" s="7"/>
      <c r="W455" s="7"/>
      <c r="X455" s="7"/>
      <c r="Y455" s="7"/>
      <c r="Z455" s="7"/>
      <c r="AA455" s="7"/>
    </row>
    <row r="456">
      <c r="A456" s="54"/>
      <c r="B456" s="54"/>
      <c r="C456" s="7"/>
      <c r="D456" s="7"/>
      <c r="E456" s="7"/>
      <c r="F456" s="54"/>
      <c r="G456" s="54"/>
      <c r="H456" s="54"/>
      <c r="I456" s="54"/>
      <c r="J456" s="54"/>
      <c r="K456" s="54"/>
      <c r="L456" s="54"/>
      <c r="M456" s="54"/>
      <c r="N456" s="54"/>
      <c r="O456" s="54"/>
      <c r="P456" s="7"/>
      <c r="Q456" s="7"/>
      <c r="R456" s="7"/>
      <c r="S456" s="7"/>
      <c r="T456" s="7"/>
      <c r="U456" s="7"/>
      <c r="V456" s="7"/>
      <c r="W456" s="7"/>
      <c r="X456" s="7"/>
      <c r="Y456" s="7"/>
      <c r="Z456" s="7"/>
      <c r="AA456" s="7"/>
    </row>
    <row r="457">
      <c r="A457" s="54"/>
      <c r="B457" s="54"/>
      <c r="C457" s="7"/>
      <c r="D457" s="7"/>
      <c r="E457" s="7"/>
      <c r="F457" s="54"/>
      <c r="G457" s="54"/>
      <c r="H457" s="54"/>
      <c r="I457" s="54"/>
      <c r="J457" s="54"/>
      <c r="K457" s="54"/>
      <c r="L457" s="54"/>
      <c r="M457" s="54"/>
      <c r="N457" s="54"/>
      <c r="O457" s="54"/>
      <c r="P457" s="7"/>
      <c r="Q457" s="7"/>
      <c r="R457" s="7"/>
      <c r="S457" s="7"/>
      <c r="T457" s="7"/>
      <c r="U457" s="7"/>
      <c r="V457" s="7"/>
      <c r="W457" s="7"/>
      <c r="X457" s="7"/>
      <c r="Y457" s="7"/>
      <c r="Z457" s="7"/>
      <c r="AA457" s="7"/>
    </row>
    <row r="458">
      <c r="A458" s="54"/>
      <c r="B458" s="54"/>
      <c r="C458" s="7"/>
      <c r="D458" s="7"/>
      <c r="E458" s="7"/>
      <c r="F458" s="54"/>
      <c r="G458" s="54"/>
      <c r="H458" s="54"/>
      <c r="I458" s="54"/>
      <c r="J458" s="54"/>
      <c r="K458" s="54"/>
      <c r="L458" s="54"/>
      <c r="M458" s="54"/>
      <c r="N458" s="54"/>
      <c r="O458" s="54"/>
      <c r="P458" s="7"/>
      <c r="Q458" s="7"/>
      <c r="R458" s="7"/>
      <c r="S458" s="7"/>
      <c r="T458" s="7"/>
      <c r="U458" s="7"/>
      <c r="V458" s="7"/>
      <c r="W458" s="7"/>
      <c r="X458" s="7"/>
      <c r="Y458" s="7"/>
      <c r="Z458" s="7"/>
      <c r="AA458" s="7"/>
    </row>
    <row r="459">
      <c r="A459" s="54"/>
      <c r="B459" s="54"/>
      <c r="C459" s="7"/>
      <c r="D459" s="7"/>
      <c r="E459" s="7"/>
      <c r="F459" s="54"/>
      <c r="G459" s="54"/>
      <c r="H459" s="54"/>
      <c r="I459" s="54"/>
      <c r="J459" s="54"/>
      <c r="K459" s="54"/>
      <c r="L459" s="54"/>
      <c r="M459" s="54"/>
      <c r="N459" s="54"/>
      <c r="O459" s="54"/>
      <c r="P459" s="7"/>
      <c r="Q459" s="7"/>
      <c r="R459" s="7"/>
      <c r="S459" s="7"/>
      <c r="T459" s="7"/>
      <c r="U459" s="7"/>
      <c r="V459" s="7"/>
      <c r="W459" s="7"/>
      <c r="X459" s="7"/>
      <c r="Y459" s="7"/>
      <c r="Z459" s="7"/>
      <c r="AA459" s="7"/>
    </row>
    <row r="460">
      <c r="A460" s="54"/>
      <c r="B460" s="54"/>
      <c r="C460" s="7"/>
      <c r="D460" s="7"/>
      <c r="E460" s="7"/>
      <c r="F460" s="54"/>
      <c r="G460" s="54"/>
      <c r="H460" s="54"/>
      <c r="I460" s="54"/>
      <c r="J460" s="54"/>
      <c r="K460" s="54"/>
      <c r="L460" s="54"/>
      <c r="M460" s="54"/>
      <c r="N460" s="54"/>
      <c r="O460" s="54"/>
      <c r="P460" s="7"/>
      <c r="Q460" s="7"/>
      <c r="R460" s="7"/>
      <c r="S460" s="7"/>
      <c r="T460" s="7"/>
      <c r="U460" s="7"/>
      <c r="V460" s="7"/>
      <c r="W460" s="7"/>
      <c r="X460" s="7"/>
      <c r="Y460" s="7"/>
      <c r="Z460" s="7"/>
      <c r="AA460" s="7"/>
    </row>
    <row r="461">
      <c r="A461" s="54"/>
      <c r="B461" s="54"/>
      <c r="C461" s="7"/>
      <c r="D461" s="7"/>
      <c r="E461" s="7"/>
      <c r="F461" s="54"/>
      <c r="G461" s="54"/>
      <c r="H461" s="54"/>
      <c r="I461" s="54"/>
      <c r="J461" s="54"/>
      <c r="K461" s="54"/>
      <c r="L461" s="54"/>
      <c r="M461" s="54"/>
      <c r="N461" s="54"/>
      <c r="O461" s="54"/>
      <c r="P461" s="7"/>
      <c r="Q461" s="7"/>
      <c r="R461" s="7"/>
      <c r="S461" s="7"/>
      <c r="T461" s="7"/>
      <c r="U461" s="7"/>
      <c r="V461" s="7"/>
      <c r="W461" s="7"/>
      <c r="X461" s="7"/>
      <c r="Y461" s="7"/>
      <c r="Z461" s="7"/>
      <c r="AA461" s="7"/>
    </row>
    <row r="462">
      <c r="A462" s="54"/>
      <c r="B462" s="54"/>
      <c r="C462" s="7"/>
      <c r="D462" s="7"/>
      <c r="E462" s="7"/>
      <c r="F462" s="54"/>
      <c r="G462" s="54"/>
      <c r="H462" s="54"/>
      <c r="I462" s="54"/>
      <c r="J462" s="54"/>
      <c r="K462" s="54"/>
      <c r="L462" s="54"/>
      <c r="M462" s="54"/>
      <c r="N462" s="54"/>
      <c r="O462" s="54"/>
      <c r="P462" s="7"/>
      <c r="Q462" s="7"/>
      <c r="R462" s="7"/>
      <c r="S462" s="7"/>
      <c r="T462" s="7"/>
      <c r="U462" s="7"/>
      <c r="V462" s="7"/>
      <c r="W462" s="7"/>
      <c r="X462" s="7"/>
      <c r="Y462" s="7"/>
      <c r="Z462" s="7"/>
      <c r="AA462" s="7"/>
    </row>
    <row r="463">
      <c r="A463" s="54"/>
      <c r="B463" s="54"/>
      <c r="C463" s="7"/>
      <c r="D463" s="7"/>
      <c r="E463" s="7"/>
      <c r="F463" s="54"/>
      <c r="G463" s="54"/>
      <c r="H463" s="54"/>
      <c r="I463" s="54"/>
      <c r="J463" s="54"/>
      <c r="K463" s="54"/>
      <c r="L463" s="54"/>
      <c r="M463" s="54"/>
      <c r="N463" s="54"/>
      <c r="O463" s="54"/>
      <c r="P463" s="7"/>
      <c r="Q463" s="7"/>
      <c r="R463" s="7"/>
      <c r="S463" s="7"/>
      <c r="T463" s="7"/>
      <c r="U463" s="7"/>
      <c r="V463" s="7"/>
      <c r="W463" s="7"/>
      <c r="X463" s="7"/>
      <c r="Y463" s="7"/>
      <c r="Z463" s="7"/>
      <c r="AA463" s="7"/>
    </row>
    <row r="464">
      <c r="A464" s="54"/>
      <c r="B464" s="54"/>
      <c r="C464" s="7"/>
      <c r="D464" s="7"/>
      <c r="E464" s="7"/>
      <c r="F464" s="54"/>
      <c r="G464" s="54"/>
      <c r="H464" s="54"/>
      <c r="I464" s="54"/>
      <c r="J464" s="54"/>
      <c r="K464" s="54"/>
      <c r="L464" s="54"/>
      <c r="M464" s="54"/>
      <c r="N464" s="54"/>
      <c r="O464" s="54"/>
      <c r="P464" s="7"/>
      <c r="Q464" s="7"/>
      <c r="R464" s="7"/>
      <c r="S464" s="7"/>
      <c r="T464" s="7"/>
      <c r="U464" s="7"/>
      <c r="V464" s="7"/>
      <c r="W464" s="7"/>
      <c r="X464" s="7"/>
      <c r="Y464" s="7"/>
      <c r="Z464" s="7"/>
      <c r="AA464" s="7"/>
    </row>
    <row r="465">
      <c r="A465" s="54"/>
      <c r="B465" s="54"/>
      <c r="C465" s="7"/>
      <c r="D465" s="7"/>
      <c r="E465" s="7"/>
      <c r="F465" s="54"/>
      <c r="G465" s="54"/>
      <c r="H465" s="54"/>
      <c r="I465" s="54"/>
      <c r="J465" s="54"/>
      <c r="K465" s="54"/>
      <c r="L465" s="54"/>
      <c r="M465" s="54"/>
      <c r="N465" s="54"/>
      <c r="O465" s="54"/>
      <c r="P465" s="7"/>
      <c r="Q465" s="7"/>
      <c r="R465" s="7"/>
      <c r="S465" s="7"/>
      <c r="T465" s="7"/>
      <c r="U465" s="7"/>
      <c r="V465" s="7"/>
      <c r="W465" s="7"/>
      <c r="X465" s="7"/>
      <c r="Y465" s="7"/>
      <c r="Z465" s="7"/>
      <c r="AA465" s="7"/>
    </row>
    <row r="466">
      <c r="A466" s="54"/>
      <c r="B466" s="54"/>
      <c r="C466" s="7"/>
      <c r="D466" s="7"/>
      <c r="E466" s="7"/>
      <c r="F466" s="54"/>
      <c r="G466" s="54"/>
      <c r="H466" s="54"/>
      <c r="I466" s="54"/>
      <c r="J466" s="54"/>
      <c r="K466" s="54"/>
      <c r="L466" s="54"/>
      <c r="M466" s="54"/>
      <c r="N466" s="54"/>
      <c r="O466" s="54"/>
      <c r="P466" s="7"/>
      <c r="Q466" s="7"/>
      <c r="R466" s="7"/>
      <c r="S466" s="7"/>
      <c r="T466" s="7"/>
      <c r="U466" s="7"/>
      <c r="V466" s="7"/>
      <c r="W466" s="7"/>
      <c r="X466" s="7"/>
      <c r="Y466" s="7"/>
      <c r="Z466" s="7"/>
      <c r="AA466" s="7"/>
    </row>
    <row r="467">
      <c r="A467" s="54"/>
      <c r="B467" s="54"/>
      <c r="C467" s="7"/>
      <c r="D467" s="7"/>
      <c r="E467" s="7"/>
      <c r="F467" s="54"/>
      <c r="G467" s="54"/>
      <c r="H467" s="54"/>
      <c r="I467" s="54"/>
      <c r="J467" s="54"/>
      <c r="K467" s="54"/>
      <c r="L467" s="54"/>
      <c r="M467" s="54"/>
      <c r="N467" s="54"/>
      <c r="O467" s="54"/>
      <c r="P467" s="7"/>
      <c r="Q467" s="7"/>
      <c r="R467" s="7"/>
      <c r="S467" s="7"/>
      <c r="T467" s="7"/>
      <c r="U467" s="7"/>
      <c r="V467" s="7"/>
      <c r="W467" s="7"/>
      <c r="X467" s="7"/>
      <c r="Y467" s="7"/>
      <c r="Z467" s="7"/>
      <c r="AA467" s="7"/>
    </row>
    <row r="468">
      <c r="A468" s="54"/>
      <c r="B468" s="54"/>
      <c r="C468" s="7"/>
      <c r="D468" s="7"/>
      <c r="E468" s="7"/>
      <c r="F468" s="54"/>
      <c r="G468" s="54"/>
      <c r="H468" s="54"/>
      <c r="I468" s="54"/>
      <c r="J468" s="54"/>
      <c r="K468" s="54"/>
      <c r="L468" s="54"/>
      <c r="M468" s="54"/>
      <c r="N468" s="54"/>
      <c r="O468" s="54"/>
      <c r="P468" s="7"/>
      <c r="Q468" s="7"/>
      <c r="R468" s="7"/>
      <c r="S468" s="7"/>
      <c r="T468" s="7"/>
      <c r="U468" s="7"/>
      <c r="V468" s="7"/>
      <c r="W468" s="7"/>
      <c r="X468" s="7"/>
      <c r="Y468" s="7"/>
      <c r="Z468" s="7"/>
      <c r="AA468" s="7"/>
    </row>
    <row r="469">
      <c r="A469" s="54"/>
      <c r="B469" s="54"/>
      <c r="C469" s="7"/>
      <c r="D469" s="7"/>
      <c r="E469" s="7"/>
      <c r="F469" s="54"/>
      <c r="G469" s="54"/>
      <c r="H469" s="54"/>
      <c r="I469" s="54"/>
      <c r="J469" s="54"/>
      <c r="K469" s="54"/>
      <c r="L469" s="54"/>
      <c r="M469" s="54"/>
      <c r="N469" s="54"/>
      <c r="O469" s="54"/>
      <c r="P469" s="7"/>
      <c r="Q469" s="7"/>
      <c r="R469" s="7"/>
      <c r="S469" s="7"/>
      <c r="T469" s="7"/>
      <c r="U469" s="7"/>
      <c r="V469" s="7"/>
      <c r="W469" s="7"/>
      <c r="X469" s="7"/>
      <c r="Y469" s="7"/>
      <c r="Z469" s="7"/>
      <c r="AA469" s="7"/>
    </row>
    <row r="470">
      <c r="A470" s="54"/>
      <c r="B470" s="54"/>
      <c r="C470" s="7"/>
      <c r="D470" s="7"/>
      <c r="E470" s="7"/>
      <c r="F470" s="54"/>
      <c r="G470" s="54"/>
      <c r="H470" s="54"/>
      <c r="I470" s="54"/>
      <c r="J470" s="54"/>
      <c r="K470" s="54"/>
      <c r="L470" s="54"/>
      <c r="M470" s="54"/>
      <c r="N470" s="54"/>
      <c r="O470" s="54"/>
      <c r="P470" s="7"/>
      <c r="Q470" s="7"/>
      <c r="R470" s="7"/>
      <c r="S470" s="7"/>
      <c r="T470" s="7"/>
      <c r="U470" s="7"/>
      <c r="V470" s="7"/>
      <c r="W470" s="7"/>
      <c r="X470" s="7"/>
      <c r="Y470" s="7"/>
      <c r="Z470" s="7"/>
      <c r="AA470" s="7"/>
    </row>
    <row r="471">
      <c r="A471" s="54"/>
      <c r="B471" s="54"/>
      <c r="C471" s="7"/>
      <c r="D471" s="7"/>
      <c r="E471" s="7"/>
      <c r="F471" s="54"/>
      <c r="G471" s="54"/>
      <c r="H471" s="54"/>
      <c r="I471" s="54"/>
      <c r="J471" s="54"/>
      <c r="K471" s="54"/>
      <c r="L471" s="54"/>
      <c r="M471" s="54"/>
      <c r="N471" s="54"/>
      <c r="O471" s="54"/>
      <c r="P471" s="7"/>
      <c r="Q471" s="7"/>
      <c r="R471" s="7"/>
      <c r="S471" s="7"/>
      <c r="T471" s="7"/>
      <c r="U471" s="7"/>
      <c r="V471" s="7"/>
      <c r="W471" s="7"/>
      <c r="X471" s="7"/>
      <c r="Y471" s="7"/>
      <c r="Z471" s="7"/>
      <c r="AA471" s="7"/>
    </row>
    <row r="472">
      <c r="A472" s="54"/>
      <c r="B472" s="54"/>
      <c r="C472" s="7"/>
      <c r="D472" s="7"/>
      <c r="E472" s="7"/>
      <c r="F472" s="54"/>
      <c r="G472" s="54"/>
      <c r="H472" s="54"/>
      <c r="I472" s="54"/>
      <c r="J472" s="54"/>
      <c r="K472" s="54"/>
      <c r="L472" s="54"/>
      <c r="M472" s="54"/>
      <c r="N472" s="54"/>
      <c r="O472" s="54"/>
      <c r="P472" s="7"/>
      <c r="Q472" s="7"/>
      <c r="R472" s="7"/>
      <c r="S472" s="7"/>
      <c r="T472" s="7"/>
      <c r="U472" s="7"/>
      <c r="V472" s="7"/>
      <c r="W472" s="7"/>
      <c r="X472" s="7"/>
      <c r="Y472" s="7"/>
      <c r="Z472" s="7"/>
      <c r="AA472" s="7"/>
    </row>
    <row r="473">
      <c r="A473" s="54"/>
      <c r="B473" s="54"/>
      <c r="C473" s="7"/>
      <c r="D473" s="7"/>
      <c r="E473" s="7"/>
      <c r="F473" s="54"/>
      <c r="G473" s="54"/>
      <c r="H473" s="54"/>
      <c r="I473" s="54"/>
      <c r="J473" s="54"/>
      <c r="K473" s="54"/>
      <c r="L473" s="54"/>
      <c r="M473" s="54"/>
      <c r="N473" s="54"/>
      <c r="O473" s="54"/>
      <c r="P473" s="7"/>
      <c r="Q473" s="7"/>
      <c r="R473" s="7"/>
      <c r="S473" s="7"/>
      <c r="T473" s="7"/>
      <c r="U473" s="7"/>
      <c r="V473" s="7"/>
      <c r="W473" s="7"/>
      <c r="X473" s="7"/>
      <c r="Y473" s="7"/>
      <c r="Z473" s="7"/>
      <c r="AA473" s="7"/>
    </row>
    <row r="474">
      <c r="A474" s="54"/>
      <c r="B474" s="54"/>
      <c r="C474" s="7"/>
      <c r="D474" s="7"/>
      <c r="E474" s="7"/>
      <c r="F474" s="54"/>
      <c r="G474" s="54"/>
      <c r="H474" s="54"/>
      <c r="I474" s="54"/>
      <c r="J474" s="54"/>
      <c r="K474" s="54"/>
      <c r="L474" s="54"/>
      <c r="M474" s="54"/>
      <c r="N474" s="54"/>
      <c r="O474" s="54"/>
      <c r="P474" s="7"/>
      <c r="Q474" s="7"/>
      <c r="R474" s="7"/>
      <c r="S474" s="7"/>
      <c r="T474" s="7"/>
      <c r="U474" s="7"/>
      <c r="V474" s="7"/>
      <c r="W474" s="7"/>
      <c r="X474" s="7"/>
      <c r="Y474" s="7"/>
      <c r="Z474" s="7"/>
      <c r="AA474" s="7"/>
    </row>
    <row r="475">
      <c r="A475" s="54"/>
      <c r="B475" s="54"/>
      <c r="C475" s="7"/>
      <c r="D475" s="7"/>
      <c r="E475" s="7"/>
      <c r="F475" s="54"/>
      <c r="G475" s="54"/>
      <c r="H475" s="54"/>
      <c r="I475" s="54"/>
      <c r="J475" s="54"/>
      <c r="K475" s="54"/>
      <c r="L475" s="54"/>
      <c r="M475" s="54"/>
      <c r="N475" s="54"/>
      <c r="O475" s="54"/>
      <c r="P475" s="7"/>
      <c r="Q475" s="7"/>
      <c r="R475" s="7"/>
      <c r="S475" s="7"/>
      <c r="T475" s="7"/>
      <c r="U475" s="7"/>
      <c r="V475" s="7"/>
      <c r="W475" s="7"/>
      <c r="X475" s="7"/>
      <c r="Y475" s="7"/>
      <c r="Z475" s="7"/>
      <c r="AA475" s="7"/>
    </row>
    <row r="476">
      <c r="A476" s="54"/>
      <c r="B476" s="54"/>
      <c r="C476" s="7"/>
      <c r="D476" s="7"/>
      <c r="E476" s="7"/>
      <c r="F476" s="54"/>
      <c r="G476" s="54"/>
      <c r="H476" s="54"/>
      <c r="I476" s="54"/>
      <c r="J476" s="54"/>
      <c r="K476" s="54"/>
      <c r="L476" s="54"/>
      <c r="M476" s="54"/>
      <c r="N476" s="54"/>
      <c r="O476" s="54"/>
      <c r="P476" s="7"/>
      <c r="Q476" s="7"/>
      <c r="R476" s="7"/>
      <c r="S476" s="7"/>
      <c r="T476" s="7"/>
      <c r="U476" s="7"/>
      <c r="V476" s="7"/>
      <c r="W476" s="7"/>
      <c r="X476" s="7"/>
      <c r="Y476" s="7"/>
      <c r="Z476" s="7"/>
      <c r="AA476" s="7"/>
    </row>
    <row r="477">
      <c r="A477" s="54"/>
      <c r="B477" s="54"/>
      <c r="C477" s="7"/>
      <c r="D477" s="7"/>
      <c r="E477" s="7"/>
      <c r="F477" s="54"/>
      <c r="G477" s="54"/>
      <c r="H477" s="54"/>
      <c r="I477" s="54"/>
      <c r="J477" s="54"/>
      <c r="K477" s="54"/>
      <c r="L477" s="54"/>
      <c r="M477" s="54"/>
      <c r="N477" s="54"/>
      <c r="O477" s="54"/>
      <c r="P477" s="7"/>
      <c r="Q477" s="7"/>
      <c r="R477" s="7"/>
      <c r="S477" s="7"/>
      <c r="T477" s="7"/>
      <c r="U477" s="7"/>
      <c r="V477" s="7"/>
      <c r="W477" s="7"/>
      <c r="X477" s="7"/>
      <c r="Y477" s="7"/>
      <c r="Z477" s="7"/>
      <c r="AA477" s="7"/>
    </row>
    <row r="478">
      <c r="A478" s="54"/>
      <c r="B478" s="54"/>
      <c r="C478" s="7"/>
      <c r="D478" s="7"/>
      <c r="E478" s="7"/>
      <c r="F478" s="54"/>
      <c r="G478" s="54"/>
      <c r="H478" s="54"/>
      <c r="I478" s="54"/>
      <c r="J478" s="54"/>
      <c r="K478" s="54"/>
      <c r="L478" s="54"/>
      <c r="M478" s="54"/>
      <c r="N478" s="54"/>
      <c r="O478" s="54"/>
      <c r="P478" s="7"/>
      <c r="Q478" s="7"/>
      <c r="R478" s="7"/>
      <c r="S478" s="7"/>
      <c r="T478" s="7"/>
      <c r="U478" s="7"/>
      <c r="V478" s="7"/>
      <c r="W478" s="7"/>
      <c r="X478" s="7"/>
      <c r="Y478" s="7"/>
      <c r="Z478" s="7"/>
      <c r="AA478" s="7"/>
    </row>
    <row r="479">
      <c r="A479" s="54"/>
      <c r="B479" s="54"/>
      <c r="C479" s="7"/>
      <c r="D479" s="7"/>
      <c r="E479" s="7"/>
      <c r="F479" s="54"/>
      <c r="G479" s="54"/>
      <c r="H479" s="54"/>
      <c r="I479" s="54"/>
      <c r="J479" s="54"/>
      <c r="K479" s="54"/>
      <c r="L479" s="54"/>
      <c r="M479" s="54"/>
      <c r="N479" s="54"/>
      <c r="O479" s="54"/>
      <c r="P479" s="7"/>
      <c r="Q479" s="7"/>
      <c r="R479" s="7"/>
      <c r="S479" s="7"/>
      <c r="T479" s="7"/>
      <c r="U479" s="7"/>
      <c r="V479" s="7"/>
      <c r="W479" s="7"/>
      <c r="X479" s="7"/>
      <c r="Y479" s="7"/>
      <c r="Z479" s="7"/>
      <c r="AA479" s="7"/>
    </row>
    <row r="480">
      <c r="A480" s="54"/>
      <c r="B480" s="54"/>
      <c r="C480" s="7"/>
      <c r="D480" s="7"/>
      <c r="E480" s="7"/>
      <c r="F480" s="54"/>
      <c r="G480" s="54"/>
      <c r="H480" s="54"/>
      <c r="I480" s="54"/>
      <c r="J480" s="54"/>
      <c r="K480" s="54"/>
      <c r="L480" s="54"/>
      <c r="M480" s="54"/>
      <c r="N480" s="54"/>
      <c r="O480" s="54"/>
      <c r="P480" s="7"/>
      <c r="Q480" s="7"/>
      <c r="R480" s="7"/>
      <c r="S480" s="7"/>
      <c r="T480" s="7"/>
      <c r="U480" s="7"/>
      <c r="V480" s="7"/>
      <c r="W480" s="7"/>
      <c r="X480" s="7"/>
      <c r="Y480" s="7"/>
      <c r="Z480" s="7"/>
      <c r="AA480" s="7"/>
    </row>
    <row r="481">
      <c r="A481" s="54"/>
      <c r="B481" s="54"/>
      <c r="C481" s="7"/>
      <c r="D481" s="7"/>
      <c r="E481" s="7"/>
      <c r="F481" s="54"/>
      <c r="G481" s="54"/>
      <c r="H481" s="54"/>
      <c r="I481" s="54"/>
      <c r="J481" s="54"/>
      <c r="K481" s="54"/>
      <c r="L481" s="54"/>
      <c r="M481" s="54"/>
      <c r="N481" s="54"/>
      <c r="O481" s="54"/>
      <c r="P481" s="7"/>
      <c r="Q481" s="7"/>
      <c r="R481" s="7"/>
      <c r="S481" s="7"/>
      <c r="T481" s="7"/>
      <c r="U481" s="7"/>
      <c r="V481" s="7"/>
      <c r="W481" s="7"/>
      <c r="X481" s="7"/>
      <c r="Y481" s="7"/>
      <c r="Z481" s="7"/>
      <c r="AA481" s="7"/>
    </row>
    <row r="482">
      <c r="A482" s="54"/>
      <c r="B482" s="54"/>
      <c r="C482" s="7"/>
      <c r="D482" s="7"/>
      <c r="E482" s="7"/>
      <c r="F482" s="54"/>
      <c r="G482" s="54"/>
      <c r="H482" s="54"/>
      <c r="I482" s="54"/>
      <c r="J482" s="54"/>
      <c r="K482" s="54"/>
      <c r="L482" s="54"/>
      <c r="M482" s="54"/>
      <c r="N482" s="54"/>
      <c r="O482" s="54"/>
      <c r="P482" s="7"/>
      <c r="Q482" s="7"/>
      <c r="R482" s="7"/>
      <c r="S482" s="7"/>
      <c r="T482" s="7"/>
      <c r="U482" s="7"/>
      <c r="V482" s="7"/>
      <c r="W482" s="7"/>
      <c r="X482" s="7"/>
      <c r="Y482" s="7"/>
      <c r="Z482" s="7"/>
      <c r="AA482" s="7"/>
    </row>
    <row r="483">
      <c r="A483" s="54"/>
      <c r="B483" s="54"/>
      <c r="C483" s="7"/>
      <c r="D483" s="7"/>
      <c r="E483" s="7"/>
      <c r="F483" s="54"/>
      <c r="G483" s="54"/>
      <c r="H483" s="54"/>
      <c r="I483" s="54"/>
      <c r="J483" s="54"/>
      <c r="K483" s="54"/>
      <c r="L483" s="54"/>
      <c r="M483" s="54"/>
      <c r="N483" s="54"/>
      <c r="O483" s="54"/>
      <c r="P483" s="7"/>
      <c r="Q483" s="7"/>
      <c r="R483" s="7"/>
      <c r="S483" s="7"/>
      <c r="T483" s="7"/>
      <c r="U483" s="7"/>
      <c r="V483" s="7"/>
      <c r="W483" s="7"/>
      <c r="X483" s="7"/>
      <c r="Y483" s="7"/>
      <c r="Z483" s="7"/>
      <c r="AA483" s="7"/>
    </row>
    <row r="484">
      <c r="A484" s="54"/>
      <c r="B484" s="54"/>
      <c r="C484" s="7"/>
      <c r="D484" s="7"/>
      <c r="E484" s="7"/>
      <c r="F484" s="54"/>
      <c r="G484" s="54"/>
      <c r="H484" s="54"/>
      <c r="I484" s="54"/>
      <c r="J484" s="54"/>
      <c r="K484" s="54"/>
      <c r="L484" s="54"/>
      <c r="M484" s="54"/>
      <c r="N484" s="54"/>
      <c r="O484" s="54"/>
      <c r="P484" s="7"/>
      <c r="Q484" s="7"/>
      <c r="R484" s="7"/>
      <c r="S484" s="7"/>
      <c r="T484" s="7"/>
      <c r="U484" s="7"/>
      <c r="V484" s="7"/>
      <c r="W484" s="7"/>
      <c r="X484" s="7"/>
      <c r="Y484" s="7"/>
      <c r="Z484" s="7"/>
      <c r="AA484" s="7"/>
    </row>
    <row r="485">
      <c r="A485" s="54"/>
      <c r="B485" s="54"/>
      <c r="C485" s="7"/>
      <c r="D485" s="7"/>
      <c r="E485" s="7"/>
      <c r="F485" s="54"/>
      <c r="G485" s="54"/>
      <c r="H485" s="54"/>
      <c r="I485" s="54"/>
      <c r="J485" s="54"/>
      <c r="K485" s="54"/>
      <c r="L485" s="54"/>
      <c r="M485" s="54"/>
      <c r="N485" s="54"/>
      <c r="O485" s="54"/>
      <c r="P485" s="7"/>
      <c r="Q485" s="7"/>
      <c r="R485" s="7"/>
      <c r="S485" s="7"/>
      <c r="T485" s="7"/>
      <c r="U485" s="7"/>
      <c r="V485" s="7"/>
      <c r="W485" s="7"/>
      <c r="X485" s="7"/>
      <c r="Y485" s="7"/>
      <c r="Z485" s="7"/>
      <c r="AA485" s="7"/>
    </row>
    <row r="486">
      <c r="A486" s="54"/>
      <c r="B486" s="54"/>
      <c r="C486" s="7"/>
      <c r="D486" s="7"/>
      <c r="E486" s="7"/>
      <c r="F486" s="54"/>
      <c r="G486" s="54"/>
      <c r="H486" s="54"/>
      <c r="I486" s="54"/>
      <c r="J486" s="54"/>
      <c r="K486" s="54"/>
      <c r="L486" s="54"/>
      <c r="M486" s="54"/>
      <c r="N486" s="54"/>
      <c r="O486" s="54"/>
      <c r="P486" s="7"/>
      <c r="Q486" s="7"/>
      <c r="R486" s="7"/>
      <c r="S486" s="7"/>
      <c r="T486" s="7"/>
      <c r="U486" s="7"/>
      <c r="V486" s="7"/>
      <c r="W486" s="7"/>
      <c r="X486" s="7"/>
      <c r="Y486" s="7"/>
      <c r="Z486" s="7"/>
      <c r="AA486" s="7"/>
    </row>
    <row r="487">
      <c r="A487" s="54"/>
      <c r="B487" s="54"/>
      <c r="C487" s="7"/>
      <c r="D487" s="7"/>
      <c r="E487" s="7"/>
      <c r="F487" s="54"/>
      <c r="G487" s="54"/>
      <c r="H487" s="54"/>
      <c r="I487" s="54"/>
      <c r="J487" s="54"/>
      <c r="K487" s="54"/>
      <c r="L487" s="54"/>
      <c r="M487" s="54"/>
      <c r="N487" s="54"/>
      <c r="O487" s="54"/>
      <c r="P487" s="7"/>
      <c r="Q487" s="7"/>
      <c r="R487" s="7"/>
      <c r="S487" s="7"/>
      <c r="T487" s="7"/>
      <c r="U487" s="7"/>
      <c r="V487" s="7"/>
      <c r="W487" s="7"/>
      <c r="X487" s="7"/>
      <c r="Y487" s="7"/>
      <c r="Z487" s="7"/>
      <c r="AA487" s="7"/>
    </row>
    <row r="488">
      <c r="A488" s="54"/>
      <c r="B488" s="54"/>
      <c r="C488" s="7"/>
      <c r="D488" s="7"/>
      <c r="E488" s="7"/>
      <c r="F488" s="54"/>
      <c r="G488" s="54"/>
      <c r="H488" s="54"/>
      <c r="I488" s="54"/>
      <c r="J488" s="54"/>
      <c r="K488" s="54"/>
      <c r="L488" s="54"/>
      <c r="M488" s="54"/>
      <c r="N488" s="54"/>
      <c r="O488" s="54"/>
      <c r="P488" s="7"/>
      <c r="Q488" s="7"/>
      <c r="R488" s="7"/>
      <c r="S488" s="7"/>
      <c r="T488" s="7"/>
      <c r="U488" s="7"/>
      <c r="V488" s="7"/>
      <c r="W488" s="7"/>
      <c r="X488" s="7"/>
      <c r="Y488" s="7"/>
      <c r="Z488" s="7"/>
      <c r="AA488" s="7"/>
    </row>
    <row r="489">
      <c r="A489" s="54"/>
      <c r="B489" s="54"/>
      <c r="C489" s="7"/>
      <c r="D489" s="7"/>
      <c r="E489" s="7"/>
      <c r="F489" s="54"/>
      <c r="G489" s="54"/>
      <c r="H489" s="54"/>
      <c r="I489" s="54"/>
      <c r="J489" s="54"/>
      <c r="K489" s="54"/>
      <c r="L489" s="54"/>
      <c r="M489" s="54"/>
      <c r="N489" s="54"/>
      <c r="O489" s="54"/>
      <c r="P489" s="7"/>
      <c r="Q489" s="7"/>
      <c r="R489" s="7"/>
      <c r="S489" s="7"/>
      <c r="T489" s="7"/>
      <c r="U489" s="7"/>
      <c r="V489" s="7"/>
      <c r="W489" s="7"/>
      <c r="X489" s="7"/>
      <c r="Y489" s="7"/>
      <c r="Z489" s="7"/>
      <c r="AA489" s="7"/>
    </row>
    <row r="490">
      <c r="A490" s="54"/>
      <c r="B490" s="54"/>
      <c r="C490" s="7"/>
      <c r="D490" s="7"/>
      <c r="E490" s="7"/>
      <c r="F490" s="54"/>
      <c r="G490" s="54"/>
      <c r="H490" s="54"/>
      <c r="I490" s="54"/>
      <c r="J490" s="54"/>
      <c r="K490" s="54"/>
      <c r="L490" s="54"/>
      <c r="M490" s="54"/>
      <c r="N490" s="54"/>
      <c r="O490" s="54"/>
      <c r="P490" s="7"/>
      <c r="Q490" s="7"/>
      <c r="R490" s="7"/>
      <c r="S490" s="7"/>
      <c r="T490" s="7"/>
      <c r="U490" s="7"/>
      <c r="V490" s="7"/>
      <c r="W490" s="7"/>
      <c r="X490" s="7"/>
      <c r="Y490" s="7"/>
      <c r="Z490" s="7"/>
      <c r="AA490" s="7"/>
    </row>
    <row r="491">
      <c r="A491" s="54"/>
      <c r="B491" s="54"/>
      <c r="C491" s="7"/>
      <c r="D491" s="7"/>
      <c r="E491" s="7"/>
      <c r="F491" s="54"/>
      <c r="G491" s="54"/>
      <c r="H491" s="54"/>
      <c r="I491" s="54"/>
      <c r="J491" s="54"/>
      <c r="K491" s="54"/>
      <c r="L491" s="54"/>
      <c r="M491" s="54"/>
      <c r="N491" s="54"/>
      <c r="O491" s="54"/>
      <c r="P491" s="7"/>
      <c r="Q491" s="7"/>
      <c r="R491" s="7"/>
      <c r="S491" s="7"/>
      <c r="T491" s="7"/>
      <c r="U491" s="7"/>
      <c r="V491" s="7"/>
      <c r="W491" s="7"/>
      <c r="X491" s="7"/>
      <c r="Y491" s="7"/>
      <c r="Z491" s="7"/>
      <c r="AA491" s="7"/>
    </row>
    <row r="492">
      <c r="A492" s="54"/>
      <c r="B492" s="54"/>
      <c r="C492" s="7"/>
      <c r="D492" s="7"/>
      <c r="E492" s="7"/>
      <c r="F492" s="54"/>
      <c r="G492" s="54"/>
      <c r="H492" s="54"/>
      <c r="I492" s="54"/>
      <c r="J492" s="54"/>
      <c r="K492" s="54"/>
      <c r="L492" s="54"/>
      <c r="M492" s="54"/>
      <c r="N492" s="54"/>
      <c r="O492" s="54"/>
      <c r="P492" s="7"/>
      <c r="Q492" s="7"/>
      <c r="R492" s="7"/>
      <c r="S492" s="7"/>
      <c r="T492" s="7"/>
      <c r="U492" s="7"/>
      <c r="V492" s="7"/>
      <c r="W492" s="7"/>
      <c r="X492" s="7"/>
      <c r="Y492" s="7"/>
      <c r="Z492" s="7"/>
      <c r="AA492" s="7"/>
    </row>
    <row r="493">
      <c r="A493" s="54"/>
      <c r="B493" s="54"/>
      <c r="C493" s="7"/>
      <c r="D493" s="7"/>
      <c r="E493" s="7"/>
      <c r="F493" s="54"/>
      <c r="G493" s="54"/>
      <c r="H493" s="54"/>
      <c r="I493" s="54"/>
      <c r="J493" s="54"/>
      <c r="K493" s="54"/>
      <c r="L493" s="54"/>
      <c r="M493" s="54"/>
      <c r="N493" s="54"/>
      <c r="O493" s="54"/>
      <c r="P493" s="7"/>
      <c r="Q493" s="7"/>
      <c r="R493" s="7"/>
      <c r="S493" s="7"/>
      <c r="T493" s="7"/>
      <c r="U493" s="7"/>
      <c r="V493" s="7"/>
      <c r="W493" s="7"/>
      <c r="X493" s="7"/>
      <c r="Y493" s="7"/>
      <c r="Z493" s="7"/>
      <c r="AA493" s="7"/>
    </row>
    <row r="494">
      <c r="A494" s="54"/>
      <c r="B494" s="54"/>
      <c r="C494" s="7"/>
      <c r="D494" s="7"/>
      <c r="E494" s="7"/>
      <c r="F494" s="54"/>
      <c r="G494" s="54"/>
      <c r="H494" s="54"/>
      <c r="I494" s="54"/>
      <c r="J494" s="54"/>
      <c r="K494" s="54"/>
      <c r="L494" s="54"/>
      <c r="M494" s="54"/>
      <c r="N494" s="54"/>
      <c r="O494" s="54"/>
      <c r="P494" s="7"/>
      <c r="Q494" s="7"/>
      <c r="R494" s="7"/>
      <c r="S494" s="7"/>
      <c r="T494" s="7"/>
      <c r="U494" s="7"/>
      <c r="V494" s="7"/>
      <c r="W494" s="7"/>
      <c r="X494" s="7"/>
      <c r="Y494" s="7"/>
      <c r="Z494" s="7"/>
      <c r="AA494" s="7"/>
    </row>
    <row r="495">
      <c r="A495" s="54"/>
      <c r="B495" s="54"/>
      <c r="C495" s="7"/>
      <c r="D495" s="7"/>
      <c r="E495" s="7"/>
      <c r="F495" s="54"/>
      <c r="G495" s="54"/>
      <c r="H495" s="54"/>
      <c r="I495" s="54"/>
      <c r="J495" s="54"/>
      <c r="K495" s="54"/>
      <c r="L495" s="54"/>
      <c r="M495" s="54"/>
      <c r="N495" s="54"/>
      <c r="O495" s="54"/>
      <c r="P495" s="7"/>
      <c r="Q495" s="7"/>
      <c r="R495" s="7"/>
      <c r="S495" s="7"/>
      <c r="T495" s="7"/>
      <c r="U495" s="7"/>
      <c r="V495" s="7"/>
      <c r="W495" s="7"/>
      <c r="X495" s="7"/>
      <c r="Y495" s="7"/>
      <c r="Z495" s="7"/>
      <c r="AA495" s="7"/>
    </row>
    <row r="496">
      <c r="A496" s="54"/>
      <c r="B496" s="54"/>
      <c r="C496" s="7"/>
      <c r="D496" s="7"/>
      <c r="E496" s="7"/>
      <c r="F496" s="54"/>
      <c r="G496" s="54"/>
      <c r="H496" s="54"/>
      <c r="I496" s="54"/>
      <c r="J496" s="54"/>
      <c r="K496" s="54"/>
      <c r="L496" s="54"/>
      <c r="M496" s="54"/>
      <c r="N496" s="54"/>
      <c r="O496" s="54"/>
      <c r="P496" s="7"/>
      <c r="Q496" s="7"/>
      <c r="R496" s="7"/>
      <c r="S496" s="7"/>
      <c r="T496" s="7"/>
      <c r="U496" s="7"/>
      <c r="V496" s="7"/>
      <c r="W496" s="7"/>
      <c r="X496" s="7"/>
      <c r="Y496" s="7"/>
      <c r="Z496" s="7"/>
      <c r="AA496" s="7"/>
    </row>
    <row r="497">
      <c r="A497" s="54"/>
      <c r="B497" s="54"/>
      <c r="C497" s="7"/>
      <c r="D497" s="7"/>
      <c r="E497" s="7"/>
      <c r="F497" s="54"/>
      <c r="G497" s="54"/>
      <c r="H497" s="54"/>
      <c r="I497" s="54"/>
      <c r="J497" s="54"/>
      <c r="K497" s="54"/>
      <c r="L497" s="54"/>
      <c r="M497" s="54"/>
      <c r="N497" s="54"/>
      <c r="O497" s="54"/>
      <c r="P497" s="7"/>
      <c r="Q497" s="7"/>
      <c r="R497" s="7"/>
      <c r="S497" s="7"/>
      <c r="T497" s="7"/>
      <c r="U497" s="7"/>
      <c r="V497" s="7"/>
      <c r="W497" s="7"/>
      <c r="X497" s="7"/>
      <c r="Y497" s="7"/>
      <c r="Z497" s="7"/>
      <c r="AA497" s="7"/>
    </row>
    <row r="498">
      <c r="A498" s="54"/>
      <c r="B498" s="54"/>
      <c r="C498" s="7"/>
      <c r="D498" s="7"/>
      <c r="E498" s="7"/>
      <c r="F498" s="54"/>
      <c r="G498" s="54"/>
      <c r="H498" s="54"/>
      <c r="I498" s="54"/>
      <c r="J498" s="54"/>
      <c r="K498" s="54"/>
      <c r="L498" s="54"/>
      <c r="M498" s="54"/>
      <c r="N498" s="54"/>
      <c r="O498" s="54"/>
      <c r="P498" s="7"/>
      <c r="Q498" s="7"/>
      <c r="R498" s="7"/>
      <c r="S498" s="7"/>
      <c r="T498" s="7"/>
      <c r="U498" s="7"/>
      <c r="V498" s="7"/>
      <c r="W498" s="7"/>
      <c r="X498" s="7"/>
      <c r="Y498" s="7"/>
      <c r="Z498" s="7"/>
      <c r="AA498" s="7"/>
    </row>
    <row r="499">
      <c r="A499" s="54"/>
      <c r="B499" s="54"/>
      <c r="C499" s="7"/>
      <c r="D499" s="7"/>
      <c r="E499" s="7"/>
      <c r="F499" s="54"/>
      <c r="G499" s="54"/>
      <c r="H499" s="54"/>
      <c r="I499" s="54"/>
      <c r="J499" s="54"/>
      <c r="K499" s="54"/>
      <c r="L499" s="54"/>
      <c r="M499" s="54"/>
      <c r="N499" s="54"/>
      <c r="O499" s="54"/>
      <c r="P499" s="7"/>
      <c r="Q499" s="7"/>
      <c r="R499" s="7"/>
      <c r="S499" s="7"/>
      <c r="T499" s="7"/>
      <c r="U499" s="7"/>
      <c r="V499" s="7"/>
      <c r="W499" s="7"/>
      <c r="X499" s="7"/>
      <c r="Y499" s="7"/>
      <c r="Z499" s="7"/>
      <c r="AA499" s="7"/>
    </row>
    <row r="500">
      <c r="A500" s="54"/>
      <c r="B500" s="54"/>
      <c r="C500" s="7"/>
      <c r="D500" s="7"/>
      <c r="E500" s="7"/>
      <c r="F500" s="54"/>
      <c r="G500" s="54"/>
      <c r="H500" s="54"/>
      <c r="I500" s="54"/>
      <c r="J500" s="54"/>
      <c r="K500" s="54"/>
      <c r="L500" s="54"/>
      <c r="M500" s="54"/>
      <c r="N500" s="54"/>
      <c r="O500" s="54"/>
      <c r="P500" s="7"/>
      <c r="Q500" s="7"/>
      <c r="R500" s="7"/>
      <c r="S500" s="7"/>
      <c r="T500" s="7"/>
      <c r="U500" s="7"/>
      <c r="V500" s="7"/>
      <c r="W500" s="7"/>
      <c r="X500" s="7"/>
      <c r="Y500" s="7"/>
      <c r="Z500" s="7"/>
      <c r="AA500" s="7"/>
    </row>
    <row r="501">
      <c r="A501" s="54"/>
      <c r="B501" s="54"/>
      <c r="C501" s="7"/>
      <c r="D501" s="7"/>
      <c r="E501" s="7"/>
      <c r="F501" s="54"/>
      <c r="G501" s="54"/>
      <c r="H501" s="54"/>
      <c r="I501" s="54"/>
      <c r="J501" s="54"/>
      <c r="K501" s="54"/>
      <c r="L501" s="54"/>
      <c r="M501" s="54"/>
      <c r="N501" s="54"/>
      <c r="O501" s="54"/>
      <c r="P501" s="7"/>
      <c r="Q501" s="7"/>
      <c r="R501" s="7"/>
      <c r="S501" s="7"/>
      <c r="T501" s="7"/>
      <c r="U501" s="7"/>
      <c r="V501" s="7"/>
      <c r="W501" s="7"/>
      <c r="X501" s="7"/>
      <c r="Y501" s="7"/>
      <c r="Z501" s="7"/>
      <c r="AA501" s="7"/>
    </row>
    <row r="502">
      <c r="A502" s="54"/>
      <c r="B502" s="54"/>
      <c r="C502" s="7"/>
      <c r="D502" s="7"/>
      <c r="E502" s="7"/>
      <c r="F502" s="54"/>
      <c r="G502" s="54"/>
      <c r="H502" s="54"/>
      <c r="I502" s="54"/>
      <c r="J502" s="54"/>
      <c r="K502" s="54"/>
      <c r="L502" s="54"/>
      <c r="M502" s="54"/>
      <c r="N502" s="54"/>
      <c r="O502" s="54"/>
      <c r="P502" s="7"/>
      <c r="Q502" s="7"/>
      <c r="R502" s="7"/>
      <c r="S502" s="7"/>
      <c r="T502" s="7"/>
      <c r="U502" s="7"/>
      <c r="V502" s="7"/>
      <c r="W502" s="7"/>
      <c r="X502" s="7"/>
      <c r="Y502" s="7"/>
      <c r="Z502" s="7"/>
      <c r="AA502" s="7"/>
    </row>
    <row r="503">
      <c r="A503" s="54"/>
      <c r="B503" s="54"/>
      <c r="C503" s="7"/>
      <c r="D503" s="7"/>
      <c r="E503" s="7"/>
      <c r="F503" s="54"/>
      <c r="G503" s="54"/>
      <c r="H503" s="54"/>
      <c r="I503" s="54"/>
      <c r="J503" s="54"/>
      <c r="K503" s="54"/>
      <c r="L503" s="54"/>
      <c r="M503" s="54"/>
      <c r="N503" s="54"/>
      <c r="O503" s="54"/>
      <c r="P503" s="7"/>
      <c r="Q503" s="7"/>
      <c r="R503" s="7"/>
      <c r="S503" s="7"/>
      <c r="T503" s="7"/>
      <c r="U503" s="7"/>
      <c r="V503" s="7"/>
      <c r="W503" s="7"/>
      <c r="X503" s="7"/>
      <c r="Y503" s="7"/>
      <c r="Z503" s="7"/>
      <c r="AA503" s="7"/>
    </row>
    <row r="504">
      <c r="A504" s="54"/>
      <c r="B504" s="54"/>
      <c r="C504" s="7"/>
      <c r="D504" s="7"/>
      <c r="E504" s="7"/>
      <c r="F504" s="54"/>
      <c r="G504" s="54"/>
      <c r="H504" s="54"/>
      <c r="I504" s="54"/>
      <c r="J504" s="54"/>
      <c r="K504" s="54"/>
      <c r="L504" s="54"/>
      <c r="M504" s="54"/>
      <c r="N504" s="54"/>
      <c r="O504" s="54"/>
      <c r="P504" s="7"/>
      <c r="Q504" s="7"/>
      <c r="R504" s="7"/>
      <c r="S504" s="7"/>
      <c r="T504" s="7"/>
      <c r="U504" s="7"/>
      <c r="V504" s="7"/>
      <c r="W504" s="7"/>
      <c r="X504" s="7"/>
      <c r="Y504" s="7"/>
      <c r="Z504" s="7"/>
      <c r="AA504" s="7"/>
    </row>
    <row r="505">
      <c r="A505" s="54"/>
      <c r="B505" s="54"/>
      <c r="C505" s="7"/>
      <c r="D505" s="7"/>
      <c r="E505" s="7"/>
      <c r="F505" s="54"/>
      <c r="G505" s="54"/>
      <c r="H505" s="54"/>
      <c r="I505" s="54"/>
      <c r="J505" s="54"/>
      <c r="K505" s="54"/>
      <c r="L505" s="54"/>
      <c r="M505" s="54"/>
      <c r="N505" s="54"/>
      <c r="O505" s="54"/>
      <c r="P505" s="7"/>
      <c r="Q505" s="7"/>
      <c r="R505" s="7"/>
      <c r="S505" s="7"/>
      <c r="T505" s="7"/>
      <c r="U505" s="7"/>
      <c r="V505" s="7"/>
      <c r="W505" s="7"/>
      <c r="X505" s="7"/>
      <c r="Y505" s="7"/>
      <c r="Z505" s="7"/>
      <c r="AA505" s="7"/>
    </row>
    <row r="506">
      <c r="A506" s="54"/>
      <c r="B506" s="54"/>
      <c r="C506" s="7"/>
      <c r="D506" s="7"/>
      <c r="E506" s="7"/>
      <c r="F506" s="54"/>
      <c r="G506" s="54"/>
      <c r="H506" s="54"/>
      <c r="I506" s="54"/>
      <c r="J506" s="54"/>
      <c r="K506" s="54"/>
      <c r="L506" s="54"/>
      <c r="M506" s="54"/>
      <c r="N506" s="54"/>
      <c r="O506" s="54"/>
      <c r="P506" s="7"/>
      <c r="Q506" s="7"/>
      <c r="R506" s="7"/>
      <c r="S506" s="7"/>
      <c r="T506" s="7"/>
      <c r="U506" s="7"/>
      <c r="V506" s="7"/>
      <c r="W506" s="7"/>
      <c r="X506" s="7"/>
      <c r="Y506" s="7"/>
      <c r="Z506" s="7"/>
      <c r="AA506" s="7"/>
    </row>
    <row r="507">
      <c r="A507" s="54"/>
      <c r="B507" s="54"/>
      <c r="C507" s="7"/>
      <c r="D507" s="7"/>
      <c r="E507" s="7"/>
      <c r="F507" s="54"/>
      <c r="G507" s="54"/>
      <c r="H507" s="54"/>
      <c r="I507" s="54"/>
      <c r="J507" s="54"/>
      <c r="K507" s="54"/>
      <c r="L507" s="54"/>
      <c r="M507" s="54"/>
      <c r="N507" s="54"/>
      <c r="O507" s="54"/>
      <c r="P507" s="7"/>
      <c r="Q507" s="7"/>
      <c r="R507" s="7"/>
      <c r="S507" s="7"/>
      <c r="T507" s="7"/>
      <c r="U507" s="7"/>
      <c r="V507" s="7"/>
      <c r="W507" s="7"/>
      <c r="X507" s="7"/>
      <c r="Y507" s="7"/>
      <c r="Z507" s="7"/>
      <c r="AA507" s="7"/>
    </row>
    <row r="508">
      <c r="A508" s="54"/>
      <c r="B508" s="54"/>
      <c r="C508" s="7"/>
      <c r="D508" s="7"/>
      <c r="E508" s="7"/>
      <c r="F508" s="54"/>
      <c r="G508" s="54"/>
      <c r="H508" s="54"/>
      <c r="I508" s="54"/>
      <c r="J508" s="54"/>
      <c r="K508" s="54"/>
      <c r="L508" s="54"/>
      <c r="M508" s="54"/>
      <c r="N508" s="54"/>
      <c r="O508" s="54"/>
      <c r="P508" s="7"/>
      <c r="Q508" s="7"/>
      <c r="R508" s="7"/>
      <c r="S508" s="7"/>
      <c r="T508" s="7"/>
      <c r="U508" s="7"/>
      <c r="V508" s="7"/>
      <c r="W508" s="7"/>
      <c r="X508" s="7"/>
      <c r="Y508" s="7"/>
      <c r="Z508" s="7"/>
      <c r="AA508" s="7"/>
    </row>
    <row r="509">
      <c r="A509" s="54"/>
      <c r="B509" s="54"/>
      <c r="C509" s="7"/>
      <c r="D509" s="7"/>
      <c r="E509" s="7"/>
      <c r="F509" s="54"/>
      <c r="G509" s="54"/>
      <c r="H509" s="54"/>
      <c r="I509" s="54"/>
      <c r="J509" s="54"/>
      <c r="K509" s="54"/>
      <c r="L509" s="54"/>
      <c r="M509" s="54"/>
      <c r="N509" s="54"/>
      <c r="O509" s="54"/>
      <c r="P509" s="7"/>
      <c r="Q509" s="7"/>
      <c r="R509" s="7"/>
      <c r="S509" s="7"/>
      <c r="T509" s="7"/>
      <c r="U509" s="7"/>
      <c r="V509" s="7"/>
      <c r="W509" s="7"/>
      <c r="X509" s="7"/>
      <c r="Y509" s="7"/>
      <c r="Z509" s="7"/>
      <c r="AA509" s="7"/>
    </row>
    <row r="510">
      <c r="A510" s="54"/>
      <c r="B510" s="54"/>
      <c r="C510" s="7"/>
      <c r="D510" s="7"/>
      <c r="E510" s="7"/>
      <c r="F510" s="54"/>
      <c r="G510" s="54"/>
      <c r="H510" s="54"/>
      <c r="I510" s="54"/>
      <c r="J510" s="54"/>
      <c r="K510" s="54"/>
      <c r="L510" s="54"/>
      <c r="M510" s="54"/>
      <c r="N510" s="54"/>
      <c r="O510" s="54"/>
      <c r="P510" s="7"/>
      <c r="Q510" s="7"/>
      <c r="R510" s="7"/>
      <c r="S510" s="7"/>
      <c r="T510" s="7"/>
      <c r="U510" s="7"/>
      <c r="V510" s="7"/>
      <c r="W510" s="7"/>
      <c r="X510" s="7"/>
      <c r="Y510" s="7"/>
      <c r="Z510" s="7"/>
      <c r="AA510" s="7"/>
    </row>
    <row r="511">
      <c r="A511" s="54"/>
      <c r="B511" s="54"/>
      <c r="C511" s="7"/>
      <c r="D511" s="7"/>
      <c r="E511" s="7"/>
      <c r="F511" s="54"/>
      <c r="G511" s="54"/>
      <c r="H511" s="54"/>
      <c r="I511" s="54"/>
      <c r="J511" s="54"/>
      <c r="K511" s="54"/>
      <c r="L511" s="54"/>
      <c r="M511" s="54"/>
      <c r="N511" s="54"/>
      <c r="O511" s="54"/>
      <c r="P511" s="7"/>
      <c r="Q511" s="7"/>
      <c r="R511" s="7"/>
      <c r="S511" s="7"/>
      <c r="T511" s="7"/>
      <c r="U511" s="7"/>
      <c r="V511" s="7"/>
      <c r="W511" s="7"/>
      <c r="X511" s="7"/>
      <c r="Y511" s="7"/>
      <c r="Z511" s="7"/>
      <c r="AA511" s="7"/>
    </row>
    <row r="512">
      <c r="A512" s="54"/>
      <c r="B512" s="54"/>
      <c r="C512" s="7"/>
      <c r="D512" s="7"/>
      <c r="E512" s="7"/>
      <c r="F512" s="54"/>
      <c r="G512" s="54"/>
      <c r="H512" s="54"/>
      <c r="I512" s="54"/>
      <c r="J512" s="54"/>
      <c r="K512" s="54"/>
      <c r="L512" s="54"/>
      <c r="M512" s="54"/>
      <c r="N512" s="54"/>
      <c r="O512" s="54"/>
      <c r="P512" s="7"/>
      <c r="Q512" s="7"/>
      <c r="R512" s="7"/>
      <c r="S512" s="7"/>
      <c r="T512" s="7"/>
      <c r="U512" s="7"/>
      <c r="V512" s="7"/>
      <c r="W512" s="7"/>
      <c r="X512" s="7"/>
      <c r="Y512" s="7"/>
      <c r="Z512" s="7"/>
      <c r="AA512" s="7"/>
    </row>
    <row r="513">
      <c r="A513" s="54"/>
      <c r="B513" s="54"/>
      <c r="C513" s="7"/>
      <c r="D513" s="7"/>
      <c r="E513" s="7"/>
      <c r="F513" s="54"/>
      <c r="G513" s="54"/>
      <c r="H513" s="54"/>
      <c r="I513" s="54"/>
      <c r="J513" s="54"/>
      <c r="K513" s="54"/>
      <c r="L513" s="54"/>
      <c r="M513" s="54"/>
      <c r="N513" s="54"/>
      <c r="O513" s="54"/>
      <c r="P513" s="7"/>
      <c r="Q513" s="7"/>
      <c r="R513" s="7"/>
      <c r="S513" s="7"/>
      <c r="T513" s="7"/>
      <c r="U513" s="7"/>
      <c r="V513" s="7"/>
      <c r="W513" s="7"/>
      <c r="X513" s="7"/>
      <c r="Y513" s="7"/>
      <c r="Z513" s="7"/>
      <c r="AA513" s="7"/>
    </row>
    <row r="514">
      <c r="A514" s="54"/>
      <c r="B514" s="54"/>
      <c r="C514" s="7"/>
      <c r="D514" s="7"/>
      <c r="E514" s="7"/>
      <c r="F514" s="54"/>
      <c r="G514" s="54"/>
      <c r="H514" s="54"/>
      <c r="I514" s="54"/>
      <c r="J514" s="54"/>
      <c r="K514" s="54"/>
      <c r="L514" s="54"/>
      <c r="M514" s="54"/>
      <c r="N514" s="54"/>
      <c r="O514" s="54"/>
      <c r="P514" s="7"/>
      <c r="Q514" s="7"/>
      <c r="R514" s="7"/>
      <c r="S514" s="7"/>
      <c r="T514" s="7"/>
      <c r="U514" s="7"/>
      <c r="V514" s="7"/>
      <c r="W514" s="7"/>
      <c r="X514" s="7"/>
      <c r="Y514" s="7"/>
      <c r="Z514" s="7"/>
      <c r="AA514" s="7"/>
    </row>
    <row r="515">
      <c r="A515" s="54"/>
      <c r="B515" s="54"/>
      <c r="C515" s="7"/>
      <c r="D515" s="7"/>
      <c r="E515" s="7"/>
      <c r="F515" s="54"/>
      <c r="G515" s="54"/>
      <c r="H515" s="54"/>
      <c r="I515" s="54"/>
      <c r="J515" s="54"/>
      <c r="K515" s="54"/>
      <c r="L515" s="54"/>
      <c r="M515" s="54"/>
      <c r="N515" s="54"/>
      <c r="O515" s="54"/>
      <c r="P515" s="7"/>
      <c r="Q515" s="7"/>
      <c r="R515" s="7"/>
      <c r="S515" s="7"/>
      <c r="T515" s="7"/>
      <c r="U515" s="7"/>
      <c r="V515" s="7"/>
      <c r="W515" s="7"/>
      <c r="X515" s="7"/>
      <c r="Y515" s="7"/>
      <c r="Z515" s="7"/>
      <c r="AA515" s="7"/>
    </row>
    <row r="516">
      <c r="A516" s="54"/>
      <c r="B516" s="54"/>
      <c r="C516" s="7"/>
      <c r="D516" s="7"/>
      <c r="E516" s="7"/>
      <c r="F516" s="54"/>
      <c r="G516" s="54"/>
      <c r="H516" s="54"/>
      <c r="I516" s="54"/>
      <c r="J516" s="54"/>
      <c r="K516" s="54"/>
      <c r="L516" s="54"/>
      <c r="M516" s="54"/>
      <c r="N516" s="54"/>
      <c r="O516" s="54"/>
      <c r="P516" s="7"/>
      <c r="Q516" s="7"/>
      <c r="R516" s="7"/>
      <c r="S516" s="7"/>
      <c r="T516" s="7"/>
      <c r="U516" s="7"/>
      <c r="V516" s="7"/>
      <c r="W516" s="7"/>
      <c r="X516" s="7"/>
      <c r="Y516" s="7"/>
      <c r="Z516" s="7"/>
      <c r="AA516" s="7"/>
    </row>
    <row r="517">
      <c r="A517" s="54"/>
      <c r="B517" s="54"/>
      <c r="C517" s="7"/>
      <c r="D517" s="7"/>
      <c r="E517" s="7"/>
      <c r="F517" s="54"/>
      <c r="G517" s="54"/>
      <c r="H517" s="54"/>
      <c r="I517" s="54"/>
      <c r="J517" s="54"/>
      <c r="K517" s="54"/>
      <c r="L517" s="54"/>
      <c r="M517" s="54"/>
      <c r="N517" s="54"/>
      <c r="O517" s="54"/>
      <c r="P517" s="7"/>
      <c r="Q517" s="7"/>
      <c r="R517" s="7"/>
      <c r="S517" s="7"/>
      <c r="T517" s="7"/>
      <c r="U517" s="7"/>
      <c r="V517" s="7"/>
      <c r="W517" s="7"/>
      <c r="X517" s="7"/>
      <c r="Y517" s="7"/>
      <c r="Z517" s="7"/>
      <c r="AA517" s="7"/>
    </row>
    <row r="518">
      <c r="A518" s="54"/>
      <c r="B518" s="54"/>
      <c r="C518" s="7"/>
      <c r="D518" s="7"/>
      <c r="E518" s="7"/>
      <c r="F518" s="54"/>
      <c r="G518" s="54"/>
      <c r="H518" s="54"/>
      <c r="I518" s="54"/>
      <c r="J518" s="54"/>
      <c r="K518" s="54"/>
      <c r="L518" s="54"/>
      <c r="M518" s="54"/>
      <c r="N518" s="54"/>
      <c r="O518" s="54"/>
      <c r="P518" s="7"/>
      <c r="Q518" s="7"/>
      <c r="R518" s="7"/>
      <c r="S518" s="7"/>
      <c r="T518" s="7"/>
      <c r="U518" s="7"/>
      <c r="V518" s="7"/>
      <c r="W518" s="7"/>
      <c r="X518" s="7"/>
      <c r="Y518" s="7"/>
      <c r="Z518" s="7"/>
      <c r="AA518" s="7"/>
    </row>
    <row r="519">
      <c r="A519" s="54"/>
      <c r="B519" s="54"/>
      <c r="C519" s="7"/>
      <c r="D519" s="7"/>
      <c r="E519" s="7"/>
      <c r="F519" s="54"/>
      <c r="G519" s="54"/>
      <c r="H519" s="54"/>
      <c r="I519" s="54"/>
      <c r="J519" s="54"/>
      <c r="K519" s="54"/>
      <c r="L519" s="54"/>
      <c r="M519" s="54"/>
      <c r="N519" s="54"/>
      <c r="O519" s="54"/>
      <c r="P519" s="7"/>
      <c r="Q519" s="7"/>
      <c r="R519" s="7"/>
      <c r="S519" s="7"/>
      <c r="T519" s="7"/>
      <c r="U519" s="7"/>
      <c r="V519" s="7"/>
      <c r="W519" s="7"/>
      <c r="X519" s="7"/>
      <c r="Y519" s="7"/>
      <c r="Z519" s="7"/>
      <c r="AA519" s="7"/>
    </row>
    <row r="520">
      <c r="A520" s="54"/>
      <c r="B520" s="54"/>
      <c r="C520" s="7"/>
      <c r="D520" s="7"/>
      <c r="E520" s="7"/>
      <c r="F520" s="54"/>
      <c r="G520" s="54"/>
      <c r="H520" s="54"/>
      <c r="I520" s="54"/>
      <c r="J520" s="54"/>
      <c r="K520" s="54"/>
      <c r="L520" s="54"/>
      <c r="M520" s="54"/>
      <c r="N520" s="54"/>
      <c r="O520" s="54"/>
      <c r="P520" s="7"/>
      <c r="Q520" s="7"/>
      <c r="R520" s="7"/>
      <c r="S520" s="7"/>
      <c r="T520" s="7"/>
      <c r="U520" s="7"/>
      <c r="V520" s="7"/>
      <c r="W520" s="7"/>
      <c r="X520" s="7"/>
      <c r="Y520" s="7"/>
      <c r="Z520" s="7"/>
      <c r="AA520" s="7"/>
    </row>
    <row r="521">
      <c r="A521" s="54"/>
      <c r="B521" s="54"/>
      <c r="C521" s="7"/>
      <c r="D521" s="7"/>
      <c r="E521" s="7"/>
      <c r="F521" s="54"/>
      <c r="G521" s="54"/>
      <c r="H521" s="54"/>
      <c r="I521" s="54"/>
      <c r="J521" s="54"/>
      <c r="K521" s="54"/>
      <c r="L521" s="54"/>
      <c r="M521" s="54"/>
      <c r="N521" s="54"/>
      <c r="O521" s="54"/>
      <c r="P521" s="7"/>
      <c r="Q521" s="7"/>
      <c r="R521" s="7"/>
      <c r="S521" s="7"/>
      <c r="T521" s="7"/>
      <c r="U521" s="7"/>
      <c r="V521" s="7"/>
      <c r="W521" s="7"/>
      <c r="X521" s="7"/>
      <c r="Y521" s="7"/>
      <c r="Z521" s="7"/>
      <c r="AA521" s="7"/>
    </row>
    <row r="522">
      <c r="A522" s="54"/>
      <c r="B522" s="54"/>
      <c r="C522" s="7"/>
      <c r="D522" s="7"/>
      <c r="E522" s="7"/>
      <c r="F522" s="54"/>
      <c r="G522" s="54"/>
      <c r="H522" s="54"/>
      <c r="I522" s="54"/>
      <c r="J522" s="54"/>
      <c r="K522" s="54"/>
      <c r="L522" s="54"/>
      <c r="M522" s="54"/>
      <c r="N522" s="54"/>
      <c r="O522" s="54"/>
      <c r="P522" s="7"/>
      <c r="Q522" s="7"/>
      <c r="R522" s="7"/>
      <c r="S522" s="7"/>
      <c r="T522" s="7"/>
      <c r="U522" s="7"/>
      <c r="V522" s="7"/>
      <c r="W522" s="7"/>
      <c r="X522" s="7"/>
      <c r="Y522" s="7"/>
      <c r="Z522" s="7"/>
      <c r="AA522" s="7"/>
    </row>
    <row r="523">
      <c r="A523" s="54"/>
      <c r="B523" s="54"/>
      <c r="C523" s="7"/>
      <c r="D523" s="7"/>
      <c r="E523" s="7"/>
      <c r="F523" s="54"/>
      <c r="G523" s="54"/>
      <c r="H523" s="54"/>
      <c r="I523" s="54"/>
      <c r="J523" s="54"/>
      <c r="K523" s="54"/>
      <c r="L523" s="54"/>
      <c r="M523" s="54"/>
      <c r="N523" s="54"/>
      <c r="O523" s="54"/>
      <c r="P523" s="7"/>
      <c r="Q523" s="7"/>
      <c r="R523" s="7"/>
      <c r="S523" s="7"/>
      <c r="T523" s="7"/>
      <c r="U523" s="7"/>
      <c r="V523" s="7"/>
      <c r="W523" s="7"/>
      <c r="X523" s="7"/>
      <c r="Y523" s="7"/>
      <c r="Z523" s="7"/>
      <c r="AA523" s="7"/>
    </row>
    <row r="524">
      <c r="A524" s="54"/>
      <c r="B524" s="54"/>
      <c r="C524" s="7"/>
      <c r="D524" s="7"/>
      <c r="E524" s="7"/>
      <c r="F524" s="54"/>
      <c r="G524" s="54"/>
      <c r="H524" s="54"/>
      <c r="I524" s="54"/>
      <c r="J524" s="54"/>
      <c r="K524" s="54"/>
      <c r="L524" s="54"/>
      <c r="M524" s="54"/>
      <c r="N524" s="54"/>
      <c r="O524" s="54"/>
      <c r="P524" s="7"/>
      <c r="Q524" s="7"/>
      <c r="R524" s="7"/>
      <c r="S524" s="7"/>
      <c r="T524" s="7"/>
      <c r="U524" s="7"/>
      <c r="V524" s="7"/>
      <c r="W524" s="7"/>
      <c r="X524" s="7"/>
      <c r="Y524" s="7"/>
      <c r="Z524" s="7"/>
      <c r="AA524" s="7"/>
    </row>
    <row r="525">
      <c r="A525" s="54"/>
      <c r="B525" s="54"/>
      <c r="C525" s="7"/>
      <c r="D525" s="7"/>
      <c r="E525" s="7"/>
      <c r="F525" s="54"/>
      <c r="G525" s="54"/>
      <c r="H525" s="54"/>
      <c r="I525" s="54"/>
      <c r="J525" s="54"/>
      <c r="K525" s="54"/>
      <c r="L525" s="54"/>
      <c r="M525" s="54"/>
      <c r="N525" s="54"/>
      <c r="O525" s="54"/>
      <c r="P525" s="7"/>
      <c r="Q525" s="7"/>
      <c r="R525" s="7"/>
      <c r="S525" s="7"/>
      <c r="T525" s="7"/>
      <c r="U525" s="7"/>
      <c r="V525" s="7"/>
      <c r="W525" s="7"/>
      <c r="X525" s="7"/>
      <c r="Y525" s="7"/>
      <c r="Z525" s="7"/>
      <c r="AA525" s="7"/>
    </row>
    <row r="526">
      <c r="A526" s="54"/>
      <c r="B526" s="54"/>
      <c r="C526" s="7"/>
      <c r="D526" s="7"/>
      <c r="E526" s="7"/>
      <c r="F526" s="54"/>
      <c r="G526" s="54"/>
      <c r="H526" s="54"/>
      <c r="I526" s="54"/>
      <c r="J526" s="54"/>
      <c r="K526" s="54"/>
      <c r="L526" s="54"/>
      <c r="M526" s="54"/>
      <c r="N526" s="54"/>
      <c r="O526" s="54"/>
      <c r="P526" s="7"/>
      <c r="Q526" s="7"/>
      <c r="R526" s="7"/>
      <c r="S526" s="7"/>
      <c r="T526" s="7"/>
      <c r="U526" s="7"/>
      <c r="V526" s="7"/>
      <c r="W526" s="7"/>
      <c r="X526" s="7"/>
      <c r="Y526" s="7"/>
      <c r="Z526" s="7"/>
      <c r="AA526" s="7"/>
    </row>
    <row r="527">
      <c r="A527" s="54"/>
      <c r="B527" s="54"/>
      <c r="C527" s="7"/>
      <c r="D527" s="7"/>
      <c r="E527" s="7"/>
      <c r="F527" s="54"/>
      <c r="G527" s="54"/>
      <c r="H527" s="54"/>
      <c r="I527" s="54"/>
      <c r="J527" s="54"/>
      <c r="K527" s="54"/>
      <c r="L527" s="54"/>
      <c r="M527" s="54"/>
      <c r="N527" s="54"/>
      <c r="O527" s="54"/>
      <c r="P527" s="7"/>
      <c r="Q527" s="7"/>
      <c r="R527" s="7"/>
      <c r="S527" s="7"/>
      <c r="T527" s="7"/>
      <c r="U527" s="7"/>
      <c r="V527" s="7"/>
      <c r="W527" s="7"/>
      <c r="X527" s="7"/>
      <c r="Y527" s="7"/>
      <c r="Z527" s="7"/>
      <c r="AA527" s="7"/>
    </row>
    <row r="528">
      <c r="A528" s="54"/>
      <c r="B528" s="54"/>
      <c r="C528" s="7"/>
      <c r="D528" s="7"/>
      <c r="E528" s="7"/>
      <c r="F528" s="54"/>
      <c r="G528" s="54"/>
      <c r="H528" s="54"/>
      <c r="I528" s="54"/>
      <c r="J528" s="54"/>
      <c r="K528" s="54"/>
      <c r="L528" s="54"/>
      <c r="M528" s="54"/>
      <c r="N528" s="54"/>
      <c r="O528" s="54"/>
      <c r="P528" s="7"/>
      <c r="Q528" s="7"/>
      <c r="R528" s="7"/>
      <c r="S528" s="7"/>
      <c r="T528" s="7"/>
      <c r="U528" s="7"/>
      <c r="V528" s="7"/>
      <c r="W528" s="7"/>
      <c r="X528" s="7"/>
      <c r="Y528" s="7"/>
      <c r="Z528" s="7"/>
      <c r="AA528" s="7"/>
    </row>
    <row r="529">
      <c r="A529" s="54"/>
      <c r="B529" s="54"/>
      <c r="C529" s="7"/>
      <c r="D529" s="7"/>
      <c r="E529" s="7"/>
      <c r="F529" s="54"/>
      <c r="G529" s="54"/>
      <c r="H529" s="54"/>
      <c r="I529" s="54"/>
      <c r="J529" s="54"/>
      <c r="K529" s="54"/>
      <c r="L529" s="54"/>
      <c r="M529" s="54"/>
      <c r="N529" s="54"/>
      <c r="O529" s="54"/>
      <c r="P529" s="7"/>
      <c r="Q529" s="7"/>
      <c r="R529" s="7"/>
      <c r="S529" s="7"/>
      <c r="T529" s="7"/>
      <c r="U529" s="7"/>
      <c r="V529" s="7"/>
      <c r="W529" s="7"/>
      <c r="X529" s="7"/>
      <c r="Y529" s="7"/>
      <c r="Z529" s="7"/>
      <c r="AA529" s="7"/>
    </row>
    <row r="530">
      <c r="A530" s="54"/>
      <c r="B530" s="54"/>
      <c r="C530" s="7"/>
      <c r="D530" s="7"/>
      <c r="E530" s="7"/>
      <c r="F530" s="54"/>
      <c r="G530" s="54"/>
      <c r="H530" s="54"/>
      <c r="I530" s="54"/>
      <c r="J530" s="54"/>
      <c r="K530" s="54"/>
      <c r="L530" s="54"/>
      <c r="M530" s="54"/>
      <c r="N530" s="54"/>
      <c r="O530" s="54"/>
      <c r="P530" s="7"/>
      <c r="Q530" s="7"/>
      <c r="R530" s="7"/>
      <c r="S530" s="7"/>
      <c r="T530" s="7"/>
      <c r="U530" s="7"/>
      <c r="V530" s="7"/>
      <c r="W530" s="7"/>
      <c r="X530" s="7"/>
      <c r="Y530" s="7"/>
      <c r="Z530" s="7"/>
      <c r="AA530" s="7"/>
    </row>
    <row r="531">
      <c r="A531" s="54"/>
      <c r="B531" s="54"/>
      <c r="C531" s="7"/>
      <c r="D531" s="7"/>
      <c r="E531" s="7"/>
      <c r="F531" s="54"/>
      <c r="G531" s="54"/>
      <c r="H531" s="54"/>
      <c r="I531" s="54"/>
      <c r="J531" s="54"/>
      <c r="K531" s="54"/>
      <c r="L531" s="54"/>
      <c r="M531" s="54"/>
      <c r="N531" s="54"/>
      <c r="O531" s="54"/>
      <c r="P531" s="7"/>
      <c r="Q531" s="7"/>
      <c r="R531" s="7"/>
      <c r="S531" s="7"/>
      <c r="T531" s="7"/>
      <c r="U531" s="7"/>
      <c r="V531" s="7"/>
      <c r="W531" s="7"/>
      <c r="X531" s="7"/>
      <c r="Y531" s="7"/>
      <c r="Z531" s="7"/>
      <c r="AA531" s="7"/>
    </row>
    <row r="532">
      <c r="A532" s="54"/>
      <c r="B532" s="54"/>
      <c r="C532" s="7"/>
      <c r="D532" s="7"/>
      <c r="E532" s="7"/>
      <c r="F532" s="54"/>
      <c r="G532" s="54"/>
      <c r="H532" s="54"/>
      <c r="I532" s="54"/>
      <c r="J532" s="54"/>
      <c r="K532" s="54"/>
      <c r="L532" s="54"/>
      <c r="M532" s="54"/>
      <c r="N532" s="54"/>
      <c r="O532" s="54"/>
      <c r="P532" s="7"/>
      <c r="Q532" s="7"/>
      <c r="R532" s="7"/>
      <c r="S532" s="7"/>
      <c r="T532" s="7"/>
      <c r="U532" s="7"/>
      <c r="V532" s="7"/>
      <c r="W532" s="7"/>
      <c r="X532" s="7"/>
      <c r="Y532" s="7"/>
      <c r="Z532" s="7"/>
      <c r="AA532" s="7"/>
    </row>
    <row r="533">
      <c r="A533" s="54"/>
      <c r="B533" s="54"/>
      <c r="C533" s="7"/>
      <c r="D533" s="7"/>
      <c r="E533" s="7"/>
      <c r="F533" s="54"/>
      <c r="G533" s="54"/>
      <c r="H533" s="54"/>
      <c r="I533" s="54"/>
      <c r="J533" s="54"/>
      <c r="K533" s="54"/>
      <c r="L533" s="54"/>
      <c r="M533" s="54"/>
      <c r="N533" s="54"/>
      <c r="O533" s="54"/>
      <c r="P533" s="7"/>
      <c r="Q533" s="7"/>
      <c r="R533" s="7"/>
      <c r="S533" s="7"/>
      <c r="T533" s="7"/>
      <c r="U533" s="7"/>
      <c r="V533" s="7"/>
      <c r="W533" s="7"/>
      <c r="X533" s="7"/>
      <c r="Y533" s="7"/>
      <c r="Z533" s="7"/>
      <c r="AA533" s="7"/>
    </row>
    <row r="534">
      <c r="A534" s="54"/>
      <c r="B534" s="54"/>
      <c r="C534" s="7"/>
      <c r="D534" s="7"/>
      <c r="E534" s="7"/>
      <c r="F534" s="54"/>
      <c r="G534" s="54"/>
      <c r="H534" s="54"/>
      <c r="I534" s="54"/>
      <c r="J534" s="54"/>
      <c r="K534" s="54"/>
      <c r="L534" s="54"/>
      <c r="M534" s="54"/>
      <c r="N534" s="54"/>
      <c r="O534" s="54"/>
      <c r="P534" s="7"/>
      <c r="Q534" s="7"/>
      <c r="R534" s="7"/>
      <c r="S534" s="7"/>
      <c r="T534" s="7"/>
      <c r="U534" s="7"/>
      <c r="V534" s="7"/>
      <c r="W534" s="7"/>
      <c r="X534" s="7"/>
      <c r="Y534" s="7"/>
      <c r="Z534" s="7"/>
      <c r="AA534" s="7"/>
    </row>
    <row r="535">
      <c r="A535" s="54"/>
      <c r="B535" s="54"/>
      <c r="C535" s="7"/>
      <c r="D535" s="7"/>
      <c r="E535" s="7"/>
      <c r="F535" s="54"/>
      <c r="G535" s="54"/>
      <c r="H535" s="54"/>
      <c r="I535" s="54"/>
      <c r="J535" s="54"/>
      <c r="K535" s="54"/>
      <c r="L535" s="54"/>
      <c r="M535" s="54"/>
      <c r="N535" s="54"/>
      <c r="O535" s="54"/>
      <c r="P535" s="7"/>
      <c r="Q535" s="7"/>
      <c r="R535" s="7"/>
      <c r="S535" s="7"/>
      <c r="T535" s="7"/>
      <c r="U535" s="7"/>
      <c r="V535" s="7"/>
      <c r="W535" s="7"/>
      <c r="X535" s="7"/>
      <c r="Y535" s="7"/>
      <c r="Z535" s="7"/>
      <c r="AA535" s="7"/>
    </row>
    <row r="536">
      <c r="A536" s="54"/>
      <c r="B536" s="54"/>
      <c r="C536" s="7"/>
      <c r="D536" s="7"/>
      <c r="E536" s="7"/>
      <c r="F536" s="54"/>
      <c r="G536" s="54"/>
      <c r="H536" s="54"/>
      <c r="I536" s="54"/>
      <c r="J536" s="54"/>
      <c r="K536" s="54"/>
      <c r="L536" s="54"/>
      <c r="M536" s="54"/>
      <c r="N536" s="54"/>
      <c r="O536" s="54"/>
      <c r="P536" s="7"/>
      <c r="Q536" s="7"/>
      <c r="R536" s="7"/>
      <c r="S536" s="7"/>
      <c r="T536" s="7"/>
      <c r="U536" s="7"/>
      <c r="V536" s="7"/>
      <c r="W536" s="7"/>
      <c r="X536" s="7"/>
      <c r="Y536" s="7"/>
      <c r="Z536" s="7"/>
      <c r="AA536" s="7"/>
    </row>
    <row r="537">
      <c r="A537" s="54"/>
      <c r="B537" s="54"/>
      <c r="C537" s="7"/>
      <c r="D537" s="7"/>
      <c r="E537" s="7"/>
      <c r="F537" s="54"/>
      <c r="G537" s="54"/>
      <c r="H537" s="54"/>
      <c r="I537" s="54"/>
      <c r="J537" s="54"/>
      <c r="K537" s="54"/>
      <c r="L537" s="54"/>
      <c r="M537" s="54"/>
      <c r="N537" s="54"/>
      <c r="O537" s="54"/>
      <c r="P537" s="7"/>
      <c r="Q537" s="7"/>
      <c r="R537" s="7"/>
      <c r="S537" s="7"/>
      <c r="T537" s="7"/>
      <c r="U537" s="7"/>
      <c r="V537" s="7"/>
      <c r="W537" s="7"/>
      <c r="X537" s="7"/>
      <c r="Y537" s="7"/>
      <c r="Z537" s="7"/>
      <c r="AA537" s="7"/>
    </row>
    <row r="538">
      <c r="A538" s="54"/>
      <c r="B538" s="54"/>
      <c r="C538" s="7"/>
      <c r="D538" s="7"/>
      <c r="E538" s="7"/>
      <c r="F538" s="54"/>
      <c r="G538" s="54"/>
      <c r="H538" s="54"/>
      <c r="I538" s="54"/>
      <c r="J538" s="54"/>
      <c r="K538" s="54"/>
      <c r="L538" s="54"/>
      <c r="M538" s="54"/>
      <c r="N538" s="54"/>
      <c r="O538" s="54"/>
      <c r="P538" s="7"/>
      <c r="Q538" s="7"/>
      <c r="R538" s="7"/>
      <c r="S538" s="7"/>
      <c r="T538" s="7"/>
      <c r="U538" s="7"/>
      <c r="V538" s="7"/>
      <c r="W538" s="7"/>
      <c r="X538" s="7"/>
      <c r="Y538" s="7"/>
      <c r="Z538" s="7"/>
      <c r="AA538" s="7"/>
    </row>
    <row r="539">
      <c r="A539" s="54"/>
      <c r="B539" s="54"/>
      <c r="C539" s="7"/>
      <c r="D539" s="7"/>
      <c r="E539" s="7"/>
      <c r="F539" s="54"/>
      <c r="G539" s="54"/>
      <c r="H539" s="54"/>
      <c r="I539" s="54"/>
      <c r="J539" s="54"/>
      <c r="K539" s="54"/>
      <c r="L539" s="54"/>
      <c r="M539" s="54"/>
      <c r="N539" s="54"/>
      <c r="O539" s="54"/>
      <c r="P539" s="7"/>
      <c r="Q539" s="7"/>
      <c r="R539" s="7"/>
      <c r="S539" s="7"/>
      <c r="T539" s="7"/>
      <c r="U539" s="7"/>
      <c r="V539" s="7"/>
      <c r="W539" s="7"/>
      <c r="X539" s="7"/>
      <c r="Y539" s="7"/>
      <c r="Z539" s="7"/>
      <c r="AA539" s="7"/>
    </row>
    <row r="540">
      <c r="A540" s="54"/>
      <c r="B540" s="54"/>
      <c r="C540" s="7"/>
      <c r="D540" s="7"/>
      <c r="E540" s="7"/>
      <c r="F540" s="54"/>
      <c r="G540" s="54"/>
      <c r="H540" s="54"/>
      <c r="I540" s="54"/>
      <c r="J540" s="54"/>
      <c r="K540" s="54"/>
      <c r="L540" s="54"/>
      <c r="M540" s="54"/>
      <c r="N540" s="54"/>
      <c r="O540" s="54"/>
      <c r="P540" s="7"/>
      <c r="Q540" s="7"/>
      <c r="R540" s="7"/>
      <c r="S540" s="7"/>
      <c r="T540" s="7"/>
      <c r="U540" s="7"/>
      <c r="V540" s="7"/>
      <c r="W540" s="7"/>
      <c r="X540" s="7"/>
      <c r="Y540" s="7"/>
      <c r="Z540" s="7"/>
      <c r="AA540" s="7"/>
    </row>
    <row r="541">
      <c r="A541" s="54"/>
      <c r="B541" s="54"/>
      <c r="C541" s="7"/>
      <c r="D541" s="7"/>
      <c r="E541" s="7"/>
      <c r="F541" s="54"/>
      <c r="G541" s="54"/>
      <c r="H541" s="54"/>
      <c r="I541" s="54"/>
      <c r="J541" s="54"/>
      <c r="K541" s="54"/>
      <c r="L541" s="54"/>
      <c r="M541" s="54"/>
      <c r="N541" s="54"/>
      <c r="O541" s="54"/>
      <c r="P541" s="7"/>
      <c r="Q541" s="7"/>
      <c r="R541" s="7"/>
      <c r="S541" s="7"/>
      <c r="T541" s="7"/>
      <c r="U541" s="7"/>
      <c r="V541" s="7"/>
      <c r="W541" s="7"/>
      <c r="X541" s="7"/>
      <c r="Y541" s="7"/>
      <c r="Z541" s="7"/>
      <c r="AA541" s="7"/>
    </row>
    <row r="542">
      <c r="A542" s="54"/>
      <c r="B542" s="54"/>
      <c r="C542" s="7"/>
      <c r="D542" s="7"/>
      <c r="E542" s="7"/>
      <c r="F542" s="54"/>
      <c r="G542" s="54"/>
      <c r="H542" s="54"/>
      <c r="I542" s="54"/>
      <c r="J542" s="54"/>
      <c r="K542" s="54"/>
      <c r="L542" s="54"/>
      <c r="M542" s="54"/>
      <c r="N542" s="54"/>
      <c r="O542" s="54"/>
      <c r="P542" s="7"/>
      <c r="Q542" s="7"/>
      <c r="R542" s="7"/>
      <c r="S542" s="7"/>
      <c r="T542" s="7"/>
      <c r="U542" s="7"/>
      <c r="V542" s="7"/>
      <c r="W542" s="7"/>
      <c r="X542" s="7"/>
      <c r="Y542" s="7"/>
      <c r="Z542" s="7"/>
      <c r="AA542" s="7"/>
    </row>
    <row r="543">
      <c r="A543" s="54"/>
      <c r="B543" s="54"/>
      <c r="C543" s="7"/>
      <c r="D543" s="7"/>
      <c r="E543" s="7"/>
      <c r="F543" s="54"/>
      <c r="G543" s="54"/>
      <c r="H543" s="54"/>
      <c r="I543" s="54"/>
      <c r="J543" s="54"/>
      <c r="K543" s="54"/>
      <c r="L543" s="54"/>
      <c r="M543" s="54"/>
      <c r="N543" s="54"/>
      <c r="O543" s="54"/>
      <c r="P543" s="7"/>
      <c r="Q543" s="7"/>
      <c r="R543" s="7"/>
      <c r="S543" s="7"/>
      <c r="T543" s="7"/>
      <c r="U543" s="7"/>
      <c r="V543" s="7"/>
      <c r="W543" s="7"/>
      <c r="X543" s="7"/>
      <c r="Y543" s="7"/>
      <c r="Z543" s="7"/>
      <c r="AA543" s="7"/>
    </row>
    <row r="544">
      <c r="A544" s="54"/>
      <c r="B544" s="54"/>
      <c r="C544" s="7"/>
      <c r="D544" s="7"/>
      <c r="E544" s="7"/>
      <c r="F544" s="54"/>
      <c r="G544" s="54"/>
      <c r="H544" s="54"/>
      <c r="I544" s="54"/>
      <c r="J544" s="54"/>
      <c r="K544" s="54"/>
      <c r="L544" s="54"/>
      <c r="M544" s="54"/>
      <c r="N544" s="54"/>
      <c r="O544" s="54"/>
      <c r="P544" s="7"/>
      <c r="Q544" s="7"/>
      <c r="R544" s="7"/>
      <c r="S544" s="7"/>
      <c r="T544" s="7"/>
      <c r="U544" s="7"/>
      <c r="V544" s="7"/>
      <c r="W544" s="7"/>
      <c r="X544" s="7"/>
      <c r="Y544" s="7"/>
      <c r="Z544" s="7"/>
      <c r="AA544" s="7"/>
    </row>
    <row r="545">
      <c r="A545" s="54"/>
      <c r="B545" s="54"/>
      <c r="C545" s="7"/>
      <c r="D545" s="7"/>
      <c r="E545" s="7"/>
      <c r="F545" s="54"/>
      <c r="G545" s="54"/>
      <c r="H545" s="54"/>
      <c r="I545" s="54"/>
      <c r="J545" s="54"/>
      <c r="K545" s="54"/>
      <c r="L545" s="54"/>
      <c r="M545" s="54"/>
      <c r="N545" s="54"/>
      <c r="O545" s="54"/>
      <c r="P545" s="7"/>
      <c r="Q545" s="7"/>
      <c r="R545" s="7"/>
      <c r="S545" s="7"/>
      <c r="T545" s="7"/>
      <c r="U545" s="7"/>
      <c r="V545" s="7"/>
      <c r="W545" s="7"/>
      <c r="X545" s="7"/>
      <c r="Y545" s="7"/>
      <c r="Z545" s="7"/>
      <c r="AA545" s="7"/>
    </row>
    <row r="546">
      <c r="A546" s="54"/>
      <c r="B546" s="54"/>
      <c r="C546" s="7"/>
      <c r="D546" s="7"/>
      <c r="E546" s="7"/>
      <c r="F546" s="54"/>
      <c r="G546" s="54"/>
      <c r="H546" s="54"/>
      <c r="I546" s="54"/>
      <c r="J546" s="54"/>
      <c r="K546" s="54"/>
      <c r="L546" s="54"/>
      <c r="M546" s="54"/>
      <c r="N546" s="54"/>
      <c r="O546" s="54"/>
      <c r="P546" s="7"/>
      <c r="Q546" s="7"/>
      <c r="R546" s="7"/>
      <c r="S546" s="7"/>
      <c r="T546" s="7"/>
      <c r="U546" s="7"/>
      <c r="V546" s="7"/>
      <c r="W546" s="7"/>
      <c r="X546" s="7"/>
      <c r="Y546" s="7"/>
      <c r="Z546" s="7"/>
      <c r="AA546" s="7"/>
    </row>
    <row r="547">
      <c r="A547" s="54"/>
      <c r="B547" s="54"/>
      <c r="C547" s="7"/>
      <c r="D547" s="7"/>
      <c r="E547" s="7"/>
      <c r="F547" s="54"/>
      <c r="G547" s="54"/>
      <c r="H547" s="54"/>
      <c r="I547" s="54"/>
      <c r="J547" s="54"/>
      <c r="K547" s="54"/>
      <c r="L547" s="54"/>
      <c r="M547" s="54"/>
      <c r="N547" s="54"/>
      <c r="O547" s="54"/>
      <c r="P547" s="7"/>
      <c r="Q547" s="7"/>
      <c r="R547" s="7"/>
      <c r="S547" s="7"/>
      <c r="T547" s="7"/>
      <c r="U547" s="7"/>
      <c r="V547" s="7"/>
      <c r="W547" s="7"/>
      <c r="X547" s="7"/>
      <c r="Y547" s="7"/>
      <c r="Z547" s="7"/>
      <c r="AA547" s="7"/>
    </row>
    <row r="548">
      <c r="A548" s="54"/>
      <c r="B548" s="54"/>
      <c r="C548" s="7"/>
      <c r="D548" s="7"/>
      <c r="E548" s="7"/>
      <c r="F548" s="54"/>
      <c r="G548" s="54"/>
      <c r="H548" s="54"/>
      <c r="I548" s="54"/>
      <c r="J548" s="54"/>
      <c r="K548" s="54"/>
      <c r="L548" s="54"/>
      <c r="M548" s="54"/>
      <c r="N548" s="54"/>
      <c r="O548" s="54"/>
      <c r="P548" s="7"/>
      <c r="Q548" s="7"/>
      <c r="R548" s="7"/>
      <c r="S548" s="7"/>
      <c r="T548" s="7"/>
      <c r="U548" s="7"/>
      <c r="V548" s="7"/>
      <c r="W548" s="7"/>
      <c r="X548" s="7"/>
      <c r="Y548" s="7"/>
      <c r="Z548" s="7"/>
      <c r="AA548" s="7"/>
    </row>
    <row r="549">
      <c r="A549" s="54"/>
      <c r="B549" s="54"/>
      <c r="C549" s="7"/>
      <c r="D549" s="7"/>
      <c r="E549" s="7"/>
      <c r="F549" s="54"/>
      <c r="G549" s="54"/>
      <c r="H549" s="54"/>
      <c r="I549" s="54"/>
      <c r="J549" s="54"/>
      <c r="K549" s="54"/>
      <c r="L549" s="54"/>
      <c r="M549" s="54"/>
      <c r="N549" s="54"/>
      <c r="O549" s="54"/>
      <c r="P549" s="7"/>
      <c r="Q549" s="7"/>
      <c r="R549" s="7"/>
      <c r="S549" s="7"/>
      <c r="T549" s="7"/>
      <c r="U549" s="7"/>
      <c r="V549" s="7"/>
      <c r="W549" s="7"/>
      <c r="X549" s="7"/>
      <c r="Y549" s="7"/>
      <c r="Z549" s="7"/>
      <c r="AA549" s="7"/>
    </row>
    <row r="550">
      <c r="A550" s="54"/>
      <c r="B550" s="54"/>
      <c r="C550" s="7"/>
      <c r="D550" s="7"/>
      <c r="E550" s="7"/>
      <c r="F550" s="54"/>
      <c r="G550" s="54"/>
      <c r="H550" s="54"/>
      <c r="I550" s="54"/>
      <c r="J550" s="54"/>
      <c r="K550" s="54"/>
      <c r="L550" s="54"/>
      <c r="M550" s="54"/>
      <c r="N550" s="54"/>
      <c r="O550" s="54"/>
      <c r="P550" s="7"/>
      <c r="Q550" s="7"/>
      <c r="R550" s="7"/>
      <c r="S550" s="7"/>
      <c r="T550" s="7"/>
      <c r="U550" s="7"/>
      <c r="V550" s="7"/>
      <c r="W550" s="7"/>
      <c r="X550" s="7"/>
      <c r="Y550" s="7"/>
      <c r="Z550" s="7"/>
      <c r="AA550" s="7"/>
    </row>
    <row r="551">
      <c r="A551" s="54"/>
      <c r="B551" s="54"/>
      <c r="C551" s="7"/>
      <c r="D551" s="7"/>
      <c r="E551" s="7"/>
      <c r="F551" s="54"/>
      <c r="G551" s="54"/>
      <c r="H551" s="54"/>
      <c r="I551" s="54"/>
      <c r="J551" s="54"/>
      <c r="K551" s="54"/>
      <c r="L551" s="54"/>
      <c r="M551" s="54"/>
      <c r="N551" s="54"/>
      <c r="O551" s="54"/>
      <c r="P551" s="7"/>
      <c r="Q551" s="7"/>
      <c r="R551" s="7"/>
      <c r="S551" s="7"/>
      <c r="T551" s="7"/>
      <c r="U551" s="7"/>
      <c r="V551" s="7"/>
      <c r="W551" s="7"/>
      <c r="X551" s="7"/>
      <c r="Y551" s="7"/>
      <c r="Z551" s="7"/>
      <c r="AA551" s="7"/>
    </row>
    <row r="552">
      <c r="A552" s="54"/>
      <c r="B552" s="54"/>
      <c r="C552" s="7"/>
      <c r="D552" s="7"/>
      <c r="E552" s="7"/>
      <c r="F552" s="54"/>
      <c r="G552" s="54"/>
      <c r="H552" s="54"/>
      <c r="I552" s="54"/>
      <c r="J552" s="54"/>
      <c r="K552" s="54"/>
      <c r="L552" s="54"/>
      <c r="M552" s="54"/>
      <c r="N552" s="54"/>
      <c r="O552" s="54"/>
      <c r="P552" s="7"/>
      <c r="Q552" s="7"/>
      <c r="R552" s="7"/>
      <c r="S552" s="7"/>
      <c r="T552" s="7"/>
      <c r="U552" s="7"/>
      <c r="V552" s="7"/>
      <c r="W552" s="7"/>
      <c r="X552" s="7"/>
      <c r="Y552" s="7"/>
      <c r="Z552" s="7"/>
      <c r="AA552" s="7"/>
    </row>
    <row r="553">
      <c r="A553" s="54"/>
      <c r="B553" s="54"/>
      <c r="C553" s="7"/>
      <c r="D553" s="7"/>
      <c r="E553" s="7"/>
      <c r="F553" s="54"/>
      <c r="G553" s="54"/>
      <c r="H553" s="54"/>
      <c r="I553" s="54"/>
      <c r="J553" s="54"/>
      <c r="K553" s="54"/>
      <c r="L553" s="54"/>
      <c r="M553" s="54"/>
      <c r="N553" s="54"/>
      <c r="O553" s="54"/>
      <c r="P553" s="7"/>
      <c r="Q553" s="7"/>
      <c r="R553" s="7"/>
      <c r="S553" s="7"/>
      <c r="T553" s="7"/>
      <c r="U553" s="7"/>
      <c r="V553" s="7"/>
      <c r="W553" s="7"/>
      <c r="X553" s="7"/>
      <c r="Y553" s="7"/>
      <c r="Z553" s="7"/>
      <c r="AA553" s="7"/>
    </row>
    <row r="554">
      <c r="A554" s="54"/>
      <c r="B554" s="54"/>
      <c r="C554" s="7"/>
      <c r="D554" s="7"/>
      <c r="E554" s="7"/>
      <c r="F554" s="54"/>
      <c r="G554" s="54"/>
      <c r="H554" s="54"/>
      <c r="I554" s="54"/>
      <c r="J554" s="54"/>
      <c r="K554" s="54"/>
      <c r="L554" s="54"/>
      <c r="M554" s="54"/>
      <c r="N554" s="54"/>
      <c r="O554" s="54"/>
      <c r="P554" s="7"/>
      <c r="Q554" s="7"/>
      <c r="R554" s="7"/>
      <c r="S554" s="7"/>
      <c r="T554" s="7"/>
      <c r="U554" s="7"/>
      <c r="V554" s="7"/>
      <c r="W554" s="7"/>
      <c r="X554" s="7"/>
      <c r="Y554" s="7"/>
      <c r="Z554" s="7"/>
      <c r="AA554" s="7"/>
    </row>
    <row r="555">
      <c r="A555" s="54"/>
      <c r="B555" s="54"/>
      <c r="C555" s="7"/>
      <c r="D555" s="7"/>
      <c r="E555" s="7"/>
      <c r="F555" s="54"/>
      <c r="G555" s="54"/>
      <c r="H555" s="54"/>
      <c r="I555" s="54"/>
      <c r="J555" s="54"/>
      <c r="K555" s="54"/>
      <c r="L555" s="54"/>
      <c r="M555" s="54"/>
      <c r="N555" s="54"/>
      <c r="O555" s="54"/>
      <c r="P555" s="7"/>
      <c r="Q555" s="7"/>
      <c r="R555" s="7"/>
      <c r="S555" s="7"/>
      <c r="T555" s="7"/>
      <c r="U555" s="7"/>
      <c r="V555" s="7"/>
      <c r="W555" s="7"/>
      <c r="X555" s="7"/>
      <c r="Y555" s="7"/>
      <c r="Z555" s="7"/>
      <c r="AA555" s="7"/>
    </row>
    <row r="556">
      <c r="A556" s="54"/>
      <c r="B556" s="54"/>
      <c r="C556" s="7"/>
      <c r="D556" s="7"/>
      <c r="E556" s="7"/>
      <c r="F556" s="54"/>
      <c r="G556" s="54"/>
      <c r="H556" s="54"/>
      <c r="I556" s="54"/>
      <c r="J556" s="54"/>
      <c r="K556" s="54"/>
      <c r="L556" s="54"/>
      <c r="M556" s="54"/>
      <c r="N556" s="54"/>
      <c r="O556" s="54"/>
      <c r="P556" s="7"/>
      <c r="Q556" s="7"/>
      <c r="R556" s="7"/>
      <c r="S556" s="7"/>
      <c r="T556" s="7"/>
      <c r="U556" s="7"/>
      <c r="V556" s="7"/>
      <c r="W556" s="7"/>
      <c r="X556" s="7"/>
      <c r="Y556" s="7"/>
      <c r="Z556" s="7"/>
      <c r="AA556" s="7"/>
    </row>
    <row r="557">
      <c r="A557" s="54"/>
      <c r="B557" s="54"/>
      <c r="C557" s="7"/>
      <c r="D557" s="7"/>
      <c r="E557" s="7"/>
      <c r="F557" s="54"/>
      <c r="G557" s="54"/>
      <c r="H557" s="54"/>
      <c r="I557" s="54"/>
      <c r="J557" s="54"/>
      <c r="K557" s="54"/>
      <c r="L557" s="54"/>
      <c r="M557" s="54"/>
      <c r="N557" s="54"/>
      <c r="O557" s="54"/>
      <c r="P557" s="7"/>
      <c r="Q557" s="7"/>
      <c r="R557" s="7"/>
      <c r="S557" s="7"/>
      <c r="T557" s="7"/>
      <c r="U557" s="7"/>
      <c r="V557" s="7"/>
      <c r="W557" s="7"/>
      <c r="X557" s="7"/>
      <c r="Y557" s="7"/>
      <c r="Z557" s="7"/>
      <c r="AA557" s="7"/>
    </row>
    <row r="558">
      <c r="A558" s="54"/>
      <c r="B558" s="54"/>
      <c r="C558" s="7"/>
      <c r="D558" s="7"/>
      <c r="E558" s="7"/>
      <c r="F558" s="54"/>
      <c r="G558" s="54"/>
      <c r="H558" s="54"/>
      <c r="I558" s="54"/>
      <c r="J558" s="54"/>
      <c r="K558" s="54"/>
      <c r="L558" s="54"/>
      <c r="M558" s="54"/>
      <c r="N558" s="54"/>
      <c r="O558" s="54"/>
      <c r="P558" s="7"/>
      <c r="Q558" s="7"/>
      <c r="R558" s="7"/>
      <c r="S558" s="7"/>
      <c r="T558" s="7"/>
      <c r="U558" s="7"/>
      <c r="V558" s="7"/>
      <c r="W558" s="7"/>
      <c r="X558" s="7"/>
      <c r="Y558" s="7"/>
      <c r="Z558" s="7"/>
      <c r="AA558" s="7"/>
    </row>
    <row r="559">
      <c r="A559" s="54"/>
      <c r="B559" s="54"/>
      <c r="C559" s="7"/>
      <c r="D559" s="7"/>
      <c r="E559" s="7"/>
      <c r="F559" s="54"/>
      <c r="G559" s="54"/>
      <c r="H559" s="54"/>
      <c r="I559" s="54"/>
      <c r="J559" s="54"/>
      <c r="K559" s="54"/>
      <c r="L559" s="54"/>
      <c r="M559" s="54"/>
      <c r="N559" s="54"/>
      <c r="O559" s="54"/>
      <c r="P559" s="7"/>
      <c r="Q559" s="7"/>
      <c r="R559" s="7"/>
      <c r="S559" s="7"/>
      <c r="T559" s="7"/>
      <c r="U559" s="7"/>
      <c r="V559" s="7"/>
      <c r="W559" s="7"/>
      <c r="X559" s="7"/>
      <c r="Y559" s="7"/>
      <c r="Z559" s="7"/>
      <c r="AA559" s="7"/>
    </row>
    <row r="560">
      <c r="A560" s="54"/>
      <c r="B560" s="54"/>
      <c r="C560" s="7"/>
      <c r="D560" s="7"/>
      <c r="E560" s="7"/>
      <c r="F560" s="54"/>
      <c r="G560" s="54"/>
      <c r="H560" s="54"/>
      <c r="I560" s="54"/>
      <c r="J560" s="54"/>
      <c r="K560" s="54"/>
      <c r="L560" s="54"/>
      <c r="M560" s="54"/>
      <c r="N560" s="54"/>
      <c r="O560" s="54"/>
      <c r="P560" s="7"/>
      <c r="Q560" s="7"/>
      <c r="R560" s="7"/>
      <c r="S560" s="7"/>
      <c r="T560" s="7"/>
      <c r="U560" s="7"/>
      <c r="V560" s="7"/>
      <c r="W560" s="7"/>
      <c r="X560" s="7"/>
      <c r="Y560" s="7"/>
      <c r="Z560" s="7"/>
      <c r="AA560" s="7"/>
    </row>
    <row r="561">
      <c r="A561" s="54"/>
      <c r="B561" s="54"/>
      <c r="C561" s="7"/>
      <c r="D561" s="7"/>
      <c r="E561" s="7"/>
      <c r="F561" s="54"/>
      <c r="G561" s="54"/>
      <c r="H561" s="54"/>
      <c r="I561" s="54"/>
      <c r="J561" s="54"/>
      <c r="K561" s="54"/>
      <c r="L561" s="54"/>
      <c r="M561" s="54"/>
      <c r="N561" s="54"/>
      <c r="O561" s="54"/>
      <c r="P561" s="7"/>
      <c r="Q561" s="7"/>
      <c r="R561" s="7"/>
      <c r="S561" s="7"/>
      <c r="T561" s="7"/>
      <c r="U561" s="7"/>
      <c r="V561" s="7"/>
      <c r="W561" s="7"/>
      <c r="X561" s="7"/>
      <c r="Y561" s="7"/>
      <c r="Z561" s="7"/>
      <c r="AA561" s="7"/>
    </row>
    <row r="562">
      <c r="A562" s="54"/>
      <c r="B562" s="54"/>
      <c r="C562" s="7"/>
      <c r="D562" s="7"/>
      <c r="E562" s="7"/>
      <c r="F562" s="54"/>
      <c r="G562" s="54"/>
      <c r="H562" s="54"/>
      <c r="I562" s="54"/>
      <c r="J562" s="54"/>
      <c r="K562" s="54"/>
      <c r="L562" s="54"/>
      <c r="M562" s="54"/>
      <c r="N562" s="54"/>
      <c r="O562" s="54"/>
      <c r="P562" s="7"/>
      <c r="Q562" s="7"/>
      <c r="R562" s="7"/>
      <c r="S562" s="7"/>
      <c r="T562" s="7"/>
      <c r="U562" s="7"/>
      <c r="V562" s="7"/>
      <c r="W562" s="7"/>
      <c r="X562" s="7"/>
      <c r="Y562" s="7"/>
      <c r="Z562" s="7"/>
      <c r="AA562" s="7"/>
    </row>
    <row r="563">
      <c r="A563" s="54"/>
      <c r="B563" s="54"/>
      <c r="C563" s="7"/>
      <c r="D563" s="7"/>
      <c r="E563" s="7"/>
      <c r="F563" s="54"/>
      <c r="G563" s="54"/>
      <c r="H563" s="54"/>
      <c r="I563" s="54"/>
      <c r="J563" s="54"/>
      <c r="K563" s="54"/>
      <c r="L563" s="54"/>
      <c r="M563" s="54"/>
      <c r="N563" s="54"/>
      <c r="O563" s="54"/>
      <c r="P563" s="7"/>
      <c r="Q563" s="7"/>
      <c r="R563" s="7"/>
      <c r="S563" s="7"/>
      <c r="T563" s="7"/>
      <c r="U563" s="7"/>
      <c r="V563" s="7"/>
      <c r="W563" s="7"/>
      <c r="X563" s="7"/>
      <c r="Y563" s="7"/>
      <c r="Z563" s="7"/>
      <c r="AA563" s="7"/>
    </row>
    <row r="564">
      <c r="A564" s="54"/>
      <c r="B564" s="54"/>
      <c r="C564" s="7"/>
      <c r="D564" s="7"/>
      <c r="E564" s="7"/>
      <c r="F564" s="54"/>
      <c r="G564" s="54"/>
      <c r="H564" s="54"/>
      <c r="I564" s="54"/>
      <c r="J564" s="54"/>
      <c r="K564" s="54"/>
      <c r="L564" s="54"/>
      <c r="M564" s="54"/>
      <c r="N564" s="54"/>
      <c r="O564" s="54"/>
      <c r="P564" s="7"/>
      <c r="Q564" s="7"/>
      <c r="R564" s="7"/>
      <c r="S564" s="7"/>
      <c r="T564" s="7"/>
      <c r="U564" s="7"/>
      <c r="V564" s="7"/>
      <c r="W564" s="7"/>
      <c r="X564" s="7"/>
      <c r="Y564" s="7"/>
      <c r="Z564" s="7"/>
      <c r="AA564" s="7"/>
    </row>
    <row r="565">
      <c r="A565" s="54"/>
      <c r="B565" s="54"/>
      <c r="C565" s="7"/>
      <c r="D565" s="7"/>
      <c r="E565" s="7"/>
      <c r="F565" s="54"/>
      <c r="G565" s="54"/>
      <c r="H565" s="54"/>
      <c r="I565" s="54"/>
      <c r="J565" s="54"/>
      <c r="K565" s="54"/>
      <c r="L565" s="54"/>
      <c r="M565" s="54"/>
      <c r="N565" s="54"/>
      <c r="O565" s="54"/>
      <c r="P565" s="7"/>
      <c r="Q565" s="7"/>
      <c r="R565" s="7"/>
      <c r="S565" s="7"/>
      <c r="T565" s="7"/>
      <c r="U565" s="7"/>
      <c r="V565" s="7"/>
      <c r="W565" s="7"/>
      <c r="X565" s="7"/>
      <c r="Y565" s="7"/>
      <c r="Z565" s="7"/>
      <c r="AA565" s="7"/>
    </row>
    <row r="566">
      <c r="A566" s="54"/>
      <c r="B566" s="54"/>
      <c r="C566" s="7"/>
      <c r="D566" s="7"/>
      <c r="E566" s="7"/>
      <c r="F566" s="54"/>
      <c r="G566" s="54"/>
      <c r="H566" s="54"/>
      <c r="I566" s="54"/>
      <c r="J566" s="54"/>
      <c r="K566" s="54"/>
      <c r="L566" s="54"/>
      <c r="M566" s="54"/>
      <c r="N566" s="54"/>
      <c r="O566" s="54"/>
      <c r="P566" s="7"/>
      <c r="Q566" s="7"/>
      <c r="R566" s="7"/>
      <c r="S566" s="7"/>
      <c r="T566" s="7"/>
      <c r="U566" s="7"/>
      <c r="V566" s="7"/>
      <c r="W566" s="7"/>
      <c r="X566" s="7"/>
      <c r="Y566" s="7"/>
      <c r="Z566" s="7"/>
      <c r="AA566" s="7"/>
    </row>
    <row r="567">
      <c r="A567" s="54"/>
      <c r="B567" s="54"/>
      <c r="C567" s="7"/>
      <c r="D567" s="7"/>
      <c r="E567" s="7"/>
      <c r="F567" s="54"/>
      <c r="G567" s="54"/>
      <c r="H567" s="54"/>
      <c r="I567" s="54"/>
      <c r="J567" s="54"/>
      <c r="K567" s="54"/>
      <c r="L567" s="54"/>
      <c r="M567" s="54"/>
      <c r="N567" s="54"/>
      <c r="O567" s="54"/>
      <c r="P567" s="7"/>
      <c r="Q567" s="7"/>
      <c r="R567" s="7"/>
      <c r="S567" s="7"/>
      <c r="T567" s="7"/>
      <c r="U567" s="7"/>
      <c r="V567" s="7"/>
      <c r="W567" s="7"/>
      <c r="X567" s="7"/>
      <c r="Y567" s="7"/>
      <c r="Z567" s="7"/>
      <c r="AA567" s="7"/>
    </row>
    <row r="568">
      <c r="A568" s="54"/>
      <c r="B568" s="54"/>
      <c r="C568" s="7"/>
      <c r="D568" s="7"/>
      <c r="E568" s="7"/>
      <c r="F568" s="54"/>
      <c r="G568" s="54"/>
      <c r="H568" s="54"/>
      <c r="I568" s="54"/>
      <c r="J568" s="54"/>
      <c r="K568" s="54"/>
      <c r="L568" s="54"/>
      <c r="M568" s="54"/>
      <c r="N568" s="54"/>
      <c r="O568" s="54"/>
      <c r="P568" s="7"/>
      <c r="Q568" s="7"/>
      <c r="R568" s="7"/>
      <c r="S568" s="7"/>
      <c r="T568" s="7"/>
      <c r="U568" s="7"/>
      <c r="V568" s="7"/>
      <c r="W568" s="7"/>
      <c r="X568" s="7"/>
      <c r="Y568" s="7"/>
      <c r="Z568" s="7"/>
      <c r="AA568" s="7"/>
    </row>
    <row r="569">
      <c r="A569" s="54"/>
      <c r="B569" s="54"/>
      <c r="C569" s="7"/>
      <c r="D569" s="7"/>
      <c r="E569" s="7"/>
      <c r="F569" s="54"/>
      <c r="G569" s="54"/>
      <c r="H569" s="54"/>
      <c r="I569" s="54"/>
      <c r="J569" s="54"/>
      <c r="K569" s="54"/>
      <c r="L569" s="54"/>
      <c r="M569" s="54"/>
      <c r="N569" s="54"/>
      <c r="O569" s="54"/>
      <c r="P569" s="7"/>
      <c r="Q569" s="7"/>
      <c r="R569" s="7"/>
      <c r="S569" s="7"/>
      <c r="T569" s="7"/>
      <c r="U569" s="7"/>
      <c r="V569" s="7"/>
      <c r="W569" s="7"/>
      <c r="X569" s="7"/>
      <c r="Y569" s="7"/>
      <c r="Z569" s="7"/>
      <c r="AA569" s="7"/>
    </row>
    <row r="570">
      <c r="A570" s="54"/>
      <c r="B570" s="54"/>
      <c r="C570" s="7"/>
      <c r="D570" s="7"/>
      <c r="E570" s="7"/>
      <c r="F570" s="54"/>
      <c r="G570" s="54"/>
      <c r="H570" s="54"/>
      <c r="I570" s="54"/>
      <c r="J570" s="54"/>
      <c r="K570" s="54"/>
      <c r="L570" s="54"/>
      <c r="M570" s="54"/>
      <c r="N570" s="54"/>
      <c r="O570" s="54"/>
      <c r="P570" s="7"/>
      <c r="Q570" s="7"/>
      <c r="R570" s="7"/>
      <c r="S570" s="7"/>
      <c r="T570" s="7"/>
      <c r="U570" s="7"/>
      <c r="V570" s="7"/>
      <c r="W570" s="7"/>
      <c r="X570" s="7"/>
      <c r="Y570" s="7"/>
      <c r="Z570" s="7"/>
      <c r="AA570" s="7"/>
    </row>
    <row r="571">
      <c r="A571" s="54"/>
      <c r="B571" s="54"/>
      <c r="C571" s="7"/>
      <c r="D571" s="7"/>
      <c r="E571" s="7"/>
      <c r="F571" s="54"/>
      <c r="G571" s="54"/>
      <c r="H571" s="54"/>
      <c r="I571" s="54"/>
      <c r="J571" s="54"/>
      <c r="K571" s="54"/>
      <c r="L571" s="54"/>
      <c r="M571" s="54"/>
      <c r="N571" s="54"/>
      <c r="O571" s="54"/>
      <c r="P571" s="7"/>
      <c r="Q571" s="7"/>
      <c r="R571" s="7"/>
      <c r="S571" s="7"/>
      <c r="T571" s="7"/>
      <c r="U571" s="7"/>
      <c r="V571" s="7"/>
      <c r="W571" s="7"/>
      <c r="X571" s="7"/>
      <c r="Y571" s="7"/>
      <c r="Z571" s="7"/>
      <c r="AA571" s="7"/>
    </row>
    <row r="572">
      <c r="A572" s="54"/>
      <c r="B572" s="54"/>
      <c r="C572" s="7"/>
      <c r="D572" s="7"/>
      <c r="E572" s="7"/>
      <c r="F572" s="54"/>
      <c r="G572" s="54"/>
      <c r="H572" s="54"/>
      <c r="I572" s="54"/>
      <c r="J572" s="54"/>
      <c r="K572" s="54"/>
      <c r="L572" s="54"/>
      <c r="M572" s="54"/>
      <c r="N572" s="54"/>
      <c r="O572" s="54"/>
      <c r="P572" s="7"/>
      <c r="Q572" s="7"/>
      <c r="R572" s="7"/>
      <c r="S572" s="7"/>
      <c r="T572" s="7"/>
      <c r="U572" s="7"/>
      <c r="V572" s="7"/>
      <c r="W572" s="7"/>
      <c r="X572" s="7"/>
      <c r="Y572" s="7"/>
      <c r="Z572" s="7"/>
      <c r="AA572" s="7"/>
    </row>
    <row r="573">
      <c r="A573" s="54"/>
      <c r="B573" s="54"/>
      <c r="C573" s="7"/>
      <c r="D573" s="7"/>
      <c r="E573" s="7"/>
      <c r="F573" s="54"/>
      <c r="G573" s="54"/>
      <c r="H573" s="54"/>
      <c r="I573" s="54"/>
      <c r="J573" s="54"/>
      <c r="K573" s="54"/>
      <c r="L573" s="54"/>
      <c r="M573" s="54"/>
      <c r="N573" s="54"/>
      <c r="O573" s="54"/>
      <c r="P573" s="7"/>
      <c r="Q573" s="7"/>
      <c r="R573" s="7"/>
      <c r="S573" s="7"/>
      <c r="T573" s="7"/>
      <c r="U573" s="7"/>
      <c r="V573" s="7"/>
      <c r="W573" s="7"/>
      <c r="X573" s="7"/>
      <c r="Y573" s="7"/>
      <c r="Z573" s="7"/>
      <c r="AA573" s="7"/>
    </row>
    <row r="574">
      <c r="A574" s="54"/>
      <c r="B574" s="54"/>
      <c r="C574" s="7"/>
      <c r="D574" s="7"/>
      <c r="E574" s="7"/>
      <c r="F574" s="54"/>
      <c r="G574" s="54"/>
      <c r="H574" s="54"/>
      <c r="I574" s="54"/>
      <c r="J574" s="54"/>
      <c r="K574" s="54"/>
      <c r="L574" s="54"/>
      <c r="M574" s="54"/>
      <c r="N574" s="54"/>
      <c r="O574" s="54"/>
      <c r="P574" s="7"/>
      <c r="Q574" s="7"/>
      <c r="R574" s="7"/>
      <c r="S574" s="7"/>
      <c r="T574" s="7"/>
      <c r="U574" s="7"/>
      <c r="V574" s="7"/>
      <c r="W574" s="7"/>
      <c r="X574" s="7"/>
      <c r="Y574" s="7"/>
      <c r="Z574" s="7"/>
      <c r="AA574" s="7"/>
    </row>
    <row r="575">
      <c r="A575" s="54"/>
      <c r="B575" s="54"/>
      <c r="C575" s="7"/>
      <c r="D575" s="7"/>
      <c r="E575" s="7"/>
      <c r="F575" s="54"/>
      <c r="G575" s="54"/>
      <c r="H575" s="54"/>
      <c r="I575" s="54"/>
      <c r="J575" s="54"/>
      <c r="K575" s="54"/>
      <c r="L575" s="54"/>
      <c r="M575" s="54"/>
      <c r="N575" s="54"/>
      <c r="O575" s="54"/>
      <c r="P575" s="7"/>
      <c r="Q575" s="7"/>
      <c r="R575" s="7"/>
      <c r="S575" s="7"/>
      <c r="T575" s="7"/>
      <c r="U575" s="7"/>
      <c r="V575" s="7"/>
      <c r="W575" s="7"/>
      <c r="X575" s="7"/>
      <c r="Y575" s="7"/>
      <c r="Z575" s="7"/>
      <c r="AA575" s="7"/>
    </row>
    <row r="576">
      <c r="A576" s="54"/>
      <c r="B576" s="54"/>
      <c r="C576" s="7"/>
      <c r="D576" s="7"/>
      <c r="E576" s="7"/>
      <c r="F576" s="54"/>
      <c r="G576" s="54"/>
      <c r="H576" s="54"/>
      <c r="I576" s="54"/>
      <c r="J576" s="54"/>
      <c r="K576" s="54"/>
      <c r="L576" s="54"/>
      <c r="M576" s="54"/>
      <c r="N576" s="54"/>
      <c r="O576" s="54"/>
      <c r="P576" s="7"/>
      <c r="Q576" s="7"/>
      <c r="R576" s="7"/>
      <c r="S576" s="7"/>
      <c r="T576" s="7"/>
      <c r="U576" s="7"/>
      <c r="V576" s="7"/>
      <c r="W576" s="7"/>
      <c r="X576" s="7"/>
      <c r="Y576" s="7"/>
      <c r="Z576" s="7"/>
      <c r="AA576" s="7"/>
    </row>
    <row r="577">
      <c r="A577" s="54"/>
      <c r="B577" s="54"/>
      <c r="C577" s="7"/>
      <c r="D577" s="7"/>
      <c r="E577" s="7"/>
      <c r="F577" s="54"/>
      <c r="G577" s="54"/>
      <c r="H577" s="54"/>
      <c r="I577" s="54"/>
      <c r="J577" s="54"/>
      <c r="K577" s="54"/>
      <c r="L577" s="54"/>
      <c r="M577" s="54"/>
      <c r="N577" s="54"/>
      <c r="O577" s="54"/>
      <c r="P577" s="7"/>
      <c r="Q577" s="7"/>
      <c r="R577" s="7"/>
      <c r="S577" s="7"/>
      <c r="T577" s="7"/>
      <c r="U577" s="7"/>
      <c r="V577" s="7"/>
      <c r="W577" s="7"/>
      <c r="X577" s="7"/>
      <c r="Y577" s="7"/>
      <c r="Z577" s="7"/>
      <c r="AA577" s="7"/>
    </row>
    <row r="578">
      <c r="A578" s="54"/>
      <c r="B578" s="54"/>
      <c r="C578" s="7"/>
      <c r="D578" s="7"/>
      <c r="E578" s="7"/>
      <c r="F578" s="54"/>
      <c r="G578" s="54"/>
      <c r="H578" s="54"/>
      <c r="I578" s="54"/>
      <c r="J578" s="54"/>
      <c r="K578" s="54"/>
      <c r="L578" s="54"/>
      <c r="M578" s="54"/>
      <c r="N578" s="54"/>
      <c r="O578" s="54"/>
      <c r="P578" s="7"/>
      <c r="Q578" s="7"/>
      <c r="R578" s="7"/>
      <c r="S578" s="7"/>
      <c r="T578" s="7"/>
      <c r="U578" s="7"/>
      <c r="V578" s="7"/>
      <c r="W578" s="7"/>
      <c r="X578" s="7"/>
      <c r="Y578" s="7"/>
      <c r="Z578" s="7"/>
      <c r="AA578" s="7"/>
    </row>
    <row r="579">
      <c r="A579" s="54"/>
      <c r="B579" s="54"/>
      <c r="C579" s="7"/>
      <c r="D579" s="7"/>
      <c r="E579" s="7"/>
      <c r="F579" s="54"/>
      <c r="G579" s="54"/>
      <c r="H579" s="54"/>
      <c r="I579" s="54"/>
      <c r="J579" s="54"/>
      <c r="K579" s="54"/>
      <c r="L579" s="54"/>
      <c r="M579" s="54"/>
      <c r="N579" s="54"/>
      <c r="O579" s="54"/>
      <c r="P579" s="7"/>
      <c r="Q579" s="7"/>
      <c r="R579" s="7"/>
      <c r="S579" s="7"/>
      <c r="T579" s="7"/>
      <c r="U579" s="7"/>
      <c r="V579" s="7"/>
      <c r="W579" s="7"/>
      <c r="X579" s="7"/>
      <c r="Y579" s="7"/>
      <c r="Z579" s="7"/>
      <c r="AA579" s="7"/>
    </row>
    <row r="580">
      <c r="A580" s="54"/>
      <c r="B580" s="54"/>
      <c r="C580" s="7"/>
      <c r="D580" s="7"/>
      <c r="E580" s="7"/>
      <c r="F580" s="54"/>
      <c r="G580" s="54"/>
      <c r="H580" s="54"/>
      <c r="I580" s="54"/>
      <c r="J580" s="54"/>
      <c r="K580" s="54"/>
      <c r="L580" s="54"/>
      <c r="M580" s="54"/>
      <c r="N580" s="54"/>
      <c r="O580" s="54"/>
      <c r="P580" s="7"/>
      <c r="Q580" s="7"/>
      <c r="R580" s="7"/>
      <c r="S580" s="7"/>
      <c r="T580" s="7"/>
      <c r="U580" s="7"/>
      <c r="V580" s="7"/>
      <c r="W580" s="7"/>
      <c r="X580" s="7"/>
      <c r="Y580" s="7"/>
      <c r="Z580" s="7"/>
      <c r="AA580" s="7"/>
    </row>
    <row r="581">
      <c r="A581" s="54"/>
      <c r="B581" s="54"/>
      <c r="C581" s="7"/>
      <c r="D581" s="7"/>
      <c r="E581" s="7"/>
      <c r="F581" s="54"/>
      <c r="G581" s="54"/>
      <c r="H581" s="54"/>
      <c r="I581" s="54"/>
      <c r="J581" s="54"/>
      <c r="K581" s="54"/>
      <c r="L581" s="54"/>
      <c r="M581" s="54"/>
      <c r="N581" s="54"/>
      <c r="O581" s="54"/>
      <c r="P581" s="7"/>
      <c r="Q581" s="7"/>
      <c r="R581" s="7"/>
      <c r="S581" s="7"/>
      <c r="T581" s="7"/>
      <c r="U581" s="7"/>
      <c r="V581" s="7"/>
      <c r="W581" s="7"/>
      <c r="X581" s="7"/>
      <c r="Y581" s="7"/>
      <c r="Z581" s="7"/>
      <c r="AA581" s="7"/>
    </row>
    <row r="582">
      <c r="A582" s="54"/>
      <c r="B582" s="54"/>
      <c r="C582" s="7"/>
      <c r="D582" s="7"/>
      <c r="E582" s="7"/>
      <c r="F582" s="54"/>
      <c r="G582" s="54"/>
      <c r="H582" s="54"/>
      <c r="I582" s="54"/>
      <c r="J582" s="54"/>
      <c r="K582" s="54"/>
      <c r="L582" s="54"/>
      <c r="M582" s="54"/>
      <c r="N582" s="54"/>
      <c r="O582" s="54"/>
      <c r="P582" s="7"/>
      <c r="Q582" s="7"/>
      <c r="R582" s="7"/>
      <c r="S582" s="7"/>
      <c r="T582" s="7"/>
      <c r="U582" s="7"/>
      <c r="V582" s="7"/>
      <c r="W582" s="7"/>
      <c r="X582" s="7"/>
      <c r="Y582" s="7"/>
      <c r="Z582" s="7"/>
      <c r="AA582" s="7"/>
    </row>
    <row r="583">
      <c r="A583" s="54"/>
      <c r="B583" s="54"/>
      <c r="C583" s="7"/>
      <c r="D583" s="7"/>
      <c r="E583" s="7"/>
      <c r="F583" s="54"/>
      <c r="G583" s="54"/>
      <c r="H583" s="54"/>
      <c r="I583" s="54"/>
      <c r="J583" s="54"/>
      <c r="K583" s="54"/>
      <c r="L583" s="54"/>
      <c r="M583" s="54"/>
      <c r="N583" s="54"/>
      <c r="O583" s="54"/>
      <c r="P583" s="7"/>
      <c r="Q583" s="7"/>
      <c r="R583" s="7"/>
      <c r="S583" s="7"/>
      <c r="T583" s="7"/>
      <c r="U583" s="7"/>
      <c r="V583" s="7"/>
      <c r="W583" s="7"/>
      <c r="X583" s="7"/>
      <c r="Y583" s="7"/>
      <c r="Z583" s="7"/>
      <c r="AA583" s="7"/>
    </row>
    <row r="584">
      <c r="A584" s="54"/>
      <c r="B584" s="54"/>
      <c r="C584" s="7"/>
      <c r="D584" s="7"/>
      <c r="E584" s="7"/>
      <c r="F584" s="54"/>
      <c r="G584" s="54"/>
      <c r="H584" s="54"/>
      <c r="I584" s="54"/>
      <c r="J584" s="54"/>
      <c r="K584" s="54"/>
      <c r="L584" s="54"/>
      <c r="M584" s="54"/>
      <c r="N584" s="54"/>
      <c r="O584" s="54"/>
      <c r="P584" s="7"/>
      <c r="Q584" s="7"/>
      <c r="R584" s="7"/>
      <c r="S584" s="7"/>
      <c r="T584" s="7"/>
      <c r="U584" s="7"/>
      <c r="V584" s="7"/>
      <c r="W584" s="7"/>
      <c r="X584" s="7"/>
      <c r="Y584" s="7"/>
      <c r="Z584" s="7"/>
      <c r="AA584" s="7"/>
    </row>
    <row r="585">
      <c r="A585" s="54"/>
      <c r="B585" s="54"/>
      <c r="C585" s="7"/>
      <c r="D585" s="7"/>
      <c r="E585" s="7"/>
      <c r="F585" s="54"/>
      <c r="G585" s="54"/>
      <c r="H585" s="54"/>
      <c r="I585" s="54"/>
      <c r="J585" s="54"/>
      <c r="K585" s="54"/>
      <c r="L585" s="54"/>
      <c r="M585" s="54"/>
      <c r="N585" s="54"/>
      <c r="O585" s="54"/>
      <c r="P585" s="7"/>
      <c r="Q585" s="7"/>
      <c r="R585" s="7"/>
      <c r="S585" s="7"/>
      <c r="T585" s="7"/>
      <c r="U585" s="7"/>
      <c r="V585" s="7"/>
      <c r="W585" s="7"/>
      <c r="X585" s="7"/>
      <c r="Y585" s="7"/>
      <c r="Z585" s="7"/>
      <c r="AA585" s="7"/>
    </row>
    <row r="586">
      <c r="A586" s="54"/>
      <c r="B586" s="54"/>
      <c r="C586" s="7"/>
      <c r="D586" s="7"/>
      <c r="E586" s="7"/>
      <c r="F586" s="54"/>
      <c r="G586" s="54"/>
      <c r="H586" s="54"/>
      <c r="I586" s="54"/>
      <c r="J586" s="54"/>
      <c r="K586" s="54"/>
      <c r="L586" s="54"/>
      <c r="M586" s="54"/>
      <c r="N586" s="54"/>
      <c r="O586" s="54"/>
      <c r="P586" s="7"/>
      <c r="Q586" s="7"/>
      <c r="R586" s="7"/>
      <c r="S586" s="7"/>
      <c r="T586" s="7"/>
      <c r="U586" s="7"/>
      <c r="V586" s="7"/>
      <c r="W586" s="7"/>
      <c r="X586" s="7"/>
      <c r="Y586" s="7"/>
      <c r="Z586" s="7"/>
      <c r="AA586" s="7"/>
    </row>
    <row r="587">
      <c r="A587" s="54"/>
      <c r="B587" s="54"/>
      <c r="C587" s="7"/>
      <c r="D587" s="7"/>
      <c r="E587" s="7"/>
      <c r="F587" s="54"/>
      <c r="G587" s="54"/>
      <c r="H587" s="54"/>
      <c r="I587" s="54"/>
      <c r="J587" s="54"/>
      <c r="K587" s="54"/>
      <c r="L587" s="54"/>
      <c r="M587" s="54"/>
      <c r="N587" s="54"/>
      <c r="O587" s="54"/>
      <c r="P587" s="7"/>
      <c r="Q587" s="7"/>
      <c r="R587" s="7"/>
      <c r="S587" s="7"/>
      <c r="T587" s="7"/>
      <c r="U587" s="7"/>
      <c r="V587" s="7"/>
      <c r="W587" s="7"/>
      <c r="X587" s="7"/>
      <c r="Y587" s="7"/>
      <c r="Z587" s="7"/>
      <c r="AA587" s="7"/>
    </row>
    <row r="588">
      <c r="A588" s="54"/>
      <c r="B588" s="54"/>
      <c r="C588" s="7"/>
      <c r="D588" s="7"/>
      <c r="E588" s="7"/>
      <c r="F588" s="54"/>
      <c r="G588" s="54"/>
      <c r="H588" s="54"/>
      <c r="I588" s="54"/>
      <c r="J588" s="54"/>
      <c r="K588" s="54"/>
      <c r="L588" s="54"/>
      <c r="M588" s="54"/>
      <c r="N588" s="54"/>
      <c r="O588" s="54"/>
      <c r="P588" s="7"/>
      <c r="Q588" s="7"/>
      <c r="R588" s="7"/>
      <c r="S588" s="7"/>
      <c r="T588" s="7"/>
      <c r="U588" s="7"/>
      <c r="V588" s="7"/>
      <c r="W588" s="7"/>
      <c r="X588" s="7"/>
      <c r="Y588" s="7"/>
      <c r="Z588" s="7"/>
      <c r="AA588" s="7"/>
    </row>
    <row r="589">
      <c r="A589" s="54"/>
      <c r="B589" s="54"/>
      <c r="C589" s="7"/>
      <c r="D589" s="7"/>
      <c r="E589" s="7"/>
      <c r="F589" s="54"/>
      <c r="G589" s="54"/>
      <c r="H589" s="54"/>
      <c r="I589" s="54"/>
      <c r="J589" s="54"/>
      <c r="K589" s="54"/>
      <c r="L589" s="54"/>
      <c r="M589" s="54"/>
      <c r="N589" s="54"/>
      <c r="O589" s="54"/>
      <c r="P589" s="7"/>
      <c r="Q589" s="7"/>
      <c r="R589" s="7"/>
      <c r="S589" s="7"/>
      <c r="T589" s="7"/>
      <c r="U589" s="7"/>
      <c r="V589" s="7"/>
      <c r="W589" s="7"/>
      <c r="X589" s="7"/>
      <c r="Y589" s="7"/>
      <c r="Z589" s="7"/>
      <c r="AA589" s="7"/>
    </row>
    <row r="590">
      <c r="A590" s="54"/>
      <c r="B590" s="54"/>
      <c r="C590" s="7"/>
      <c r="D590" s="7"/>
      <c r="E590" s="7"/>
      <c r="F590" s="54"/>
      <c r="G590" s="54"/>
      <c r="H590" s="54"/>
      <c r="I590" s="54"/>
      <c r="J590" s="54"/>
      <c r="K590" s="54"/>
      <c r="L590" s="54"/>
      <c r="M590" s="54"/>
      <c r="N590" s="54"/>
      <c r="O590" s="54"/>
      <c r="P590" s="7"/>
      <c r="Q590" s="7"/>
      <c r="R590" s="7"/>
      <c r="S590" s="7"/>
      <c r="T590" s="7"/>
      <c r="U590" s="7"/>
      <c r="V590" s="7"/>
      <c r="W590" s="7"/>
      <c r="X590" s="7"/>
      <c r="Y590" s="7"/>
      <c r="Z590" s="7"/>
      <c r="AA590" s="7"/>
    </row>
    <row r="591">
      <c r="A591" s="54"/>
      <c r="B591" s="54"/>
      <c r="C591" s="7"/>
      <c r="D591" s="7"/>
      <c r="E591" s="7"/>
      <c r="F591" s="54"/>
      <c r="G591" s="54"/>
      <c r="H591" s="54"/>
      <c r="I591" s="54"/>
      <c r="J591" s="54"/>
      <c r="K591" s="54"/>
      <c r="L591" s="54"/>
      <c r="M591" s="54"/>
      <c r="N591" s="54"/>
      <c r="O591" s="54"/>
      <c r="P591" s="7"/>
      <c r="Q591" s="7"/>
      <c r="R591" s="7"/>
      <c r="S591" s="7"/>
      <c r="T591" s="7"/>
      <c r="U591" s="7"/>
      <c r="V591" s="7"/>
      <c r="W591" s="7"/>
      <c r="X591" s="7"/>
      <c r="Y591" s="7"/>
      <c r="Z591" s="7"/>
      <c r="AA591" s="7"/>
    </row>
    <row r="592">
      <c r="A592" s="54"/>
      <c r="B592" s="54"/>
      <c r="C592" s="7"/>
      <c r="D592" s="7"/>
      <c r="E592" s="7"/>
      <c r="F592" s="54"/>
      <c r="G592" s="54"/>
      <c r="H592" s="54"/>
      <c r="I592" s="54"/>
      <c r="J592" s="54"/>
      <c r="K592" s="54"/>
      <c r="L592" s="54"/>
      <c r="M592" s="54"/>
      <c r="N592" s="54"/>
      <c r="O592" s="54"/>
      <c r="P592" s="7"/>
      <c r="Q592" s="7"/>
      <c r="R592" s="7"/>
      <c r="S592" s="7"/>
      <c r="T592" s="7"/>
      <c r="U592" s="7"/>
      <c r="V592" s="7"/>
      <c r="W592" s="7"/>
      <c r="X592" s="7"/>
      <c r="Y592" s="7"/>
      <c r="Z592" s="7"/>
      <c r="AA592" s="7"/>
    </row>
    <row r="593">
      <c r="A593" s="54"/>
      <c r="B593" s="54"/>
      <c r="C593" s="7"/>
      <c r="D593" s="7"/>
      <c r="E593" s="7"/>
      <c r="F593" s="54"/>
      <c r="G593" s="54"/>
      <c r="H593" s="54"/>
      <c r="I593" s="54"/>
      <c r="J593" s="54"/>
      <c r="K593" s="54"/>
      <c r="L593" s="54"/>
      <c r="M593" s="54"/>
      <c r="N593" s="54"/>
      <c r="O593" s="54"/>
      <c r="P593" s="7"/>
      <c r="Q593" s="7"/>
      <c r="R593" s="7"/>
      <c r="S593" s="7"/>
      <c r="T593" s="7"/>
      <c r="U593" s="7"/>
      <c r="V593" s="7"/>
      <c r="W593" s="7"/>
      <c r="X593" s="7"/>
      <c r="Y593" s="7"/>
      <c r="Z593" s="7"/>
      <c r="AA593" s="7"/>
    </row>
    <row r="594">
      <c r="A594" s="54"/>
      <c r="B594" s="54"/>
      <c r="C594" s="7"/>
      <c r="D594" s="7"/>
      <c r="E594" s="7"/>
      <c r="F594" s="54"/>
      <c r="G594" s="54"/>
      <c r="H594" s="54"/>
      <c r="I594" s="54"/>
      <c r="J594" s="54"/>
      <c r="K594" s="54"/>
      <c r="L594" s="54"/>
      <c r="M594" s="54"/>
      <c r="N594" s="54"/>
      <c r="O594" s="54"/>
      <c r="P594" s="7"/>
      <c r="Q594" s="7"/>
      <c r="R594" s="7"/>
      <c r="S594" s="7"/>
      <c r="T594" s="7"/>
      <c r="U594" s="7"/>
      <c r="V594" s="7"/>
      <c r="W594" s="7"/>
      <c r="X594" s="7"/>
      <c r="Y594" s="7"/>
      <c r="Z594" s="7"/>
      <c r="AA594" s="7"/>
    </row>
    <row r="595">
      <c r="A595" s="54"/>
      <c r="B595" s="54"/>
      <c r="C595" s="7"/>
      <c r="D595" s="7"/>
      <c r="E595" s="7"/>
      <c r="F595" s="54"/>
      <c r="G595" s="54"/>
      <c r="H595" s="54"/>
      <c r="I595" s="54"/>
      <c r="J595" s="54"/>
      <c r="K595" s="54"/>
      <c r="L595" s="54"/>
      <c r="M595" s="54"/>
      <c r="N595" s="54"/>
      <c r="O595" s="54"/>
      <c r="P595" s="7"/>
      <c r="Q595" s="7"/>
      <c r="R595" s="7"/>
      <c r="S595" s="7"/>
      <c r="T595" s="7"/>
      <c r="U595" s="7"/>
      <c r="V595" s="7"/>
      <c r="W595" s="7"/>
      <c r="X595" s="7"/>
      <c r="Y595" s="7"/>
      <c r="Z595" s="7"/>
      <c r="AA595" s="7"/>
    </row>
    <row r="596">
      <c r="A596" s="54"/>
      <c r="B596" s="54"/>
      <c r="C596" s="7"/>
      <c r="D596" s="7"/>
      <c r="E596" s="7"/>
      <c r="F596" s="54"/>
      <c r="G596" s="54"/>
      <c r="H596" s="54"/>
      <c r="I596" s="54"/>
      <c r="J596" s="54"/>
      <c r="K596" s="54"/>
      <c r="L596" s="54"/>
      <c r="M596" s="54"/>
      <c r="N596" s="54"/>
      <c r="O596" s="54"/>
      <c r="P596" s="7"/>
      <c r="Q596" s="7"/>
      <c r="R596" s="7"/>
      <c r="S596" s="7"/>
      <c r="T596" s="7"/>
      <c r="U596" s="7"/>
      <c r="V596" s="7"/>
      <c r="W596" s="7"/>
      <c r="X596" s="7"/>
      <c r="Y596" s="7"/>
      <c r="Z596" s="7"/>
      <c r="AA596" s="7"/>
    </row>
    <row r="597">
      <c r="A597" s="54"/>
      <c r="B597" s="54"/>
      <c r="C597" s="7"/>
      <c r="D597" s="7"/>
      <c r="E597" s="7"/>
      <c r="F597" s="54"/>
      <c r="G597" s="54"/>
      <c r="H597" s="54"/>
      <c r="I597" s="54"/>
      <c r="J597" s="54"/>
      <c r="K597" s="54"/>
      <c r="L597" s="54"/>
      <c r="M597" s="54"/>
      <c r="N597" s="54"/>
      <c r="O597" s="54"/>
      <c r="P597" s="7"/>
      <c r="Q597" s="7"/>
      <c r="R597" s="7"/>
      <c r="S597" s="7"/>
      <c r="T597" s="7"/>
      <c r="U597" s="7"/>
      <c r="V597" s="7"/>
      <c r="W597" s="7"/>
      <c r="X597" s="7"/>
      <c r="Y597" s="7"/>
      <c r="Z597" s="7"/>
      <c r="AA597" s="7"/>
    </row>
    <row r="598">
      <c r="A598" s="54"/>
      <c r="B598" s="54"/>
      <c r="C598" s="7"/>
      <c r="D598" s="7"/>
      <c r="E598" s="7"/>
      <c r="F598" s="54"/>
      <c r="G598" s="54"/>
      <c r="H598" s="54"/>
      <c r="I598" s="54"/>
      <c r="J598" s="54"/>
      <c r="K598" s="54"/>
      <c r="L598" s="54"/>
      <c r="M598" s="54"/>
      <c r="N598" s="54"/>
      <c r="O598" s="54"/>
      <c r="P598" s="7"/>
      <c r="Q598" s="7"/>
      <c r="R598" s="7"/>
      <c r="S598" s="7"/>
      <c r="T598" s="7"/>
      <c r="U598" s="7"/>
      <c r="V598" s="7"/>
      <c r="W598" s="7"/>
      <c r="X598" s="7"/>
      <c r="Y598" s="7"/>
      <c r="Z598" s="7"/>
      <c r="AA598" s="7"/>
    </row>
    <row r="599">
      <c r="A599" s="54"/>
      <c r="B599" s="54"/>
      <c r="C599" s="7"/>
      <c r="D599" s="7"/>
      <c r="E599" s="7"/>
      <c r="F599" s="54"/>
      <c r="G599" s="54"/>
      <c r="H599" s="54"/>
      <c r="I599" s="54"/>
      <c r="J599" s="54"/>
      <c r="K599" s="54"/>
      <c r="L599" s="54"/>
      <c r="M599" s="54"/>
      <c r="N599" s="54"/>
      <c r="O599" s="54"/>
      <c r="P599" s="7"/>
      <c r="Q599" s="7"/>
      <c r="R599" s="7"/>
      <c r="S599" s="7"/>
      <c r="T599" s="7"/>
      <c r="U599" s="7"/>
      <c r="V599" s="7"/>
      <c r="W599" s="7"/>
      <c r="X599" s="7"/>
      <c r="Y599" s="7"/>
      <c r="Z599" s="7"/>
      <c r="AA599" s="7"/>
    </row>
    <row r="600">
      <c r="A600" s="54"/>
      <c r="B600" s="54"/>
      <c r="C600" s="7"/>
      <c r="D600" s="7"/>
      <c r="E600" s="7"/>
      <c r="F600" s="54"/>
      <c r="G600" s="54"/>
      <c r="H600" s="54"/>
      <c r="I600" s="54"/>
      <c r="J600" s="54"/>
      <c r="K600" s="54"/>
      <c r="L600" s="54"/>
      <c r="M600" s="54"/>
      <c r="N600" s="54"/>
      <c r="O600" s="54"/>
      <c r="P600" s="7"/>
      <c r="Q600" s="7"/>
      <c r="R600" s="7"/>
      <c r="S600" s="7"/>
      <c r="T600" s="7"/>
      <c r="U600" s="7"/>
      <c r="V600" s="7"/>
      <c r="W600" s="7"/>
      <c r="X600" s="7"/>
      <c r="Y600" s="7"/>
      <c r="Z600" s="7"/>
      <c r="AA600" s="7"/>
    </row>
    <row r="601">
      <c r="A601" s="54"/>
      <c r="B601" s="54"/>
      <c r="C601" s="7"/>
      <c r="D601" s="7"/>
      <c r="E601" s="7"/>
      <c r="F601" s="54"/>
      <c r="G601" s="54"/>
      <c r="H601" s="54"/>
      <c r="I601" s="54"/>
      <c r="J601" s="54"/>
      <c r="K601" s="54"/>
      <c r="L601" s="54"/>
      <c r="M601" s="54"/>
      <c r="N601" s="54"/>
      <c r="O601" s="54"/>
      <c r="P601" s="7"/>
      <c r="Q601" s="7"/>
      <c r="R601" s="7"/>
      <c r="S601" s="7"/>
      <c r="T601" s="7"/>
      <c r="U601" s="7"/>
      <c r="V601" s="7"/>
      <c r="W601" s="7"/>
      <c r="X601" s="7"/>
      <c r="Y601" s="7"/>
      <c r="Z601" s="7"/>
      <c r="AA601" s="7"/>
    </row>
    <row r="602">
      <c r="A602" s="54"/>
      <c r="B602" s="54"/>
      <c r="C602" s="7"/>
      <c r="D602" s="7"/>
      <c r="E602" s="7"/>
      <c r="F602" s="54"/>
      <c r="G602" s="54"/>
      <c r="H602" s="54"/>
      <c r="I602" s="54"/>
      <c r="J602" s="54"/>
      <c r="K602" s="54"/>
      <c r="L602" s="54"/>
      <c r="M602" s="54"/>
      <c r="N602" s="54"/>
      <c r="O602" s="54"/>
      <c r="P602" s="7"/>
      <c r="Q602" s="7"/>
      <c r="R602" s="7"/>
      <c r="S602" s="7"/>
      <c r="T602" s="7"/>
      <c r="U602" s="7"/>
      <c r="V602" s="7"/>
      <c r="W602" s="7"/>
      <c r="X602" s="7"/>
      <c r="Y602" s="7"/>
      <c r="Z602" s="7"/>
      <c r="AA602" s="7"/>
    </row>
    <row r="603">
      <c r="A603" s="54"/>
      <c r="B603" s="54"/>
      <c r="C603" s="7"/>
      <c r="D603" s="7"/>
      <c r="E603" s="7"/>
      <c r="F603" s="54"/>
      <c r="G603" s="54"/>
      <c r="H603" s="54"/>
      <c r="I603" s="54"/>
      <c r="J603" s="54"/>
      <c r="K603" s="54"/>
      <c r="L603" s="54"/>
      <c r="M603" s="54"/>
      <c r="N603" s="54"/>
      <c r="O603" s="54"/>
      <c r="P603" s="7"/>
      <c r="Q603" s="7"/>
      <c r="R603" s="7"/>
      <c r="S603" s="7"/>
      <c r="T603" s="7"/>
      <c r="U603" s="7"/>
      <c r="V603" s="7"/>
      <c r="W603" s="7"/>
      <c r="X603" s="7"/>
      <c r="Y603" s="7"/>
      <c r="Z603" s="7"/>
      <c r="AA603" s="7"/>
    </row>
    <row r="604">
      <c r="A604" s="54"/>
      <c r="B604" s="54"/>
      <c r="C604" s="7"/>
      <c r="D604" s="7"/>
      <c r="E604" s="7"/>
      <c r="F604" s="54"/>
      <c r="G604" s="54"/>
      <c r="H604" s="54"/>
      <c r="I604" s="54"/>
      <c r="J604" s="54"/>
      <c r="K604" s="54"/>
      <c r="L604" s="54"/>
      <c r="M604" s="54"/>
      <c r="N604" s="54"/>
      <c r="O604" s="54"/>
      <c r="P604" s="7"/>
      <c r="Q604" s="7"/>
      <c r="R604" s="7"/>
      <c r="S604" s="7"/>
      <c r="T604" s="7"/>
      <c r="U604" s="7"/>
      <c r="V604" s="7"/>
      <c r="W604" s="7"/>
      <c r="X604" s="7"/>
      <c r="Y604" s="7"/>
      <c r="Z604" s="7"/>
      <c r="AA604" s="7"/>
    </row>
    <row r="605">
      <c r="A605" s="54"/>
      <c r="B605" s="54"/>
      <c r="C605" s="7"/>
      <c r="D605" s="7"/>
      <c r="E605" s="7"/>
      <c r="F605" s="54"/>
      <c r="G605" s="54"/>
      <c r="H605" s="54"/>
      <c r="I605" s="54"/>
      <c r="J605" s="54"/>
      <c r="K605" s="54"/>
      <c r="L605" s="54"/>
      <c r="M605" s="54"/>
      <c r="N605" s="54"/>
      <c r="O605" s="54"/>
      <c r="P605" s="7"/>
      <c r="Q605" s="7"/>
      <c r="R605" s="7"/>
      <c r="S605" s="7"/>
      <c r="T605" s="7"/>
      <c r="U605" s="7"/>
      <c r="V605" s="7"/>
      <c r="W605" s="7"/>
      <c r="X605" s="7"/>
      <c r="Y605" s="7"/>
      <c r="Z605" s="7"/>
      <c r="AA605" s="7"/>
    </row>
    <row r="606">
      <c r="A606" s="54"/>
      <c r="B606" s="54"/>
      <c r="C606" s="7"/>
      <c r="D606" s="7"/>
      <c r="E606" s="7"/>
      <c r="F606" s="54"/>
      <c r="G606" s="54"/>
      <c r="H606" s="54"/>
      <c r="I606" s="54"/>
      <c r="J606" s="54"/>
      <c r="K606" s="54"/>
      <c r="L606" s="54"/>
      <c r="M606" s="54"/>
      <c r="N606" s="54"/>
      <c r="O606" s="54"/>
      <c r="P606" s="7"/>
      <c r="Q606" s="7"/>
      <c r="R606" s="7"/>
      <c r="S606" s="7"/>
      <c r="T606" s="7"/>
      <c r="U606" s="7"/>
      <c r="V606" s="7"/>
      <c r="W606" s="7"/>
      <c r="X606" s="7"/>
      <c r="Y606" s="7"/>
      <c r="Z606" s="7"/>
      <c r="AA606" s="7"/>
    </row>
    <row r="607">
      <c r="A607" s="54"/>
      <c r="B607" s="54"/>
      <c r="C607" s="7"/>
      <c r="D607" s="7"/>
      <c r="E607" s="7"/>
      <c r="F607" s="54"/>
      <c r="G607" s="54"/>
      <c r="H607" s="54"/>
      <c r="I607" s="54"/>
      <c r="J607" s="54"/>
      <c r="K607" s="54"/>
      <c r="L607" s="54"/>
      <c r="M607" s="54"/>
      <c r="N607" s="54"/>
      <c r="O607" s="54"/>
      <c r="P607" s="7"/>
      <c r="Q607" s="7"/>
      <c r="R607" s="7"/>
      <c r="S607" s="7"/>
      <c r="T607" s="7"/>
      <c r="U607" s="7"/>
      <c r="V607" s="7"/>
      <c r="W607" s="7"/>
      <c r="X607" s="7"/>
      <c r="Y607" s="7"/>
      <c r="Z607" s="7"/>
      <c r="AA607" s="7"/>
    </row>
    <row r="608">
      <c r="A608" s="54"/>
      <c r="B608" s="54"/>
      <c r="C608" s="7"/>
      <c r="D608" s="7"/>
      <c r="E608" s="7"/>
      <c r="F608" s="54"/>
      <c r="G608" s="54"/>
      <c r="H608" s="54"/>
      <c r="I608" s="54"/>
      <c r="J608" s="54"/>
      <c r="K608" s="54"/>
      <c r="L608" s="54"/>
      <c r="M608" s="54"/>
      <c r="N608" s="54"/>
      <c r="O608" s="54"/>
      <c r="P608" s="7"/>
      <c r="Q608" s="7"/>
      <c r="R608" s="7"/>
      <c r="S608" s="7"/>
      <c r="T608" s="7"/>
      <c r="U608" s="7"/>
      <c r="V608" s="7"/>
      <c r="W608" s="7"/>
      <c r="X608" s="7"/>
      <c r="Y608" s="7"/>
      <c r="Z608" s="7"/>
      <c r="AA608" s="7"/>
    </row>
    <row r="609">
      <c r="A609" s="54"/>
      <c r="B609" s="54"/>
      <c r="C609" s="7"/>
      <c r="D609" s="7"/>
      <c r="E609" s="7"/>
      <c r="F609" s="54"/>
      <c r="G609" s="54"/>
      <c r="H609" s="54"/>
      <c r="I609" s="54"/>
      <c r="J609" s="54"/>
      <c r="K609" s="54"/>
      <c r="L609" s="54"/>
      <c r="M609" s="54"/>
      <c r="N609" s="54"/>
      <c r="O609" s="54"/>
      <c r="P609" s="7"/>
      <c r="Q609" s="7"/>
      <c r="R609" s="7"/>
      <c r="S609" s="7"/>
      <c r="T609" s="7"/>
      <c r="U609" s="7"/>
      <c r="V609" s="7"/>
      <c r="W609" s="7"/>
      <c r="X609" s="7"/>
      <c r="Y609" s="7"/>
      <c r="Z609" s="7"/>
      <c r="AA609" s="7"/>
    </row>
    <row r="610">
      <c r="A610" s="54"/>
      <c r="B610" s="54"/>
      <c r="C610" s="7"/>
      <c r="D610" s="7"/>
      <c r="E610" s="7"/>
      <c r="F610" s="54"/>
      <c r="G610" s="54"/>
      <c r="H610" s="54"/>
      <c r="I610" s="54"/>
      <c r="J610" s="54"/>
      <c r="K610" s="54"/>
      <c r="L610" s="54"/>
      <c r="M610" s="54"/>
      <c r="N610" s="54"/>
      <c r="O610" s="54"/>
      <c r="P610" s="7"/>
      <c r="Q610" s="7"/>
      <c r="R610" s="7"/>
      <c r="S610" s="7"/>
      <c r="T610" s="7"/>
      <c r="U610" s="7"/>
      <c r="V610" s="7"/>
      <c r="W610" s="7"/>
      <c r="X610" s="7"/>
      <c r="Y610" s="7"/>
      <c r="Z610" s="7"/>
      <c r="AA610" s="7"/>
    </row>
    <row r="611">
      <c r="A611" s="54"/>
      <c r="B611" s="54"/>
      <c r="C611" s="7"/>
      <c r="D611" s="7"/>
      <c r="E611" s="7"/>
      <c r="F611" s="54"/>
      <c r="G611" s="54"/>
      <c r="H611" s="54"/>
      <c r="I611" s="54"/>
      <c r="J611" s="54"/>
      <c r="K611" s="54"/>
      <c r="L611" s="54"/>
      <c r="M611" s="54"/>
      <c r="N611" s="54"/>
      <c r="O611" s="54"/>
      <c r="P611" s="7"/>
      <c r="Q611" s="7"/>
      <c r="R611" s="7"/>
      <c r="S611" s="7"/>
      <c r="T611" s="7"/>
      <c r="U611" s="7"/>
      <c r="V611" s="7"/>
      <c r="W611" s="7"/>
      <c r="X611" s="7"/>
      <c r="Y611" s="7"/>
      <c r="Z611" s="7"/>
      <c r="AA611" s="7"/>
    </row>
    <row r="612">
      <c r="A612" s="54"/>
      <c r="B612" s="54"/>
      <c r="C612" s="7"/>
      <c r="D612" s="7"/>
      <c r="E612" s="7"/>
      <c r="F612" s="54"/>
      <c r="G612" s="54"/>
      <c r="H612" s="54"/>
      <c r="I612" s="54"/>
      <c r="J612" s="54"/>
      <c r="K612" s="54"/>
      <c r="L612" s="54"/>
      <c r="M612" s="54"/>
      <c r="N612" s="54"/>
      <c r="O612" s="54"/>
      <c r="P612" s="7"/>
      <c r="Q612" s="7"/>
      <c r="R612" s="7"/>
      <c r="S612" s="7"/>
      <c r="T612" s="7"/>
      <c r="U612" s="7"/>
      <c r="V612" s="7"/>
      <c r="W612" s="7"/>
      <c r="X612" s="7"/>
      <c r="Y612" s="7"/>
      <c r="Z612" s="7"/>
      <c r="AA612" s="7"/>
    </row>
    <row r="613">
      <c r="A613" s="54"/>
      <c r="B613" s="54"/>
      <c r="C613" s="7"/>
      <c r="D613" s="7"/>
      <c r="E613" s="7"/>
      <c r="F613" s="54"/>
      <c r="G613" s="54"/>
      <c r="H613" s="54"/>
      <c r="I613" s="54"/>
      <c r="J613" s="54"/>
      <c r="K613" s="54"/>
      <c r="L613" s="54"/>
      <c r="M613" s="54"/>
      <c r="N613" s="54"/>
      <c r="O613" s="54"/>
      <c r="P613" s="7"/>
      <c r="Q613" s="7"/>
      <c r="R613" s="7"/>
      <c r="S613" s="7"/>
      <c r="T613" s="7"/>
      <c r="U613" s="7"/>
      <c r="V613" s="7"/>
      <c r="W613" s="7"/>
      <c r="X613" s="7"/>
      <c r="Y613" s="7"/>
      <c r="Z613" s="7"/>
      <c r="AA613" s="7"/>
    </row>
    <row r="614">
      <c r="A614" s="54"/>
      <c r="B614" s="54"/>
      <c r="C614" s="7"/>
      <c r="D614" s="7"/>
      <c r="E614" s="7"/>
      <c r="F614" s="54"/>
      <c r="G614" s="54"/>
      <c r="H614" s="54"/>
      <c r="I614" s="54"/>
      <c r="J614" s="54"/>
      <c r="K614" s="54"/>
      <c r="L614" s="54"/>
      <c r="M614" s="54"/>
      <c r="N614" s="54"/>
      <c r="O614" s="54"/>
      <c r="P614" s="7"/>
      <c r="Q614" s="7"/>
      <c r="R614" s="7"/>
      <c r="S614" s="7"/>
      <c r="T614" s="7"/>
      <c r="U614" s="7"/>
      <c r="V614" s="7"/>
      <c r="W614" s="7"/>
      <c r="X614" s="7"/>
      <c r="Y614" s="7"/>
      <c r="Z614" s="7"/>
      <c r="AA614" s="7"/>
    </row>
    <row r="615">
      <c r="A615" s="54"/>
      <c r="B615" s="54"/>
      <c r="C615" s="7"/>
      <c r="D615" s="7"/>
      <c r="E615" s="7"/>
      <c r="F615" s="54"/>
      <c r="G615" s="54"/>
      <c r="H615" s="54"/>
      <c r="I615" s="54"/>
      <c r="J615" s="54"/>
      <c r="K615" s="54"/>
      <c r="L615" s="54"/>
      <c r="M615" s="54"/>
      <c r="N615" s="54"/>
      <c r="O615" s="54"/>
      <c r="P615" s="7"/>
      <c r="Q615" s="7"/>
      <c r="R615" s="7"/>
      <c r="S615" s="7"/>
      <c r="T615" s="7"/>
      <c r="U615" s="7"/>
      <c r="V615" s="7"/>
      <c r="W615" s="7"/>
      <c r="X615" s="7"/>
      <c r="Y615" s="7"/>
      <c r="Z615" s="7"/>
      <c r="AA615" s="7"/>
    </row>
    <row r="616">
      <c r="A616" s="54"/>
      <c r="B616" s="54"/>
      <c r="C616" s="7"/>
      <c r="D616" s="7"/>
      <c r="E616" s="7"/>
      <c r="F616" s="54"/>
      <c r="G616" s="54"/>
      <c r="H616" s="54"/>
      <c r="I616" s="54"/>
      <c r="J616" s="54"/>
      <c r="K616" s="54"/>
      <c r="L616" s="54"/>
      <c r="M616" s="54"/>
      <c r="N616" s="54"/>
      <c r="O616" s="54"/>
      <c r="P616" s="7"/>
      <c r="Q616" s="7"/>
      <c r="R616" s="7"/>
      <c r="S616" s="7"/>
      <c r="T616" s="7"/>
      <c r="U616" s="7"/>
      <c r="V616" s="7"/>
      <c r="W616" s="7"/>
      <c r="X616" s="7"/>
      <c r="Y616" s="7"/>
      <c r="Z616" s="7"/>
      <c r="AA616" s="7"/>
    </row>
    <row r="617">
      <c r="A617" s="54"/>
      <c r="B617" s="54"/>
      <c r="C617" s="7"/>
      <c r="D617" s="7"/>
      <c r="E617" s="7"/>
      <c r="F617" s="54"/>
      <c r="G617" s="54"/>
      <c r="H617" s="54"/>
      <c r="I617" s="54"/>
      <c r="J617" s="54"/>
      <c r="K617" s="54"/>
      <c r="L617" s="54"/>
      <c r="M617" s="54"/>
      <c r="N617" s="54"/>
      <c r="O617" s="54"/>
      <c r="P617" s="7"/>
      <c r="Q617" s="7"/>
      <c r="R617" s="7"/>
      <c r="S617" s="7"/>
      <c r="T617" s="7"/>
      <c r="U617" s="7"/>
      <c r="V617" s="7"/>
      <c r="W617" s="7"/>
      <c r="X617" s="7"/>
      <c r="Y617" s="7"/>
      <c r="Z617" s="7"/>
      <c r="AA617" s="7"/>
    </row>
    <row r="618">
      <c r="A618" s="54"/>
      <c r="B618" s="54"/>
      <c r="C618" s="7"/>
      <c r="D618" s="7"/>
      <c r="E618" s="7"/>
      <c r="F618" s="54"/>
      <c r="G618" s="54"/>
      <c r="H618" s="54"/>
      <c r="I618" s="54"/>
      <c r="J618" s="54"/>
      <c r="K618" s="54"/>
      <c r="L618" s="54"/>
      <c r="M618" s="54"/>
      <c r="N618" s="54"/>
      <c r="O618" s="54"/>
      <c r="P618" s="7"/>
      <c r="Q618" s="7"/>
      <c r="R618" s="7"/>
      <c r="S618" s="7"/>
      <c r="T618" s="7"/>
      <c r="U618" s="7"/>
      <c r="V618" s="7"/>
      <c r="W618" s="7"/>
      <c r="X618" s="7"/>
      <c r="Y618" s="7"/>
      <c r="Z618" s="7"/>
      <c r="AA618" s="7"/>
    </row>
    <row r="619">
      <c r="A619" s="54"/>
      <c r="B619" s="54"/>
      <c r="C619" s="7"/>
      <c r="D619" s="7"/>
      <c r="E619" s="7"/>
      <c r="F619" s="54"/>
      <c r="G619" s="54"/>
      <c r="H619" s="54"/>
      <c r="I619" s="54"/>
      <c r="J619" s="54"/>
      <c r="K619" s="54"/>
      <c r="L619" s="54"/>
      <c r="M619" s="54"/>
      <c r="N619" s="54"/>
      <c r="O619" s="54"/>
      <c r="P619" s="7"/>
      <c r="Q619" s="7"/>
      <c r="R619" s="7"/>
      <c r="S619" s="7"/>
      <c r="T619" s="7"/>
      <c r="U619" s="7"/>
      <c r="V619" s="7"/>
      <c r="W619" s="7"/>
      <c r="X619" s="7"/>
      <c r="Y619" s="7"/>
      <c r="Z619" s="7"/>
      <c r="AA619" s="7"/>
    </row>
    <row r="620">
      <c r="A620" s="54"/>
      <c r="B620" s="54"/>
      <c r="C620" s="7"/>
      <c r="D620" s="7"/>
      <c r="E620" s="7"/>
      <c r="F620" s="54"/>
      <c r="G620" s="54"/>
      <c r="H620" s="54"/>
      <c r="I620" s="54"/>
      <c r="J620" s="54"/>
      <c r="K620" s="54"/>
      <c r="L620" s="54"/>
      <c r="M620" s="54"/>
      <c r="N620" s="54"/>
      <c r="O620" s="54"/>
      <c r="P620" s="7"/>
      <c r="Q620" s="7"/>
      <c r="R620" s="7"/>
      <c r="S620" s="7"/>
      <c r="T620" s="7"/>
      <c r="U620" s="7"/>
      <c r="V620" s="7"/>
      <c r="W620" s="7"/>
      <c r="X620" s="7"/>
      <c r="Y620" s="7"/>
      <c r="Z620" s="7"/>
      <c r="AA620" s="7"/>
    </row>
    <row r="621">
      <c r="A621" s="54"/>
      <c r="B621" s="54"/>
      <c r="C621" s="7"/>
      <c r="D621" s="7"/>
      <c r="E621" s="7"/>
      <c r="F621" s="54"/>
      <c r="G621" s="54"/>
      <c r="H621" s="54"/>
      <c r="I621" s="54"/>
      <c r="J621" s="54"/>
      <c r="K621" s="54"/>
      <c r="L621" s="54"/>
      <c r="M621" s="54"/>
      <c r="N621" s="54"/>
      <c r="O621" s="54"/>
      <c r="P621" s="7"/>
      <c r="Q621" s="7"/>
      <c r="R621" s="7"/>
      <c r="S621" s="7"/>
      <c r="T621" s="7"/>
      <c r="U621" s="7"/>
      <c r="V621" s="7"/>
      <c r="W621" s="7"/>
      <c r="X621" s="7"/>
      <c r="Y621" s="7"/>
      <c r="Z621" s="7"/>
      <c r="AA621" s="7"/>
    </row>
    <row r="622">
      <c r="A622" s="54"/>
      <c r="B622" s="54"/>
      <c r="C622" s="7"/>
      <c r="D622" s="7"/>
      <c r="E622" s="7"/>
      <c r="F622" s="54"/>
      <c r="G622" s="54"/>
      <c r="H622" s="54"/>
      <c r="I622" s="54"/>
      <c r="J622" s="54"/>
      <c r="K622" s="54"/>
      <c r="L622" s="54"/>
      <c r="M622" s="54"/>
      <c r="N622" s="54"/>
      <c r="O622" s="54"/>
      <c r="P622" s="7"/>
      <c r="Q622" s="7"/>
      <c r="R622" s="7"/>
      <c r="S622" s="7"/>
      <c r="T622" s="7"/>
      <c r="U622" s="7"/>
      <c r="V622" s="7"/>
      <c r="W622" s="7"/>
      <c r="X622" s="7"/>
      <c r="Y622" s="7"/>
      <c r="Z622" s="7"/>
      <c r="AA622" s="7"/>
    </row>
    <row r="623">
      <c r="A623" s="54"/>
      <c r="B623" s="54"/>
      <c r="C623" s="7"/>
      <c r="D623" s="7"/>
      <c r="E623" s="7"/>
      <c r="F623" s="54"/>
      <c r="G623" s="54"/>
      <c r="H623" s="54"/>
      <c r="I623" s="54"/>
      <c r="J623" s="54"/>
      <c r="K623" s="54"/>
      <c r="L623" s="54"/>
      <c r="M623" s="54"/>
      <c r="N623" s="54"/>
      <c r="O623" s="54"/>
      <c r="P623" s="7"/>
      <c r="Q623" s="7"/>
      <c r="R623" s="7"/>
      <c r="S623" s="7"/>
      <c r="T623" s="7"/>
      <c r="U623" s="7"/>
      <c r="V623" s="7"/>
      <c r="W623" s="7"/>
      <c r="X623" s="7"/>
      <c r="Y623" s="7"/>
      <c r="Z623" s="7"/>
      <c r="AA623" s="7"/>
    </row>
    <row r="624">
      <c r="A624" s="54"/>
      <c r="B624" s="54"/>
      <c r="C624" s="7"/>
      <c r="D624" s="7"/>
      <c r="E624" s="7"/>
      <c r="F624" s="54"/>
      <c r="G624" s="54"/>
      <c r="H624" s="54"/>
      <c r="I624" s="54"/>
      <c r="J624" s="54"/>
      <c r="K624" s="54"/>
      <c r="L624" s="54"/>
      <c r="M624" s="54"/>
      <c r="N624" s="54"/>
      <c r="O624" s="54"/>
      <c r="P624" s="7"/>
      <c r="Q624" s="7"/>
      <c r="R624" s="7"/>
      <c r="S624" s="7"/>
      <c r="T624" s="7"/>
      <c r="U624" s="7"/>
      <c r="V624" s="7"/>
      <c r="W624" s="7"/>
      <c r="X624" s="7"/>
      <c r="Y624" s="7"/>
      <c r="Z624" s="7"/>
      <c r="AA624" s="7"/>
    </row>
    <row r="625">
      <c r="A625" s="54"/>
      <c r="B625" s="54"/>
      <c r="C625" s="7"/>
      <c r="D625" s="7"/>
      <c r="E625" s="7"/>
      <c r="F625" s="54"/>
      <c r="G625" s="54"/>
      <c r="H625" s="54"/>
      <c r="I625" s="54"/>
      <c r="J625" s="54"/>
      <c r="K625" s="54"/>
      <c r="L625" s="54"/>
      <c r="M625" s="54"/>
      <c r="N625" s="54"/>
      <c r="O625" s="54"/>
      <c r="P625" s="7"/>
      <c r="Q625" s="7"/>
      <c r="R625" s="7"/>
      <c r="S625" s="7"/>
      <c r="T625" s="7"/>
      <c r="U625" s="7"/>
      <c r="V625" s="7"/>
      <c r="W625" s="7"/>
      <c r="X625" s="7"/>
      <c r="Y625" s="7"/>
      <c r="Z625" s="7"/>
      <c r="AA625" s="7"/>
    </row>
    <row r="626">
      <c r="A626" s="54"/>
      <c r="B626" s="54"/>
      <c r="C626" s="7"/>
      <c r="D626" s="7"/>
      <c r="E626" s="7"/>
      <c r="F626" s="54"/>
      <c r="G626" s="54"/>
      <c r="H626" s="54"/>
      <c r="I626" s="54"/>
      <c r="J626" s="54"/>
      <c r="K626" s="54"/>
      <c r="L626" s="54"/>
      <c r="M626" s="54"/>
      <c r="N626" s="54"/>
      <c r="O626" s="54"/>
      <c r="P626" s="7"/>
      <c r="Q626" s="7"/>
      <c r="R626" s="7"/>
      <c r="S626" s="7"/>
      <c r="T626" s="7"/>
      <c r="U626" s="7"/>
      <c r="V626" s="7"/>
      <c r="W626" s="7"/>
      <c r="X626" s="7"/>
      <c r="Y626" s="7"/>
      <c r="Z626" s="7"/>
      <c r="AA626" s="7"/>
    </row>
    <row r="627">
      <c r="A627" s="54"/>
      <c r="B627" s="54"/>
      <c r="C627" s="7"/>
      <c r="D627" s="7"/>
      <c r="E627" s="7"/>
      <c r="F627" s="54"/>
      <c r="G627" s="54"/>
      <c r="H627" s="54"/>
      <c r="I627" s="54"/>
      <c r="J627" s="54"/>
      <c r="K627" s="54"/>
      <c r="L627" s="54"/>
      <c r="M627" s="54"/>
      <c r="N627" s="54"/>
      <c r="O627" s="54"/>
      <c r="P627" s="7"/>
      <c r="Q627" s="7"/>
      <c r="R627" s="7"/>
      <c r="S627" s="7"/>
      <c r="T627" s="7"/>
      <c r="U627" s="7"/>
      <c r="V627" s="7"/>
      <c r="W627" s="7"/>
      <c r="X627" s="7"/>
      <c r="Y627" s="7"/>
      <c r="Z627" s="7"/>
      <c r="AA627" s="7"/>
    </row>
    <row r="628">
      <c r="A628" s="54"/>
      <c r="B628" s="54"/>
      <c r="C628" s="7"/>
      <c r="D628" s="7"/>
      <c r="E628" s="7"/>
      <c r="F628" s="54"/>
      <c r="G628" s="54"/>
      <c r="H628" s="54"/>
      <c r="I628" s="54"/>
      <c r="J628" s="54"/>
      <c r="K628" s="54"/>
      <c r="L628" s="54"/>
      <c r="M628" s="54"/>
      <c r="N628" s="54"/>
      <c r="O628" s="54"/>
      <c r="P628" s="7"/>
      <c r="Q628" s="7"/>
      <c r="R628" s="7"/>
      <c r="S628" s="7"/>
      <c r="T628" s="7"/>
      <c r="U628" s="7"/>
      <c r="V628" s="7"/>
      <c r="W628" s="7"/>
      <c r="X628" s="7"/>
      <c r="Y628" s="7"/>
      <c r="Z628" s="7"/>
      <c r="AA628" s="7"/>
    </row>
    <row r="629">
      <c r="A629" s="54"/>
      <c r="B629" s="54"/>
      <c r="C629" s="7"/>
      <c r="D629" s="7"/>
      <c r="E629" s="7"/>
      <c r="F629" s="54"/>
      <c r="G629" s="54"/>
      <c r="H629" s="54"/>
      <c r="I629" s="54"/>
      <c r="J629" s="54"/>
      <c r="K629" s="54"/>
      <c r="L629" s="54"/>
      <c r="M629" s="54"/>
      <c r="N629" s="54"/>
      <c r="O629" s="54"/>
      <c r="P629" s="7"/>
      <c r="Q629" s="7"/>
      <c r="R629" s="7"/>
      <c r="S629" s="7"/>
      <c r="T629" s="7"/>
      <c r="U629" s="7"/>
      <c r="V629" s="7"/>
      <c r="W629" s="7"/>
      <c r="X629" s="7"/>
      <c r="Y629" s="7"/>
      <c r="Z629" s="7"/>
      <c r="AA629" s="7"/>
    </row>
    <row r="630">
      <c r="A630" s="54"/>
      <c r="B630" s="54"/>
      <c r="C630" s="7"/>
      <c r="D630" s="7"/>
      <c r="E630" s="7"/>
      <c r="F630" s="54"/>
      <c r="G630" s="54"/>
      <c r="H630" s="54"/>
      <c r="I630" s="54"/>
      <c r="J630" s="54"/>
      <c r="K630" s="54"/>
      <c r="L630" s="54"/>
      <c r="M630" s="54"/>
      <c r="N630" s="54"/>
      <c r="O630" s="54"/>
      <c r="P630" s="7"/>
      <c r="Q630" s="7"/>
      <c r="R630" s="7"/>
      <c r="S630" s="7"/>
      <c r="T630" s="7"/>
      <c r="U630" s="7"/>
      <c r="V630" s="7"/>
      <c r="W630" s="7"/>
      <c r="X630" s="7"/>
      <c r="Y630" s="7"/>
      <c r="Z630" s="7"/>
      <c r="AA630" s="7"/>
    </row>
    <row r="631">
      <c r="A631" s="54"/>
      <c r="B631" s="54"/>
      <c r="C631" s="7"/>
      <c r="D631" s="7"/>
      <c r="E631" s="7"/>
      <c r="F631" s="54"/>
      <c r="G631" s="54"/>
      <c r="H631" s="54"/>
      <c r="I631" s="54"/>
      <c r="J631" s="54"/>
      <c r="K631" s="54"/>
      <c r="L631" s="54"/>
      <c r="M631" s="54"/>
      <c r="N631" s="54"/>
      <c r="O631" s="54"/>
      <c r="P631" s="7"/>
      <c r="Q631" s="7"/>
      <c r="R631" s="7"/>
      <c r="S631" s="7"/>
      <c r="T631" s="7"/>
      <c r="U631" s="7"/>
      <c r="V631" s="7"/>
      <c r="W631" s="7"/>
      <c r="X631" s="7"/>
      <c r="Y631" s="7"/>
      <c r="Z631" s="7"/>
      <c r="AA631" s="7"/>
    </row>
    <row r="632">
      <c r="A632" s="54"/>
      <c r="B632" s="54"/>
      <c r="C632" s="7"/>
      <c r="D632" s="7"/>
      <c r="E632" s="7"/>
      <c r="F632" s="54"/>
      <c r="G632" s="54"/>
      <c r="H632" s="54"/>
      <c r="I632" s="54"/>
      <c r="J632" s="54"/>
      <c r="K632" s="54"/>
      <c r="L632" s="54"/>
      <c r="M632" s="54"/>
      <c r="N632" s="54"/>
      <c r="O632" s="54"/>
      <c r="P632" s="7"/>
      <c r="Q632" s="7"/>
      <c r="R632" s="7"/>
      <c r="S632" s="7"/>
      <c r="T632" s="7"/>
      <c r="U632" s="7"/>
      <c r="V632" s="7"/>
      <c r="W632" s="7"/>
      <c r="X632" s="7"/>
      <c r="Y632" s="7"/>
      <c r="Z632" s="7"/>
      <c r="AA632" s="7"/>
    </row>
    <row r="633">
      <c r="A633" s="54"/>
      <c r="B633" s="54"/>
      <c r="C633" s="7"/>
      <c r="D633" s="7"/>
      <c r="E633" s="7"/>
      <c r="F633" s="54"/>
      <c r="G633" s="54"/>
      <c r="H633" s="54"/>
      <c r="I633" s="54"/>
      <c r="J633" s="54"/>
      <c r="K633" s="54"/>
      <c r="L633" s="54"/>
      <c r="M633" s="54"/>
      <c r="N633" s="54"/>
      <c r="O633" s="54"/>
      <c r="P633" s="7"/>
      <c r="Q633" s="7"/>
      <c r="R633" s="7"/>
      <c r="S633" s="7"/>
      <c r="T633" s="7"/>
      <c r="U633" s="7"/>
      <c r="V633" s="7"/>
      <c r="W633" s="7"/>
      <c r="X633" s="7"/>
      <c r="Y633" s="7"/>
      <c r="Z633" s="7"/>
      <c r="AA633" s="7"/>
    </row>
    <row r="634">
      <c r="A634" s="54"/>
      <c r="B634" s="54"/>
      <c r="C634" s="7"/>
      <c r="D634" s="7"/>
      <c r="E634" s="7"/>
      <c r="F634" s="54"/>
      <c r="G634" s="54"/>
      <c r="H634" s="54"/>
      <c r="I634" s="54"/>
      <c r="J634" s="54"/>
      <c r="K634" s="54"/>
      <c r="L634" s="54"/>
      <c r="M634" s="54"/>
      <c r="N634" s="54"/>
      <c r="O634" s="54"/>
      <c r="P634" s="7"/>
      <c r="Q634" s="7"/>
      <c r="R634" s="7"/>
      <c r="S634" s="7"/>
      <c r="T634" s="7"/>
      <c r="U634" s="7"/>
      <c r="V634" s="7"/>
      <c r="W634" s="7"/>
      <c r="X634" s="7"/>
      <c r="Y634" s="7"/>
      <c r="Z634" s="7"/>
      <c r="AA634" s="7"/>
    </row>
    <row r="635">
      <c r="A635" s="54"/>
      <c r="B635" s="54"/>
      <c r="C635" s="7"/>
      <c r="D635" s="7"/>
      <c r="E635" s="7"/>
      <c r="F635" s="54"/>
      <c r="G635" s="54"/>
      <c r="H635" s="54"/>
      <c r="I635" s="54"/>
      <c r="J635" s="54"/>
      <c r="K635" s="54"/>
      <c r="L635" s="54"/>
      <c r="M635" s="54"/>
      <c r="N635" s="54"/>
      <c r="O635" s="54"/>
      <c r="P635" s="7"/>
      <c r="Q635" s="7"/>
      <c r="R635" s="7"/>
      <c r="S635" s="7"/>
      <c r="T635" s="7"/>
      <c r="U635" s="7"/>
      <c r="V635" s="7"/>
      <c r="W635" s="7"/>
      <c r="X635" s="7"/>
      <c r="Y635" s="7"/>
      <c r="Z635" s="7"/>
      <c r="AA635" s="7"/>
    </row>
    <row r="636">
      <c r="A636" s="54"/>
      <c r="B636" s="54"/>
      <c r="C636" s="7"/>
      <c r="D636" s="7"/>
      <c r="E636" s="7"/>
      <c r="F636" s="54"/>
      <c r="G636" s="54"/>
      <c r="H636" s="54"/>
      <c r="I636" s="54"/>
      <c r="J636" s="54"/>
      <c r="K636" s="54"/>
      <c r="L636" s="54"/>
      <c r="M636" s="54"/>
      <c r="N636" s="54"/>
      <c r="O636" s="54"/>
      <c r="P636" s="7"/>
      <c r="Q636" s="7"/>
      <c r="R636" s="7"/>
      <c r="S636" s="7"/>
      <c r="T636" s="7"/>
      <c r="U636" s="7"/>
      <c r="V636" s="7"/>
      <c r="W636" s="7"/>
      <c r="X636" s="7"/>
      <c r="Y636" s="7"/>
      <c r="Z636" s="7"/>
      <c r="AA636" s="7"/>
    </row>
    <row r="637">
      <c r="A637" s="54"/>
      <c r="B637" s="54"/>
      <c r="C637" s="7"/>
      <c r="D637" s="7"/>
      <c r="E637" s="7"/>
      <c r="F637" s="54"/>
      <c r="G637" s="54"/>
      <c r="H637" s="54"/>
      <c r="I637" s="54"/>
      <c r="J637" s="54"/>
      <c r="K637" s="54"/>
      <c r="L637" s="54"/>
      <c r="M637" s="54"/>
      <c r="N637" s="54"/>
      <c r="O637" s="54"/>
      <c r="P637" s="7"/>
      <c r="Q637" s="7"/>
      <c r="R637" s="7"/>
      <c r="S637" s="7"/>
      <c r="T637" s="7"/>
      <c r="U637" s="7"/>
      <c r="V637" s="7"/>
      <c r="W637" s="7"/>
      <c r="X637" s="7"/>
      <c r="Y637" s="7"/>
      <c r="Z637" s="7"/>
      <c r="AA637" s="7"/>
    </row>
    <row r="638">
      <c r="A638" s="54"/>
      <c r="B638" s="54"/>
      <c r="C638" s="7"/>
      <c r="D638" s="7"/>
      <c r="E638" s="7"/>
      <c r="F638" s="54"/>
      <c r="G638" s="54"/>
      <c r="H638" s="54"/>
      <c r="I638" s="54"/>
      <c r="J638" s="54"/>
      <c r="K638" s="54"/>
      <c r="L638" s="54"/>
      <c r="M638" s="54"/>
      <c r="N638" s="54"/>
      <c r="O638" s="54"/>
      <c r="P638" s="7"/>
      <c r="Q638" s="7"/>
      <c r="R638" s="7"/>
      <c r="S638" s="7"/>
      <c r="T638" s="7"/>
      <c r="U638" s="7"/>
      <c r="V638" s="7"/>
      <c r="W638" s="7"/>
      <c r="X638" s="7"/>
      <c r="Y638" s="7"/>
      <c r="Z638" s="7"/>
      <c r="AA638" s="7"/>
    </row>
    <row r="639">
      <c r="A639" s="54"/>
      <c r="B639" s="54"/>
      <c r="C639" s="7"/>
      <c r="D639" s="7"/>
      <c r="E639" s="7"/>
      <c r="F639" s="54"/>
      <c r="G639" s="54"/>
      <c r="H639" s="54"/>
      <c r="I639" s="54"/>
      <c r="J639" s="54"/>
      <c r="K639" s="54"/>
      <c r="L639" s="54"/>
      <c r="M639" s="54"/>
      <c r="N639" s="54"/>
      <c r="O639" s="54"/>
      <c r="P639" s="7"/>
      <c r="Q639" s="7"/>
      <c r="R639" s="7"/>
      <c r="S639" s="7"/>
      <c r="T639" s="7"/>
      <c r="U639" s="7"/>
      <c r="V639" s="7"/>
      <c r="W639" s="7"/>
      <c r="X639" s="7"/>
      <c r="Y639" s="7"/>
      <c r="Z639" s="7"/>
      <c r="AA639" s="7"/>
    </row>
    <row r="640">
      <c r="A640" s="54"/>
      <c r="B640" s="54"/>
      <c r="C640" s="7"/>
      <c r="D640" s="7"/>
      <c r="E640" s="7"/>
      <c r="F640" s="54"/>
      <c r="G640" s="54"/>
      <c r="H640" s="54"/>
      <c r="I640" s="54"/>
      <c r="J640" s="54"/>
      <c r="K640" s="54"/>
      <c r="L640" s="54"/>
      <c r="M640" s="54"/>
      <c r="N640" s="54"/>
      <c r="O640" s="54"/>
      <c r="P640" s="7"/>
      <c r="Q640" s="7"/>
      <c r="R640" s="7"/>
      <c r="S640" s="7"/>
      <c r="T640" s="7"/>
      <c r="U640" s="7"/>
      <c r="V640" s="7"/>
      <c r="W640" s="7"/>
      <c r="X640" s="7"/>
      <c r="Y640" s="7"/>
      <c r="Z640" s="7"/>
      <c r="AA640" s="7"/>
    </row>
    <row r="641">
      <c r="A641" s="54"/>
      <c r="B641" s="54"/>
      <c r="C641" s="7"/>
      <c r="D641" s="7"/>
      <c r="E641" s="7"/>
      <c r="F641" s="54"/>
      <c r="G641" s="54"/>
      <c r="H641" s="54"/>
      <c r="I641" s="54"/>
      <c r="J641" s="54"/>
      <c r="K641" s="54"/>
      <c r="L641" s="54"/>
      <c r="M641" s="54"/>
      <c r="N641" s="54"/>
      <c r="O641" s="54"/>
      <c r="P641" s="7"/>
      <c r="Q641" s="7"/>
      <c r="R641" s="7"/>
      <c r="S641" s="7"/>
      <c r="T641" s="7"/>
      <c r="U641" s="7"/>
      <c r="V641" s="7"/>
      <c r="W641" s="7"/>
      <c r="X641" s="7"/>
      <c r="Y641" s="7"/>
      <c r="Z641" s="7"/>
      <c r="AA641" s="7"/>
    </row>
    <row r="642">
      <c r="A642" s="54"/>
      <c r="B642" s="54"/>
      <c r="C642" s="7"/>
      <c r="D642" s="7"/>
      <c r="E642" s="7"/>
      <c r="F642" s="54"/>
      <c r="G642" s="54"/>
      <c r="H642" s="54"/>
      <c r="I642" s="54"/>
      <c r="J642" s="54"/>
      <c r="K642" s="54"/>
      <c r="L642" s="54"/>
      <c r="M642" s="54"/>
      <c r="N642" s="54"/>
      <c r="O642" s="54"/>
      <c r="P642" s="7"/>
      <c r="Q642" s="7"/>
      <c r="R642" s="7"/>
      <c r="S642" s="7"/>
      <c r="T642" s="7"/>
      <c r="U642" s="7"/>
      <c r="V642" s="7"/>
      <c r="W642" s="7"/>
      <c r="X642" s="7"/>
      <c r="Y642" s="7"/>
      <c r="Z642" s="7"/>
      <c r="AA642" s="7"/>
    </row>
    <row r="643">
      <c r="A643" s="54"/>
      <c r="B643" s="54"/>
      <c r="C643" s="7"/>
      <c r="D643" s="7"/>
      <c r="E643" s="7"/>
      <c r="F643" s="54"/>
      <c r="G643" s="54"/>
      <c r="H643" s="54"/>
      <c r="I643" s="54"/>
      <c r="J643" s="54"/>
      <c r="K643" s="54"/>
      <c r="L643" s="54"/>
      <c r="M643" s="54"/>
      <c r="N643" s="54"/>
      <c r="O643" s="54"/>
      <c r="P643" s="7"/>
      <c r="Q643" s="7"/>
      <c r="R643" s="7"/>
      <c r="S643" s="7"/>
      <c r="T643" s="7"/>
      <c r="U643" s="7"/>
      <c r="V643" s="7"/>
      <c r="W643" s="7"/>
      <c r="X643" s="7"/>
      <c r="Y643" s="7"/>
      <c r="Z643" s="7"/>
      <c r="AA643" s="7"/>
    </row>
    <row r="644">
      <c r="A644" s="54"/>
      <c r="B644" s="54"/>
      <c r="C644" s="7"/>
      <c r="D644" s="7"/>
      <c r="E644" s="7"/>
      <c r="F644" s="54"/>
      <c r="G644" s="54"/>
      <c r="H644" s="54"/>
      <c r="I644" s="54"/>
      <c r="J644" s="54"/>
      <c r="K644" s="54"/>
      <c r="L644" s="54"/>
      <c r="M644" s="54"/>
      <c r="N644" s="54"/>
      <c r="O644" s="54"/>
      <c r="P644" s="7"/>
      <c r="Q644" s="7"/>
      <c r="R644" s="7"/>
      <c r="S644" s="7"/>
      <c r="T644" s="7"/>
      <c r="U644" s="7"/>
      <c r="V644" s="7"/>
      <c r="W644" s="7"/>
      <c r="X644" s="7"/>
      <c r="Y644" s="7"/>
      <c r="Z644" s="7"/>
      <c r="AA644" s="7"/>
    </row>
    <row r="645">
      <c r="A645" s="54"/>
      <c r="B645" s="54"/>
      <c r="C645" s="7"/>
      <c r="D645" s="7"/>
      <c r="E645" s="7"/>
      <c r="F645" s="54"/>
      <c r="G645" s="54"/>
      <c r="H645" s="54"/>
      <c r="I645" s="54"/>
      <c r="J645" s="54"/>
      <c r="K645" s="54"/>
      <c r="L645" s="54"/>
      <c r="M645" s="54"/>
      <c r="N645" s="54"/>
      <c r="O645" s="54"/>
      <c r="P645" s="7"/>
      <c r="Q645" s="7"/>
      <c r="R645" s="7"/>
      <c r="S645" s="7"/>
      <c r="T645" s="7"/>
      <c r="U645" s="7"/>
      <c r="V645" s="7"/>
      <c r="W645" s="7"/>
      <c r="X645" s="7"/>
      <c r="Y645" s="7"/>
      <c r="Z645" s="7"/>
      <c r="AA645" s="7"/>
    </row>
    <row r="646">
      <c r="A646" s="54"/>
      <c r="B646" s="54"/>
      <c r="C646" s="7"/>
      <c r="D646" s="7"/>
      <c r="E646" s="7"/>
      <c r="F646" s="54"/>
      <c r="G646" s="54"/>
      <c r="H646" s="54"/>
      <c r="I646" s="54"/>
      <c r="J646" s="54"/>
      <c r="K646" s="54"/>
      <c r="L646" s="54"/>
      <c r="M646" s="54"/>
      <c r="N646" s="54"/>
      <c r="O646" s="54"/>
      <c r="P646" s="7"/>
      <c r="Q646" s="7"/>
      <c r="R646" s="7"/>
      <c r="S646" s="7"/>
      <c r="T646" s="7"/>
      <c r="U646" s="7"/>
      <c r="V646" s="7"/>
      <c r="W646" s="7"/>
      <c r="X646" s="7"/>
      <c r="Y646" s="7"/>
      <c r="Z646" s="7"/>
      <c r="AA646" s="7"/>
    </row>
    <row r="647">
      <c r="A647" s="54"/>
      <c r="B647" s="54"/>
      <c r="C647" s="7"/>
      <c r="D647" s="7"/>
      <c r="E647" s="7"/>
      <c r="F647" s="54"/>
      <c r="G647" s="54"/>
      <c r="H647" s="54"/>
      <c r="I647" s="54"/>
      <c r="J647" s="54"/>
      <c r="K647" s="54"/>
      <c r="L647" s="54"/>
      <c r="M647" s="54"/>
      <c r="N647" s="54"/>
      <c r="O647" s="54"/>
      <c r="P647" s="7"/>
      <c r="Q647" s="7"/>
      <c r="R647" s="7"/>
      <c r="S647" s="7"/>
      <c r="T647" s="7"/>
      <c r="U647" s="7"/>
      <c r="V647" s="7"/>
      <c r="W647" s="7"/>
      <c r="X647" s="7"/>
      <c r="Y647" s="7"/>
      <c r="Z647" s="7"/>
      <c r="AA647" s="7"/>
    </row>
    <row r="648">
      <c r="A648" s="54"/>
      <c r="B648" s="54"/>
      <c r="C648" s="7"/>
      <c r="D648" s="7"/>
      <c r="E648" s="7"/>
      <c r="F648" s="54"/>
      <c r="G648" s="54"/>
      <c r="H648" s="54"/>
      <c r="I648" s="54"/>
      <c r="J648" s="54"/>
      <c r="K648" s="54"/>
      <c r="L648" s="54"/>
      <c r="M648" s="54"/>
      <c r="N648" s="54"/>
      <c r="O648" s="54"/>
      <c r="P648" s="7"/>
      <c r="Q648" s="7"/>
      <c r="R648" s="7"/>
      <c r="S648" s="7"/>
      <c r="T648" s="7"/>
      <c r="U648" s="7"/>
      <c r="V648" s="7"/>
      <c r="W648" s="7"/>
      <c r="X648" s="7"/>
      <c r="Y648" s="7"/>
      <c r="Z648" s="7"/>
      <c r="AA648" s="7"/>
    </row>
    <row r="649">
      <c r="A649" s="54"/>
      <c r="B649" s="54"/>
      <c r="C649" s="7"/>
      <c r="D649" s="7"/>
      <c r="E649" s="7"/>
      <c r="F649" s="54"/>
      <c r="G649" s="54"/>
      <c r="H649" s="54"/>
      <c r="I649" s="54"/>
      <c r="J649" s="54"/>
      <c r="K649" s="54"/>
      <c r="L649" s="54"/>
      <c r="M649" s="54"/>
      <c r="N649" s="54"/>
      <c r="O649" s="54"/>
      <c r="P649" s="7"/>
      <c r="Q649" s="7"/>
      <c r="R649" s="7"/>
      <c r="S649" s="7"/>
      <c r="T649" s="7"/>
      <c r="U649" s="7"/>
      <c r="V649" s="7"/>
      <c r="W649" s="7"/>
      <c r="X649" s="7"/>
      <c r="Y649" s="7"/>
      <c r="Z649" s="7"/>
      <c r="AA649" s="7"/>
    </row>
    <row r="650">
      <c r="A650" s="54"/>
      <c r="B650" s="54"/>
      <c r="C650" s="7"/>
      <c r="D650" s="7"/>
      <c r="E650" s="7"/>
      <c r="F650" s="54"/>
      <c r="G650" s="54"/>
      <c r="H650" s="54"/>
      <c r="I650" s="54"/>
      <c r="J650" s="54"/>
      <c r="K650" s="54"/>
      <c r="L650" s="54"/>
      <c r="M650" s="54"/>
      <c r="N650" s="54"/>
      <c r="O650" s="54"/>
      <c r="P650" s="7"/>
      <c r="Q650" s="7"/>
      <c r="R650" s="7"/>
      <c r="S650" s="7"/>
      <c r="T650" s="7"/>
      <c r="U650" s="7"/>
      <c r="V650" s="7"/>
      <c r="W650" s="7"/>
      <c r="X650" s="7"/>
      <c r="Y650" s="7"/>
      <c r="Z650" s="7"/>
      <c r="AA650" s="7"/>
    </row>
    <row r="651">
      <c r="A651" s="54"/>
      <c r="B651" s="54"/>
      <c r="C651" s="7"/>
      <c r="D651" s="7"/>
      <c r="E651" s="7"/>
      <c r="F651" s="54"/>
      <c r="G651" s="54"/>
      <c r="H651" s="54"/>
      <c r="I651" s="54"/>
      <c r="J651" s="54"/>
      <c r="K651" s="54"/>
      <c r="L651" s="54"/>
      <c r="M651" s="54"/>
      <c r="N651" s="54"/>
      <c r="O651" s="54"/>
      <c r="P651" s="7"/>
      <c r="Q651" s="7"/>
      <c r="R651" s="7"/>
      <c r="S651" s="7"/>
      <c r="T651" s="7"/>
      <c r="U651" s="7"/>
      <c r="V651" s="7"/>
      <c r="W651" s="7"/>
      <c r="X651" s="7"/>
      <c r="Y651" s="7"/>
      <c r="Z651" s="7"/>
      <c r="AA651" s="7"/>
    </row>
    <row r="652">
      <c r="A652" s="54"/>
      <c r="B652" s="54"/>
      <c r="C652" s="7"/>
      <c r="D652" s="7"/>
      <c r="E652" s="7"/>
      <c r="F652" s="54"/>
      <c r="G652" s="54"/>
      <c r="H652" s="54"/>
      <c r="I652" s="54"/>
      <c r="J652" s="54"/>
      <c r="K652" s="54"/>
      <c r="L652" s="54"/>
      <c r="M652" s="54"/>
      <c r="N652" s="54"/>
      <c r="O652" s="54"/>
      <c r="P652" s="7"/>
      <c r="Q652" s="7"/>
      <c r="R652" s="7"/>
      <c r="S652" s="7"/>
      <c r="T652" s="7"/>
      <c r="U652" s="7"/>
      <c r="V652" s="7"/>
      <c r="W652" s="7"/>
      <c r="X652" s="7"/>
      <c r="Y652" s="7"/>
      <c r="Z652" s="7"/>
      <c r="AA652" s="7"/>
    </row>
    <row r="653">
      <c r="A653" s="54"/>
      <c r="B653" s="54"/>
      <c r="C653" s="7"/>
      <c r="D653" s="7"/>
      <c r="E653" s="7"/>
      <c r="F653" s="54"/>
      <c r="G653" s="54"/>
      <c r="H653" s="54"/>
      <c r="I653" s="54"/>
      <c r="J653" s="54"/>
      <c r="K653" s="54"/>
      <c r="L653" s="54"/>
      <c r="M653" s="54"/>
      <c r="N653" s="54"/>
      <c r="O653" s="54"/>
      <c r="P653" s="7"/>
      <c r="Q653" s="7"/>
      <c r="R653" s="7"/>
      <c r="S653" s="7"/>
      <c r="T653" s="7"/>
      <c r="U653" s="7"/>
      <c r="V653" s="7"/>
      <c r="W653" s="7"/>
      <c r="X653" s="7"/>
      <c r="Y653" s="7"/>
      <c r="Z653" s="7"/>
      <c r="AA653" s="7"/>
    </row>
    <row r="654">
      <c r="A654" s="54"/>
      <c r="B654" s="54"/>
      <c r="C654" s="7"/>
      <c r="D654" s="7"/>
      <c r="E654" s="7"/>
      <c r="F654" s="54"/>
      <c r="G654" s="54"/>
      <c r="H654" s="54"/>
      <c r="I654" s="54"/>
      <c r="J654" s="54"/>
      <c r="K654" s="54"/>
      <c r="L654" s="54"/>
      <c r="M654" s="54"/>
      <c r="N654" s="54"/>
      <c r="O654" s="54"/>
      <c r="P654" s="7"/>
      <c r="Q654" s="7"/>
      <c r="R654" s="7"/>
      <c r="S654" s="7"/>
      <c r="T654" s="7"/>
      <c r="U654" s="7"/>
      <c r="V654" s="7"/>
      <c r="W654" s="7"/>
      <c r="X654" s="7"/>
      <c r="Y654" s="7"/>
      <c r="Z654" s="7"/>
      <c r="AA654" s="7"/>
    </row>
    <row r="655">
      <c r="A655" s="54"/>
      <c r="B655" s="54"/>
      <c r="C655" s="7"/>
      <c r="D655" s="7"/>
      <c r="E655" s="7"/>
      <c r="F655" s="54"/>
      <c r="G655" s="54"/>
      <c r="H655" s="54"/>
      <c r="I655" s="54"/>
      <c r="J655" s="54"/>
      <c r="K655" s="54"/>
      <c r="L655" s="54"/>
      <c r="M655" s="54"/>
      <c r="N655" s="54"/>
      <c r="O655" s="54"/>
      <c r="P655" s="7"/>
      <c r="Q655" s="7"/>
      <c r="R655" s="7"/>
      <c r="S655" s="7"/>
      <c r="T655" s="7"/>
      <c r="U655" s="7"/>
      <c r="V655" s="7"/>
      <c r="W655" s="7"/>
      <c r="X655" s="7"/>
      <c r="Y655" s="7"/>
      <c r="Z655" s="7"/>
      <c r="AA655" s="7"/>
    </row>
    <row r="656">
      <c r="A656" s="54"/>
      <c r="B656" s="54"/>
      <c r="C656" s="7"/>
      <c r="D656" s="7"/>
      <c r="E656" s="7"/>
      <c r="F656" s="54"/>
      <c r="G656" s="54"/>
      <c r="H656" s="54"/>
      <c r="I656" s="54"/>
      <c r="J656" s="54"/>
      <c r="K656" s="54"/>
      <c r="L656" s="54"/>
      <c r="M656" s="54"/>
      <c r="N656" s="54"/>
      <c r="O656" s="54"/>
      <c r="P656" s="7"/>
      <c r="Q656" s="7"/>
      <c r="R656" s="7"/>
      <c r="S656" s="7"/>
      <c r="T656" s="7"/>
      <c r="U656" s="7"/>
      <c r="V656" s="7"/>
      <c r="W656" s="7"/>
      <c r="X656" s="7"/>
      <c r="Y656" s="7"/>
      <c r="Z656" s="7"/>
      <c r="AA656" s="7"/>
    </row>
    <row r="657">
      <c r="A657" s="54"/>
      <c r="B657" s="54"/>
      <c r="C657" s="7"/>
      <c r="D657" s="7"/>
      <c r="E657" s="7"/>
      <c r="F657" s="54"/>
      <c r="G657" s="54"/>
      <c r="H657" s="54"/>
      <c r="I657" s="54"/>
      <c r="J657" s="54"/>
      <c r="K657" s="54"/>
      <c r="L657" s="54"/>
      <c r="M657" s="54"/>
      <c r="N657" s="54"/>
      <c r="O657" s="54"/>
      <c r="P657" s="7"/>
      <c r="Q657" s="7"/>
      <c r="R657" s="7"/>
      <c r="S657" s="7"/>
      <c r="T657" s="7"/>
      <c r="U657" s="7"/>
      <c r="V657" s="7"/>
      <c r="W657" s="7"/>
      <c r="X657" s="7"/>
      <c r="Y657" s="7"/>
      <c r="Z657" s="7"/>
      <c r="AA657" s="7"/>
    </row>
    <row r="658">
      <c r="A658" s="54"/>
      <c r="B658" s="54"/>
      <c r="C658" s="7"/>
      <c r="D658" s="7"/>
      <c r="E658" s="7"/>
      <c r="F658" s="54"/>
      <c r="G658" s="54"/>
      <c r="H658" s="54"/>
      <c r="I658" s="54"/>
      <c r="J658" s="54"/>
      <c r="K658" s="54"/>
      <c r="L658" s="54"/>
      <c r="M658" s="54"/>
      <c r="N658" s="54"/>
      <c r="O658" s="54"/>
      <c r="P658" s="7"/>
      <c r="Q658" s="7"/>
      <c r="R658" s="7"/>
      <c r="S658" s="7"/>
      <c r="T658" s="7"/>
      <c r="U658" s="7"/>
      <c r="V658" s="7"/>
      <c r="W658" s="7"/>
      <c r="X658" s="7"/>
      <c r="Y658" s="7"/>
      <c r="Z658" s="7"/>
      <c r="AA658" s="7"/>
    </row>
    <row r="659">
      <c r="A659" s="54"/>
      <c r="B659" s="54"/>
      <c r="C659" s="7"/>
      <c r="D659" s="7"/>
      <c r="E659" s="7"/>
      <c r="F659" s="54"/>
      <c r="G659" s="54"/>
      <c r="H659" s="54"/>
      <c r="I659" s="54"/>
      <c r="J659" s="54"/>
      <c r="K659" s="54"/>
      <c r="L659" s="54"/>
      <c r="M659" s="54"/>
      <c r="N659" s="54"/>
      <c r="O659" s="54"/>
      <c r="P659" s="7"/>
      <c r="Q659" s="7"/>
      <c r="R659" s="7"/>
      <c r="S659" s="7"/>
      <c r="T659" s="7"/>
      <c r="U659" s="7"/>
      <c r="V659" s="7"/>
      <c r="W659" s="7"/>
      <c r="X659" s="7"/>
      <c r="Y659" s="7"/>
      <c r="Z659" s="7"/>
      <c r="AA659" s="7"/>
    </row>
    <row r="660">
      <c r="A660" s="54"/>
      <c r="B660" s="54"/>
      <c r="C660" s="7"/>
      <c r="D660" s="7"/>
      <c r="E660" s="7"/>
      <c r="F660" s="54"/>
      <c r="G660" s="54"/>
      <c r="H660" s="54"/>
      <c r="I660" s="54"/>
      <c r="J660" s="54"/>
      <c r="K660" s="54"/>
      <c r="L660" s="54"/>
      <c r="M660" s="54"/>
      <c r="N660" s="54"/>
      <c r="O660" s="54"/>
      <c r="P660" s="7"/>
      <c r="Q660" s="7"/>
      <c r="R660" s="7"/>
      <c r="S660" s="7"/>
      <c r="T660" s="7"/>
      <c r="U660" s="7"/>
      <c r="V660" s="7"/>
      <c r="W660" s="7"/>
      <c r="X660" s="7"/>
      <c r="Y660" s="7"/>
      <c r="Z660" s="7"/>
      <c r="AA660" s="7"/>
    </row>
    <row r="661">
      <c r="A661" s="54"/>
      <c r="B661" s="54"/>
      <c r="C661" s="7"/>
      <c r="D661" s="7"/>
      <c r="E661" s="7"/>
      <c r="F661" s="54"/>
      <c r="G661" s="54"/>
      <c r="H661" s="54"/>
      <c r="I661" s="54"/>
      <c r="J661" s="54"/>
      <c r="K661" s="54"/>
      <c r="L661" s="54"/>
      <c r="M661" s="54"/>
      <c r="N661" s="54"/>
      <c r="O661" s="54"/>
      <c r="P661" s="7"/>
      <c r="Q661" s="7"/>
      <c r="R661" s="7"/>
      <c r="S661" s="7"/>
      <c r="T661" s="7"/>
      <c r="U661" s="7"/>
      <c r="V661" s="7"/>
      <c r="W661" s="7"/>
      <c r="X661" s="7"/>
      <c r="Y661" s="7"/>
      <c r="Z661" s="7"/>
      <c r="AA661" s="7"/>
    </row>
    <row r="662">
      <c r="A662" s="54"/>
      <c r="B662" s="54"/>
      <c r="C662" s="7"/>
      <c r="D662" s="7"/>
      <c r="E662" s="7"/>
      <c r="F662" s="54"/>
      <c r="G662" s="54"/>
      <c r="H662" s="54"/>
      <c r="I662" s="54"/>
      <c r="J662" s="54"/>
      <c r="K662" s="54"/>
      <c r="L662" s="54"/>
      <c r="M662" s="54"/>
      <c r="N662" s="54"/>
      <c r="O662" s="54"/>
      <c r="P662" s="7"/>
      <c r="Q662" s="7"/>
      <c r="R662" s="7"/>
      <c r="S662" s="7"/>
      <c r="T662" s="7"/>
      <c r="U662" s="7"/>
      <c r="V662" s="7"/>
      <c r="W662" s="7"/>
      <c r="X662" s="7"/>
      <c r="Y662" s="7"/>
      <c r="Z662" s="7"/>
      <c r="AA662" s="7"/>
    </row>
    <row r="663">
      <c r="A663" s="54"/>
      <c r="B663" s="54"/>
      <c r="C663" s="7"/>
      <c r="D663" s="7"/>
      <c r="E663" s="7"/>
      <c r="F663" s="54"/>
      <c r="G663" s="54"/>
      <c r="H663" s="54"/>
      <c r="I663" s="54"/>
      <c r="J663" s="54"/>
      <c r="K663" s="54"/>
      <c r="L663" s="54"/>
      <c r="M663" s="54"/>
      <c r="N663" s="54"/>
      <c r="O663" s="54"/>
      <c r="P663" s="7"/>
      <c r="Q663" s="7"/>
      <c r="R663" s="7"/>
      <c r="S663" s="7"/>
      <c r="T663" s="7"/>
      <c r="U663" s="7"/>
      <c r="V663" s="7"/>
      <c r="W663" s="7"/>
      <c r="X663" s="7"/>
      <c r="Y663" s="7"/>
      <c r="Z663" s="7"/>
      <c r="AA663" s="7"/>
    </row>
    <row r="664">
      <c r="A664" s="54"/>
      <c r="B664" s="54"/>
      <c r="C664" s="7"/>
      <c r="D664" s="7"/>
      <c r="E664" s="7"/>
      <c r="F664" s="54"/>
      <c r="G664" s="54"/>
      <c r="H664" s="54"/>
      <c r="I664" s="54"/>
      <c r="J664" s="54"/>
      <c r="K664" s="54"/>
      <c r="L664" s="54"/>
      <c r="M664" s="54"/>
      <c r="N664" s="54"/>
      <c r="O664" s="54"/>
      <c r="P664" s="7"/>
      <c r="Q664" s="7"/>
      <c r="R664" s="7"/>
      <c r="S664" s="7"/>
      <c r="T664" s="7"/>
      <c r="U664" s="7"/>
      <c r="V664" s="7"/>
      <c r="W664" s="7"/>
      <c r="X664" s="7"/>
      <c r="Y664" s="7"/>
      <c r="Z664" s="7"/>
      <c r="AA664" s="7"/>
    </row>
    <row r="665">
      <c r="A665" s="54"/>
      <c r="B665" s="54"/>
      <c r="C665" s="7"/>
      <c r="D665" s="7"/>
      <c r="E665" s="7"/>
      <c r="F665" s="54"/>
      <c r="G665" s="54"/>
      <c r="H665" s="54"/>
      <c r="I665" s="54"/>
      <c r="J665" s="54"/>
      <c r="K665" s="54"/>
      <c r="L665" s="54"/>
      <c r="M665" s="54"/>
      <c r="N665" s="54"/>
      <c r="O665" s="54"/>
      <c r="P665" s="7"/>
      <c r="Q665" s="7"/>
      <c r="R665" s="7"/>
      <c r="S665" s="7"/>
      <c r="T665" s="7"/>
      <c r="U665" s="7"/>
      <c r="V665" s="7"/>
      <c r="W665" s="7"/>
      <c r="X665" s="7"/>
      <c r="Y665" s="7"/>
      <c r="Z665" s="7"/>
      <c r="AA665" s="7"/>
    </row>
    <row r="666">
      <c r="A666" s="54"/>
      <c r="B666" s="54"/>
      <c r="C666" s="7"/>
      <c r="D666" s="7"/>
      <c r="E666" s="7"/>
      <c r="F666" s="54"/>
      <c r="G666" s="54"/>
      <c r="H666" s="54"/>
      <c r="I666" s="54"/>
      <c r="J666" s="54"/>
      <c r="K666" s="54"/>
      <c r="L666" s="54"/>
      <c r="M666" s="54"/>
      <c r="N666" s="54"/>
      <c r="O666" s="54"/>
      <c r="P666" s="7"/>
      <c r="Q666" s="7"/>
      <c r="R666" s="7"/>
      <c r="S666" s="7"/>
      <c r="T666" s="7"/>
      <c r="U666" s="7"/>
      <c r="V666" s="7"/>
      <c r="W666" s="7"/>
      <c r="X666" s="7"/>
      <c r="Y666" s="7"/>
      <c r="Z666" s="7"/>
      <c r="AA666" s="7"/>
    </row>
    <row r="667">
      <c r="A667" s="54"/>
      <c r="B667" s="54"/>
      <c r="C667" s="7"/>
      <c r="D667" s="7"/>
      <c r="E667" s="7"/>
      <c r="F667" s="54"/>
      <c r="G667" s="54"/>
      <c r="H667" s="54"/>
      <c r="I667" s="54"/>
      <c r="J667" s="54"/>
      <c r="K667" s="54"/>
      <c r="L667" s="54"/>
      <c r="M667" s="54"/>
      <c r="N667" s="54"/>
      <c r="O667" s="54"/>
      <c r="P667" s="7"/>
      <c r="Q667" s="7"/>
      <c r="R667" s="7"/>
      <c r="S667" s="7"/>
      <c r="T667" s="7"/>
      <c r="U667" s="7"/>
      <c r="V667" s="7"/>
      <c r="W667" s="7"/>
      <c r="X667" s="7"/>
      <c r="Y667" s="7"/>
      <c r="Z667" s="7"/>
      <c r="AA667" s="7"/>
    </row>
    <row r="668">
      <c r="A668" s="54"/>
      <c r="B668" s="54"/>
      <c r="C668" s="7"/>
      <c r="D668" s="7"/>
      <c r="E668" s="7"/>
      <c r="F668" s="54"/>
      <c r="G668" s="54"/>
      <c r="H668" s="54"/>
      <c r="I668" s="54"/>
      <c r="J668" s="54"/>
      <c r="K668" s="54"/>
      <c r="L668" s="54"/>
      <c r="M668" s="54"/>
      <c r="N668" s="54"/>
      <c r="O668" s="54"/>
      <c r="P668" s="7"/>
      <c r="Q668" s="7"/>
      <c r="R668" s="7"/>
      <c r="S668" s="7"/>
      <c r="T668" s="7"/>
      <c r="U668" s="7"/>
      <c r="V668" s="7"/>
      <c r="W668" s="7"/>
      <c r="X668" s="7"/>
      <c r="Y668" s="7"/>
      <c r="Z668" s="7"/>
      <c r="AA668" s="7"/>
    </row>
    <row r="669">
      <c r="A669" s="54"/>
      <c r="B669" s="54"/>
      <c r="C669" s="7"/>
      <c r="D669" s="7"/>
      <c r="E669" s="7"/>
      <c r="F669" s="54"/>
      <c r="G669" s="54"/>
      <c r="H669" s="54"/>
      <c r="I669" s="54"/>
      <c r="J669" s="54"/>
      <c r="K669" s="54"/>
      <c r="L669" s="54"/>
      <c r="M669" s="54"/>
      <c r="N669" s="54"/>
      <c r="O669" s="54"/>
      <c r="P669" s="7"/>
      <c r="Q669" s="7"/>
      <c r="R669" s="7"/>
      <c r="S669" s="7"/>
      <c r="T669" s="7"/>
      <c r="U669" s="7"/>
      <c r="V669" s="7"/>
      <c r="W669" s="7"/>
      <c r="X669" s="7"/>
      <c r="Y669" s="7"/>
      <c r="Z669" s="7"/>
      <c r="AA669" s="7"/>
    </row>
    <row r="670">
      <c r="A670" s="54"/>
      <c r="B670" s="54"/>
      <c r="C670" s="7"/>
      <c r="D670" s="7"/>
      <c r="E670" s="7"/>
      <c r="F670" s="54"/>
      <c r="G670" s="54"/>
      <c r="H670" s="54"/>
      <c r="I670" s="54"/>
      <c r="J670" s="54"/>
      <c r="K670" s="54"/>
      <c r="L670" s="54"/>
      <c r="M670" s="54"/>
      <c r="N670" s="54"/>
      <c r="O670" s="54"/>
      <c r="P670" s="7"/>
      <c r="Q670" s="7"/>
      <c r="R670" s="7"/>
      <c r="S670" s="7"/>
      <c r="T670" s="7"/>
      <c r="U670" s="7"/>
      <c r="V670" s="7"/>
      <c r="W670" s="7"/>
      <c r="X670" s="7"/>
      <c r="Y670" s="7"/>
      <c r="Z670" s="7"/>
      <c r="AA670" s="7"/>
    </row>
    <row r="671">
      <c r="A671" s="54"/>
      <c r="B671" s="54"/>
      <c r="C671" s="7"/>
      <c r="D671" s="7"/>
      <c r="E671" s="7"/>
      <c r="F671" s="54"/>
      <c r="G671" s="54"/>
      <c r="H671" s="54"/>
      <c r="I671" s="54"/>
      <c r="J671" s="54"/>
      <c r="K671" s="54"/>
      <c r="L671" s="54"/>
      <c r="M671" s="54"/>
      <c r="N671" s="54"/>
      <c r="O671" s="54"/>
      <c r="P671" s="7"/>
      <c r="Q671" s="7"/>
      <c r="R671" s="7"/>
      <c r="S671" s="7"/>
      <c r="T671" s="7"/>
      <c r="U671" s="7"/>
      <c r="V671" s="7"/>
      <c r="W671" s="7"/>
      <c r="X671" s="7"/>
      <c r="Y671" s="7"/>
      <c r="Z671" s="7"/>
      <c r="AA671" s="7"/>
    </row>
    <row r="672">
      <c r="A672" s="54"/>
      <c r="B672" s="54"/>
      <c r="C672" s="7"/>
      <c r="D672" s="7"/>
      <c r="E672" s="7"/>
      <c r="F672" s="54"/>
      <c r="G672" s="54"/>
      <c r="H672" s="54"/>
      <c r="I672" s="54"/>
      <c r="J672" s="54"/>
      <c r="K672" s="54"/>
      <c r="L672" s="54"/>
      <c r="M672" s="54"/>
      <c r="N672" s="54"/>
      <c r="O672" s="54"/>
      <c r="P672" s="7"/>
      <c r="Q672" s="7"/>
      <c r="R672" s="7"/>
      <c r="S672" s="7"/>
      <c r="T672" s="7"/>
      <c r="U672" s="7"/>
      <c r="V672" s="7"/>
      <c r="W672" s="7"/>
      <c r="X672" s="7"/>
      <c r="Y672" s="7"/>
      <c r="Z672" s="7"/>
      <c r="AA672" s="7"/>
    </row>
    <row r="673">
      <c r="A673" s="54"/>
      <c r="B673" s="54"/>
      <c r="C673" s="7"/>
      <c r="D673" s="7"/>
      <c r="E673" s="7"/>
      <c r="F673" s="54"/>
      <c r="G673" s="54"/>
      <c r="H673" s="54"/>
      <c r="I673" s="54"/>
      <c r="J673" s="54"/>
      <c r="K673" s="54"/>
      <c r="L673" s="54"/>
      <c r="M673" s="54"/>
      <c r="N673" s="54"/>
      <c r="O673" s="54"/>
      <c r="P673" s="7"/>
      <c r="Q673" s="7"/>
      <c r="R673" s="7"/>
      <c r="S673" s="7"/>
      <c r="T673" s="7"/>
      <c r="U673" s="7"/>
      <c r="V673" s="7"/>
      <c r="W673" s="7"/>
      <c r="X673" s="7"/>
      <c r="Y673" s="7"/>
      <c r="Z673" s="7"/>
      <c r="AA673" s="7"/>
    </row>
    <row r="674">
      <c r="A674" s="54"/>
      <c r="B674" s="54"/>
      <c r="C674" s="7"/>
      <c r="D674" s="7"/>
      <c r="E674" s="7"/>
      <c r="F674" s="54"/>
      <c r="G674" s="54"/>
      <c r="H674" s="54"/>
      <c r="I674" s="54"/>
      <c r="J674" s="54"/>
      <c r="K674" s="54"/>
      <c r="L674" s="54"/>
      <c r="M674" s="54"/>
      <c r="N674" s="54"/>
      <c r="O674" s="54"/>
      <c r="P674" s="7"/>
      <c r="Q674" s="7"/>
      <c r="R674" s="7"/>
      <c r="S674" s="7"/>
      <c r="T674" s="7"/>
      <c r="U674" s="7"/>
      <c r="V674" s="7"/>
      <c r="W674" s="7"/>
      <c r="X674" s="7"/>
      <c r="Y674" s="7"/>
      <c r="Z674" s="7"/>
      <c r="AA674" s="7"/>
    </row>
    <row r="675">
      <c r="A675" s="54"/>
      <c r="B675" s="54"/>
      <c r="C675" s="7"/>
      <c r="D675" s="7"/>
      <c r="E675" s="7"/>
      <c r="F675" s="54"/>
      <c r="G675" s="54"/>
      <c r="H675" s="54"/>
      <c r="I675" s="54"/>
      <c r="J675" s="54"/>
      <c r="K675" s="54"/>
      <c r="L675" s="54"/>
      <c r="M675" s="54"/>
      <c r="N675" s="54"/>
      <c r="O675" s="54"/>
      <c r="P675" s="7"/>
      <c r="Q675" s="7"/>
      <c r="R675" s="7"/>
      <c r="S675" s="7"/>
      <c r="T675" s="7"/>
      <c r="U675" s="7"/>
      <c r="V675" s="7"/>
      <c r="W675" s="7"/>
      <c r="X675" s="7"/>
      <c r="Y675" s="7"/>
      <c r="Z675" s="7"/>
      <c r="AA675" s="7"/>
    </row>
    <row r="676">
      <c r="A676" s="54"/>
      <c r="B676" s="54"/>
      <c r="C676" s="7"/>
      <c r="D676" s="7"/>
      <c r="E676" s="7"/>
      <c r="F676" s="54"/>
      <c r="G676" s="54"/>
      <c r="H676" s="54"/>
      <c r="I676" s="54"/>
      <c r="J676" s="54"/>
      <c r="K676" s="54"/>
      <c r="L676" s="54"/>
      <c r="M676" s="54"/>
      <c r="N676" s="54"/>
      <c r="O676" s="54"/>
      <c r="P676" s="7"/>
      <c r="Q676" s="7"/>
      <c r="R676" s="7"/>
      <c r="S676" s="7"/>
      <c r="T676" s="7"/>
      <c r="U676" s="7"/>
      <c r="V676" s="7"/>
      <c r="W676" s="7"/>
      <c r="X676" s="7"/>
      <c r="Y676" s="7"/>
      <c r="Z676" s="7"/>
      <c r="AA676" s="7"/>
    </row>
    <row r="677">
      <c r="A677" s="54"/>
      <c r="B677" s="54"/>
      <c r="C677" s="7"/>
      <c r="D677" s="7"/>
      <c r="E677" s="7"/>
      <c r="F677" s="54"/>
      <c r="G677" s="54"/>
      <c r="H677" s="54"/>
      <c r="I677" s="54"/>
      <c r="J677" s="54"/>
      <c r="K677" s="54"/>
      <c r="L677" s="54"/>
      <c r="M677" s="54"/>
      <c r="N677" s="54"/>
      <c r="O677" s="54"/>
      <c r="P677" s="7"/>
      <c r="Q677" s="7"/>
      <c r="R677" s="7"/>
      <c r="S677" s="7"/>
      <c r="T677" s="7"/>
      <c r="U677" s="7"/>
      <c r="V677" s="7"/>
      <c r="W677" s="7"/>
      <c r="X677" s="7"/>
      <c r="Y677" s="7"/>
      <c r="Z677" s="7"/>
      <c r="AA677" s="7"/>
    </row>
    <row r="678">
      <c r="A678" s="54"/>
      <c r="B678" s="54"/>
      <c r="C678" s="7"/>
      <c r="D678" s="7"/>
      <c r="E678" s="7"/>
      <c r="F678" s="54"/>
      <c r="G678" s="54"/>
      <c r="H678" s="54"/>
      <c r="I678" s="54"/>
      <c r="J678" s="54"/>
      <c r="K678" s="54"/>
      <c r="L678" s="54"/>
      <c r="M678" s="54"/>
      <c r="N678" s="54"/>
      <c r="O678" s="54"/>
      <c r="P678" s="7"/>
      <c r="Q678" s="7"/>
      <c r="R678" s="7"/>
      <c r="S678" s="7"/>
      <c r="T678" s="7"/>
      <c r="U678" s="7"/>
      <c r="V678" s="7"/>
      <c r="W678" s="7"/>
      <c r="X678" s="7"/>
      <c r="Y678" s="7"/>
      <c r="Z678" s="7"/>
      <c r="AA678" s="7"/>
    </row>
    <row r="679">
      <c r="A679" s="54"/>
      <c r="B679" s="54"/>
      <c r="C679" s="7"/>
      <c r="D679" s="7"/>
      <c r="E679" s="7"/>
      <c r="F679" s="54"/>
      <c r="G679" s="54"/>
      <c r="H679" s="54"/>
      <c r="I679" s="54"/>
      <c r="J679" s="54"/>
      <c r="K679" s="54"/>
      <c r="L679" s="54"/>
      <c r="M679" s="54"/>
      <c r="N679" s="54"/>
      <c r="O679" s="54"/>
      <c r="P679" s="7"/>
      <c r="Q679" s="7"/>
      <c r="R679" s="7"/>
      <c r="S679" s="7"/>
      <c r="T679" s="7"/>
      <c r="U679" s="7"/>
      <c r="V679" s="7"/>
      <c r="W679" s="7"/>
      <c r="X679" s="7"/>
      <c r="Y679" s="7"/>
      <c r="Z679" s="7"/>
      <c r="AA679" s="7"/>
    </row>
    <row r="680">
      <c r="A680" s="54"/>
      <c r="B680" s="54"/>
      <c r="C680" s="7"/>
      <c r="D680" s="7"/>
      <c r="E680" s="7"/>
      <c r="F680" s="54"/>
      <c r="G680" s="54"/>
      <c r="H680" s="54"/>
      <c r="I680" s="54"/>
      <c r="J680" s="54"/>
      <c r="K680" s="54"/>
      <c r="L680" s="54"/>
      <c r="M680" s="54"/>
      <c r="N680" s="54"/>
      <c r="O680" s="54"/>
      <c r="P680" s="7"/>
      <c r="Q680" s="7"/>
      <c r="R680" s="7"/>
      <c r="S680" s="7"/>
      <c r="T680" s="7"/>
      <c r="U680" s="7"/>
      <c r="V680" s="7"/>
      <c r="W680" s="7"/>
      <c r="X680" s="7"/>
      <c r="Y680" s="7"/>
      <c r="Z680" s="7"/>
      <c r="AA680" s="7"/>
    </row>
    <row r="681">
      <c r="A681" s="54"/>
      <c r="B681" s="54"/>
      <c r="C681" s="7"/>
      <c r="D681" s="7"/>
      <c r="E681" s="7"/>
      <c r="F681" s="54"/>
      <c r="G681" s="54"/>
      <c r="H681" s="54"/>
      <c r="I681" s="54"/>
      <c r="J681" s="54"/>
      <c r="K681" s="54"/>
      <c r="L681" s="54"/>
      <c r="M681" s="54"/>
      <c r="N681" s="54"/>
      <c r="O681" s="54"/>
      <c r="P681" s="7"/>
      <c r="Q681" s="7"/>
      <c r="R681" s="7"/>
      <c r="S681" s="7"/>
      <c r="T681" s="7"/>
      <c r="U681" s="7"/>
      <c r="V681" s="7"/>
      <c r="W681" s="7"/>
      <c r="X681" s="7"/>
      <c r="Y681" s="7"/>
      <c r="Z681" s="7"/>
      <c r="AA681" s="7"/>
    </row>
    <row r="682">
      <c r="A682" s="54"/>
      <c r="B682" s="54"/>
      <c r="C682" s="7"/>
      <c r="D682" s="7"/>
      <c r="E682" s="7"/>
      <c r="F682" s="54"/>
      <c r="G682" s="54"/>
      <c r="H682" s="54"/>
      <c r="I682" s="54"/>
      <c r="J682" s="54"/>
      <c r="K682" s="54"/>
      <c r="L682" s="54"/>
      <c r="M682" s="54"/>
      <c r="N682" s="54"/>
      <c r="O682" s="54"/>
      <c r="P682" s="7"/>
      <c r="Q682" s="7"/>
      <c r="R682" s="7"/>
      <c r="S682" s="7"/>
      <c r="T682" s="7"/>
      <c r="U682" s="7"/>
      <c r="V682" s="7"/>
      <c r="W682" s="7"/>
      <c r="X682" s="7"/>
      <c r="Y682" s="7"/>
      <c r="Z682" s="7"/>
      <c r="AA682" s="7"/>
    </row>
    <row r="683">
      <c r="A683" s="54"/>
      <c r="B683" s="54"/>
      <c r="C683" s="7"/>
      <c r="D683" s="7"/>
      <c r="E683" s="7"/>
      <c r="F683" s="54"/>
      <c r="G683" s="54"/>
      <c r="H683" s="54"/>
      <c r="I683" s="54"/>
      <c r="J683" s="54"/>
      <c r="K683" s="54"/>
      <c r="L683" s="54"/>
      <c r="M683" s="54"/>
      <c r="N683" s="54"/>
      <c r="O683" s="54"/>
      <c r="P683" s="7"/>
      <c r="Q683" s="7"/>
      <c r="R683" s="7"/>
      <c r="S683" s="7"/>
      <c r="T683" s="7"/>
      <c r="U683" s="7"/>
      <c r="V683" s="7"/>
      <c r="W683" s="7"/>
      <c r="X683" s="7"/>
      <c r="Y683" s="7"/>
      <c r="Z683" s="7"/>
      <c r="AA683" s="7"/>
    </row>
    <row r="684">
      <c r="A684" s="54"/>
      <c r="B684" s="54"/>
      <c r="C684" s="7"/>
      <c r="D684" s="7"/>
      <c r="E684" s="7"/>
      <c r="F684" s="54"/>
      <c r="G684" s="54"/>
      <c r="H684" s="54"/>
      <c r="I684" s="54"/>
      <c r="J684" s="54"/>
      <c r="K684" s="54"/>
      <c r="L684" s="54"/>
      <c r="M684" s="54"/>
      <c r="N684" s="54"/>
      <c r="O684" s="54"/>
      <c r="P684" s="7"/>
      <c r="Q684" s="7"/>
      <c r="R684" s="7"/>
      <c r="S684" s="7"/>
      <c r="T684" s="7"/>
      <c r="U684" s="7"/>
      <c r="V684" s="7"/>
      <c r="W684" s="7"/>
      <c r="X684" s="7"/>
      <c r="Y684" s="7"/>
      <c r="Z684" s="7"/>
      <c r="AA684" s="7"/>
    </row>
    <row r="685">
      <c r="A685" s="54"/>
      <c r="B685" s="54"/>
      <c r="C685" s="7"/>
      <c r="D685" s="7"/>
      <c r="E685" s="7"/>
      <c r="F685" s="54"/>
      <c r="G685" s="54"/>
      <c r="H685" s="54"/>
      <c r="I685" s="54"/>
      <c r="J685" s="54"/>
      <c r="K685" s="54"/>
      <c r="L685" s="54"/>
      <c r="M685" s="54"/>
      <c r="N685" s="54"/>
      <c r="O685" s="54"/>
      <c r="P685" s="7"/>
      <c r="Q685" s="7"/>
      <c r="R685" s="7"/>
      <c r="S685" s="7"/>
      <c r="T685" s="7"/>
      <c r="U685" s="7"/>
      <c r="V685" s="7"/>
      <c r="W685" s="7"/>
      <c r="X685" s="7"/>
      <c r="Y685" s="7"/>
      <c r="Z685" s="7"/>
      <c r="AA685" s="7"/>
    </row>
    <row r="686">
      <c r="A686" s="54"/>
      <c r="B686" s="54"/>
      <c r="C686" s="7"/>
      <c r="D686" s="7"/>
      <c r="E686" s="7"/>
      <c r="F686" s="54"/>
      <c r="G686" s="54"/>
      <c r="H686" s="54"/>
      <c r="I686" s="54"/>
      <c r="J686" s="54"/>
      <c r="K686" s="54"/>
      <c r="L686" s="54"/>
      <c r="M686" s="54"/>
      <c r="N686" s="54"/>
      <c r="O686" s="54"/>
      <c r="P686" s="7"/>
      <c r="Q686" s="7"/>
      <c r="R686" s="7"/>
      <c r="S686" s="7"/>
      <c r="T686" s="7"/>
      <c r="U686" s="7"/>
      <c r="V686" s="7"/>
      <c r="W686" s="7"/>
      <c r="X686" s="7"/>
      <c r="Y686" s="7"/>
      <c r="Z686" s="7"/>
      <c r="AA686" s="7"/>
    </row>
    <row r="687">
      <c r="A687" s="54"/>
      <c r="B687" s="54"/>
      <c r="C687" s="7"/>
      <c r="D687" s="7"/>
      <c r="E687" s="7"/>
      <c r="F687" s="54"/>
      <c r="G687" s="54"/>
      <c r="H687" s="54"/>
      <c r="I687" s="54"/>
      <c r="J687" s="54"/>
      <c r="K687" s="54"/>
      <c r="L687" s="54"/>
      <c r="M687" s="54"/>
      <c r="N687" s="54"/>
      <c r="O687" s="54"/>
      <c r="P687" s="7"/>
      <c r="Q687" s="7"/>
      <c r="R687" s="7"/>
      <c r="S687" s="7"/>
      <c r="T687" s="7"/>
      <c r="U687" s="7"/>
      <c r="V687" s="7"/>
      <c r="W687" s="7"/>
      <c r="X687" s="7"/>
      <c r="Y687" s="7"/>
      <c r="Z687" s="7"/>
      <c r="AA687" s="7"/>
    </row>
    <row r="688">
      <c r="A688" s="54"/>
      <c r="B688" s="54"/>
      <c r="C688" s="7"/>
      <c r="D688" s="7"/>
      <c r="E688" s="7"/>
      <c r="F688" s="54"/>
      <c r="G688" s="54"/>
      <c r="H688" s="54"/>
      <c r="I688" s="54"/>
      <c r="J688" s="54"/>
      <c r="K688" s="54"/>
      <c r="L688" s="54"/>
      <c r="M688" s="54"/>
      <c r="N688" s="54"/>
      <c r="O688" s="54"/>
      <c r="P688" s="7"/>
      <c r="Q688" s="7"/>
      <c r="R688" s="7"/>
      <c r="S688" s="7"/>
      <c r="T688" s="7"/>
      <c r="U688" s="7"/>
      <c r="V688" s="7"/>
      <c r="W688" s="7"/>
      <c r="X688" s="7"/>
      <c r="Y688" s="7"/>
      <c r="Z688" s="7"/>
      <c r="AA688" s="7"/>
    </row>
    <row r="689">
      <c r="A689" s="54"/>
      <c r="B689" s="54"/>
      <c r="C689" s="7"/>
      <c r="D689" s="7"/>
      <c r="E689" s="7"/>
      <c r="F689" s="54"/>
      <c r="G689" s="54"/>
      <c r="H689" s="54"/>
      <c r="I689" s="54"/>
      <c r="J689" s="54"/>
      <c r="K689" s="54"/>
      <c r="L689" s="54"/>
      <c r="M689" s="54"/>
      <c r="N689" s="54"/>
      <c r="O689" s="54"/>
      <c r="P689" s="7"/>
      <c r="Q689" s="7"/>
      <c r="R689" s="7"/>
      <c r="S689" s="7"/>
      <c r="T689" s="7"/>
      <c r="U689" s="7"/>
      <c r="V689" s="7"/>
      <c r="W689" s="7"/>
      <c r="X689" s="7"/>
      <c r="Y689" s="7"/>
      <c r="Z689" s="7"/>
      <c r="AA689" s="7"/>
    </row>
    <row r="690">
      <c r="A690" s="54"/>
      <c r="B690" s="54"/>
      <c r="C690" s="7"/>
      <c r="D690" s="7"/>
      <c r="E690" s="7"/>
      <c r="F690" s="54"/>
      <c r="G690" s="54"/>
      <c r="H690" s="54"/>
      <c r="I690" s="54"/>
      <c r="J690" s="54"/>
      <c r="K690" s="54"/>
      <c r="L690" s="54"/>
      <c r="M690" s="54"/>
      <c r="N690" s="54"/>
      <c r="O690" s="54"/>
      <c r="P690" s="7"/>
      <c r="Q690" s="7"/>
      <c r="R690" s="7"/>
      <c r="S690" s="7"/>
      <c r="T690" s="7"/>
      <c r="U690" s="7"/>
      <c r="V690" s="7"/>
      <c r="W690" s="7"/>
      <c r="X690" s="7"/>
      <c r="Y690" s="7"/>
      <c r="Z690" s="7"/>
      <c r="AA690" s="7"/>
    </row>
    <row r="691">
      <c r="A691" s="54"/>
      <c r="B691" s="54"/>
      <c r="C691" s="7"/>
      <c r="D691" s="7"/>
      <c r="E691" s="7"/>
      <c r="F691" s="54"/>
      <c r="G691" s="54"/>
      <c r="H691" s="54"/>
      <c r="I691" s="54"/>
      <c r="J691" s="54"/>
      <c r="K691" s="54"/>
      <c r="L691" s="54"/>
      <c r="M691" s="54"/>
      <c r="N691" s="54"/>
      <c r="O691" s="54"/>
      <c r="P691" s="7"/>
      <c r="Q691" s="7"/>
      <c r="R691" s="7"/>
      <c r="S691" s="7"/>
      <c r="T691" s="7"/>
      <c r="U691" s="7"/>
      <c r="V691" s="7"/>
      <c r="W691" s="7"/>
      <c r="X691" s="7"/>
      <c r="Y691" s="7"/>
      <c r="Z691" s="7"/>
      <c r="AA691" s="7"/>
    </row>
    <row r="692">
      <c r="A692" s="54"/>
      <c r="B692" s="54"/>
      <c r="C692" s="7"/>
      <c r="D692" s="7"/>
      <c r="E692" s="7"/>
      <c r="F692" s="54"/>
      <c r="G692" s="54"/>
      <c r="H692" s="54"/>
      <c r="I692" s="54"/>
      <c r="J692" s="54"/>
      <c r="K692" s="54"/>
      <c r="L692" s="54"/>
      <c r="M692" s="54"/>
      <c r="N692" s="54"/>
      <c r="O692" s="54"/>
      <c r="P692" s="7"/>
      <c r="Q692" s="7"/>
      <c r="R692" s="7"/>
      <c r="S692" s="7"/>
      <c r="T692" s="7"/>
      <c r="U692" s="7"/>
      <c r="V692" s="7"/>
      <c r="W692" s="7"/>
      <c r="X692" s="7"/>
      <c r="Y692" s="7"/>
      <c r="Z692" s="7"/>
      <c r="AA692" s="7"/>
    </row>
    <row r="693">
      <c r="A693" s="54"/>
      <c r="B693" s="54"/>
      <c r="C693" s="7"/>
      <c r="D693" s="7"/>
      <c r="E693" s="7"/>
      <c r="F693" s="54"/>
      <c r="G693" s="54"/>
      <c r="H693" s="54"/>
      <c r="I693" s="54"/>
      <c r="J693" s="54"/>
      <c r="K693" s="54"/>
      <c r="L693" s="54"/>
      <c r="M693" s="54"/>
      <c r="N693" s="54"/>
      <c r="O693" s="54"/>
      <c r="P693" s="7"/>
      <c r="Q693" s="7"/>
      <c r="R693" s="7"/>
      <c r="S693" s="7"/>
      <c r="T693" s="7"/>
      <c r="U693" s="7"/>
      <c r="V693" s="7"/>
      <c r="W693" s="7"/>
      <c r="X693" s="7"/>
      <c r="Y693" s="7"/>
      <c r="Z693" s="7"/>
      <c r="AA693" s="7"/>
    </row>
    <row r="694">
      <c r="A694" s="54"/>
      <c r="B694" s="54"/>
      <c r="C694" s="7"/>
      <c r="D694" s="7"/>
      <c r="E694" s="7"/>
      <c r="F694" s="54"/>
      <c r="G694" s="54"/>
      <c r="H694" s="54"/>
      <c r="I694" s="54"/>
      <c r="J694" s="54"/>
      <c r="K694" s="54"/>
      <c r="L694" s="54"/>
      <c r="M694" s="54"/>
      <c r="N694" s="54"/>
      <c r="O694" s="54"/>
      <c r="P694" s="7"/>
      <c r="Q694" s="7"/>
      <c r="R694" s="7"/>
      <c r="S694" s="7"/>
      <c r="T694" s="7"/>
      <c r="U694" s="7"/>
      <c r="V694" s="7"/>
      <c r="W694" s="7"/>
      <c r="X694" s="7"/>
      <c r="Y694" s="7"/>
      <c r="Z694" s="7"/>
      <c r="AA694" s="7"/>
    </row>
    <row r="695">
      <c r="A695" s="54"/>
      <c r="B695" s="54"/>
      <c r="C695" s="7"/>
      <c r="D695" s="7"/>
      <c r="E695" s="7"/>
      <c r="F695" s="54"/>
      <c r="G695" s="54"/>
      <c r="H695" s="54"/>
      <c r="I695" s="54"/>
      <c r="J695" s="54"/>
      <c r="K695" s="54"/>
      <c r="L695" s="54"/>
      <c r="M695" s="54"/>
      <c r="N695" s="54"/>
      <c r="O695" s="54"/>
      <c r="P695" s="7"/>
      <c r="Q695" s="7"/>
      <c r="R695" s="7"/>
      <c r="S695" s="7"/>
      <c r="T695" s="7"/>
      <c r="U695" s="7"/>
      <c r="V695" s="7"/>
      <c r="W695" s="7"/>
      <c r="X695" s="7"/>
      <c r="Y695" s="7"/>
      <c r="Z695" s="7"/>
      <c r="AA695" s="7"/>
    </row>
    <row r="696">
      <c r="A696" s="54"/>
      <c r="B696" s="54"/>
      <c r="C696" s="7"/>
      <c r="D696" s="7"/>
      <c r="E696" s="7"/>
      <c r="F696" s="54"/>
      <c r="G696" s="54"/>
      <c r="H696" s="54"/>
      <c r="I696" s="54"/>
      <c r="J696" s="54"/>
      <c r="K696" s="54"/>
      <c r="L696" s="54"/>
      <c r="M696" s="54"/>
      <c r="N696" s="54"/>
      <c r="O696" s="54"/>
      <c r="P696" s="7"/>
      <c r="Q696" s="7"/>
      <c r="R696" s="7"/>
      <c r="S696" s="7"/>
      <c r="T696" s="7"/>
      <c r="U696" s="7"/>
      <c r="V696" s="7"/>
      <c r="W696" s="7"/>
      <c r="X696" s="7"/>
      <c r="Y696" s="7"/>
      <c r="Z696" s="7"/>
      <c r="AA696" s="7"/>
    </row>
    <row r="697">
      <c r="A697" s="54"/>
      <c r="B697" s="54"/>
      <c r="C697" s="7"/>
      <c r="D697" s="7"/>
      <c r="E697" s="7"/>
      <c r="F697" s="54"/>
      <c r="G697" s="54"/>
      <c r="H697" s="54"/>
      <c r="I697" s="54"/>
      <c r="J697" s="54"/>
      <c r="K697" s="54"/>
      <c r="L697" s="54"/>
      <c r="M697" s="54"/>
      <c r="N697" s="54"/>
      <c r="O697" s="54"/>
      <c r="P697" s="7"/>
      <c r="Q697" s="7"/>
      <c r="R697" s="7"/>
      <c r="S697" s="7"/>
      <c r="T697" s="7"/>
      <c r="U697" s="7"/>
      <c r="V697" s="7"/>
      <c r="W697" s="7"/>
      <c r="X697" s="7"/>
      <c r="Y697" s="7"/>
      <c r="Z697" s="7"/>
      <c r="AA697" s="7"/>
    </row>
    <row r="698">
      <c r="A698" s="54"/>
      <c r="B698" s="54"/>
      <c r="C698" s="7"/>
      <c r="D698" s="7"/>
      <c r="E698" s="7"/>
      <c r="F698" s="54"/>
      <c r="G698" s="54"/>
      <c r="H698" s="54"/>
      <c r="I698" s="54"/>
      <c r="J698" s="54"/>
      <c r="K698" s="54"/>
      <c r="L698" s="54"/>
      <c r="M698" s="54"/>
      <c r="N698" s="54"/>
      <c r="O698" s="54"/>
      <c r="P698" s="7"/>
      <c r="Q698" s="7"/>
      <c r="R698" s="7"/>
      <c r="S698" s="7"/>
      <c r="T698" s="7"/>
      <c r="U698" s="7"/>
      <c r="V698" s="7"/>
      <c r="W698" s="7"/>
      <c r="X698" s="7"/>
      <c r="Y698" s="7"/>
      <c r="Z698" s="7"/>
      <c r="AA698" s="7"/>
    </row>
    <row r="699">
      <c r="A699" s="54"/>
      <c r="B699" s="54"/>
      <c r="C699" s="7"/>
      <c r="D699" s="7"/>
      <c r="E699" s="7"/>
      <c r="F699" s="54"/>
      <c r="G699" s="54"/>
      <c r="H699" s="54"/>
      <c r="I699" s="54"/>
      <c r="J699" s="54"/>
      <c r="K699" s="54"/>
      <c r="L699" s="54"/>
      <c r="M699" s="54"/>
      <c r="N699" s="54"/>
      <c r="O699" s="54"/>
      <c r="P699" s="7"/>
      <c r="Q699" s="7"/>
      <c r="R699" s="7"/>
      <c r="S699" s="7"/>
      <c r="T699" s="7"/>
      <c r="U699" s="7"/>
      <c r="V699" s="7"/>
      <c r="W699" s="7"/>
      <c r="X699" s="7"/>
      <c r="Y699" s="7"/>
      <c r="Z699" s="7"/>
      <c r="AA699" s="7"/>
    </row>
    <row r="700">
      <c r="A700" s="54"/>
      <c r="B700" s="54"/>
      <c r="C700" s="7"/>
      <c r="D700" s="7"/>
      <c r="E700" s="7"/>
      <c r="F700" s="54"/>
      <c r="G700" s="54"/>
      <c r="H700" s="54"/>
      <c r="I700" s="54"/>
      <c r="J700" s="54"/>
      <c r="K700" s="54"/>
      <c r="L700" s="54"/>
      <c r="M700" s="54"/>
      <c r="N700" s="54"/>
      <c r="O700" s="54"/>
      <c r="P700" s="7"/>
      <c r="Q700" s="7"/>
      <c r="R700" s="7"/>
      <c r="S700" s="7"/>
      <c r="T700" s="7"/>
      <c r="U700" s="7"/>
      <c r="V700" s="7"/>
      <c r="W700" s="7"/>
      <c r="X700" s="7"/>
      <c r="Y700" s="7"/>
      <c r="Z700" s="7"/>
      <c r="AA700" s="7"/>
    </row>
    <row r="701">
      <c r="A701" s="54"/>
      <c r="B701" s="54"/>
      <c r="C701" s="7"/>
      <c r="D701" s="7"/>
      <c r="E701" s="7"/>
      <c r="F701" s="54"/>
      <c r="G701" s="54"/>
      <c r="H701" s="54"/>
      <c r="I701" s="54"/>
      <c r="J701" s="54"/>
      <c r="K701" s="54"/>
      <c r="L701" s="54"/>
      <c r="M701" s="54"/>
      <c r="N701" s="54"/>
      <c r="O701" s="54"/>
      <c r="P701" s="7"/>
      <c r="Q701" s="7"/>
      <c r="R701" s="7"/>
      <c r="S701" s="7"/>
      <c r="T701" s="7"/>
      <c r="U701" s="7"/>
      <c r="V701" s="7"/>
      <c r="W701" s="7"/>
      <c r="X701" s="7"/>
      <c r="Y701" s="7"/>
      <c r="Z701" s="7"/>
      <c r="AA701" s="7"/>
    </row>
    <row r="702">
      <c r="A702" s="54"/>
      <c r="B702" s="54"/>
      <c r="C702" s="7"/>
      <c r="D702" s="7"/>
      <c r="E702" s="7"/>
      <c r="F702" s="54"/>
      <c r="G702" s="54"/>
      <c r="H702" s="54"/>
      <c r="I702" s="54"/>
      <c r="J702" s="54"/>
      <c r="K702" s="54"/>
      <c r="L702" s="54"/>
      <c r="M702" s="54"/>
      <c r="N702" s="54"/>
      <c r="O702" s="54"/>
      <c r="P702" s="7"/>
      <c r="Q702" s="7"/>
      <c r="R702" s="7"/>
      <c r="S702" s="7"/>
      <c r="T702" s="7"/>
      <c r="U702" s="7"/>
      <c r="V702" s="7"/>
      <c r="W702" s="7"/>
      <c r="X702" s="7"/>
      <c r="Y702" s="7"/>
      <c r="Z702" s="7"/>
      <c r="AA702" s="7"/>
    </row>
    <row r="703">
      <c r="A703" s="54"/>
      <c r="B703" s="54"/>
      <c r="C703" s="7"/>
      <c r="D703" s="7"/>
      <c r="E703" s="7"/>
      <c r="F703" s="54"/>
      <c r="G703" s="54"/>
      <c r="H703" s="54"/>
      <c r="I703" s="54"/>
      <c r="J703" s="54"/>
      <c r="K703" s="54"/>
      <c r="L703" s="54"/>
      <c r="M703" s="54"/>
      <c r="N703" s="54"/>
      <c r="O703" s="54"/>
      <c r="P703" s="7"/>
      <c r="Q703" s="7"/>
      <c r="R703" s="7"/>
      <c r="S703" s="7"/>
      <c r="T703" s="7"/>
      <c r="U703" s="7"/>
      <c r="V703" s="7"/>
      <c r="W703" s="7"/>
      <c r="X703" s="7"/>
      <c r="Y703" s="7"/>
      <c r="Z703" s="7"/>
      <c r="AA703" s="7"/>
    </row>
    <row r="704">
      <c r="A704" s="54"/>
      <c r="B704" s="54"/>
      <c r="C704" s="7"/>
      <c r="D704" s="7"/>
      <c r="E704" s="7"/>
      <c r="F704" s="54"/>
      <c r="G704" s="54"/>
      <c r="H704" s="54"/>
      <c r="I704" s="54"/>
      <c r="J704" s="54"/>
      <c r="K704" s="54"/>
      <c r="L704" s="54"/>
      <c r="M704" s="54"/>
      <c r="N704" s="54"/>
      <c r="O704" s="54"/>
      <c r="P704" s="7"/>
      <c r="Q704" s="7"/>
      <c r="R704" s="7"/>
      <c r="S704" s="7"/>
      <c r="T704" s="7"/>
      <c r="U704" s="7"/>
      <c r="V704" s="7"/>
      <c r="W704" s="7"/>
      <c r="X704" s="7"/>
      <c r="Y704" s="7"/>
      <c r="Z704" s="7"/>
      <c r="AA704" s="7"/>
    </row>
    <row r="705">
      <c r="A705" s="54"/>
      <c r="B705" s="54"/>
      <c r="C705" s="7"/>
      <c r="D705" s="7"/>
      <c r="E705" s="7"/>
      <c r="F705" s="54"/>
      <c r="G705" s="54"/>
      <c r="H705" s="54"/>
      <c r="I705" s="54"/>
      <c r="J705" s="54"/>
      <c r="K705" s="54"/>
      <c r="L705" s="54"/>
      <c r="M705" s="54"/>
      <c r="N705" s="54"/>
      <c r="O705" s="54"/>
      <c r="P705" s="7"/>
      <c r="Q705" s="7"/>
      <c r="R705" s="7"/>
      <c r="S705" s="7"/>
      <c r="T705" s="7"/>
      <c r="U705" s="7"/>
      <c r="V705" s="7"/>
      <c r="W705" s="7"/>
      <c r="X705" s="7"/>
      <c r="Y705" s="7"/>
      <c r="Z705" s="7"/>
      <c r="AA705" s="7"/>
    </row>
    <row r="706">
      <c r="A706" s="54"/>
      <c r="B706" s="54"/>
      <c r="C706" s="7"/>
      <c r="D706" s="7"/>
      <c r="E706" s="7"/>
      <c r="F706" s="54"/>
      <c r="G706" s="54"/>
      <c r="H706" s="54"/>
      <c r="I706" s="54"/>
      <c r="J706" s="54"/>
      <c r="K706" s="54"/>
      <c r="L706" s="54"/>
      <c r="M706" s="54"/>
      <c r="N706" s="54"/>
      <c r="O706" s="54"/>
      <c r="P706" s="7"/>
      <c r="Q706" s="7"/>
      <c r="R706" s="7"/>
      <c r="S706" s="7"/>
      <c r="T706" s="7"/>
      <c r="U706" s="7"/>
      <c r="V706" s="7"/>
      <c r="W706" s="7"/>
      <c r="X706" s="7"/>
      <c r="Y706" s="7"/>
      <c r="Z706" s="7"/>
      <c r="AA706" s="7"/>
    </row>
    <row r="707">
      <c r="A707" s="54"/>
      <c r="B707" s="54"/>
      <c r="C707" s="7"/>
      <c r="D707" s="7"/>
      <c r="E707" s="7"/>
      <c r="F707" s="54"/>
      <c r="G707" s="54"/>
      <c r="H707" s="54"/>
      <c r="I707" s="54"/>
      <c r="J707" s="54"/>
      <c r="K707" s="54"/>
      <c r="L707" s="54"/>
      <c r="M707" s="54"/>
      <c r="N707" s="54"/>
      <c r="O707" s="54"/>
      <c r="P707" s="7"/>
      <c r="Q707" s="7"/>
      <c r="R707" s="7"/>
      <c r="S707" s="7"/>
      <c r="T707" s="7"/>
      <c r="U707" s="7"/>
      <c r="V707" s="7"/>
      <c r="W707" s="7"/>
      <c r="X707" s="7"/>
      <c r="Y707" s="7"/>
      <c r="Z707" s="7"/>
      <c r="AA707" s="7"/>
    </row>
    <row r="708">
      <c r="A708" s="54"/>
      <c r="B708" s="54"/>
      <c r="C708" s="7"/>
      <c r="D708" s="7"/>
      <c r="E708" s="7"/>
      <c r="F708" s="54"/>
      <c r="G708" s="54"/>
      <c r="H708" s="54"/>
      <c r="I708" s="54"/>
      <c r="J708" s="54"/>
      <c r="K708" s="54"/>
      <c r="L708" s="54"/>
      <c r="M708" s="54"/>
      <c r="N708" s="54"/>
      <c r="O708" s="54"/>
      <c r="P708" s="7"/>
      <c r="Q708" s="7"/>
      <c r="R708" s="7"/>
      <c r="S708" s="7"/>
      <c r="T708" s="7"/>
      <c r="U708" s="7"/>
      <c r="V708" s="7"/>
      <c r="W708" s="7"/>
      <c r="X708" s="7"/>
      <c r="Y708" s="7"/>
      <c r="Z708" s="7"/>
      <c r="AA708" s="7"/>
    </row>
    <row r="709">
      <c r="A709" s="54"/>
      <c r="B709" s="54"/>
      <c r="C709" s="7"/>
      <c r="D709" s="7"/>
      <c r="E709" s="7"/>
      <c r="F709" s="54"/>
      <c r="G709" s="54"/>
      <c r="H709" s="54"/>
      <c r="I709" s="54"/>
      <c r="J709" s="54"/>
      <c r="K709" s="54"/>
      <c r="L709" s="54"/>
      <c r="M709" s="54"/>
      <c r="N709" s="54"/>
      <c r="O709" s="54"/>
      <c r="P709" s="7"/>
      <c r="Q709" s="7"/>
      <c r="R709" s="7"/>
      <c r="S709" s="7"/>
      <c r="T709" s="7"/>
      <c r="U709" s="7"/>
      <c r="V709" s="7"/>
      <c r="W709" s="7"/>
      <c r="X709" s="7"/>
      <c r="Y709" s="7"/>
      <c r="Z709" s="7"/>
      <c r="AA709" s="7"/>
    </row>
    <row r="710">
      <c r="A710" s="54"/>
      <c r="B710" s="54"/>
      <c r="C710" s="7"/>
      <c r="D710" s="7"/>
      <c r="E710" s="7"/>
      <c r="F710" s="54"/>
      <c r="G710" s="54"/>
      <c r="H710" s="54"/>
      <c r="I710" s="54"/>
      <c r="J710" s="54"/>
      <c r="K710" s="54"/>
      <c r="L710" s="54"/>
      <c r="M710" s="54"/>
      <c r="N710" s="54"/>
      <c r="O710" s="54"/>
      <c r="P710" s="7"/>
      <c r="Q710" s="7"/>
      <c r="R710" s="7"/>
      <c r="S710" s="7"/>
      <c r="T710" s="7"/>
      <c r="U710" s="7"/>
      <c r="V710" s="7"/>
      <c r="W710" s="7"/>
      <c r="X710" s="7"/>
      <c r="Y710" s="7"/>
      <c r="Z710" s="7"/>
      <c r="AA710" s="7"/>
    </row>
    <row r="711">
      <c r="A711" s="54"/>
      <c r="B711" s="54"/>
      <c r="C711" s="7"/>
      <c r="D711" s="7"/>
      <c r="E711" s="7"/>
      <c r="F711" s="54"/>
      <c r="G711" s="54"/>
      <c r="H711" s="54"/>
      <c r="I711" s="54"/>
      <c r="J711" s="54"/>
      <c r="K711" s="54"/>
      <c r="L711" s="54"/>
      <c r="M711" s="54"/>
      <c r="N711" s="54"/>
      <c r="O711" s="54"/>
      <c r="P711" s="7"/>
      <c r="Q711" s="7"/>
      <c r="R711" s="7"/>
      <c r="S711" s="7"/>
      <c r="T711" s="7"/>
      <c r="U711" s="7"/>
      <c r="V711" s="7"/>
      <c r="W711" s="7"/>
      <c r="X711" s="7"/>
      <c r="Y711" s="7"/>
      <c r="Z711" s="7"/>
      <c r="AA711" s="7"/>
    </row>
    <row r="712">
      <c r="A712" s="54"/>
      <c r="B712" s="54"/>
      <c r="C712" s="7"/>
      <c r="D712" s="7"/>
      <c r="E712" s="7"/>
      <c r="F712" s="54"/>
      <c r="G712" s="54"/>
      <c r="H712" s="54"/>
      <c r="I712" s="54"/>
      <c r="J712" s="54"/>
      <c r="K712" s="54"/>
      <c r="L712" s="54"/>
      <c r="M712" s="54"/>
      <c r="N712" s="54"/>
      <c r="O712" s="54"/>
      <c r="P712" s="7"/>
      <c r="Q712" s="7"/>
      <c r="R712" s="7"/>
      <c r="S712" s="7"/>
      <c r="T712" s="7"/>
      <c r="U712" s="7"/>
      <c r="V712" s="7"/>
      <c r="W712" s="7"/>
      <c r="X712" s="7"/>
      <c r="Y712" s="7"/>
      <c r="Z712" s="7"/>
      <c r="AA712" s="7"/>
    </row>
    <row r="713">
      <c r="A713" s="54"/>
      <c r="B713" s="54"/>
      <c r="C713" s="7"/>
      <c r="D713" s="7"/>
      <c r="E713" s="7"/>
      <c r="F713" s="54"/>
      <c r="G713" s="54"/>
      <c r="H713" s="54"/>
      <c r="I713" s="54"/>
      <c r="J713" s="54"/>
      <c r="K713" s="54"/>
      <c r="L713" s="54"/>
      <c r="M713" s="54"/>
      <c r="N713" s="54"/>
      <c r="O713" s="54"/>
      <c r="P713" s="7"/>
      <c r="Q713" s="7"/>
      <c r="R713" s="7"/>
      <c r="S713" s="7"/>
      <c r="T713" s="7"/>
      <c r="U713" s="7"/>
      <c r="V713" s="7"/>
      <c r="W713" s="7"/>
      <c r="X713" s="7"/>
      <c r="Y713" s="7"/>
      <c r="Z713" s="7"/>
      <c r="AA713" s="7"/>
    </row>
    <row r="714">
      <c r="A714" s="54"/>
      <c r="B714" s="54"/>
      <c r="C714" s="7"/>
      <c r="D714" s="7"/>
      <c r="E714" s="7"/>
      <c r="F714" s="54"/>
      <c r="G714" s="54"/>
      <c r="H714" s="54"/>
      <c r="I714" s="54"/>
      <c r="J714" s="54"/>
      <c r="K714" s="54"/>
      <c r="L714" s="54"/>
      <c r="M714" s="54"/>
      <c r="N714" s="54"/>
      <c r="O714" s="54"/>
      <c r="P714" s="7"/>
      <c r="Q714" s="7"/>
      <c r="R714" s="7"/>
      <c r="S714" s="7"/>
      <c r="T714" s="7"/>
      <c r="U714" s="7"/>
      <c r="V714" s="7"/>
      <c r="W714" s="7"/>
      <c r="X714" s="7"/>
      <c r="Y714" s="7"/>
      <c r="Z714" s="7"/>
      <c r="AA714" s="7"/>
    </row>
    <row r="715">
      <c r="A715" s="54"/>
      <c r="B715" s="54"/>
      <c r="C715" s="7"/>
      <c r="D715" s="7"/>
      <c r="E715" s="7"/>
      <c r="F715" s="54"/>
      <c r="G715" s="54"/>
      <c r="H715" s="54"/>
      <c r="I715" s="54"/>
      <c r="J715" s="54"/>
      <c r="K715" s="54"/>
      <c r="L715" s="54"/>
      <c r="M715" s="54"/>
      <c r="N715" s="54"/>
      <c r="O715" s="54"/>
      <c r="P715" s="7"/>
      <c r="Q715" s="7"/>
      <c r="R715" s="7"/>
      <c r="S715" s="7"/>
      <c r="T715" s="7"/>
      <c r="U715" s="7"/>
      <c r="V715" s="7"/>
      <c r="W715" s="7"/>
      <c r="X715" s="7"/>
      <c r="Y715" s="7"/>
      <c r="Z715" s="7"/>
      <c r="AA715" s="7"/>
    </row>
    <row r="716">
      <c r="A716" s="54"/>
      <c r="B716" s="54"/>
      <c r="C716" s="7"/>
      <c r="D716" s="7"/>
      <c r="E716" s="7"/>
      <c r="F716" s="54"/>
      <c r="G716" s="54"/>
      <c r="H716" s="54"/>
      <c r="I716" s="54"/>
      <c r="J716" s="54"/>
      <c r="K716" s="54"/>
      <c r="L716" s="54"/>
      <c r="M716" s="54"/>
      <c r="N716" s="54"/>
      <c r="O716" s="54"/>
      <c r="P716" s="7"/>
      <c r="Q716" s="7"/>
      <c r="R716" s="7"/>
      <c r="S716" s="7"/>
      <c r="T716" s="7"/>
      <c r="U716" s="7"/>
      <c r="V716" s="7"/>
      <c r="W716" s="7"/>
      <c r="X716" s="7"/>
      <c r="Y716" s="7"/>
      <c r="Z716" s="7"/>
      <c r="AA716" s="7"/>
    </row>
    <row r="717">
      <c r="A717" s="54"/>
      <c r="B717" s="54"/>
      <c r="C717" s="7"/>
      <c r="D717" s="7"/>
      <c r="E717" s="7"/>
      <c r="F717" s="54"/>
      <c r="G717" s="54"/>
      <c r="H717" s="54"/>
      <c r="I717" s="54"/>
      <c r="J717" s="54"/>
      <c r="K717" s="54"/>
      <c r="L717" s="54"/>
      <c r="M717" s="54"/>
      <c r="N717" s="54"/>
      <c r="O717" s="54"/>
      <c r="P717" s="7"/>
      <c r="Q717" s="7"/>
      <c r="R717" s="7"/>
      <c r="S717" s="7"/>
      <c r="T717" s="7"/>
      <c r="U717" s="7"/>
      <c r="V717" s="7"/>
      <c r="W717" s="7"/>
      <c r="X717" s="7"/>
      <c r="Y717" s="7"/>
      <c r="Z717" s="7"/>
      <c r="AA717" s="7"/>
    </row>
    <row r="718">
      <c r="A718" s="54"/>
      <c r="B718" s="54"/>
      <c r="C718" s="7"/>
      <c r="D718" s="7"/>
      <c r="E718" s="7"/>
      <c r="F718" s="54"/>
      <c r="G718" s="54"/>
      <c r="H718" s="54"/>
      <c r="I718" s="54"/>
      <c r="J718" s="54"/>
      <c r="K718" s="54"/>
      <c r="L718" s="54"/>
      <c r="M718" s="54"/>
      <c r="N718" s="54"/>
      <c r="O718" s="54"/>
      <c r="P718" s="7"/>
      <c r="Q718" s="7"/>
      <c r="R718" s="7"/>
      <c r="S718" s="7"/>
      <c r="T718" s="7"/>
      <c r="U718" s="7"/>
      <c r="V718" s="7"/>
      <c r="W718" s="7"/>
      <c r="X718" s="7"/>
      <c r="Y718" s="7"/>
      <c r="Z718" s="7"/>
      <c r="AA718" s="7"/>
    </row>
    <row r="719">
      <c r="A719" s="54"/>
      <c r="B719" s="54"/>
      <c r="C719" s="7"/>
      <c r="D719" s="7"/>
      <c r="E719" s="7"/>
      <c r="F719" s="54"/>
      <c r="G719" s="54"/>
      <c r="H719" s="54"/>
      <c r="I719" s="54"/>
      <c r="J719" s="54"/>
      <c r="K719" s="54"/>
      <c r="L719" s="54"/>
      <c r="M719" s="54"/>
      <c r="N719" s="54"/>
      <c r="O719" s="54"/>
      <c r="P719" s="7"/>
      <c r="Q719" s="7"/>
      <c r="R719" s="7"/>
      <c r="S719" s="7"/>
      <c r="T719" s="7"/>
      <c r="U719" s="7"/>
      <c r="V719" s="7"/>
      <c r="W719" s="7"/>
      <c r="X719" s="7"/>
      <c r="Y719" s="7"/>
      <c r="Z719" s="7"/>
      <c r="AA719" s="7"/>
    </row>
    <row r="720">
      <c r="A720" s="54"/>
      <c r="B720" s="54"/>
      <c r="C720" s="7"/>
      <c r="D720" s="7"/>
      <c r="E720" s="7"/>
      <c r="F720" s="54"/>
      <c r="G720" s="54"/>
      <c r="H720" s="54"/>
      <c r="I720" s="54"/>
      <c r="J720" s="54"/>
      <c r="K720" s="54"/>
      <c r="L720" s="54"/>
      <c r="M720" s="54"/>
      <c r="N720" s="54"/>
      <c r="O720" s="54"/>
      <c r="P720" s="7"/>
      <c r="Q720" s="7"/>
      <c r="R720" s="7"/>
      <c r="S720" s="7"/>
      <c r="T720" s="7"/>
      <c r="U720" s="7"/>
      <c r="V720" s="7"/>
      <c r="W720" s="7"/>
      <c r="X720" s="7"/>
      <c r="Y720" s="7"/>
      <c r="Z720" s="7"/>
      <c r="AA720" s="7"/>
    </row>
    <row r="721">
      <c r="A721" s="54"/>
      <c r="B721" s="54"/>
      <c r="C721" s="7"/>
      <c r="D721" s="7"/>
      <c r="E721" s="7"/>
      <c r="F721" s="54"/>
      <c r="G721" s="54"/>
      <c r="H721" s="54"/>
      <c r="I721" s="54"/>
      <c r="J721" s="54"/>
      <c r="K721" s="54"/>
      <c r="L721" s="54"/>
      <c r="M721" s="54"/>
      <c r="N721" s="54"/>
      <c r="O721" s="54"/>
      <c r="P721" s="7"/>
      <c r="Q721" s="7"/>
      <c r="R721" s="7"/>
      <c r="S721" s="7"/>
      <c r="T721" s="7"/>
      <c r="U721" s="7"/>
      <c r="V721" s="7"/>
      <c r="W721" s="7"/>
      <c r="X721" s="7"/>
      <c r="Y721" s="7"/>
      <c r="Z721" s="7"/>
      <c r="AA721" s="7"/>
    </row>
    <row r="722">
      <c r="A722" s="54"/>
      <c r="B722" s="54"/>
      <c r="C722" s="7"/>
      <c r="D722" s="7"/>
      <c r="E722" s="7"/>
      <c r="F722" s="54"/>
      <c r="G722" s="54"/>
      <c r="H722" s="54"/>
      <c r="I722" s="54"/>
      <c r="J722" s="54"/>
      <c r="K722" s="54"/>
      <c r="L722" s="54"/>
      <c r="M722" s="54"/>
      <c r="N722" s="54"/>
      <c r="O722" s="54"/>
      <c r="P722" s="7"/>
      <c r="Q722" s="7"/>
      <c r="R722" s="7"/>
      <c r="S722" s="7"/>
      <c r="T722" s="7"/>
      <c r="U722" s="7"/>
      <c r="V722" s="7"/>
      <c r="W722" s="7"/>
      <c r="X722" s="7"/>
      <c r="Y722" s="7"/>
      <c r="Z722" s="7"/>
      <c r="AA722" s="7"/>
    </row>
    <row r="723">
      <c r="A723" s="54"/>
      <c r="B723" s="54"/>
      <c r="C723" s="7"/>
      <c r="D723" s="7"/>
      <c r="E723" s="7"/>
      <c r="F723" s="54"/>
      <c r="G723" s="54"/>
      <c r="H723" s="54"/>
      <c r="I723" s="54"/>
      <c r="J723" s="54"/>
      <c r="K723" s="54"/>
      <c r="L723" s="54"/>
      <c r="M723" s="54"/>
      <c r="N723" s="54"/>
      <c r="O723" s="54"/>
      <c r="P723" s="7"/>
      <c r="Q723" s="7"/>
      <c r="R723" s="7"/>
      <c r="S723" s="7"/>
      <c r="T723" s="7"/>
      <c r="U723" s="7"/>
      <c r="V723" s="7"/>
      <c r="W723" s="7"/>
      <c r="X723" s="7"/>
      <c r="Y723" s="7"/>
      <c r="Z723" s="7"/>
      <c r="AA723" s="7"/>
    </row>
    <row r="724">
      <c r="A724" s="54"/>
      <c r="B724" s="54"/>
      <c r="C724" s="7"/>
      <c r="D724" s="7"/>
      <c r="E724" s="7"/>
      <c r="F724" s="54"/>
      <c r="G724" s="54"/>
      <c r="H724" s="54"/>
      <c r="I724" s="54"/>
      <c r="J724" s="54"/>
      <c r="K724" s="54"/>
      <c r="L724" s="54"/>
      <c r="M724" s="54"/>
      <c r="N724" s="54"/>
      <c r="O724" s="54"/>
      <c r="P724" s="7"/>
      <c r="Q724" s="7"/>
      <c r="R724" s="7"/>
      <c r="S724" s="7"/>
      <c r="T724" s="7"/>
      <c r="U724" s="7"/>
      <c r="V724" s="7"/>
      <c r="W724" s="7"/>
      <c r="X724" s="7"/>
      <c r="Y724" s="7"/>
      <c r="Z724" s="7"/>
      <c r="AA724" s="7"/>
    </row>
    <row r="725">
      <c r="A725" s="54"/>
      <c r="B725" s="54"/>
      <c r="C725" s="7"/>
      <c r="D725" s="7"/>
      <c r="E725" s="7"/>
      <c r="F725" s="54"/>
      <c r="G725" s="54"/>
      <c r="H725" s="54"/>
      <c r="I725" s="54"/>
      <c r="J725" s="54"/>
      <c r="K725" s="54"/>
      <c r="L725" s="54"/>
      <c r="M725" s="54"/>
      <c r="N725" s="54"/>
      <c r="O725" s="54"/>
      <c r="P725" s="7"/>
      <c r="Q725" s="7"/>
      <c r="R725" s="7"/>
      <c r="S725" s="7"/>
      <c r="T725" s="7"/>
      <c r="U725" s="7"/>
      <c r="V725" s="7"/>
      <c r="W725" s="7"/>
      <c r="X725" s="7"/>
      <c r="Y725" s="7"/>
      <c r="Z725" s="7"/>
      <c r="AA725" s="7"/>
    </row>
    <row r="726">
      <c r="A726" s="54"/>
      <c r="B726" s="54"/>
      <c r="C726" s="7"/>
      <c r="D726" s="7"/>
      <c r="E726" s="7"/>
      <c r="F726" s="54"/>
      <c r="G726" s="54"/>
      <c r="H726" s="54"/>
      <c r="I726" s="54"/>
      <c r="J726" s="54"/>
      <c r="K726" s="54"/>
      <c r="L726" s="54"/>
      <c r="M726" s="54"/>
      <c r="N726" s="54"/>
      <c r="O726" s="54"/>
      <c r="P726" s="7"/>
      <c r="Q726" s="7"/>
      <c r="R726" s="7"/>
      <c r="S726" s="7"/>
      <c r="T726" s="7"/>
      <c r="U726" s="7"/>
      <c r="V726" s="7"/>
      <c r="W726" s="7"/>
      <c r="X726" s="7"/>
      <c r="Y726" s="7"/>
      <c r="Z726" s="7"/>
      <c r="AA726" s="7"/>
    </row>
    <row r="727">
      <c r="A727" s="54"/>
      <c r="B727" s="54"/>
      <c r="C727" s="7"/>
      <c r="D727" s="7"/>
      <c r="E727" s="7"/>
      <c r="F727" s="54"/>
      <c r="G727" s="54"/>
      <c r="H727" s="54"/>
      <c r="I727" s="54"/>
      <c r="J727" s="54"/>
      <c r="K727" s="54"/>
      <c r="L727" s="54"/>
      <c r="M727" s="54"/>
      <c r="N727" s="54"/>
      <c r="O727" s="54"/>
      <c r="P727" s="7"/>
      <c r="Q727" s="7"/>
      <c r="R727" s="7"/>
      <c r="S727" s="7"/>
      <c r="T727" s="7"/>
      <c r="U727" s="7"/>
      <c r="V727" s="7"/>
      <c r="W727" s="7"/>
      <c r="X727" s="7"/>
      <c r="Y727" s="7"/>
      <c r="Z727" s="7"/>
      <c r="AA727" s="7"/>
    </row>
    <row r="728">
      <c r="A728" s="54"/>
      <c r="B728" s="54"/>
      <c r="C728" s="7"/>
      <c r="D728" s="7"/>
      <c r="E728" s="7"/>
      <c r="F728" s="54"/>
      <c r="G728" s="54"/>
      <c r="H728" s="54"/>
      <c r="I728" s="54"/>
      <c r="J728" s="54"/>
      <c r="K728" s="54"/>
      <c r="L728" s="54"/>
      <c r="M728" s="54"/>
      <c r="N728" s="54"/>
      <c r="O728" s="54"/>
      <c r="P728" s="7"/>
      <c r="Q728" s="7"/>
      <c r="R728" s="7"/>
      <c r="S728" s="7"/>
      <c r="T728" s="7"/>
      <c r="U728" s="7"/>
      <c r="V728" s="7"/>
      <c r="W728" s="7"/>
      <c r="X728" s="7"/>
      <c r="Y728" s="7"/>
      <c r="Z728" s="7"/>
      <c r="AA728" s="7"/>
    </row>
    <row r="729">
      <c r="A729" s="54"/>
      <c r="B729" s="54"/>
      <c r="C729" s="7"/>
      <c r="D729" s="7"/>
      <c r="E729" s="7"/>
      <c r="F729" s="54"/>
      <c r="G729" s="54"/>
      <c r="H729" s="54"/>
      <c r="I729" s="54"/>
      <c r="J729" s="54"/>
      <c r="K729" s="54"/>
      <c r="L729" s="54"/>
      <c r="M729" s="54"/>
      <c r="N729" s="54"/>
      <c r="O729" s="54"/>
      <c r="P729" s="7"/>
      <c r="Q729" s="7"/>
      <c r="R729" s="7"/>
      <c r="S729" s="7"/>
      <c r="T729" s="7"/>
      <c r="U729" s="7"/>
      <c r="V729" s="7"/>
      <c r="W729" s="7"/>
      <c r="X729" s="7"/>
      <c r="Y729" s="7"/>
      <c r="Z729" s="7"/>
      <c r="AA729" s="7"/>
    </row>
    <row r="730">
      <c r="A730" s="54"/>
      <c r="B730" s="54"/>
      <c r="C730" s="7"/>
      <c r="D730" s="7"/>
      <c r="E730" s="7"/>
      <c r="F730" s="54"/>
      <c r="G730" s="54"/>
      <c r="H730" s="54"/>
      <c r="I730" s="54"/>
      <c r="J730" s="54"/>
      <c r="K730" s="54"/>
      <c r="L730" s="54"/>
      <c r="M730" s="54"/>
      <c r="N730" s="54"/>
      <c r="O730" s="54"/>
      <c r="P730" s="7"/>
      <c r="Q730" s="7"/>
      <c r="R730" s="7"/>
      <c r="S730" s="7"/>
      <c r="T730" s="7"/>
      <c r="U730" s="7"/>
      <c r="V730" s="7"/>
      <c r="W730" s="7"/>
      <c r="X730" s="7"/>
      <c r="Y730" s="7"/>
      <c r="Z730" s="7"/>
      <c r="AA730" s="7"/>
    </row>
    <row r="731">
      <c r="A731" s="54"/>
      <c r="B731" s="54"/>
      <c r="C731" s="7"/>
      <c r="D731" s="7"/>
      <c r="E731" s="7"/>
      <c r="F731" s="54"/>
      <c r="G731" s="54"/>
      <c r="H731" s="54"/>
      <c r="I731" s="54"/>
      <c r="J731" s="54"/>
      <c r="K731" s="54"/>
      <c r="L731" s="54"/>
      <c r="M731" s="54"/>
      <c r="N731" s="54"/>
      <c r="O731" s="54"/>
      <c r="P731" s="7"/>
      <c r="Q731" s="7"/>
      <c r="R731" s="7"/>
      <c r="S731" s="7"/>
      <c r="T731" s="7"/>
      <c r="U731" s="7"/>
      <c r="V731" s="7"/>
      <c r="W731" s="7"/>
      <c r="X731" s="7"/>
      <c r="Y731" s="7"/>
      <c r="Z731" s="7"/>
      <c r="AA731" s="7"/>
    </row>
    <row r="732">
      <c r="A732" s="54"/>
      <c r="B732" s="54"/>
      <c r="C732" s="7"/>
      <c r="D732" s="7"/>
      <c r="E732" s="7"/>
      <c r="F732" s="54"/>
      <c r="G732" s="54"/>
      <c r="H732" s="54"/>
      <c r="I732" s="54"/>
      <c r="J732" s="54"/>
      <c r="K732" s="54"/>
      <c r="L732" s="54"/>
      <c r="M732" s="54"/>
      <c r="N732" s="54"/>
      <c r="O732" s="54"/>
      <c r="P732" s="7"/>
      <c r="Q732" s="7"/>
      <c r="R732" s="7"/>
      <c r="S732" s="7"/>
      <c r="T732" s="7"/>
      <c r="U732" s="7"/>
      <c r="V732" s="7"/>
      <c r="W732" s="7"/>
      <c r="X732" s="7"/>
      <c r="Y732" s="7"/>
      <c r="Z732" s="7"/>
      <c r="AA732" s="7"/>
    </row>
    <row r="733">
      <c r="A733" s="54"/>
      <c r="B733" s="54"/>
      <c r="C733" s="7"/>
      <c r="D733" s="7"/>
      <c r="E733" s="7"/>
      <c r="F733" s="54"/>
      <c r="G733" s="54"/>
      <c r="H733" s="54"/>
      <c r="I733" s="54"/>
      <c r="J733" s="54"/>
      <c r="K733" s="54"/>
      <c r="L733" s="54"/>
      <c r="M733" s="54"/>
      <c r="N733" s="54"/>
      <c r="O733" s="54"/>
      <c r="P733" s="7"/>
      <c r="Q733" s="7"/>
      <c r="R733" s="7"/>
      <c r="S733" s="7"/>
      <c r="T733" s="7"/>
      <c r="U733" s="7"/>
      <c r="V733" s="7"/>
      <c r="W733" s="7"/>
      <c r="X733" s="7"/>
      <c r="Y733" s="7"/>
      <c r="Z733" s="7"/>
      <c r="AA733" s="7"/>
    </row>
    <row r="734">
      <c r="A734" s="54"/>
      <c r="B734" s="54"/>
      <c r="C734" s="7"/>
      <c r="D734" s="7"/>
      <c r="E734" s="7"/>
      <c r="F734" s="54"/>
      <c r="G734" s="54"/>
      <c r="H734" s="54"/>
      <c r="I734" s="54"/>
      <c r="J734" s="54"/>
      <c r="K734" s="54"/>
      <c r="L734" s="54"/>
      <c r="M734" s="54"/>
      <c r="N734" s="54"/>
      <c r="O734" s="54"/>
      <c r="P734" s="7"/>
      <c r="Q734" s="7"/>
      <c r="R734" s="7"/>
      <c r="S734" s="7"/>
      <c r="T734" s="7"/>
      <c r="U734" s="7"/>
      <c r="V734" s="7"/>
      <c r="W734" s="7"/>
      <c r="X734" s="7"/>
      <c r="Y734" s="7"/>
      <c r="Z734" s="7"/>
      <c r="AA734" s="7"/>
    </row>
    <row r="735">
      <c r="A735" s="54"/>
      <c r="B735" s="54"/>
      <c r="C735" s="7"/>
      <c r="D735" s="7"/>
      <c r="E735" s="7"/>
      <c r="F735" s="54"/>
      <c r="G735" s="54"/>
      <c r="H735" s="54"/>
      <c r="I735" s="54"/>
      <c r="J735" s="54"/>
      <c r="K735" s="54"/>
      <c r="L735" s="54"/>
      <c r="M735" s="54"/>
      <c r="N735" s="54"/>
      <c r="O735" s="54"/>
      <c r="P735" s="7"/>
      <c r="Q735" s="7"/>
      <c r="R735" s="7"/>
      <c r="S735" s="7"/>
      <c r="T735" s="7"/>
      <c r="U735" s="7"/>
      <c r="V735" s="7"/>
      <c r="W735" s="7"/>
      <c r="X735" s="7"/>
      <c r="Y735" s="7"/>
      <c r="Z735" s="7"/>
      <c r="AA735" s="7"/>
    </row>
    <row r="736">
      <c r="A736" s="54"/>
      <c r="B736" s="54"/>
      <c r="C736" s="7"/>
      <c r="D736" s="7"/>
      <c r="E736" s="7"/>
      <c r="F736" s="54"/>
      <c r="G736" s="54"/>
      <c r="H736" s="54"/>
      <c r="I736" s="54"/>
      <c r="J736" s="54"/>
      <c r="K736" s="54"/>
      <c r="L736" s="54"/>
      <c r="M736" s="54"/>
      <c r="N736" s="54"/>
      <c r="O736" s="54"/>
      <c r="P736" s="7"/>
      <c r="Q736" s="7"/>
      <c r="R736" s="7"/>
      <c r="S736" s="7"/>
      <c r="T736" s="7"/>
      <c r="U736" s="7"/>
      <c r="V736" s="7"/>
      <c r="W736" s="7"/>
      <c r="X736" s="7"/>
      <c r="Y736" s="7"/>
      <c r="Z736" s="7"/>
      <c r="AA736" s="7"/>
    </row>
    <row r="737">
      <c r="A737" s="54"/>
      <c r="B737" s="54"/>
      <c r="C737" s="7"/>
      <c r="D737" s="7"/>
      <c r="E737" s="7"/>
      <c r="F737" s="54"/>
      <c r="G737" s="54"/>
      <c r="H737" s="54"/>
      <c r="I737" s="54"/>
      <c r="J737" s="54"/>
      <c r="K737" s="54"/>
      <c r="L737" s="54"/>
      <c r="M737" s="54"/>
      <c r="N737" s="54"/>
      <c r="O737" s="54"/>
      <c r="P737" s="7"/>
      <c r="Q737" s="7"/>
      <c r="R737" s="7"/>
      <c r="S737" s="7"/>
      <c r="T737" s="7"/>
      <c r="U737" s="7"/>
      <c r="V737" s="7"/>
      <c r="W737" s="7"/>
      <c r="X737" s="7"/>
      <c r="Y737" s="7"/>
      <c r="Z737" s="7"/>
      <c r="AA737" s="7"/>
    </row>
    <row r="738">
      <c r="A738" s="54"/>
      <c r="B738" s="54"/>
      <c r="C738" s="7"/>
      <c r="D738" s="7"/>
      <c r="E738" s="7"/>
      <c r="F738" s="54"/>
      <c r="G738" s="54"/>
      <c r="H738" s="54"/>
      <c r="I738" s="54"/>
      <c r="J738" s="54"/>
      <c r="K738" s="54"/>
      <c r="L738" s="54"/>
      <c r="M738" s="54"/>
      <c r="N738" s="54"/>
      <c r="O738" s="54"/>
      <c r="P738" s="7"/>
      <c r="Q738" s="7"/>
      <c r="R738" s="7"/>
      <c r="S738" s="7"/>
      <c r="T738" s="7"/>
      <c r="U738" s="7"/>
      <c r="V738" s="7"/>
      <c r="W738" s="7"/>
      <c r="X738" s="7"/>
      <c r="Y738" s="7"/>
      <c r="Z738" s="7"/>
      <c r="AA738" s="7"/>
    </row>
    <row r="739">
      <c r="A739" s="54"/>
      <c r="B739" s="54"/>
      <c r="C739" s="7"/>
      <c r="D739" s="7"/>
      <c r="E739" s="7"/>
      <c r="F739" s="54"/>
      <c r="G739" s="54"/>
      <c r="H739" s="54"/>
      <c r="I739" s="54"/>
      <c r="J739" s="54"/>
      <c r="K739" s="54"/>
      <c r="L739" s="54"/>
      <c r="M739" s="54"/>
      <c r="N739" s="54"/>
      <c r="O739" s="54"/>
      <c r="P739" s="7"/>
      <c r="Q739" s="7"/>
      <c r="R739" s="7"/>
      <c r="S739" s="7"/>
      <c r="T739" s="7"/>
      <c r="U739" s="7"/>
      <c r="V739" s="7"/>
      <c r="W739" s="7"/>
      <c r="X739" s="7"/>
      <c r="Y739" s="7"/>
      <c r="Z739" s="7"/>
      <c r="AA739" s="7"/>
    </row>
    <row r="740">
      <c r="A740" s="54"/>
      <c r="B740" s="54"/>
      <c r="C740" s="7"/>
      <c r="D740" s="7"/>
      <c r="E740" s="7"/>
      <c r="F740" s="54"/>
      <c r="G740" s="54"/>
      <c r="H740" s="54"/>
      <c r="I740" s="54"/>
      <c r="J740" s="54"/>
      <c r="K740" s="54"/>
      <c r="L740" s="54"/>
      <c r="M740" s="54"/>
      <c r="N740" s="54"/>
      <c r="O740" s="54"/>
      <c r="P740" s="7"/>
      <c r="Q740" s="7"/>
      <c r="R740" s="7"/>
      <c r="S740" s="7"/>
      <c r="T740" s="7"/>
      <c r="U740" s="7"/>
      <c r="V740" s="7"/>
      <c r="W740" s="7"/>
      <c r="X740" s="7"/>
      <c r="Y740" s="7"/>
      <c r="Z740" s="7"/>
      <c r="AA740" s="7"/>
    </row>
    <row r="741">
      <c r="A741" s="54"/>
      <c r="B741" s="54"/>
      <c r="C741" s="7"/>
      <c r="D741" s="7"/>
      <c r="E741" s="7"/>
      <c r="F741" s="54"/>
      <c r="G741" s="54"/>
      <c r="H741" s="54"/>
      <c r="I741" s="54"/>
      <c r="J741" s="54"/>
      <c r="K741" s="54"/>
      <c r="L741" s="54"/>
      <c r="M741" s="54"/>
      <c r="N741" s="54"/>
      <c r="O741" s="54"/>
      <c r="P741" s="7"/>
      <c r="Q741" s="7"/>
      <c r="R741" s="7"/>
      <c r="S741" s="7"/>
      <c r="T741" s="7"/>
      <c r="U741" s="7"/>
      <c r="V741" s="7"/>
      <c r="W741" s="7"/>
      <c r="X741" s="7"/>
      <c r="Y741" s="7"/>
      <c r="Z741" s="7"/>
      <c r="AA741" s="7"/>
    </row>
    <row r="742">
      <c r="A742" s="54"/>
      <c r="B742" s="54"/>
      <c r="C742" s="7"/>
      <c r="D742" s="7"/>
      <c r="E742" s="7"/>
      <c r="F742" s="54"/>
      <c r="G742" s="54"/>
      <c r="H742" s="54"/>
      <c r="I742" s="54"/>
      <c r="J742" s="54"/>
      <c r="K742" s="54"/>
      <c r="L742" s="54"/>
      <c r="M742" s="54"/>
      <c r="N742" s="54"/>
      <c r="O742" s="54"/>
      <c r="P742" s="7"/>
      <c r="Q742" s="7"/>
      <c r="R742" s="7"/>
      <c r="S742" s="7"/>
      <c r="T742" s="7"/>
      <c r="U742" s="7"/>
      <c r="V742" s="7"/>
      <c r="W742" s="7"/>
      <c r="X742" s="7"/>
      <c r="Y742" s="7"/>
      <c r="Z742" s="7"/>
      <c r="AA742" s="7"/>
    </row>
    <row r="743">
      <c r="A743" s="54"/>
      <c r="B743" s="54"/>
      <c r="C743" s="7"/>
      <c r="D743" s="7"/>
      <c r="E743" s="7"/>
      <c r="F743" s="54"/>
      <c r="G743" s="54"/>
      <c r="H743" s="54"/>
      <c r="I743" s="54"/>
      <c r="J743" s="54"/>
      <c r="K743" s="54"/>
      <c r="L743" s="54"/>
      <c r="M743" s="54"/>
      <c r="N743" s="54"/>
      <c r="O743" s="54"/>
      <c r="P743" s="7"/>
      <c r="Q743" s="7"/>
      <c r="R743" s="7"/>
      <c r="S743" s="7"/>
      <c r="T743" s="7"/>
      <c r="U743" s="7"/>
      <c r="V743" s="7"/>
      <c r="W743" s="7"/>
      <c r="X743" s="7"/>
      <c r="Y743" s="7"/>
      <c r="Z743" s="7"/>
      <c r="AA743" s="7"/>
    </row>
    <row r="744">
      <c r="A744" s="54"/>
      <c r="B744" s="54"/>
      <c r="C744" s="7"/>
      <c r="D744" s="7"/>
      <c r="E744" s="7"/>
      <c r="F744" s="54"/>
      <c r="G744" s="54"/>
      <c r="H744" s="54"/>
      <c r="I744" s="54"/>
      <c r="J744" s="54"/>
      <c r="K744" s="54"/>
      <c r="L744" s="54"/>
      <c r="M744" s="54"/>
      <c r="N744" s="54"/>
      <c r="O744" s="54"/>
      <c r="P744" s="7"/>
      <c r="Q744" s="7"/>
      <c r="R744" s="7"/>
      <c r="S744" s="7"/>
      <c r="T744" s="7"/>
      <c r="U744" s="7"/>
      <c r="V744" s="7"/>
      <c r="W744" s="7"/>
      <c r="X744" s="7"/>
      <c r="Y744" s="7"/>
      <c r="Z744" s="7"/>
      <c r="AA744" s="7"/>
    </row>
    <row r="745">
      <c r="A745" s="54"/>
      <c r="B745" s="54"/>
      <c r="C745" s="7"/>
      <c r="D745" s="7"/>
      <c r="E745" s="7"/>
      <c r="F745" s="54"/>
      <c r="G745" s="54"/>
      <c r="H745" s="54"/>
      <c r="I745" s="54"/>
      <c r="J745" s="54"/>
      <c r="K745" s="54"/>
      <c r="L745" s="54"/>
      <c r="M745" s="54"/>
      <c r="N745" s="54"/>
      <c r="O745" s="54"/>
      <c r="P745" s="7"/>
      <c r="Q745" s="7"/>
      <c r="R745" s="7"/>
      <c r="S745" s="7"/>
      <c r="T745" s="7"/>
      <c r="U745" s="7"/>
      <c r="V745" s="7"/>
      <c r="W745" s="7"/>
      <c r="X745" s="7"/>
      <c r="Y745" s="7"/>
      <c r="Z745" s="7"/>
      <c r="AA745" s="7"/>
    </row>
    <row r="746">
      <c r="A746" s="54"/>
      <c r="B746" s="54"/>
      <c r="C746" s="7"/>
      <c r="D746" s="7"/>
      <c r="E746" s="7"/>
      <c r="F746" s="54"/>
      <c r="G746" s="54"/>
      <c r="H746" s="54"/>
      <c r="I746" s="54"/>
      <c r="J746" s="54"/>
      <c r="K746" s="54"/>
      <c r="L746" s="54"/>
      <c r="M746" s="54"/>
      <c r="N746" s="54"/>
      <c r="O746" s="54"/>
      <c r="P746" s="7"/>
      <c r="Q746" s="7"/>
      <c r="R746" s="7"/>
      <c r="S746" s="7"/>
      <c r="T746" s="7"/>
      <c r="U746" s="7"/>
      <c r="V746" s="7"/>
      <c r="W746" s="7"/>
      <c r="X746" s="7"/>
      <c r="Y746" s="7"/>
      <c r="Z746" s="7"/>
      <c r="AA746" s="7"/>
    </row>
    <row r="747">
      <c r="A747" s="54"/>
      <c r="B747" s="54"/>
      <c r="C747" s="7"/>
      <c r="D747" s="7"/>
      <c r="E747" s="7"/>
      <c r="F747" s="54"/>
      <c r="G747" s="54"/>
      <c r="H747" s="54"/>
      <c r="I747" s="54"/>
      <c r="J747" s="54"/>
      <c r="K747" s="54"/>
      <c r="L747" s="54"/>
      <c r="M747" s="54"/>
      <c r="N747" s="54"/>
      <c r="O747" s="54"/>
      <c r="P747" s="7"/>
      <c r="Q747" s="7"/>
      <c r="R747" s="7"/>
      <c r="S747" s="7"/>
      <c r="T747" s="7"/>
      <c r="U747" s="7"/>
      <c r="V747" s="7"/>
      <c r="W747" s="7"/>
      <c r="X747" s="7"/>
      <c r="Y747" s="7"/>
      <c r="Z747" s="7"/>
      <c r="AA747" s="7"/>
    </row>
    <row r="748">
      <c r="A748" s="54"/>
      <c r="B748" s="54"/>
      <c r="C748" s="7"/>
      <c r="D748" s="7"/>
      <c r="E748" s="7"/>
      <c r="F748" s="54"/>
      <c r="G748" s="54"/>
      <c r="H748" s="54"/>
      <c r="I748" s="54"/>
      <c r="J748" s="54"/>
      <c r="K748" s="54"/>
      <c r="L748" s="54"/>
      <c r="M748" s="54"/>
      <c r="N748" s="54"/>
      <c r="O748" s="54"/>
      <c r="P748" s="7"/>
      <c r="Q748" s="7"/>
      <c r="R748" s="7"/>
      <c r="S748" s="7"/>
      <c r="T748" s="7"/>
      <c r="U748" s="7"/>
      <c r="V748" s="7"/>
      <c r="W748" s="7"/>
      <c r="X748" s="7"/>
      <c r="Y748" s="7"/>
      <c r="Z748" s="7"/>
      <c r="AA748" s="7"/>
    </row>
    <row r="749">
      <c r="A749" s="54"/>
      <c r="B749" s="54"/>
      <c r="C749" s="7"/>
      <c r="D749" s="7"/>
      <c r="E749" s="7"/>
      <c r="F749" s="54"/>
      <c r="G749" s="54"/>
      <c r="H749" s="54"/>
      <c r="I749" s="54"/>
      <c r="J749" s="54"/>
      <c r="K749" s="54"/>
      <c r="L749" s="54"/>
      <c r="M749" s="54"/>
      <c r="N749" s="54"/>
      <c r="O749" s="54"/>
      <c r="P749" s="7"/>
      <c r="Q749" s="7"/>
      <c r="R749" s="7"/>
      <c r="S749" s="7"/>
      <c r="T749" s="7"/>
      <c r="U749" s="7"/>
      <c r="V749" s="7"/>
      <c r="W749" s="7"/>
      <c r="X749" s="7"/>
      <c r="Y749" s="7"/>
      <c r="Z749" s="7"/>
      <c r="AA749" s="7"/>
    </row>
    <row r="750">
      <c r="A750" s="54"/>
      <c r="B750" s="54"/>
      <c r="C750" s="7"/>
      <c r="D750" s="7"/>
      <c r="E750" s="7"/>
      <c r="F750" s="54"/>
      <c r="G750" s="54"/>
      <c r="H750" s="54"/>
      <c r="I750" s="54"/>
      <c r="J750" s="54"/>
      <c r="K750" s="54"/>
      <c r="L750" s="54"/>
      <c r="M750" s="54"/>
      <c r="N750" s="54"/>
      <c r="O750" s="54"/>
      <c r="P750" s="7"/>
      <c r="Q750" s="7"/>
      <c r="R750" s="7"/>
      <c r="S750" s="7"/>
      <c r="T750" s="7"/>
      <c r="U750" s="7"/>
      <c r="V750" s="7"/>
      <c r="W750" s="7"/>
      <c r="X750" s="7"/>
      <c r="Y750" s="7"/>
      <c r="Z750" s="7"/>
      <c r="AA750" s="7"/>
    </row>
    <row r="751">
      <c r="A751" s="54"/>
      <c r="B751" s="54"/>
      <c r="C751" s="7"/>
      <c r="D751" s="7"/>
      <c r="E751" s="7"/>
      <c r="F751" s="54"/>
      <c r="G751" s="54"/>
      <c r="H751" s="54"/>
      <c r="I751" s="54"/>
      <c r="J751" s="54"/>
      <c r="K751" s="54"/>
      <c r="L751" s="54"/>
      <c r="M751" s="54"/>
      <c r="N751" s="54"/>
      <c r="O751" s="54"/>
      <c r="P751" s="7"/>
      <c r="Q751" s="7"/>
      <c r="R751" s="7"/>
      <c r="S751" s="7"/>
      <c r="T751" s="7"/>
      <c r="U751" s="7"/>
      <c r="V751" s="7"/>
      <c r="W751" s="7"/>
      <c r="X751" s="7"/>
      <c r="Y751" s="7"/>
      <c r="Z751" s="7"/>
      <c r="AA751" s="7"/>
    </row>
    <row r="752">
      <c r="A752" s="54"/>
      <c r="B752" s="54"/>
      <c r="C752" s="7"/>
      <c r="D752" s="7"/>
      <c r="E752" s="7"/>
      <c r="F752" s="54"/>
      <c r="G752" s="54"/>
      <c r="H752" s="54"/>
      <c r="I752" s="54"/>
      <c r="J752" s="54"/>
      <c r="K752" s="54"/>
      <c r="L752" s="54"/>
      <c r="M752" s="54"/>
      <c r="N752" s="54"/>
      <c r="O752" s="54"/>
      <c r="P752" s="7"/>
      <c r="Q752" s="7"/>
      <c r="R752" s="7"/>
      <c r="S752" s="7"/>
      <c r="T752" s="7"/>
      <c r="U752" s="7"/>
      <c r="V752" s="7"/>
      <c r="W752" s="7"/>
      <c r="X752" s="7"/>
      <c r="Y752" s="7"/>
      <c r="Z752" s="7"/>
      <c r="AA752" s="7"/>
    </row>
    <row r="753">
      <c r="A753" s="54"/>
      <c r="B753" s="54"/>
      <c r="C753" s="7"/>
      <c r="D753" s="7"/>
      <c r="E753" s="7"/>
      <c r="F753" s="54"/>
      <c r="G753" s="54"/>
      <c r="H753" s="54"/>
      <c r="I753" s="54"/>
      <c r="J753" s="54"/>
      <c r="K753" s="54"/>
      <c r="L753" s="54"/>
      <c r="M753" s="54"/>
      <c r="N753" s="54"/>
      <c r="O753" s="54"/>
      <c r="P753" s="7"/>
      <c r="Q753" s="7"/>
      <c r="R753" s="7"/>
      <c r="S753" s="7"/>
      <c r="T753" s="7"/>
      <c r="U753" s="7"/>
      <c r="V753" s="7"/>
      <c r="W753" s="7"/>
      <c r="X753" s="7"/>
      <c r="Y753" s="7"/>
      <c r="Z753" s="7"/>
      <c r="AA753" s="7"/>
    </row>
    <row r="754">
      <c r="A754" s="54"/>
      <c r="B754" s="54"/>
      <c r="C754" s="7"/>
      <c r="D754" s="7"/>
      <c r="E754" s="7"/>
      <c r="F754" s="54"/>
      <c r="G754" s="54"/>
      <c r="H754" s="54"/>
      <c r="I754" s="54"/>
      <c r="J754" s="54"/>
      <c r="K754" s="54"/>
      <c r="L754" s="54"/>
      <c r="M754" s="54"/>
      <c r="N754" s="54"/>
      <c r="O754" s="54"/>
      <c r="P754" s="7"/>
      <c r="Q754" s="7"/>
      <c r="R754" s="7"/>
      <c r="S754" s="7"/>
      <c r="T754" s="7"/>
      <c r="U754" s="7"/>
      <c r="V754" s="7"/>
      <c r="W754" s="7"/>
      <c r="X754" s="7"/>
      <c r="Y754" s="7"/>
      <c r="Z754" s="7"/>
      <c r="AA754" s="7"/>
    </row>
    <row r="755">
      <c r="A755" s="54"/>
      <c r="B755" s="54"/>
      <c r="C755" s="7"/>
      <c r="D755" s="7"/>
      <c r="E755" s="7"/>
      <c r="F755" s="54"/>
      <c r="G755" s="54"/>
      <c r="H755" s="54"/>
      <c r="I755" s="54"/>
      <c r="J755" s="54"/>
      <c r="K755" s="54"/>
      <c r="L755" s="54"/>
      <c r="M755" s="54"/>
      <c r="N755" s="54"/>
      <c r="O755" s="54"/>
      <c r="P755" s="7"/>
      <c r="Q755" s="7"/>
      <c r="R755" s="7"/>
      <c r="S755" s="7"/>
      <c r="T755" s="7"/>
      <c r="U755" s="7"/>
      <c r="V755" s="7"/>
      <c r="W755" s="7"/>
      <c r="X755" s="7"/>
      <c r="Y755" s="7"/>
      <c r="Z755" s="7"/>
      <c r="AA755" s="7"/>
    </row>
    <row r="756">
      <c r="A756" s="54"/>
      <c r="B756" s="54"/>
      <c r="C756" s="7"/>
      <c r="D756" s="7"/>
      <c r="E756" s="7"/>
      <c r="F756" s="54"/>
      <c r="G756" s="54"/>
      <c r="H756" s="54"/>
      <c r="I756" s="54"/>
      <c r="J756" s="54"/>
      <c r="K756" s="54"/>
      <c r="L756" s="54"/>
      <c r="M756" s="54"/>
      <c r="N756" s="54"/>
      <c r="O756" s="54"/>
      <c r="P756" s="7"/>
      <c r="Q756" s="7"/>
      <c r="R756" s="7"/>
      <c r="S756" s="7"/>
      <c r="T756" s="7"/>
      <c r="U756" s="7"/>
      <c r="V756" s="7"/>
      <c r="W756" s="7"/>
      <c r="X756" s="7"/>
      <c r="Y756" s="7"/>
      <c r="Z756" s="7"/>
      <c r="AA756" s="7"/>
    </row>
    <row r="757">
      <c r="A757" s="54"/>
      <c r="B757" s="54"/>
      <c r="C757" s="7"/>
      <c r="D757" s="7"/>
      <c r="E757" s="7"/>
      <c r="F757" s="54"/>
      <c r="G757" s="54"/>
      <c r="H757" s="54"/>
      <c r="I757" s="54"/>
      <c r="J757" s="54"/>
      <c r="K757" s="54"/>
      <c r="L757" s="54"/>
      <c r="M757" s="54"/>
      <c r="N757" s="54"/>
      <c r="O757" s="54"/>
      <c r="P757" s="7"/>
      <c r="Q757" s="7"/>
      <c r="R757" s="7"/>
      <c r="S757" s="7"/>
      <c r="T757" s="7"/>
      <c r="U757" s="7"/>
      <c r="V757" s="7"/>
      <c r="W757" s="7"/>
      <c r="X757" s="7"/>
      <c r="Y757" s="7"/>
      <c r="Z757" s="7"/>
      <c r="AA757" s="7"/>
    </row>
    <row r="758">
      <c r="A758" s="54"/>
      <c r="B758" s="54"/>
      <c r="C758" s="7"/>
      <c r="D758" s="7"/>
      <c r="E758" s="7"/>
      <c r="F758" s="54"/>
      <c r="G758" s="54"/>
      <c r="H758" s="54"/>
      <c r="I758" s="54"/>
      <c r="J758" s="54"/>
      <c r="K758" s="54"/>
      <c r="L758" s="54"/>
      <c r="M758" s="54"/>
      <c r="N758" s="54"/>
      <c r="O758" s="54"/>
      <c r="P758" s="7"/>
      <c r="Q758" s="7"/>
      <c r="R758" s="7"/>
      <c r="S758" s="7"/>
      <c r="T758" s="7"/>
      <c r="U758" s="7"/>
      <c r="V758" s="7"/>
      <c r="W758" s="7"/>
      <c r="X758" s="7"/>
      <c r="Y758" s="7"/>
      <c r="Z758" s="7"/>
      <c r="AA758" s="7"/>
    </row>
    <row r="759">
      <c r="A759" s="54"/>
      <c r="B759" s="54"/>
      <c r="C759" s="7"/>
      <c r="D759" s="7"/>
      <c r="E759" s="7"/>
      <c r="F759" s="54"/>
      <c r="G759" s="54"/>
      <c r="H759" s="54"/>
      <c r="I759" s="54"/>
      <c r="J759" s="54"/>
      <c r="K759" s="54"/>
      <c r="L759" s="54"/>
      <c r="M759" s="54"/>
      <c r="N759" s="54"/>
      <c r="O759" s="54"/>
      <c r="P759" s="7"/>
      <c r="Q759" s="7"/>
      <c r="R759" s="7"/>
      <c r="S759" s="7"/>
      <c r="T759" s="7"/>
      <c r="U759" s="7"/>
      <c r="V759" s="7"/>
      <c r="W759" s="7"/>
      <c r="X759" s="7"/>
      <c r="Y759" s="7"/>
      <c r="Z759" s="7"/>
      <c r="AA759" s="7"/>
    </row>
    <row r="760">
      <c r="A760" s="54"/>
      <c r="B760" s="54"/>
      <c r="C760" s="7"/>
      <c r="D760" s="7"/>
      <c r="E760" s="7"/>
      <c r="F760" s="54"/>
      <c r="G760" s="54"/>
      <c r="H760" s="54"/>
      <c r="I760" s="54"/>
      <c r="J760" s="54"/>
      <c r="K760" s="54"/>
      <c r="L760" s="54"/>
      <c r="M760" s="54"/>
      <c r="N760" s="54"/>
      <c r="O760" s="54"/>
      <c r="P760" s="7"/>
      <c r="Q760" s="7"/>
      <c r="R760" s="7"/>
      <c r="S760" s="7"/>
      <c r="T760" s="7"/>
      <c r="U760" s="7"/>
      <c r="V760" s="7"/>
      <c r="W760" s="7"/>
      <c r="X760" s="7"/>
      <c r="Y760" s="7"/>
      <c r="Z760" s="7"/>
      <c r="AA760" s="7"/>
    </row>
    <row r="761">
      <c r="A761" s="54"/>
      <c r="B761" s="54"/>
      <c r="C761" s="7"/>
      <c r="D761" s="7"/>
      <c r="E761" s="7"/>
      <c r="F761" s="54"/>
      <c r="G761" s="54"/>
      <c r="H761" s="54"/>
      <c r="I761" s="54"/>
      <c r="J761" s="54"/>
      <c r="K761" s="54"/>
      <c r="L761" s="54"/>
      <c r="M761" s="54"/>
      <c r="N761" s="54"/>
      <c r="O761" s="54"/>
      <c r="P761" s="7"/>
      <c r="Q761" s="7"/>
      <c r="R761" s="7"/>
      <c r="S761" s="7"/>
      <c r="T761" s="7"/>
      <c r="U761" s="7"/>
      <c r="V761" s="7"/>
      <c r="W761" s="7"/>
      <c r="X761" s="7"/>
      <c r="Y761" s="7"/>
      <c r="Z761" s="7"/>
      <c r="AA761" s="7"/>
    </row>
    <row r="762">
      <c r="A762" s="54"/>
      <c r="B762" s="54"/>
      <c r="C762" s="7"/>
      <c r="D762" s="7"/>
      <c r="E762" s="7"/>
      <c r="F762" s="54"/>
      <c r="G762" s="54"/>
      <c r="H762" s="54"/>
      <c r="I762" s="54"/>
      <c r="J762" s="54"/>
      <c r="K762" s="54"/>
      <c r="L762" s="54"/>
      <c r="M762" s="54"/>
      <c r="N762" s="54"/>
      <c r="O762" s="54"/>
      <c r="P762" s="7"/>
      <c r="Q762" s="7"/>
      <c r="R762" s="7"/>
      <c r="S762" s="7"/>
      <c r="T762" s="7"/>
      <c r="U762" s="7"/>
      <c r="V762" s="7"/>
      <c r="W762" s="7"/>
      <c r="X762" s="7"/>
      <c r="Y762" s="7"/>
      <c r="Z762" s="7"/>
      <c r="AA762" s="7"/>
    </row>
    <row r="763">
      <c r="A763" s="54"/>
      <c r="B763" s="54"/>
      <c r="C763" s="7"/>
      <c r="D763" s="7"/>
      <c r="E763" s="7"/>
      <c r="F763" s="54"/>
      <c r="G763" s="54"/>
      <c r="H763" s="54"/>
      <c r="I763" s="54"/>
      <c r="J763" s="54"/>
      <c r="K763" s="54"/>
      <c r="L763" s="54"/>
      <c r="M763" s="54"/>
      <c r="N763" s="54"/>
      <c r="O763" s="54"/>
      <c r="P763" s="7"/>
      <c r="Q763" s="7"/>
      <c r="R763" s="7"/>
      <c r="S763" s="7"/>
      <c r="T763" s="7"/>
      <c r="U763" s="7"/>
      <c r="V763" s="7"/>
      <c r="W763" s="7"/>
      <c r="X763" s="7"/>
      <c r="Y763" s="7"/>
      <c r="Z763" s="7"/>
      <c r="AA763" s="7"/>
    </row>
    <row r="764">
      <c r="A764" s="54"/>
      <c r="B764" s="54"/>
      <c r="C764" s="7"/>
      <c r="D764" s="7"/>
      <c r="E764" s="7"/>
      <c r="F764" s="54"/>
      <c r="G764" s="54"/>
      <c r="H764" s="54"/>
      <c r="I764" s="54"/>
      <c r="J764" s="54"/>
      <c r="K764" s="54"/>
      <c r="L764" s="54"/>
      <c r="M764" s="54"/>
      <c r="N764" s="54"/>
      <c r="O764" s="54"/>
      <c r="P764" s="7"/>
      <c r="Q764" s="7"/>
      <c r="R764" s="7"/>
      <c r="S764" s="7"/>
      <c r="T764" s="7"/>
      <c r="U764" s="7"/>
      <c r="V764" s="7"/>
      <c r="W764" s="7"/>
      <c r="X764" s="7"/>
      <c r="Y764" s="7"/>
      <c r="Z764" s="7"/>
      <c r="AA764" s="7"/>
    </row>
    <row r="765">
      <c r="A765" s="54"/>
      <c r="B765" s="54"/>
      <c r="C765" s="7"/>
      <c r="D765" s="7"/>
      <c r="E765" s="7"/>
      <c r="F765" s="54"/>
      <c r="G765" s="54"/>
      <c r="H765" s="54"/>
      <c r="I765" s="54"/>
      <c r="J765" s="54"/>
      <c r="K765" s="54"/>
      <c r="L765" s="54"/>
      <c r="M765" s="54"/>
      <c r="N765" s="54"/>
      <c r="O765" s="54"/>
      <c r="P765" s="7"/>
      <c r="Q765" s="7"/>
      <c r="R765" s="7"/>
      <c r="S765" s="7"/>
      <c r="T765" s="7"/>
      <c r="U765" s="7"/>
      <c r="V765" s="7"/>
      <c r="W765" s="7"/>
      <c r="X765" s="7"/>
      <c r="Y765" s="7"/>
      <c r="Z765" s="7"/>
      <c r="AA765" s="7"/>
    </row>
    <row r="766">
      <c r="A766" s="54"/>
      <c r="B766" s="54"/>
      <c r="C766" s="7"/>
      <c r="D766" s="7"/>
      <c r="E766" s="7"/>
      <c r="F766" s="54"/>
      <c r="G766" s="54"/>
      <c r="H766" s="54"/>
      <c r="I766" s="54"/>
      <c r="J766" s="54"/>
      <c r="K766" s="54"/>
      <c r="L766" s="54"/>
      <c r="M766" s="54"/>
      <c r="N766" s="54"/>
      <c r="O766" s="54"/>
      <c r="P766" s="7"/>
      <c r="Q766" s="7"/>
      <c r="R766" s="7"/>
      <c r="S766" s="7"/>
      <c r="T766" s="7"/>
      <c r="U766" s="7"/>
      <c r="V766" s="7"/>
      <c r="W766" s="7"/>
      <c r="X766" s="7"/>
      <c r="Y766" s="7"/>
      <c r="Z766" s="7"/>
      <c r="AA766" s="7"/>
    </row>
    <row r="767">
      <c r="A767" s="54"/>
      <c r="B767" s="54"/>
      <c r="C767" s="7"/>
      <c r="D767" s="7"/>
      <c r="E767" s="7"/>
      <c r="F767" s="54"/>
      <c r="G767" s="54"/>
      <c r="H767" s="54"/>
      <c r="I767" s="54"/>
      <c r="J767" s="54"/>
      <c r="K767" s="54"/>
      <c r="L767" s="54"/>
      <c r="M767" s="54"/>
      <c r="N767" s="54"/>
      <c r="O767" s="54"/>
      <c r="P767" s="7"/>
      <c r="Q767" s="7"/>
      <c r="R767" s="7"/>
      <c r="S767" s="7"/>
      <c r="T767" s="7"/>
      <c r="U767" s="7"/>
      <c r="V767" s="7"/>
      <c r="W767" s="7"/>
      <c r="X767" s="7"/>
      <c r="Y767" s="7"/>
      <c r="Z767" s="7"/>
      <c r="AA767" s="7"/>
    </row>
    <row r="768">
      <c r="A768" s="54"/>
      <c r="B768" s="54"/>
      <c r="C768" s="7"/>
      <c r="D768" s="7"/>
      <c r="E768" s="7"/>
      <c r="F768" s="54"/>
      <c r="G768" s="54"/>
      <c r="H768" s="54"/>
      <c r="I768" s="54"/>
      <c r="J768" s="54"/>
      <c r="K768" s="54"/>
      <c r="L768" s="54"/>
      <c r="M768" s="54"/>
      <c r="N768" s="54"/>
      <c r="O768" s="54"/>
      <c r="P768" s="7"/>
      <c r="Q768" s="7"/>
      <c r="R768" s="7"/>
      <c r="S768" s="7"/>
      <c r="T768" s="7"/>
      <c r="U768" s="7"/>
      <c r="V768" s="7"/>
      <c r="W768" s="7"/>
      <c r="X768" s="7"/>
      <c r="Y768" s="7"/>
      <c r="Z768" s="7"/>
      <c r="AA768" s="7"/>
    </row>
    <row r="769">
      <c r="A769" s="54"/>
      <c r="B769" s="54"/>
      <c r="C769" s="7"/>
      <c r="D769" s="7"/>
      <c r="E769" s="7"/>
      <c r="F769" s="54"/>
      <c r="G769" s="54"/>
      <c r="H769" s="54"/>
      <c r="I769" s="54"/>
      <c r="J769" s="54"/>
      <c r="K769" s="54"/>
      <c r="L769" s="54"/>
      <c r="M769" s="54"/>
      <c r="N769" s="54"/>
      <c r="O769" s="54"/>
      <c r="P769" s="7"/>
      <c r="Q769" s="7"/>
      <c r="R769" s="7"/>
      <c r="S769" s="7"/>
      <c r="T769" s="7"/>
      <c r="U769" s="7"/>
      <c r="V769" s="7"/>
      <c r="W769" s="7"/>
      <c r="X769" s="7"/>
      <c r="Y769" s="7"/>
      <c r="Z769" s="7"/>
      <c r="AA769" s="7"/>
    </row>
    <row r="770">
      <c r="A770" s="54"/>
      <c r="B770" s="54"/>
      <c r="C770" s="7"/>
      <c r="D770" s="7"/>
      <c r="E770" s="7"/>
      <c r="F770" s="54"/>
      <c r="G770" s="54"/>
      <c r="H770" s="54"/>
      <c r="I770" s="54"/>
      <c r="J770" s="54"/>
      <c r="K770" s="54"/>
      <c r="L770" s="54"/>
      <c r="M770" s="54"/>
      <c r="N770" s="54"/>
      <c r="O770" s="54"/>
      <c r="P770" s="7"/>
      <c r="Q770" s="7"/>
      <c r="R770" s="7"/>
      <c r="S770" s="7"/>
      <c r="T770" s="7"/>
      <c r="U770" s="7"/>
      <c r="V770" s="7"/>
      <c r="W770" s="7"/>
      <c r="X770" s="7"/>
      <c r="Y770" s="7"/>
      <c r="Z770" s="7"/>
      <c r="AA770" s="7"/>
    </row>
    <row r="771">
      <c r="A771" s="54"/>
      <c r="B771" s="54"/>
      <c r="C771" s="7"/>
      <c r="D771" s="7"/>
      <c r="E771" s="7"/>
      <c r="F771" s="54"/>
      <c r="G771" s="54"/>
      <c r="H771" s="54"/>
      <c r="I771" s="54"/>
      <c r="J771" s="54"/>
      <c r="K771" s="54"/>
      <c r="L771" s="54"/>
      <c r="M771" s="54"/>
      <c r="N771" s="54"/>
      <c r="O771" s="54"/>
      <c r="P771" s="7"/>
      <c r="Q771" s="7"/>
      <c r="R771" s="7"/>
      <c r="S771" s="7"/>
      <c r="T771" s="7"/>
      <c r="U771" s="7"/>
      <c r="V771" s="7"/>
      <c r="W771" s="7"/>
      <c r="X771" s="7"/>
      <c r="Y771" s="7"/>
      <c r="Z771" s="7"/>
      <c r="AA771" s="7"/>
    </row>
    <row r="772">
      <c r="A772" s="54"/>
      <c r="B772" s="54"/>
      <c r="C772" s="7"/>
      <c r="D772" s="7"/>
      <c r="E772" s="7"/>
      <c r="F772" s="54"/>
      <c r="G772" s="54"/>
      <c r="H772" s="54"/>
      <c r="I772" s="54"/>
      <c r="J772" s="54"/>
      <c r="K772" s="54"/>
      <c r="L772" s="54"/>
      <c r="M772" s="54"/>
      <c r="N772" s="54"/>
      <c r="O772" s="54"/>
      <c r="P772" s="7"/>
      <c r="Q772" s="7"/>
      <c r="R772" s="7"/>
      <c r="S772" s="7"/>
      <c r="T772" s="7"/>
      <c r="U772" s="7"/>
      <c r="V772" s="7"/>
      <c r="W772" s="7"/>
      <c r="X772" s="7"/>
      <c r="Y772" s="7"/>
      <c r="Z772" s="7"/>
      <c r="AA772" s="7"/>
    </row>
    <row r="773">
      <c r="A773" s="54"/>
      <c r="B773" s="54"/>
      <c r="C773" s="7"/>
      <c r="D773" s="7"/>
      <c r="E773" s="7"/>
      <c r="F773" s="54"/>
      <c r="G773" s="54"/>
      <c r="H773" s="54"/>
      <c r="I773" s="54"/>
      <c r="J773" s="54"/>
      <c r="K773" s="54"/>
      <c r="L773" s="54"/>
      <c r="M773" s="54"/>
      <c r="N773" s="54"/>
      <c r="O773" s="54"/>
      <c r="P773" s="7"/>
      <c r="Q773" s="7"/>
      <c r="R773" s="7"/>
      <c r="S773" s="7"/>
      <c r="T773" s="7"/>
      <c r="U773" s="7"/>
      <c r="V773" s="7"/>
      <c r="W773" s="7"/>
      <c r="X773" s="7"/>
      <c r="Y773" s="7"/>
      <c r="Z773" s="7"/>
      <c r="AA773" s="7"/>
    </row>
    <row r="774">
      <c r="A774" s="54"/>
      <c r="B774" s="54"/>
      <c r="C774" s="7"/>
      <c r="D774" s="7"/>
      <c r="E774" s="7"/>
      <c r="F774" s="54"/>
      <c r="G774" s="54"/>
      <c r="H774" s="54"/>
      <c r="I774" s="54"/>
      <c r="J774" s="54"/>
      <c r="K774" s="54"/>
      <c r="L774" s="54"/>
      <c r="M774" s="54"/>
      <c r="N774" s="54"/>
      <c r="O774" s="54"/>
      <c r="P774" s="7"/>
      <c r="Q774" s="7"/>
      <c r="R774" s="7"/>
      <c r="S774" s="7"/>
      <c r="T774" s="7"/>
      <c r="U774" s="7"/>
      <c r="V774" s="7"/>
      <c r="W774" s="7"/>
      <c r="X774" s="7"/>
      <c r="Y774" s="7"/>
      <c r="Z774" s="7"/>
      <c r="AA774" s="7"/>
    </row>
    <row r="775">
      <c r="A775" s="54"/>
      <c r="B775" s="54"/>
      <c r="C775" s="7"/>
      <c r="D775" s="7"/>
      <c r="E775" s="7"/>
      <c r="F775" s="54"/>
      <c r="G775" s="54"/>
      <c r="H775" s="54"/>
      <c r="I775" s="54"/>
      <c r="J775" s="54"/>
      <c r="K775" s="54"/>
      <c r="L775" s="54"/>
      <c r="M775" s="54"/>
      <c r="N775" s="54"/>
      <c r="O775" s="54"/>
      <c r="P775" s="7"/>
      <c r="Q775" s="7"/>
      <c r="R775" s="7"/>
      <c r="S775" s="7"/>
      <c r="T775" s="7"/>
      <c r="U775" s="7"/>
      <c r="V775" s="7"/>
      <c r="W775" s="7"/>
      <c r="X775" s="7"/>
      <c r="Y775" s="7"/>
      <c r="Z775" s="7"/>
      <c r="AA775" s="7"/>
    </row>
    <row r="776">
      <c r="A776" s="54"/>
      <c r="B776" s="54"/>
      <c r="C776" s="7"/>
      <c r="D776" s="7"/>
      <c r="E776" s="7"/>
      <c r="F776" s="54"/>
      <c r="G776" s="54"/>
      <c r="H776" s="54"/>
      <c r="I776" s="54"/>
      <c r="J776" s="54"/>
      <c r="K776" s="54"/>
      <c r="L776" s="54"/>
      <c r="M776" s="54"/>
      <c r="N776" s="54"/>
      <c r="O776" s="54"/>
      <c r="P776" s="7"/>
      <c r="Q776" s="7"/>
      <c r="R776" s="7"/>
      <c r="S776" s="7"/>
      <c r="T776" s="7"/>
      <c r="U776" s="7"/>
      <c r="V776" s="7"/>
      <c r="W776" s="7"/>
      <c r="X776" s="7"/>
      <c r="Y776" s="7"/>
      <c r="Z776" s="7"/>
      <c r="AA776" s="7"/>
    </row>
    <row r="777">
      <c r="A777" s="54"/>
      <c r="B777" s="54"/>
      <c r="C777" s="7"/>
      <c r="D777" s="7"/>
      <c r="E777" s="7"/>
      <c r="F777" s="54"/>
      <c r="G777" s="54"/>
      <c r="H777" s="54"/>
      <c r="I777" s="54"/>
      <c r="J777" s="54"/>
      <c r="K777" s="54"/>
      <c r="L777" s="54"/>
      <c r="M777" s="54"/>
      <c r="N777" s="54"/>
      <c r="O777" s="54"/>
      <c r="P777" s="7"/>
      <c r="Q777" s="7"/>
      <c r="R777" s="7"/>
      <c r="S777" s="7"/>
      <c r="T777" s="7"/>
      <c r="U777" s="7"/>
      <c r="V777" s="7"/>
      <c r="W777" s="7"/>
      <c r="X777" s="7"/>
      <c r="Y777" s="7"/>
      <c r="Z777" s="7"/>
      <c r="AA777" s="7"/>
    </row>
    <row r="778">
      <c r="A778" s="54"/>
      <c r="B778" s="54"/>
      <c r="C778" s="7"/>
      <c r="D778" s="7"/>
      <c r="E778" s="7"/>
      <c r="F778" s="54"/>
      <c r="G778" s="54"/>
      <c r="H778" s="54"/>
      <c r="I778" s="54"/>
      <c r="J778" s="54"/>
      <c r="K778" s="54"/>
      <c r="L778" s="54"/>
      <c r="M778" s="54"/>
      <c r="N778" s="54"/>
      <c r="O778" s="54"/>
      <c r="P778" s="7"/>
      <c r="Q778" s="7"/>
      <c r="R778" s="7"/>
      <c r="S778" s="7"/>
      <c r="T778" s="7"/>
      <c r="U778" s="7"/>
      <c r="V778" s="7"/>
      <c r="W778" s="7"/>
      <c r="X778" s="7"/>
      <c r="Y778" s="7"/>
      <c r="Z778" s="7"/>
      <c r="AA778" s="7"/>
    </row>
    <row r="779">
      <c r="A779" s="54"/>
      <c r="B779" s="54"/>
      <c r="C779" s="7"/>
      <c r="D779" s="7"/>
      <c r="E779" s="7"/>
      <c r="F779" s="54"/>
      <c r="G779" s="54"/>
      <c r="H779" s="54"/>
      <c r="I779" s="54"/>
      <c r="J779" s="54"/>
      <c r="K779" s="54"/>
      <c r="L779" s="54"/>
      <c r="M779" s="54"/>
      <c r="N779" s="54"/>
      <c r="O779" s="54"/>
      <c r="P779" s="7"/>
      <c r="Q779" s="7"/>
      <c r="R779" s="7"/>
      <c r="S779" s="7"/>
      <c r="T779" s="7"/>
      <c r="U779" s="7"/>
      <c r="V779" s="7"/>
      <c r="W779" s="7"/>
      <c r="X779" s="7"/>
      <c r="Y779" s="7"/>
      <c r="Z779" s="7"/>
      <c r="AA779" s="7"/>
    </row>
    <row r="780">
      <c r="A780" s="54"/>
      <c r="B780" s="54"/>
      <c r="C780" s="7"/>
      <c r="D780" s="7"/>
      <c r="E780" s="7"/>
      <c r="F780" s="54"/>
      <c r="G780" s="54"/>
      <c r="H780" s="54"/>
      <c r="I780" s="54"/>
      <c r="J780" s="54"/>
      <c r="K780" s="54"/>
      <c r="L780" s="54"/>
      <c r="M780" s="54"/>
      <c r="N780" s="54"/>
      <c r="O780" s="54"/>
      <c r="P780" s="7"/>
      <c r="Q780" s="7"/>
      <c r="R780" s="7"/>
      <c r="S780" s="7"/>
      <c r="T780" s="7"/>
      <c r="U780" s="7"/>
      <c r="V780" s="7"/>
      <c r="W780" s="7"/>
      <c r="X780" s="7"/>
      <c r="Y780" s="7"/>
      <c r="Z780" s="7"/>
      <c r="AA780" s="7"/>
    </row>
    <row r="781">
      <c r="A781" s="54"/>
      <c r="B781" s="54"/>
      <c r="C781" s="7"/>
      <c r="D781" s="7"/>
      <c r="E781" s="7"/>
      <c r="F781" s="54"/>
      <c r="G781" s="54"/>
      <c r="H781" s="54"/>
      <c r="I781" s="54"/>
      <c r="J781" s="54"/>
      <c r="K781" s="54"/>
      <c r="L781" s="54"/>
      <c r="M781" s="54"/>
      <c r="N781" s="54"/>
      <c r="O781" s="54"/>
      <c r="P781" s="7"/>
      <c r="Q781" s="7"/>
      <c r="R781" s="7"/>
      <c r="S781" s="7"/>
      <c r="T781" s="7"/>
      <c r="U781" s="7"/>
      <c r="V781" s="7"/>
      <c r="W781" s="7"/>
      <c r="X781" s="7"/>
      <c r="Y781" s="7"/>
      <c r="Z781" s="7"/>
      <c r="AA781" s="7"/>
    </row>
    <row r="782">
      <c r="A782" s="54"/>
      <c r="B782" s="54"/>
      <c r="C782" s="7"/>
      <c r="D782" s="7"/>
      <c r="E782" s="7"/>
      <c r="F782" s="54"/>
      <c r="G782" s="54"/>
      <c r="H782" s="54"/>
      <c r="I782" s="54"/>
      <c r="J782" s="54"/>
      <c r="K782" s="54"/>
      <c r="L782" s="54"/>
      <c r="M782" s="54"/>
      <c r="N782" s="54"/>
      <c r="O782" s="54"/>
      <c r="P782" s="7"/>
      <c r="Q782" s="7"/>
      <c r="R782" s="7"/>
      <c r="S782" s="7"/>
      <c r="T782" s="7"/>
      <c r="U782" s="7"/>
      <c r="V782" s="7"/>
      <c r="W782" s="7"/>
      <c r="X782" s="7"/>
      <c r="Y782" s="7"/>
      <c r="Z782" s="7"/>
      <c r="AA782" s="7"/>
    </row>
    <row r="783">
      <c r="A783" s="54"/>
      <c r="B783" s="54"/>
      <c r="C783" s="7"/>
      <c r="D783" s="7"/>
      <c r="E783" s="7"/>
      <c r="F783" s="54"/>
      <c r="G783" s="54"/>
      <c r="H783" s="54"/>
      <c r="I783" s="54"/>
      <c r="J783" s="54"/>
      <c r="K783" s="54"/>
      <c r="L783" s="54"/>
      <c r="M783" s="54"/>
      <c r="N783" s="54"/>
      <c r="O783" s="54"/>
      <c r="P783" s="7"/>
      <c r="Q783" s="7"/>
      <c r="R783" s="7"/>
      <c r="S783" s="7"/>
      <c r="T783" s="7"/>
      <c r="U783" s="7"/>
      <c r="V783" s="7"/>
      <c r="W783" s="7"/>
      <c r="X783" s="7"/>
      <c r="Y783" s="7"/>
      <c r="Z783" s="7"/>
      <c r="AA783" s="7"/>
    </row>
    <row r="784">
      <c r="A784" s="54"/>
      <c r="B784" s="54"/>
      <c r="C784" s="7"/>
      <c r="D784" s="7"/>
      <c r="E784" s="7"/>
      <c r="F784" s="54"/>
      <c r="G784" s="54"/>
      <c r="H784" s="54"/>
      <c r="I784" s="54"/>
      <c r="J784" s="54"/>
      <c r="K784" s="54"/>
      <c r="L784" s="54"/>
      <c r="M784" s="54"/>
      <c r="N784" s="54"/>
      <c r="O784" s="54"/>
      <c r="P784" s="7"/>
      <c r="Q784" s="7"/>
      <c r="R784" s="7"/>
      <c r="S784" s="7"/>
      <c r="T784" s="7"/>
      <c r="U784" s="7"/>
      <c r="V784" s="7"/>
      <c r="W784" s="7"/>
      <c r="X784" s="7"/>
      <c r="Y784" s="7"/>
      <c r="Z784" s="7"/>
      <c r="AA784" s="7"/>
    </row>
    <row r="785">
      <c r="A785" s="54"/>
      <c r="B785" s="54"/>
      <c r="C785" s="7"/>
      <c r="D785" s="7"/>
      <c r="E785" s="7"/>
      <c r="F785" s="54"/>
      <c r="G785" s="54"/>
      <c r="H785" s="54"/>
      <c r="I785" s="54"/>
      <c r="J785" s="54"/>
      <c r="K785" s="54"/>
      <c r="L785" s="54"/>
      <c r="M785" s="54"/>
      <c r="N785" s="54"/>
      <c r="O785" s="54"/>
      <c r="P785" s="7"/>
      <c r="Q785" s="7"/>
      <c r="R785" s="7"/>
      <c r="S785" s="7"/>
      <c r="T785" s="7"/>
      <c r="U785" s="7"/>
      <c r="V785" s="7"/>
      <c r="W785" s="7"/>
      <c r="X785" s="7"/>
      <c r="Y785" s="7"/>
      <c r="Z785" s="7"/>
      <c r="AA785" s="7"/>
    </row>
    <row r="786">
      <c r="A786" s="54"/>
      <c r="B786" s="54"/>
      <c r="C786" s="7"/>
      <c r="D786" s="7"/>
      <c r="E786" s="7"/>
      <c r="F786" s="54"/>
      <c r="G786" s="54"/>
      <c r="H786" s="54"/>
      <c r="I786" s="54"/>
      <c r="J786" s="54"/>
      <c r="K786" s="54"/>
      <c r="L786" s="54"/>
      <c r="M786" s="54"/>
      <c r="N786" s="54"/>
      <c r="O786" s="54"/>
      <c r="P786" s="7"/>
      <c r="Q786" s="7"/>
      <c r="R786" s="7"/>
      <c r="S786" s="7"/>
      <c r="T786" s="7"/>
      <c r="U786" s="7"/>
      <c r="V786" s="7"/>
      <c r="W786" s="7"/>
      <c r="X786" s="7"/>
      <c r="Y786" s="7"/>
      <c r="Z786" s="7"/>
      <c r="AA786" s="7"/>
    </row>
    <row r="787">
      <c r="A787" s="54"/>
      <c r="B787" s="54"/>
      <c r="C787" s="7"/>
      <c r="D787" s="7"/>
      <c r="E787" s="7"/>
      <c r="F787" s="54"/>
      <c r="G787" s="54"/>
      <c r="H787" s="54"/>
      <c r="I787" s="54"/>
      <c r="J787" s="54"/>
      <c r="K787" s="54"/>
      <c r="L787" s="54"/>
      <c r="M787" s="54"/>
      <c r="N787" s="54"/>
      <c r="O787" s="54"/>
      <c r="P787" s="7"/>
      <c r="Q787" s="7"/>
      <c r="R787" s="7"/>
      <c r="S787" s="7"/>
      <c r="T787" s="7"/>
      <c r="U787" s="7"/>
      <c r="V787" s="7"/>
      <c r="W787" s="7"/>
      <c r="X787" s="7"/>
      <c r="Y787" s="7"/>
      <c r="Z787" s="7"/>
      <c r="AA787" s="7"/>
    </row>
    <row r="788">
      <c r="A788" s="54"/>
      <c r="B788" s="54"/>
      <c r="C788" s="7"/>
      <c r="D788" s="7"/>
      <c r="E788" s="7"/>
      <c r="F788" s="54"/>
      <c r="G788" s="54"/>
      <c r="H788" s="54"/>
      <c r="I788" s="54"/>
      <c r="J788" s="54"/>
      <c r="K788" s="54"/>
      <c r="L788" s="54"/>
      <c r="M788" s="54"/>
      <c r="N788" s="54"/>
      <c r="O788" s="54"/>
      <c r="P788" s="7"/>
      <c r="Q788" s="7"/>
      <c r="R788" s="7"/>
      <c r="S788" s="7"/>
      <c r="T788" s="7"/>
      <c r="U788" s="7"/>
      <c r="V788" s="7"/>
      <c r="W788" s="7"/>
      <c r="X788" s="7"/>
      <c r="Y788" s="7"/>
      <c r="Z788" s="7"/>
      <c r="AA788" s="7"/>
    </row>
    <row r="789">
      <c r="A789" s="54"/>
      <c r="B789" s="54"/>
      <c r="C789" s="7"/>
      <c r="D789" s="7"/>
      <c r="E789" s="7"/>
      <c r="F789" s="54"/>
      <c r="G789" s="54"/>
      <c r="H789" s="54"/>
      <c r="I789" s="54"/>
      <c r="J789" s="54"/>
      <c r="K789" s="54"/>
      <c r="L789" s="54"/>
      <c r="M789" s="54"/>
      <c r="N789" s="54"/>
      <c r="O789" s="54"/>
      <c r="P789" s="7"/>
      <c r="Q789" s="7"/>
      <c r="R789" s="7"/>
      <c r="S789" s="7"/>
      <c r="T789" s="7"/>
      <c r="U789" s="7"/>
      <c r="V789" s="7"/>
      <c r="W789" s="7"/>
      <c r="X789" s="7"/>
      <c r="Y789" s="7"/>
      <c r="Z789" s="7"/>
      <c r="AA789" s="7"/>
    </row>
    <row r="790">
      <c r="A790" s="54"/>
      <c r="B790" s="54"/>
      <c r="C790" s="7"/>
      <c r="D790" s="7"/>
      <c r="E790" s="7"/>
      <c r="F790" s="54"/>
      <c r="G790" s="54"/>
      <c r="H790" s="54"/>
      <c r="I790" s="54"/>
      <c r="J790" s="54"/>
      <c r="K790" s="54"/>
      <c r="L790" s="54"/>
      <c r="M790" s="54"/>
      <c r="N790" s="54"/>
      <c r="O790" s="54"/>
      <c r="P790" s="7"/>
      <c r="Q790" s="7"/>
      <c r="R790" s="7"/>
      <c r="S790" s="7"/>
      <c r="T790" s="7"/>
      <c r="U790" s="7"/>
      <c r="V790" s="7"/>
      <c r="W790" s="7"/>
      <c r="X790" s="7"/>
      <c r="Y790" s="7"/>
      <c r="Z790" s="7"/>
      <c r="AA790" s="7"/>
    </row>
    <row r="791">
      <c r="A791" s="54"/>
      <c r="B791" s="54"/>
      <c r="C791" s="7"/>
      <c r="D791" s="7"/>
      <c r="E791" s="7"/>
      <c r="F791" s="54"/>
      <c r="G791" s="54"/>
      <c r="H791" s="54"/>
      <c r="I791" s="54"/>
      <c r="J791" s="54"/>
      <c r="K791" s="54"/>
      <c r="L791" s="54"/>
      <c r="M791" s="54"/>
      <c r="N791" s="54"/>
      <c r="O791" s="54"/>
      <c r="P791" s="7"/>
      <c r="Q791" s="7"/>
      <c r="R791" s="7"/>
      <c r="S791" s="7"/>
      <c r="T791" s="7"/>
      <c r="U791" s="7"/>
      <c r="V791" s="7"/>
      <c r="W791" s="7"/>
      <c r="X791" s="7"/>
      <c r="Y791" s="7"/>
      <c r="Z791" s="7"/>
      <c r="AA791" s="7"/>
    </row>
    <row r="792">
      <c r="A792" s="54"/>
      <c r="B792" s="54"/>
      <c r="C792" s="7"/>
      <c r="D792" s="7"/>
      <c r="E792" s="7"/>
      <c r="F792" s="54"/>
      <c r="G792" s="54"/>
      <c r="H792" s="54"/>
      <c r="I792" s="54"/>
      <c r="J792" s="54"/>
      <c r="K792" s="54"/>
      <c r="L792" s="54"/>
      <c r="M792" s="54"/>
      <c r="N792" s="54"/>
      <c r="O792" s="54"/>
      <c r="P792" s="7"/>
      <c r="Q792" s="7"/>
      <c r="R792" s="7"/>
      <c r="S792" s="7"/>
      <c r="T792" s="7"/>
      <c r="U792" s="7"/>
      <c r="V792" s="7"/>
      <c r="W792" s="7"/>
      <c r="X792" s="7"/>
      <c r="Y792" s="7"/>
      <c r="Z792" s="7"/>
      <c r="AA792" s="7"/>
    </row>
    <row r="793">
      <c r="A793" s="54"/>
      <c r="B793" s="54"/>
      <c r="C793" s="7"/>
      <c r="D793" s="7"/>
      <c r="E793" s="7"/>
      <c r="F793" s="54"/>
      <c r="G793" s="54"/>
      <c r="H793" s="54"/>
      <c r="I793" s="54"/>
      <c r="J793" s="54"/>
      <c r="K793" s="54"/>
      <c r="L793" s="54"/>
      <c r="M793" s="54"/>
      <c r="N793" s="54"/>
      <c r="O793" s="54"/>
      <c r="P793" s="7"/>
      <c r="Q793" s="7"/>
      <c r="R793" s="7"/>
      <c r="S793" s="7"/>
      <c r="T793" s="7"/>
      <c r="U793" s="7"/>
      <c r="V793" s="7"/>
      <c r="W793" s="7"/>
      <c r="X793" s="7"/>
      <c r="Y793" s="7"/>
      <c r="Z793" s="7"/>
      <c r="AA793" s="7"/>
    </row>
    <row r="794">
      <c r="A794" s="54"/>
      <c r="B794" s="54"/>
      <c r="C794" s="7"/>
      <c r="D794" s="7"/>
      <c r="E794" s="7"/>
      <c r="F794" s="54"/>
      <c r="G794" s="54"/>
      <c r="H794" s="54"/>
      <c r="I794" s="54"/>
      <c r="J794" s="54"/>
      <c r="K794" s="54"/>
      <c r="L794" s="54"/>
      <c r="M794" s="54"/>
      <c r="N794" s="54"/>
      <c r="O794" s="54"/>
      <c r="P794" s="7"/>
      <c r="Q794" s="7"/>
      <c r="R794" s="7"/>
      <c r="S794" s="7"/>
      <c r="T794" s="7"/>
      <c r="U794" s="7"/>
      <c r="V794" s="7"/>
      <c r="W794" s="7"/>
      <c r="X794" s="7"/>
      <c r="Y794" s="7"/>
      <c r="Z794" s="7"/>
      <c r="AA794" s="7"/>
    </row>
    <row r="795">
      <c r="A795" s="54"/>
      <c r="B795" s="54"/>
      <c r="C795" s="7"/>
      <c r="D795" s="7"/>
      <c r="E795" s="7"/>
      <c r="F795" s="54"/>
      <c r="G795" s="54"/>
      <c r="H795" s="54"/>
      <c r="I795" s="54"/>
      <c r="J795" s="54"/>
      <c r="K795" s="54"/>
      <c r="L795" s="54"/>
      <c r="M795" s="54"/>
      <c r="N795" s="54"/>
      <c r="O795" s="54"/>
      <c r="P795" s="7"/>
      <c r="Q795" s="7"/>
      <c r="R795" s="7"/>
      <c r="S795" s="7"/>
      <c r="T795" s="7"/>
      <c r="U795" s="7"/>
      <c r="V795" s="7"/>
      <c r="W795" s="7"/>
      <c r="X795" s="7"/>
      <c r="Y795" s="7"/>
      <c r="Z795" s="7"/>
      <c r="AA795" s="7"/>
    </row>
    <row r="796">
      <c r="A796" s="54"/>
      <c r="B796" s="54"/>
      <c r="C796" s="7"/>
      <c r="D796" s="7"/>
      <c r="E796" s="7"/>
      <c r="F796" s="54"/>
      <c r="G796" s="54"/>
      <c r="H796" s="54"/>
      <c r="I796" s="54"/>
      <c r="J796" s="54"/>
      <c r="K796" s="54"/>
      <c r="L796" s="54"/>
      <c r="M796" s="54"/>
      <c r="N796" s="54"/>
      <c r="O796" s="54"/>
      <c r="P796" s="7"/>
      <c r="Q796" s="7"/>
      <c r="R796" s="7"/>
      <c r="S796" s="7"/>
      <c r="T796" s="7"/>
      <c r="U796" s="7"/>
      <c r="V796" s="7"/>
      <c r="W796" s="7"/>
      <c r="X796" s="7"/>
      <c r="Y796" s="7"/>
      <c r="Z796" s="7"/>
      <c r="AA796" s="7"/>
    </row>
    <row r="797">
      <c r="A797" s="54"/>
      <c r="B797" s="54"/>
      <c r="C797" s="7"/>
      <c r="D797" s="7"/>
      <c r="E797" s="7"/>
      <c r="F797" s="54"/>
      <c r="G797" s="54"/>
      <c r="H797" s="54"/>
      <c r="I797" s="54"/>
      <c r="J797" s="54"/>
      <c r="K797" s="54"/>
      <c r="L797" s="54"/>
      <c r="M797" s="54"/>
      <c r="N797" s="54"/>
      <c r="O797" s="54"/>
      <c r="P797" s="7"/>
      <c r="Q797" s="7"/>
      <c r="R797" s="7"/>
      <c r="S797" s="7"/>
      <c r="T797" s="7"/>
      <c r="U797" s="7"/>
      <c r="V797" s="7"/>
      <c r="W797" s="7"/>
      <c r="X797" s="7"/>
      <c r="Y797" s="7"/>
      <c r="Z797" s="7"/>
      <c r="AA797" s="7"/>
    </row>
    <row r="798">
      <c r="A798" s="54"/>
      <c r="B798" s="54"/>
      <c r="C798" s="7"/>
      <c r="D798" s="7"/>
      <c r="E798" s="7"/>
      <c r="F798" s="54"/>
      <c r="G798" s="54"/>
      <c r="H798" s="54"/>
      <c r="I798" s="54"/>
      <c r="J798" s="54"/>
      <c r="K798" s="54"/>
      <c r="L798" s="54"/>
      <c r="M798" s="54"/>
      <c r="N798" s="54"/>
      <c r="O798" s="54"/>
      <c r="P798" s="7"/>
      <c r="Q798" s="7"/>
      <c r="R798" s="7"/>
      <c r="S798" s="7"/>
      <c r="T798" s="7"/>
      <c r="U798" s="7"/>
      <c r="V798" s="7"/>
      <c r="W798" s="7"/>
      <c r="X798" s="7"/>
      <c r="Y798" s="7"/>
      <c r="Z798" s="7"/>
      <c r="AA798" s="7"/>
    </row>
    <row r="799">
      <c r="A799" s="54"/>
      <c r="B799" s="54"/>
      <c r="C799" s="7"/>
      <c r="D799" s="7"/>
      <c r="E799" s="7"/>
      <c r="F799" s="54"/>
      <c r="G799" s="54"/>
      <c r="H799" s="54"/>
      <c r="I799" s="54"/>
      <c r="J799" s="54"/>
      <c r="K799" s="54"/>
      <c r="L799" s="54"/>
      <c r="M799" s="54"/>
      <c r="N799" s="54"/>
      <c r="O799" s="54"/>
      <c r="P799" s="7"/>
      <c r="Q799" s="7"/>
      <c r="R799" s="7"/>
      <c r="S799" s="7"/>
      <c r="T799" s="7"/>
      <c r="U799" s="7"/>
      <c r="V799" s="7"/>
      <c r="W799" s="7"/>
      <c r="X799" s="7"/>
      <c r="Y799" s="7"/>
      <c r="Z799" s="7"/>
      <c r="AA799" s="7"/>
    </row>
    <row r="800">
      <c r="A800" s="54"/>
      <c r="B800" s="54"/>
      <c r="C800" s="7"/>
      <c r="D800" s="7"/>
      <c r="E800" s="7"/>
      <c r="F800" s="54"/>
      <c r="G800" s="54"/>
      <c r="H800" s="54"/>
      <c r="I800" s="54"/>
      <c r="J800" s="54"/>
      <c r="K800" s="54"/>
      <c r="L800" s="54"/>
      <c r="M800" s="54"/>
      <c r="N800" s="54"/>
      <c r="O800" s="54"/>
      <c r="P800" s="7"/>
      <c r="Q800" s="7"/>
      <c r="R800" s="7"/>
      <c r="S800" s="7"/>
      <c r="T800" s="7"/>
      <c r="U800" s="7"/>
      <c r="V800" s="7"/>
      <c r="W800" s="7"/>
      <c r="X800" s="7"/>
      <c r="Y800" s="7"/>
      <c r="Z800" s="7"/>
      <c r="AA800" s="7"/>
    </row>
    <row r="801">
      <c r="A801" s="54"/>
      <c r="B801" s="54"/>
      <c r="C801" s="7"/>
      <c r="D801" s="7"/>
      <c r="E801" s="7"/>
      <c r="F801" s="54"/>
      <c r="G801" s="54"/>
      <c r="H801" s="54"/>
      <c r="I801" s="54"/>
      <c r="J801" s="54"/>
      <c r="K801" s="54"/>
      <c r="L801" s="54"/>
      <c r="M801" s="54"/>
      <c r="N801" s="54"/>
      <c r="O801" s="54"/>
      <c r="P801" s="7"/>
      <c r="Q801" s="7"/>
      <c r="R801" s="7"/>
      <c r="S801" s="7"/>
      <c r="T801" s="7"/>
      <c r="U801" s="7"/>
      <c r="V801" s="7"/>
      <c r="W801" s="7"/>
      <c r="X801" s="7"/>
      <c r="Y801" s="7"/>
      <c r="Z801" s="7"/>
      <c r="AA801" s="7"/>
    </row>
    <row r="802">
      <c r="A802" s="54"/>
      <c r="B802" s="54"/>
      <c r="C802" s="7"/>
      <c r="D802" s="7"/>
      <c r="E802" s="7"/>
      <c r="F802" s="54"/>
      <c r="G802" s="54"/>
      <c r="H802" s="54"/>
      <c r="I802" s="54"/>
      <c r="J802" s="54"/>
      <c r="K802" s="54"/>
      <c r="L802" s="54"/>
      <c r="M802" s="54"/>
      <c r="N802" s="54"/>
      <c r="O802" s="54"/>
      <c r="P802" s="7"/>
      <c r="Q802" s="7"/>
      <c r="R802" s="7"/>
      <c r="S802" s="7"/>
      <c r="T802" s="7"/>
      <c r="U802" s="7"/>
      <c r="V802" s="7"/>
      <c r="W802" s="7"/>
      <c r="X802" s="7"/>
      <c r="Y802" s="7"/>
      <c r="Z802" s="7"/>
      <c r="AA802" s="7"/>
    </row>
    <row r="803">
      <c r="A803" s="54"/>
      <c r="B803" s="54"/>
      <c r="C803" s="7"/>
      <c r="D803" s="7"/>
      <c r="E803" s="7"/>
      <c r="F803" s="54"/>
      <c r="G803" s="54"/>
      <c r="H803" s="54"/>
      <c r="I803" s="54"/>
      <c r="J803" s="54"/>
      <c r="K803" s="54"/>
      <c r="L803" s="54"/>
      <c r="M803" s="54"/>
      <c r="N803" s="54"/>
      <c r="O803" s="54"/>
      <c r="P803" s="7"/>
      <c r="Q803" s="7"/>
      <c r="R803" s="7"/>
      <c r="S803" s="7"/>
      <c r="T803" s="7"/>
      <c r="U803" s="7"/>
      <c r="V803" s="7"/>
      <c r="W803" s="7"/>
      <c r="X803" s="7"/>
      <c r="Y803" s="7"/>
      <c r="Z803" s="7"/>
      <c r="AA803" s="7"/>
    </row>
    <row r="804">
      <c r="A804" s="54"/>
      <c r="B804" s="54"/>
      <c r="C804" s="7"/>
      <c r="D804" s="7"/>
      <c r="E804" s="7"/>
      <c r="F804" s="54"/>
      <c r="G804" s="54"/>
      <c r="H804" s="54"/>
      <c r="I804" s="54"/>
      <c r="J804" s="54"/>
      <c r="K804" s="54"/>
      <c r="L804" s="54"/>
      <c r="M804" s="54"/>
      <c r="N804" s="54"/>
      <c r="O804" s="54"/>
      <c r="P804" s="7"/>
      <c r="Q804" s="7"/>
      <c r="R804" s="7"/>
      <c r="S804" s="7"/>
      <c r="T804" s="7"/>
      <c r="U804" s="7"/>
      <c r="V804" s="7"/>
      <c r="W804" s="7"/>
      <c r="X804" s="7"/>
      <c r="Y804" s="7"/>
      <c r="Z804" s="7"/>
      <c r="AA804" s="7"/>
    </row>
    <row r="805">
      <c r="A805" s="54"/>
      <c r="B805" s="54"/>
      <c r="C805" s="7"/>
      <c r="D805" s="7"/>
      <c r="E805" s="7"/>
      <c r="F805" s="54"/>
      <c r="G805" s="54"/>
      <c r="H805" s="54"/>
      <c r="I805" s="54"/>
      <c r="J805" s="54"/>
      <c r="K805" s="54"/>
      <c r="L805" s="54"/>
      <c r="M805" s="54"/>
      <c r="N805" s="54"/>
      <c r="O805" s="54"/>
      <c r="P805" s="7"/>
      <c r="Q805" s="7"/>
      <c r="R805" s="7"/>
      <c r="S805" s="7"/>
      <c r="T805" s="7"/>
      <c r="U805" s="7"/>
      <c r="V805" s="7"/>
      <c r="W805" s="7"/>
      <c r="X805" s="7"/>
      <c r="Y805" s="7"/>
      <c r="Z805" s="7"/>
      <c r="AA805" s="7"/>
    </row>
    <row r="806">
      <c r="A806" s="54"/>
      <c r="B806" s="54"/>
      <c r="C806" s="7"/>
      <c r="D806" s="7"/>
      <c r="E806" s="7"/>
      <c r="F806" s="54"/>
      <c r="G806" s="54"/>
      <c r="H806" s="54"/>
      <c r="I806" s="54"/>
      <c r="J806" s="54"/>
      <c r="K806" s="54"/>
      <c r="L806" s="54"/>
      <c r="M806" s="54"/>
      <c r="N806" s="54"/>
      <c r="O806" s="54"/>
      <c r="P806" s="7"/>
      <c r="Q806" s="7"/>
      <c r="R806" s="7"/>
      <c r="S806" s="7"/>
      <c r="T806" s="7"/>
      <c r="U806" s="7"/>
      <c r="V806" s="7"/>
      <c r="W806" s="7"/>
      <c r="X806" s="7"/>
      <c r="Y806" s="7"/>
      <c r="Z806" s="7"/>
      <c r="AA806" s="7"/>
    </row>
    <row r="807">
      <c r="A807" s="54"/>
      <c r="B807" s="54"/>
      <c r="C807" s="7"/>
      <c r="D807" s="7"/>
      <c r="E807" s="7"/>
      <c r="F807" s="54"/>
      <c r="G807" s="54"/>
      <c r="H807" s="54"/>
      <c r="I807" s="54"/>
      <c r="J807" s="54"/>
      <c r="K807" s="54"/>
      <c r="L807" s="54"/>
      <c r="M807" s="54"/>
      <c r="N807" s="54"/>
      <c r="O807" s="54"/>
      <c r="P807" s="7"/>
      <c r="Q807" s="7"/>
      <c r="R807" s="7"/>
      <c r="S807" s="7"/>
      <c r="T807" s="7"/>
      <c r="U807" s="7"/>
      <c r="V807" s="7"/>
      <c r="W807" s="7"/>
      <c r="X807" s="7"/>
      <c r="Y807" s="7"/>
      <c r="Z807" s="7"/>
      <c r="AA807" s="7"/>
    </row>
    <row r="808">
      <c r="A808" s="54"/>
      <c r="B808" s="54"/>
      <c r="C808" s="7"/>
      <c r="D808" s="7"/>
      <c r="E808" s="7"/>
      <c r="F808" s="54"/>
      <c r="G808" s="54"/>
      <c r="H808" s="54"/>
      <c r="I808" s="54"/>
      <c r="J808" s="54"/>
      <c r="K808" s="54"/>
      <c r="L808" s="54"/>
      <c r="M808" s="54"/>
      <c r="N808" s="54"/>
      <c r="O808" s="54"/>
      <c r="P808" s="7"/>
      <c r="Q808" s="7"/>
      <c r="R808" s="7"/>
      <c r="S808" s="7"/>
      <c r="T808" s="7"/>
      <c r="U808" s="7"/>
      <c r="V808" s="7"/>
      <c r="W808" s="7"/>
      <c r="X808" s="7"/>
      <c r="Y808" s="7"/>
      <c r="Z808" s="7"/>
      <c r="AA808" s="7"/>
    </row>
    <row r="809">
      <c r="A809" s="54"/>
      <c r="B809" s="54"/>
      <c r="C809" s="7"/>
      <c r="D809" s="7"/>
      <c r="E809" s="7"/>
      <c r="F809" s="54"/>
      <c r="G809" s="54"/>
      <c r="H809" s="54"/>
      <c r="I809" s="54"/>
      <c r="J809" s="54"/>
      <c r="K809" s="54"/>
      <c r="L809" s="54"/>
      <c r="M809" s="54"/>
      <c r="N809" s="54"/>
      <c r="O809" s="54"/>
      <c r="P809" s="7"/>
      <c r="Q809" s="7"/>
      <c r="R809" s="7"/>
      <c r="S809" s="7"/>
      <c r="T809" s="7"/>
      <c r="U809" s="7"/>
      <c r="V809" s="7"/>
      <c r="W809" s="7"/>
      <c r="X809" s="7"/>
      <c r="Y809" s="7"/>
      <c r="Z809" s="7"/>
      <c r="AA809" s="7"/>
    </row>
    <row r="810">
      <c r="A810" s="54"/>
      <c r="B810" s="54"/>
      <c r="C810" s="7"/>
      <c r="D810" s="7"/>
      <c r="E810" s="7"/>
      <c r="F810" s="54"/>
      <c r="G810" s="54"/>
      <c r="H810" s="54"/>
      <c r="I810" s="54"/>
      <c r="J810" s="54"/>
      <c r="K810" s="54"/>
      <c r="L810" s="54"/>
      <c r="M810" s="54"/>
      <c r="N810" s="54"/>
      <c r="O810" s="54"/>
      <c r="P810" s="7"/>
      <c r="Q810" s="7"/>
      <c r="R810" s="7"/>
      <c r="S810" s="7"/>
      <c r="T810" s="7"/>
      <c r="U810" s="7"/>
      <c r="V810" s="7"/>
      <c r="W810" s="7"/>
      <c r="X810" s="7"/>
      <c r="Y810" s="7"/>
      <c r="Z810" s="7"/>
      <c r="AA810" s="7"/>
    </row>
    <row r="811">
      <c r="A811" s="54"/>
      <c r="B811" s="54"/>
      <c r="C811" s="7"/>
      <c r="D811" s="7"/>
      <c r="E811" s="7"/>
      <c r="F811" s="54"/>
      <c r="G811" s="54"/>
      <c r="H811" s="54"/>
      <c r="I811" s="54"/>
      <c r="J811" s="54"/>
      <c r="K811" s="54"/>
      <c r="L811" s="54"/>
      <c r="M811" s="54"/>
      <c r="N811" s="54"/>
      <c r="O811" s="54"/>
      <c r="P811" s="7"/>
      <c r="Q811" s="7"/>
      <c r="R811" s="7"/>
      <c r="S811" s="7"/>
      <c r="T811" s="7"/>
      <c r="U811" s="7"/>
      <c r="V811" s="7"/>
      <c r="W811" s="7"/>
      <c r="X811" s="7"/>
      <c r="Y811" s="7"/>
      <c r="Z811" s="7"/>
      <c r="AA811" s="7"/>
    </row>
    <row r="812">
      <c r="A812" s="54"/>
      <c r="B812" s="54"/>
      <c r="C812" s="7"/>
      <c r="D812" s="7"/>
      <c r="E812" s="7"/>
      <c r="F812" s="54"/>
      <c r="G812" s="54"/>
      <c r="H812" s="54"/>
      <c r="I812" s="54"/>
      <c r="J812" s="54"/>
      <c r="K812" s="54"/>
      <c r="L812" s="54"/>
      <c r="M812" s="54"/>
      <c r="N812" s="54"/>
      <c r="O812" s="54"/>
      <c r="P812" s="7"/>
      <c r="Q812" s="7"/>
      <c r="R812" s="7"/>
      <c r="S812" s="7"/>
      <c r="T812" s="7"/>
      <c r="U812" s="7"/>
      <c r="V812" s="7"/>
      <c r="W812" s="7"/>
      <c r="X812" s="7"/>
      <c r="Y812" s="7"/>
      <c r="Z812" s="7"/>
      <c r="AA812" s="7"/>
    </row>
    <row r="813">
      <c r="A813" s="54"/>
      <c r="B813" s="54"/>
      <c r="C813" s="7"/>
      <c r="D813" s="7"/>
      <c r="E813" s="7"/>
      <c r="F813" s="54"/>
      <c r="G813" s="54"/>
      <c r="H813" s="54"/>
      <c r="I813" s="54"/>
      <c r="J813" s="54"/>
      <c r="K813" s="54"/>
      <c r="L813" s="54"/>
      <c r="M813" s="54"/>
      <c r="N813" s="54"/>
      <c r="O813" s="54"/>
      <c r="P813" s="7"/>
      <c r="Q813" s="7"/>
      <c r="R813" s="7"/>
      <c r="S813" s="7"/>
      <c r="T813" s="7"/>
      <c r="U813" s="7"/>
      <c r="V813" s="7"/>
      <c r="W813" s="7"/>
      <c r="X813" s="7"/>
      <c r="Y813" s="7"/>
      <c r="Z813" s="7"/>
      <c r="AA813" s="7"/>
    </row>
    <row r="814">
      <c r="A814" s="54"/>
      <c r="B814" s="54"/>
      <c r="C814" s="7"/>
      <c r="D814" s="7"/>
      <c r="E814" s="7"/>
      <c r="F814" s="54"/>
      <c r="G814" s="54"/>
      <c r="H814" s="54"/>
      <c r="I814" s="54"/>
      <c r="J814" s="54"/>
      <c r="K814" s="54"/>
      <c r="L814" s="54"/>
      <c r="M814" s="54"/>
      <c r="N814" s="54"/>
      <c r="O814" s="54"/>
      <c r="P814" s="7"/>
      <c r="Q814" s="7"/>
      <c r="R814" s="7"/>
      <c r="S814" s="7"/>
      <c r="T814" s="7"/>
      <c r="U814" s="7"/>
      <c r="V814" s="7"/>
      <c r="W814" s="7"/>
      <c r="X814" s="7"/>
      <c r="Y814" s="7"/>
      <c r="Z814" s="7"/>
      <c r="AA814" s="7"/>
    </row>
    <row r="815">
      <c r="A815" s="54"/>
      <c r="B815" s="54"/>
      <c r="C815" s="7"/>
      <c r="D815" s="7"/>
      <c r="E815" s="7"/>
      <c r="F815" s="54"/>
      <c r="G815" s="54"/>
      <c r="H815" s="54"/>
      <c r="I815" s="54"/>
      <c r="J815" s="54"/>
      <c r="K815" s="54"/>
      <c r="L815" s="54"/>
      <c r="M815" s="54"/>
      <c r="N815" s="54"/>
      <c r="O815" s="54"/>
      <c r="P815" s="7"/>
      <c r="Q815" s="7"/>
      <c r="R815" s="7"/>
      <c r="S815" s="7"/>
      <c r="T815" s="7"/>
      <c r="U815" s="7"/>
      <c r="V815" s="7"/>
      <c r="W815" s="7"/>
      <c r="X815" s="7"/>
      <c r="Y815" s="7"/>
      <c r="Z815" s="7"/>
      <c r="AA815" s="7"/>
    </row>
    <row r="816">
      <c r="A816" s="54"/>
      <c r="B816" s="54"/>
      <c r="C816" s="7"/>
      <c r="D816" s="7"/>
      <c r="E816" s="7"/>
      <c r="F816" s="54"/>
      <c r="G816" s="54"/>
      <c r="H816" s="54"/>
      <c r="I816" s="54"/>
      <c r="J816" s="54"/>
      <c r="K816" s="54"/>
      <c r="L816" s="54"/>
      <c r="M816" s="54"/>
      <c r="N816" s="54"/>
      <c r="O816" s="54"/>
      <c r="P816" s="7"/>
      <c r="Q816" s="7"/>
      <c r="R816" s="7"/>
      <c r="S816" s="7"/>
      <c r="T816" s="7"/>
      <c r="U816" s="7"/>
      <c r="V816" s="7"/>
      <c r="W816" s="7"/>
      <c r="X816" s="7"/>
      <c r="Y816" s="7"/>
      <c r="Z816" s="7"/>
      <c r="AA816" s="7"/>
    </row>
    <row r="817">
      <c r="A817" s="54"/>
      <c r="B817" s="54"/>
      <c r="C817" s="7"/>
      <c r="D817" s="7"/>
      <c r="E817" s="7"/>
      <c r="F817" s="54"/>
      <c r="G817" s="54"/>
      <c r="H817" s="54"/>
      <c r="I817" s="54"/>
      <c r="J817" s="54"/>
      <c r="K817" s="54"/>
      <c r="L817" s="54"/>
      <c r="M817" s="54"/>
      <c r="N817" s="54"/>
      <c r="O817" s="54"/>
      <c r="P817" s="7"/>
      <c r="Q817" s="7"/>
      <c r="R817" s="7"/>
      <c r="S817" s="7"/>
      <c r="T817" s="7"/>
      <c r="U817" s="7"/>
      <c r="V817" s="7"/>
      <c r="W817" s="7"/>
      <c r="X817" s="7"/>
      <c r="Y817" s="7"/>
      <c r="Z817" s="7"/>
      <c r="AA817" s="7"/>
    </row>
    <row r="818">
      <c r="A818" s="54"/>
      <c r="B818" s="54"/>
      <c r="C818" s="7"/>
      <c r="D818" s="7"/>
      <c r="E818" s="7"/>
      <c r="F818" s="54"/>
      <c r="G818" s="54"/>
      <c r="H818" s="54"/>
      <c r="I818" s="54"/>
      <c r="J818" s="54"/>
      <c r="K818" s="54"/>
      <c r="L818" s="54"/>
      <c r="M818" s="54"/>
      <c r="N818" s="54"/>
      <c r="O818" s="54"/>
      <c r="P818" s="7"/>
      <c r="Q818" s="7"/>
      <c r="R818" s="7"/>
      <c r="S818" s="7"/>
      <c r="T818" s="7"/>
      <c r="U818" s="7"/>
      <c r="V818" s="7"/>
      <c r="W818" s="7"/>
      <c r="X818" s="7"/>
      <c r="Y818" s="7"/>
      <c r="Z818" s="7"/>
      <c r="AA818" s="7"/>
    </row>
    <row r="819">
      <c r="A819" s="54"/>
      <c r="B819" s="54"/>
      <c r="C819" s="7"/>
      <c r="D819" s="7"/>
      <c r="E819" s="7"/>
      <c r="F819" s="54"/>
      <c r="G819" s="54"/>
      <c r="H819" s="54"/>
      <c r="I819" s="54"/>
      <c r="J819" s="54"/>
      <c r="K819" s="54"/>
      <c r="L819" s="54"/>
      <c r="M819" s="54"/>
      <c r="N819" s="54"/>
      <c r="O819" s="54"/>
      <c r="P819" s="7"/>
      <c r="Q819" s="7"/>
      <c r="R819" s="7"/>
      <c r="S819" s="7"/>
      <c r="T819" s="7"/>
      <c r="U819" s="7"/>
      <c r="V819" s="7"/>
      <c r="W819" s="7"/>
      <c r="X819" s="7"/>
      <c r="Y819" s="7"/>
      <c r="Z819" s="7"/>
      <c r="AA819" s="7"/>
    </row>
    <row r="820">
      <c r="A820" s="54"/>
      <c r="B820" s="54"/>
      <c r="C820" s="7"/>
      <c r="D820" s="7"/>
      <c r="E820" s="7"/>
      <c r="F820" s="54"/>
      <c r="G820" s="54"/>
      <c r="H820" s="54"/>
      <c r="I820" s="54"/>
      <c r="J820" s="54"/>
      <c r="K820" s="54"/>
      <c r="L820" s="54"/>
      <c r="M820" s="54"/>
      <c r="N820" s="54"/>
      <c r="O820" s="54"/>
      <c r="P820" s="7"/>
      <c r="Q820" s="7"/>
      <c r="R820" s="7"/>
      <c r="S820" s="7"/>
      <c r="T820" s="7"/>
      <c r="U820" s="7"/>
      <c r="V820" s="7"/>
      <c r="W820" s="7"/>
      <c r="X820" s="7"/>
      <c r="Y820" s="7"/>
      <c r="Z820" s="7"/>
      <c r="AA820" s="7"/>
    </row>
    <row r="821">
      <c r="A821" s="54"/>
      <c r="B821" s="54"/>
      <c r="C821" s="7"/>
      <c r="D821" s="7"/>
      <c r="E821" s="7"/>
      <c r="F821" s="54"/>
      <c r="G821" s="54"/>
      <c r="H821" s="54"/>
      <c r="I821" s="54"/>
      <c r="J821" s="54"/>
      <c r="K821" s="54"/>
      <c r="L821" s="54"/>
      <c r="M821" s="54"/>
      <c r="N821" s="54"/>
      <c r="O821" s="54"/>
      <c r="P821" s="7"/>
      <c r="Q821" s="7"/>
      <c r="R821" s="7"/>
      <c r="S821" s="7"/>
      <c r="T821" s="7"/>
      <c r="U821" s="7"/>
      <c r="V821" s="7"/>
      <c r="W821" s="7"/>
      <c r="X821" s="7"/>
      <c r="Y821" s="7"/>
      <c r="Z821" s="7"/>
      <c r="AA821" s="7"/>
    </row>
    <row r="822">
      <c r="A822" s="54"/>
      <c r="B822" s="54"/>
      <c r="C822" s="7"/>
      <c r="D822" s="7"/>
      <c r="E822" s="7"/>
      <c r="F822" s="54"/>
      <c r="G822" s="54"/>
      <c r="H822" s="54"/>
      <c r="I822" s="54"/>
      <c r="J822" s="54"/>
      <c r="K822" s="54"/>
      <c r="L822" s="54"/>
      <c r="M822" s="54"/>
      <c r="N822" s="54"/>
      <c r="O822" s="54"/>
      <c r="P822" s="7"/>
      <c r="Q822" s="7"/>
      <c r="R822" s="7"/>
      <c r="S822" s="7"/>
      <c r="T822" s="7"/>
      <c r="U822" s="7"/>
      <c r="V822" s="7"/>
      <c r="W822" s="7"/>
      <c r="X822" s="7"/>
      <c r="Y822" s="7"/>
      <c r="Z822" s="7"/>
      <c r="AA822" s="7"/>
    </row>
    <row r="823">
      <c r="A823" s="54"/>
      <c r="B823" s="54"/>
      <c r="C823" s="7"/>
      <c r="D823" s="7"/>
      <c r="E823" s="7"/>
      <c r="F823" s="54"/>
      <c r="G823" s="54"/>
      <c r="H823" s="54"/>
      <c r="I823" s="54"/>
      <c r="J823" s="54"/>
      <c r="K823" s="54"/>
      <c r="L823" s="54"/>
      <c r="M823" s="54"/>
      <c r="N823" s="54"/>
      <c r="O823" s="54"/>
      <c r="P823" s="7"/>
      <c r="Q823" s="7"/>
      <c r="R823" s="7"/>
      <c r="S823" s="7"/>
      <c r="T823" s="7"/>
      <c r="U823" s="7"/>
      <c r="V823" s="7"/>
      <c r="W823" s="7"/>
      <c r="X823" s="7"/>
      <c r="Y823" s="7"/>
      <c r="Z823" s="7"/>
      <c r="AA823" s="7"/>
    </row>
    <row r="824">
      <c r="A824" s="54"/>
      <c r="B824" s="54"/>
      <c r="C824" s="7"/>
      <c r="D824" s="7"/>
      <c r="E824" s="7"/>
      <c r="F824" s="54"/>
      <c r="G824" s="54"/>
      <c r="H824" s="54"/>
      <c r="I824" s="54"/>
      <c r="J824" s="54"/>
      <c r="K824" s="54"/>
      <c r="L824" s="54"/>
      <c r="M824" s="54"/>
      <c r="N824" s="54"/>
      <c r="O824" s="54"/>
      <c r="P824" s="7"/>
      <c r="Q824" s="7"/>
      <c r="R824" s="7"/>
      <c r="S824" s="7"/>
      <c r="T824" s="7"/>
      <c r="U824" s="7"/>
      <c r="V824" s="7"/>
      <c r="W824" s="7"/>
      <c r="X824" s="7"/>
      <c r="Y824" s="7"/>
      <c r="Z824" s="7"/>
      <c r="AA824" s="7"/>
    </row>
    <row r="825">
      <c r="A825" s="54"/>
      <c r="B825" s="54"/>
      <c r="C825" s="7"/>
      <c r="D825" s="7"/>
      <c r="E825" s="7"/>
      <c r="F825" s="54"/>
      <c r="G825" s="54"/>
      <c r="H825" s="54"/>
      <c r="I825" s="54"/>
      <c r="J825" s="54"/>
      <c r="K825" s="54"/>
      <c r="L825" s="54"/>
      <c r="M825" s="54"/>
      <c r="N825" s="54"/>
      <c r="O825" s="54"/>
      <c r="P825" s="7"/>
      <c r="Q825" s="7"/>
      <c r="R825" s="7"/>
      <c r="S825" s="7"/>
      <c r="T825" s="7"/>
      <c r="U825" s="7"/>
      <c r="V825" s="7"/>
      <c r="W825" s="7"/>
      <c r="X825" s="7"/>
      <c r="Y825" s="7"/>
      <c r="Z825" s="7"/>
      <c r="AA825" s="7"/>
    </row>
    <row r="826">
      <c r="A826" s="54"/>
      <c r="B826" s="54"/>
      <c r="C826" s="7"/>
      <c r="D826" s="7"/>
      <c r="E826" s="7"/>
      <c r="F826" s="54"/>
      <c r="G826" s="54"/>
      <c r="H826" s="54"/>
      <c r="I826" s="54"/>
      <c r="J826" s="54"/>
      <c r="K826" s="54"/>
      <c r="L826" s="54"/>
      <c r="M826" s="54"/>
      <c r="N826" s="54"/>
      <c r="O826" s="54"/>
      <c r="P826" s="7"/>
      <c r="Q826" s="7"/>
      <c r="R826" s="7"/>
      <c r="S826" s="7"/>
      <c r="T826" s="7"/>
      <c r="U826" s="7"/>
      <c r="V826" s="7"/>
      <c r="W826" s="7"/>
      <c r="X826" s="7"/>
      <c r="Y826" s="7"/>
      <c r="Z826" s="7"/>
      <c r="AA826" s="7"/>
    </row>
    <row r="827">
      <c r="A827" s="54"/>
      <c r="B827" s="54"/>
      <c r="C827" s="7"/>
      <c r="D827" s="7"/>
      <c r="E827" s="7"/>
      <c r="F827" s="54"/>
      <c r="G827" s="54"/>
      <c r="H827" s="54"/>
      <c r="I827" s="54"/>
      <c r="J827" s="54"/>
      <c r="K827" s="54"/>
      <c r="L827" s="54"/>
      <c r="M827" s="54"/>
      <c r="N827" s="54"/>
      <c r="O827" s="54"/>
      <c r="P827" s="7"/>
      <c r="Q827" s="7"/>
      <c r="R827" s="7"/>
      <c r="S827" s="7"/>
      <c r="T827" s="7"/>
      <c r="U827" s="7"/>
      <c r="V827" s="7"/>
      <c r="W827" s="7"/>
      <c r="X827" s="7"/>
      <c r="Y827" s="7"/>
      <c r="Z827" s="7"/>
      <c r="AA827" s="7"/>
    </row>
    <row r="828">
      <c r="A828" s="54"/>
      <c r="B828" s="54"/>
      <c r="C828" s="7"/>
      <c r="D828" s="7"/>
      <c r="E828" s="7"/>
      <c r="F828" s="54"/>
      <c r="G828" s="54"/>
      <c r="H828" s="54"/>
      <c r="I828" s="54"/>
      <c r="J828" s="54"/>
      <c r="K828" s="54"/>
      <c r="L828" s="54"/>
      <c r="M828" s="54"/>
      <c r="N828" s="54"/>
      <c r="O828" s="54"/>
      <c r="P828" s="7"/>
      <c r="Q828" s="7"/>
      <c r="R828" s="7"/>
      <c r="S828" s="7"/>
      <c r="T828" s="7"/>
      <c r="U828" s="7"/>
      <c r="V828" s="7"/>
      <c r="W828" s="7"/>
      <c r="X828" s="7"/>
      <c r="Y828" s="7"/>
      <c r="Z828" s="7"/>
      <c r="AA828" s="7"/>
    </row>
    <row r="829">
      <c r="A829" s="54"/>
      <c r="B829" s="54"/>
      <c r="C829" s="7"/>
      <c r="D829" s="7"/>
      <c r="E829" s="7"/>
      <c r="F829" s="54"/>
      <c r="G829" s="54"/>
      <c r="H829" s="54"/>
      <c r="I829" s="54"/>
      <c r="J829" s="54"/>
      <c r="K829" s="54"/>
      <c r="L829" s="54"/>
      <c r="M829" s="54"/>
      <c r="N829" s="54"/>
      <c r="O829" s="54"/>
      <c r="P829" s="7"/>
      <c r="Q829" s="7"/>
      <c r="R829" s="7"/>
      <c r="S829" s="7"/>
      <c r="T829" s="7"/>
      <c r="U829" s="7"/>
      <c r="V829" s="7"/>
      <c r="W829" s="7"/>
      <c r="X829" s="7"/>
      <c r="Y829" s="7"/>
      <c r="Z829" s="7"/>
      <c r="AA829" s="7"/>
    </row>
    <row r="830">
      <c r="A830" s="54"/>
      <c r="B830" s="54"/>
      <c r="C830" s="7"/>
      <c r="D830" s="7"/>
      <c r="E830" s="7"/>
      <c r="F830" s="54"/>
      <c r="G830" s="54"/>
      <c r="H830" s="54"/>
      <c r="I830" s="54"/>
      <c r="J830" s="54"/>
      <c r="K830" s="54"/>
      <c r="L830" s="54"/>
      <c r="M830" s="54"/>
      <c r="N830" s="54"/>
      <c r="O830" s="54"/>
      <c r="P830" s="7"/>
      <c r="Q830" s="7"/>
      <c r="R830" s="7"/>
      <c r="S830" s="7"/>
      <c r="T830" s="7"/>
      <c r="U830" s="7"/>
      <c r="V830" s="7"/>
      <c r="W830" s="7"/>
      <c r="X830" s="7"/>
      <c r="Y830" s="7"/>
      <c r="Z830" s="7"/>
      <c r="AA830" s="7"/>
    </row>
    <row r="831">
      <c r="A831" s="54"/>
      <c r="B831" s="54"/>
      <c r="C831" s="7"/>
      <c r="D831" s="7"/>
      <c r="E831" s="7"/>
      <c r="F831" s="54"/>
      <c r="G831" s="54"/>
      <c r="H831" s="54"/>
      <c r="I831" s="54"/>
      <c r="J831" s="54"/>
      <c r="K831" s="54"/>
      <c r="L831" s="54"/>
      <c r="M831" s="54"/>
      <c r="N831" s="54"/>
      <c r="O831" s="54"/>
      <c r="P831" s="7"/>
      <c r="Q831" s="7"/>
      <c r="R831" s="7"/>
      <c r="S831" s="7"/>
      <c r="T831" s="7"/>
      <c r="U831" s="7"/>
      <c r="V831" s="7"/>
      <c r="W831" s="7"/>
      <c r="X831" s="7"/>
      <c r="Y831" s="7"/>
      <c r="Z831" s="7"/>
      <c r="AA831" s="7"/>
    </row>
    <row r="832">
      <c r="A832" s="54"/>
      <c r="B832" s="54"/>
      <c r="C832" s="7"/>
      <c r="D832" s="7"/>
      <c r="E832" s="7"/>
      <c r="F832" s="54"/>
      <c r="G832" s="54"/>
      <c r="H832" s="54"/>
      <c r="I832" s="54"/>
      <c r="J832" s="54"/>
      <c r="K832" s="54"/>
      <c r="L832" s="54"/>
      <c r="M832" s="54"/>
      <c r="N832" s="54"/>
      <c r="O832" s="54"/>
      <c r="P832" s="7"/>
      <c r="Q832" s="7"/>
      <c r="R832" s="7"/>
      <c r="S832" s="7"/>
      <c r="T832" s="7"/>
      <c r="U832" s="7"/>
      <c r="V832" s="7"/>
      <c r="W832" s="7"/>
      <c r="X832" s="7"/>
      <c r="Y832" s="7"/>
      <c r="Z832" s="7"/>
      <c r="AA832" s="7"/>
    </row>
    <row r="833">
      <c r="A833" s="54"/>
      <c r="B833" s="54"/>
      <c r="C833" s="7"/>
      <c r="D833" s="7"/>
      <c r="E833" s="7"/>
      <c r="F833" s="54"/>
      <c r="G833" s="54"/>
      <c r="H833" s="54"/>
      <c r="I833" s="54"/>
      <c r="J833" s="54"/>
      <c r="K833" s="54"/>
      <c r="L833" s="54"/>
      <c r="M833" s="54"/>
      <c r="N833" s="54"/>
      <c r="O833" s="54"/>
      <c r="P833" s="7"/>
      <c r="Q833" s="7"/>
      <c r="R833" s="7"/>
      <c r="S833" s="7"/>
      <c r="T833" s="7"/>
      <c r="U833" s="7"/>
      <c r="V833" s="7"/>
      <c r="W833" s="7"/>
      <c r="X833" s="7"/>
      <c r="Y833" s="7"/>
      <c r="Z833" s="7"/>
      <c r="AA833" s="7"/>
    </row>
    <row r="834">
      <c r="A834" s="54"/>
      <c r="B834" s="54"/>
      <c r="C834" s="7"/>
      <c r="D834" s="7"/>
      <c r="E834" s="7"/>
      <c r="F834" s="54"/>
      <c r="G834" s="54"/>
      <c r="H834" s="54"/>
      <c r="I834" s="54"/>
      <c r="J834" s="54"/>
      <c r="K834" s="54"/>
      <c r="L834" s="54"/>
      <c r="M834" s="54"/>
      <c r="N834" s="54"/>
      <c r="O834" s="54"/>
      <c r="P834" s="7"/>
      <c r="Q834" s="7"/>
      <c r="R834" s="7"/>
      <c r="S834" s="7"/>
      <c r="T834" s="7"/>
      <c r="U834" s="7"/>
      <c r="V834" s="7"/>
      <c r="W834" s="7"/>
      <c r="X834" s="7"/>
      <c r="Y834" s="7"/>
      <c r="Z834" s="7"/>
      <c r="AA834" s="7"/>
    </row>
    <row r="835">
      <c r="A835" s="54"/>
      <c r="B835" s="54"/>
      <c r="C835" s="7"/>
      <c r="D835" s="7"/>
      <c r="E835" s="7"/>
      <c r="F835" s="54"/>
      <c r="G835" s="54"/>
      <c r="H835" s="54"/>
      <c r="I835" s="54"/>
      <c r="J835" s="54"/>
      <c r="K835" s="54"/>
      <c r="L835" s="54"/>
      <c r="M835" s="54"/>
      <c r="N835" s="54"/>
      <c r="O835" s="54"/>
      <c r="P835" s="7"/>
      <c r="Q835" s="7"/>
      <c r="R835" s="7"/>
      <c r="S835" s="7"/>
      <c r="T835" s="7"/>
      <c r="U835" s="7"/>
      <c r="V835" s="7"/>
      <c r="W835" s="7"/>
      <c r="X835" s="7"/>
      <c r="Y835" s="7"/>
      <c r="Z835" s="7"/>
      <c r="AA835" s="7"/>
    </row>
    <row r="836">
      <c r="A836" s="54"/>
      <c r="B836" s="54"/>
      <c r="C836" s="7"/>
      <c r="D836" s="7"/>
      <c r="E836" s="7"/>
      <c r="F836" s="54"/>
      <c r="G836" s="54"/>
      <c r="H836" s="54"/>
      <c r="I836" s="54"/>
      <c r="J836" s="54"/>
      <c r="K836" s="54"/>
      <c r="L836" s="54"/>
      <c r="M836" s="54"/>
      <c r="N836" s="54"/>
      <c r="O836" s="54"/>
      <c r="P836" s="7"/>
      <c r="Q836" s="7"/>
      <c r="R836" s="7"/>
      <c r="S836" s="7"/>
      <c r="T836" s="7"/>
      <c r="U836" s="7"/>
      <c r="V836" s="7"/>
      <c r="W836" s="7"/>
      <c r="X836" s="7"/>
      <c r="Y836" s="7"/>
      <c r="Z836" s="7"/>
      <c r="AA836" s="7"/>
    </row>
    <row r="837">
      <c r="A837" s="54"/>
      <c r="B837" s="54"/>
      <c r="C837" s="7"/>
      <c r="D837" s="7"/>
      <c r="E837" s="7"/>
      <c r="F837" s="54"/>
      <c r="G837" s="54"/>
      <c r="H837" s="54"/>
      <c r="I837" s="54"/>
      <c r="J837" s="54"/>
      <c r="K837" s="54"/>
      <c r="L837" s="54"/>
      <c r="M837" s="54"/>
      <c r="N837" s="54"/>
      <c r="O837" s="54"/>
      <c r="P837" s="7"/>
      <c r="Q837" s="7"/>
      <c r="R837" s="7"/>
      <c r="S837" s="7"/>
      <c r="T837" s="7"/>
      <c r="U837" s="7"/>
      <c r="V837" s="7"/>
      <c r="W837" s="7"/>
      <c r="X837" s="7"/>
      <c r="Y837" s="7"/>
      <c r="Z837" s="7"/>
      <c r="AA837" s="7"/>
    </row>
    <row r="838">
      <c r="A838" s="54"/>
      <c r="B838" s="54"/>
      <c r="C838" s="7"/>
      <c r="D838" s="7"/>
      <c r="E838" s="7"/>
      <c r="F838" s="54"/>
      <c r="G838" s="54"/>
      <c r="H838" s="54"/>
      <c r="I838" s="54"/>
      <c r="J838" s="54"/>
      <c r="K838" s="54"/>
      <c r="L838" s="54"/>
      <c r="M838" s="54"/>
      <c r="N838" s="54"/>
      <c r="O838" s="54"/>
      <c r="P838" s="7"/>
      <c r="Q838" s="7"/>
      <c r="R838" s="7"/>
      <c r="S838" s="7"/>
      <c r="T838" s="7"/>
      <c r="U838" s="7"/>
      <c r="V838" s="7"/>
      <c r="W838" s="7"/>
      <c r="X838" s="7"/>
      <c r="Y838" s="7"/>
      <c r="Z838" s="7"/>
      <c r="AA838" s="7"/>
    </row>
    <row r="839">
      <c r="A839" s="54"/>
      <c r="B839" s="54"/>
      <c r="C839" s="7"/>
      <c r="D839" s="7"/>
      <c r="E839" s="7"/>
      <c r="F839" s="54"/>
      <c r="G839" s="54"/>
      <c r="H839" s="54"/>
      <c r="I839" s="54"/>
      <c r="J839" s="54"/>
      <c r="K839" s="54"/>
      <c r="L839" s="54"/>
      <c r="M839" s="54"/>
      <c r="N839" s="54"/>
      <c r="O839" s="54"/>
      <c r="P839" s="7"/>
      <c r="Q839" s="7"/>
      <c r="R839" s="7"/>
      <c r="S839" s="7"/>
      <c r="T839" s="7"/>
      <c r="U839" s="7"/>
      <c r="V839" s="7"/>
      <c r="W839" s="7"/>
      <c r="X839" s="7"/>
      <c r="Y839" s="7"/>
      <c r="Z839" s="7"/>
      <c r="AA839" s="7"/>
    </row>
    <row r="840">
      <c r="A840" s="54"/>
      <c r="B840" s="54"/>
      <c r="C840" s="7"/>
      <c r="D840" s="7"/>
      <c r="E840" s="7"/>
      <c r="F840" s="54"/>
      <c r="G840" s="54"/>
      <c r="H840" s="54"/>
      <c r="I840" s="54"/>
      <c r="J840" s="54"/>
      <c r="K840" s="54"/>
      <c r="L840" s="54"/>
      <c r="M840" s="54"/>
      <c r="N840" s="54"/>
      <c r="O840" s="54"/>
      <c r="P840" s="7"/>
      <c r="Q840" s="7"/>
      <c r="R840" s="7"/>
      <c r="S840" s="7"/>
      <c r="T840" s="7"/>
      <c r="U840" s="7"/>
      <c r="V840" s="7"/>
      <c r="W840" s="7"/>
      <c r="X840" s="7"/>
      <c r="Y840" s="7"/>
      <c r="Z840" s="7"/>
      <c r="AA840" s="7"/>
    </row>
    <row r="841">
      <c r="A841" s="54"/>
      <c r="B841" s="54"/>
      <c r="C841" s="7"/>
      <c r="D841" s="7"/>
      <c r="E841" s="7"/>
      <c r="F841" s="54"/>
      <c r="G841" s="54"/>
      <c r="H841" s="54"/>
      <c r="I841" s="54"/>
      <c r="J841" s="54"/>
      <c r="K841" s="54"/>
      <c r="L841" s="54"/>
      <c r="M841" s="54"/>
      <c r="N841" s="54"/>
      <c r="O841" s="54"/>
      <c r="P841" s="7"/>
      <c r="Q841" s="7"/>
      <c r="R841" s="7"/>
      <c r="S841" s="7"/>
      <c r="T841" s="7"/>
      <c r="U841" s="7"/>
      <c r="V841" s="7"/>
      <c r="W841" s="7"/>
      <c r="X841" s="7"/>
      <c r="Y841" s="7"/>
      <c r="Z841" s="7"/>
      <c r="AA841" s="7"/>
    </row>
    <row r="842">
      <c r="A842" s="54"/>
      <c r="B842" s="54"/>
      <c r="C842" s="7"/>
      <c r="D842" s="7"/>
      <c r="E842" s="7"/>
      <c r="F842" s="54"/>
      <c r="G842" s="54"/>
      <c r="H842" s="54"/>
      <c r="I842" s="54"/>
      <c r="J842" s="54"/>
      <c r="K842" s="54"/>
      <c r="L842" s="54"/>
      <c r="M842" s="54"/>
      <c r="N842" s="54"/>
      <c r="O842" s="54"/>
      <c r="P842" s="7"/>
      <c r="Q842" s="7"/>
      <c r="R842" s="7"/>
      <c r="S842" s="7"/>
      <c r="T842" s="7"/>
      <c r="U842" s="7"/>
      <c r="V842" s="7"/>
      <c r="W842" s="7"/>
      <c r="X842" s="7"/>
      <c r="Y842" s="7"/>
      <c r="Z842" s="7"/>
      <c r="AA842" s="7"/>
    </row>
    <row r="843">
      <c r="A843" s="54"/>
      <c r="B843" s="54"/>
      <c r="C843" s="7"/>
      <c r="D843" s="7"/>
      <c r="E843" s="7"/>
      <c r="F843" s="54"/>
      <c r="G843" s="54"/>
      <c r="H843" s="54"/>
      <c r="I843" s="54"/>
      <c r="J843" s="54"/>
      <c r="K843" s="54"/>
      <c r="L843" s="54"/>
      <c r="M843" s="54"/>
      <c r="N843" s="54"/>
      <c r="O843" s="54"/>
      <c r="P843" s="7"/>
      <c r="Q843" s="7"/>
      <c r="R843" s="7"/>
      <c r="S843" s="7"/>
      <c r="T843" s="7"/>
      <c r="U843" s="7"/>
      <c r="V843" s="7"/>
      <c r="W843" s="7"/>
      <c r="X843" s="7"/>
      <c r="Y843" s="7"/>
      <c r="Z843" s="7"/>
      <c r="AA843" s="7"/>
    </row>
    <row r="844">
      <c r="A844" s="54"/>
      <c r="B844" s="54"/>
      <c r="C844" s="7"/>
      <c r="D844" s="7"/>
      <c r="E844" s="7"/>
      <c r="F844" s="54"/>
      <c r="G844" s="54"/>
      <c r="H844" s="54"/>
      <c r="I844" s="54"/>
      <c r="J844" s="54"/>
      <c r="K844" s="54"/>
      <c r="L844" s="54"/>
      <c r="M844" s="54"/>
      <c r="N844" s="54"/>
      <c r="O844" s="54"/>
      <c r="P844" s="7"/>
      <c r="Q844" s="7"/>
      <c r="R844" s="7"/>
      <c r="S844" s="7"/>
      <c r="T844" s="7"/>
      <c r="U844" s="7"/>
      <c r="V844" s="7"/>
      <c r="W844" s="7"/>
      <c r="X844" s="7"/>
      <c r="Y844" s="7"/>
      <c r="Z844" s="7"/>
      <c r="AA844" s="7"/>
    </row>
    <row r="845">
      <c r="A845" s="54"/>
      <c r="B845" s="54"/>
      <c r="C845" s="7"/>
      <c r="D845" s="7"/>
      <c r="E845" s="7"/>
      <c r="F845" s="54"/>
      <c r="G845" s="54"/>
      <c r="H845" s="54"/>
      <c r="I845" s="54"/>
      <c r="J845" s="54"/>
      <c r="K845" s="54"/>
      <c r="L845" s="54"/>
      <c r="M845" s="54"/>
      <c r="N845" s="54"/>
      <c r="O845" s="54"/>
      <c r="P845" s="7"/>
      <c r="Q845" s="7"/>
      <c r="R845" s="7"/>
      <c r="S845" s="7"/>
      <c r="T845" s="7"/>
      <c r="U845" s="7"/>
      <c r="V845" s="7"/>
      <c r="W845" s="7"/>
      <c r="X845" s="7"/>
      <c r="Y845" s="7"/>
      <c r="Z845" s="7"/>
      <c r="AA845" s="7"/>
    </row>
    <row r="846">
      <c r="A846" s="54"/>
      <c r="B846" s="54"/>
      <c r="C846" s="7"/>
      <c r="D846" s="7"/>
      <c r="E846" s="7"/>
      <c r="F846" s="54"/>
      <c r="G846" s="54"/>
      <c r="H846" s="54"/>
      <c r="I846" s="54"/>
      <c r="J846" s="54"/>
      <c r="K846" s="54"/>
      <c r="L846" s="54"/>
      <c r="M846" s="54"/>
      <c r="N846" s="54"/>
      <c r="O846" s="54"/>
      <c r="P846" s="7"/>
      <c r="Q846" s="7"/>
      <c r="R846" s="7"/>
      <c r="S846" s="7"/>
      <c r="T846" s="7"/>
      <c r="U846" s="7"/>
      <c r="V846" s="7"/>
      <c r="W846" s="7"/>
      <c r="X846" s="7"/>
      <c r="Y846" s="7"/>
      <c r="Z846" s="7"/>
      <c r="AA846" s="7"/>
    </row>
    <row r="847">
      <c r="A847" s="54"/>
      <c r="B847" s="54"/>
      <c r="C847" s="7"/>
      <c r="D847" s="7"/>
      <c r="E847" s="7"/>
      <c r="F847" s="54"/>
      <c r="G847" s="54"/>
      <c r="H847" s="54"/>
      <c r="I847" s="54"/>
      <c r="J847" s="54"/>
      <c r="K847" s="54"/>
      <c r="L847" s="54"/>
      <c r="M847" s="54"/>
      <c r="N847" s="54"/>
      <c r="O847" s="54"/>
      <c r="P847" s="7"/>
      <c r="Q847" s="7"/>
      <c r="R847" s="7"/>
      <c r="S847" s="7"/>
      <c r="T847" s="7"/>
      <c r="U847" s="7"/>
      <c r="V847" s="7"/>
      <c r="W847" s="7"/>
      <c r="X847" s="7"/>
      <c r="Y847" s="7"/>
      <c r="Z847" s="7"/>
      <c r="AA847" s="7"/>
    </row>
    <row r="848">
      <c r="A848" s="54"/>
      <c r="B848" s="54"/>
      <c r="C848" s="7"/>
      <c r="D848" s="7"/>
      <c r="E848" s="7"/>
      <c r="F848" s="54"/>
      <c r="G848" s="54"/>
      <c r="H848" s="54"/>
      <c r="I848" s="54"/>
      <c r="J848" s="54"/>
      <c r="K848" s="54"/>
      <c r="L848" s="54"/>
      <c r="M848" s="54"/>
      <c r="N848" s="54"/>
      <c r="O848" s="54"/>
      <c r="P848" s="7"/>
      <c r="Q848" s="7"/>
      <c r="R848" s="7"/>
      <c r="S848" s="7"/>
      <c r="T848" s="7"/>
      <c r="U848" s="7"/>
      <c r="V848" s="7"/>
      <c r="W848" s="7"/>
      <c r="X848" s="7"/>
      <c r="Y848" s="7"/>
      <c r="Z848" s="7"/>
      <c r="AA848" s="7"/>
    </row>
    <row r="849">
      <c r="A849" s="54"/>
      <c r="B849" s="54"/>
      <c r="C849" s="7"/>
      <c r="D849" s="7"/>
      <c r="E849" s="7"/>
      <c r="F849" s="54"/>
      <c r="G849" s="54"/>
      <c r="H849" s="54"/>
      <c r="I849" s="54"/>
      <c r="J849" s="54"/>
      <c r="K849" s="54"/>
      <c r="L849" s="54"/>
      <c r="M849" s="54"/>
      <c r="N849" s="54"/>
      <c r="O849" s="54"/>
      <c r="P849" s="7"/>
      <c r="Q849" s="7"/>
      <c r="R849" s="7"/>
      <c r="S849" s="7"/>
      <c r="T849" s="7"/>
      <c r="U849" s="7"/>
      <c r="V849" s="7"/>
      <c r="W849" s="7"/>
      <c r="X849" s="7"/>
      <c r="Y849" s="7"/>
      <c r="Z849" s="7"/>
      <c r="AA849" s="7"/>
    </row>
    <row r="850">
      <c r="A850" s="54"/>
      <c r="B850" s="54"/>
      <c r="C850" s="7"/>
      <c r="D850" s="7"/>
      <c r="E850" s="7"/>
      <c r="F850" s="54"/>
      <c r="G850" s="54"/>
      <c r="H850" s="54"/>
      <c r="I850" s="54"/>
      <c r="J850" s="54"/>
      <c r="K850" s="54"/>
      <c r="L850" s="54"/>
      <c r="M850" s="54"/>
      <c r="N850" s="54"/>
      <c r="O850" s="54"/>
      <c r="P850" s="7"/>
      <c r="Q850" s="7"/>
      <c r="R850" s="7"/>
      <c r="S850" s="7"/>
      <c r="T850" s="7"/>
      <c r="U850" s="7"/>
      <c r="V850" s="7"/>
      <c r="W850" s="7"/>
      <c r="X850" s="7"/>
      <c r="Y850" s="7"/>
      <c r="Z850" s="7"/>
      <c r="AA850" s="7"/>
    </row>
    <row r="851">
      <c r="A851" s="54"/>
      <c r="B851" s="54"/>
      <c r="C851" s="7"/>
      <c r="D851" s="7"/>
      <c r="E851" s="7"/>
      <c r="F851" s="54"/>
      <c r="G851" s="54"/>
      <c r="H851" s="54"/>
      <c r="I851" s="54"/>
      <c r="J851" s="54"/>
      <c r="K851" s="54"/>
      <c r="L851" s="54"/>
      <c r="M851" s="54"/>
      <c r="N851" s="54"/>
      <c r="O851" s="54"/>
      <c r="P851" s="7"/>
      <c r="Q851" s="7"/>
      <c r="R851" s="7"/>
      <c r="S851" s="7"/>
      <c r="T851" s="7"/>
      <c r="U851" s="7"/>
      <c r="V851" s="7"/>
      <c r="W851" s="7"/>
      <c r="X851" s="7"/>
      <c r="Y851" s="7"/>
      <c r="Z851" s="7"/>
      <c r="AA851" s="7"/>
    </row>
    <row r="852">
      <c r="A852" s="54"/>
      <c r="B852" s="54"/>
      <c r="C852" s="7"/>
      <c r="D852" s="7"/>
      <c r="E852" s="7"/>
      <c r="F852" s="54"/>
      <c r="G852" s="54"/>
      <c r="H852" s="54"/>
      <c r="I852" s="54"/>
      <c r="J852" s="54"/>
      <c r="K852" s="54"/>
      <c r="L852" s="54"/>
      <c r="M852" s="54"/>
      <c r="N852" s="54"/>
      <c r="O852" s="54"/>
      <c r="P852" s="7"/>
      <c r="Q852" s="7"/>
      <c r="R852" s="7"/>
      <c r="S852" s="7"/>
      <c r="T852" s="7"/>
      <c r="U852" s="7"/>
      <c r="V852" s="7"/>
      <c r="W852" s="7"/>
      <c r="X852" s="7"/>
      <c r="Y852" s="7"/>
      <c r="Z852" s="7"/>
      <c r="AA852" s="7"/>
    </row>
    <row r="853">
      <c r="A853" s="54"/>
      <c r="B853" s="54"/>
      <c r="C853" s="7"/>
      <c r="D853" s="7"/>
      <c r="E853" s="7"/>
      <c r="F853" s="54"/>
      <c r="G853" s="54"/>
      <c r="H853" s="54"/>
      <c r="I853" s="54"/>
      <c r="J853" s="54"/>
      <c r="K853" s="54"/>
      <c r="L853" s="54"/>
      <c r="M853" s="54"/>
      <c r="N853" s="54"/>
      <c r="O853" s="54"/>
      <c r="P853" s="7"/>
      <c r="Q853" s="7"/>
      <c r="R853" s="7"/>
      <c r="S853" s="7"/>
      <c r="T853" s="7"/>
      <c r="U853" s="7"/>
      <c r="V853" s="7"/>
      <c r="W853" s="7"/>
      <c r="X853" s="7"/>
      <c r="Y853" s="7"/>
      <c r="Z853" s="7"/>
      <c r="AA853" s="7"/>
    </row>
    <row r="854">
      <c r="A854" s="54"/>
      <c r="B854" s="54"/>
      <c r="C854" s="7"/>
      <c r="D854" s="7"/>
      <c r="E854" s="7"/>
      <c r="F854" s="54"/>
      <c r="G854" s="54"/>
      <c r="H854" s="54"/>
      <c r="I854" s="54"/>
      <c r="J854" s="54"/>
      <c r="K854" s="54"/>
      <c r="L854" s="54"/>
      <c r="M854" s="54"/>
      <c r="N854" s="54"/>
      <c r="O854" s="54"/>
      <c r="P854" s="7"/>
      <c r="Q854" s="7"/>
      <c r="R854" s="7"/>
      <c r="S854" s="7"/>
      <c r="T854" s="7"/>
      <c r="U854" s="7"/>
      <c r="V854" s="7"/>
      <c r="W854" s="7"/>
      <c r="X854" s="7"/>
      <c r="Y854" s="7"/>
      <c r="Z854" s="7"/>
      <c r="AA854" s="7"/>
    </row>
    <row r="855">
      <c r="A855" s="54"/>
      <c r="B855" s="54"/>
      <c r="C855" s="7"/>
      <c r="D855" s="7"/>
      <c r="E855" s="7"/>
      <c r="F855" s="54"/>
      <c r="G855" s="54"/>
      <c r="H855" s="54"/>
      <c r="I855" s="54"/>
      <c r="J855" s="54"/>
      <c r="K855" s="54"/>
      <c r="L855" s="54"/>
      <c r="M855" s="54"/>
      <c r="N855" s="54"/>
      <c r="O855" s="54"/>
      <c r="P855" s="7"/>
      <c r="Q855" s="7"/>
      <c r="R855" s="7"/>
      <c r="S855" s="7"/>
      <c r="T855" s="7"/>
      <c r="U855" s="7"/>
      <c r="V855" s="7"/>
      <c r="W855" s="7"/>
      <c r="X855" s="7"/>
      <c r="Y855" s="7"/>
      <c r="Z855" s="7"/>
      <c r="AA855" s="7"/>
    </row>
    <row r="856">
      <c r="A856" s="54"/>
      <c r="B856" s="54"/>
      <c r="C856" s="7"/>
      <c r="D856" s="7"/>
      <c r="E856" s="7"/>
      <c r="F856" s="54"/>
      <c r="G856" s="54"/>
      <c r="H856" s="54"/>
      <c r="I856" s="54"/>
      <c r="J856" s="54"/>
      <c r="K856" s="54"/>
      <c r="L856" s="54"/>
      <c r="M856" s="54"/>
      <c r="N856" s="54"/>
      <c r="O856" s="54"/>
      <c r="P856" s="7"/>
      <c r="Q856" s="7"/>
      <c r="R856" s="7"/>
      <c r="S856" s="7"/>
      <c r="T856" s="7"/>
      <c r="U856" s="7"/>
      <c r="V856" s="7"/>
      <c r="W856" s="7"/>
      <c r="X856" s="7"/>
      <c r="Y856" s="7"/>
      <c r="Z856" s="7"/>
      <c r="AA856" s="7"/>
    </row>
    <row r="857">
      <c r="A857" s="54"/>
      <c r="B857" s="54"/>
      <c r="C857" s="7"/>
      <c r="D857" s="7"/>
      <c r="E857" s="7"/>
      <c r="F857" s="54"/>
      <c r="G857" s="54"/>
      <c r="H857" s="54"/>
      <c r="I857" s="54"/>
      <c r="J857" s="54"/>
      <c r="K857" s="54"/>
      <c r="L857" s="54"/>
      <c r="M857" s="54"/>
      <c r="N857" s="54"/>
      <c r="O857" s="54"/>
      <c r="P857" s="7"/>
      <c r="Q857" s="7"/>
      <c r="R857" s="7"/>
      <c r="S857" s="7"/>
      <c r="T857" s="7"/>
      <c r="U857" s="7"/>
      <c r="V857" s="7"/>
      <c r="W857" s="7"/>
      <c r="X857" s="7"/>
      <c r="Y857" s="7"/>
      <c r="Z857" s="7"/>
      <c r="AA857" s="7"/>
    </row>
    <row r="858">
      <c r="A858" s="54"/>
      <c r="B858" s="54"/>
      <c r="C858" s="7"/>
      <c r="D858" s="7"/>
      <c r="E858" s="7"/>
      <c r="F858" s="54"/>
      <c r="G858" s="54"/>
      <c r="H858" s="54"/>
      <c r="I858" s="54"/>
      <c r="J858" s="54"/>
      <c r="K858" s="54"/>
      <c r="L858" s="54"/>
      <c r="M858" s="54"/>
      <c r="N858" s="54"/>
      <c r="O858" s="54"/>
      <c r="P858" s="7"/>
      <c r="Q858" s="7"/>
      <c r="R858" s="7"/>
      <c r="S858" s="7"/>
      <c r="T858" s="7"/>
      <c r="U858" s="7"/>
      <c r="V858" s="7"/>
      <c r="W858" s="7"/>
      <c r="X858" s="7"/>
      <c r="Y858" s="7"/>
      <c r="Z858" s="7"/>
      <c r="AA858" s="7"/>
    </row>
    <row r="859">
      <c r="A859" s="54"/>
      <c r="B859" s="54"/>
      <c r="C859" s="7"/>
      <c r="D859" s="7"/>
      <c r="E859" s="7"/>
      <c r="F859" s="54"/>
      <c r="G859" s="54"/>
      <c r="H859" s="54"/>
      <c r="I859" s="54"/>
      <c r="J859" s="54"/>
      <c r="K859" s="54"/>
      <c r="L859" s="54"/>
      <c r="M859" s="54"/>
      <c r="N859" s="54"/>
      <c r="O859" s="54"/>
      <c r="P859" s="7"/>
      <c r="Q859" s="7"/>
      <c r="R859" s="7"/>
      <c r="S859" s="7"/>
      <c r="T859" s="7"/>
      <c r="U859" s="7"/>
      <c r="V859" s="7"/>
      <c r="W859" s="7"/>
      <c r="X859" s="7"/>
      <c r="Y859" s="7"/>
      <c r="Z859" s="7"/>
      <c r="AA859" s="7"/>
    </row>
    <row r="860">
      <c r="A860" s="54"/>
      <c r="B860" s="54"/>
      <c r="C860" s="7"/>
      <c r="D860" s="7"/>
      <c r="E860" s="7"/>
      <c r="F860" s="54"/>
      <c r="G860" s="54"/>
      <c r="H860" s="54"/>
      <c r="I860" s="54"/>
      <c r="J860" s="54"/>
      <c r="K860" s="54"/>
      <c r="L860" s="54"/>
      <c r="M860" s="54"/>
      <c r="N860" s="54"/>
      <c r="O860" s="54"/>
      <c r="P860" s="7"/>
      <c r="Q860" s="7"/>
      <c r="R860" s="7"/>
      <c r="S860" s="7"/>
      <c r="T860" s="7"/>
      <c r="U860" s="7"/>
      <c r="V860" s="7"/>
      <c r="W860" s="7"/>
      <c r="X860" s="7"/>
      <c r="Y860" s="7"/>
      <c r="Z860" s="7"/>
      <c r="AA860" s="7"/>
    </row>
    <row r="861">
      <c r="A861" s="54"/>
      <c r="B861" s="54"/>
      <c r="C861" s="7"/>
      <c r="D861" s="7"/>
      <c r="E861" s="7"/>
      <c r="F861" s="54"/>
      <c r="G861" s="54"/>
      <c r="H861" s="54"/>
      <c r="I861" s="54"/>
      <c r="J861" s="54"/>
      <c r="K861" s="54"/>
      <c r="L861" s="54"/>
      <c r="M861" s="54"/>
      <c r="N861" s="54"/>
      <c r="O861" s="54"/>
      <c r="P861" s="7"/>
      <c r="Q861" s="7"/>
      <c r="R861" s="7"/>
      <c r="S861" s="7"/>
      <c r="T861" s="7"/>
      <c r="U861" s="7"/>
      <c r="V861" s="7"/>
      <c r="W861" s="7"/>
      <c r="X861" s="7"/>
      <c r="Y861" s="7"/>
      <c r="Z861" s="7"/>
      <c r="AA861" s="7"/>
    </row>
    <row r="862">
      <c r="A862" s="54"/>
      <c r="B862" s="54"/>
      <c r="C862" s="7"/>
      <c r="D862" s="7"/>
      <c r="E862" s="7"/>
      <c r="F862" s="54"/>
      <c r="G862" s="54"/>
      <c r="H862" s="54"/>
      <c r="I862" s="54"/>
      <c r="J862" s="54"/>
      <c r="K862" s="54"/>
      <c r="L862" s="54"/>
      <c r="M862" s="54"/>
      <c r="N862" s="54"/>
      <c r="O862" s="54"/>
      <c r="P862" s="7"/>
      <c r="Q862" s="7"/>
      <c r="R862" s="7"/>
      <c r="S862" s="7"/>
      <c r="T862" s="7"/>
      <c r="U862" s="7"/>
      <c r="V862" s="7"/>
      <c r="W862" s="7"/>
      <c r="X862" s="7"/>
      <c r="Y862" s="7"/>
      <c r="Z862" s="7"/>
      <c r="AA862" s="7"/>
    </row>
    <row r="863">
      <c r="A863" s="54"/>
      <c r="B863" s="54"/>
      <c r="C863" s="7"/>
      <c r="D863" s="7"/>
      <c r="E863" s="7"/>
      <c r="F863" s="54"/>
      <c r="G863" s="54"/>
      <c r="H863" s="54"/>
      <c r="I863" s="54"/>
      <c r="J863" s="54"/>
      <c r="K863" s="54"/>
      <c r="L863" s="54"/>
      <c r="M863" s="54"/>
      <c r="N863" s="54"/>
      <c r="O863" s="54"/>
      <c r="P863" s="7"/>
      <c r="Q863" s="7"/>
      <c r="R863" s="7"/>
      <c r="S863" s="7"/>
      <c r="T863" s="7"/>
      <c r="U863" s="7"/>
      <c r="V863" s="7"/>
      <c r="W863" s="7"/>
      <c r="X863" s="7"/>
      <c r="Y863" s="7"/>
      <c r="Z863" s="7"/>
      <c r="AA863" s="7"/>
    </row>
    <row r="864">
      <c r="A864" s="54"/>
      <c r="B864" s="54"/>
      <c r="C864" s="7"/>
      <c r="D864" s="7"/>
      <c r="E864" s="7"/>
      <c r="F864" s="54"/>
      <c r="G864" s="54"/>
      <c r="H864" s="54"/>
      <c r="I864" s="54"/>
      <c r="J864" s="54"/>
      <c r="K864" s="54"/>
      <c r="L864" s="54"/>
      <c r="M864" s="54"/>
      <c r="N864" s="54"/>
      <c r="O864" s="54"/>
      <c r="P864" s="7"/>
      <c r="Q864" s="7"/>
      <c r="R864" s="7"/>
      <c r="S864" s="7"/>
      <c r="T864" s="7"/>
      <c r="U864" s="7"/>
      <c r="V864" s="7"/>
      <c r="W864" s="7"/>
      <c r="X864" s="7"/>
      <c r="Y864" s="7"/>
      <c r="Z864" s="7"/>
      <c r="AA864" s="7"/>
    </row>
    <row r="865">
      <c r="A865" s="54"/>
      <c r="B865" s="54"/>
      <c r="C865" s="7"/>
      <c r="D865" s="7"/>
      <c r="E865" s="7"/>
      <c r="F865" s="54"/>
      <c r="G865" s="54"/>
      <c r="H865" s="54"/>
      <c r="I865" s="54"/>
      <c r="J865" s="54"/>
      <c r="K865" s="54"/>
      <c r="L865" s="54"/>
      <c r="M865" s="54"/>
      <c r="N865" s="54"/>
      <c r="O865" s="54"/>
      <c r="P865" s="7"/>
      <c r="Q865" s="7"/>
      <c r="R865" s="7"/>
      <c r="S865" s="7"/>
      <c r="T865" s="7"/>
      <c r="U865" s="7"/>
      <c r="V865" s="7"/>
      <c r="W865" s="7"/>
      <c r="X865" s="7"/>
      <c r="Y865" s="7"/>
      <c r="Z865" s="7"/>
      <c r="AA865" s="7"/>
    </row>
    <row r="866">
      <c r="A866" s="54"/>
      <c r="B866" s="54"/>
      <c r="C866" s="7"/>
      <c r="D866" s="7"/>
      <c r="E866" s="7"/>
      <c r="F866" s="54"/>
      <c r="G866" s="54"/>
      <c r="H866" s="54"/>
      <c r="I866" s="54"/>
      <c r="J866" s="54"/>
      <c r="K866" s="54"/>
      <c r="L866" s="54"/>
      <c r="M866" s="54"/>
      <c r="N866" s="54"/>
      <c r="O866" s="54"/>
      <c r="P866" s="7"/>
      <c r="Q866" s="7"/>
      <c r="R866" s="7"/>
      <c r="S866" s="7"/>
      <c r="T866" s="7"/>
      <c r="U866" s="7"/>
      <c r="V866" s="7"/>
      <c r="W866" s="7"/>
      <c r="X866" s="7"/>
      <c r="Y866" s="7"/>
      <c r="Z866" s="7"/>
      <c r="AA866" s="7"/>
    </row>
    <row r="867">
      <c r="A867" s="54"/>
      <c r="B867" s="54"/>
      <c r="C867" s="7"/>
      <c r="D867" s="7"/>
      <c r="E867" s="7"/>
      <c r="F867" s="54"/>
      <c r="G867" s="54"/>
      <c r="H867" s="54"/>
      <c r="I867" s="54"/>
      <c r="J867" s="54"/>
      <c r="K867" s="54"/>
      <c r="L867" s="54"/>
      <c r="M867" s="54"/>
      <c r="N867" s="54"/>
      <c r="O867" s="54"/>
      <c r="P867" s="7"/>
      <c r="Q867" s="7"/>
      <c r="R867" s="7"/>
      <c r="S867" s="7"/>
      <c r="T867" s="7"/>
      <c r="U867" s="7"/>
      <c r="V867" s="7"/>
      <c r="W867" s="7"/>
      <c r="X867" s="7"/>
      <c r="Y867" s="7"/>
      <c r="Z867" s="7"/>
      <c r="AA867" s="7"/>
    </row>
    <row r="868">
      <c r="A868" s="54"/>
      <c r="B868" s="54"/>
      <c r="C868" s="7"/>
      <c r="D868" s="7"/>
      <c r="E868" s="7"/>
      <c r="F868" s="54"/>
      <c r="G868" s="54"/>
      <c r="H868" s="54"/>
      <c r="I868" s="54"/>
      <c r="J868" s="54"/>
      <c r="K868" s="54"/>
      <c r="L868" s="54"/>
      <c r="M868" s="54"/>
      <c r="N868" s="54"/>
      <c r="O868" s="54"/>
      <c r="P868" s="7"/>
      <c r="Q868" s="7"/>
      <c r="R868" s="7"/>
      <c r="S868" s="7"/>
      <c r="T868" s="7"/>
      <c r="U868" s="7"/>
      <c r="V868" s="7"/>
      <c r="W868" s="7"/>
      <c r="X868" s="7"/>
      <c r="Y868" s="7"/>
      <c r="Z868" s="7"/>
      <c r="AA868" s="7"/>
    </row>
    <row r="869">
      <c r="A869" s="54"/>
      <c r="B869" s="54"/>
      <c r="C869" s="7"/>
      <c r="D869" s="7"/>
      <c r="E869" s="7"/>
      <c r="F869" s="54"/>
      <c r="G869" s="54"/>
      <c r="H869" s="54"/>
      <c r="I869" s="54"/>
      <c r="J869" s="54"/>
      <c r="K869" s="54"/>
      <c r="L869" s="54"/>
      <c r="M869" s="54"/>
      <c r="N869" s="54"/>
      <c r="O869" s="54"/>
      <c r="P869" s="7"/>
      <c r="Q869" s="7"/>
      <c r="R869" s="7"/>
      <c r="S869" s="7"/>
      <c r="T869" s="7"/>
      <c r="U869" s="7"/>
      <c r="V869" s="7"/>
      <c r="W869" s="7"/>
      <c r="X869" s="7"/>
      <c r="Y869" s="7"/>
      <c r="Z869" s="7"/>
      <c r="AA869" s="7"/>
    </row>
    <row r="870">
      <c r="A870" s="54"/>
      <c r="B870" s="54"/>
      <c r="C870" s="7"/>
      <c r="D870" s="7"/>
      <c r="E870" s="7"/>
      <c r="F870" s="54"/>
      <c r="G870" s="54"/>
      <c r="H870" s="54"/>
      <c r="I870" s="54"/>
      <c r="J870" s="54"/>
      <c r="K870" s="54"/>
      <c r="L870" s="54"/>
      <c r="M870" s="54"/>
      <c r="N870" s="54"/>
      <c r="O870" s="54"/>
      <c r="P870" s="7"/>
      <c r="Q870" s="7"/>
      <c r="R870" s="7"/>
      <c r="S870" s="7"/>
      <c r="T870" s="7"/>
      <c r="U870" s="7"/>
      <c r="V870" s="7"/>
      <c r="W870" s="7"/>
      <c r="X870" s="7"/>
      <c r="Y870" s="7"/>
      <c r="Z870" s="7"/>
      <c r="AA870" s="7"/>
    </row>
    <row r="871">
      <c r="A871" s="54"/>
      <c r="B871" s="54"/>
      <c r="C871" s="7"/>
      <c r="D871" s="7"/>
      <c r="E871" s="7"/>
      <c r="F871" s="54"/>
      <c r="G871" s="54"/>
      <c r="H871" s="54"/>
      <c r="I871" s="54"/>
      <c r="J871" s="54"/>
      <c r="K871" s="54"/>
      <c r="L871" s="54"/>
      <c r="M871" s="54"/>
      <c r="N871" s="54"/>
      <c r="O871" s="54"/>
      <c r="P871" s="7"/>
      <c r="Q871" s="7"/>
      <c r="R871" s="7"/>
      <c r="S871" s="7"/>
      <c r="T871" s="7"/>
      <c r="U871" s="7"/>
      <c r="V871" s="7"/>
      <c r="W871" s="7"/>
      <c r="X871" s="7"/>
      <c r="Y871" s="7"/>
      <c r="Z871" s="7"/>
      <c r="AA871" s="7"/>
    </row>
    <row r="872">
      <c r="A872" s="54"/>
      <c r="B872" s="54"/>
      <c r="C872" s="7"/>
      <c r="D872" s="7"/>
      <c r="E872" s="7"/>
      <c r="F872" s="54"/>
      <c r="G872" s="54"/>
      <c r="H872" s="54"/>
      <c r="I872" s="54"/>
      <c r="J872" s="54"/>
      <c r="K872" s="54"/>
      <c r="L872" s="54"/>
      <c r="M872" s="54"/>
      <c r="N872" s="54"/>
      <c r="O872" s="54"/>
      <c r="P872" s="7"/>
      <c r="Q872" s="7"/>
      <c r="R872" s="7"/>
      <c r="S872" s="7"/>
      <c r="T872" s="7"/>
      <c r="U872" s="7"/>
      <c r="V872" s="7"/>
      <c r="W872" s="7"/>
      <c r="X872" s="7"/>
      <c r="Y872" s="7"/>
      <c r="Z872" s="7"/>
      <c r="AA872" s="7"/>
    </row>
    <row r="873">
      <c r="A873" s="54"/>
      <c r="B873" s="54"/>
      <c r="C873" s="7"/>
      <c r="D873" s="7"/>
      <c r="E873" s="7"/>
      <c r="F873" s="54"/>
      <c r="G873" s="54"/>
      <c r="H873" s="54"/>
      <c r="I873" s="54"/>
      <c r="J873" s="54"/>
      <c r="K873" s="54"/>
      <c r="L873" s="54"/>
      <c r="M873" s="54"/>
      <c r="N873" s="54"/>
      <c r="O873" s="54"/>
      <c r="P873" s="7"/>
      <c r="Q873" s="7"/>
      <c r="R873" s="7"/>
      <c r="S873" s="7"/>
      <c r="T873" s="7"/>
      <c r="U873" s="7"/>
      <c r="V873" s="7"/>
      <c r="W873" s="7"/>
      <c r="X873" s="7"/>
      <c r="Y873" s="7"/>
      <c r="Z873" s="7"/>
      <c r="AA873" s="7"/>
    </row>
    <row r="874">
      <c r="A874" s="54"/>
      <c r="B874" s="54"/>
      <c r="C874" s="7"/>
      <c r="D874" s="7"/>
      <c r="E874" s="7"/>
      <c r="F874" s="54"/>
      <c r="G874" s="54"/>
      <c r="H874" s="54"/>
      <c r="I874" s="54"/>
      <c r="J874" s="54"/>
      <c r="K874" s="54"/>
      <c r="L874" s="54"/>
      <c r="M874" s="54"/>
      <c r="N874" s="54"/>
      <c r="O874" s="54"/>
      <c r="P874" s="7"/>
      <c r="Q874" s="7"/>
      <c r="R874" s="7"/>
      <c r="S874" s="7"/>
      <c r="T874" s="7"/>
      <c r="U874" s="7"/>
      <c r="V874" s="7"/>
      <c r="W874" s="7"/>
      <c r="X874" s="7"/>
      <c r="Y874" s="7"/>
      <c r="Z874" s="7"/>
      <c r="AA874" s="7"/>
    </row>
    <row r="875">
      <c r="A875" s="54"/>
      <c r="B875" s="54"/>
      <c r="C875" s="7"/>
      <c r="D875" s="7"/>
      <c r="E875" s="7"/>
      <c r="F875" s="54"/>
      <c r="G875" s="54"/>
      <c r="H875" s="54"/>
      <c r="I875" s="54"/>
      <c r="J875" s="54"/>
      <c r="K875" s="54"/>
      <c r="L875" s="54"/>
      <c r="M875" s="54"/>
      <c r="N875" s="54"/>
      <c r="O875" s="54"/>
      <c r="P875" s="7"/>
      <c r="Q875" s="7"/>
      <c r="R875" s="7"/>
      <c r="S875" s="7"/>
      <c r="T875" s="7"/>
      <c r="U875" s="7"/>
      <c r="V875" s="7"/>
      <c r="W875" s="7"/>
      <c r="X875" s="7"/>
      <c r="Y875" s="7"/>
      <c r="Z875" s="7"/>
      <c r="AA875" s="7"/>
    </row>
    <row r="876">
      <c r="A876" s="54"/>
      <c r="B876" s="54"/>
      <c r="C876" s="7"/>
      <c r="D876" s="7"/>
      <c r="E876" s="7"/>
      <c r="F876" s="54"/>
      <c r="G876" s="54"/>
      <c r="H876" s="54"/>
      <c r="I876" s="54"/>
      <c r="J876" s="54"/>
      <c r="K876" s="54"/>
      <c r="L876" s="54"/>
      <c r="M876" s="54"/>
      <c r="N876" s="54"/>
      <c r="O876" s="54"/>
      <c r="P876" s="7"/>
      <c r="Q876" s="7"/>
      <c r="R876" s="7"/>
      <c r="S876" s="7"/>
      <c r="T876" s="7"/>
      <c r="U876" s="7"/>
      <c r="V876" s="7"/>
      <c r="W876" s="7"/>
      <c r="X876" s="7"/>
      <c r="Y876" s="7"/>
      <c r="Z876" s="7"/>
      <c r="AA876" s="7"/>
    </row>
    <row r="877">
      <c r="A877" s="54"/>
      <c r="B877" s="54"/>
      <c r="C877" s="7"/>
      <c r="D877" s="7"/>
      <c r="E877" s="7"/>
      <c r="F877" s="54"/>
      <c r="G877" s="54"/>
      <c r="H877" s="54"/>
      <c r="I877" s="54"/>
      <c r="J877" s="54"/>
      <c r="K877" s="54"/>
      <c r="L877" s="54"/>
      <c r="M877" s="54"/>
      <c r="N877" s="54"/>
      <c r="O877" s="54"/>
      <c r="P877" s="7"/>
      <c r="Q877" s="7"/>
      <c r="R877" s="7"/>
      <c r="S877" s="7"/>
      <c r="T877" s="7"/>
      <c r="U877" s="7"/>
      <c r="V877" s="7"/>
      <c r="W877" s="7"/>
      <c r="X877" s="7"/>
      <c r="Y877" s="7"/>
      <c r="Z877" s="7"/>
      <c r="AA877" s="7"/>
    </row>
    <row r="878">
      <c r="A878" s="54"/>
      <c r="B878" s="54"/>
      <c r="C878" s="7"/>
      <c r="D878" s="7"/>
      <c r="E878" s="7"/>
      <c r="F878" s="54"/>
      <c r="G878" s="54"/>
      <c r="H878" s="54"/>
      <c r="I878" s="54"/>
      <c r="J878" s="54"/>
      <c r="K878" s="54"/>
      <c r="L878" s="54"/>
      <c r="M878" s="54"/>
      <c r="N878" s="54"/>
      <c r="O878" s="54"/>
      <c r="P878" s="7"/>
      <c r="Q878" s="7"/>
      <c r="R878" s="7"/>
      <c r="S878" s="7"/>
      <c r="T878" s="7"/>
      <c r="U878" s="7"/>
      <c r="V878" s="7"/>
      <c r="W878" s="7"/>
      <c r="X878" s="7"/>
      <c r="Y878" s="7"/>
      <c r="Z878" s="7"/>
      <c r="AA878" s="7"/>
    </row>
    <row r="879">
      <c r="A879" s="54"/>
      <c r="B879" s="54"/>
      <c r="C879" s="7"/>
      <c r="D879" s="7"/>
      <c r="E879" s="7"/>
      <c r="F879" s="54"/>
      <c r="G879" s="54"/>
      <c r="H879" s="54"/>
      <c r="I879" s="54"/>
      <c r="J879" s="54"/>
      <c r="K879" s="54"/>
      <c r="L879" s="54"/>
      <c r="M879" s="54"/>
      <c r="N879" s="54"/>
      <c r="O879" s="54"/>
      <c r="P879" s="7"/>
      <c r="Q879" s="7"/>
      <c r="R879" s="7"/>
      <c r="S879" s="7"/>
      <c r="T879" s="7"/>
      <c r="U879" s="7"/>
      <c r="V879" s="7"/>
      <c r="W879" s="7"/>
      <c r="X879" s="7"/>
      <c r="Y879" s="7"/>
      <c r="Z879" s="7"/>
      <c r="AA879" s="7"/>
    </row>
    <row r="880">
      <c r="A880" s="54"/>
      <c r="B880" s="54"/>
      <c r="C880" s="7"/>
      <c r="D880" s="7"/>
      <c r="E880" s="7"/>
      <c r="F880" s="54"/>
      <c r="G880" s="54"/>
      <c r="H880" s="54"/>
      <c r="I880" s="54"/>
      <c r="J880" s="54"/>
      <c r="K880" s="54"/>
      <c r="L880" s="54"/>
      <c r="M880" s="54"/>
      <c r="N880" s="54"/>
      <c r="O880" s="54"/>
      <c r="P880" s="7"/>
      <c r="Q880" s="7"/>
      <c r="R880" s="7"/>
      <c r="S880" s="7"/>
      <c r="T880" s="7"/>
      <c r="U880" s="7"/>
      <c r="V880" s="7"/>
      <c r="W880" s="7"/>
      <c r="X880" s="7"/>
      <c r="Y880" s="7"/>
      <c r="Z880" s="7"/>
      <c r="AA880" s="7"/>
    </row>
    <row r="881">
      <c r="A881" s="54"/>
      <c r="B881" s="54"/>
      <c r="C881" s="7"/>
      <c r="D881" s="7"/>
      <c r="E881" s="7"/>
      <c r="F881" s="54"/>
      <c r="G881" s="54"/>
      <c r="H881" s="54"/>
      <c r="I881" s="54"/>
      <c r="J881" s="54"/>
      <c r="K881" s="54"/>
      <c r="L881" s="54"/>
      <c r="M881" s="54"/>
      <c r="N881" s="54"/>
      <c r="O881" s="54"/>
      <c r="P881" s="7"/>
      <c r="Q881" s="7"/>
      <c r="R881" s="7"/>
      <c r="S881" s="7"/>
      <c r="T881" s="7"/>
      <c r="U881" s="7"/>
      <c r="V881" s="7"/>
      <c r="W881" s="7"/>
      <c r="X881" s="7"/>
      <c r="Y881" s="7"/>
      <c r="Z881" s="7"/>
      <c r="AA881" s="7"/>
    </row>
    <row r="882">
      <c r="A882" s="54"/>
      <c r="B882" s="54"/>
      <c r="C882" s="7"/>
      <c r="D882" s="7"/>
      <c r="E882" s="7"/>
      <c r="F882" s="54"/>
      <c r="G882" s="54"/>
      <c r="H882" s="54"/>
      <c r="I882" s="54"/>
      <c r="J882" s="54"/>
      <c r="K882" s="54"/>
      <c r="L882" s="54"/>
      <c r="M882" s="54"/>
      <c r="N882" s="54"/>
      <c r="O882" s="54"/>
      <c r="P882" s="7"/>
      <c r="Q882" s="7"/>
      <c r="R882" s="7"/>
      <c r="S882" s="7"/>
      <c r="T882" s="7"/>
      <c r="U882" s="7"/>
      <c r="V882" s="7"/>
      <c r="W882" s="7"/>
      <c r="X882" s="7"/>
      <c r="Y882" s="7"/>
      <c r="Z882" s="7"/>
      <c r="AA882" s="7"/>
    </row>
    <row r="883">
      <c r="A883" s="54"/>
      <c r="B883" s="54"/>
      <c r="C883" s="7"/>
      <c r="D883" s="7"/>
      <c r="E883" s="7"/>
      <c r="F883" s="54"/>
      <c r="G883" s="54"/>
      <c r="H883" s="54"/>
      <c r="I883" s="54"/>
      <c r="J883" s="54"/>
      <c r="K883" s="54"/>
      <c r="L883" s="54"/>
      <c r="M883" s="54"/>
      <c r="N883" s="54"/>
      <c r="O883" s="54"/>
      <c r="P883" s="7"/>
      <c r="Q883" s="7"/>
      <c r="R883" s="7"/>
      <c r="S883" s="7"/>
      <c r="T883" s="7"/>
      <c r="U883" s="7"/>
      <c r="V883" s="7"/>
      <c r="W883" s="7"/>
      <c r="X883" s="7"/>
      <c r="Y883" s="7"/>
      <c r="Z883" s="7"/>
      <c r="AA883" s="7"/>
    </row>
    <row r="884">
      <c r="A884" s="54"/>
      <c r="B884" s="54"/>
      <c r="C884" s="7"/>
      <c r="D884" s="7"/>
      <c r="E884" s="7"/>
      <c r="F884" s="54"/>
      <c r="G884" s="54"/>
      <c r="H884" s="54"/>
      <c r="I884" s="54"/>
      <c r="J884" s="54"/>
      <c r="K884" s="54"/>
      <c r="L884" s="54"/>
      <c r="M884" s="54"/>
      <c r="N884" s="54"/>
      <c r="O884" s="54"/>
      <c r="P884" s="7"/>
      <c r="Q884" s="7"/>
      <c r="R884" s="7"/>
      <c r="S884" s="7"/>
      <c r="T884" s="7"/>
      <c r="U884" s="7"/>
      <c r="V884" s="7"/>
      <c r="W884" s="7"/>
      <c r="X884" s="7"/>
      <c r="Y884" s="7"/>
      <c r="Z884" s="7"/>
      <c r="AA884" s="7"/>
    </row>
    <row r="885">
      <c r="A885" s="54"/>
      <c r="B885" s="54"/>
      <c r="C885" s="7"/>
      <c r="D885" s="7"/>
      <c r="E885" s="7"/>
      <c r="F885" s="54"/>
      <c r="G885" s="54"/>
      <c r="H885" s="54"/>
      <c r="I885" s="54"/>
      <c r="J885" s="54"/>
      <c r="K885" s="54"/>
      <c r="L885" s="54"/>
      <c r="M885" s="54"/>
      <c r="N885" s="54"/>
      <c r="O885" s="54"/>
      <c r="P885" s="7"/>
      <c r="Q885" s="7"/>
      <c r="R885" s="7"/>
      <c r="S885" s="7"/>
      <c r="T885" s="7"/>
      <c r="U885" s="7"/>
      <c r="V885" s="7"/>
      <c r="W885" s="7"/>
      <c r="X885" s="7"/>
      <c r="Y885" s="7"/>
      <c r="Z885" s="7"/>
      <c r="AA885" s="7"/>
    </row>
    <row r="886">
      <c r="A886" s="54"/>
      <c r="B886" s="54"/>
      <c r="C886" s="7"/>
      <c r="D886" s="7"/>
      <c r="E886" s="7"/>
      <c r="F886" s="54"/>
      <c r="G886" s="54"/>
      <c r="H886" s="54"/>
      <c r="I886" s="54"/>
      <c r="J886" s="54"/>
      <c r="K886" s="54"/>
      <c r="L886" s="54"/>
      <c r="M886" s="54"/>
      <c r="N886" s="54"/>
      <c r="O886" s="54"/>
      <c r="P886" s="7"/>
      <c r="Q886" s="7"/>
      <c r="R886" s="7"/>
      <c r="S886" s="7"/>
      <c r="T886" s="7"/>
      <c r="U886" s="7"/>
      <c r="V886" s="7"/>
      <c r="W886" s="7"/>
      <c r="X886" s="7"/>
      <c r="Y886" s="7"/>
      <c r="Z886" s="7"/>
      <c r="AA886" s="7"/>
    </row>
    <row r="887">
      <c r="A887" s="54"/>
      <c r="B887" s="54"/>
      <c r="C887" s="7"/>
      <c r="D887" s="7"/>
      <c r="E887" s="7"/>
      <c r="F887" s="54"/>
      <c r="G887" s="54"/>
      <c r="H887" s="54"/>
      <c r="I887" s="54"/>
      <c r="J887" s="54"/>
      <c r="K887" s="54"/>
      <c r="L887" s="54"/>
      <c r="M887" s="54"/>
      <c r="N887" s="54"/>
      <c r="O887" s="54"/>
      <c r="P887" s="7"/>
      <c r="Q887" s="7"/>
      <c r="R887" s="7"/>
      <c r="S887" s="7"/>
      <c r="T887" s="7"/>
      <c r="U887" s="7"/>
      <c r="V887" s="7"/>
      <c r="W887" s="7"/>
      <c r="X887" s="7"/>
      <c r="Y887" s="7"/>
      <c r="Z887" s="7"/>
      <c r="AA887" s="7"/>
    </row>
    <row r="888">
      <c r="A888" s="54"/>
      <c r="B888" s="54"/>
      <c r="C888" s="7"/>
      <c r="D888" s="7"/>
      <c r="E888" s="7"/>
      <c r="F888" s="54"/>
      <c r="G888" s="54"/>
      <c r="H888" s="54"/>
      <c r="I888" s="54"/>
      <c r="J888" s="54"/>
      <c r="K888" s="54"/>
      <c r="L888" s="54"/>
      <c r="M888" s="54"/>
      <c r="N888" s="54"/>
      <c r="O888" s="54"/>
      <c r="P888" s="7"/>
      <c r="Q888" s="7"/>
      <c r="R888" s="7"/>
      <c r="S888" s="7"/>
      <c r="T888" s="7"/>
      <c r="U888" s="7"/>
      <c r="V888" s="7"/>
      <c r="W888" s="7"/>
      <c r="X888" s="7"/>
      <c r="Y888" s="7"/>
      <c r="Z888" s="7"/>
      <c r="AA888" s="7"/>
    </row>
    <row r="889">
      <c r="A889" s="54"/>
      <c r="B889" s="54"/>
      <c r="C889" s="7"/>
      <c r="D889" s="7"/>
      <c r="E889" s="7"/>
      <c r="F889" s="54"/>
      <c r="G889" s="54"/>
      <c r="H889" s="54"/>
      <c r="I889" s="54"/>
      <c r="J889" s="54"/>
      <c r="K889" s="54"/>
      <c r="L889" s="54"/>
      <c r="M889" s="54"/>
      <c r="N889" s="54"/>
      <c r="O889" s="54"/>
      <c r="P889" s="7"/>
      <c r="Q889" s="7"/>
      <c r="R889" s="7"/>
      <c r="S889" s="7"/>
      <c r="T889" s="7"/>
      <c r="U889" s="7"/>
      <c r="V889" s="7"/>
      <c r="W889" s="7"/>
      <c r="X889" s="7"/>
      <c r="Y889" s="7"/>
      <c r="Z889" s="7"/>
      <c r="AA889" s="7"/>
    </row>
    <row r="890">
      <c r="A890" s="54"/>
      <c r="B890" s="54"/>
      <c r="C890" s="7"/>
      <c r="D890" s="7"/>
      <c r="E890" s="7"/>
      <c r="F890" s="54"/>
      <c r="G890" s="54"/>
      <c r="H890" s="54"/>
      <c r="I890" s="54"/>
      <c r="J890" s="54"/>
      <c r="K890" s="54"/>
      <c r="L890" s="54"/>
      <c r="M890" s="54"/>
      <c r="N890" s="54"/>
      <c r="O890" s="54"/>
      <c r="P890" s="7"/>
      <c r="Q890" s="7"/>
      <c r="R890" s="7"/>
      <c r="S890" s="7"/>
      <c r="T890" s="7"/>
      <c r="U890" s="7"/>
      <c r="V890" s="7"/>
      <c r="W890" s="7"/>
      <c r="X890" s="7"/>
      <c r="Y890" s="7"/>
      <c r="Z890" s="7"/>
      <c r="AA890" s="7"/>
    </row>
    <row r="891">
      <c r="A891" s="54"/>
      <c r="B891" s="54"/>
      <c r="C891" s="7"/>
      <c r="D891" s="7"/>
      <c r="E891" s="7"/>
      <c r="F891" s="54"/>
      <c r="G891" s="54"/>
      <c r="H891" s="54"/>
      <c r="I891" s="54"/>
      <c r="J891" s="54"/>
      <c r="K891" s="54"/>
      <c r="L891" s="54"/>
      <c r="M891" s="54"/>
      <c r="N891" s="54"/>
      <c r="O891" s="54"/>
      <c r="P891" s="7"/>
      <c r="Q891" s="7"/>
      <c r="R891" s="7"/>
      <c r="S891" s="7"/>
      <c r="T891" s="7"/>
      <c r="U891" s="7"/>
      <c r="V891" s="7"/>
      <c r="W891" s="7"/>
      <c r="X891" s="7"/>
      <c r="Y891" s="7"/>
      <c r="Z891" s="7"/>
      <c r="AA891" s="7"/>
    </row>
    <row r="892">
      <c r="A892" s="54"/>
      <c r="B892" s="54"/>
      <c r="C892" s="7"/>
      <c r="D892" s="7"/>
      <c r="E892" s="7"/>
      <c r="F892" s="54"/>
      <c r="G892" s="54"/>
      <c r="H892" s="54"/>
      <c r="I892" s="54"/>
      <c r="J892" s="54"/>
      <c r="K892" s="54"/>
      <c r="L892" s="54"/>
      <c r="M892" s="54"/>
      <c r="N892" s="54"/>
      <c r="O892" s="54"/>
      <c r="P892" s="7"/>
      <c r="Q892" s="7"/>
      <c r="R892" s="7"/>
      <c r="S892" s="7"/>
      <c r="T892" s="7"/>
      <c r="U892" s="7"/>
      <c r="V892" s="7"/>
      <c r="W892" s="7"/>
      <c r="X892" s="7"/>
      <c r="Y892" s="7"/>
      <c r="Z892" s="7"/>
      <c r="AA892" s="7"/>
    </row>
    <row r="893">
      <c r="A893" s="54"/>
      <c r="B893" s="54"/>
      <c r="C893" s="7"/>
      <c r="D893" s="7"/>
      <c r="E893" s="7"/>
      <c r="F893" s="54"/>
      <c r="G893" s="54"/>
      <c r="H893" s="54"/>
      <c r="I893" s="54"/>
      <c r="J893" s="54"/>
      <c r="K893" s="54"/>
      <c r="L893" s="54"/>
      <c r="M893" s="54"/>
      <c r="N893" s="54"/>
      <c r="O893" s="54"/>
      <c r="P893" s="7"/>
      <c r="Q893" s="7"/>
      <c r="R893" s="7"/>
      <c r="S893" s="7"/>
      <c r="T893" s="7"/>
      <c r="U893" s="7"/>
      <c r="V893" s="7"/>
      <c r="W893" s="7"/>
      <c r="X893" s="7"/>
      <c r="Y893" s="7"/>
      <c r="Z893" s="7"/>
      <c r="AA893" s="7"/>
    </row>
    <row r="894">
      <c r="A894" s="54"/>
      <c r="B894" s="54"/>
      <c r="C894" s="7"/>
      <c r="D894" s="7"/>
      <c r="E894" s="7"/>
      <c r="F894" s="54"/>
      <c r="G894" s="54"/>
      <c r="H894" s="54"/>
      <c r="I894" s="54"/>
      <c r="J894" s="54"/>
      <c r="K894" s="54"/>
      <c r="L894" s="54"/>
      <c r="M894" s="54"/>
      <c r="N894" s="54"/>
      <c r="O894" s="54"/>
      <c r="P894" s="7"/>
      <c r="Q894" s="7"/>
      <c r="R894" s="7"/>
      <c r="S894" s="7"/>
      <c r="T894" s="7"/>
      <c r="U894" s="7"/>
      <c r="V894" s="7"/>
      <c r="W894" s="7"/>
      <c r="X894" s="7"/>
      <c r="Y894" s="7"/>
      <c r="Z894" s="7"/>
      <c r="AA894" s="7"/>
    </row>
    <row r="895">
      <c r="A895" s="54"/>
      <c r="B895" s="54"/>
      <c r="C895" s="7"/>
      <c r="D895" s="7"/>
      <c r="E895" s="7"/>
      <c r="F895" s="54"/>
      <c r="G895" s="54"/>
      <c r="H895" s="54"/>
      <c r="I895" s="54"/>
      <c r="J895" s="54"/>
      <c r="K895" s="54"/>
      <c r="L895" s="54"/>
      <c r="M895" s="54"/>
      <c r="N895" s="54"/>
      <c r="O895" s="54"/>
      <c r="P895" s="7"/>
      <c r="Q895" s="7"/>
      <c r="R895" s="7"/>
      <c r="S895" s="7"/>
      <c r="T895" s="7"/>
      <c r="U895" s="7"/>
      <c r="V895" s="7"/>
      <c r="W895" s="7"/>
      <c r="X895" s="7"/>
      <c r="Y895" s="7"/>
      <c r="Z895" s="7"/>
      <c r="AA895" s="7"/>
    </row>
    <row r="896">
      <c r="A896" s="54"/>
      <c r="B896" s="54"/>
      <c r="C896" s="7"/>
      <c r="D896" s="7"/>
      <c r="E896" s="7"/>
      <c r="F896" s="54"/>
      <c r="G896" s="54"/>
      <c r="H896" s="54"/>
      <c r="I896" s="54"/>
      <c r="J896" s="54"/>
      <c r="K896" s="54"/>
      <c r="L896" s="54"/>
      <c r="M896" s="54"/>
      <c r="N896" s="54"/>
      <c r="O896" s="54"/>
      <c r="P896" s="7"/>
      <c r="Q896" s="7"/>
      <c r="R896" s="7"/>
      <c r="S896" s="7"/>
      <c r="T896" s="7"/>
      <c r="U896" s="7"/>
      <c r="V896" s="7"/>
      <c r="W896" s="7"/>
      <c r="X896" s="7"/>
      <c r="Y896" s="7"/>
      <c r="Z896" s="7"/>
      <c r="AA896" s="7"/>
    </row>
    <row r="897">
      <c r="A897" s="54"/>
      <c r="B897" s="54"/>
      <c r="C897" s="7"/>
      <c r="D897" s="7"/>
      <c r="E897" s="7"/>
      <c r="F897" s="54"/>
      <c r="G897" s="54"/>
      <c r="H897" s="54"/>
      <c r="I897" s="54"/>
      <c r="J897" s="54"/>
      <c r="K897" s="54"/>
      <c r="L897" s="54"/>
      <c r="M897" s="54"/>
      <c r="N897" s="54"/>
      <c r="O897" s="54"/>
      <c r="P897" s="7"/>
      <c r="Q897" s="7"/>
      <c r="R897" s="7"/>
      <c r="S897" s="7"/>
      <c r="T897" s="7"/>
      <c r="U897" s="7"/>
      <c r="V897" s="7"/>
      <c r="W897" s="7"/>
      <c r="X897" s="7"/>
      <c r="Y897" s="7"/>
      <c r="Z897" s="7"/>
      <c r="AA897" s="7"/>
    </row>
    <row r="898">
      <c r="A898" s="54"/>
      <c r="B898" s="54"/>
      <c r="C898" s="7"/>
      <c r="D898" s="7"/>
      <c r="E898" s="7"/>
      <c r="F898" s="54"/>
      <c r="G898" s="54"/>
      <c r="H898" s="54"/>
      <c r="I898" s="54"/>
      <c r="J898" s="54"/>
      <c r="K898" s="54"/>
      <c r="L898" s="54"/>
      <c r="M898" s="54"/>
      <c r="N898" s="54"/>
      <c r="O898" s="54"/>
      <c r="P898" s="7"/>
      <c r="Q898" s="7"/>
      <c r="R898" s="7"/>
      <c r="S898" s="7"/>
      <c r="T898" s="7"/>
      <c r="U898" s="7"/>
      <c r="V898" s="7"/>
      <c r="W898" s="7"/>
      <c r="X898" s="7"/>
      <c r="Y898" s="7"/>
      <c r="Z898" s="7"/>
      <c r="AA898" s="7"/>
    </row>
    <row r="899">
      <c r="A899" s="54"/>
      <c r="B899" s="54"/>
      <c r="C899" s="7"/>
      <c r="D899" s="7"/>
      <c r="E899" s="7"/>
      <c r="F899" s="54"/>
      <c r="G899" s="54"/>
      <c r="H899" s="54"/>
      <c r="I899" s="54"/>
      <c r="J899" s="54"/>
      <c r="K899" s="54"/>
      <c r="L899" s="54"/>
      <c r="M899" s="54"/>
      <c r="N899" s="54"/>
      <c r="O899" s="54"/>
      <c r="P899" s="7"/>
      <c r="Q899" s="7"/>
      <c r="R899" s="7"/>
      <c r="S899" s="7"/>
      <c r="T899" s="7"/>
      <c r="U899" s="7"/>
      <c r="V899" s="7"/>
      <c r="W899" s="7"/>
      <c r="X899" s="7"/>
      <c r="Y899" s="7"/>
      <c r="Z899" s="7"/>
      <c r="AA899" s="7"/>
    </row>
    <row r="900">
      <c r="A900" s="54"/>
      <c r="B900" s="54"/>
      <c r="C900" s="7"/>
      <c r="D900" s="7"/>
      <c r="E900" s="7"/>
      <c r="F900" s="54"/>
      <c r="G900" s="54"/>
      <c r="H900" s="54"/>
      <c r="I900" s="54"/>
      <c r="J900" s="54"/>
      <c r="K900" s="54"/>
      <c r="L900" s="54"/>
      <c r="M900" s="54"/>
      <c r="N900" s="54"/>
      <c r="O900" s="54"/>
      <c r="P900" s="7"/>
      <c r="Q900" s="7"/>
      <c r="R900" s="7"/>
      <c r="S900" s="7"/>
      <c r="T900" s="7"/>
      <c r="U900" s="7"/>
      <c r="V900" s="7"/>
      <c r="W900" s="7"/>
      <c r="X900" s="7"/>
      <c r="Y900" s="7"/>
      <c r="Z900" s="7"/>
      <c r="AA900" s="7"/>
    </row>
    <row r="901">
      <c r="A901" s="54"/>
      <c r="B901" s="54"/>
      <c r="C901" s="7"/>
      <c r="D901" s="7"/>
      <c r="E901" s="7"/>
      <c r="F901" s="54"/>
      <c r="G901" s="54"/>
      <c r="H901" s="54"/>
      <c r="I901" s="54"/>
      <c r="J901" s="54"/>
      <c r="K901" s="54"/>
      <c r="L901" s="54"/>
      <c r="M901" s="54"/>
      <c r="N901" s="54"/>
      <c r="O901" s="54"/>
      <c r="P901" s="7"/>
      <c r="Q901" s="7"/>
      <c r="R901" s="7"/>
      <c r="S901" s="7"/>
      <c r="T901" s="7"/>
      <c r="U901" s="7"/>
      <c r="V901" s="7"/>
      <c r="W901" s="7"/>
      <c r="X901" s="7"/>
      <c r="Y901" s="7"/>
      <c r="Z901" s="7"/>
      <c r="AA901" s="7"/>
    </row>
    <row r="902">
      <c r="A902" s="54"/>
      <c r="B902" s="54"/>
      <c r="C902" s="7"/>
      <c r="D902" s="7"/>
      <c r="E902" s="7"/>
      <c r="F902" s="54"/>
      <c r="G902" s="54"/>
      <c r="H902" s="54"/>
      <c r="I902" s="54"/>
      <c r="J902" s="54"/>
      <c r="K902" s="54"/>
      <c r="L902" s="54"/>
      <c r="M902" s="54"/>
      <c r="N902" s="54"/>
      <c r="O902" s="54"/>
      <c r="P902" s="7"/>
      <c r="Q902" s="7"/>
      <c r="R902" s="7"/>
      <c r="S902" s="7"/>
      <c r="T902" s="7"/>
      <c r="U902" s="7"/>
      <c r="V902" s="7"/>
      <c r="W902" s="7"/>
      <c r="X902" s="7"/>
      <c r="Y902" s="7"/>
      <c r="Z902" s="7"/>
      <c r="AA902" s="7"/>
    </row>
    <row r="903">
      <c r="A903" s="54"/>
      <c r="B903" s="54"/>
      <c r="C903" s="7"/>
      <c r="D903" s="7"/>
      <c r="E903" s="7"/>
      <c r="F903" s="54"/>
      <c r="G903" s="54"/>
      <c r="H903" s="54"/>
      <c r="I903" s="54"/>
      <c r="J903" s="54"/>
      <c r="K903" s="54"/>
      <c r="L903" s="54"/>
      <c r="M903" s="54"/>
      <c r="N903" s="54"/>
      <c r="O903" s="54"/>
      <c r="P903" s="7"/>
      <c r="Q903" s="7"/>
      <c r="R903" s="7"/>
      <c r="S903" s="7"/>
      <c r="T903" s="7"/>
      <c r="U903" s="7"/>
      <c r="V903" s="7"/>
      <c r="W903" s="7"/>
      <c r="X903" s="7"/>
      <c r="Y903" s="7"/>
      <c r="Z903" s="7"/>
      <c r="AA903" s="7"/>
    </row>
    <row r="904">
      <c r="A904" s="54"/>
      <c r="B904" s="54"/>
      <c r="C904" s="7"/>
      <c r="D904" s="7"/>
      <c r="E904" s="7"/>
      <c r="F904" s="54"/>
      <c r="G904" s="54"/>
      <c r="H904" s="54"/>
      <c r="I904" s="54"/>
      <c r="J904" s="54"/>
      <c r="K904" s="54"/>
      <c r="L904" s="54"/>
      <c r="M904" s="54"/>
      <c r="N904" s="54"/>
      <c r="O904" s="54"/>
      <c r="P904" s="7"/>
      <c r="Q904" s="7"/>
      <c r="R904" s="7"/>
      <c r="S904" s="7"/>
      <c r="T904" s="7"/>
      <c r="U904" s="7"/>
      <c r="V904" s="7"/>
      <c r="W904" s="7"/>
      <c r="X904" s="7"/>
      <c r="Y904" s="7"/>
      <c r="Z904" s="7"/>
      <c r="AA904" s="7"/>
    </row>
    <row r="905">
      <c r="A905" s="54"/>
      <c r="B905" s="54"/>
      <c r="C905" s="7"/>
      <c r="D905" s="7"/>
      <c r="E905" s="7"/>
      <c r="F905" s="54"/>
      <c r="G905" s="54"/>
      <c r="H905" s="54"/>
      <c r="I905" s="54"/>
      <c r="J905" s="54"/>
      <c r="K905" s="54"/>
      <c r="L905" s="54"/>
      <c r="M905" s="54"/>
      <c r="N905" s="54"/>
      <c r="O905" s="54"/>
      <c r="P905" s="7"/>
      <c r="Q905" s="7"/>
      <c r="R905" s="7"/>
      <c r="S905" s="7"/>
      <c r="T905" s="7"/>
      <c r="U905" s="7"/>
      <c r="V905" s="7"/>
      <c r="W905" s="7"/>
      <c r="X905" s="7"/>
      <c r="Y905" s="7"/>
      <c r="Z905" s="7"/>
      <c r="AA905" s="7"/>
    </row>
    <row r="906">
      <c r="A906" s="54"/>
      <c r="B906" s="54"/>
      <c r="C906" s="7"/>
      <c r="D906" s="7"/>
      <c r="E906" s="7"/>
      <c r="F906" s="54"/>
      <c r="G906" s="54"/>
      <c r="H906" s="54"/>
      <c r="I906" s="54"/>
      <c r="J906" s="54"/>
      <c r="K906" s="54"/>
      <c r="L906" s="54"/>
      <c r="M906" s="54"/>
      <c r="N906" s="54"/>
      <c r="O906" s="54"/>
      <c r="P906" s="7"/>
      <c r="Q906" s="7"/>
      <c r="R906" s="7"/>
      <c r="S906" s="7"/>
      <c r="T906" s="7"/>
      <c r="U906" s="7"/>
      <c r="V906" s="7"/>
      <c r="W906" s="7"/>
      <c r="X906" s="7"/>
      <c r="Y906" s="7"/>
      <c r="Z906" s="7"/>
      <c r="AA906" s="7"/>
    </row>
    <row r="907">
      <c r="A907" s="54"/>
      <c r="B907" s="54"/>
      <c r="C907" s="7"/>
      <c r="D907" s="7"/>
      <c r="E907" s="7"/>
      <c r="F907" s="54"/>
      <c r="G907" s="54"/>
      <c r="H907" s="54"/>
      <c r="I907" s="54"/>
      <c r="J907" s="54"/>
      <c r="K907" s="54"/>
      <c r="L907" s="54"/>
      <c r="M907" s="54"/>
      <c r="N907" s="54"/>
      <c r="O907" s="54"/>
      <c r="P907" s="7"/>
      <c r="Q907" s="7"/>
      <c r="R907" s="7"/>
      <c r="S907" s="7"/>
      <c r="T907" s="7"/>
      <c r="U907" s="7"/>
      <c r="V907" s="7"/>
      <c r="W907" s="7"/>
      <c r="X907" s="7"/>
      <c r="Y907" s="7"/>
      <c r="Z907" s="7"/>
      <c r="AA907" s="7"/>
    </row>
    <row r="908">
      <c r="A908" s="54"/>
      <c r="B908" s="54"/>
      <c r="C908" s="7"/>
      <c r="D908" s="7"/>
      <c r="E908" s="7"/>
      <c r="F908" s="54"/>
      <c r="G908" s="54"/>
      <c r="H908" s="54"/>
      <c r="I908" s="54"/>
      <c r="J908" s="54"/>
      <c r="K908" s="54"/>
      <c r="L908" s="54"/>
      <c r="M908" s="54"/>
      <c r="N908" s="54"/>
      <c r="O908" s="54"/>
      <c r="P908" s="7"/>
      <c r="Q908" s="7"/>
      <c r="R908" s="7"/>
      <c r="S908" s="7"/>
      <c r="T908" s="7"/>
      <c r="U908" s="7"/>
      <c r="V908" s="7"/>
      <c r="W908" s="7"/>
      <c r="X908" s="7"/>
      <c r="Y908" s="7"/>
      <c r="Z908" s="7"/>
      <c r="AA908" s="7"/>
    </row>
    <row r="909">
      <c r="A909" s="54"/>
      <c r="B909" s="54"/>
      <c r="C909" s="7"/>
      <c r="D909" s="7"/>
      <c r="E909" s="7"/>
      <c r="F909" s="54"/>
      <c r="G909" s="54"/>
      <c r="H909" s="54"/>
      <c r="I909" s="54"/>
      <c r="J909" s="54"/>
      <c r="K909" s="54"/>
      <c r="L909" s="54"/>
      <c r="M909" s="54"/>
      <c r="N909" s="54"/>
      <c r="O909" s="54"/>
      <c r="P909" s="7"/>
      <c r="Q909" s="7"/>
      <c r="R909" s="7"/>
      <c r="S909" s="7"/>
      <c r="T909" s="7"/>
      <c r="U909" s="7"/>
      <c r="V909" s="7"/>
      <c r="W909" s="7"/>
      <c r="X909" s="7"/>
      <c r="Y909" s="7"/>
      <c r="Z909" s="7"/>
      <c r="AA909" s="7"/>
    </row>
    <row r="910">
      <c r="A910" s="54"/>
      <c r="B910" s="54"/>
      <c r="C910" s="7"/>
      <c r="D910" s="7"/>
      <c r="E910" s="7"/>
      <c r="F910" s="54"/>
      <c r="G910" s="54"/>
      <c r="H910" s="54"/>
      <c r="I910" s="54"/>
      <c r="J910" s="54"/>
      <c r="K910" s="54"/>
      <c r="L910" s="54"/>
      <c r="M910" s="54"/>
      <c r="N910" s="54"/>
      <c r="O910" s="54"/>
      <c r="P910" s="7"/>
      <c r="Q910" s="7"/>
      <c r="R910" s="7"/>
      <c r="S910" s="7"/>
      <c r="T910" s="7"/>
      <c r="U910" s="7"/>
      <c r="V910" s="7"/>
      <c r="W910" s="7"/>
      <c r="X910" s="7"/>
      <c r="Y910" s="7"/>
      <c r="Z910" s="7"/>
      <c r="AA910" s="7"/>
    </row>
    <row r="911">
      <c r="A911" s="54"/>
      <c r="B911" s="54"/>
      <c r="C911" s="7"/>
      <c r="D911" s="7"/>
      <c r="E911" s="7"/>
      <c r="F911" s="54"/>
      <c r="G911" s="54"/>
      <c r="H911" s="54"/>
      <c r="I911" s="54"/>
      <c r="J911" s="54"/>
      <c r="K911" s="54"/>
      <c r="L911" s="54"/>
      <c r="M911" s="54"/>
      <c r="N911" s="54"/>
      <c r="O911" s="54"/>
      <c r="P911" s="7"/>
      <c r="Q911" s="7"/>
      <c r="R911" s="7"/>
      <c r="S911" s="7"/>
      <c r="T911" s="7"/>
      <c r="U911" s="7"/>
      <c r="V911" s="7"/>
      <c r="W911" s="7"/>
      <c r="X911" s="7"/>
      <c r="Y911" s="7"/>
      <c r="Z911" s="7"/>
      <c r="AA911" s="7"/>
    </row>
    <row r="912">
      <c r="A912" s="54"/>
      <c r="B912" s="54"/>
      <c r="C912" s="7"/>
      <c r="D912" s="7"/>
      <c r="E912" s="7"/>
      <c r="F912" s="54"/>
      <c r="G912" s="54"/>
      <c r="H912" s="54"/>
      <c r="I912" s="54"/>
      <c r="J912" s="54"/>
      <c r="K912" s="54"/>
      <c r="L912" s="54"/>
      <c r="M912" s="54"/>
      <c r="N912" s="54"/>
      <c r="O912" s="54"/>
      <c r="P912" s="7"/>
      <c r="Q912" s="7"/>
      <c r="R912" s="7"/>
      <c r="S912" s="7"/>
      <c r="T912" s="7"/>
      <c r="U912" s="7"/>
      <c r="V912" s="7"/>
      <c r="W912" s="7"/>
      <c r="X912" s="7"/>
      <c r="Y912" s="7"/>
      <c r="Z912" s="7"/>
      <c r="AA912" s="7"/>
    </row>
    <row r="913">
      <c r="A913" s="54"/>
      <c r="B913" s="54"/>
      <c r="C913" s="7"/>
      <c r="D913" s="7"/>
      <c r="E913" s="7"/>
      <c r="F913" s="54"/>
      <c r="G913" s="54"/>
      <c r="H913" s="54"/>
      <c r="I913" s="54"/>
      <c r="J913" s="54"/>
      <c r="K913" s="54"/>
      <c r="L913" s="54"/>
      <c r="M913" s="54"/>
      <c r="N913" s="54"/>
      <c r="O913" s="54"/>
      <c r="P913" s="7"/>
      <c r="Q913" s="7"/>
      <c r="R913" s="7"/>
      <c r="S913" s="7"/>
      <c r="T913" s="7"/>
      <c r="U913" s="7"/>
      <c r="V913" s="7"/>
      <c r="W913" s="7"/>
      <c r="X913" s="7"/>
      <c r="Y913" s="7"/>
      <c r="Z913" s="7"/>
      <c r="AA913" s="7"/>
    </row>
    <row r="914">
      <c r="A914" s="54"/>
      <c r="B914" s="54"/>
      <c r="C914" s="7"/>
      <c r="D914" s="7"/>
      <c r="E914" s="7"/>
      <c r="F914" s="54"/>
      <c r="G914" s="54"/>
      <c r="H914" s="54"/>
      <c r="I914" s="54"/>
      <c r="J914" s="54"/>
      <c r="K914" s="54"/>
      <c r="L914" s="54"/>
      <c r="M914" s="54"/>
      <c r="N914" s="54"/>
      <c r="O914" s="54"/>
      <c r="P914" s="7"/>
      <c r="Q914" s="7"/>
      <c r="R914" s="7"/>
      <c r="S914" s="7"/>
      <c r="T914" s="7"/>
      <c r="U914" s="7"/>
      <c r="V914" s="7"/>
      <c r="W914" s="7"/>
      <c r="X914" s="7"/>
      <c r="Y914" s="7"/>
      <c r="Z914" s="7"/>
      <c r="AA914" s="7"/>
    </row>
    <row r="915">
      <c r="A915" s="54"/>
      <c r="B915" s="54"/>
      <c r="C915" s="7"/>
      <c r="D915" s="7"/>
      <c r="E915" s="7"/>
      <c r="F915" s="54"/>
      <c r="G915" s="54"/>
      <c r="H915" s="54"/>
      <c r="I915" s="54"/>
      <c r="J915" s="54"/>
      <c r="K915" s="54"/>
      <c r="L915" s="54"/>
      <c r="M915" s="54"/>
      <c r="N915" s="54"/>
      <c r="O915" s="54"/>
      <c r="P915" s="7"/>
      <c r="Q915" s="7"/>
      <c r="R915" s="7"/>
      <c r="S915" s="7"/>
      <c r="T915" s="7"/>
      <c r="U915" s="7"/>
      <c r="V915" s="7"/>
      <c r="W915" s="7"/>
      <c r="X915" s="7"/>
      <c r="Y915" s="7"/>
      <c r="Z915" s="7"/>
      <c r="AA915" s="7"/>
    </row>
    <row r="916">
      <c r="A916" s="54"/>
      <c r="B916" s="54"/>
      <c r="C916" s="7"/>
      <c r="D916" s="7"/>
      <c r="E916" s="7"/>
      <c r="F916" s="54"/>
      <c r="G916" s="54"/>
      <c r="H916" s="54"/>
      <c r="I916" s="54"/>
      <c r="J916" s="54"/>
      <c r="K916" s="54"/>
      <c r="L916" s="54"/>
      <c r="M916" s="54"/>
      <c r="N916" s="54"/>
      <c r="O916" s="54"/>
      <c r="P916" s="7"/>
      <c r="Q916" s="7"/>
      <c r="R916" s="7"/>
      <c r="S916" s="7"/>
      <c r="T916" s="7"/>
      <c r="U916" s="7"/>
      <c r="V916" s="7"/>
      <c r="W916" s="7"/>
      <c r="X916" s="7"/>
      <c r="Y916" s="7"/>
      <c r="Z916" s="7"/>
      <c r="AA916" s="7"/>
    </row>
    <row r="917">
      <c r="A917" s="54"/>
      <c r="B917" s="54"/>
      <c r="C917" s="7"/>
      <c r="D917" s="7"/>
      <c r="E917" s="7"/>
      <c r="F917" s="54"/>
      <c r="G917" s="54"/>
      <c r="H917" s="54"/>
      <c r="I917" s="54"/>
      <c r="J917" s="54"/>
      <c r="K917" s="54"/>
      <c r="L917" s="54"/>
      <c r="M917" s="54"/>
      <c r="N917" s="54"/>
      <c r="O917" s="54"/>
      <c r="P917" s="7"/>
      <c r="Q917" s="7"/>
      <c r="R917" s="7"/>
      <c r="S917" s="7"/>
      <c r="T917" s="7"/>
      <c r="U917" s="7"/>
      <c r="V917" s="7"/>
      <c r="W917" s="7"/>
      <c r="X917" s="7"/>
      <c r="Y917" s="7"/>
      <c r="Z917" s="7"/>
      <c r="AA917" s="7"/>
    </row>
    <row r="918">
      <c r="A918" s="54"/>
      <c r="B918" s="54"/>
      <c r="C918" s="7"/>
      <c r="D918" s="7"/>
      <c r="E918" s="7"/>
      <c r="F918" s="54"/>
      <c r="G918" s="54"/>
      <c r="H918" s="54"/>
      <c r="I918" s="54"/>
      <c r="J918" s="54"/>
      <c r="K918" s="54"/>
      <c r="L918" s="54"/>
      <c r="M918" s="54"/>
      <c r="N918" s="54"/>
      <c r="O918" s="54"/>
      <c r="P918" s="7"/>
      <c r="Q918" s="7"/>
      <c r="R918" s="7"/>
      <c r="S918" s="7"/>
      <c r="T918" s="7"/>
      <c r="U918" s="7"/>
      <c r="V918" s="7"/>
      <c r="W918" s="7"/>
      <c r="X918" s="7"/>
      <c r="Y918" s="7"/>
      <c r="Z918" s="7"/>
      <c r="AA918" s="7"/>
    </row>
    <row r="919">
      <c r="A919" s="54"/>
      <c r="B919" s="54"/>
      <c r="C919" s="7"/>
      <c r="D919" s="7"/>
      <c r="E919" s="7"/>
      <c r="F919" s="54"/>
      <c r="G919" s="54"/>
      <c r="H919" s="54"/>
      <c r="I919" s="54"/>
      <c r="J919" s="54"/>
      <c r="K919" s="54"/>
      <c r="L919" s="54"/>
      <c r="M919" s="54"/>
      <c r="N919" s="54"/>
      <c r="O919" s="54"/>
      <c r="P919" s="7"/>
      <c r="Q919" s="7"/>
      <c r="R919" s="7"/>
      <c r="S919" s="7"/>
      <c r="T919" s="7"/>
      <c r="U919" s="7"/>
      <c r="V919" s="7"/>
      <c r="W919" s="7"/>
      <c r="X919" s="7"/>
      <c r="Y919" s="7"/>
      <c r="Z919" s="7"/>
      <c r="AA919" s="7"/>
    </row>
    <row r="920">
      <c r="A920" s="54"/>
      <c r="B920" s="54"/>
      <c r="C920" s="7"/>
      <c r="D920" s="7"/>
      <c r="E920" s="7"/>
      <c r="F920" s="54"/>
      <c r="G920" s="54"/>
      <c r="H920" s="54"/>
      <c r="I920" s="54"/>
      <c r="J920" s="54"/>
      <c r="K920" s="54"/>
      <c r="L920" s="54"/>
      <c r="M920" s="54"/>
      <c r="N920" s="54"/>
      <c r="O920" s="54"/>
      <c r="P920" s="7"/>
      <c r="Q920" s="7"/>
      <c r="R920" s="7"/>
      <c r="S920" s="7"/>
      <c r="T920" s="7"/>
      <c r="U920" s="7"/>
      <c r="V920" s="7"/>
      <c r="W920" s="7"/>
      <c r="X920" s="7"/>
      <c r="Y920" s="7"/>
      <c r="Z920" s="7"/>
      <c r="AA920" s="7"/>
    </row>
    <row r="921">
      <c r="A921" s="54"/>
      <c r="B921" s="54"/>
      <c r="C921" s="7"/>
      <c r="D921" s="7"/>
      <c r="E921" s="7"/>
      <c r="F921" s="54"/>
      <c r="G921" s="54"/>
      <c r="H921" s="54"/>
      <c r="I921" s="54"/>
      <c r="J921" s="54"/>
      <c r="K921" s="54"/>
      <c r="L921" s="54"/>
      <c r="M921" s="54"/>
      <c r="N921" s="54"/>
      <c r="O921" s="54"/>
      <c r="P921" s="7"/>
      <c r="Q921" s="7"/>
      <c r="R921" s="7"/>
      <c r="S921" s="7"/>
      <c r="T921" s="7"/>
      <c r="U921" s="7"/>
      <c r="V921" s="7"/>
      <c r="W921" s="7"/>
      <c r="X921" s="7"/>
      <c r="Y921" s="7"/>
      <c r="Z921" s="7"/>
      <c r="AA921" s="7"/>
    </row>
    <row r="922">
      <c r="A922" s="54"/>
      <c r="B922" s="54"/>
      <c r="C922" s="7"/>
      <c r="D922" s="7"/>
      <c r="E922" s="7"/>
      <c r="F922" s="54"/>
      <c r="G922" s="54"/>
      <c r="H922" s="54"/>
      <c r="I922" s="54"/>
      <c r="J922" s="54"/>
      <c r="K922" s="54"/>
      <c r="L922" s="54"/>
      <c r="M922" s="54"/>
      <c r="N922" s="54"/>
      <c r="O922" s="54"/>
      <c r="P922" s="7"/>
      <c r="Q922" s="7"/>
      <c r="R922" s="7"/>
      <c r="S922" s="7"/>
      <c r="T922" s="7"/>
      <c r="U922" s="7"/>
      <c r="V922" s="7"/>
      <c r="W922" s="7"/>
      <c r="X922" s="7"/>
      <c r="Y922" s="7"/>
      <c r="Z922" s="7"/>
      <c r="AA922" s="7"/>
    </row>
    <row r="923">
      <c r="A923" s="54"/>
      <c r="B923" s="54"/>
      <c r="C923" s="7"/>
      <c r="D923" s="7"/>
      <c r="E923" s="7"/>
      <c r="F923" s="54"/>
      <c r="G923" s="54"/>
      <c r="H923" s="54"/>
      <c r="I923" s="54"/>
      <c r="J923" s="54"/>
      <c r="K923" s="54"/>
      <c r="L923" s="54"/>
      <c r="M923" s="54"/>
      <c r="N923" s="54"/>
      <c r="O923" s="54"/>
      <c r="P923" s="7"/>
      <c r="Q923" s="7"/>
      <c r="R923" s="7"/>
      <c r="S923" s="7"/>
      <c r="T923" s="7"/>
      <c r="U923" s="7"/>
      <c r="V923" s="7"/>
      <c r="W923" s="7"/>
      <c r="X923" s="7"/>
      <c r="Y923" s="7"/>
      <c r="Z923" s="7"/>
      <c r="AA923" s="7"/>
    </row>
    <row r="924">
      <c r="A924" s="54"/>
      <c r="B924" s="54"/>
      <c r="C924" s="7"/>
      <c r="D924" s="7"/>
      <c r="E924" s="7"/>
      <c r="F924" s="54"/>
      <c r="G924" s="54"/>
      <c r="H924" s="54"/>
      <c r="I924" s="54"/>
      <c r="J924" s="54"/>
      <c r="K924" s="54"/>
      <c r="L924" s="54"/>
      <c r="M924" s="54"/>
      <c r="N924" s="54"/>
      <c r="O924" s="54"/>
      <c r="P924" s="7"/>
      <c r="Q924" s="7"/>
      <c r="R924" s="7"/>
      <c r="S924" s="7"/>
      <c r="T924" s="7"/>
      <c r="U924" s="7"/>
      <c r="V924" s="7"/>
      <c r="W924" s="7"/>
      <c r="X924" s="7"/>
      <c r="Y924" s="7"/>
      <c r="Z924" s="7"/>
      <c r="AA924" s="7"/>
    </row>
    <row r="925">
      <c r="A925" s="54"/>
      <c r="B925" s="54"/>
      <c r="C925" s="7"/>
      <c r="D925" s="7"/>
      <c r="E925" s="7"/>
      <c r="F925" s="54"/>
      <c r="G925" s="54"/>
      <c r="H925" s="54"/>
      <c r="I925" s="54"/>
      <c r="J925" s="54"/>
      <c r="K925" s="54"/>
      <c r="L925" s="54"/>
      <c r="M925" s="54"/>
      <c r="N925" s="54"/>
      <c r="O925" s="54"/>
      <c r="P925" s="7"/>
      <c r="Q925" s="7"/>
      <c r="R925" s="7"/>
      <c r="S925" s="7"/>
      <c r="T925" s="7"/>
      <c r="U925" s="7"/>
      <c r="V925" s="7"/>
      <c r="W925" s="7"/>
      <c r="X925" s="7"/>
      <c r="Y925" s="7"/>
      <c r="Z925" s="7"/>
      <c r="AA925" s="7"/>
    </row>
    <row r="926">
      <c r="A926" s="54"/>
      <c r="B926" s="54"/>
      <c r="C926" s="7"/>
      <c r="D926" s="7"/>
      <c r="E926" s="7"/>
      <c r="F926" s="54"/>
      <c r="G926" s="54"/>
      <c r="H926" s="54"/>
      <c r="I926" s="54"/>
      <c r="J926" s="54"/>
      <c r="K926" s="54"/>
      <c r="L926" s="54"/>
      <c r="M926" s="54"/>
      <c r="N926" s="54"/>
      <c r="O926" s="54"/>
      <c r="P926" s="7"/>
      <c r="Q926" s="7"/>
      <c r="R926" s="7"/>
      <c r="S926" s="7"/>
      <c r="T926" s="7"/>
      <c r="U926" s="7"/>
      <c r="V926" s="7"/>
      <c r="W926" s="7"/>
      <c r="X926" s="7"/>
      <c r="Y926" s="7"/>
      <c r="Z926" s="7"/>
      <c r="AA926" s="7"/>
    </row>
    <row r="927">
      <c r="A927" s="54"/>
      <c r="B927" s="54"/>
      <c r="C927" s="7"/>
      <c r="D927" s="7"/>
      <c r="E927" s="7"/>
      <c r="F927" s="54"/>
      <c r="G927" s="54"/>
      <c r="H927" s="54"/>
      <c r="I927" s="54"/>
      <c r="J927" s="54"/>
      <c r="K927" s="54"/>
      <c r="L927" s="54"/>
      <c r="M927" s="54"/>
      <c r="N927" s="54"/>
      <c r="O927" s="54"/>
      <c r="P927" s="7"/>
      <c r="Q927" s="7"/>
      <c r="R927" s="7"/>
      <c r="S927" s="7"/>
      <c r="T927" s="7"/>
      <c r="U927" s="7"/>
      <c r="V927" s="7"/>
      <c r="W927" s="7"/>
      <c r="X927" s="7"/>
      <c r="Y927" s="7"/>
      <c r="Z927" s="7"/>
      <c r="AA927" s="7"/>
    </row>
    <row r="928">
      <c r="A928" s="54"/>
      <c r="B928" s="54"/>
      <c r="C928" s="7"/>
      <c r="D928" s="7"/>
      <c r="E928" s="7"/>
      <c r="F928" s="54"/>
      <c r="G928" s="54"/>
      <c r="H928" s="54"/>
      <c r="I928" s="54"/>
      <c r="J928" s="54"/>
      <c r="K928" s="54"/>
      <c r="L928" s="54"/>
      <c r="M928" s="54"/>
      <c r="N928" s="54"/>
      <c r="O928" s="54"/>
      <c r="P928" s="7"/>
      <c r="Q928" s="7"/>
      <c r="R928" s="7"/>
      <c r="S928" s="7"/>
      <c r="T928" s="7"/>
      <c r="U928" s="7"/>
      <c r="V928" s="7"/>
      <c r="W928" s="7"/>
      <c r="X928" s="7"/>
      <c r="Y928" s="7"/>
      <c r="Z928" s="7"/>
      <c r="AA928" s="7"/>
    </row>
    <row r="929">
      <c r="A929" s="54"/>
      <c r="B929" s="54"/>
      <c r="C929" s="7"/>
      <c r="D929" s="7"/>
      <c r="E929" s="7"/>
      <c r="F929" s="54"/>
      <c r="G929" s="54"/>
      <c r="H929" s="54"/>
      <c r="I929" s="54"/>
      <c r="J929" s="54"/>
      <c r="K929" s="54"/>
      <c r="L929" s="54"/>
      <c r="M929" s="54"/>
      <c r="N929" s="54"/>
      <c r="O929" s="54"/>
      <c r="P929" s="7"/>
      <c r="Q929" s="7"/>
      <c r="R929" s="7"/>
      <c r="S929" s="7"/>
      <c r="T929" s="7"/>
      <c r="U929" s="7"/>
      <c r="V929" s="7"/>
      <c r="W929" s="7"/>
      <c r="X929" s="7"/>
      <c r="Y929" s="7"/>
      <c r="Z929" s="7"/>
      <c r="AA929" s="7"/>
    </row>
    <row r="930">
      <c r="A930" s="54"/>
      <c r="B930" s="54"/>
      <c r="C930" s="7"/>
      <c r="D930" s="7"/>
      <c r="E930" s="7"/>
      <c r="F930" s="54"/>
      <c r="G930" s="54"/>
      <c r="H930" s="54"/>
      <c r="I930" s="54"/>
      <c r="J930" s="54"/>
      <c r="K930" s="54"/>
      <c r="L930" s="54"/>
      <c r="M930" s="54"/>
      <c r="N930" s="54"/>
      <c r="O930" s="54"/>
      <c r="P930" s="7"/>
      <c r="Q930" s="7"/>
      <c r="R930" s="7"/>
      <c r="S930" s="7"/>
      <c r="T930" s="7"/>
      <c r="U930" s="7"/>
      <c r="V930" s="7"/>
      <c r="W930" s="7"/>
      <c r="X930" s="7"/>
      <c r="Y930" s="7"/>
      <c r="Z930" s="7"/>
      <c r="AA930" s="7"/>
    </row>
    <row r="931">
      <c r="A931" s="54"/>
      <c r="B931" s="54"/>
      <c r="C931" s="7"/>
      <c r="D931" s="7"/>
      <c r="E931" s="7"/>
      <c r="F931" s="54"/>
      <c r="G931" s="54"/>
      <c r="H931" s="54"/>
      <c r="I931" s="54"/>
      <c r="J931" s="54"/>
      <c r="K931" s="54"/>
      <c r="L931" s="54"/>
      <c r="M931" s="54"/>
      <c r="N931" s="54"/>
      <c r="O931" s="54"/>
      <c r="P931" s="7"/>
      <c r="Q931" s="7"/>
      <c r="R931" s="7"/>
      <c r="S931" s="7"/>
      <c r="T931" s="7"/>
      <c r="U931" s="7"/>
      <c r="V931" s="7"/>
      <c r="W931" s="7"/>
      <c r="X931" s="7"/>
      <c r="Y931" s="7"/>
      <c r="Z931" s="7"/>
      <c r="AA931" s="7"/>
    </row>
    <row r="932">
      <c r="A932" s="54"/>
      <c r="B932" s="54"/>
      <c r="C932" s="7"/>
      <c r="D932" s="7"/>
      <c r="E932" s="7"/>
      <c r="F932" s="54"/>
      <c r="G932" s="54"/>
      <c r="H932" s="54"/>
      <c r="I932" s="54"/>
      <c r="J932" s="54"/>
      <c r="K932" s="54"/>
      <c r="L932" s="54"/>
      <c r="M932" s="54"/>
      <c r="N932" s="54"/>
      <c r="O932" s="54"/>
      <c r="P932" s="7"/>
      <c r="Q932" s="7"/>
      <c r="R932" s="7"/>
      <c r="S932" s="7"/>
      <c r="T932" s="7"/>
      <c r="U932" s="7"/>
      <c r="V932" s="7"/>
      <c r="W932" s="7"/>
      <c r="X932" s="7"/>
      <c r="Y932" s="7"/>
      <c r="Z932" s="7"/>
      <c r="AA932" s="7"/>
    </row>
    <row r="933">
      <c r="A933" s="54"/>
      <c r="B933" s="54"/>
      <c r="C933" s="7"/>
      <c r="D933" s="7"/>
      <c r="E933" s="7"/>
      <c r="F933" s="54"/>
      <c r="G933" s="54"/>
      <c r="H933" s="54"/>
      <c r="I933" s="54"/>
      <c r="J933" s="54"/>
      <c r="K933" s="54"/>
      <c r="L933" s="54"/>
      <c r="M933" s="54"/>
      <c r="N933" s="54"/>
      <c r="O933" s="54"/>
      <c r="P933" s="7"/>
      <c r="Q933" s="7"/>
      <c r="R933" s="7"/>
      <c r="S933" s="7"/>
      <c r="T933" s="7"/>
      <c r="U933" s="7"/>
      <c r="V933" s="7"/>
      <c r="W933" s="7"/>
      <c r="X933" s="7"/>
      <c r="Y933" s="7"/>
      <c r="Z933" s="7"/>
      <c r="AA933" s="7"/>
    </row>
    <row r="934">
      <c r="A934" s="54"/>
      <c r="B934" s="54"/>
      <c r="C934" s="7"/>
      <c r="D934" s="7"/>
      <c r="E934" s="7"/>
      <c r="F934" s="54"/>
      <c r="G934" s="54"/>
      <c r="H934" s="54"/>
      <c r="I934" s="54"/>
      <c r="J934" s="54"/>
      <c r="K934" s="54"/>
      <c r="L934" s="54"/>
      <c r="M934" s="54"/>
      <c r="N934" s="54"/>
      <c r="O934" s="54"/>
      <c r="P934" s="7"/>
      <c r="Q934" s="7"/>
      <c r="R934" s="7"/>
      <c r="S934" s="7"/>
      <c r="T934" s="7"/>
      <c r="U934" s="7"/>
      <c r="V934" s="7"/>
      <c r="W934" s="7"/>
      <c r="X934" s="7"/>
      <c r="Y934" s="7"/>
      <c r="Z934" s="7"/>
      <c r="AA934" s="7"/>
    </row>
    <row r="935">
      <c r="A935" s="54"/>
      <c r="B935" s="54"/>
      <c r="C935" s="7"/>
      <c r="D935" s="7"/>
      <c r="E935" s="7"/>
      <c r="F935" s="54"/>
      <c r="G935" s="54"/>
      <c r="H935" s="54"/>
      <c r="I935" s="54"/>
      <c r="J935" s="54"/>
      <c r="K935" s="54"/>
      <c r="L935" s="54"/>
      <c r="M935" s="54"/>
      <c r="N935" s="54"/>
      <c r="O935" s="54"/>
      <c r="P935" s="7"/>
      <c r="Q935" s="7"/>
      <c r="R935" s="7"/>
      <c r="S935" s="7"/>
      <c r="T935" s="7"/>
      <c r="U935" s="7"/>
      <c r="V935" s="7"/>
      <c r="W935" s="7"/>
      <c r="X935" s="7"/>
      <c r="Y935" s="7"/>
      <c r="Z935" s="7"/>
      <c r="AA935" s="7"/>
    </row>
    <row r="936">
      <c r="A936" s="54"/>
      <c r="B936" s="54"/>
      <c r="C936" s="7"/>
      <c r="D936" s="7"/>
      <c r="E936" s="7"/>
      <c r="F936" s="54"/>
      <c r="G936" s="54"/>
      <c r="H936" s="54"/>
      <c r="I936" s="54"/>
      <c r="J936" s="54"/>
      <c r="K936" s="54"/>
      <c r="L936" s="54"/>
      <c r="M936" s="54"/>
      <c r="N936" s="54"/>
      <c r="O936" s="54"/>
      <c r="P936" s="7"/>
      <c r="Q936" s="7"/>
      <c r="R936" s="7"/>
      <c r="S936" s="7"/>
      <c r="T936" s="7"/>
      <c r="U936" s="7"/>
      <c r="V936" s="7"/>
      <c r="W936" s="7"/>
      <c r="X936" s="7"/>
      <c r="Y936" s="7"/>
      <c r="Z936" s="7"/>
      <c r="AA936" s="7"/>
    </row>
    <row r="937">
      <c r="A937" s="54"/>
      <c r="B937" s="54"/>
      <c r="C937" s="7"/>
      <c r="D937" s="7"/>
      <c r="E937" s="7"/>
      <c r="F937" s="54"/>
      <c r="G937" s="54"/>
      <c r="H937" s="54"/>
      <c r="I937" s="54"/>
      <c r="J937" s="54"/>
      <c r="K937" s="54"/>
      <c r="L937" s="54"/>
      <c r="M937" s="54"/>
      <c r="N937" s="54"/>
      <c r="O937" s="54"/>
      <c r="P937" s="7"/>
      <c r="Q937" s="7"/>
      <c r="R937" s="7"/>
      <c r="S937" s="7"/>
      <c r="T937" s="7"/>
      <c r="U937" s="7"/>
      <c r="V937" s="7"/>
      <c r="W937" s="7"/>
      <c r="X937" s="7"/>
      <c r="Y937" s="7"/>
      <c r="Z937" s="7"/>
      <c r="AA937" s="7"/>
    </row>
    <row r="938">
      <c r="A938" s="54"/>
      <c r="B938" s="54"/>
      <c r="C938" s="7"/>
      <c r="D938" s="7"/>
      <c r="E938" s="7"/>
      <c r="F938" s="54"/>
      <c r="G938" s="54"/>
      <c r="H938" s="54"/>
      <c r="I938" s="54"/>
      <c r="J938" s="54"/>
      <c r="K938" s="54"/>
      <c r="L938" s="54"/>
      <c r="M938" s="54"/>
      <c r="N938" s="54"/>
      <c r="O938" s="54"/>
      <c r="P938" s="7"/>
      <c r="Q938" s="7"/>
      <c r="R938" s="7"/>
      <c r="S938" s="7"/>
      <c r="T938" s="7"/>
      <c r="U938" s="7"/>
      <c r="V938" s="7"/>
      <c r="W938" s="7"/>
      <c r="X938" s="7"/>
      <c r="Y938" s="7"/>
      <c r="Z938" s="7"/>
      <c r="AA938" s="7"/>
    </row>
    <row r="939">
      <c r="A939" s="54"/>
      <c r="B939" s="54"/>
      <c r="C939" s="7"/>
      <c r="D939" s="7"/>
      <c r="E939" s="7"/>
      <c r="F939" s="54"/>
      <c r="G939" s="54"/>
      <c r="H939" s="54"/>
      <c r="I939" s="54"/>
      <c r="J939" s="54"/>
      <c r="K939" s="54"/>
      <c r="L939" s="54"/>
      <c r="M939" s="54"/>
      <c r="N939" s="54"/>
      <c r="O939" s="54"/>
      <c r="P939" s="7"/>
      <c r="Q939" s="7"/>
      <c r="R939" s="7"/>
      <c r="S939" s="7"/>
      <c r="T939" s="7"/>
      <c r="U939" s="7"/>
      <c r="V939" s="7"/>
      <c r="W939" s="7"/>
      <c r="X939" s="7"/>
      <c r="Y939" s="7"/>
      <c r="Z939" s="7"/>
      <c r="AA939" s="7"/>
    </row>
    <row r="940">
      <c r="A940" s="54"/>
      <c r="B940" s="54"/>
      <c r="C940" s="7"/>
      <c r="D940" s="7"/>
      <c r="E940" s="7"/>
      <c r="F940" s="54"/>
      <c r="G940" s="54"/>
      <c r="H940" s="54"/>
      <c r="I940" s="54"/>
      <c r="J940" s="54"/>
      <c r="K940" s="54"/>
      <c r="L940" s="54"/>
      <c r="M940" s="54"/>
      <c r="N940" s="54"/>
      <c r="O940" s="54"/>
      <c r="P940" s="7"/>
      <c r="Q940" s="7"/>
      <c r="R940" s="7"/>
      <c r="S940" s="7"/>
      <c r="T940" s="7"/>
      <c r="U940" s="7"/>
      <c r="V940" s="7"/>
      <c r="W940" s="7"/>
      <c r="X940" s="7"/>
      <c r="Y940" s="7"/>
      <c r="Z940" s="7"/>
      <c r="AA940" s="7"/>
    </row>
    <row r="941">
      <c r="A941" s="54"/>
      <c r="B941" s="54"/>
      <c r="C941" s="7"/>
      <c r="D941" s="7"/>
      <c r="E941" s="7"/>
      <c r="F941" s="54"/>
      <c r="G941" s="54"/>
      <c r="H941" s="54"/>
      <c r="I941" s="54"/>
      <c r="J941" s="54"/>
      <c r="K941" s="54"/>
      <c r="L941" s="54"/>
      <c r="M941" s="54"/>
      <c r="N941" s="54"/>
      <c r="O941" s="54"/>
      <c r="P941" s="7"/>
      <c r="Q941" s="7"/>
      <c r="R941" s="7"/>
      <c r="S941" s="7"/>
      <c r="T941" s="7"/>
      <c r="U941" s="7"/>
      <c r="V941" s="7"/>
      <c r="W941" s="7"/>
      <c r="X941" s="7"/>
      <c r="Y941" s="7"/>
      <c r="Z941" s="7"/>
      <c r="AA941" s="7"/>
    </row>
    <row r="942">
      <c r="A942" s="54"/>
      <c r="B942" s="54"/>
      <c r="C942" s="7"/>
      <c r="D942" s="7"/>
      <c r="E942" s="7"/>
      <c r="F942" s="54"/>
      <c r="G942" s="54"/>
      <c r="H942" s="54"/>
      <c r="I942" s="54"/>
      <c r="J942" s="54"/>
      <c r="K942" s="54"/>
      <c r="L942" s="54"/>
      <c r="M942" s="54"/>
      <c r="N942" s="54"/>
      <c r="O942" s="54"/>
      <c r="P942" s="7"/>
      <c r="Q942" s="7"/>
      <c r="R942" s="7"/>
      <c r="S942" s="7"/>
      <c r="T942" s="7"/>
      <c r="U942" s="7"/>
      <c r="V942" s="7"/>
      <c r="W942" s="7"/>
      <c r="X942" s="7"/>
      <c r="Y942" s="7"/>
      <c r="Z942" s="7"/>
      <c r="AA942" s="7"/>
    </row>
    <row r="943">
      <c r="A943" s="54"/>
      <c r="B943" s="54"/>
      <c r="C943" s="7"/>
      <c r="D943" s="7"/>
      <c r="E943" s="7"/>
      <c r="F943" s="54"/>
      <c r="G943" s="54"/>
      <c r="H943" s="54"/>
      <c r="I943" s="54"/>
      <c r="J943" s="54"/>
      <c r="K943" s="54"/>
      <c r="L943" s="54"/>
      <c r="M943" s="54"/>
      <c r="N943" s="54"/>
      <c r="O943" s="54"/>
      <c r="P943" s="7"/>
      <c r="Q943" s="7"/>
      <c r="R943" s="7"/>
      <c r="S943" s="7"/>
      <c r="T943" s="7"/>
      <c r="U943" s="7"/>
      <c r="V943" s="7"/>
      <c r="W943" s="7"/>
      <c r="X943" s="7"/>
      <c r="Y943" s="7"/>
      <c r="Z943" s="7"/>
      <c r="AA943" s="7"/>
    </row>
    <row r="944">
      <c r="A944" s="54"/>
      <c r="B944" s="54"/>
      <c r="C944" s="7"/>
      <c r="D944" s="7"/>
      <c r="E944" s="7"/>
      <c r="F944" s="54"/>
      <c r="G944" s="54"/>
      <c r="H944" s="54"/>
      <c r="I944" s="54"/>
      <c r="J944" s="54"/>
      <c r="K944" s="54"/>
      <c r="L944" s="54"/>
      <c r="M944" s="54"/>
      <c r="N944" s="54"/>
      <c r="O944" s="54"/>
      <c r="P944" s="7"/>
      <c r="Q944" s="7"/>
      <c r="R944" s="7"/>
      <c r="S944" s="7"/>
      <c r="T944" s="7"/>
      <c r="U944" s="7"/>
      <c r="V944" s="7"/>
      <c r="W944" s="7"/>
      <c r="X944" s="7"/>
      <c r="Y944" s="7"/>
      <c r="Z944" s="7"/>
      <c r="AA944" s="7"/>
    </row>
    <row r="945">
      <c r="A945" s="54"/>
      <c r="B945" s="54"/>
      <c r="C945" s="7"/>
      <c r="D945" s="7"/>
      <c r="E945" s="7"/>
      <c r="F945" s="54"/>
      <c r="G945" s="54"/>
      <c r="H945" s="54"/>
      <c r="I945" s="54"/>
      <c r="J945" s="54"/>
      <c r="K945" s="54"/>
      <c r="L945" s="54"/>
      <c r="M945" s="54"/>
      <c r="N945" s="54"/>
      <c r="O945" s="54"/>
      <c r="P945" s="7"/>
      <c r="Q945" s="7"/>
      <c r="R945" s="7"/>
      <c r="S945" s="7"/>
      <c r="T945" s="7"/>
      <c r="U945" s="7"/>
      <c r="V945" s="7"/>
      <c r="W945" s="7"/>
      <c r="X945" s="7"/>
      <c r="Y945" s="7"/>
      <c r="Z945" s="7"/>
      <c r="AA945" s="7"/>
    </row>
    <row r="946">
      <c r="A946" s="54"/>
      <c r="B946" s="54"/>
      <c r="C946" s="7"/>
      <c r="D946" s="7"/>
      <c r="E946" s="7"/>
      <c r="F946" s="54"/>
      <c r="G946" s="54"/>
      <c r="H946" s="54"/>
      <c r="I946" s="54"/>
      <c r="J946" s="54"/>
      <c r="K946" s="54"/>
      <c r="L946" s="54"/>
      <c r="M946" s="54"/>
      <c r="N946" s="54"/>
      <c r="O946" s="54"/>
      <c r="P946" s="7"/>
      <c r="Q946" s="7"/>
      <c r="R946" s="7"/>
      <c r="S946" s="7"/>
      <c r="T946" s="7"/>
      <c r="U946" s="7"/>
      <c r="V946" s="7"/>
      <c r="W946" s="7"/>
      <c r="X946" s="7"/>
      <c r="Y946" s="7"/>
      <c r="Z946" s="7"/>
      <c r="AA946" s="7"/>
    </row>
    <row r="947">
      <c r="A947" s="54"/>
      <c r="B947" s="54"/>
      <c r="C947" s="7"/>
      <c r="D947" s="7"/>
      <c r="E947" s="7"/>
      <c r="F947" s="54"/>
      <c r="G947" s="54"/>
      <c r="H947" s="54"/>
      <c r="I947" s="54"/>
      <c r="J947" s="54"/>
      <c r="K947" s="54"/>
      <c r="L947" s="54"/>
      <c r="M947" s="54"/>
      <c r="N947" s="54"/>
      <c r="O947" s="54"/>
      <c r="P947" s="7"/>
      <c r="Q947" s="7"/>
      <c r="R947" s="7"/>
      <c r="S947" s="7"/>
      <c r="T947" s="7"/>
      <c r="U947" s="7"/>
      <c r="V947" s="7"/>
      <c r="W947" s="7"/>
      <c r="X947" s="7"/>
      <c r="Y947" s="7"/>
      <c r="Z947" s="7"/>
      <c r="AA947" s="7"/>
    </row>
    <row r="948">
      <c r="A948" s="54"/>
      <c r="B948" s="54"/>
      <c r="C948" s="7"/>
      <c r="D948" s="7"/>
      <c r="E948" s="7"/>
      <c r="F948" s="54"/>
      <c r="G948" s="54"/>
      <c r="H948" s="54"/>
      <c r="I948" s="54"/>
      <c r="J948" s="54"/>
      <c r="K948" s="54"/>
      <c r="L948" s="54"/>
      <c r="M948" s="54"/>
      <c r="N948" s="54"/>
      <c r="O948" s="54"/>
      <c r="P948" s="7"/>
      <c r="Q948" s="7"/>
      <c r="R948" s="7"/>
      <c r="S948" s="7"/>
      <c r="T948" s="7"/>
      <c r="U948" s="7"/>
      <c r="V948" s="7"/>
      <c r="W948" s="7"/>
      <c r="X948" s="7"/>
      <c r="Y948" s="7"/>
      <c r="Z948" s="7"/>
      <c r="AA948" s="7"/>
    </row>
    <row r="949">
      <c r="A949" s="54"/>
      <c r="B949" s="54"/>
      <c r="C949" s="7"/>
      <c r="D949" s="7"/>
      <c r="E949" s="7"/>
      <c r="F949" s="54"/>
      <c r="G949" s="54"/>
      <c r="H949" s="54"/>
      <c r="I949" s="54"/>
      <c r="J949" s="54"/>
      <c r="K949" s="54"/>
      <c r="L949" s="54"/>
      <c r="M949" s="54"/>
      <c r="N949" s="54"/>
      <c r="O949" s="54"/>
      <c r="P949" s="7"/>
      <c r="Q949" s="7"/>
      <c r="R949" s="7"/>
      <c r="S949" s="7"/>
      <c r="T949" s="7"/>
      <c r="U949" s="7"/>
      <c r="V949" s="7"/>
      <c r="W949" s="7"/>
      <c r="X949" s="7"/>
      <c r="Y949" s="7"/>
      <c r="Z949" s="7"/>
      <c r="AA949" s="7"/>
    </row>
    <row r="950">
      <c r="A950" s="54"/>
      <c r="B950" s="54"/>
      <c r="C950" s="7"/>
      <c r="D950" s="7"/>
      <c r="E950" s="7"/>
      <c r="F950" s="54"/>
      <c r="G950" s="54"/>
      <c r="H950" s="54"/>
      <c r="I950" s="54"/>
      <c r="J950" s="54"/>
      <c r="K950" s="54"/>
      <c r="L950" s="54"/>
      <c r="M950" s="54"/>
      <c r="N950" s="54"/>
      <c r="O950" s="54"/>
      <c r="P950" s="7"/>
      <c r="Q950" s="7"/>
      <c r="R950" s="7"/>
      <c r="S950" s="7"/>
      <c r="T950" s="7"/>
      <c r="U950" s="7"/>
      <c r="V950" s="7"/>
      <c r="W950" s="7"/>
      <c r="X950" s="7"/>
      <c r="Y950" s="7"/>
      <c r="Z950" s="7"/>
      <c r="AA950" s="7"/>
    </row>
    <row r="951">
      <c r="A951" s="54"/>
      <c r="B951" s="54"/>
      <c r="C951" s="7"/>
      <c r="D951" s="7"/>
      <c r="E951" s="7"/>
      <c r="F951" s="54"/>
      <c r="G951" s="54"/>
      <c r="H951" s="54"/>
      <c r="I951" s="54"/>
      <c r="J951" s="54"/>
      <c r="K951" s="54"/>
      <c r="L951" s="54"/>
      <c r="M951" s="54"/>
      <c r="N951" s="54"/>
      <c r="O951" s="54"/>
      <c r="P951" s="7"/>
      <c r="Q951" s="7"/>
      <c r="R951" s="7"/>
      <c r="S951" s="7"/>
      <c r="T951" s="7"/>
      <c r="U951" s="7"/>
      <c r="V951" s="7"/>
      <c r="W951" s="7"/>
      <c r="X951" s="7"/>
      <c r="Y951" s="7"/>
      <c r="Z951" s="7"/>
      <c r="AA951" s="7"/>
    </row>
    <row r="952">
      <c r="A952" s="54"/>
      <c r="B952" s="54"/>
      <c r="C952" s="7"/>
      <c r="D952" s="7"/>
      <c r="E952" s="7"/>
      <c r="F952" s="54"/>
      <c r="G952" s="54"/>
      <c r="H952" s="54"/>
      <c r="I952" s="54"/>
      <c r="J952" s="54"/>
      <c r="K952" s="54"/>
      <c r="L952" s="54"/>
      <c r="M952" s="54"/>
      <c r="N952" s="54"/>
      <c r="O952" s="54"/>
      <c r="P952" s="7"/>
      <c r="Q952" s="7"/>
      <c r="R952" s="7"/>
      <c r="S952" s="7"/>
      <c r="T952" s="7"/>
      <c r="U952" s="7"/>
      <c r="V952" s="7"/>
      <c r="W952" s="7"/>
      <c r="X952" s="7"/>
      <c r="Y952" s="7"/>
      <c r="Z952" s="7"/>
      <c r="AA952" s="7"/>
    </row>
    <row r="953">
      <c r="A953" s="54"/>
      <c r="B953" s="54"/>
      <c r="C953" s="7"/>
      <c r="D953" s="7"/>
      <c r="E953" s="7"/>
      <c r="F953" s="54"/>
      <c r="G953" s="54"/>
      <c r="H953" s="54"/>
      <c r="I953" s="54"/>
      <c r="J953" s="54"/>
      <c r="K953" s="54"/>
      <c r="L953" s="54"/>
      <c r="M953" s="54"/>
      <c r="N953" s="54"/>
      <c r="O953" s="54"/>
      <c r="P953" s="7"/>
      <c r="Q953" s="7"/>
      <c r="R953" s="7"/>
      <c r="S953" s="7"/>
      <c r="T953" s="7"/>
      <c r="U953" s="7"/>
      <c r="V953" s="7"/>
      <c r="W953" s="7"/>
      <c r="X953" s="7"/>
      <c r="Y953" s="7"/>
      <c r="Z953" s="7"/>
      <c r="AA953" s="7"/>
    </row>
    <row r="954">
      <c r="A954" s="54"/>
      <c r="B954" s="54"/>
      <c r="C954" s="7"/>
      <c r="D954" s="7"/>
      <c r="E954" s="7"/>
      <c r="F954" s="54"/>
      <c r="G954" s="54"/>
      <c r="H954" s="54"/>
      <c r="I954" s="54"/>
      <c r="J954" s="54"/>
      <c r="K954" s="54"/>
      <c r="L954" s="54"/>
      <c r="M954" s="54"/>
      <c r="N954" s="54"/>
      <c r="O954" s="54"/>
      <c r="P954" s="7"/>
      <c r="Q954" s="7"/>
      <c r="R954" s="7"/>
      <c r="S954" s="7"/>
      <c r="T954" s="7"/>
      <c r="U954" s="7"/>
      <c r="V954" s="7"/>
      <c r="W954" s="7"/>
      <c r="X954" s="7"/>
      <c r="Y954" s="7"/>
      <c r="Z954" s="7"/>
      <c r="AA954" s="7"/>
    </row>
    <row r="955">
      <c r="A955" s="54"/>
      <c r="B955" s="54"/>
      <c r="C955" s="7"/>
      <c r="D955" s="7"/>
      <c r="E955" s="7"/>
      <c r="F955" s="54"/>
      <c r="G955" s="54"/>
      <c r="H955" s="54"/>
      <c r="I955" s="54"/>
      <c r="J955" s="54"/>
      <c r="K955" s="54"/>
      <c r="L955" s="54"/>
      <c r="M955" s="54"/>
      <c r="N955" s="54"/>
      <c r="O955" s="54"/>
      <c r="P955" s="7"/>
      <c r="Q955" s="7"/>
      <c r="R955" s="7"/>
      <c r="S955" s="7"/>
      <c r="T955" s="7"/>
      <c r="U955" s="7"/>
      <c r="V955" s="7"/>
      <c r="W955" s="7"/>
      <c r="X955" s="7"/>
      <c r="Y955" s="7"/>
      <c r="Z955" s="7"/>
      <c r="AA955" s="7"/>
    </row>
    <row r="956">
      <c r="A956" s="54"/>
      <c r="B956" s="54"/>
      <c r="C956" s="7"/>
      <c r="D956" s="7"/>
      <c r="E956" s="7"/>
      <c r="F956" s="54"/>
      <c r="G956" s="54"/>
      <c r="H956" s="54"/>
      <c r="I956" s="54"/>
      <c r="J956" s="54"/>
      <c r="K956" s="54"/>
      <c r="L956" s="54"/>
      <c r="M956" s="54"/>
      <c r="N956" s="54"/>
      <c r="O956" s="54"/>
      <c r="P956" s="7"/>
      <c r="Q956" s="7"/>
      <c r="R956" s="7"/>
      <c r="S956" s="7"/>
      <c r="T956" s="7"/>
      <c r="U956" s="7"/>
      <c r="V956" s="7"/>
      <c r="W956" s="7"/>
      <c r="X956" s="7"/>
      <c r="Y956" s="7"/>
      <c r="Z956" s="7"/>
      <c r="AA956" s="7"/>
    </row>
    <row r="957">
      <c r="A957" s="54"/>
      <c r="B957" s="54"/>
      <c r="C957" s="7"/>
      <c r="D957" s="7"/>
      <c r="E957" s="7"/>
      <c r="F957" s="54"/>
      <c r="G957" s="54"/>
      <c r="H957" s="54"/>
      <c r="I957" s="54"/>
      <c r="J957" s="54"/>
      <c r="K957" s="54"/>
      <c r="L957" s="54"/>
      <c r="M957" s="54"/>
      <c r="N957" s="54"/>
      <c r="O957" s="54"/>
      <c r="P957" s="7"/>
      <c r="Q957" s="7"/>
      <c r="R957" s="7"/>
      <c r="S957" s="7"/>
      <c r="T957" s="7"/>
      <c r="U957" s="7"/>
      <c r="V957" s="7"/>
      <c r="W957" s="7"/>
      <c r="X957" s="7"/>
      <c r="Y957" s="7"/>
      <c r="Z957" s="7"/>
      <c r="AA957" s="7"/>
    </row>
    <row r="958">
      <c r="A958" s="54"/>
      <c r="B958" s="54"/>
      <c r="C958" s="7"/>
      <c r="D958" s="7"/>
      <c r="E958" s="7"/>
      <c r="F958" s="54"/>
      <c r="G958" s="54"/>
      <c r="H958" s="54"/>
      <c r="I958" s="54"/>
      <c r="J958" s="54"/>
      <c r="K958" s="54"/>
      <c r="L958" s="54"/>
      <c r="M958" s="54"/>
      <c r="N958" s="54"/>
      <c r="O958" s="54"/>
      <c r="P958" s="7"/>
      <c r="Q958" s="7"/>
      <c r="R958" s="7"/>
      <c r="S958" s="7"/>
      <c r="T958" s="7"/>
      <c r="U958" s="7"/>
      <c r="V958" s="7"/>
      <c r="W958" s="7"/>
      <c r="X958" s="7"/>
      <c r="Y958" s="7"/>
      <c r="Z958" s="7"/>
      <c r="AA958" s="7"/>
    </row>
    <row r="959">
      <c r="A959" s="54"/>
      <c r="B959" s="54"/>
      <c r="C959" s="7"/>
      <c r="D959" s="7"/>
      <c r="E959" s="7"/>
      <c r="F959" s="54"/>
      <c r="G959" s="54"/>
      <c r="H959" s="54"/>
      <c r="I959" s="54"/>
      <c r="J959" s="54"/>
      <c r="K959" s="54"/>
      <c r="L959" s="54"/>
      <c r="M959" s="54"/>
      <c r="N959" s="54"/>
      <c r="O959" s="54"/>
      <c r="P959" s="7"/>
      <c r="Q959" s="7"/>
      <c r="R959" s="7"/>
      <c r="S959" s="7"/>
      <c r="T959" s="7"/>
      <c r="U959" s="7"/>
      <c r="V959" s="7"/>
      <c r="W959" s="7"/>
      <c r="X959" s="7"/>
      <c r="Y959" s="7"/>
      <c r="Z959" s="7"/>
      <c r="AA959" s="7"/>
    </row>
    <row r="960">
      <c r="A960" s="54"/>
      <c r="B960" s="54"/>
      <c r="C960" s="7"/>
      <c r="D960" s="7"/>
      <c r="E960" s="7"/>
      <c r="F960" s="54"/>
      <c r="G960" s="54"/>
      <c r="H960" s="54"/>
      <c r="I960" s="54"/>
      <c r="J960" s="54"/>
      <c r="K960" s="54"/>
      <c r="L960" s="54"/>
      <c r="M960" s="54"/>
      <c r="N960" s="54"/>
      <c r="O960" s="54"/>
      <c r="P960" s="7"/>
      <c r="Q960" s="7"/>
      <c r="R960" s="7"/>
      <c r="S960" s="7"/>
      <c r="T960" s="7"/>
      <c r="U960" s="7"/>
      <c r="V960" s="7"/>
      <c r="W960" s="7"/>
      <c r="X960" s="7"/>
      <c r="Y960" s="7"/>
      <c r="Z960" s="7"/>
      <c r="AA960" s="7"/>
    </row>
    <row r="961">
      <c r="A961" s="54"/>
      <c r="B961" s="54"/>
      <c r="C961" s="7"/>
      <c r="D961" s="7"/>
      <c r="E961" s="7"/>
      <c r="F961" s="54"/>
      <c r="G961" s="54"/>
      <c r="H961" s="54"/>
      <c r="I961" s="54"/>
      <c r="J961" s="54"/>
      <c r="K961" s="54"/>
      <c r="L961" s="54"/>
      <c r="M961" s="54"/>
      <c r="N961" s="54"/>
      <c r="O961" s="54"/>
      <c r="P961" s="7"/>
      <c r="Q961" s="7"/>
      <c r="R961" s="7"/>
      <c r="S961" s="7"/>
      <c r="T961" s="7"/>
      <c r="U961" s="7"/>
      <c r="V961" s="7"/>
      <c r="W961" s="7"/>
      <c r="X961" s="7"/>
      <c r="Y961" s="7"/>
      <c r="Z961" s="7"/>
      <c r="AA961" s="7"/>
    </row>
    <row r="962">
      <c r="A962" s="54"/>
      <c r="B962" s="54"/>
      <c r="C962" s="7"/>
      <c r="D962" s="7"/>
      <c r="E962" s="7"/>
      <c r="F962" s="54"/>
      <c r="G962" s="54"/>
      <c r="H962" s="54"/>
      <c r="I962" s="54"/>
      <c r="J962" s="54"/>
      <c r="K962" s="54"/>
      <c r="L962" s="54"/>
      <c r="M962" s="54"/>
      <c r="N962" s="54"/>
      <c r="O962" s="54"/>
      <c r="P962" s="7"/>
      <c r="Q962" s="7"/>
      <c r="R962" s="7"/>
      <c r="S962" s="7"/>
      <c r="T962" s="7"/>
      <c r="U962" s="7"/>
      <c r="V962" s="7"/>
      <c r="W962" s="7"/>
      <c r="X962" s="7"/>
      <c r="Y962" s="7"/>
      <c r="Z962" s="7"/>
      <c r="AA962" s="7"/>
    </row>
    <row r="963">
      <c r="A963" s="54"/>
      <c r="B963" s="54"/>
      <c r="C963" s="7"/>
      <c r="D963" s="7"/>
      <c r="E963" s="7"/>
      <c r="F963" s="54"/>
      <c r="G963" s="54"/>
      <c r="H963" s="54"/>
      <c r="I963" s="54"/>
      <c r="J963" s="54"/>
      <c r="K963" s="54"/>
      <c r="L963" s="54"/>
      <c r="M963" s="54"/>
      <c r="N963" s="54"/>
      <c r="O963" s="54"/>
      <c r="P963" s="7"/>
      <c r="Q963" s="7"/>
      <c r="R963" s="7"/>
      <c r="S963" s="7"/>
      <c r="T963" s="7"/>
      <c r="U963" s="7"/>
      <c r="V963" s="7"/>
      <c r="W963" s="7"/>
      <c r="X963" s="7"/>
      <c r="Y963" s="7"/>
      <c r="Z963" s="7"/>
      <c r="AA963" s="7"/>
    </row>
    <row r="964">
      <c r="A964" s="54"/>
      <c r="B964" s="54"/>
      <c r="C964" s="7"/>
      <c r="D964" s="7"/>
      <c r="E964" s="7"/>
      <c r="F964" s="54"/>
      <c r="G964" s="54"/>
      <c r="H964" s="54"/>
      <c r="I964" s="54"/>
      <c r="J964" s="54"/>
      <c r="K964" s="54"/>
      <c r="L964" s="54"/>
      <c r="M964" s="54"/>
      <c r="N964" s="54"/>
      <c r="O964" s="54"/>
      <c r="P964" s="7"/>
      <c r="Q964" s="7"/>
      <c r="R964" s="7"/>
      <c r="S964" s="7"/>
      <c r="T964" s="7"/>
      <c r="U964" s="7"/>
      <c r="V964" s="7"/>
      <c r="W964" s="7"/>
      <c r="X964" s="7"/>
      <c r="Y964" s="7"/>
      <c r="Z964" s="7"/>
      <c r="AA964" s="7"/>
    </row>
    <row r="965">
      <c r="A965" s="54"/>
      <c r="B965" s="54"/>
      <c r="C965" s="7"/>
      <c r="D965" s="7"/>
      <c r="E965" s="7"/>
      <c r="F965" s="54"/>
      <c r="G965" s="54"/>
      <c r="H965" s="54"/>
      <c r="I965" s="54"/>
      <c r="J965" s="54"/>
      <c r="K965" s="54"/>
      <c r="L965" s="54"/>
      <c r="M965" s="54"/>
      <c r="N965" s="54"/>
      <c r="O965" s="54"/>
      <c r="P965" s="7"/>
      <c r="Q965" s="7"/>
      <c r="R965" s="7"/>
      <c r="S965" s="7"/>
      <c r="T965" s="7"/>
      <c r="U965" s="7"/>
      <c r="V965" s="7"/>
      <c r="W965" s="7"/>
      <c r="X965" s="7"/>
      <c r="Y965" s="7"/>
      <c r="Z965" s="7"/>
      <c r="AA965" s="7"/>
    </row>
    <row r="966">
      <c r="A966" s="54"/>
      <c r="B966" s="54"/>
      <c r="C966" s="7"/>
      <c r="D966" s="7"/>
      <c r="E966" s="7"/>
      <c r="F966" s="54"/>
      <c r="G966" s="54"/>
      <c r="H966" s="54"/>
      <c r="I966" s="54"/>
      <c r="J966" s="54"/>
      <c r="K966" s="54"/>
      <c r="L966" s="54"/>
      <c r="M966" s="54"/>
      <c r="N966" s="54"/>
      <c r="O966" s="54"/>
      <c r="P966" s="7"/>
      <c r="Q966" s="7"/>
      <c r="R966" s="7"/>
      <c r="S966" s="7"/>
      <c r="T966" s="7"/>
      <c r="U966" s="7"/>
      <c r="V966" s="7"/>
      <c r="W966" s="7"/>
      <c r="X966" s="7"/>
      <c r="Y966" s="7"/>
      <c r="Z966" s="7"/>
      <c r="AA966" s="7"/>
    </row>
    <row r="967">
      <c r="A967" s="54"/>
      <c r="B967" s="54"/>
      <c r="C967" s="7"/>
      <c r="D967" s="7"/>
      <c r="E967" s="7"/>
      <c r="F967" s="54"/>
      <c r="G967" s="54"/>
      <c r="H967" s="54"/>
      <c r="I967" s="54"/>
      <c r="J967" s="54"/>
      <c r="K967" s="54"/>
      <c r="L967" s="54"/>
      <c r="M967" s="54"/>
      <c r="N967" s="54"/>
      <c r="O967" s="54"/>
      <c r="P967" s="7"/>
      <c r="Q967" s="7"/>
      <c r="R967" s="7"/>
      <c r="S967" s="7"/>
      <c r="T967" s="7"/>
      <c r="U967" s="7"/>
      <c r="V967" s="7"/>
      <c r="W967" s="7"/>
      <c r="X967" s="7"/>
      <c r="Y967" s="7"/>
      <c r="Z967" s="7"/>
      <c r="AA967" s="7"/>
    </row>
    <row r="968">
      <c r="A968" s="54"/>
      <c r="B968" s="54"/>
      <c r="C968" s="7"/>
      <c r="D968" s="7"/>
      <c r="E968" s="7"/>
      <c r="F968" s="54"/>
      <c r="G968" s="54"/>
      <c r="H968" s="54"/>
      <c r="I968" s="54"/>
      <c r="J968" s="54"/>
      <c r="K968" s="54"/>
      <c r="L968" s="54"/>
      <c r="M968" s="54"/>
      <c r="N968" s="54"/>
      <c r="O968" s="54"/>
      <c r="P968" s="7"/>
      <c r="Q968" s="7"/>
      <c r="R968" s="7"/>
      <c r="S968" s="7"/>
      <c r="T968" s="7"/>
      <c r="U968" s="7"/>
      <c r="V968" s="7"/>
      <c r="W968" s="7"/>
      <c r="X968" s="7"/>
      <c r="Y968" s="7"/>
      <c r="Z968" s="7"/>
      <c r="AA968" s="7"/>
    </row>
    <row r="969">
      <c r="A969" s="54"/>
      <c r="B969" s="54"/>
      <c r="C969" s="7"/>
      <c r="D969" s="7"/>
      <c r="E969" s="7"/>
      <c r="F969" s="54"/>
      <c r="G969" s="54"/>
      <c r="H969" s="54"/>
      <c r="I969" s="54"/>
      <c r="J969" s="54"/>
      <c r="K969" s="54"/>
      <c r="L969" s="54"/>
      <c r="M969" s="54"/>
      <c r="N969" s="54"/>
      <c r="O969" s="54"/>
      <c r="P969" s="7"/>
      <c r="Q969" s="7"/>
      <c r="R969" s="7"/>
      <c r="S969" s="7"/>
      <c r="T969" s="7"/>
      <c r="U969" s="7"/>
      <c r="V969" s="7"/>
      <c r="W969" s="7"/>
      <c r="X969" s="7"/>
      <c r="Y969" s="7"/>
      <c r="Z969" s="7"/>
      <c r="AA969" s="7"/>
    </row>
    <row r="970">
      <c r="A970" s="54"/>
      <c r="B970" s="54"/>
      <c r="C970" s="7"/>
      <c r="D970" s="7"/>
      <c r="E970" s="7"/>
      <c r="F970" s="54"/>
      <c r="G970" s="54"/>
      <c r="H970" s="54"/>
      <c r="I970" s="54"/>
      <c r="J970" s="54"/>
      <c r="K970" s="54"/>
      <c r="L970" s="54"/>
      <c r="M970" s="54"/>
      <c r="N970" s="54"/>
      <c r="O970" s="54"/>
      <c r="P970" s="7"/>
      <c r="Q970" s="7"/>
      <c r="R970" s="7"/>
      <c r="S970" s="7"/>
      <c r="T970" s="7"/>
      <c r="U970" s="7"/>
      <c r="V970" s="7"/>
      <c r="W970" s="7"/>
      <c r="X970" s="7"/>
      <c r="Y970" s="7"/>
      <c r="Z970" s="7"/>
      <c r="AA970" s="7"/>
    </row>
    <row r="971">
      <c r="A971" s="54"/>
      <c r="B971" s="54"/>
      <c r="C971" s="7"/>
      <c r="D971" s="7"/>
      <c r="E971" s="7"/>
      <c r="F971" s="54"/>
      <c r="G971" s="54"/>
      <c r="H971" s="54"/>
      <c r="I971" s="54"/>
      <c r="J971" s="54"/>
      <c r="K971" s="54"/>
      <c r="L971" s="54"/>
      <c r="M971" s="54"/>
      <c r="N971" s="54"/>
      <c r="O971" s="54"/>
      <c r="P971" s="7"/>
      <c r="Q971" s="7"/>
      <c r="R971" s="7"/>
      <c r="S971" s="7"/>
      <c r="T971" s="7"/>
      <c r="U971" s="7"/>
      <c r="V971" s="7"/>
      <c r="W971" s="7"/>
      <c r="X971" s="7"/>
      <c r="Y971" s="7"/>
      <c r="Z971" s="7"/>
      <c r="AA971" s="7"/>
    </row>
    <row r="972">
      <c r="A972" s="54"/>
      <c r="B972" s="54"/>
      <c r="C972" s="7"/>
      <c r="D972" s="7"/>
      <c r="E972" s="7"/>
      <c r="F972" s="54"/>
      <c r="G972" s="54"/>
      <c r="H972" s="54"/>
      <c r="I972" s="54"/>
      <c r="J972" s="54"/>
      <c r="K972" s="54"/>
      <c r="L972" s="54"/>
      <c r="M972" s="54"/>
      <c r="N972" s="54"/>
      <c r="O972" s="54"/>
      <c r="P972" s="7"/>
      <c r="Q972" s="7"/>
      <c r="R972" s="7"/>
      <c r="S972" s="7"/>
      <c r="T972" s="7"/>
      <c r="U972" s="7"/>
      <c r="V972" s="7"/>
      <c r="W972" s="7"/>
      <c r="X972" s="7"/>
      <c r="Y972" s="7"/>
      <c r="Z972" s="7"/>
      <c r="AA972" s="7"/>
    </row>
    <row r="973">
      <c r="A973" s="54"/>
      <c r="B973" s="54"/>
      <c r="C973" s="7"/>
      <c r="D973" s="7"/>
      <c r="E973" s="7"/>
      <c r="F973" s="54"/>
      <c r="G973" s="54"/>
      <c r="H973" s="54"/>
      <c r="I973" s="54"/>
      <c r="J973" s="54"/>
      <c r="K973" s="54"/>
      <c r="L973" s="54"/>
      <c r="M973" s="54"/>
      <c r="N973" s="54"/>
      <c r="O973" s="54"/>
      <c r="P973" s="7"/>
      <c r="Q973" s="7"/>
      <c r="R973" s="7"/>
      <c r="S973" s="7"/>
      <c r="T973" s="7"/>
      <c r="U973" s="7"/>
      <c r="V973" s="7"/>
      <c r="W973" s="7"/>
      <c r="X973" s="7"/>
      <c r="Y973" s="7"/>
      <c r="Z973" s="7"/>
      <c r="AA973" s="7"/>
    </row>
    <row r="974">
      <c r="A974" s="54"/>
      <c r="B974" s="54"/>
      <c r="C974" s="7"/>
      <c r="D974" s="7"/>
      <c r="E974" s="7"/>
      <c r="F974" s="54"/>
      <c r="G974" s="54"/>
      <c r="H974" s="54"/>
      <c r="I974" s="54"/>
      <c r="J974" s="54"/>
      <c r="K974" s="54"/>
      <c r="L974" s="54"/>
      <c r="M974" s="54"/>
      <c r="N974" s="54"/>
      <c r="O974" s="54"/>
      <c r="P974" s="7"/>
      <c r="Q974" s="7"/>
      <c r="R974" s="7"/>
      <c r="S974" s="7"/>
      <c r="T974" s="7"/>
      <c r="U974" s="7"/>
      <c r="V974" s="7"/>
      <c r="W974" s="7"/>
      <c r="X974" s="7"/>
      <c r="Y974" s="7"/>
      <c r="Z974" s="7"/>
      <c r="AA974" s="7"/>
    </row>
    <row r="975">
      <c r="A975" s="54"/>
      <c r="B975" s="54"/>
      <c r="C975" s="7"/>
      <c r="D975" s="7"/>
      <c r="E975" s="7"/>
      <c r="F975" s="54"/>
      <c r="G975" s="54"/>
      <c r="H975" s="54"/>
      <c r="I975" s="54"/>
      <c r="J975" s="54"/>
      <c r="K975" s="54"/>
      <c r="L975" s="54"/>
      <c r="M975" s="54"/>
      <c r="N975" s="54"/>
      <c r="O975" s="54"/>
      <c r="P975" s="7"/>
      <c r="Q975" s="7"/>
      <c r="R975" s="7"/>
      <c r="S975" s="7"/>
      <c r="T975" s="7"/>
      <c r="U975" s="7"/>
      <c r="V975" s="7"/>
      <c r="W975" s="7"/>
      <c r="X975" s="7"/>
      <c r="Y975" s="7"/>
      <c r="Z975" s="7"/>
      <c r="AA975" s="7"/>
    </row>
    <row r="976">
      <c r="A976" s="54"/>
      <c r="B976" s="54"/>
      <c r="C976" s="7"/>
      <c r="D976" s="7"/>
      <c r="E976" s="7"/>
      <c r="F976" s="54"/>
      <c r="G976" s="54"/>
      <c r="H976" s="54"/>
      <c r="I976" s="54"/>
      <c r="J976" s="54"/>
      <c r="K976" s="54"/>
      <c r="L976" s="54"/>
      <c r="M976" s="54"/>
      <c r="N976" s="54"/>
      <c r="O976" s="54"/>
      <c r="P976" s="7"/>
      <c r="Q976" s="7"/>
      <c r="R976" s="7"/>
      <c r="S976" s="7"/>
      <c r="T976" s="7"/>
      <c r="U976" s="7"/>
      <c r="V976" s="7"/>
      <c r="W976" s="7"/>
      <c r="X976" s="7"/>
      <c r="Y976" s="7"/>
      <c r="Z976" s="7"/>
      <c r="AA976" s="7"/>
    </row>
    <row r="977">
      <c r="A977" s="54"/>
      <c r="B977" s="54"/>
      <c r="C977" s="7"/>
      <c r="D977" s="7"/>
      <c r="E977" s="7"/>
      <c r="F977" s="54"/>
      <c r="G977" s="54"/>
      <c r="H977" s="54"/>
      <c r="I977" s="54"/>
      <c r="J977" s="54"/>
      <c r="K977" s="54"/>
      <c r="L977" s="54"/>
      <c r="M977" s="54"/>
      <c r="N977" s="54"/>
      <c r="O977" s="54"/>
      <c r="P977" s="7"/>
      <c r="Q977" s="7"/>
      <c r="R977" s="7"/>
      <c r="S977" s="7"/>
      <c r="T977" s="7"/>
      <c r="U977" s="7"/>
      <c r="V977" s="7"/>
      <c r="W977" s="7"/>
      <c r="X977" s="7"/>
      <c r="Y977" s="7"/>
      <c r="Z977" s="7"/>
      <c r="AA977" s="7"/>
    </row>
    <row r="978">
      <c r="A978" s="54"/>
      <c r="B978" s="54"/>
      <c r="C978" s="7"/>
      <c r="D978" s="7"/>
      <c r="E978" s="7"/>
      <c r="F978" s="54"/>
      <c r="G978" s="54"/>
      <c r="H978" s="54"/>
      <c r="I978" s="54"/>
      <c r="J978" s="54"/>
      <c r="K978" s="54"/>
      <c r="L978" s="54"/>
      <c r="M978" s="54"/>
      <c r="N978" s="54"/>
      <c r="O978" s="54"/>
      <c r="P978" s="7"/>
      <c r="Q978" s="7"/>
      <c r="R978" s="7"/>
      <c r="S978" s="7"/>
      <c r="T978" s="7"/>
      <c r="U978" s="7"/>
      <c r="V978" s="7"/>
      <c r="W978" s="7"/>
      <c r="X978" s="7"/>
      <c r="Y978" s="7"/>
      <c r="Z978" s="7"/>
      <c r="AA978" s="7"/>
    </row>
    <row r="979">
      <c r="A979" s="54"/>
      <c r="B979" s="54"/>
      <c r="C979" s="7"/>
      <c r="D979" s="7"/>
      <c r="E979" s="7"/>
      <c r="F979" s="54"/>
      <c r="G979" s="54"/>
      <c r="H979" s="54"/>
      <c r="I979" s="54"/>
      <c r="J979" s="54"/>
      <c r="K979" s="54"/>
      <c r="L979" s="54"/>
      <c r="M979" s="54"/>
      <c r="N979" s="54"/>
      <c r="O979" s="54"/>
      <c r="P979" s="7"/>
      <c r="Q979" s="7"/>
      <c r="R979" s="7"/>
      <c r="S979" s="7"/>
      <c r="T979" s="7"/>
      <c r="U979" s="7"/>
      <c r="V979" s="7"/>
      <c r="W979" s="7"/>
      <c r="X979" s="7"/>
      <c r="Y979" s="7"/>
      <c r="Z979" s="7"/>
      <c r="AA979" s="7"/>
    </row>
    <row r="980">
      <c r="A980" s="54"/>
      <c r="B980" s="54"/>
      <c r="C980" s="7"/>
      <c r="D980" s="7"/>
      <c r="E980" s="7"/>
      <c r="F980" s="54"/>
      <c r="G980" s="54"/>
      <c r="H980" s="54"/>
      <c r="I980" s="54"/>
      <c r="J980" s="54"/>
      <c r="K980" s="54"/>
      <c r="L980" s="54"/>
      <c r="M980" s="54"/>
      <c r="N980" s="54"/>
      <c r="O980" s="54"/>
      <c r="P980" s="7"/>
      <c r="Q980" s="7"/>
      <c r="R980" s="7"/>
      <c r="S980" s="7"/>
      <c r="T980" s="7"/>
      <c r="U980" s="7"/>
      <c r="V980" s="7"/>
      <c r="W980" s="7"/>
      <c r="X980" s="7"/>
      <c r="Y980" s="7"/>
      <c r="Z980" s="7"/>
      <c r="AA980" s="7"/>
    </row>
    <row r="981">
      <c r="A981" s="54"/>
      <c r="B981" s="54"/>
      <c r="C981" s="7"/>
      <c r="D981" s="7"/>
      <c r="E981" s="7"/>
      <c r="F981" s="54"/>
      <c r="G981" s="54"/>
      <c r="H981" s="54"/>
      <c r="I981" s="54"/>
      <c r="J981" s="54"/>
      <c r="K981" s="54"/>
      <c r="L981" s="54"/>
      <c r="M981" s="54"/>
      <c r="N981" s="54"/>
      <c r="O981" s="54"/>
      <c r="P981" s="7"/>
      <c r="Q981" s="7"/>
      <c r="R981" s="7"/>
      <c r="S981" s="7"/>
      <c r="T981" s="7"/>
      <c r="U981" s="7"/>
      <c r="V981" s="7"/>
      <c r="W981" s="7"/>
      <c r="X981" s="7"/>
      <c r="Y981" s="7"/>
      <c r="Z981" s="7"/>
      <c r="AA981" s="7"/>
    </row>
    <row r="982">
      <c r="A982" s="54"/>
      <c r="B982" s="54"/>
      <c r="C982" s="7"/>
      <c r="D982" s="7"/>
      <c r="E982" s="7"/>
      <c r="F982" s="54"/>
      <c r="G982" s="54"/>
      <c r="H982" s="54"/>
      <c r="I982" s="54"/>
      <c r="J982" s="54"/>
      <c r="K982" s="54"/>
      <c r="L982" s="54"/>
      <c r="M982" s="54"/>
      <c r="N982" s="54"/>
      <c r="O982" s="54"/>
      <c r="P982" s="7"/>
      <c r="Q982" s="7"/>
      <c r="R982" s="7"/>
      <c r="S982" s="7"/>
      <c r="T982" s="7"/>
      <c r="U982" s="7"/>
      <c r="V982" s="7"/>
      <c r="W982" s="7"/>
      <c r="X982" s="7"/>
      <c r="Y982" s="7"/>
      <c r="Z982" s="7"/>
      <c r="AA982" s="7"/>
    </row>
    <row r="983">
      <c r="A983" s="54"/>
      <c r="B983" s="54"/>
      <c r="C983" s="7"/>
      <c r="D983" s="7"/>
      <c r="E983" s="7"/>
      <c r="F983" s="54"/>
      <c r="G983" s="54"/>
      <c r="H983" s="54"/>
      <c r="I983" s="54"/>
      <c r="J983" s="54"/>
      <c r="K983" s="54"/>
      <c r="L983" s="54"/>
      <c r="M983" s="54"/>
      <c r="N983" s="54"/>
      <c r="O983" s="54"/>
      <c r="P983" s="7"/>
      <c r="Q983" s="7"/>
      <c r="R983" s="7"/>
      <c r="S983" s="7"/>
      <c r="T983" s="7"/>
      <c r="U983" s="7"/>
      <c r="V983" s="7"/>
      <c r="W983" s="7"/>
      <c r="X983" s="7"/>
      <c r="Y983" s="7"/>
      <c r="Z983" s="7"/>
      <c r="AA983" s="7"/>
    </row>
    <row r="984">
      <c r="A984" s="54"/>
      <c r="B984" s="54"/>
      <c r="C984" s="7"/>
      <c r="D984" s="7"/>
      <c r="E984" s="7"/>
      <c r="F984" s="54"/>
      <c r="G984" s="54"/>
      <c r="H984" s="54"/>
      <c r="I984" s="54"/>
      <c r="J984" s="54"/>
      <c r="K984" s="54"/>
      <c r="L984" s="54"/>
      <c r="M984" s="54"/>
      <c r="N984" s="54"/>
      <c r="O984" s="54"/>
      <c r="P984" s="7"/>
      <c r="Q984" s="7"/>
      <c r="R984" s="7"/>
      <c r="S984" s="7"/>
      <c r="T984" s="7"/>
      <c r="U984" s="7"/>
      <c r="V984" s="7"/>
      <c r="W984" s="7"/>
      <c r="X984" s="7"/>
      <c r="Y984" s="7"/>
      <c r="Z984" s="7"/>
      <c r="AA984" s="7"/>
    </row>
    <row r="985">
      <c r="A985" s="54"/>
      <c r="B985" s="54"/>
      <c r="C985" s="7"/>
      <c r="D985" s="7"/>
      <c r="E985" s="7"/>
      <c r="F985" s="54"/>
      <c r="G985" s="54"/>
      <c r="H985" s="54"/>
      <c r="I985" s="54"/>
      <c r="J985" s="54"/>
      <c r="K985" s="54"/>
      <c r="L985" s="54"/>
      <c r="M985" s="54"/>
      <c r="N985" s="54"/>
      <c r="O985" s="54"/>
      <c r="P985" s="7"/>
      <c r="Q985" s="7"/>
      <c r="R985" s="7"/>
      <c r="S985" s="7"/>
      <c r="T985" s="7"/>
      <c r="U985" s="7"/>
      <c r="V985" s="7"/>
      <c r="W985" s="7"/>
      <c r="X985" s="7"/>
      <c r="Y985" s="7"/>
      <c r="Z985" s="7"/>
      <c r="AA985" s="7"/>
    </row>
    <row r="986">
      <c r="A986" s="54"/>
      <c r="B986" s="54"/>
      <c r="C986" s="7"/>
      <c r="D986" s="7"/>
      <c r="E986" s="7"/>
      <c r="F986" s="54"/>
      <c r="G986" s="54"/>
      <c r="H986" s="54"/>
      <c r="I986" s="54"/>
      <c r="J986" s="54"/>
      <c r="K986" s="54"/>
      <c r="L986" s="54"/>
      <c r="M986" s="54"/>
      <c r="N986" s="54"/>
      <c r="O986" s="54"/>
      <c r="P986" s="7"/>
      <c r="Q986" s="7"/>
      <c r="R986" s="7"/>
      <c r="S986" s="7"/>
      <c r="T986" s="7"/>
      <c r="U986" s="7"/>
      <c r="V986" s="7"/>
      <c r="W986" s="7"/>
      <c r="X986" s="7"/>
      <c r="Y986" s="7"/>
      <c r="Z986" s="7"/>
      <c r="AA986" s="7"/>
    </row>
    <row r="987">
      <c r="A987" s="54"/>
      <c r="B987" s="54"/>
      <c r="C987" s="7"/>
      <c r="D987" s="7"/>
      <c r="E987" s="7"/>
      <c r="F987" s="54"/>
      <c r="G987" s="54"/>
      <c r="H987" s="54"/>
      <c r="I987" s="54"/>
      <c r="J987" s="54"/>
      <c r="K987" s="54"/>
      <c r="L987" s="54"/>
      <c r="M987" s="54"/>
      <c r="N987" s="54"/>
      <c r="O987" s="54"/>
      <c r="P987" s="7"/>
      <c r="Q987" s="7"/>
      <c r="R987" s="7"/>
      <c r="S987" s="7"/>
      <c r="T987" s="7"/>
      <c r="U987" s="7"/>
      <c r="V987" s="7"/>
      <c r="W987" s="7"/>
      <c r="X987" s="7"/>
      <c r="Y987" s="7"/>
      <c r="Z987" s="7"/>
      <c r="AA987" s="7"/>
    </row>
    <row r="988">
      <c r="A988" s="54"/>
      <c r="B988" s="54"/>
      <c r="C988" s="7"/>
      <c r="D988" s="7"/>
      <c r="E988" s="7"/>
      <c r="F988" s="54"/>
      <c r="G988" s="54"/>
      <c r="H988" s="54"/>
      <c r="I988" s="54"/>
      <c r="J988" s="54"/>
      <c r="K988" s="54"/>
      <c r="L988" s="54"/>
      <c r="M988" s="54"/>
      <c r="N988" s="54"/>
      <c r="O988" s="54"/>
      <c r="P988" s="7"/>
      <c r="Q988" s="7"/>
      <c r="R988" s="7"/>
      <c r="S988" s="7"/>
      <c r="T988" s="7"/>
      <c r="U988" s="7"/>
      <c r="V988" s="7"/>
      <c r="W988" s="7"/>
      <c r="X988" s="7"/>
      <c r="Y988" s="7"/>
      <c r="Z988" s="7"/>
      <c r="AA988" s="7"/>
    </row>
    <row r="989">
      <c r="A989" s="54"/>
      <c r="B989" s="54"/>
      <c r="C989" s="7"/>
      <c r="D989" s="7"/>
      <c r="E989" s="7"/>
      <c r="F989" s="54"/>
      <c r="G989" s="54"/>
      <c r="H989" s="54"/>
      <c r="I989" s="54"/>
      <c r="J989" s="54"/>
      <c r="K989" s="54"/>
      <c r="L989" s="54"/>
      <c r="M989" s="54"/>
      <c r="N989" s="54"/>
      <c r="O989" s="54"/>
      <c r="P989" s="7"/>
      <c r="Q989" s="7"/>
      <c r="R989" s="7"/>
      <c r="S989" s="7"/>
      <c r="T989" s="7"/>
      <c r="U989" s="7"/>
      <c r="V989" s="7"/>
      <c r="W989" s="7"/>
      <c r="X989" s="7"/>
      <c r="Y989" s="7"/>
      <c r="Z989" s="7"/>
      <c r="AA989" s="7"/>
    </row>
    <row r="990">
      <c r="A990" s="54"/>
      <c r="B990" s="54"/>
      <c r="C990" s="7"/>
      <c r="D990" s="7"/>
      <c r="E990" s="7"/>
      <c r="F990" s="54"/>
      <c r="G990" s="54"/>
      <c r="H990" s="54"/>
      <c r="I990" s="54"/>
      <c r="J990" s="54"/>
      <c r="K990" s="54"/>
      <c r="L990" s="54"/>
      <c r="M990" s="54"/>
      <c r="N990" s="54"/>
      <c r="O990" s="54"/>
      <c r="P990" s="7"/>
      <c r="Q990" s="7"/>
      <c r="R990" s="7"/>
      <c r="S990" s="7"/>
      <c r="T990" s="7"/>
      <c r="U990" s="7"/>
      <c r="V990" s="7"/>
      <c r="W990" s="7"/>
      <c r="X990" s="7"/>
      <c r="Y990" s="7"/>
      <c r="Z990" s="7"/>
      <c r="AA990" s="7"/>
    </row>
    <row r="991">
      <c r="A991" s="54"/>
      <c r="B991" s="54"/>
      <c r="C991" s="7"/>
      <c r="D991" s="7"/>
      <c r="E991" s="7"/>
      <c r="F991" s="54"/>
      <c r="G991" s="54"/>
      <c r="H991" s="54"/>
      <c r="I991" s="54"/>
      <c r="J991" s="54"/>
      <c r="K991" s="54"/>
      <c r="L991" s="54"/>
      <c r="M991" s="54"/>
      <c r="N991" s="54"/>
      <c r="O991" s="54"/>
      <c r="P991" s="7"/>
      <c r="Q991" s="7"/>
      <c r="R991" s="7"/>
      <c r="S991" s="7"/>
      <c r="T991" s="7"/>
      <c r="U991" s="7"/>
      <c r="V991" s="7"/>
      <c r="W991" s="7"/>
      <c r="X991" s="7"/>
      <c r="Y991" s="7"/>
      <c r="Z991" s="7"/>
      <c r="AA991" s="7"/>
    </row>
    <row r="992">
      <c r="A992" s="54"/>
      <c r="B992" s="54"/>
      <c r="C992" s="7"/>
      <c r="D992" s="7"/>
      <c r="E992" s="7"/>
      <c r="F992" s="54"/>
      <c r="G992" s="54"/>
      <c r="H992" s="54"/>
      <c r="I992" s="54"/>
      <c r="J992" s="54"/>
      <c r="K992" s="54"/>
      <c r="L992" s="54"/>
      <c r="M992" s="54"/>
      <c r="N992" s="54"/>
      <c r="O992" s="54"/>
      <c r="P992" s="7"/>
      <c r="Q992" s="7"/>
      <c r="R992" s="7"/>
      <c r="S992" s="7"/>
      <c r="T992" s="7"/>
      <c r="U992" s="7"/>
      <c r="V992" s="7"/>
      <c r="W992" s="7"/>
      <c r="X992" s="7"/>
      <c r="Y992" s="7"/>
      <c r="Z992" s="7"/>
      <c r="AA992" s="7"/>
    </row>
    <row r="993">
      <c r="A993" s="54"/>
      <c r="B993" s="54"/>
      <c r="C993" s="7"/>
      <c r="D993" s="7"/>
      <c r="E993" s="7"/>
      <c r="F993" s="54"/>
      <c r="G993" s="54"/>
      <c r="H993" s="54"/>
      <c r="I993" s="54"/>
      <c r="J993" s="54"/>
      <c r="K993" s="54"/>
      <c r="L993" s="54"/>
      <c r="M993" s="54"/>
      <c r="N993" s="54"/>
      <c r="O993" s="54"/>
      <c r="P993" s="7"/>
      <c r="Q993" s="7"/>
      <c r="R993" s="7"/>
      <c r="S993" s="7"/>
      <c r="T993" s="7"/>
      <c r="U993" s="7"/>
      <c r="V993" s="7"/>
      <c r="W993" s="7"/>
      <c r="X993" s="7"/>
      <c r="Y993" s="7"/>
      <c r="Z993" s="7"/>
      <c r="AA993" s="7"/>
    </row>
    <row r="994">
      <c r="A994" s="54"/>
      <c r="B994" s="54"/>
      <c r="C994" s="7"/>
      <c r="D994" s="7"/>
      <c r="E994" s="7"/>
      <c r="F994" s="54"/>
      <c r="G994" s="54"/>
      <c r="H994" s="54"/>
      <c r="I994" s="54"/>
      <c r="J994" s="54"/>
      <c r="K994" s="54"/>
      <c r="L994" s="54"/>
      <c r="M994" s="54"/>
      <c r="N994" s="54"/>
      <c r="O994" s="54"/>
      <c r="P994" s="7"/>
      <c r="Q994" s="7"/>
      <c r="R994" s="7"/>
      <c r="S994" s="7"/>
      <c r="T994" s="7"/>
      <c r="U994" s="7"/>
      <c r="V994" s="7"/>
      <c r="W994" s="7"/>
      <c r="X994" s="7"/>
      <c r="Y994" s="7"/>
      <c r="Z994" s="7"/>
      <c r="AA994" s="7"/>
    </row>
    <row r="995">
      <c r="A995" s="54"/>
      <c r="B995" s="54"/>
      <c r="C995" s="7"/>
      <c r="D995" s="7"/>
      <c r="E995" s="7"/>
      <c r="F995" s="54"/>
      <c r="G995" s="54"/>
      <c r="H995" s="54"/>
      <c r="I995" s="54"/>
      <c r="J995" s="54"/>
      <c r="K995" s="54"/>
      <c r="L995" s="54"/>
      <c r="M995" s="54"/>
      <c r="N995" s="54"/>
      <c r="O995" s="54"/>
      <c r="P995" s="7"/>
      <c r="Q995" s="7"/>
      <c r="R995" s="7"/>
      <c r="S995" s="7"/>
      <c r="T995" s="7"/>
      <c r="U995" s="7"/>
      <c r="V995" s="7"/>
      <c r="W995" s="7"/>
      <c r="X995" s="7"/>
      <c r="Y995" s="7"/>
      <c r="Z995" s="7"/>
      <c r="AA995" s="7"/>
    </row>
    <row r="996">
      <c r="A996" s="54"/>
      <c r="B996" s="54"/>
      <c r="C996" s="7"/>
      <c r="D996" s="7"/>
      <c r="E996" s="7"/>
      <c r="F996" s="54"/>
      <c r="G996" s="54"/>
      <c r="H996" s="54"/>
      <c r="I996" s="54"/>
      <c r="J996" s="54"/>
      <c r="K996" s="54"/>
      <c r="L996" s="54"/>
      <c r="M996" s="54"/>
      <c r="N996" s="54"/>
      <c r="O996" s="54"/>
      <c r="P996" s="7"/>
      <c r="Q996" s="7"/>
      <c r="R996" s="7"/>
      <c r="S996" s="7"/>
      <c r="T996" s="7"/>
      <c r="U996" s="7"/>
      <c r="V996" s="7"/>
      <c r="W996" s="7"/>
      <c r="X996" s="7"/>
      <c r="Y996" s="7"/>
      <c r="Z996" s="7"/>
      <c r="AA996" s="7"/>
    </row>
    <row r="997">
      <c r="A997" s="54"/>
      <c r="B997" s="54"/>
      <c r="C997" s="7"/>
      <c r="D997" s="7"/>
      <c r="E997" s="7"/>
      <c r="F997" s="54"/>
      <c r="G997" s="54"/>
      <c r="H997" s="54"/>
      <c r="I997" s="54"/>
      <c r="J997" s="54"/>
      <c r="K997" s="54"/>
      <c r="L997" s="54"/>
      <c r="M997" s="54"/>
      <c r="N997" s="54"/>
      <c r="O997" s="54"/>
      <c r="P997" s="7"/>
      <c r="Q997" s="7"/>
      <c r="R997" s="7"/>
      <c r="S997" s="7"/>
      <c r="T997" s="7"/>
      <c r="U997" s="7"/>
      <c r="V997" s="7"/>
      <c r="W997" s="7"/>
      <c r="X997" s="7"/>
      <c r="Y997" s="7"/>
      <c r="Z997" s="7"/>
      <c r="AA997" s="7"/>
    </row>
    <row r="998">
      <c r="A998" s="54"/>
      <c r="B998" s="54"/>
      <c r="C998" s="7"/>
      <c r="D998" s="7"/>
      <c r="E998" s="7"/>
      <c r="F998" s="54"/>
      <c r="G998" s="54"/>
      <c r="H998" s="54"/>
      <c r="I998" s="54"/>
      <c r="J998" s="54"/>
      <c r="K998" s="54"/>
      <c r="L998" s="54"/>
      <c r="M998" s="54"/>
      <c r="N998" s="54"/>
      <c r="O998" s="54"/>
      <c r="P998" s="7"/>
      <c r="Q998" s="7"/>
      <c r="R998" s="7"/>
      <c r="S998" s="7"/>
      <c r="T998" s="7"/>
      <c r="U998" s="7"/>
      <c r="V998" s="7"/>
      <c r="W998" s="7"/>
      <c r="X998" s="7"/>
      <c r="Y998" s="7"/>
      <c r="Z998" s="7"/>
      <c r="AA998" s="7"/>
    </row>
    <row r="999">
      <c r="A999" s="54"/>
      <c r="B999" s="54"/>
      <c r="C999" s="7"/>
      <c r="D999" s="7"/>
      <c r="E999" s="7"/>
      <c r="F999" s="54"/>
      <c r="G999" s="54"/>
      <c r="H999" s="54"/>
      <c r="I999" s="54"/>
      <c r="J999" s="54"/>
      <c r="K999" s="54"/>
      <c r="L999" s="54"/>
      <c r="M999" s="54"/>
      <c r="N999" s="54"/>
      <c r="O999" s="54"/>
      <c r="P999" s="7"/>
      <c r="Q999" s="7"/>
      <c r="R999" s="7"/>
      <c r="S999" s="7"/>
      <c r="T999" s="7"/>
      <c r="U999" s="7"/>
      <c r="V999" s="7"/>
      <c r="W999" s="7"/>
      <c r="X999" s="7"/>
      <c r="Y999" s="7"/>
      <c r="Z999" s="7"/>
      <c r="AA999" s="7"/>
    </row>
    <row r="1000">
      <c r="A1000" s="54"/>
      <c r="B1000" s="54"/>
      <c r="C1000" s="7"/>
      <c r="D1000" s="7"/>
      <c r="E1000" s="7"/>
      <c r="F1000" s="54"/>
      <c r="G1000" s="54"/>
      <c r="H1000" s="54"/>
      <c r="I1000" s="54"/>
      <c r="J1000" s="54"/>
      <c r="K1000" s="54"/>
      <c r="L1000" s="54"/>
      <c r="M1000" s="54"/>
      <c r="N1000" s="54"/>
      <c r="O1000" s="54"/>
      <c r="P1000" s="7"/>
      <c r="Q1000" s="7"/>
      <c r="R1000" s="7"/>
      <c r="S1000" s="7"/>
      <c r="T1000" s="7"/>
      <c r="U1000" s="7"/>
      <c r="V1000" s="7"/>
      <c r="W1000" s="7"/>
      <c r="X1000" s="7"/>
      <c r="Y1000" s="7"/>
      <c r="Z1000" s="7"/>
      <c r="AA1000" s="7"/>
    </row>
  </sheetData>
  <mergeCells count="2">
    <mergeCell ref="D19:F19"/>
    <mergeCell ref="D20:E20"/>
  </mergeCells>
  <conditionalFormatting sqref="D3">
    <cfRule type="expression" dxfId="0" priority="1">
      <formula>(C3=TRUE)</formula>
    </cfRule>
  </conditionalFormatting>
  <conditionalFormatting sqref="D6">
    <cfRule type="expression" dxfId="0" priority="2">
      <formula>(C6=TRUE)</formula>
    </cfRule>
  </conditionalFormatting>
  <conditionalFormatting sqref="E11">
    <cfRule type="expression" dxfId="0" priority="3">
      <formula>(C6=TRUE)</formula>
    </cfRule>
  </conditionalFormatting>
  <conditionalFormatting sqref="F6">
    <cfRule type="expression" dxfId="0" priority="4">
      <formula>(C6=TRUE)</formula>
    </cfRule>
  </conditionalFormatting>
  <conditionalFormatting sqref="N6 P6">
    <cfRule type="expression" dxfId="0" priority="5">
      <formula>(C6=TRUE)</formula>
    </cfRule>
  </conditionalFormatting>
  <conditionalFormatting sqref="H6">
    <cfRule type="expression" dxfId="0" priority="6">
      <formula>(C6=TRUE)</formula>
    </cfRule>
  </conditionalFormatting>
  <conditionalFormatting sqref="J6">
    <cfRule type="expression" dxfId="0" priority="7">
      <formula>(C6=TRUE)</formula>
    </cfRule>
  </conditionalFormatting>
  <conditionalFormatting sqref="L5:L6">
    <cfRule type="expression" dxfId="0" priority="8">
      <formula>(C5=TRUE)</formula>
    </cfRule>
  </conditionalFormatting>
  <conditionalFormatting sqref="G11">
    <cfRule type="expression" dxfId="0" priority="9">
      <formula>(C6=TRUE)</formula>
    </cfRule>
  </conditionalFormatting>
  <conditionalFormatting sqref="I11">
    <cfRule type="expression" dxfId="0" priority="10">
      <formula>(C6=TRUE)</formula>
    </cfRule>
  </conditionalFormatting>
  <conditionalFormatting sqref="K11">
    <cfRule type="expression" dxfId="0" priority="11">
      <formula>(C6=TRUE)</formula>
    </cfRule>
  </conditionalFormatting>
  <conditionalFormatting sqref="M11">
    <cfRule type="expression" dxfId="0" priority="12">
      <formula>(C6=TRUE)</formula>
    </cfRule>
  </conditionalFormatting>
  <conditionalFormatting sqref="O11 Q11">
    <cfRule type="expression" dxfId="0" priority="13">
      <formula>(C6=TRUE)</formula>
    </cfRule>
  </conditionalFormatting>
  <conditionalFormatting sqref="E14">
    <cfRule type="expression" dxfId="0" priority="14">
      <formula>(C3=TRUE)</formula>
    </cfRule>
  </conditionalFormatting>
  <conditionalFormatting sqref="F3 G14 H3 I14">
    <cfRule type="expression" dxfId="0" priority="15">
      <formula>($C$3=TRUE)</formula>
    </cfRule>
  </conditionalFormatting>
  <conditionalFormatting sqref="J3 L3 N3 P3 K14 M14 O14 Q14">
    <cfRule type="expression" dxfId="0" priority="16">
      <formula>($C$3=TRUE)</formula>
    </cfRule>
  </conditionalFormatting>
  <conditionalFormatting sqref="D4 F4 H4 J4 L4 N4 P4 E13 G13 I13 K13 M13 O13 Q13">
    <cfRule type="expression" dxfId="0" priority="17">
      <formula>($C$4=TRUE)</formula>
    </cfRule>
  </conditionalFormatting>
  <conditionalFormatting sqref="L4:L5 D5 F5 H5 J5 N5 P5 E12 G12 I12 K12 M12 O12 Q12">
    <cfRule type="expression" dxfId="1" priority="18">
      <formula>($C$5=TRUE)</formula>
    </cfRule>
  </conditionalFormatting>
  <conditionalFormatting sqref="L6:L7 D7 F7 H7 J7 N7 P7 E10 G10 I10 K10 M10 O10 Q10">
    <cfRule type="expression" dxfId="0" priority="19">
      <formula>($C$7=TRUE)</formula>
    </cfRule>
  </conditionalFormatting>
  <conditionalFormatting sqref="L7:L8 D8 F8 H8 J8 N8 P8 E9 G9 I9 K9 M9 O9 Q9">
    <cfRule type="expression" dxfId="0" priority="20">
      <formula>($C$8=TRUE)</formula>
    </cfRule>
  </conditionalFormatting>
  <conditionalFormatting sqref="O7:O8 E8 G8 I8 K8 L8:L9 M8 Q8 D9 F9 H9 J9 N9 P9">
    <cfRule type="expression" dxfId="1" priority="21">
      <formula>($C$9=TRUE)</formula>
    </cfRule>
  </conditionalFormatting>
  <conditionalFormatting sqref="O6:O7 E7 G7 I7 K7 M7 Q7 L9:L10 D10 F10 H10 J10 N10 P10">
    <cfRule type="expression" dxfId="0" priority="22">
      <formula>($C$10=TRUE)</formula>
    </cfRule>
  </conditionalFormatting>
  <conditionalFormatting sqref="O5:O6 E6 G6 I6 K6 M6 Q6 L10:L11 D11 F11 H11 J11 N11 P11">
    <cfRule type="expression" dxfId="0" priority="23">
      <formula>($C$11=TRUE)</formula>
    </cfRule>
  </conditionalFormatting>
  <conditionalFormatting sqref="O4:O5 E5 G5 I5 K5 M5 Q5 L11:L12 D12 F12 H12 J12 N12 P12">
    <cfRule type="expression" dxfId="0" priority="24">
      <formula>($C$12=TRUE)</formula>
    </cfRule>
  </conditionalFormatting>
  <conditionalFormatting sqref="E4 G4 I4 K4 M4 O4 Q4 D13 F13 H13 J13 L13 N13 P13">
    <cfRule type="expression" dxfId="0" priority="25">
      <formula>($C$13=TRUE)</formula>
    </cfRule>
  </conditionalFormatting>
  <conditionalFormatting sqref="E3 G3 I3 K3 M3 O3 Q3 D14 F14 H14 J14 L14 N14 P14">
    <cfRule type="expression" dxfId="0" priority="26">
      <formula>($C$14=TRUE)</formula>
    </cfRule>
  </conditionalFormatting>
  <dataValidations>
    <dataValidation type="list" allowBlank="1" sqref="D3:Q14">
      <formula1>Projections!$J$20:$J$416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7.0" topLeftCell="A18" activePane="bottomLeft" state="frozen"/>
      <selection activeCell="B19" sqref="B19" pane="bottomLeft"/>
    </sheetView>
  </sheetViews>
  <sheetFormatPr customHeight="1" defaultColWidth="12.63" defaultRowHeight="15.75"/>
  <cols>
    <col customWidth="1" hidden="1" min="1" max="1" width="7.5"/>
    <col customWidth="1" hidden="1" min="2" max="2" width="7.38"/>
    <col customWidth="1" hidden="1" min="3" max="3" width="6.63"/>
    <col customWidth="1" hidden="1" min="4" max="4" width="7.75"/>
    <col customWidth="1" min="5" max="5" width="7.13"/>
    <col customWidth="1" min="6" max="6" width="15.0"/>
    <col customWidth="1" min="7" max="7" width="9.63"/>
    <col customWidth="1" min="8" max="8" width="7.38"/>
    <col customWidth="1" min="9" max="9" width="8.63"/>
    <col customWidth="1" min="10" max="10" width="20.0"/>
    <col customWidth="1" min="11" max="11" width="7.25"/>
    <col customWidth="1" min="12" max="12" width="9.0"/>
    <col customWidth="1" min="13" max="13" width="8.13"/>
    <col customWidth="1" min="14" max="14" width="7.88"/>
    <col customWidth="1" min="15" max="15" width="8.0"/>
    <col customWidth="1" min="16" max="16" width="7.75"/>
    <col customWidth="1" min="17" max="17" width="8.13"/>
    <col customWidth="1" min="18" max="18" width="7.38"/>
    <col customWidth="1" min="19" max="19" width="7.88"/>
    <col customWidth="1" min="20" max="20" width="8.75"/>
    <col customWidth="1" min="21" max="21" width="7.5"/>
    <col customWidth="1" min="22" max="22" width="8.75"/>
    <col customWidth="1" min="23" max="23" width="10.5"/>
    <col customWidth="1" min="24" max="24" width="7.38"/>
    <col customWidth="1" min="25" max="25" width="7.13"/>
    <col customWidth="1" min="26" max="26" width="5.88"/>
    <col customWidth="1" min="27" max="27" width="6.13"/>
    <col customWidth="1" min="28" max="28" width="5.88"/>
    <col customWidth="1" min="29" max="30" width="5.0"/>
    <col customWidth="1" min="31" max="33" width="6.88"/>
    <col customWidth="1" min="34" max="34" width="5.63"/>
    <col customWidth="1" min="35" max="35" width="7.13"/>
    <col customWidth="1" min="36" max="36" width="3.5"/>
    <col customWidth="1" min="37" max="37" width="14.38"/>
    <col customWidth="1" hidden="1" min="38" max="38" width="9.13"/>
    <col customWidth="1" hidden="1" min="39" max="41" width="5.13"/>
    <col customWidth="1" hidden="1" min="42" max="42" width="4.63"/>
    <col customWidth="1" hidden="1" min="43" max="46" width="5.13"/>
    <col hidden="1" min="47" max="49" width="12.63"/>
    <col customWidth="1" min="50" max="50" width="11.25"/>
    <col customWidth="1" min="51" max="51" width="14.38"/>
    <col customWidth="1" min="57" max="57" width="9.63"/>
    <col customWidth="1" min="58" max="58" width="9.88"/>
    <col customWidth="1" min="59" max="59" width="10.63"/>
    <col customWidth="1" min="60" max="60" width="7.38"/>
    <col customWidth="1" min="61" max="61" width="8.13"/>
  </cols>
  <sheetData>
    <row r="1">
      <c r="A1" s="17"/>
      <c r="B1" s="17"/>
      <c r="C1" s="17"/>
      <c r="D1" s="17"/>
      <c r="E1" s="18"/>
      <c r="F1" s="18"/>
      <c r="G1" s="18"/>
      <c r="H1" s="19"/>
      <c r="I1" s="18"/>
      <c r="J1" s="20"/>
      <c r="K1" s="21"/>
      <c r="L1" s="22"/>
      <c r="M1" s="20"/>
      <c r="N1" s="20"/>
      <c r="O1" s="20"/>
      <c r="P1" s="20"/>
      <c r="Q1" s="20"/>
      <c r="R1" s="20"/>
      <c r="S1" s="20"/>
      <c r="T1" s="20"/>
      <c r="U1" s="20"/>
      <c r="V1" s="23"/>
      <c r="W1" s="23"/>
      <c r="X1" s="23"/>
      <c r="Y1" s="23"/>
      <c r="Z1" s="23"/>
      <c r="AA1" s="23"/>
      <c r="AB1" s="23"/>
      <c r="AC1" s="23"/>
      <c r="AD1" s="23"/>
      <c r="AE1" s="23"/>
      <c r="AF1" s="23"/>
      <c r="AG1" s="23"/>
      <c r="AH1" s="23"/>
      <c r="AI1" s="23"/>
      <c r="AJ1" s="23"/>
      <c r="AK1" s="7"/>
      <c r="AL1" s="25"/>
      <c r="AM1" s="26"/>
      <c r="AN1" s="26"/>
      <c r="AO1" s="26"/>
      <c r="AP1" s="26"/>
      <c r="AQ1" s="26"/>
      <c r="AR1" s="26"/>
      <c r="AS1" s="26"/>
      <c r="AT1" s="26"/>
      <c r="AU1" s="26"/>
      <c r="AV1" s="26"/>
      <c r="AW1" s="27"/>
      <c r="AX1" s="27"/>
      <c r="AY1" s="28"/>
      <c r="AZ1" s="7"/>
      <c r="BA1" s="7"/>
      <c r="BB1" s="7"/>
      <c r="BC1" s="7"/>
      <c r="BD1" s="7"/>
      <c r="BE1" s="7"/>
      <c r="BF1" s="7"/>
      <c r="BG1" s="7"/>
      <c r="BH1" s="7"/>
      <c r="BI1" s="7"/>
      <c r="BJ1" s="7"/>
      <c r="BK1" s="7"/>
      <c r="BL1" s="7"/>
      <c r="BM1" s="7"/>
      <c r="BN1" s="7"/>
      <c r="BO1" s="7"/>
      <c r="BP1" s="7"/>
      <c r="BQ1" s="7"/>
      <c r="BR1" s="7"/>
      <c r="BS1" s="7"/>
      <c r="BT1" s="7"/>
      <c r="BU1" s="7"/>
      <c r="BV1" s="7"/>
      <c r="BW1" s="7"/>
    </row>
    <row r="2">
      <c r="A2" s="17"/>
      <c r="B2" s="17"/>
      <c r="C2" s="17"/>
      <c r="D2" s="17"/>
      <c r="E2" s="18"/>
      <c r="F2" s="18"/>
      <c r="G2" s="18"/>
      <c r="H2" s="19"/>
      <c r="I2" s="18" t="s">
        <v>93</v>
      </c>
      <c r="J2" s="31" t="s">
        <v>95</v>
      </c>
      <c r="K2" s="31" t="s">
        <v>13</v>
      </c>
      <c r="L2" s="31" t="s">
        <v>99</v>
      </c>
      <c r="M2" s="31" t="s">
        <v>101</v>
      </c>
      <c r="N2" s="31" t="s">
        <v>15</v>
      </c>
      <c r="O2" s="31" t="s">
        <v>16</v>
      </c>
      <c r="P2" s="31" t="s">
        <v>17</v>
      </c>
      <c r="Q2" s="31" t="s">
        <v>9</v>
      </c>
      <c r="R2" s="31" t="s">
        <v>11</v>
      </c>
      <c r="S2" s="31" t="s">
        <v>18</v>
      </c>
      <c r="T2" s="31" t="s">
        <v>106</v>
      </c>
      <c r="U2" s="33" t="s">
        <v>109</v>
      </c>
      <c r="V2" s="34" t="s">
        <v>111</v>
      </c>
      <c r="W2" s="35" t="s">
        <v>116</v>
      </c>
      <c r="X2" s="38" t="str">
        <f>"Round "&amp;Column(A1)</f>
        <v>Round 1</v>
      </c>
      <c r="Y2" s="39"/>
      <c r="Z2" s="41" t="str">
        <f>"Round "&amp;Column(B1)</f>
        <v>Round 2</v>
      </c>
      <c r="AA2" s="39"/>
      <c r="AB2" s="41" t="str">
        <f>"Round "&amp;Column(C1)</f>
        <v>Round 3</v>
      </c>
      <c r="AC2" s="39"/>
      <c r="AD2" s="41" t="str">
        <f>"Round "&amp;Column(D1)</f>
        <v>Round 4</v>
      </c>
      <c r="AE2" s="39"/>
      <c r="AF2" s="41" t="str">
        <f>"Round "&amp;Column(E1)</f>
        <v>Round 5</v>
      </c>
      <c r="AG2" s="39"/>
      <c r="AH2" s="41" t="str">
        <f>"Round "&amp;Column(F1)</f>
        <v>Round 6</v>
      </c>
      <c r="AI2" s="39"/>
      <c r="AJ2" s="41" t="str">
        <f>"Round "&amp;Column(G1)</f>
        <v>Round 7</v>
      </c>
      <c r="AK2" s="39"/>
      <c r="AL2" s="41" t="str">
        <f>"Round "&amp;Column(P1)</f>
        <v>Round 16</v>
      </c>
      <c r="AM2" s="39"/>
      <c r="AN2" s="41" t="str">
        <f>"Round "&amp;Column(R1)</f>
        <v>Round 18</v>
      </c>
      <c r="AO2" s="39"/>
      <c r="AP2" s="41" t="str">
        <f>"Round "&amp;Column(T1)</f>
        <v>Round 20</v>
      </c>
      <c r="AQ2" s="39"/>
      <c r="AR2" s="41" t="str">
        <f>"Round "&amp;Column(V1)</f>
        <v>Round 22</v>
      </c>
      <c r="AS2" s="39"/>
      <c r="AT2" s="41" t="str">
        <f>"Round "&amp;Column(Y1)</f>
        <v>Round 25</v>
      </c>
      <c r="AU2" s="39"/>
      <c r="AV2" s="41" t="str">
        <f>"Round "&amp;Column(AA1)</f>
        <v>Round 27</v>
      </c>
      <c r="AW2" s="39"/>
      <c r="AX2" s="49" t="str">
        <f t="shared" ref="AX2:BD2" si="1">"Round "&amp;Column(H1)</f>
        <v>Round 8</v>
      </c>
      <c r="AY2" s="49" t="str">
        <f t="shared" si="1"/>
        <v>Round 9</v>
      </c>
      <c r="AZ2" s="49" t="str">
        <f t="shared" si="1"/>
        <v>Round 10</v>
      </c>
      <c r="BA2" s="49" t="str">
        <f t="shared" si="1"/>
        <v>Round 11</v>
      </c>
      <c r="BB2" s="49" t="str">
        <f t="shared" si="1"/>
        <v>Round 12</v>
      </c>
      <c r="BC2" s="49" t="str">
        <f t="shared" si="1"/>
        <v>Round 13</v>
      </c>
      <c r="BD2" s="49" t="str">
        <f t="shared" si="1"/>
        <v>Round 14</v>
      </c>
      <c r="BE2" s="7" t="str">
        <f>Draft!AK3</f>
        <v/>
      </c>
      <c r="BF2" s="7" t="str">
        <f>Draft!AL3</f>
        <v/>
      </c>
      <c r="BG2" s="7" t="str">
        <f>Draft!AM3</f>
        <v/>
      </c>
      <c r="BH2" s="7" t="str">
        <f>Draft!AN3</f>
        <v/>
      </c>
      <c r="BI2" s="7" t="str">
        <f>Draft!AO3</f>
        <v/>
      </c>
      <c r="BJ2" s="7"/>
      <c r="BK2" s="7"/>
      <c r="BL2" s="7"/>
      <c r="BM2" s="7"/>
      <c r="BN2" s="7"/>
      <c r="BO2" s="7"/>
      <c r="BP2" s="7"/>
      <c r="BQ2" s="7"/>
      <c r="BR2" s="7"/>
      <c r="BS2" s="7"/>
      <c r="BT2" s="7"/>
      <c r="BU2" s="7"/>
      <c r="BV2" s="7"/>
      <c r="BW2" s="7"/>
    </row>
    <row r="3">
      <c r="A3" s="17"/>
      <c r="B3" s="17"/>
      <c r="C3" s="17"/>
      <c r="D3" s="17"/>
      <c r="E3" s="50"/>
      <c r="F3" s="51" t="s">
        <v>213</v>
      </c>
      <c r="G3" s="52">
        <v>4.0</v>
      </c>
      <c r="H3" s="19"/>
      <c r="I3" s="55" t="b">
        <f>Draft!C3</f>
        <v>0</v>
      </c>
      <c r="J3" s="31">
        <v>1.0</v>
      </c>
      <c r="K3" s="57">
        <f>'All Teams'!E18</f>
        <v>-34.70894483</v>
      </c>
      <c r="L3" s="58">
        <f>'All Teams'!F18</f>
        <v>-19.14755239</v>
      </c>
      <c r="M3" s="59">
        <f>'All Teams'!G18</f>
        <v>-26.18659016</v>
      </c>
      <c r="N3" s="60">
        <f>'All Teams'!H18</f>
        <v>-19.72522926</v>
      </c>
      <c r="O3" s="58">
        <f>'All Teams'!I18</f>
        <v>-35.64209565</v>
      </c>
      <c r="P3" s="61">
        <f>'All Teams'!J18</f>
        <v>-14.62001366</v>
      </c>
      <c r="Q3" s="63">
        <f>'All Teams'!K18</f>
        <v>-5.247834342</v>
      </c>
      <c r="R3" s="64">
        <f>'All Teams'!L18</f>
        <v>2.996274515</v>
      </c>
      <c r="S3" s="65">
        <f>'All Teams'!M18</f>
        <v>19.08007609</v>
      </c>
      <c r="T3" s="71">
        <f t="array" ref="T3">if(Team!D$1=$J3,"-", countif(indirect(address(row($J$2)+ VLOOKUP(Team!D$1,$J$3:$J$14,1),COLUMN($K$2))):indirect(address(row($J$2)+ VLOOKUP(Team!D$1,$J$3:$J$14,1),COLUMN($S$2)))&gt;indirect(address(row($J3),COLUMN($K$2))):indirect(address(row($J3),COLUMN($S$2))),TRUE()))</f>
        <v>7</v>
      </c>
      <c r="U3" s="74">
        <f>SUM(AL$22:AL$33)/99</f>
        <v>0.5050505051</v>
      </c>
      <c r="V3" s="75">
        <f t="shared" ref="V3:V14" si="2">SUMIF(K3:R3,"&gt;-2.5")</f>
        <v>2.996274515</v>
      </c>
      <c r="W3" s="77">
        <f>'All Teams'!N18</f>
        <v>20.18135347</v>
      </c>
      <c r="X3" s="78" t="str">
        <f>Draft!D3</f>
        <v>Victor Wembanyama</v>
      </c>
      <c r="Y3" s="79"/>
      <c r="Z3" s="80" t="str">
        <f>Draft!E3</f>
        <v>James Harden</v>
      </c>
      <c r="AA3" s="79"/>
      <c r="AB3" s="81" t="str">
        <f>Draft!F3</f>
        <v>Cooper Flagg</v>
      </c>
      <c r="AC3" s="79"/>
      <c r="AD3" s="81" t="str">
        <f>Draft!G3</f>
        <v>Brandon Miller</v>
      </c>
      <c r="AE3" s="79"/>
      <c r="AF3" s="81" t="str">
        <f>Draft!H3</f>
        <v>O.G. Anunoby</v>
      </c>
      <c r="AG3" s="79"/>
      <c r="AH3" s="81" t="str">
        <f>Draft!I3</f>
        <v>Alexandre Sarr</v>
      </c>
      <c r="AI3" s="79"/>
      <c r="AJ3" s="81" t="str">
        <f>Draft!J3</f>
        <v>Paul George</v>
      </c>
      <c r="AK3" s="79"/>
      <c r="AL3" s="82" t="str">
        <f>Draft!R4</f>
        <v/>
      </c>
      <c r="AM3" s="82" t="str">
        <f>Draft!S4</f>
        <v/>
      </c>
      <c r="AN3" s="82" t="str">
        <f>Draft!T4</f>
        <v/>
      </c>
      <c r="AO3" s="82" t="str">
        <f>Draft!U4</f>
        <v/>
      </c>
      <c r="AP3" s="82" t="str">
        <f>Draft!V4</f>
        <v/>
      </c>
      <c r="AQ3" s="82" t="str">
        <f>Draft!W4</f>
        <v/>
      </c>
      <c r="AR3" s="82" t="str">
        <f>Draft!X4</f>
        <v/>
      </c>
      <c r="AS3" s="82" t="str">
        <f>Draft!Y4</f>
        <v/>
      </c>
      <c r="AT3" s="82" t="str">
        <f>Draft!Z4</f>
        <v/>
      </c>
      <c r="AU3" s="82" t="str">
        <f>Draft!AA4</f>
        <v/>
      </c>
      <c r="AV3" s="82" t="str">
        <f>Draft!AB4</f>
        <v/>
      </c>
      <c r="AW3" s="82" t="str">
        <f>Draft!AC4</f>
        <v/>
      </c>
      <c r="AX3" s="83" t="str">
        <f>Draft!K3</f>
        <v>Cam Johnson</v>
      </c>
      <c r="AY3" s="83" t="str">
        <f>Draft!L3</f>
        <v>Jaden McDaniels</v>
      </c>
      <c r="AZ3" s="83" t="str">
        <f>Draft!M3</f>
        <v>Jrue Holiday</v>
      </c>
      <c r="BA3" s="83" t="str">
        <f>Draft!N3</f>
        <v>Zaccharie Risacher</v>
      </c>
      <c r="BB3" s="83" t="str">
        <f>Draft!O3</f>
        <v>Nikola Jovic</v>
      </c>
      <c r="BC3" s="83" t="str">
        <f>Draft!P3</f>
        <v>Alex Caruso</v>
      </c>
      <c r="BD3" s="84" t="str">
        <f>Draft!AJ4</f>
        <v/>
      </c>
      <c r="BE3" s="7" t="str">
        <f>Draft!AK4</f>
        <v/>
      </c>
      <c r="BF3" s="7" t="str">
        <f>Draft!AL4</f>
        <v/>
      </c>
      <c r="BG3" s="7" t="str">
        <f>Draft!AM4</f>
        <v/>
      </c>
      <c r="BH3" s="7" t="str">
        <f>Draft!AN4</f>
        <v/>
      </c>
      <c r="BI3" s="7" t="str">
        <f>Draft!AO4</f>
        <v/>
      </c>
      <c r="BJ3" s="7"/>
      <c r="BK3" s="7"/>
      <c r="BL3" s="7"/>
      <c r="BM3" s="7"/>
      <c r="BN3" s="7"/>
      <c r="BO3" s="7"/>
      <c r="BP3" s="7"/>
      <c r="BQ3" s="7"/>
      <c r="BR3" s="7"/>
      <c r="BS3" s="7"/>
      <c r="BT3" s="7"/>
      <c r="BU3" s="7"/>
      <c r="BV3" s="7"/>
      <c r="BW3" s="7"/>
    </row>
    <row r="4">
      <c r="A4" s="17"/>
      <c r="B4" s="17"/>
      <c r="C4" s="17"/>
      <c r="D4" s="17"/>
      <c r="E4" s="23"/>
      <c r="F4" s="23"/>
      <c r="G4" s="23"/>
      <c r="H4" s="19"/>
      <c r="I4" s="55" t="b">
        <f>Draft!C4</f>
        <v>0</v>
      </c>
      <c r="J4" s="31">
        <v>2.0</v>
      </c>
      <c r="K4" s="86">
        <f>'All Teams'!E35</f>
        <v>-37.86430345</v>
      </c>
      <c r="L4" s="87">
        <f>'All Teams'!F35</f>
        <v>-20.88823897</v>
      </c>
      <c r="M4" s="88">
        <f>'All Teams'!G35</f>
        <v>-28.56718927</v>
      </c>
      <c r="N4" s="89">
        <f>'All Teams'!H35</f>
        <v>-21.51843192</v>
      </c>
      <c r="O4" s="58">
        <f>'All Teams'!I35</f>
        <v>-38.88228617</v>
      </c>
      <c r="P4" s="90">
        <f>'All Teams'!J35</f>
        <v>-15.94910581</v>
      </c>
      <c r="Q4" s="91">
        <f>'All Teams'!K35</f>
        <v>-0.7265745932</v>
      </c>
      <c r="R4" s="92">
        <f>'All Teams'!L35</f>
        <v>4.695245377</v>
      </c>
      <c r="S4" s="93">
        <f>'All Teams'!M35</f>
        <v>20.81462846</v>
      </c>
      <c r="T4" s="71">
        <f t="array" ref="T4">if(Team!D$1=$J4,"-", countif(indirect(address(row($J$2)+ VLOOKUP(Team!D$1,$J$3:$J$14,1),COLUMN($K$2))):indirect(address(row($J$2)+ VLOOKUP(Team!D$1,$J$3:$J$14,1),COLUMN($S$2)))&gt;indirect(address(row($J4),COLUMN($K$2))):indirect(address(row($J4),COLUMN($S$2))),TRUE()))</f>
        <v>6</v>
      </c>
      <c r="U4" s="102">
        <f>SUM(AM$22:AM$33)/99</f>
        <v>0.2222222222</v>
      </c>
      <c r="V4" s="75">
        <f t="shared" si="2"/>
        <v>3.968670784</v>
      </c>
      <c r="W4" s="77">
        <f>'All Teams'!N35</f>
        <v>28.05919125</v>
      </c>
      <c r="X4" s="78" t="str">
        <f>Draft!D4</f>
        <v>Nikola Jokic</v>
      </c>
      <c r="Y4" s="79"/>
      <c r="Z4" s="80" t="str">
        <f>Draft!E4</f>
        <v>Stephen Curry</v>
      </c>
      <c r="AA4" s="79"/>
      <c r="AB4" s="81" t="str">
        <f>Draft!F4</f>
        <v>Jalen Brunson</v>
      </c>
      <c r="AC4" s="79"/>
      <c r="AD4" s="81" t="str">
        <f>Draft!G4</f>
        <v>Julius Randle</v>
      </c>
      <c r="AE4" s="79"/>
      <c r="AF4" s="81" t="str">
        <f>Draft!H4</f>
        <v>Kristaps Porzingis</v>
      </c>
      <c r="AG4" s="79"/>
      <c r="AH4" s="81" t="str">
        <f>Draft!I4</f>
        <v>Jalen Duren</v>
      </c>
      <c r="AI4" s="79"/>
      <c r="AJ4" s="81" t="str">
        <f>Draft!J4</f>
        <v>Michael Porter Jr.</v>
      </c>
      <c r="AK4" s="79"/>
      <c r="AL4" s="82" t="str">
        <f>Draft!R5</f>
        <v/>
      </c>
      <c r="AM4" s="82" t="str">
        <f>Draft!S5</f>
        <v/>
      </c>
      <c r="AN4" s="82" t="str">
        <f>Draft!T5</f>
        <v/>
      </c>
      <c r="AO4" s="82" t="str">
        <f>Draft!U5</f>
        <v/>
      </c>
      <c r="AP4" s="82" t="str">
        <f>Draft!V5</f>
        <v/>
      </c>
      <c r="AQ4" s="82" t="str">
        <f>Draft!W5</f>
        <v/>
      </c>
      <c r="AR4" s="82" t="str">
        <f>Draft!X5</f>
        <v/>
      </c>
      <c r="AS4" s="82" t="str">
        <f>Draft!Y5</f>
        <v/>
      </c>
      <c r="AT4" s="82" t="str">
        <f>Draft!Z5</f>
        <v/>
      </c>
      <c r="AU4" s="82" t="str">
        <f>Draft!AA5</f>
        <v/>
      </c>
      <c r="AV4" s="82"/>
      <c r="AW4" s="82" t="str">
        <f>Draft!AC5</f>
        <v/>
      </c>
      <c r="AX4" s="83" t="str">
        <f>Draft!K4</f>
        <v>PJ Washington</v>
      </c>
      <c r="AY4" s="83" t="str">
        <f>Draft!L4</f>
        <v>Naz Reid</v>
      </c>
      <c r="AZ4" s="83" t="str">
        <f>Draft!M4</f>
        <v>Klay Thompson</v>
      </c>
      <c r="BA4" s="83" t="str">
        <f>Draft!N4</f>
        <v>Kyrie Irving</v>
      </c>
      <c r="BB4" s="83" t="str">
        <f>Draft!O4</f>
        <v>Duncan Robinson</v>
      </c>
      <c r="BC4" s="83" t="str">
        <f>Draft!P4</f>
        <v>Keon Ellis</v>
      </c>
      <c r="BD4" s="84" t="str">
        <f>Draft!AJ5</f>
        <v/>
      </c>
      <c r="BE4" s="7" t="str">
        <f>Draft!AK5</f>
        <v/>
      </c>
      <c r="BF4" s="7" t="str">
        <f>Draft!AL5</f>
        <v/>
      </c>
      <c r="BG4" s="7" t="str">
        <f>Draft!AM5</f>
        <v/>
      </c>
      <c r="BH4" s="7" t="str">
        <f>Draft!AN5</f>
        <v/>
      </c>
      <c r="BI4" s="7" t="str">
        <f>Draft!AO5</f>
        <v/>
      </c>
      <c r="BJ4" s="7"/>
      <c r="BK4" s="7"/>
      <c r="BL4" s="7"/>
      <c r="BM4" s="7"/>
      <c r="BN4" s="7"/>
      <c r="BO4" s="7"/>
      <c r="BP4" s="7"/>
      <c r="BQ4" s="7"/>
      <c r="BR4" s="7"/>
      <c r="BS4" s="7"/>
      <c r="BT4" s="7"/>
      <c r="BU4" s="7"/>
      <c r="BV4" s="7"/>
      <c r="BW4" s="7"/>
    </row>
    <row r="5">
      <c r="A5" s="17"/>
      <c r="B5" s="17"/>
      <c r="C5" s="17"/>
      <c r="D5" s="17"/>
      <c r="E5" s="108"/>
      <c r="F5" s="109" t="s">
        <v>233</v>
      </c>
      <c r="G5" s="110"/>
      <c r="H5" s="19"/>
      <c r="I5" s="55" t="b">
        <f>Draft!C5</f>
        <v>0</v>
      </c>
      <c r="J5" s="31">
        <v>3.0</v>
      </c>
      <c r="K5" s="111">
        <f>'All Teams'!E52</f>
        <v>-37.86430345</v>
      </c>
      <c r="L5" s="112">
        <f>'All Teams'!F52</f>
        <v>-20.88823897</v>
      </c>
      <c r="M5" s="113">
        <f>'All Teams'!G52</f>
        <v>-28.56718927</v>
      </c>
      <c r="N5" s="114">
        <f>'All Teams'!H52</f>
        <v>-21.51843192</v>
      </c>
      <c r="O5" s="115">
        <f>'All Teams'!I52</f>
        <v>-38.88228617</v>
      </c>
      <c r="P5" s="116">
        <f>'All Teams'!J52</f>
        <v>-15.94910581</v>
      </c>
      <c r="Q5" s="117">
        <f>'All Teams'!K52</f>
        <v>2.17063728</v>
      </c>
      <c r="R5" s="118">
        <f>'All Teams'!L52</f>
        <v>2.948704588</v>
      </c>
      <c r="S5" s="119">
        <f>'All Teams'!M52</f>
        <v>20.81462846</v>
      </c>
      <c r="T5" s="121">
        <f t="array" ref="T5">if(Team!D$1=$J5,"-", countif(indirect(address(row($J$2)+ VLOOKUP(Team!D$1,$J$3:$J$14,1),COLUMN($K$2))):indirect(address(row($J$2)+ VLOOKUP(Team!D$1,$J$3:$J$14,1),COLUMN($S$2)))&gt;indirect(address(row($J5),COLUMN($K$2))):indirect(address(row($J5),COLUMN($S$2))),TRUE()))</f>
        <v>7</v>
      </c>
      <c r="U5" s="122">
        <f>SUM(AN$22:AN$33)/99</f>
        <v>0.2323232323</v>
      </c>
      <c r="V5" s="75">
        <f t="shared" si="2"/>
        <v>5.119341868</v>
      </c>
      <c r="W5" s="77">
        <f>'All Teams'!N52</f>
        <v>11.26864562</v>
      </c>
      <c r="X5" s="78" t="str">
        <f>Draft!D5</f>
        <v>Shai Gilgeous-Alexander</v>
      </c>
      <c r="Y5" s="79"/>
      <c r="Z5" s="80" t="str">
        <f>Draft!E5</f>
        <v>Alperen Sengun</v>
      </c>
      <c r="AA5" s="79"/>
      <c r="AB5" s="81" t="str">
        <f>Draft!F5</f>
        <v>Pascal Siakam</v>
      </c>
      <c r="AC5" s="79"/>
      <c r="AD5" s="81" t="str">
        <f>Draft!G5</f>
        <v>Nikola Vucevic</v>
      </c>
      <c r="AE5" s="79"/>
      <c r="AF5" s="81" t="str">
        <f>Draft!H5</f>
        <v>Lauri Markkanen</v>
      </c>
      <c r="AG5" s="79"/>
      <c r="AH5" s="81" t="str">
        <f>Draft!I5</f>
        <v>Deandre Ayton</v>
      </c>
      <c r="AI5" s="79"/>
      <c r="AJ5" s="81" t="str">
        <f>Draft!J5</f>
        <v>Isaiah Hartenstein</v>
      </c>
      <c r="AK5" s="79"/>
      <c r="AL5" s="82" t="str">
        <f>Draft!R6</f>
        <v/>
      </c>
      <c r="AM5" s="82" t="str">
        <f>Draft!S6</f>
        <v/>
      </c>
      <c r="AN5" s="82" t="str">
        <f>Draft!T6</f>
        <v/>
      </c>
      <c r="AO5" s="82" t="str">
        <f>Draft!U6</f>
        <v/>
      </c>
      <c r="AP5" s="82" t="str">
        <f>Draft!V6</f>
        <v/>
      </c>
      <c r="AQ5" s="82" t="str">
        <f>Draft!W6</f>
        <v/>
      </c>
      <c r="AR5" s="82" t="str">
        <f>Draft!X6</f>
        <v/>
      </c>
      <c r="AS5" s="82" t="str">
        <f>Draft!Y6</f>
        <v/>
      </c>
      <c r="AT5" s="82" t="str">
        <f>Draft!Z6</f>
        <v/>
      </c>
      <c r="AU5" s="82" t="str">
        <f>Draft!AA6</f>
        <v/>
      </c>
      <c r="AV5" s="82" t="str">
        <f>Draft!AB6</f>
        <v/>
      </c>
      <c r="AW5" s="82" t="str">
        <f>Draft!AC6</f>
        <v/>
      </c>
      <c r="AX5" s="83" t="str">
        <f>Draft!K5</f>
        <v>R.J. Barrett</v>
      </c>
      <c r="AY5" s="83" t="str">
        <f>Draft!L5</f>
        <v>Andrew Wiggins</v>
      </c>
      <c r="AZ5" s="83" t="str">
        <f>Draft!M5</f>
        <v>Jabari Smith Jr.</v>
      </c>
      <c r="BA5" s="83" t="str">
        <f>Draft!N5</f>
        <v>Collin Sexton</v>
      </c>
      <c r="BB5" s="83" t="str">
        <f>Draft!O5</f>
        <v>Stephon Castle</v>
      </c>
      <c r="BC5" s="83" t="str">
        <f>Draft!P5</f>
        <v>Dylan Harper</v>
      </c>
      <c r="BD5" s="84" t="str">
        <f>Draft!AJ6</f>
        <v/>
      </c>
      <c r="BE5" s="7" t="str">
        <f>Draft!AK6</f>
        <v/>
      </c>
      <c r="BF5" s="7" t="str">
        <f>Draft!AL6</f>
        <v/>
      </c>
      <c r="BG5" s="7" t="str">
        <f>Draft!AM6</f>
        <v/>
      </c>
      <c r="BH5" s="7" t="str">
        <f>Draft!AN6</f>
        <v/>
      </c>
      <c r="BI5" s="7" t="str">
        <f>Draft!AO6</f>
        <v/>
      </c>
      <c r="BJ5" s="7"/>
      <c r="BK5" s="7"/>
      <c r="BL5" s="7"/>
      <c r="BM5" s="7"/>
      <c r="BN5" s="7"/>
      <c r="BO5" s="7"/>
      <c r="BP5" s="7"/>
      <c r="BQ5" s="7"/>
      <c r="BR5" s="7"/>
      <c r="BS5" s="7"/>
      <c r="BT5" s="7"/>
      <c r="BU5" s="7"/>
      <c r="BV5" s="7"/>
      <c r="BW5" s="7"/>
    </row>
    <row r="6">
      <c r="A6" s="17"/>
      <c r="B6" s="17"/>
      <c r="C6" s="17"/>
      <c r="D6" s="17"/>
      <c r="E6" s="129"/>
      <c r="F6" s="130" t="s">
        <v>236</v>
      </c>
      <c r="G6" s="131">
        <v>1.0</v>
      </c>
      <c r="H6" s="19"/>
      <c r="I6" s="55" t="b">
        <f>Draft!C6</f>
        <v>1</v>
      </c>
      <c r="J6" s="31">
        <v>4.0</v>
      </c>
      <c r="K6" s="132">
        <f>'All Teams'!E69</f>
        <v>0.5053060086</v>
      </c>
      <c r="L6" s="133">
        <f>'All Teams'!F69</f>
        <v>1.443267111</v>
      </c>
      <c r="M6" s="134">
        <f>'All Teams'!G69</f>
        <v>-0.5994361018</v>
      </c>
      <c r="N6" s="135">
        <f>'All Teams'!H69</f>
        <v>1.147719101</v>
      </c>
      <c r="O6" s="136">
        <f>'All Teams'!I69</f>
        <v>-1.231558165</v>
      </c>
      <c r="P6" s="137">
        <f>'All Teams'!J69</f>
        <v>-4.815153186</v>
      </c>
      <c r="Q6" s="138">
        <f>'All Teams'!K69</f>
        <v>-4.25491575</v>
      </c>
      <c r="R6" s="139">
        <f>'All Teams'!L69</f>
        <v>2.959459594</v>
      </c>
      <c r="S6" s="140">
        <f>'All Teams'!M69</f>
        <v>-3.15383679</v>
      </c>
      <c r="T6" s="121" t="str">
        <f t="array" ref="T6">if(Team!D$1=$J6,"-", countif(indirect(address(row($J$2)+ VLOOKUP(Team!D$1,$J$3:$J$14,1),COLUMN($K$2))):indirect(address(row($J$2)+ VLOOKUP(Team!D$1,$J$3:$J$14,1),COLUMN($S$2)))&gt;indirect(address(row($J6),COLUMN($K$2))):indirect(address(row($J6),COLUMN($S$2))),TRUE()))</f>
        <v>-</v>
      </c>
      <c r="U6" s="141">
        <f>SUM(AO$22:AO$33)/99</f>
        <v>0.7474747475</v>
      </c>
      <c r="V6" s="75">
        <f t="shared" si="2"/>
        <v>4.224757548</v>
      </c>
      <c r="W6" s="77">
        <f>'All Teams'!N69</f>
        <v>8.760886607</v>
      </c>
      <c r="X6" s="78" t="str">
        <f>Draft!D6</f>
        <v>Luka Doncic</v>
      </c>
      <c r="Y6" s="79"/>
      <c r="Z6" s="80" t="str">
        <f>Draft!E6</f>
        <v>Kevin Durant</v>
      </c>
      <c r="AA6" s="79"/>
      <c r="AB6" s="81" t="str">
        <f>Draft!F6</f>
        <v>Bam Adebayo</v>
      </c>
      <c r="AC6" s="79"/>
      <c r="AD6" s="81" t="str">
        <f>Draft!G6</f>
        <v>Kawhi Leonard</v>
      </c>
      <c r="AE6" s="79"/>
      <c r="AF6" s="81" t="str">
        <f>Draft!H6</f>
        <v>Joel Embiid</v>
      </c>
      <c r="AG6" s="79"/>
      <c r="AH6" s="81" t="str">
        <f>Draft!I6</f>
        <v>Matas Buzelis</v>
      </c>
      <c r="AI6" s="79"/>
      <c r="AJ6" s="81" t="str">
        <f>Draft!J6</f>
        <v>Jordan Poole</v>
      </c>
      <c r="AK6" s="79"/>
      <c r="AL6" s="82" t="str">
        <f>Draft!R7</f>
        <v/>
      </c>
      <c r="AM6" s="82" t="str">
        <f>Draft!S7</f>
        <v/>
      </c>
      <c r="AN6" s="82" t="str">
        <f>Draft!T7</f>
        <v/>
      </c>
      <c r="AO6" s="82" t="str">
        <f>Draft!U7</f>
        <v/>
      </c>
      <c r="AP6" s="82" t="str">
        <f>Draft!V7</f>
        <v/>
      </c>
      <c r="AQ6" s="82" t="str">
        <f>Draft!W7</f>
        <v/>
      </c>
      <c r="AR6" s="82" t="str">
        <f>Draft!X7</f>
        <v/>
      </c>
      <c r="AS6" s="82" t="str">
        <f>Draft!Y7</f>
        <v/>
      </c>
      <c r="AT6" s="82" t="str">
        <f>Draft!Z7</f>
        <v/>
      </c>
      <c r="AU6" s="82" t="str">
        <f>Draft!AA7</f>
        <v/>
      </c>
      <c r="AV6" s="82" t="str">
        <f>Draft!AB7</f>
        <v/>
      </c>
      <c r="AW6" s="82" t="str">
        <f>Draft!AC7</f>
        <v/>
      </c>
      <c r="AX6" s="83" t="str">
        <f>Draft!K6</f>
        <v>Donovan Clingan</v>
      </c>
      <c r="AY6" s="83" t="str">
        <f>Draft!L6</f>
        <v>Bobby Portis</v>
      </c>
      <c r="AZ6" s="83" t="str">
        <f>Draft!M6</f>
        <v>Andrew Nembhard</v>
      </c>
      <c r="BA6" s="83" t="str">
        <f>Draft!N6</f>
        <v>Cason Wallace</v>
      </c>
      <c r="BB6" s="83" t="str">
        <f>Draft!O6</f>
        <v>Mitchell Robinson</v>
      </c>
      <c r="BC6" s="83" t="str">
        <f>Draft!P6</f>
        <v>Sam Hauser</v>
      </c>
      <c r="BD6" s="84" t="str">
        <f>Draft!AJ7</f>
        <v/>
      </c>
      <c r="BE6" s="7" t="str">
        <f>Draft!AK7</f>
        <v/>
      </c>
      <c r="BF6" s="7" t="str">
        <f>Draft!AL7</f>
        <v/>
      </c>
      <c r="BG6" s="7" t="str">
        <f>Draft!AM7</f>
        <v/>
      </c>
      <c r="BH6" s="7" t="str">
        <f>Draft!AN7</f>
        <v/>
      </c>
      <c r="BI6" s="7" t="str">
        <f>Draft!AO7</f>
        <v/>
      </c>
      <c r="BJ6" s="7"/>
      <c r="BK6" s="7"/>
      <c r="BL6" s="7"/>
      <c r="BM6" s="7"/>
      <c r="BN6" s="7"/>
      <c r="BO6" s="7"/>
      <c r="BP6" s="7"/>
      <c r="BQ6" s="7"/>
      <c r="BR6" s="7"/>
      <c r="BS6" s="7"/>
      <c r="BT6" s="7"/>
      <c r="BU6" s="7"/>
      <c r="BV6" s="7"/>
      <c r="BW6" s="7"/>
    </row>
    <row r="7">
      <c r="A7" s="17"/>
      <c r="B7" s="17"/>
      <c r="C7" s="17"/>
      <c r="D7" s="17"/>
      <c r="E7" s="142"/>
      <c r="F7" s="143" t="s">
        <v>237</v>
      </c>
      <c r="G7" s="144"/>
      <c r="H7" s="19"/>
      <c r="I7" s="55" t="b">
        <f>Draft!C7</f>
        <v>0</v>
      </c>
      <c r="J7" s="31">
        <v>5.0</v>
      </c>
      <c r="K7" s="145">
        <f>'All Teams'!E86</f>
        <v>-37.86430345</v>
      </c>
      <c r="L7" s="146">
        <f>'All Teams'!F86</f>
        <v>-20.88823897</v>
      </c>
      <c r="M7" s="147">
        <f>'All Teams'!G86</f>
        <v>-28.56718927</v>
      </c>
      <c r="N7" s="148">
        <f>'All Teams'!H86</f>
        <v>-21.51843192</v>
      </c>
      <c r="O7" s="149">
        <f>'All Teams'!I86</f>
        <v>-38.88228617</v>
      </c>
      <c r="P7" s="150">
        <f>'All Teams'!J86</f>
        <v>-15.94910581</v>
      </c>
      <c r="Q7" s="151">
        <f>'All Teams'!K86</f>
        <v>4.822899409</v>
      </c>
      <c r="R7" s="152">
        <f>'All Teams'!L86</f>
        <v>-8.293296004</v>
      </c>
      <c r="S7" s="153">
        <f>'All Teams'!M86</f>
        <v>20.81462846</v>
      </c>
      <c r="T7" s="154">
        <f t="array" ref="T7">if(Team!D$1=$J7,"-", countif(indirect(address(row($J$2)+ VLOOKUP(Team!D$1,$J$3:$J$14,1),COLUMN($K$2))):indirect(address(row($J$2)+ VLOOKUP(Team!D$1,$J$3:$J$14,1),COLUMN($S$2)))&gt;indirect(address(row($J7),COLUMN($K$2))):indirect(address(row($J7),COLUMN($S$2))),TRUE()))</f>
        <v>7</v>
      </c>
      <c r="U7" s="155">
        <f>SUM(AP$22:AP$33)/99</f>
        <v>0.1717171717</v>
      </c>
      <c r="V7" s="75">
        <f t="shared" si="2"/>
        <v>4.822899409</v>
      </c>
      <c r="W7" s="77">
        <f>'All Teams'!N86</f>
        <v>16.23437099</v>
      </c>
      <c r="X7" s="78" t="str">
        <f>Draft!D7</f>
        <v>Giannis Antetokounmpo</v>
      </c>
      <c r="Y7" s="79"/>
      <c r="Z7" s="80" t="str">
        <f>Draft!E7</f>
        <v>Evan Mobley</v>
      </c>
      <c r="AA7" s="79"/>
      <c r="AB7" s="81" t="str">
        <f>Draft!F7</f>
        <v>LeBron James</v>
      </c>
      <c r="AC7" s="79"/>
      <c r="AD7" s="81" t="str">
        <f>Draft!G7</f>
        <v>Dyson Daniels</v>
      </c>
      <c r="AE7" s="79"/>
      <c r="AF7" s="81" t="str">
        <f>Draft!H7</f>
        <v>Rudy Gobert</v>
      </c>
      <c r="AG7" s="79"/>
      <c r="AH7" s="81" t="str">
        <f>Draft!I7</f>
        <v>Miles Bridges</v>
      </c>
      <c r="AI7" s="79"/>
      <c r="AJ7" s="81" t="str">
        <f>Draft!J7</f>
        <v>Immanuel Quickley</v>
      </c>
      <c r="AK7" s="79"/>
      <c r="AL7" s="82" t="str">
        <f>Draft!R8</f>
        <v/>
      </c>
      <c r="AM7" s="82" t="str">
        <f>Draft!S8</f>
        <v/>
      </c>
      <c r="AN7" s="82" t="str">
        <f>Draft!T8</f>
        <v/>
      </c>
      <c r="AO7" s="82" t="str">
        <f>Draft!U8</f>
        <v/>
      </c>
      <c r="AP7" s="82" t="str">
        <f>Draft!V8</f>
        <v/>
      </c>
      <c r="AQ7" s="82" t="str">
        <f>Draft!W8</f>
        <v/>
      </c>
      <c r="AR7" s="82" t="str">
        <f>Draft!X8</f>
        <v/>
      </c>
      <c r="AS7" s="82" t="str">
        <f>Draft!Y8</f>
        <v/>
      </c>
      <c r="AT7" s="82" t="str">
        <f>Draft!Z8</f>
        <v/>
      </c>
      <c r="AU7" s="82" t="str">
        <f>Draft!AA8</f>
        <v/>
      </c>
      <c r="AV7" s="82" t="str">
        <f>Draft!AB8</f>
        <v/>
      </c>
      <c r="AW7" s="82" t="str">
        <f>Draft!AC8</f>
        <v/>
      </c>
      <c r="AX7" s="83" t="str">
        <f>Draft!K7</f>
        <v>John Collins</v>
      </c>
      <c r="AY7" s="83" t="str">
        <f>Draft!L7</f>
        <v>Anfernee Simons</v>
      </c>
      <c r="AZ7" s="83" t="str">
        <f>Draft!M7</f>
        <v>Jonathan Kuminga</v>
      </c>
      <c r="BA7" s="83" t="str">
        <f>Draft!N7</f>
        <v>Tobias Harris</v>
      </c>
      <c r="BB7" s="83" t="str">
        <f>Draft!O7</f>
        <v>Chris Boucher</v>
      </c>
      <c r="BC7" s="83" t="str">
        <f>Draft!P7</f>
        <v>Malik Monk</v>
      </c>
      <c r="BD7" s="84" t="str">
        <f>Draft!AJ8</f>
        <v/>
      </c>
      <c r="BE7" s="7" t="str">
        <f>Draft!AK8</f>
        <v/>
      </c>
      <c r="BF7" s="7" t="str">
        <f>Draft!AL8</f>
        <v/>
      </c>
      <c r="BG7" s="7" t="str">
        <f>Draft!AM8</f>
        <v/>
      </c>
      <c r="BH7" s="7" t="str">
        <f>Draft!AN8</f>
        <v/>
      </c>
      <c r="BI7" s="7" t="str">
        <f>Draft!AO8</f>
        <v/>
      </c>
      <c r="BJ7" s="7"/>
      <c r="BK7" s="7"/>
      <c r="BL7" s="7"/>
      <c r="BM7" s="7"/>
      <c r="BN7" s="7"/>
      <c r="BO7" s="7"/>
      <c r="BP7" s="7"/>
      <c r="BQ7" s="7"/>
      <c r="BR7" s="7"/>
      <c r="BS7" s="7"/>
      <c r="BT7" s="7"/>
      <c r="BU7" s="7"/>
      <c r="BV7" s="7"/>
      <c r="BW7" s="7"/>
    </row>
    <row r="8">
      <c r="A8" s="17"/>
      <c r="B8" s="23"/>
      <c r="C8" s="23"/>
      <c r="D8" s="17"/>
      <c r="E8" s="156"/>
      <c r="F8" s="157"/>
      <c r="G8" s="158"/>
      <c r="H8" s="19"/>
      <c r="I8" s="55" t="b">
        <f>Draft!C8</f>
        <v>0</v>
      </c>
      <c r="J8" s="31">
        <v>6.0</v>
      </c>
      <c r="K8" s="159">
        <f>'All Teams'!E103</f>
        <v>-37.86430345</v>
      </c>
      <c r="L8" s="160">
        <f>'All Teams'!F103</f>
        <v>-20.88823897</v>
      </c>
      <c r="M8" s="161">
        <f>'All Teams'!G103</f>
        <v>-28.56718927</v>
      </c>
      <c r="N8" s="162">
        <f>'All Teams'!H103</f>
        <v>-21.51843192</v>
      </c>
      <c r="O8" s="163">
        <f>'All Teams'!I103</f>
        <v>-38.88228617</v>
      </c>
      <c r="P8" s="164">
        <f>'All Teams'!J103</f>
        <v>-15.94910581</v>
      </c>
      <c r="Q8" s="165">
        <f>'All Teams'!K103</f>
        <v>-4.37156729</v>
      </c>
      <c r="R8" s="166">
        <f>'All Teams'!L103</f>
        <v>-1.12796053</v>
      </c>
      <c r="S8" s="167">
        <f>'All Teams'!M103</f>
        <v>20.81462846</v>
      </c>
      <c r="T8" s="154">
        <f t="array" ref="T8">if(Team!D$1=$J8,"-", countif(indirect(address(row($J$2)+ VLOOKUP(Team!D$1,$J$3:$J$14,1),COLUMN($K$2))):indirect(address(row($J$2)+ VLOOKUP(Team!D$1,$J$3:$J$14,1),COLUMN($S$2)))&gt;indirect(address(row($J8),COLUMN($K$2))):indirect(address(row($J8),COLUMN($S$2))),TRUE()))</f>
        <v>8</v>
      </c>
      <c r="U8" s="168">
        <f>SUM(AQ$22:AQ$33)/99</f>
        <v>0.1212121212</v>
      </c>
      <c r="V8" s="75">
        <f t="shared" si="2"/>
        <v>-1.12796053</v>
      </c>
      <c r="W8" s="77">
        <f>'All Teams'!N103</f>
        <v>-4.021362185</v>
      </c>
      <c r="X8" s="78" t="str">
        <f>Draft!D8</f>
        <v>Cade Cunningham</v>
      </c>
      <c r="Y8" s="79"/>
      <c r="Z8" s="80" t="str">
        <f>Draft!E8</f>
        <v>Donovan Mitchell</v>
      </c>
      <c r="AA8" s="79"/>
      <c r="AB8" s="81" t="str">
        <f>Draft!F8</f>
        <v>Scottie Barnes</v>
      </c>
      <c r="AC8" s="79"/>
      <c r="AD8" s="81" t="str">
        <f>Draft!G8</f>
        <v>Austin Reaves</v>
      </c>
      <c r="AE8" s="79"/>
      <c r="AF8" s="81" t="str">
        <f>Draft!H8</f>
        <v>Walker Kessler</v>
      </c>
      <c r="AG8" s="79"/>
      <c r="AH8" s="81" t="str">
        <f>Draft!I8</f>
        <v>Ausar Thompson</v>
      </c>
      <c r="AI8" s="79"/>
      <c r="AJ8" s="81" t="str">
        <f>Draft!J8</f>
        <v>Shaedon Sharpe</v>
      </c>
      <c r="AK8" s="79"/>
      <c r="AL8" s="82" t="str">
        <f>Draft!R9</f>
        <v/>
      </c>
      <c r="AM8" s="82" t="str">
        <f>Draft!S9</f>
        <v/>
      </c>
      <c r="AN8" s="82" t="str">
        <f>Draft!T9</f>
        <v/>
      </c>
      <c r="AO8" s="82" t="str">
        <f>Draft!U9</f>
        <v/>
      </c>
      <c r="AP8" s="82" t="str">
        <f>Draft!V9</f>
        <v/>
      </c>
      <c r="AQ8" s="82" t="str">
        <f>Draft!W9</f>
        <v/>
      </c>
      <c r="AR8" s="82" t="str">
        <f>Draft!X9</f>
        <v/>
      </c>
      <c r="AS8" s="82" t="str">
        <f>Draft!Y9</f>
        <v/>
      </c>
      <c r="AT8" s="82" t="str">
        <f>Draft!Z9</f>
        <v/>
      </c>
      <c r="AU8" s="82" t="str">
        <f>Draft!AA9</f>
        <v/>
      </c>
      <c r="AV8" s="82" t="str">
        <f>Draft!AB9</f>
        <v/>
      </c>
      <c r="AW8" s="82" t="str">
        <f>Draft!AC9</f>
        <v/>
      </c>
      <c r="AX8" s="83" t="str">
        <f>Draft!K8</f>
        <v>Draymond Green</v>
      </c>
      <c r="AY8" s="83" t="str">
        <f>Draft!L8</f>
        <v>Kevin Porter Jr.</v>
      </c>
      <c r="AZ8" s="83" t="str">
        <f>Draft!M8</f>
        <v>Donte DiVincenzo</v>
      </c>
      <c r="BA8" s="83" t="str">
        <f>Draft!N8</f>
        <v>Jaden Ivey</v>
      </c>
      <c r="BB8" s="83" t="str">
        <f>Draft!O8</f>
        <v>Santi Aldama</v>
      </c>
      <c r="BC8" s="83" t="str">
        <f>Draft!P8</f>
        <v>VJ Edgecombe</v>
      </c>
      <c r="BD8" s="84" t="str">
        <f>Draft!AJ9</f>
        <v/>
      </c>
      <c r="BE8" s="7" t="str">
        <f>Draft!AK9</f>
        <v/>
      </c>
      <c r="BF8" s="7" t="str">
        <f>Draft!AL9</f>
        <v/>
      </c>
      <c r="BG8" s="7" t="str">
        <f>Draft!AM9</f>
        <v/>
      </c>
      <c r="BH8" s="7" t="str">
        <f>Draft!AN9</f>
        <v/>
      </c>
      <c r="BI8" s="7" t="str">
        <f>Draft!AO9</f>
        <v/>
      </c>
      <c r="BJ8" s="7"/>
      <c r="BK8" s="7"/>
      <c r="BL8" s="7"/>
      <c r="BM8" s="7"/>
      <c r="BN8" s="7"/>
      <c r="BO8" s="7"/>
      <c r="BP8" s="7"/>
      <c r="BQ8" s="7"/>
      <c r="BR8" s="7"/>
      <c r="BS8" s="7"/>
      <c r="BT8" s="7"/>
      <c r="BU8" s="7"/>
      <c r="BV8" s="7"/>
      <c r="BW8" s="7"/>
    </row>
    <row r="9">
      <c r="A9" s="17"/>
      <c r="B9" s="23"/>
      <c r="C9" s="23"/>
      <c r="D9" s="17"/>
      <c r="E9" s="156"/>
      <c r="F9" s="169"/>
      <c r="G9" s="170"/>
      <c r="H9" s="19"/>
      <c r="I9" s="55" t="b">
        <f>Draft!C9</f>
        <v>0</v>
      </c>
      <c r="J9" s="31">
        <v>7.0</v>
      </c>
      <c r="K9" s="171">
        <f>'All Teams'!E120</f>
        <v>-5.952860693</v>
      </c>
      <c r="L9" s="172">
        <f>'All Teams'!F120</f>
        <v>0.7963591676</v>
      </c>
      <c r="M9" s="173">
        <f>'All Teams'!G120</f>
        <v>-2.403849174</v>
      </c>
      <c r="N9" s="174">
        <f>'All Teams'!H120</f>
        <v>-3.135087319</v>
      </c>
      <c r="O9" s="115">
        <f>'All Teams'!I120</f>
        <v>6.236927093</v>
      </c>
      <c r="P9" s="150">
        <f>'All Teams'!J120</f>
        <v>-1.381074422</v>
      </c>
      <c r="Q9" s="175">
        <f>'All Teams'!K120</f>
        <v>-5.275381797</v>
      </c>
      <c r="R9" s="176">
        <f>'All Teams'!L120</f>
        <v>0.1869341232</v>
      </c>
      <c r="S9" s="177">
        <f>'All Teams'!M120</f>
        <v>-0.3516386671</v>
      </c>
      <c r="T9" s="178">
        <f t="array" ref="T9">if(Team!D$1=$J9,"-", countif(indirect(address(row($J$2)+ VLOOKUP(Team!D$1,$J$3:$J$14,1),COLUMN($K$2))):indirect(address(row($J$2)+ VLOOKUP(Team!D$1,$J$3:$J$14,1),COLUMN($S$2)))&gt;indirect(address(row($J9),COLUMN($K$2))):indirect(address(row($J9),COLUMN($S$2))),TRUE()))</f>
        <v>6</v>
      </c>
      <c r="U9" s="102">
        <f>SUM(AR$22:AR$33)/99</f>
        <v>0.6767676768</v>
      </c>
      <c r="V9" s="75">
        <f t="shared" si="2"/>
        <v>3.435296789</v>
      </c>
      <c r="W9" s="77">
        <f>'All Teams'!N120</f>
        <v>3.342833572</v>
      </c>
      <c r="X9" s="78" t="str">
        <f>Draft!D9</f>
        <v>Anthony Edwards</v>
      </c>
      <c r="Y9" s="79"/>
      <c r="Z9" s="80" t="str">
        <f>Draft!E9</f>
        <v>Tyrese Maxey</v>
      </c>
      <c r="AA9" s="79"/>
      <c r="AB9" s="81" t="str">
        <f>Draft!F9</f>
        <v>Jaren Jackson Jr.</v>
      </c>
      <c r="AC9" s="79"/>
      <c r="AD9" s="81" t="str">
        <f>Draft!G9</f>
        <v>Myles Turner</v>
      </c>
      <c r="AE9" s="79"/>
      <c r="AF9" s="81" t="str">
        <f>Draft!H9</f>
        <v>Coby White</v>
      </c>
      <c r="AG9" s="79"/>
      <c r="AH9" s="81" t="str">
        <f>Draft!I9</f>
        <v>Jakob Poeltl</v>
      </c>
      <c r="AI9" s="79"/>
      <c r="AJ9" s="81" t="str">
        <f>Draft!J9</f>
        <v>Tari Eason</v>
      </c>
      <c r="AK9" s="79"/>
      <c r="AL9" s="82" t="str">
        <f>Draft!R10</f>
        <v/>
      </c>
      <c r="AM9" s="82" t="str">
        <f>Draft!S10</f>
        <v/>
      </c>
      <c r="AN9" s="82" t="str">
        <f>Draft!T10</f>
        <v/>
      </c>
      <c r="AO9" s="82" t="str">
        <f>Draft!U10</f>
        <v/>
      </c>
      <c r="AP9" s="82" t="str">
        <f>Draft!V10</f>
        <v/>
      </c>
      <c r="AQ9" s="82" t="str">
        <f>Draft!W10</f>
        <v/>
      </c>
      <c r="AR9" s="82" t="str">
        <f>Draft!X10</f>
        <v/>
      </c>
      <c r="AS9" s="82" t="str">
        <f>Draft!Y10</f>
        <v/>
      </c>
      <c r="AT9" s="82" t="str">
        <f>Draft!Z10</f>
        <v/>
      </c>
      <c r="AU9" s="82" t="str">
        <f>Draft!AA10</f>
        <v/>
      </c>
      <c r="AV9" s="82" t="str">
        <f>Draft!AB10</f>
        <v/>
      </c>
      <c r="AW9" s="82" t="str">
        <f>Draft!AC10</f>
        <v/>
      </c>
      <c r="AX9" s="83" t="str">
        <f>Draft!K9</f>
        <v>Cam Thomas</v>
      </c>
      <c r="AY9" s="83" t="str">
        <f>Draft!L9</f>
        <v>Brandin Podziemski</v>
      </c>
      <c r="AZ9" s="83" t="str">
        <f>Draft!M9</f>
        <v>Bennedict Mathurin</v>
      </c>
      <c r="BA9" s="83" t="str">
        <f>Draft!N9</f>
        <v>Aaron Nesmith</v>
      </c>
      <c r="BB9" s="83" t="str">
        <f>Draft!O9</f>
        <v>Cam Whitmore</v>
      </c>
      <c r="BC9" s="83" t="str">
        <f>Draft!P9</f>
        <v>Taylor Hendricks</v>
      </c>
      <c r="BD9" s="84" t="str">
        <f>Draft!AJ10</f>
        <v/>
      </c>
      <c r="BE9" s="7" t="str">
        <f>Draft!AK10</f>
        <v/>
      </c>
      <c r="BF9" s="7" t="str">
        <f>Draft!AL10</f>
        <v/>
      </c>
      <c r="BG9" s="7" t="str">
        <f>Draft!AM10</f>
        <v/>
      </c>
      <c r="BH9" s="7" t="str">
        <f>Draft!AN10</f>
        <v/>
      </c>
      <c r="BI9" s="7" t="str">
        <f>Draft!AO10</f>
        <v/>
      </c>
      <c r="BJ9" s="7"/>
      <c r="BK9" s="7"/>
      <c r="BL9" s="7"/>
      <c r="BM9" s="7"/>
      <c r="BN9" s="7"/>
      <c r="BO9" s="7"/>
      <c r="BP9" s="7"/>
      <c r="BQ9" s="7"/>
      <c r="BR9" s="7"/>
      <c r="BS9" s="7"/>
      <c r="BT9" s="7"/>
      <c r="BU9" s="7"/>
      <c r="BV9" s="7"/>
      <c r="BW9" s="7"/>
    </row>
    <row r="10">
      <c r="A10" s="17"/>
      <c r="B10" s="17"/>
      <c r="C10" s="17"/>
      <c r="D10" s="17"/>
      <c r="E10" s="179"/>
      <c r="F10" s="180"/>
      <c r="G10" s="179"/>
      <c r="H10" s="19"/>
      <c r="I10" s="55" t="b">
        <f>Draft!C10</f>
        <v>0</v>
      </c>
      <c r="J10" s="31">
        <v>8.0</v>
      </c>
      <c r="K10" s="181">
        <f>'All Teams'!E137</f>
        <v>-8.49999777</v>
      </c>
      <c r="L10" s="137">
        <f>'All Teams'!F137</f>
        <v>-8.260352044</v>
      </c>
      <c r="M10" s="152">
        <f>'All Teams'!G137</f>
        <v>1.097104449</v>
      </c>
      <c r="N10" s="182">
        <f>'All Teams'!H137</f>
        <v>-8.727794638</v>
      </c>
      <c r="O10" s="183">
        <f>'All Teams'!I137</f>
        <v>-8.451093915</v>
      </c>
      <c r="P10" s="182">
        <f>'All Teams'!J137</f>
        <v>1.071838981</v>
      </c>
      <c r="Q10" s="184">
        <f>'All Teams'!K137</f>
        <v>1.706783185</v>
      </c>
      <c r="R10" s="185">
        <f>'All Teams'!L137</f>
        <v>-0.7304585923</v>
      </c>
      <c r="S10" s="186">
        <f>'All Teams'!M137</f>
        <v>1.954595186</v>
      </c>
      <c r="T10" s="187">
        <f t="array" ref="T10">if(Team!D$1=$J10,"-", countif(indirect(address(row($J$2)+ VLOOKUP(Team!D$1,$J$3:$J$14,1),COLUMN($K$2))):indirect(address(row($J$2)+ VLOOKUP(Team!D$1,$J$3:$J$14,1),COLUMN($S$2)))&gt;indirect(address(row($J10),COLUMN($K$2))):indirect(address(row($J10),COLUMN($S$2))),TRUE()))</f>
        <v>5</v>
      </c>
      <c r="U10" s="188">
        <f>SUM(AS$22:AS$33)/99</f>
        <v>0.7373737374</v>
      </c>
      <c r="V10" s="75">
        <f t="shared" si="2"/>
        <v>3.145268023</v>
      </c>
      <c r="W10" s="77">
        <f>'All Teams'!N137</f>
        <v>-14.6133397</v>
      </c>
      <c r="X10" s="78" t="str">
        <f>Draft!D10</f>
        <v>Karl-Anthony Towns</v>
      </c>
      <c r="Y10" s="79"/>
      <c r="Z10" s="80" t="str">
        <f>Draft!E10</f>
        <v>Jalen Johnson</v>
      </c>
      <c r="AA10" s="79"/>
      <c r="AB10" s="81" t="str">
        <f>Draft!F10</f>
        <v>Franz Wagner</v>
      </c>
      <c r="AC10" s="79"/>
      <c r="AD10" s="81" t="str">
        <f>Draft!G10</f>
        <v>Zion Williamson</v>
      </c>
      <c r="AE10" s="79"/>
      <c r="AF10" s="81" t="str">
        <f>Draft!H10</f>
        <v>Ivica Zubac</v>
      </c>
      <c r="AG10" s="79"/>
      <c r="AH10" s="81" t="str">
        <f>Draft!I10</f>
        <v>Mark Williams</v>
      </c>
      <c r="AI10" s="79"/>
      <c r="AJ10" s="81" t="str">
        <f>Draft!J10</f>
        <v>Onyeka Okongwu</v>
      </c>
      <c r="AK10" s="79"/>
      <c r="AL10" s="82" t="str">
        <f>Draft!R11</f>
        <v/>
      </c>
      <c r="AM10" s="82" t="str">
        <f>Draft!S11</f>
        <v/>
      </c>
      <c r="AN10" s="82" t="str">
        <f>Draft!T11</f>
        <v/>
      </c>
      <c r="AO10" s="82" t="str">
        <f>Draft!U11</f>
        <v/>
      </c>
      <c r="AP10" s="82" t="str">
        <f>Draft!V11</f>
        <v/>
      </c>
      <c r="AQ10" s="82" t="str">
        <f>Draft!W11</f>
        <v/>
      </c>
      <c r="AR10" s="82" t="str">
        <f>Draft!X11</f>
        <v/>
      </c>
      <c r="AS10" s="82" t="str">
        <f>Draft!Y11</f>
        <v/>
      </c>
      <c r="AT10" s="82" t="str">
        <f>Draft!Z11</f>
        <v/>
      </c>
      <c r="AU10" s="82" t="str">
        <f>Draft!AA11</f>
        <v/>
      </c>
      <c r="AV10" s="82" t="str">
        <f>Draft!AB11</f>
        <v/>
      </c>
      <c r="AW10" s="82" t="str">
        <f>Draft!AC11</f>
        <v/>
      </c>
      <c r="AX10" s="83" t="str">
        <f>Draft!K10</f>
        <v>C.J. McCollum</v>
      </c>
      <c r="AY10" s="83" t="str">
        <f>Draft!L10</f>
        <v>Keyonte George</v>
      </c>
      <c r="AZ10" s="83" t="str">
        <f>Draft!M10</f>
        <v>D'Angelo Russell</v>
      </c>
      <c r="BA10" s="83" t="str">
        <f>Draft!N10</f>
        <v>Isaiah Jackson</v>
      </c>
      <c r="BB10" s="83" t="str">
        <f>Draft!O10</f>
        <v>Neemias Queta</v>
      </c>
      <c r="BC10" s="83" t="str">
        <f>Draft!P10</f>
        <v>Gradey Dick</v>
      </c>
      <c r="BD10" s="84" t="str">
        <f>Draft!AJ11</f>
        <v/>
      </c>
      <c r="BE10" s="7" t="str">
        <f>Draft!AK11</f>
        <v/>
      </c>
      <c r="BF10" s="7" t="str">
        <f>Draft!AL11</f>
        <v/>
      </c>
      <c r="BG10" s="7" t="str">
        <f>Draft!AM11</f>
        <v/>
      </c>
      <c r="BH10" s="7" t="str">
        <f>Draft!AN11</f>
        <v/>
      </c>
      <c r="BI10" s="7" t="str">
        <f>Draft!AO11</f>
        <v/>
      </c>
      <c r="BJ10" s="7"/>
      <c r="BK10" s="7"/>
      <c r="BL10" s="7"/>
      <c r="BM10" s="7"/>
      <c r="BN10" s="7"/>
      <c r="BO10" s="7"/>
      <c r="BP10" s="7"/>
      <c r="BQ10" s="7"/>
      <c r="BR10" s="7"/>
      <c r="BS10" s="7"/>
      <c r="BT10" s="7"/>
      <c r="BU10" s="7"/>
      <c r="BV10" s="7"/>
      <c r="BW10" s="7"/>
    </row>
    <row r="11">
      <c r="A11" s="17"/>
      <c r="B11" s="17"/>
      <c r="D11" s="50"/>
      <c r="E11" s="50"/>
      <c r="F11" s="51" t="s">
        <v>238</v>
      </c>
      <c r="G11" s="110"/>
      <c r="H11" s="19"/>
      <c r="I11" s="55" t="b">
        <f>Draft!C11</f>
        <v>0</v>
      </c>
      <c r="J11" s="31">
        <v>9.0</v>
      </c>
      <c r="K11" s="189">
        <f>'All Teams'!E154</f>
        <v>-37.86430345</v>
      </c>
      <c r="L11" s="190">
        <f>'All Teams'!F154</f>
        <v>-20.88823897</v>
      </c>
      <c r="M11" s="148">
        <f>'All Teams'!G154</f>
        <v>-28.56718927</v>
      </c>
      <c r="N11" s="191">
        <f>'All Teams'!H154</f>
        <v>-21.51843192</v>
      </c>
      <c r="O11" s="140">
        <f>'All Teams'!I154</f>
        <v>-38.88228617</v>
      </c>
      <c r="P11" s="112">
        <f>'All Teams'!J154</f>
        <v>-15.94910581</v>
      </c>
      <c r="Q11" s="192">
        <f>'All Teams'!K154</f>
        <v>1.848500798</v>
      </c>
      <c r="R11" s="193">
        <f>'All Teams'!L154</f>
        <v>-1.67718293</v>
      </c>
      <c r="S11" s="140">
        <f>'All Teams'!M154</f>
        <v>20.81462846</v>
      </c>
      <c r="T11" s="187">
        <f t="array" ref="T11">if(Team!D$1=$J11,"-", countif(indirect(address(row($J$2)+ VLOOKUP(Team!D$1,$J$3:$J$14,1),COLUMN($K$2))):indirect(address(row($J$2)+ VLOOKUP(Team!D$1,$J$3:$J$14,1),COLUMN($S$2)))&gt;indirect(address(row($J11),COLUMN($K$2))):indirect(address(row($J11),COLUMN($S$2))),TRUE()))</f>
        <v>7</v>
      </c>
      <c r="U11" s="194">
        <f>SUM(AT$22:AT$33)/99</f>
        <v>0.1717171717</v>
      </c>
      <c r="V11" s="75">
        <f t="shared" si="2"/>
        <v>0.1713178681</v>
      </c>
      <c r="W11" s="77">
        <f>'All Teams'!N154</f>
        <v>-6.069997941</v>
      </c>
      <c r="X11" s="78" t="str">
        <f>Draft!D11</f>
        <v>Devin Booker</v>
      </c>
      <c r="Y11" s="79"/>
      <c r="Z11" s="80" t="str">
        <f>Draft!E11</f>
        <v>Josh Giddey</v>
      </c>
      <c r="AA11" s="79"/>
      <c r="AB11" s="81" t="str">
        <f>Draft!F11</f>
        <v>Jamal Murray</v>
      </c>
      <c r="AC11" s="79"/>
      <c r="AD11" s="81" t="str">
        <f>Draft!G11</f>
        <v>Ja Morant</v>
      </c>
      <c r="AE11" s="79"/>
      <c r="AF11" s="81" t="str">
        <f>Draft!H11</f>
        <v>Jimmy Butler</v>
      </c>
      <c r="AG11" s="79"/>
      <c r="AH11" s="81" t="str">
        <f>Draft!I11</f>
        <v>Payton Pritchard</v>
      </c>
      <c r="AI11" s="79"/>
      <c r="AJ11" s="81" t="str">
        <f>Draft!J11</f>
        <v>Toumani Camara</v>
      </c>
      <c r="AK11" s="79"/>
      <c r="AL11" s="82" t="str">
        <f>Draft!R12</f>
        <v/>
      </c>
      <c r="AM11" s="82" t="str">
        <f>Draft!S12</f>
        <v/>
      </c>
      <c r="AN11" s="82" t="str">
        <f>Draft!T12</f>
        <v/>
      </c>
      <c r="AO11" s="82" t="str">
        <f>Draft!U12</f>
        <v/>
      </c>
      <c r="AP11" s="82" t="str">
        <f>Draft!V12</f>
        <v/>
      </c>
      <c r="AQ11" s="82" t="str">
        <f>Draft!W12</f>
        <v/>
      </c>
      <c r="AR11" s="82" t="str">
        <f>Draft!X12</f>
        <v/>
      </c>
      <c r="AS11" s="82" t="str">
        <f>Draft!Y12</f>
        <v/>
      </c>
      <c r="AT11" s="82" t="str">
        <f>Draft!Z12</f>
        <v/>
      </c>
      <c r="AU11" s="82" t="str">
        <f>Draft!AA12</f>
        <v/>
      </c>
      <c r="AV11" s="82" t="str">
        <f>Draft!AB12</f>
        <v/>
      </c>
      <c r="AW11" s="82" t="str">
        <f>Draft!AC12</f>
        <v/>
      </c>
      <c r="AX11" s="83" t="str">
        <f>Draft!K11</f>
        <v>Jalen Green</v>
      </c>
      <c r="AY11" s="83" t="str">
        <f>Draft!L11</f>
        <v>Nicolas Claxton</v>
      </c>
      <c r="AZ11" s="83" t="str">
        <f>Draft!M11</f>
        <v>Reed Sheppard</v>
      </c>
      <c r="BA11" s="83" t="str">
        <f>Draft!N11</f>
        <v>Davion Mitchell</v>
      </c>
      <c r="BB11" s="83" t="str">
        <f>Draft!O11</f>
        <v>Keegan Murray</v>
      </c>
      <c r="BC11" s="83" t="str">
        <f>Draft!P11</f>
        <v>Ace Bailey</v>
      </c>
      <c r="BD11" s="84" t="str">
        <f>Draft!AJ12</f>
        <v/>
      </c>
      <c r="BE11" s="7" t="str">
        <f>Draft!AK12</f>
        <v/>
      </c>
      <c r="BF11" s="7" t="str">
        <f>Draft!AL12</f>
        <v/>
      </c>
      <c r="BG11" s="7" t="str">
        <f>Draft!AM12</f>
        <v/>
      </c>
      <c r="BH11" s="7" t="str">
        <f>Draft!AN12</f>
        <v/>
      </c>
      <c r="BI11" s="7" t="str">
        <f>Draft!AO12</f>
        <v/>
      </c>
      <c r="BJ11" s="7"/>
      <c r="BK11" s="7"/>
      <c r="BL11" s="7"/>
      <c r="BM11" s="7"/>
      <c r="BN11" s="7"/>
      <c r="BO11" s="7"/>
      <c r="BP11" s="7"/>
      <c r="BQ11" s="7"/>
      <c r="BR11" s="7"/>
      <c r="BS11" s="7"/>
      <c r="BT11" s="7"/>
      <c r="BU11" s="7"/>
      <c r="BV11" s="7"/>
      <c r="BW11" s="7"/>
    </row>
    <row r="12">
      <c r="A12" s="17"/>
      <c r="B12" s="17"/>
      <c r="C12" s="195"/>
      <c r="D12" s="195"/>
      <c r="E12" s="196"/>
      <c r="F12" s="197" t="s">
        <v>232</v>
      </c>
      <c r="G12" s="198" t="b">
        <v>1</v>
      </c>
      <c r="H12" s="19"/>
      <c r="I12" s="55" t="b">
        <f>Draft!C12</f>
        <v>0</v>
      </c>
      <c r="J12" s="31">
        <v>10.0</v>
      </c>
      <c r="K12" s="175">
        <f>'All Teams'!E171</f>
        <v>-31.55358621</v>
      </c>
      <c r="L12" s="199">
        <f>'All Teams'!F171</f>
        <v>-17.40686581</v>
      </c>
      <c r="M12" s="200">
        <f>'All Teams'!G171</f>
        <v>-23.80599106</v>
      </c>
      <c r="N12" s="201">
        <f>'All Teams'!H171</f>
        <v>-17.9320266</v>
      </c>
      <c r="O12" s="117">
        <f>'All Teams'!I171</f>
        <v>-32.40190514</v>
      </c>
      <c r="P12" s="202">
        <f>'All Teams'!J171</f>
        <v>-13.29092151</v>
      </c>
      <c r="Q12" s="203">
        <f>'All Teams'!K171</f>
        <v>1.306147673</v>
      </c>
      <c r="R12" s="204">
        <f>'All Teams'!L171</f>
        <v>-5.205563771</v>
      </c>
      <c r="S12" s="205">
        <f>'All Teams'!M171</f>
        <v>17.34552372</v>
      </c>
      <c r="T12" s="178">
        <f t="array" ref="T12">if(Team!D$1=$J12,"-", countif(indirect(address(row($J$2)+ VLOOKUP(Team!D$1,$J$3:$J$14,1),COLUMN($K$2))):indirect(address(row($J$2)+ VLOOKUP(Team!D$1,$J$3:$J$14,1),COLUMN($S$2)))&gt;indirect(address(row($J12),COLUMN($K$2))):indirect(address(row($J12),COLUMN($S$2))),TRUE()))</f>
        <v>7</v>
      </c>
      <c r="U12" s="206">
        <f>SUM(AU$22:AU$33)/99</f>
        <v>0.595959596</v>
      </c>
      <c r="V12" s="75">
        <f t="shared" si="2"/>
        <v>1.306147673</v>
      </c>
      <c r="W12" s="77">
        <f>'All Teams'!N171</f>
        <v>-3.836509731</v>
      </c>
      <c r="X12" s="78" t="str">
        <f>Draft!D12</f>
        <v>Domantas Sabonis</v>
      </c>
      <c r="Y12" s="79"/>
      <c r="Z12" s="80" t="str">
        <f>Draft!E12</f>
        <v>Jalen Williams</v>
      </c>
      <c r="AA12" s="79"/>
      <c r="AB12" s="81" t="str">
        <f>Draft!F12</f>
        <v>Paolo Banchero</v>
      </c>
      <c r="AC12" s="79"/>
      <c r="AD12" s="81" t="str">
        <f>Draft!G12</f>
        <v>Jaylen Brown</v>
      </c>
      <c r="AE12" s="79"/>
      <c r="AF12" s="81" t="str">
        <f>Draft!H12</f>
        <v>Desmond Bane</v>
      </c>
      <c r="AG12" s="79"/>
      <c r="AH12" s="81" t="str">
        <f>Draft!I12</f>
        <v>Jarrett Allen</v>
      </c>
      <c r="AI12" s="79"/>
      <c r="AJ12" s="81" t="str">
        <f>Draft!J12</f>
        <v>Brandon Ingram</v>
      </c>
      <c r="AK12" s="79"/>
      <c r="AL12" s="82" t="str">
        <f>Draft!R13</f>
        <v/>
      </c>
      <c r="AM12" s="82" t="str">
        <f>Draft!S13</f>
        <v/>
      </c>
      <c r="AN12" s="82" t="str">
        <f>Draft!T13</f>
        <v/>
      </c>
      <c r="AO12" s="82" t="str">
        <f>Draft!U13</f>
        <v/>
      </c>
      <c r="AP12" s="82" t="str">
        <f>Draft!V13</f>
        <v/>
      </c>
      <c r="AQ12" s="82" t="str">
        <f>Draft!W13</f>
        <v/>
      </c>
      <c r="AR12" s="82" t="str">
        <f>Draft!X13</f>
        <v/>
      </c>
      <c r="AS12" s="82" t="str">
        <f>Draft!Y13</f>
        <v/>
      </c>
      <c r="AT12" s="82" t="str">
        <f>Draft!Z13</f>
        <v/>
      </c>
      <c r="AU12" s="82" t="str">
        <f>Draft!AA13</f>
        <v/>
      </c>
      <c r="AV12" s="82" t="str">
        <f>Draft!AB13</f>
        <v/>
      </c>
      <c r="AW12" s="82" t="str">
        <f>Draft!AC13</f>
        <v/>
      </c>
      <c r="AX12" s="83" t="str">
        <f>Draft!K12</f>
        <v>Mikal Bridges</v>
      </c>
      <c r="AY12" s="83" t="str">
        <f>Draft!L12</f>
        <v>Aaron Gordon</v>
      </c>
      <c r="AZ12" s="83" t="str">
        <f>Draft!M12</f>
        <v>Norman Powell</v>
      </c>
      <c r="BA12" s="83" t="str">
        <f>Draft!N12</f>
        <v>Kel'el Ware</v>
      </c>
      <c r="BB12" s="83" t="str">
        <f>Draft!O12</f>
        <v>De'Andre Hunter</v>
      </c>
      <c r="BC12" s="83" t="str">
        <f>Draft!P12</f>
        <v>Dennis Schroder</v>
      </c>
      <c r="BD12" s="84" t="str">
        <f>Draft!AJ13</f>
        <v/>
      </c>
      <c r="BE12" s="7" t="str">
        <f>Draft!AK13</f>
        <v/>
      </c>
      <c r="BF12" s="7" t="str">
        <f>Draft!AL13</f>
        <v/>
      </c>
      <c r="BG12" s="7" t="str">
        <f>Draft!AM13</f>
        <v/>
      </c>
      <c r="BH12" s="7" t="str">
        <f>Draft!AN13</f>
        <v/>
      </c>
      <c r="BI12" s="7" t="str">
        <f>Draft!AO13</f>
        <v/>
      </c>
      <c r="BJ12" s="7"/>
      <c r="BK12" s="7"/>
      <c r="BL12" s="7"/>
      <c r="BM12" s="7"/>
      <c r="BN12" s="7"/>
      <c r="BO12" s="7"/>
      <c r="BP12" s="7"/>
      <c r="BQ12" s="7"/>
      <c r="BR12" s="7"/>
      <c r="BS12" s="7"/>
      <c r="BT12" s="7"/>
      <c r="BU12" s="7"/>
      <c r="BV12" s="7"/>
      <c r="BW12" s="7"/>
    </row>
    <row r="13">
      <c r="A13" s="17"/>
      <c r="B13" s="17"/>
      <c r="C13" s="207"/>
      <c r="D13" s="207"/>
      <c r="E13" s="208"/>
      <c r="F13" s="209" t="s">
        <v>239</v>
      </c>
      <c r="G13" s="210">
        <v>145.0</v>
      </c>
      <c r="H13" s="19"/>
      <c r="I13" s="55" t="b">
        <f>Draft!C13</f>
        <v>0</v>
      </c>
      <c r="J13" s="31">
        <v>11.0</v>
      </c>
      <c r="K13" s="211">
        <f>'All Teams'!E188</f>
        <v>-37.86430345</v>
      </c>
      <c r="L13" s="212">
        <f>'All Teams'!F188</f>
        <v>-20.88823897</v>
      </c>
      <c r="M13" s="213">
        <f>'All Teams'!G188</f>
        <v>-28.56718927</v>
      </c>
      <c r="N13" s="193">
        <f>'All Teams'!H188</f>
        <v>-21.51843192</v>
      </c>
      <c r="O13" s="214">
        <f>'All Teams'!I188</f>
        <v>-38.88228617</v>
      </c>
      <c r="P13" s="215">
        <f>'All Teams'!J188</f>
        <v>-15.94910581</v>
      </c>
      <c r="Q13" s="216">
        <f>'All Teams'!K188</f>
        <v>-4.775601799</v>
      </c>
      <c r="R13" s="149">
        <f>'All Teams'!L188</f>
        <v>6.407940994</v>
      </c>
      <c r="S13" s="217">
        <f>'All Teams'!M188</f>
        <v>20.81462846</v>
      </c>
      <c r="T13" s="178">
        <f t="array" ref="T13">if(Team!D$1=$J13,"-", countif(indirect(address(row($J$2)+ VLOOKUP(Team!D$1,$J$3:$J$14,1),COLUMN($K$2))):indirect(address(row($J$2)+ VLOOKUP(Team!D$1,$J$3:$J$14,1),COLUMN($S$2)))&gt;indirect(address(row($J13),COLUMN($K$2))):indirect(address(row($J13),COLUMN($S$2))),TRUE()))</f>
        <v>7</v>
      </c>
      <c r="U13" s="188">
        <f>SUM(AV$22:AV$33)/99</f>
        <v>0.1919191919</v>
      </c>
      <c r="V13" s="75">
        <f t="shared" si="2"/>
        <v>6.407940994</v>
      </c>
      <c r="W13" s="77">
        <f>'All Teams'!N188</f>
        <v>8.30938828</v>
      </c>
      <c r="X13" s="78" t="str">
        <f>Draft!D13</f>
        <v>Trae Young</v>
      </c>
      <c r="Y13" s="79"/>
      <c r="Z13" s="80" t="str">
        <f>Draft!E13</f>
        <v>Derrick White</v>
      </c>
      <c r="AA13" s="79"/>
      <c r="AB13" s="81" t="str">
        <f>Draft!F13</f>
        <v>Chet Holmgren</v>
      </c>
      <c r="AC13" s="79"/>
      <c r="AD13" s="81" t="str">
        <f>Draft!G13</f>
        <v>Trey Murphy</v>
      </c>
      <c r="AE13" s="79"/>
      <c r="AF13" s="81" t="str">
        <f>Draft!H13</f>
        <v>Zach LaVine</v>
      </c>
      <c r="AG13" s="79"/>
      <c r="AH13" s="81" t="str">
        <f>Draft!I13</f>
        <v>Tyler Herro</v>
      </c>
      <c r="AI13" s="79"/>
      <c r="AJ13" s="81" t="str">
        <f>Draft!J13</f>
        <v>Josh Hart</v>
      </c>
      <c r="AK13" s="79"/>
      <c r="AL13" s="82" t="str">
        <f>Draft!R14</f>
        <v/>
      </c>
      <c r="AM13" s="82" t="str">
        <f>Draft!S14</f>
        <v/>
      </c>
      <c r="AN13" s="82" t="str">
        <f>Draft!T14</f>
        <v/>
      </c>
      <c r="AO13" s="82" t="str">
        <f>Draft!U14</f>
        <v/>
      </c>
      <c r="AP13" s="82" t="str">
        <f>Draft!V14</f>
        <v/>
      </c>
      <c r="AQ13" s="82" t="str">
        <f>Draft!W14</f>
        <v/>
      </c>
      <c r="AR13" s="82" t="str">
        <f>Draft!X14</f>
        <v/>
      </c>
      <c r="AS13" s="82" t="str">
        <f>Draft!Y14</f>
        <v/>
      </c>
      <c r="AT13" s="82" t="str">
        <f>Draft!Z14</f>
        <v/>
      </c>
      <c r="AU13" s="82" t="str">
        <f>Draft!AA14</f>
        <v/>
      </c>
      <c r="AV13" s="82" t="str">
        <f>Draft!AB14</f>
        <v/>
      </c>
      <c r="AW13" s="82" t="str">
        <f>Draft!AC14</f>
        <v/>
      </c>
      <c r="AX13" s="83" t="str">
        <f>Draft!K13</f>
        <v>James Harden</v>
      </c>
      <c r="AY13" s="83" t="str">
        <f>Draft!L13</f>
        <v>Chris Paul</v>
      </c>
      <c r="AZ13" s="83" t="str">
        <f>Draft!M13</f>
        <v>Jalen Suggs</v>
      </c>
      <c r="BA13" s="83" t="str">
        <f>Draft!N13</f>
        <v>Brook Lopez</v>
      </c>
      <c r="BB13" s="83" t="str">
        <f>Draft!O13</f>
        <v>Dereck Lively II</v>
      </c>
      <c r="BC13" s="83" t="str">
        <f>Draft!P13</f>
        <v>Jerami Grant</v>
      </c>
      <c r="BD13" s="84" t="str">
        <f>Draft!AJ14</f>
        <v/>
      </c>
      <c r="BE13" s="7" t="str">
        <f>Draft!AK14</f>
        <v/>
      </c>
      <c r="BF13" s="7" t="str">
        <f>Draft!AL14</f>
        <v/>
      </c>
      <c r="BG13" s="7" t="str">
        <f>Draft!AM14</f>
        <v/>
      </c>
      <c r="BH13" s="7" t="str">
        <f>Draft!AN14</f>
        <v/>
      </c>
      <c r="BI13" s="7" t="str">
        <f>Draft!AO14</f>
        <v/>
      </c>
      <c r="BJ13" s="7"/>
      <c r="BK13" s="7"/>
      <c r="BL13" s="7"/>
      <c r="BM13" s="7"/>
      <c r="BN13" s="7"/>
      <c r="BO13" s="7"/>
      <c r="BP13" s="7"/>
      <c r="BQ13" s="7"/>
      <c r="BR13" s="7"/>
      <c r="BS13" s="7"/>
      <c r="BT13" s="7"/>
      <c r="BU13" s="7"/>
      <c r="BV13" s="7"/>
      <c r="BW13" s="7"/>
    </row>
    <row r="14">
      <c r="A14" s="17"/>
      <c r="B14" s="17"/>
      <c r="C14" s="207"/>
      <c r="D14" s="207"/>
      <c r="E14" s="208"/>
      <c r="F14" s="209" t="s">
        <v>240</v>
      </c>
      <c r="G14" s="210" t="str">
        <f>IFERROR(__xludf.DUMMYFUNCTION("MIN(FILTER(IF(G12,Draft!D17:O17,Draft!D16:O16),IF(G12,Draft!D17:O17,Draft!D16:O16)&gt;G13))"),"#N/A")</f>
        <v>#N/A</v>
      </c>
      <c r="H14" s="19"/>
      <c r="I14" s="55" t="b">
        <f>Draft!C14</f>
        <v>0</v>
      </c>
      <c r="J14" s="31">
        <v>12.0</v>
      </c>
      <c r="K14" s="218">
        <f>'All Teams'!E205</f>
        <v>-34.70894483</v>
      </c>
      <c r="L14" s="219">
        <f>'All Teams'!F205</f>
        <v>-19.14755239</v>
      </c>
      <c r="M14" s="220">
        <f>'All Teams'!G205</f>
        <v>-26.18659016</v>
      </c>
      <c r="N14" s="221">
        <f>'All Teams'!H205</f>
        <v>-19.72522926</v>
      </c>
      <c r="O14" s="222">
        <f>'All Teams'!I205</f>
        <v>-35.64209565</v>
      </c>
      <c r="P14" s="223">
        <f>'All Teams'!J205</f>
        <v>-14.62001366</v>
      </c>
      <c r="Q14" s="224">
        <f>'All Teams'!K205</f>
        <v>-2.587604159</v>
      </c>
      <c r="R14" s="225">
        <f>'All Teams'!L205</f>
        <v>-1.031465086</v>
      </c>
      <c r="S14" s="226">
        <f>'All Teams'!M205</f>
        <v>19.08007609</v>
      </c>
      <c r="T14" s="178">
        <f t="array" ref="T14">if(Team!D$1=$J14,"-", countif(indirect(address(row($J$2)+ VLOOKUP(Team!D$1,$J$3:$J$14,1),COLUMN($K$2))):indirect(address(row($J$2)+ VLOOKUP(Team!D$1,$J$3:$J$14,1),COLUMN($S$2)))&gt;indirect(address(row($J14),COLUMN($K$2))):indirect(address(row($J14),COLUMN($S$2))),TRUE()))</f>
        <v>7</v>
      </c>
      <c r="U14" s="194">
        <f>SUM(AW$22:AW$33)/99</f>
        <v>0.4949494949</v>
      </c>
      <c r="V14" s="75">
        <f t="shared" si="2"/>
        <v>-1.031465086</v>
      </c>
      <c r="W14" s="77">
        <f>'All Teams'!N205</f>
        <v>5.331595435</v>
      </c>
      <c r="X14" s="78" t="str">
        <f>Draft!D14</f>
        <v>Anthony Davis</v>
      </c>
      <c r="Y14" s="79"/>
      <c r="Z14" s="80" t="str">
        <f>Draft!E14</f>
        <v>LaMelo Ball</v>
      </c>
      <c r="AA14" s="79"/>
      <c r="AB14" s="81" t="str">
        <f>Draft!F14</f>
        <v>Amen Thompson</v>
      </c>
      <c r="AC14" s="79"/>
      <c r="AD14" s="81" t="str">
        <f>Draft!G14</f>
        <v>De'Aaron Fox</v>
      </c>
      <c r="AE14" s="79"/>
      <c r="AF14" s="81" t="str">
        <f>Draft!H14</f>
        <v>Deni Avdija</v>
      </c>
      <c r="AG14" s="79"/>
      <c r="AH14" s="81" t="str">
        <f>Draft!I14</f>
        <v>DeMar DeRozan</v>
      </c>
      <c r="AI14" s="79"/>
      <c r="AJ14" s="81" t="str">
        <f>Draft!J14</f>
        <v>Darius Garland</v>
      </c>
      <c r="AK14" s="79"/>
      <c r="AL14" s="82" t="str">
        <f>Draft!R15</f>
        <v/>
      </c>
      <c r="AM14" s="82" t="str">
        <f>Draft!S15</f>
        <v/>
      </c>
      <c r="AN14" s="82" t="str">
        <f>Draft!T15</f>
        <v/>
      </c>
      <c r="AO14" s="82" t="str">
        <f>Draft!U15</f>
        <v/>
      </c>
      <c r="AP14" s="82" t="str">
        <f>Draft!V15</f>
        <v/>
      </c>
      <c r="AQ14" s="82" t="str">
        <f>Draft!W15</f>
        <v/>
      </c>
      <c r="AR14" s="82" t="str">
        <f>Draft!X15</f>
        <v/>
      </c>
      <c r="AS14" s="82" t="str">
        <f>Draft!Y15</f>
        <v/>
      </c>
      <c r="AT14" s="82" t="str">
        <f>Draft!Z15</f>
        <v/>
      </c>
      <c r="AU14" s="82" t="str">
        <f>Draft!AA15</f>
        <v/>
      </c>
      <c r="AV14" s="82" t="str">
        <f>Draft!AB15</f>
        <v/>
      </c>
      <c r="AW14" s="82" t="str">
        <f>Draft!AC15</f>
        <v/>
      </c>
      <c r="AX14" s="83" t="str">
        <f>Draft!K14</f>
        <v>Bradley Beal</v>
      </c>
      <c r="AY14" s="83" t="str">
        <f>Draft!L14</f>
        <v>Zach Edey</v>
      </c>
      <c r="AZ14" s="83" t="str">
        <f>Draft!M14</f>
        <v>Devin Vassell</v>
      </c>
      <c r="BA14" s="83" t="str">
        <f>Draft!N14</f>
        <v>Herb Jones</v>
      </c>
      <c r="BB14" s="83" t="str">
        <f>Draft!O14</f>
        <v>Miles McBride</v>
      </c>
      <c r="BC14" s="83" t="str">
        <f>Draft!P14</f>
        <v>Bilal Coulibaly</v>
      </c>
      <c r="BD14" s="84" t="str">
        <f>Draft!AJ15</f>
        <v/>
      </c>
      <c r="BE14" s="7" t="str">
        <f>Draft!AK15</f>
        <v/>
      </c>
      <c r="BF14" s="7" t="str">
        <f>Draft!AL15</f>
        <v/>
      </c>
      <c r="BG14" s="7" t="str">
        <f>Draft!AM15</f>
        <v/>
      </c>
      <c r="BH14" s="7" t="str">
        <f>Draft!AN15</f>
        <v/>
      </c>
      <c r="BI14" s="7" t="str">
        <f>Draft!AO15</f>
        <v/>
      </c>
      <c r="BJ14" s="7"/>
      <c r="BK14" s="7"/>
      <c r="BL14" s="7"/>
      <c r="BM14" s="7"/>
      <c r="BN14" s="7"/>
      <c r="BO14" s="7"/>
      <c r="BP14" s="7"/>
      <c r="BQ14" s="7"/>
      <c r="BR14" s="7"/>
      <c r="BS14" s="7"/>
      <c r="BT14" s="7"/>
      <c r="BU14" s="7"/>
      <c r="BV14" s="7"/>
      <c r="BW14" s="7"/>
    </row>
    <row r="15">
      <c r="A15" s="17"/>
      <c r="B15" s="17"/>
      <c r="C15" s="207"/>
      <c r="D15" s="227"/>
      <c r="E15" s="208"/>
      <c r="F15" s="228" t="s">
        <v>241</v>
      </c>
      <c r="G15" s="229" t="s">
        <v>186</v>
      </c>
      <c r="H15" s="19"/>
      <c r="I15" s="19"/>
      <c r="J15" s="230" t="s">
        <v>242</v>
      </c>
      <c r="K15" s="231">
        <f t="shared" ref="K15:S15" si="3">SUM(Y20:Y1015)/ COUNT($K$20:$K1015)</f>
        <v>-0.06199288488</v>
      </c>
      <c r="L15" s="231">
        <f t="shared" si="3"/>
        <v>-0.01751266002</v>
      </c>
      <c r="M15" s="231">
        <f t="shared" si="3"/>
        <v>-0.01670734342</v>
      </c>
      <c r="N15" s="231">
        <f t="shared" si="3"/>
        <v>0.006779334578</v>
      </c>
      <c r="O15" s="231">
        <f t="shared" si="3"/>
        <v>0.09190290911</v>
      </c>
      <c r="P15" s="231">
        <f t="shared" si="3"/>
        <v>-0.01057972499</v>
      </c>
      <c r="Q15" s="231">
        <f t="shared" si="3"/>
        <v>-0.1525194952</v>
      </c>
      <c r="R15" s="231">
        <f t="shared" si="3"/>
        <v>0.02930355362</v>
      </c>
      <c r="S15" s="231">
        <f t="shared" si="3"/>
        <v>-0.04611196003</v>
      </c>
      <c r="T15" s="7"/>
      <c r="U15" s="7"/>
      <c r="V15" s="7"/>
      <c r="W15" s="7"/>
      <c r="X15" s="232">
        <f>IF($G$12,Draft!D17,Draft!D16)</f>
        <v>4</v>
      </c>
      <c r="Y15" s="39"/>
      <c r="Z15" s="232">
        <f>IF($G$12,Draft!E17,Draft!E16)</f>
        <v>21</v>
      </c>
      <c r="AA15" s="39"/>
      <c r="AB15" s="233">
        <f>IF($G$12,Draft!F17,Draft!F16)</f>
        <v>33</v>
      </c>
      <c r="AC15" s="39"/>
      <c r="AD15" s="233">
        <f>IF($G$12,Draft!G17,Draft!G16)</f>
        <v>40</v>
      </c>
      <c r="AE15" s="39"/>
      <c r="AF15" s="233">
        <f>IF($G$12,Draft!H17,Draft!H16)</f>
        <v>57</v>
      </c>
      <c r="AG15" s="39"/>
      <c r="AH15" s="233">
        <f>IF($G$12,Draft!I17,Draft!I16)</f>
        <v>64</v>
      </c>
      <c r="AI15" s="39"/>
      <c r="AJ15" s="233">
        <f>IF($G$12,Draft!J17,Draft!J16)</f>
        <v>81</v>
      </c>
      <c r="AK15" s="39"/>
      <c r="AL15" s="232" t="str">
        <f>IF($G$12,Draft!R16,Draft!R16)</f>
        <v/>
      </c>
      <c r="AM15" s="39"/>
      <c r="AN15" s="232" t="str">
        <f>IF($G$12,Draft!T16,Draft!T16)</f>
        <v/>
      </c>
      <c r="AO15" s="39"/>
      <c r="AP15" s="232" t="str">
        <f>IF($G$12,Draft!V16,Draft!V16)</f>
        <v/>
      </c>
      <c r="AQ15" s="39"/>
      <c r="AR15" s="232" t="str">
        <f>IF($G$12,Draft!X16,Draft!X16)</f>
        <v/>
      </c>
      <c r="AS15" s="39"/>
      <c r="AT15" s="232" t="str">
        <f>IF($G$12,Draft!Z16,Draft!Z16)</f>
        <v/>
      </c>
      <c r="AU15" s="39"/>
      <c r="AV15" s="232" t="str">
        <f>IF($G$12,Draft!AB16,Draft!AB16)</f>
        <v/>
      </c>
      <c r="AW15" s="39"/>
      <c r="AX15" s="234">
        <f>IF($G$12,Draft!K17,Draft!K16)</f>
        <v>88</v>
      </c>
      <c r="AY15" s="234">
        <f>IF($G$12,Draft!L17,Draft!L16)</f>
        <v>105</v>
      </c>
      <c r="AZ15" s="234">
        <f>IF($G$12,Draft!M17,Draft!M16)</f>
        <v>112</v>
      </c>
      <c r="BA15" s="234">
        <f>IF($G$12,Draft!N17,Draft!N16)</f>
        <v>129</v>
      </c>
      <c r="BB15" s="234">
        <f>IF($G$12,Draft!O17,Draft!O16)</f>
        <v>136</v>
      </c>
      <c r="BC15" s="234">
        <f>IF($G$12,Draft!P17,Draft!P16)</f>
        <v>159</v>
      </c>
      <c r="BD15" s="234">
        <f>IF($G$12,Draft!Q17,Draft!Q16)</f>
        <v>154</v>
      </c>
      <c r="BE15" s="7"/>
      <c r="BF15" s="7"/>
      <c r="BG15" s="7"/>
      <c r="BH15" s="7"/>
      <c r="BI15" s="7"/>
      <c r="BJ15" s="7"/>
      <c r="BK15" s="7"/>
      <c r="BL15" s="7"/>
      <c r="BM15" s="7"/>
      <c r="BN15" s="7"/>
      <c r="BO15" s="7"/>
      <c r="BP15" s="7"/>
      <c r="BQ15" s="7"/>
      <c r="BR15" s="7"/>
      <c r="BS15" s="7"/>
      <c r="BT15" s="7"/>
      <c r="BU15" s="7"/>
      <c r="BV15" s="7"/>
      <c r="BW15" s="7"/>
    </row>
    <row r="16">
      <c r="A16" s="7"/>
      <c r="B16" s="23"/>
      <c r="C16" s="23"/>
      <c r="D16" s="23"/>
      <c r="E16" s="23"/>
      <c r="F16" s="235"/>
      <c r="G16" s="236"/>
      <c r="H16" s="19"/>
      <c r="I16" s="31" t="s">
        <v>243</v>
      </c>
      <c r="J16" s="31" t="s">
        <v>244</v>
      </c>
      <c r="K16" s="31" t="s">
        <v>13</v>
      </c>
      <c r="L16" s="31" t="s">
        <v>99</v>
      </c>
      <c r="M16" s="31" t="s">
        <v>101</v>
      </c>
      <c r="N16" s="31" t="s">
        <v>15</v>
      </c>
      <c r="O16" s="31" t="s">
        <v>16</v>
      </c>
      <c r="P16" s="31" t="s">
        <v>226</v>
      </c>
      <c r="Q16" s="31" t="s">
        <v>9</v>
      </c>
      <c r="R16" s="31" t="s">
        <v>11</v>
      </c>
      <c r="S16" s="31" t="s">
        <v>18</v>
      </c>
      <c r="T16" s="31" t="s">
        <v>85</v>
      </c>
      <c r="U16" s="31" t="s">
        <v>88</v>
      </c>
      <c r="V16" s="31" t="s">
        <v>90</v>
      </c>
      <c r="W16" s="31" t="s">
        <v>92</v>
      </c>
      <c r="X16" s="237" t="s">
        <v>97</v>
      </c>
      <c r="Y16" s="23"/>
      <c r="Z16" s="23"/>
      <c r="AA16" s="238" t="s">
        <v>245</v>
      </c>
      <c r="AB16" s="39"/>
      <c r="AC16" s="239" t="s">
        <v>246</v>
      </c>
      <c r="AD16" s="240"/>
      <c r="AE16" s="39"/>
      <c r="AF16" s="241" t="s">
        <v>247</v>
      </c>
      <c r="AG16" s="39"/>
      <c r="AH16" s="242" t="s">
        <v>248</v>
      </c>
      <c r="AI16" s="243"/>
      <c r="AJ16" s="19"/>
      <c r="AK16" s="7"/>
      <c r="AL16" s="25"/>
      <c r="AM16" s="25"/>
      <c r="AN16" s="25"/>
      <c r="AO16" s="25"/>
      <c r="AP16" s="25"/>
      <c r="AQ16" s="25"/>
      <c r="AR16" s="25"/>
      <c r="AS16" s="25"/>
      <c r="AT16" s="25"/>
      <c r="AU16" s="25"/>
      <c r="AV16" s="25"/>
      <c r="AW16" s="28"/>
      <c r="AX16" s="28"/>
      <c r="AY16" s="28"/>
      <c r="AZ16" s="7"/>
      <c r="BA16" s="7"/>
      <c r="BB16" s="7"/>
      <c r="BC16" s="7"/>
      <c r="BD16" s="7"/>
      <c r="BE16" s="7"/>
      <c r="BF16" s="7"/>
      <c r="BG16" s="7"/>
      <c r="BH16" s="7"/>
      <c r="BI16" s="7"/>
      <c r="BJ16" s="7"/>
      <c r="BK16" s="7"/>
      <c r="BL16" s="7"/>
      <c r="BM16" s="7"/>
      <c r="BN16" s="7"/>
      <c r="BO16" s="7"/>
      <c r="BP16" s="7"/>
      <c r="BQ16" s="7"/>
      <c r="BR16" s="7"/>
      <c r="BS16" s="7"/>
      <c r="BT16" s="7"/>
      <c r="BU16" s="7"/>
      <c r="BV16" s="7"/>
      <c r="BW16" s="7"/>
    </row>
    <row r="17">
      <c r="A17" s="7"/>
      <c r="B17" s="23"/>
      <c r="C17" s="23"/>
      <c r="D17" s="7"/>
      <c r="E17" s="7"/>
      <c r="F17" s="244"/>
      <c r="G17" s="245"/>
      <c r="H17" s="19"/>
      <c r="I17" s="246" t="b">
        <v>1</v>
      </c>
      <c r="J17" s="247" t="b">
        <v>0</v>
      </c>
      <c r="K17" s="248">
        <v>1.0</v>
      </c>
      <c r="L17" s="249">
        <v>1.0</v>
      </c>
      <c r="M17" s="249">
        <v>1.0</v>
      </c>
      <c r="N17" s="249">
        <v>1.0</v>
      </c>
      <c r="O17" s="249">
        <v>1.0</v>
      </c>
      <c r="P17" s="249">
        <v>1.0</v>
      </c>
      <c r="Q17" s="249">
        <v>1.0</v>
      </c>
      <c r="R17" s="249">
        <v>1.0</v>
      </c>
      <c r="S17" s="249">
        <v>0.25</v>
      </c>
      <c r="T17" s="250" t="s">
        <v>85</v>
      </c>
      <c r="U17" s="250" t="s">
        <v>88</v>
      </c>
      <c r="V17" s="250" t="s">
        <v>90</v>
      </c>
      <c r="W17" s="250" t="s">
        <v>92</v>
      </c>
      <c r="X17" s="250" t="s">
        <v>97</v>
      </c>
      <c r="Y17" s="23"/>
      <c r="Z17" s="23"/>
      <c r="AA17" s="33" t="s">
        <v>77</v>
      </c>
      <c r="AB17" s="39"/>
      <c r="AC17" s="251" t="b">
        <v>0</v>
      </c>
      <c r="AD17" s="240"/>
      <c r="AE17" s="39"/>
      <c r="AF17" s="252">
        <v>156.0</v>
      </c>
      <c r="AG17" s="39"/>
      <c r="AH17" s="252" t="s">
        <v>249</v>
      </c>
      <c r="AI17" s="39"/>
      <c r="AJ17" s="19"/>
      <c r="AK17" s="7"/>
      <c r="AL17" s="25"/>
      <c r="AM17" s="25"/>
      <c r="AN17" s="25"/>
      <c r="AO17" s="25"/>
      <c r="AP17" s="25"/>
      <c r="AQ17" s="25"/>
      <c r="AR17" s="25"/>
      <c r="AS17" s="25"/>
      <c r="AT17" s="25"/>
      <c r="AU17" s="25"/>
      <c r="AV17" s="25"/>
      <c r="AW17" s="28"/>
      <c r="AX17" s="28"/>
      <c r="AY17" s="28"/>
      <c r="AZ17" s="7"/>
      <c r="BA17" s="7"/>
      <c r="BB17" s="7"/>
      <c r="BC17" s="7"/>
      <c r="BD17" s="7"/>
      <c r="BE17" s="7"/>
      <c r="BF17" s="7"/>
      <c r="BG17" s="7"/>
      <c r="BH17" s="7"/>
      <c r="BI17" s="7"/>
      <c r="BJ17" s="7"/>
      <c r="BK17" s="7"/>
      <c r="BL17" s="7"/>
      <c r="BM17" s="7"/>
      <c r="BN17" s="7"/>
      <c r="BO17" s="7"/>
      <c r="BP17" s="7"/>
      <c r="BQ17" s="7"/>
      <c r="BR17" s="7"/>
      <c r="BS17" s="7"/>
      <c r="BT17" s="7"/>
      <c r="BU17" s="7"/>
      <c r="BV17" s="7"/>
      <c r="BW17" s="7"/>
    </row>
    <row r="18">
      <c r="A18" s="7"/>
      <c r="B18" s="7"/>
      <c r="C18" s="7"/>
      <c r="D18" s="7"/>
      <c r="E18" s="19"/>
      <c r="F18" s="19"/>
      <c r="G18" s="19"/>
      <c r="H18" s="19"/>
      <c r="I18" s="19"/>
      <c r="J18" s="7"/>
      <c r="K18" s="19"/>
      <c r="L18" s="7"/>
      <c r="M18" s="7"/>
      <c r="N18" s="7"/>
      <c r="O18" s="7"/>
      <c r="P18" s="7"/>
      <c r="Q18" s="7"/>
      <c r="R18" s="7"/>
      <c r="S18" s="7"/>
      <c r="T18" s="7"/>
      <c r="U18" s="7"/>
      <c r="V18" s="7"/>
      <c r="W18" s="7"/>
      <c r="X18" s="7"/>
      <c r="Y18" s="7"/>
      <c r="Z18" s="7"/>
      <c r="AA18" s="7"/>
      <c r="AB18" s="7"/>
      <c r="AC18" s="7"/>
      <c r="AD18" s="7"/>
      <c r="AE18" s="7"/>
      <c r="AF18" s="7"/>
      <c r="AG18" s="7"/>
      <c r="AH18" s="7"/>
      <c r="AI18" s="7"/>
      <c r="AJ18" s="19"/>
      <c r="AK18" s="7"/>
      <c r="AL18" s="25"/>
      <c r="AM18" s="25"/>
      <c r="AN18" s="25"/>
      <c r="AO18" s="25"/>
      <c r="AP18" s="25"/>
      <c r="AQ18" s="25"/>
      <c r="AR18" s="25"/>
      <c r="AS18" s="25"/>
      <c r="AT18" s="25"/>
      <c r="AU18" s="25"/>
      <c r="AV18" s="25"/>
      <c r="AW18" s="28"/>
      <c r="AX18" s="28"/>
      <c r="AY18" s="28"/>
      <c r="AZ18" s="7"/>
      <c r="BA18" s="7"/>
      <c r="BB18" s="7"/>
      <c r="BC18" s="7"/>
      <c r="BD18" s="7"/>
      <c r="BE18" s="7"/>
      <c r="BF18" s="7"/>
      <c r="BG18" s="7"/>
      <c r="BH18" s="7"/>
      <c r="BI18" s="7"/>
      <c r="BJ18" s="7"/>
      <c r="BK18" s="7"/>
      <c r="BL18" s="7"/>
      <c r="BM18" s="7"/>
      <c r="BN18" s="7"/>
      <c r="BO18" s="7"/>
      <c r="BP18" s="7"/>
      <c r="BQ18" s="7"/>
      <c r="BR18" s="7"/>
      <c r="BS18" s="7"/>
      <c r="BT18" s="7"/>
      <c r="BU18" s="7"/>
      <c r="BV18" s="7"/>
      <c r="BW18" s="7"/>
    </row>
    <row r="19">
      <c r="A19" s="253" t="s">
        <v>250</v>
      </c>
      <c r="B19" s="254" t="s">
        <v>251</v>
      </c>
      <c r="C19" s="254" t="s">
        <v>252</v>
      </c>
      <c r="D19" s="255" t="s">
        <v>253</v>
      </c>
      <c r="E19" s="256"/>
      <c r="F19" s="254" t="s">
        <v>95</v>
      </c>
      <c r="G19" s="254" t="s">
        <v>254</v>
      </c>
      <c r="H19" s="254" t="s">
        <v>255</v>
      </c>
      <c r="I19" s="254" t="s">
        <v>2</v>
      </c>
      <c r="J19" s="254" t="s">
        <v>227</v>
      </c>
      <c r="K19" s="254" t="s">
        <v>6</v>
      </c>
      <c r="L19" s="257" t="s">
        <v>228</v>
      </c>
      <c r="M19" s="254" t="s">
        <v>79</v>
      </c>
      <c r="N19" s="257" t="s">
        <v>77</v>
      </c>
      <c r="O19" s="254" t="s">
        <v>80</v>
      </c>
      <c r="P19" s="254" t="s">
        <v>13</v>
      </c>
      <c r="Q19" s="254" t="s">
        <v>99</v>
      </c>
      <c r="R19" s="254" t="s">
        <v>101</v>
      </c>
      <c r="S19" s="254" t="s">
        <v>15</v>
      </c>
      <c r="T19" s="254" t="s">
        <v>16</v>
      </c>
      <c r="U19" s="254" t="s">
        <v>17</v>
      </c>
      <c r="V19" s="254" t="s">
        <v>9</v>
      </c>
      <c r="W19" s="254" t="s">
        <v>11</v>
      </c>
      <c r="X19" s="254" t="s">
        <v>18</v>
      </c>
      <c r="Y19" s="257" t="s">
        <v>108</v>
      </c>
      <c r="Z19" s="257" t="s">
        <v>110</v>
      </c>
      <c r="AA19" s="257" t="s">
        <v>112</v>
      </c>
      <c r="AB19" s="257" t="s">
        <v>113</v>
      </c>
      <c r="AC19" s="257" t="s">
        <v>114</v>
      </c>
      <c r="AD19" s="257" t="s">
        <v>115</v>
      </c>
      <c r="AE19" s="257" t="s">
        <v>117</v>
      </c>
      <c r="AF19" s="257" t="s">
        <v>119</v>
      </c>
      <c r="AG19" s="258" t="s">
        <v>121</v>
      </c>
      <c r="AH19" s="23"/>
      <c r="AI19" s="7"/>
      <c r="AJ19" s="19"/>
      <c r="AK19" s="7"/>
      <c r="AL19" s="25"/>
      <c r="AM19" s="25"/>
      <c r="AN19" s="25"/>
      <c r="AO19" s="25"/>
      <c r="AP19" s="25"/>
      <c r="AQ19" s="25"/>
      <c r="AR19" s="25"/>
      <c r="AS19" s="25"/>
      <c r="AT19" s="25"/>
      <c r="AU19" s="25"/>
      <c r="AV19" s="25"/>
      <c r="AW19" s="28"/>
      <c r="AX19" s="28"/>
      <c r="AY19" s="28"/>
      <c r="AZ19" s="7"/>
      <c r="BA19" s="7"/>
      <c r="BB19" s="7"/>
      <c r="BC19" s="7"/>
      <c r="BD19" s="7"/>
      <c r="BE19" s="7"/>
      <c r="BF19" s="7"/>
      <c r="BG19" s="7"/>
      <c r="BH19" s="7"/>
      <c r="BI19" s="7"/>
      <c r="BJ19" s="7"/>
      <c r="BK19" s="7"/>
      <c r="BL19" s="7"/>
      <c r="BM19" s="7"/>
      <c r="BN19" s="7"/>
      <c r="BO19" s="7"/>
      <c r="BP19" s="7"/>
      <c r="BQ19" s="7"/>
      <c r="BR19" s="7"/>
      <c r="BS19" s="7"/>
      <c r="BT19" s="7"/>
      <c r="BU19" s="7"/>
      <c r="BV19" s="7"/>
      <c r="BW19" s="7"/>
    </row>
    <row r="20">
      <c r="A20" s="259" t="str">
        <f>VLOOKUP($F20,UpdateHashtag!$V$3:$Y$32,COLUMN(B$15),0)</f>
        <v>#N/A</v>
      </c>
      <c r="B20" s="259" t="str">
        <f>VLOOKUP($F20,UpdateHashtag!$V$3:$Y$32,COLUMN(C$13),0)</f>
        <v>#N/A</v>
      </c>
      <c r="C20" s="259" t="str">
        <f>VLOOKUP($F20,UpdateHashtag!$V$3:$Y$32,COLUMN(D$13),0)</f>
        <v>#N/A</v>
      </c>
      <c r="D20" s="260" t="str">
        <f t="shared" ref="D20:D416" si="4">SUM(A20:C20)</f>
        <v>#N/A</v>
      </c>
      <c r="E20" s="21"/>
      <c r="F20" s="261" t="str">
        <f>VLOOKUP(J20,UpdateBBM!$C$2:E1015,3,0)</f>
        <v>SAS</v>
      </c>
      <c r="G20" s="262">
        <v>1.0</v>
      </c>
      <c r="H20" s="263">
        <f>IFERROR(__xludf.DUMMYFUNCTION("Filter('NO USAR3'!B5:AA420,IF('NO USAR3'!AB5:AB420="""",FALSE,TRUE),NOT(COUNTIF('NO USAR3'!A5:A200,'NO USAR3'!D5:D420)),IF('NO USAR3'!B5:B420&gt;AF17,FALSE,TRUE))"),1.0)</f>
        <v>1</v>
      </c>
      <c r="I20" s="263">
        <f>IFERROR(__xludf.DUMMYFUNCTION("""COMPUTED_VALUE"""),2.0)</f>
        <v>2</v>
      </c>
      <c r="J20" s="264" t="str">
        <f>IFERROR(__xludf.DUMMYFUNCTION("""COMPUTED_VALUE"""),"Victor Wembanyama")</f>
        <v>Victor Wembanyama</v>
      </c>
      <c r="K20" s="263">
        <f>IFERROR(__xludf.DUMMYFUNCTION("""COMPUTED_VALUE"""),71.0)</f>
        <v>71</v>
      </c>
      <c r="L20" s="265" t="str">
        <f>IFERROR(__xludf.DUMMYFUNCTION("""COMPUTED_VALUE"""),"C")</f>
        <v>C</v>
      </c>
      <c r="M20" s="266">
        <f>IFERROR(__xludf.DUMMYFUNCTION("""COMPUTED_VALUE"""),10.595392267107387)</f>
        <v>10.59539227</v>
      </c>
      <c r="N20" s="266">
        <f>IFERROR(__xludf.DUMMYFUNCTION("""COMPUTED_VALUE"""),10.595392267107387)</f>
        <v>10.59539227</v>
      </c>
      <c r="O20" s="267">
        <f>IFERROR(__xludf.DUMMYFUNCTION("""COMPUTED_VALUE"""),0.0)</f>
        <v>0</v>
      </c>
      <c r="P20" s="268">
        <f>IFERROR(__xludf.DUMMYFUNCTION("""COMPUTED_VALUE"""),24.1)</f>
        <v>24.1</v>
      </c>
      <c r="Q20" s="268">
        <f>IFERROR(__xludf.DUMMYFUNCTION("""COMPUTED_VALUE"""),2.0)</f>
        <v>2</v>
      </c>
      <c r="R20" s="268">
        <f>IFERROR(__xludf.DUMMYFUNCTION("""COMPUTED_VALUE"""),11.6)</f>
        <v>11.6</v>
      </c>
      <c r="S20" s="269">
        <f>IFERROR(__xludf.DUMMYFUNCTION("""COMPUTED_VALUE"""),4.4)</f>
        <v>4.4</v>
      </c>
      <c r="T20" s="268">
        <f>IFERROR(__xludf.DUMMYFUNCTION("""COMPUTED_VALUE"""),1.4)</f>
        <v>1.4</v>
      </c>
      <c r="U20" s="268">
        <f>IFERROR(__xludf.DUMMYFUNCTION("""COMPUTED_VALUE"""),3.9)</f>
        <v>3.9</v>
      </c>
      <c r="V20" s="265">
        <f>IFERROR(__xludf.DUMMYFUNCTION("""COMPUTED_VALUE"""),0.473)</f>
        <v>0.473</v>
      </c>
      <c r="W20" s="265">
        <f>IFERROR(__xludf.DUMMYFUNCTION("""COMPUTED_VALUE"""),0.802)</f>
        <v>0.802</v>
      </c>
      <c r="X20" s="265">
        <f>IFERROR(__xludf.DUMMYFUNCTION("""COMPUTED_VALUE"""),3.4)</f>
        <v>3.4</v>
      </c>
      <c r="Y20" s="268">
        <f>IFERROR(__xludf.DUMMYFUNCTION("""COMPUTED_VALUE"""),1.1982586520799683)</f>
        <v>1.198258652</v>
      </c>
      <c r="Z20" s="271">
        <f>IFERROR(__xludf.DUMMYFUNCTION("""COMPUTED_VALUE"""),0.2497993995559884)</f>
        <v>0.2497993996</v>
      </c>
      <c r="AA20" s="266">
        <f>IFERROR(__xludf.DUMMYFUNCTION("""COMPUTED_VALUE"""),2.169659944607731)</f>
        <v>2.169659945</v>
      </c>
      <c r="AB20" s="266">
        <f>IFERROR(__xludf.DUMMYFUNCTION("""COMPUTED_VALUE"""),0.2115152388471211)</f>
        <v>0.2115152388</v>
      </c>
      <c r="AC20" s="266">
        <f>IFERROR(__xludf.DUMMYFUNCTION("""COMPUTED_VALUE"""),1.4068669802785894)</f>
        <v>1.40686698</v>
      </c>
      <c r="AD20" s="271">
        <f>IFERROR(__xludf.DUMMYFUNCTION("""COMPUTED_VALUE"""),5.628262228999039)</f>
        <v>5.628262229</v>
      </c>
      <c r="AE20" s="266">
        <f>IFERROR(__xludf.DUMMYFUNCTION("""COMPUTED_VALUE"""),-0.5205826258886787)</f>
        <v>-0.5205826259</v>
      </c>
      <c r="AF20" s="266">
        <f>IFERROR(__xludf.DUMMYFUNCTION("""COMPUTED_VALUE"""),0.14053098793907753)</f>
        <v>0.1405309879</v>
      </c>
      <c r="AG20" s="271">
        <f>IFERROR(__xludf.DUMMYFUNCTION("""COMPUTED_VALUE"""),-0.40950116520012636)</f>
        <v>-0.4095011652</v>
      </c>
      <c r="AH20" s="272"/>
      <c r="AI20" s="273"/>
      <c r="AJ20" s="23"/>
      <c r="AK20" s="7"/>
      <c r="AL20" s="68">
        <v>1.0</v>
      </c>
      <c r="AM20" s="274">
        <v>2.0</v>
      </c>
      <c r="AN20" s="68">
        <v>3.0</v>
      </c>
      <c r="AO20" s="274">
        <v>4.0</v>
      </c>
      <c r="AP20" s="68">
        <v>5.0</v>
      </c>
      <c r="AQ20" s="274">
        <v>6.0</v>
      </c>
      <c r="AR20" s="68">
        <v>7.0</v>
      </c>
      <c r="AS20" s="274">
        <v>8.0</v>
      </c>
      <c r="AT20" s="68">
        <v>9.0</v>
      </c>
      <c r="AU20" s="274">
        <v>10.0</v>
      </c>
      <c r="AV20" s="68">
        <v>11.0</v>
      </c>
      <c r="AW20" s="274">
        <v>12.0</v>
      </c>
      <c r="AX20" s="23"/>
      <c r="AY20" s="23"/>
      <c r="AZ20" s="23"/>
      <c r="BA20" s="23"/>
      <c r="BB20" s="23"/>
      <c r="BC20" s="23"/>
      <c r="BD20" s="23"/>
      <c r="BE20" s="23"/>
      <c r="BF20" s="23"/>
      <c r="BG20" s="23"/>
      <c r="BH20" s="23"/>
      <c r="BI20" s="275"/>
      <c r="BJ20" s="275"/>
      <c r="BK20" s="275"/>
      <c r="BL20" s="275"/>
      <c r="BM20" s="275"/>
      <c r="BN20" s="275"/>
      <c r="BO20" s="275"/>
      <c r="BP20" s="275"/>
      <c r="BQ20" s="275"/>
      <c r="BR20" s="275"/>
      <c r="BS20" s="275"/>
      <c r="BT20" s="275"/>
      <c r="BU20" s="275"/>
      <c r="BV20" s="275"/>
      <c r="BW20" s="275"/>
    </row>
    <row r="21">
      <c r="A21" s="276">
        <f>VLOOKUP($F21,UpdateHashtag!$V$3:$Y$32,COLUMN(B$15),0)</f>
        <v>3</v>
      </c>
      <c r="B21" s="259">
        <f>VLOOKUP($F21,UpdateHashtag!$V$3:$Y$32,COLUMN(C$13),0)</f>
        <v>4</v>
      </c>
      <c r="C21" s="259">
        <f>VLOOKUP($F21,UpdateHashtag!$V$3:$Y$32,COLUMN(D$13),0)</f>
        <v>3</v>
      </c>
      <c r="D21" s="277">
        <f t="shared" si="4"/>
        <v>10</v>
      </c>
      <c r="E21" s="21"/>
      <c r="F21" s="261" t="str">
        <f>VLOOKUP(J21,UpdateBBM!$C$2:E1015,3,0)</f>
        <v>LAL</v>
      </c>
      <c r="G21" s="248">
        <v>2.0</v>
      </c>
      <c r="H21" s="278">
        <f>IFERROR(__xludf.DUMMYFUNCTION("""COMPUTED_VALUE"""),2.0)</f>
        <v>2</v>
      </c>
      <c r="I21" s="278">
        <f>IFERROR(__xludf.DUMMYFUNCTION("""COMPUTED_VALUE"""),3.8)</f>
        <v>3.8</v>
      </c>
      <c r="J21" s="279" t="str">
        <f>IFERROR(__xludf.DUMMYFUNCTION("""COMPUTED_VALUE"""),"Luka Doncic")</f>
        <v>Luka Doncic</v>
      </c>
      <c r="K21" s="278">
        <f>IFERROR(__xludf.DUMMYFUNCTION("""COMPUTED_VALUE"""),66.0)</f>
        <v>66</v>
      </c>
      <c r="L21" s="280" t="str">
        <f>IFERROR(__xludf.DUMMYFUNCTION("""COMPUTED_VALUE"""),"PG,SG")</f>
        <v>PG,SG</v>
      </c>
      <c r="M21" s="281">
        <f>IFERROR(__xludf.DUMMYFUNCTION("""COMPUTED_VALUE"""),10.094731628301643)</f>
        <v>10.09473163</v>
      </c>
      <c r="N21" s="281">
        <f>IFERROR(__xludf.DUMMYFUNCTION("""COMPUTED_VALUE"""),10.094731628301643)</f>
        <v>10.09473163</v>
      </c>
      <c r="O21" s="282">
        <f>IFERROR(__xludf.DUMMYFUNCTION("""COMPUTED_VALUE"""),0.0)</f>
        <v>0</v>
      </c>
      <c r="P21" s="283">
        <f>IFERROR(__xludf.DUMMYFUNCTION("""COMPUTED_VALUE"""),34.4)</f>
        <v>34.4</v>
      </c>
      <c r="Q21" s="283">
        <f>IFERROR(__xludf.DUMMYFUNCTION("""COMPUTED_VALUE"""),4.1)</f>
        <v>4.1</v>
      </c>
      <c r="R21" s="283">
        <f>IFERROR(__xludf.DUMMYFUNCTION("""COMPUTED_VALUE"""),9.3)</f>
        <v>9.3</v>
      </c>
      <c r="S21" s="284">
        <f>IFERROR(__xludf.DUMMYFUNCTION("""COMPUTED_VALUE"""),9.9)</f>
        <v>9.9</v>
      </c>
      <c r="T21" s="283">
        <f>IFERROR(__xludf.DUMMYFUNCTION("""COMPUTED_VALUE"""),1.4)</f>
        <v>1.4</v>
      </c>
      <c r="U21" s="283">
        <f>IFERROR(__xludf.DUMMYFUNCTION("""COMPUTED_VALUE"""),0.5)</f>
        <v>0.5</v>
      </c>
      <c r="V21" s="280">
        <f>IFERROR(__xludf.DUMMYFUNCTION("""COMPUTED_VALUE"""),0.491)</f>
        <v>0.491</v>
      </c>
      <c r="W21" s="280">
        <f>IFERROR(__xludf.DUMMYFUNCTION("""COMPUTED_VALUE"""),0.792)</f>
        <v>0.792</v>
      </c>
      <c r="X21" s="280">
        <f>IFERROR(__xludf.DUMMYFUNCTION("""COMPUTED_VALUE"""),3.8)</f>
        <v>3.8</v>
      </c>
      <c r="Y21" s="283">
        <f>IFERROR(__xludf.DUMMYFUNCTION("""COMPUTED_VALUE"""),3.05893325429639)</f>
        <v>3.058933254</v>
      </c>
      <c r="Z21" s="281">
        <f>IFERROR(__xludf.DUMMYFUNCTION("""COMPUTED_VALUE"""),2.3398096792183596)</f>
        <v>2.339809679</v>
      </c>
      <c r="AA21" s="281">
        <f>IFERROR(__xludf.DUMMYFUNCTION("""COMPUTED_VALUE"""),1.2674534087333724)</f>
        <v>1.267453409</v>
      </c>
      <c r="AB21" s="281">
        <f>IFERROR(__xludf.DUMMYFUNCTION("""COMPUTED_VALUE"""),2.7174126120644333)</f>
        <v>2.717412612</v>
      </c>
      <c r="AC21" s="281">
        <f>IFERROR(__xludf.DUMMYFUNCTION("""COMPUTED_VALUE"""),1.4068669802785894)</f>
        <v>1.40686698</v>
      </c>
      <c r="AD21" s="281">
        <f>IFERROR(__xludf.DUMMYFUNCTION("""COMPUTED_VALUE"""),-0.4371236407912776)</f>
        <v>-0.4371236408</v>
      </c>
      <c r="AE21" s="281">
        <f>IFERROR(__xludf.DUMMYFUNCTION("""COMPUTED_VALUE"""),-0.15852282562441422)</f>
        <v>-0.1585228256</v>
      </c>
      <c r="AF21" s="281">
        <f>IFERROR(__xludf.DUMMYFUNCTION("""COMPUTED_VALUE"""),-0.1000978398738095)</f>
        <v>-0.1000978399</v>
      </c>
      <c r="AG21" s="281">
        <f>IFERROR(__xludf.DUMMYFUNCTION("""COMPUTED_VALUE"""),-0.508694019104073)</f>
        <v>-0.5086940191</v>
      </c>
      <c r="AH21" s="285"/>
      <c r="AI21" s="286"/>
      <c r="AJ21" s="23"/>
      <c r="AK21" s="287" t="s">
        <v>256</v>
      </c>
      <c r="AL21" s="288" t="s">
        <v>257</v>
      </c>
      <c r="AM21" s="289"/>
      <c r="AN21" s="289"/>
      <c r="AO21" s="289"/>
      <c r="AP21" s="289"/>
      <c r="AQ21" s="289"/>
      <c r="AR21" s="289"/>
      <c r="AS21" s="289"/>
      <c r="AT21" s="289"/>
      <c r="AU21" s="289"/>
      <c r="AV21" s="289"/>
      <c r="AW21" s="290"/>
      <c r="AX21" s="291" t="s">
        <v>258</v>
      </c>
      <c r="AY21" s="292" t="s">
        <v>241</v>
      </c>
      <c r="AZ21" s="293"/>
      <c r="BA21" s="294" t="s">
        <v>13</v>
      </c>
      <c r="BB21" s="294" t="s">
        <v>99</v>
      </c>
      <c r="BC21" s="294" t="s">
        <v>101</v>
      </c>
      <c r="BD21" s="294" t="s">
        <v>15</v>
      </c>
      <c r="BE21" s="294" t="s">
        <v>16</v>
      </c>
      <c r="BF21" s="294" t="s">
        <v>17</v>
      </c>
      <c r="BG21" s="294" t="s">
        <v>9</v>
      </c>
      <c r="BH21" s="294" t="s">
        <v>11</v>
      </c>
      <c r="BI21" s="294" t="s">
        <v>18</v>
      </c>
      <c r="BJ21" s="295" t="s">
        <v>4</v>
      </c>
      <c r="BK21" s="295" t="s">
        <v>259</v>
      </c>
      <c r="BL21" s="295" t="s">
        <v>4</v>
      </c>
      <c r="BM21" s="296"/>
      <c r="BN21" s="297"/>
      <c r="BO21" s="297"/>
      <c r="BP21" s="297"/>
      <c r="BQ21" s="297"/>
      <c r="BR21" s="297"/>
      <c r="BS21" s="297"/>
      <c r="BT21" s="297"/>
      <c r="BU21" s="23"/>
      <c r="BV21" s="23"/>
      <c r="BW21" s="23"/>
    </row>
    <row r="22">
      <c r="A22" s="276">
        <f>VLOOKUP($F22,UpdateHashtag!$V$3:$Y$32,COLUMN(B$15),0)</f>
        <v>3</v>
      </c>
      <c r="B22" s="259">
        <f>VLOOKUP($F22,UpdateHashtag!$V$3:$Y$32,COLUMN(C$13),0)</f>
        <v>4</v>
      </c>
      <c r="C22" s="259">
        <f>VLOOKUP($F22,UpdateHashtag!$V$3:$Y$32,COLUMN(D$13),0)</f>
        <v>4</v>
      </c>
      <c r="D22" s="277">
        <f t="shared" si="4"/>
        <v>11</v>
      </c>
      <c r="E22" s="21"/>
      <c r="F22" s="261" t="str">
        <f>VLOOKUP(J22,UpdateBBM!$C$2:E1015,3,0)</f>
        <v>DEN</v>
      </c>
      <c r="G22" s="248">
        <v>3.0</v>
      </c>
      <c r="H22" s="278">
        <f>IFERROR(__xludf.DUMMYFUNCTION("""COMPUTED_VALUE"""),3.0)</f>
        <v>3</v>
      </c>
      <c r="I22" s="278">
        <f>IFERROR(__xludf.DUMMYFUNCTION("""COMPUTED_VALUE"""),2.4)</f>
        <v>2.4</v>
      </c>
      <c r="J22" s="279" t="str">
        <f>IFERROR(__xludf.DUMMYFUNCTION("""COMPUTED_VALUE"""),"Nikola Jokic")</f>
        <v>Nikola Jokic</v>
      </c>
      <c r="K22" s="278">
        <f>IFERROR(__xludf.DUMMYFUNCTION("""COMPUTED_VALUE"""),71.0)</f>
        <v>71</v>
      </c>
      <c r="L22" s="280" t="str">
        <f>IFERROR(__xludf.DUMMYFUNCTION("""COMPUTED_VALUE"""),"C")</f>
        <v>C</v>
      </c>
      <c r="M22" s="281">
        <f>IFERROR(__xludf.DUMMYFUNCTION("""COMPUTED_VALUE"""),10.047144673140297)</f>
        <v>10.04714467</v>
      </c>
      <c r="N22" s="281">
        <f>IFERROR(__xludf.DUMMYFUNCTION("""COMPUTED_VALUE"""),10.047144673140297)</f>
        <v>10.04714467</v>
      </c>
      <c r="O22" s="282">
        <f>IFERROR(__xludf.DUMMYFUNCTION("""COMPUTED_VALUE"""),0.0)</f>
        <v>0</v>
      </c>
      <c r="P22" s="283">
        <f>IFERROR(__xludf.DUMMYFUNCTION("""COMPUTED_VALUE"""),26.7)</f>
        <v>26.7</v>
      </c>
      <c r="Q22" s="283">
        <f>IFERROR(__xludf.DUMMYFUNCTION("""COMPUTED_VALUE"""),1.1)</f>
        <v>1.1</v>
      </c>
      <c r="R22" s="283">
        <f>IFERROR(__xludf.DUMMYFUNCTION("""COMPUTED_VALUE"""),12.1)</f>
        <v>12.1</v>
      </c>
      <c r="S22" s="284">
        <f>IFERROR(__xludf.DUMMYFUNCTION("""COMPUTED_VALUE"""),9.0)</f>
        <v>9</v>
      </c>
      <c r="T22" s="283">
        <f>IFERROR(__xludf.DUMMYFUNCTION("""COMPUTED_VALUE"""),1.4)</f>
        <v>1.4</v>
      </c>
      <c r="U22" s="283">
        <f>IFERROR(__xludf.DUMMYFUNCTION("""COMPUTED_VALUE"""),0.9)</f>
        <v>0.9</v>
      </c>
      <c r="V22" s="280">
        <f>IFERROR(__xludf.DUMMYFUNCTION("""COMPUTED_VALUE"""),0.585)</f>
        <v>0.585</v>
      </c>
      <c r="W22" s="280">
        <f>IFERROR(__xludf.DUMMYFUNCTION("""COMPUTED_VALUE"""),0.819)</f>
        <v>0.819</v>
      </c>
      <c r="X22" s="280">
        <f>IFERROR(__xludf.DUMMYFUNCTION("""COMPUTED_VALUE"""),3.0)</f>
        <v>3</v>
      </c>
      <c r="Y22" s="283">
        <f>IFERROR(__xludf.DUMMYFUNCTION("""COMPUTED_VALUE"""),1.66794350312489)</f>
        <v>1.667943503</v>
      </c>
      <c r="Z22" s="281">
        <f>IFERROR(__xludf.DUMMYFUNCTION("""COMPUTED_VALUE"""),-0.645919291727885)</f>
        <v>-0.6459192917</v>
      </c>
      <c r="AA22" s="281">
        <f>IFERROR(__xludf.DUMMYFUNCTION("""COMPUTED_VALUE"""),2.3657918002325915)</f>
        <v>2.3657918</v>
      </c>
      <c r="AB22" s="281">
        <f>IFERROR(__xludf.DUMMYFUNCTION("""COMPUTED_VALUE"""),2.307356678265237)</f>
        <v>2.307356678</v>
      </c>
      <c r="AC22" s="281">
        <f>IFERROR(__xludf.DUMMYFUNCTION("""COMPUTED_VALUE"""),1.4068669802785894)</f>
        <v>1.40686698</v>
      </c>
      <c r="AD22" s="281">
        <f>IFERROR(__xludf.DUMMYFUNCTION("""COMPUTED_VALUE"""),0.27645116741934783)</f>
        <v>0.2764511674</v>
      </c>
      <c r="AE22" s="281">
        <f>IFERROR(__xludf.DUMMYFUNCTION("""COMPUTED_VALUE"""),1.8383090470084225)</f>
        <v>1.838309047</v>
      </c>
      <c r="AF22" s="281">
        <f>IFERROR(__xludf.DUMMYFUNCTION("""COMPUTED_VALUE"""),0.4947338081073987)</f>
        <v>0.4947338081</v>
      </c>
      <c r="AG22" s="281">
        <f>IFERROR(__xludf.DUMMYFUNCTION("""COMPUTED_VALUE"""),-0.31030831129617975)</f>
        <v>-0.3103083113</v>
      </c>
      <c r="AH22" s="285"/>
      <c r="AI22" s="298"/>
      <c r="AJ22" s="23"/>
      <c r="AK22" s="299">
        <v>100.0</v>
      </c>
      <c r="AL22" s="300" t="str">
        <f t="array" ref="AL22">if(AL$20=$J3,"-", countif(indirect(address(row($J$2)+ VLOOKUP(AL$20,$J$3:$J$14,1),COLUMN($K$4))):indirect(address(row($J$2)+ VLOOKUP(AL$20,$J$3:$J$14,1),COLUMN($S$2)))&gt;indirect(address(row($J3),COLUMN($K$2))):indirect(address(row($J3),COLUMN($S$2))),TRUE()))</f>
        <v>-</v>
      </c>
      <c r="AM22" s="301">
        <f t="array" ref="AM22">if(AM$20=$J3,"-", countif(indirect(address(row($J$2)+ VLOOKUP(AM$20,$J$3:$J$14,1),COLUMN($K$4))):indirect(address(row($J$2)+ VLOOKUP(AM$20,$J$3:$J$14,1),COLUMN($S$2)))&gt;indirect(address(row($J3),COLUMN($K$2))):indirect(address(row($J3),COLUMN($S$2))),TRUE()))</f>
        <v>3</v>
      </c>
      <c r="AN22" s="301">
        <f t="array" ref="AN22">if(AN$20=$J3,"-", countif(indirect(address(row($J$2)+ VLOOKUP(AN$20,$J$3:$J$14,1),COLUMN($K$4))):indirect(address(row($J$2)+ VLOOKUP(AN$20,$J$3:$J$14,1),COLUMN($S$2)))&gt;indirect(address(row($J3),COLUMN($K$2))):indirect(address(row($J3),COLUMN($S$2))),TRUE()))</f>
        <v>2</v>
      </c>
      <c r="AO22" s="301">
        <f t="array" ref="AO22">if(AO$20=$J3,"-", countif(indirect(address(row($J$2)+ VLOOKUP(AO$20,$J$3:$J$14,1),COLUMN($K$4))):indirect(address(row($J$2)+ VLOOKUP(AO$20,$J$3:$J$14,1),COLUMN($S$2)))&gt;indirect(address(row($J3),COLUMN($K$2))):indirect(address(row($J3),COLUMN($S$2))),TRUE()))</f>
        <v>7</v>
      </c>
      <c r="AP22" s="301">
        <f t="array" ref="AP22">if(AP$20=$J3,"-", countif(indirect(address(row($J$2)+ VLOOKUP(AP$20,$J$3:$J$14,1),COLUMN($K$4))):indirect(address(row($J$2)+ VLOOKUP(AP$20,$J$3:$J$14,1),COLUMN($S$2)))&gt;indirect(address(row($J3),COLUMN($K$2))):indirect(address(row($J3),COLUMN($S$2))),TRUE()))</f>
        <v>2</v>
      </c>
      <c r="AQ22" s="301">
        <f t="array" ref="AQ22">if(AQ$20=$J3,"-", countif(indirect(address(row($J$2)+ VLOOKUP(AQ$20,$J$3:$J$14,1),COLUMN($K$4))):indirect(address(row($J$2)+ VLOOKUP(AQ$20,$J$3:$J$14,1),COLUMN($S$2)))&gt;indirect(address(row($J3),COLUMN($K$2))):indirect(address(row($J3),COLUMN($S$2))),TRUE()))</f>
        <v>2</v>
      </c>
      <c r="AR22" s="301">
        <f t="array" ref="AR22">if(AR$20=$J3,"-", countif(indirect(address(row($J$2)+ VLOOKUP(AR$20,$J$3:$J$14,1),COLUMN($K$4))):indirect(address(row($J$2)+ VLOOKUP(AR$20,$J$3:$J$14,1),COLUMN($S$2)))&gt;indirect(address(row($J3),COLUMN($K$2))):indirect(address(row($J3),COLUMN($S$2))),TRUE()))</f>
        <v>6</v>
      </c>
      <c r="AS22" s="301">
        <f t="array" ref="AS22">if(AS$20=$J3,"-", countif(indirect(address(row($J$2)+ VLOOKUP(AS$20,$J$3:$J$14,1),COLUMN($K$4))):indirect(address(row($J$2)+ VLOOKUP(AS$20,$J$3:$J$14,1),COLUMN($S$2)))&gt;indirect(address(row($J3),COLUMN($K$2))):indirect(address(row($J3),COLUMN($S$2))),TRUE()))</f>
        <v>7</v>
      </c>
      <c r="AT22" s="301">
        <f t="array" ref="AT22">if(AT$20=$J3,"-", countif(indirect(address(row($J$2)+ VLOOKUP(AT$20,$J$3:$J$14,1),COLUMN($K$4))):indirect(address(row($J$2)+ VLOOKUP(AT$20,$J$3:$J$14,1),COLUMN($S$2)))&gt;indirect(address(row($J3),COLUMN($K$2))):indirect(address(row($J3),COLUMN($S$2))),TRUE()))</f>
        <v>2</v>
      </c>
      <c r="AU22" s="301">
        <f t="array" ref="AU22">if(AU$20=$J3,"-", countif(indirect(address(row($J$2)+ VLOOKUP(AU$20,$J$3:$J$14,1),COLUMN($K$4))):indirect(address(row($J$2)+ VLOOKUP(AU$20,$J$3:$J$14,1),COLUMN($S$2)))&gt;indirect(address(row($J3),COLUMN($K$2))):indirect(address(row($J3),COLUMN($S$2))),TRUE()))</f>
        <v>7</v>
      </c>
      <c r="AV22" s="301">
        <f t="array" ref="AV22">if(AV$20=$J3,"-", countif(indirect(address(row($J$2)+ VLOOKUP(AV$20,$J$3:$J$14,1),COLUMN($K$4))):indirect(address(row($J$2)+ VLOOKUP(AV$20,$J$3:$J$14,1),COLUMN($S$2)))&gt;indirect(address(row($J3),COLUMN($K$2))):indirect(address(row($J3),COLUMN($S$2))),TRUE()))</f>
        <v>3</v>
      </c>
      <c r="AW22" s="302">
        <f t="array" ref="AW22">if(AW$20=$J3,"-", countif(indirect(address(row($J$2)+ VLOOKUP(AW$20,$J$3:$J$14,1),COLUMN($K$4))):indirect(address(row($J$2)+ VLOOKUP(AW$20,$J$3:$J$14,1),COLUMN($S$2)))&gt;indirect(address(row($J3),COLUMN($K$2))):indirect(address(row($J3),COLUMN($S$2))),TRUE()))</f>
        <v>1</v>
      </c>
      <c r="AX22" s="303">
        <v>1.0</v>
      </c>
      <c r="AY22" s="304" t="str">
        <f t="array" ref="AY22">INDIRECT("Draft!D"&amp;TEXT(VLOOKUP(TRUE,I3:J14,2,0)+2,"0"))</f>
        <v>Luka Doncic</v>
      </c>
      <c r="AZ22" s="305"/>
      <c r="BA22" s="306">
        <f>IF($AY22="","", VLOOKUP($AY22,'Final Update'!$P$21:$AD1015,Column(G1),False))</f>
        <v>34.4</v>
      </c>
      <c r="BB22" s="306">
        <f>IF($AY22="","", VLOOKUP($AY22,'Final Update'!$P$21:$AD1015,Column(H1),False))</f>
        <v>4.1</v>
      </c>
      <c r="BC22" s="306">
        <f>IF($AY22="","", VLOOKUP($AY22,'Final Update'!$P$21:$AD1015,Column(I1),False))</f>
        <v>9.3</v>
      </c>
      <c r="BD22" s="306">
        <f>IF($AY22="","", VLOOKUP($AY22,'Final Update'!$P$21:$AD1015,Column(J1),False))</f>
        <v>9.9</v>
      </c>
      <c r="BE22" s="306">
        <f>IF($AY22="","", VLOOKUP($AY22,'Final Update'!$P$21:$AD1015,Column(K1),False))</f>
        <v>1.4</v>
      </c>
      <c r="BF22" s="306">
        <f>IF($AY22="","", VLOOKUP($AY22,'Final Update'!$P$21:$AD1015,Column(L1),False))</f>
        <v>0.5</v>
      </c>
      <c r="BG22" s="307">
        <f>IF($AY22="","", VLOOKUP($AY22,'Final Update'!$P$21:$AD1015,Column(M1),False))</f>
        <v>0.491</v>
      </c>
      <c r="BH22" s="307">
        <f>IF($AY22="","", VLOOKUP($AY22,'Final Update'!$P$21:$AD1015,Column(N1),False))</f>
        <v>0.792</v>
      </c>
      <c r="BI22" s="307">
        <f>IF($AY22="","", VLOOKUP($AY22,'Final Update'!$P$21:$AD1015,Column(O1),False))</f>
        <v>3.8</v>
      </c>
      <c r="BJ22" s="306" t="str">
        <f>IF($AY22="","", VLOOKUP($AY22,'Final Update'!$P$21:$AD1015,Column(C1),False))</f>
        <v>PG,SG</v>
      </c>
      <c r="BK22" s="308">
        <f t="array" ref="BK22">COUNTIF(FIND(BL22,$BJ$22:$BJ$33),"&gt;0")</f>
        <v>6</v>
      </c>
      <c r="BL22" s="309" t="s">
        <v>85</v>
      </c>
      <c r="BM22" s="296"/>
      <c r="BN22" s="297"/>
      <c r="BO22" s="297"/>
      <c r="BP22" s="297"/>
      <c r="BQ22" s="297"/>
      <c r="BR22" s="297"/>
      <c r="BS22" s="297"/>
      <c r="BT22" s="297"/>
      <c r="BU22" s="23"/>
      <c r="BV22" s="23"/>
      <c r="BW22" s="23"/>
    </row>
    <row r="23">
      <c r="A23" s="276">
        <f>VLOOKUP($F23,UpdateHashtag!$V$3:$Y$32,COLUMN(B$15),0)</f>
        <v>4</v>
      </c>
      <c r="B23" s="259">
        <f>VLOOKUP($F23,UpdateHashtag!$V$3:$Y$32,COLUMN(C$13),0)</f>
        <v>4</v>
      </c>
      <c r="C23" s="259">
        <f>VLOOKUP($F23,UpdateHashtag!$V$3:$Y$32,COLUMN(D$13),0)</f>
        <v>3</v>
      </c>
      <c r="D23" s="277">
        <f t="shared" si="4"/>
        <v>11</v>
      </c>
      <c r="E23" s="21"/>
      <c r="F23" s="261" t="str">
        <f>VLOOKUP(J23,UpdateBBM!$C$2:E1015,3,0)</f>
        <v>OKC</v>
      </c>
      <c r="G23" s="248">
        <v>4.0</v>
      </c>
      <c r="H23" s="278">
        <f>IFERROR(__xludf.DUMMYFUNCTION("""COMPUTED_VALUE"""),4.0)</f>
        <v>4</v>
      </c>
      <c r="I23" s="278">
        <f>IFERROR(__xludf.DUMMYFUNCTION("""COMPUTED_VALUE"""),4.5)</f>
        <v>4.5</v>
      </c>
      <c r="J23" s="279" t="str">
        <f>IFERROR(__xludf.DUMMYFUNCTION("""COMPUTED_VALUE"""),"Shai Gilgeous-Alexander")</f>
        <v>Shai Gilgeous-Alexander</v>
      </c>
      <c r="K23" s="278">
        <f>IFERROR(__xludf.DUMMYFUNCTION("""COMPUTED_VALUE"""),71.0)</f>
        <v>71</v>
      </c>
      <c r="L23" s="280" t="str">
        <f>IFERROR(__xludf.DUMMYFUNCTION("""COMPUTED_VALUE"""),"PG")</f>
        <v>PG</v>
      </c>
      <c r="M23" s="281">
        <f>IFERROR(__xludf.DUMMYFUNCTION("""COMPUTED_VALUE"""),9.640422694612987)</f>
        <v>9.640422695</v>
      </c>
      <c r="N23" s="281">
        <f>IFERROR(__xludf.DUMMYFUNCTION("""COMPUTED_VALUE"""),9.640422694612987)</f>
        <v>9.640422695</v>
      </c>
      <c r="O23" s="282">
        <f>IFERROR(__xludf.DUMMYFUNCTION("""COMPUTED_VALUE"""),0.0)</f>
        <v>0</v>
      </c>
      <c r="P23" s="283">
        <f>IFERROR(__xludf.DUMMYFUNCTION("""COMPUTED_VALUE"""),29.9)</f>
        <v>29.9</v>
      </c>
      <c r="Q23" s="283">
        <f>IFERROR(__xludf.DUMMYFUNCTION("""COMPUTED_VALUE"""),1.4)</f>
        <v>1.4</v>
      </c>
      <c r="R23" s="283">
        <f>IFERROR(__xludf.DUMMYFUNCTION("""COMPUTED_VALUE"""),5.1)</f>
        <v>5.1</v>
      </c>
      <c r="S23" s="284">
        <f>IFERROR(__xludf.DUMMYFUNCTION("""COMPUTED_VALUE"""),6.5)</f>
        <v>6.5</v>
      </c>
      <c r="T23" s="283">
        <f>IFERROR(__xludf.DUMMYFUNCTION("""COMPUTED_VALUE"""),1.9)</f>
        <v>1.9</v>
      </c>
      <c r="U23" s="283">
        <f>IFERROR(__xludf.DUMMYFUNCTION("""COMPUTED_VALUE"""),0.9)</f>
        <v>0.9</v>
      </c>
      <c r="V23" s="280">
        <f>IFERROR(__xludf.DUMMYFUNCTION("""COMPUTED_VALUE"""),0.524)</f>
        <v>0.524</v>
      </c>
      <c r="W23" s="280">
        <f>IFERROR(__xludf.DUMMYFUNCTION("""COMPUTED_VALUE"""),0.88)</f>
        <v>0.88</v>
      </c>
      <c r="X23" s="280">
        <f>IFERROR(__xludf.DUMMYFUNCTION("""COMPUTED_VALUE"""),2.4)</f>
        <v>2.4</v>
      </c>
      <c r="Y23" s="283">
        <f>IFERROR(__xludf.DUMMYFUNCTION("""COMPUTED_VALUE"""),2.2460171659494095)</f>
        <v>2.246017166</v>
      </c>
      <c r="Z23" s="281">
        <f>IFERROR(__xludf.DUMMYFUNCTION("""COMPUTED_VALUE"""),-0.34734639463326067)</f>
        <v>-0.3473463946</v>
      </c>
      <c r="AA23" s="281">
        <f>IFERROR(__xludf.DUMMYFUNCTION("""COMPUTED_VALUE"""),-0.38005417851545714)</f>
        <v>-0.3800541785</v>
      </c>
      <c r="AB23" s="281">
        <f>IFERROR(__xludf.DUMMYFUNCTION("""COMPUTED_VALUE"""),1.1683124177119129)</f>
        <v>1.168312418</v>
      </c>
      <c r="AC23" s="281">
        <f>IFERROR(__xludf.DUMMYFUNCTION("""COMPUTED_VALUE"""),3.066530371075986)</f>
        <v>3.066530371</v>
      </c>
      <c r="AD23" s="281">
        <f>IFERROR(__xludf.DUMMYFUNCTION("""COMPUTED_VALUE"""),0.27645116741934783)</f>
        <v>0.2764511674</v>
      </c>
      <c r="AE23" s="281">
        <f>IFERROR(__xludf.DUMMYFUNCTION("""COMPUTED_VALUE"""),0.6197828012717082)</f>
        <v>0.6197828013</v>
      </c>
      <c r="AF23" s="281">
        <f>IFERROR(__xludf.DUMMYFUNCTION("""COMPUTED_VALUE"""),2.772194196258142)</f>
        <v>2.772194196</v>
      </c>
      <c r="AG23" s="281">
        <f>IFERROR(__xludf.DUMMYFUNCTION("""COMPUTED_VALUE"""),-0.1615190304402598)</f>
        <v>-0.1615190304</v>
      </c>
      <c r="AH23" s="285"/>
      <c r="AI23" s="298"/>
      <c r="AJ23" s="23"/>
      <c r="AK23" s="299">
        <v>100.0</v>
      </c>
      <c r="AL23" s="300">
        <f t="array" ref="AL23">if(AL$20=$J4,"-", countif(indirect(address(row($J$2)+ VLOOKUP(AL$20,$J$3:$J$14,1),COLUMN($K$4))):indirect(address(row($J$2)+ VLOOKUP(AL$20,$J$3:$J$14,1),COLUMN($S$2)))&gt;indirect(address(row($J4),COLUMN($K$2))):indirect(address(row($J4),COLUMN($S$2))),TRUE()))</f>
        <v>6</v>
      </c>
      <c r="AM23" s="301" t="str">
        <f t="array" ref="AM23">if(AM$20=$J4,"-", countif(indirect(address(row($J$2)+ VLOOKUP(AM$20,$J$3:$J$14,1),COLUMN($K$4))):indirect(address(row($J$2)+ VLOOKUP(AM$20,$J$3:$J$14,1),COLUMN($S$2)))&gt;indirect(address(row($J4),COLUMN($K$2))):indirect(address(row($J4),COLUMN($S$2))),TRUE()))</f>
        <v>-</v>
      </c>
      <c r="AN23" s="301">
        <f t="array" ref="AN23">if(AN$20=$J4,"-", countif(indirect(address(row($J$2)+ VLOOKUP(AN$20,$J$3:$J$14,1),COLUMN($K$4))):indirect(address(row($J$2)+ VLOOKUP(AN$20,$J$3:$J$14,1),COLUMN($S$2)))&gt;indirect(address(row($J4),COLUMN($K$2))):indirect(address(row($J4),COLUMN($S$2))),TRUE()))</f>
        <v>1</v>
      </c>
      <c r="AO23" s="301">
        <f t="array" ref="AO23">if(AO$20=$J4,"-", countif(indirect(address(row($J$2)+ VLOOKUP(AO$20,$J$3:$J$14,1),COLUMN($K$4))):indirect(address(row($J$2)+ VLOOKUP(AO$20,$J$3:$J$14,1),COLUMN($S$2)))&gt;indirect(address(row($J4),COLUMN($K$2))):indirect(address(row($J4),COLUMN($S$2))),TRUE()))</f>
        <v>6</v>
      </c>
      <c r="AP23" s="301">
        <f t="array" ref="AP23">if(AP$20=$J4,"-", countif(indirect(address(row($J$2)+ VLOOKUP(AP$20,$J$3:$J$14,1),COLUMN($K$4))):indirect(address(row($J$2)+ VLOOKUP(AP$20,$J$3:$J$14,1),COLUMN($S$2)))&gt;indirect(address(row($J4),COLUMN($K$2))):indirect(address(row($J4),COLUMN($S$2))),TRUE()))</f>
        <v>1</v>
      </c>
      <c r="AQ23" s="301">
        <f t="array" ref="AQ23">if(AQ$20=$J4,"-", countif(indirect(address(row($J$2)+ VLOOKUP(AQ$20,$J$3:$J$14,1),COLUMN($K$4))):indirect(address(row($J$2)+ VLOOKUP(AQ$20,$J$3:$J$14,1),COLUMN($S$2)))&gt;indirect(address(row($J4),COLUMN($K$2))):indirect(address(row($J4),COLUMN($S$2))),TRUE()))</f>
        <v>0</v>
      </c>
      <c r="AR23" s="301">
        <f t="array" ref="AR23">if(AR$20=$J4,"-", countif(indirect(address(row($J$2)+ VLOOKUP(AR$20,$J$3:$J$14,1),COLUMN($K$4))):indirect(address(row($J$2)+ VLOOKUP(AR$20,$J$3:$J$14,1),COLUMN($S$2)))&gt;indirect(address(row($J4),COLUMN($K$2))):indirect(address(row($J4),COLUMN($S$2))),TRUE()))</f>
        <v>6</v>
      </c>
      <c r="AS23" s="301">
        <f t="array" ref="AS23">if(AS$20=$J4,"-", countif(indirect(address(row($J$2)+ VLOOKUP(AS$20,$J$3:$J$14,1),COLUMN($K$4))):indirect(address(row($J$2)+ VLOOKUP(AS$20,$J$3:$J$14,1),COLUMN($S$2)))&gt;indirect(address(row($J4),COLUMN($K$2))):indirect(address(row($J4),COLUMN($S$2))),TRUE()))</f>
        <v>7</v>
      </c>
      <c r="AT23" s="301">
        <f t="array" ref="AT23">if(AT$20=$J4,"-", countif(indirect(address(row($J$2)+ VLOOKUP(AT$20,$J$3:$J$14,1),COLUMN($K$4))):indirect(address(row($J$2)+ VLOOKUP(AT$20,$J$3:$J$14,1),COLUMN($S$2)))&gt;indirect(address(row($J4),COLUMN($K$2))):indirect(address(row($J4),COLUMN($S$2))),TRUE()))</f>
        <v>1</v>
      </c>
      <c r="AU23" s="301">
        <f t="array" ref="AU23">if(AU$20=$J4,"-", countif(indirect(address(row($J$2)+ VLOOKUP(AU$20,$J$3:$J$14,1),COLUMN($K$4))):indirect(address(row($J$2)+ VLOOKUP(AU$20,$J$3:$J$14,1),COLUMN($S$2)))&gt;indirect(address(row($J4),COLUMN($K$2))):indirect(address(row($J4),COLUMN($S$2))),TRUE()))</f>
        <v>7</v>
      </c>
      <c r="AV23" s="301">
        <f t="array" ref="AV23">if(AV$20=$J4,"-", countif(indirect(address(row($J$2)+ VLOOKUP(AV$20,$J$3:$J$14,1),COLUMN($K$4))):indirect(address(row($J$2)+ VLOOKUP(AV$20,$J$3:$J$14,1),COLUMN($S$2)))&gt;indirect(address(row($J4),COLUMN($K$2))):indirect(address(row($J4),COLUMN($S$2))),TRUE()))</f>
        <v>1</v>
      </c>
      <c r="AW23" s="302">
        <f t="array" ref="AW23">if(AW$20=$J4,"-", countif(indirect(address(row($J$2)+ VLOOKUP(AW$20,$J$3:$J$14,1),COLUMN($K$4))):indirect(address(row($J$2)+ VLOOKUP(AW$20,$J$3:$J$14,1),COLUMN($S$2)))&gt;indirect(address(row($J4),COLUMN($K$2))):indirect(address(row($J4),COLUMN($S$2))),TRUE()))</f>
        <v>6</v>
      </c>
      <c r="AX23" s="303">
        <v>2.0</v>
      </c>
      <c r="AY23" s="304" t="str">
        <f t="array" ref="AY23">INDIRECT("Draft!E"&amp;TEXT(15-VLOOKUP(TRUE,I3:J14,2,0),"0"))</f>
        <v>Josh Giddey</v>
      </c>
      <c r="AZ23" s="305"/>
      <c r="BA23" s="306">
        <f>IF($AY23="","", VLOOKUP($AY23,'Final Update'!$P$21:$AD1015,Column(G2),False))</f>
        <v>16.1</v>
      </c>
      <c r="BB23" s="306">
        <f>IF($AY23="","", VLOOKUP($AY23,'Final Update'!$P$21:$AD1015,Column(H2),False))</f>
        <v>1.1</v>
      </c>
      <c r="BC23" s="306">
        <f>IF($AY23="","", VLOOKUP($AY23,'Final Update'!$P$21:$AD1015,Column(I2),False))</f>
        <v>7.4</v>
      </c>
      <c r="BD23" s="306">
        <f>IF($AY23="","", VLOOKUP($AY23,'Final Update'!$P$21:$AD1015,Column(J2),False))</f>
        <v>6.1</v>
      </c>
      <c r="BE23" s="306">
        <f>IF($AY23="","", VLOOKUP($AY23,'Final Update'!$P$21:$AD1015,Column(K2),False))</f>
        <v>0.8</v>
      </c>
      <c r="BF23" s="306">
        <f>IF($AY23="","", VLOOKUP($AY23,'Final Update'!$P$21:$AD1015,Column(L2),False))</f>
        <v>0.5</v>
      </c>
      <c r="BG23" s="307">
        <f>IF($AY23="","", VLOOKUP($AY23,'Final Update'!$P$21:$AD1015,Column(M2),False))</f>
        <v>0.479</v>
      </c>
      <c r="BH23" s="307">
        <f>IF($AY23="","", VLOOKUP($AY23,'Final Update'!$P$21:$AD1015,Column(N2),False))</f>
        <v>0.795</v>
      </c>
      <c r="BI23" s="307">
        <f>IF($AY23="","", VLOOKUP($AY23,'Final Update'!$P$21:$AD1015,Column(O2),False))</f>
        <v>2.7</v>
      </c>
      <c r="BJ23" s="306" t="str">
        <f>IF($AY23="","", VLOOKUP($AY23,'Final Update'!$P$21:$AD1015,Column(C2),False))</f>
        <v>SG,SF</v>
      </c>
      <c r="BK23" s="308">
        <f t="array" ref="BK23">COUNTIF(FIND(BL23,$BJ$22:$BJ$33),"&gt;0")</f>
        <v>6</v>
      </c>
      <c r="BL23" s="309" t="s">
        <v>88</v>
      </c>
      <c r="BM23" s="296"/>
      <c r="BN23" s="297"/>
      <c r="BO23" s="297"/>
      <c r="BP23" s="297"/>
      <c r="BQ23" s="297"/>
      <c r="BR23" s="297"/>
      <c r="BS23" s="297"/>
      <c r="BT23" s="297"/>
      <c r="BU23" s="23"/>
      <c r="BV23" s="23"/>
      <c r="BW23" s="23"/>
    </row>
    <row r="24">
      <c r="A24" s="276">
        <f>VLOOKUP($F24,UpdateHashtag!$V$3:$Y$32,COLUMN(B$15),0)</f>
        <v>4</v>
      </c>
      <c r="B24" s="259">
        <f>VLOOKUP($F24,UpdateHashtag!$V$3:$Y$32,COLUMN(C$13),0)</f>
        <v>4</v>
      </c>
      <c r="C24" s="259">
        <f>VLOOKUP($F24,UpdateHashtag!$V$3:$Y$32,COLUMN(D$13),0)</f>
        <v>2</v>
      </c>
      <c r="D24" s="277">
        <f t="shared" si="4"/>
        <v>10</v>
      </c>
      <c r="E24" s="21"/>
      <c r="F24" s="261" t="str">
        <f>VLOOKUP(J24,UpdateBBM!$C$2:E1015,3,0)</f>
        <v>DAL</v>
      </c>
      <c r="G24" s="248">
        <v>5.0</v>
      </c>
      <c r="H24" s="278">
        <f>IFERROR(__xludf.DUMMYFUNCTION("""COMPUTED_VALUE"""),5.0)</f>
        <v>5</v>
      </c>
      <c r="I24" s="278">
        <f>IFERROR(__xludf.DUMMYFUNCTION("""COMPUTED_VALUE"""),7.4)</f>
        <v>7.4</v>
      </c>
      <c r="J24" s="279" t="str">
        <f>IFERROR(__xludf.DUMMYFUNCTION("""COMPUTED_VALUE"""),"Anthony Davis")</f>
        <v>Anthony Davis</v>
      </c>
      <c r="K24" s="278">
        <f>IFERROR(__xludf.DUMMYFUNCTION("""COMPUTED_VALUE"""),58.0)</f>
        <v>58</v>
      </c>
      <c r="L24" s="280" t="str">
        <f>IFERROR(__xludf.DUMMYFUNCTION("""COMPUTED_VALUE"""),"PF,C")</f>
        <v>PF,C</v>
      </c>
      <c r="M24" s="281">
        <f>IFERROR(__xludf.DUMMYFUNCTION("""COMPUTED_VALUE"""),8.69583899859487)</f>
        <v>8.695838999</v>
      </c>
      <c r="N24" s="281">
        <f>IFERROR(__xludf.DUMMYFUNCTION("""COMPUTED_VALUE"""),8.69583899859487)</f>
        <v>8.695838999</v>
      </c>
      <c r="O24" s="282">
        <f>IFERROR(__xludf.DUMMYFUNCTION("""COMPUTED_VALUE"""),0.0)</f>
        <v>0</v>
      </c>
      <c r="P24" s="283">
        <f>IFERROR(__xludf.DUMMYFUNCTION("""COMPUTED_VALUE"""),25.2)</f>
        <v>25.2</v>
      </c>
      <c r="Q24" s="283">
        <f>IFERROR(__xludf.DUMMYFUNCTION("""COMPUTED_VALUE"""),0.4)</f>
        <v>0.4</v>
      </c>
      <c r="R24" s="283">
        <f>IFERROR(__xludf.DUMMYFUNCTION("""COMPUTED_VALUE"""),12.7)</f>
        <v>12.7</v>
      </c>
      <c r="S24" s="284">
        <f>IFERROR(__xludf.DUMMYFUNCTION("""COMPUTED_VALUE"""),3.6)</f>
        <v>3.6</v>
      </c>
      <c r="T24" s="283">
        <f>IFERROR(__xludf.DUMMYFUNCTION("""COMPUTED_VALUE"""),1.2)</f>
        <v>1.2</v>
      </c>
      <c r="U24" s="283">
        <f>IFERROR(__xludf.DUMMYFUNCTION("""COMPUTED_VALUE"""),2.3)</f>
        <v>2.3</v>
      </c>
      <c r="V24" s="280">
        <f>IFERROR(__xludf.DUMMYFUNCTION("""COMPUTED_VALUE"""),0.559)</f>
        <v>0.559</v>
      </c>
      <c r="W24" s="280">
        <f>IFERROR(__xludf.DUMMYFUNCTION("""COMPUTED_VALUE"""),0.802)</f>
        <v>0.802</v>
      </c>
      <c r="X24" s="280">
        <f>IFERROR(__xludf.DUMMYFUNCTION("""COMPUTED_VALUE"""),2.1)</f>
        <v>2.1</v>
      </c>
      <c r="Y24" s="283">
        <f>IFERROR(__xludf.DUMMYFUNCTION("""COMPUTED_VALUE"""),1.3969714736758965)</f>
        <v>1.396971474</v>
      </c>
      <c r="Z24" s="281">
        <f>IFERROR(__xludf.DUMMYFUNCTION("""COMPUTED_VALUE"""),-1.3425893849486756)</f>
        <v>-1.342589385</v>
      </c>
      <c r="AA24" s="281">
        <f>IFERROR(__xludf.DUMMYFUNCTION("""COMPUTED_VALUE"""),2.6011500269824244)</f>
        <v>2.601150027</v>
      </c>
      <c r="AB24" s="281">
        <f>IFERROR(__xludf.DUMMYFUNCTION("""COMPUTED_VALUE"""),-0.1529789245299426)</f>
        <v>-0.1529789245</v>
      </c>
      <c r="AC24" s="281">
        <f>IFERROR(__xludf.DUMMYFUNCTION("""COMPUTED_VALUE"""),0.7430016239596308)</f>
        <v>0.743001624</v>
      </c>
      <c r="AD24" s="281">
        <f>IFERROR(__xludf.DUMMYFUNCTION("""COMPUTED_VALUE"""),2.7739629961565364)</f>
        <v>2.773962996</v>
      </c>
      <c r="AE24" s="281">
        <f>IFERROR(__xludf.DUMMYFUNCTION("""COMPUTED_VALUE"""),1.2376640116563253)</f>
        <v>1.237664012</v>
      </c>
      <c r="AF24" s="281">
        <f>IFERROR(__xludf.DUMMYFUNCTION("""COMPUTED_VALUE"""),0.18319218070629753)</f>
        <v>0.1831921807</v>
      </c>
      <c r="AG24" s="281">
        <f>IFERROR(__xludf.DUMMYFUNCTION("""COMPUTED_VALUE"""),-0.08712439001229988)</f>
        <v>-0.08712439001</v>
      </c>
      <c r="AH24" s="285"/>
      <c r="AI24" s="298"/>
      <c r="AJ24" s="23"/>
      <c r="AK24" s="299">
        <v>100.0</v>
      </c>
      <c r="AL24" s="300">
        <f t="array" ref="AL24">if(AL$20=$J5,"-", countif(indirect(address(row($J$2)+ VLOOKUP(AL$20,$J$3:$J$14,1),COLUMN($K$4))):indirect(address(row($J$2)+ VLOOKUP(AL$20,$J$3:$J$14,1),COLUMN($S$2)))&gt;indirect(address(row($J5),COLUMN($K$2))):indirect(address(row($J5),COLUMN($S$2))),TRUE()))</f>
        <v>7</v>
      </c>
      <c r="AM24" s="301">
        <f t="array" ref="AM24">if(AM$20=$J5,"-", countif(indirect(address(row($J$2)+ VLOOKUP(AM$20,$J$3:$J$14,1),COLUMN($K$4))):indirect(address(row($J$2)+ VLOOKUP(AM$20,$J$3:$J$14,1),COLUMN($S$2)))&gt;indirect(address(row($J5),COLUMN($K$2))):indirect(address(row($J5),COLUMN($S$2))),TRUE()))</f>
        <v>1</v>
      </c>
      <c r="AN24" s="301" t="str">
        <f t="array" ref="AN24">if(AN$20=$J5,"-", countif(indirect(address(row($J$2)+ VLOOKUP(AN$20,$J$3:$J$14,1),COLUMN($K$4))):indirect(address(row($J$2)+ VLOOKUP(AN$20,$J$3:$J$14,1),COLUMN($S$2)))&gt;indirect(address(row($J5),COLUMN($K$2))):indirect(address(row($J5),COLUMN($S$2))),TRUE()))</f>
        <v>-</v>
      </c>
      <c r="AO24" s="301">
        <f t="array" ref="AO24">if(AO$20=$J5,"-", countif(indirect(address(row($J$2)+ VLOOKUP(AO$20,$J$3:$J$14,1),COLUMN($K$4))):indirect(address(row($J$2)+ VLOOKUP(AO$20,$J$3:$J$14,1),COLUMN($S$2)))&gt;indirect(address(row($J5),COLUMN($K$2))):indirect(address(row($J5),COLUMN($S$2))),TRUE()))</f>
        <v>7</v>
      </c>
      <c r="AP24" s="301">
        <f t="array" ref="AP24">if(AP$20=$J5,"-", countif(indirect(address(row($J$2)+ VLOOKUP(AP$20,$J$3:$J$14,1),COLUMN($K$4))):indirect(address(row($J$2)+ VLOOKUP(AP$20,$J$3:$J$14,1),COLUMN($S$2)))&gt;indirect(address(row($J5),COLUMN($K$2))):indirect(address(row($J5),COLUMN($S$2))),TRUE()))</f>
        <v>1</v>
      </c>
      <c r="AQ24" s="301">
        <f t="array" ref="AQ24">if(AQ$20=$J5,"-", countif(indirect(address(row($J$2)+ VLOOKUP(AQ$20,$J$3:$J$14,1),COLUMN($K$4))):indirect(address(row($J$2)+ VLOOKUP(AQ$20,$J$3:$J$14,1),COLUMN($S$2)))&gt;indirect(address(row($J5),COLUMN($K$2))):indirect(address(row($J5),COLUMN($S$2))),TRUE()))</f>
        <v>0</v>
      </c>
      <c r="AR24" s="301">
        <f t="array" ref="AR24">if(AR$20=$J5,"-", countif(indirect(address(row($J$2)+ VLOOKUP(AR$20,$J$3:$J$14,1),COLUMN($K$4))):indirect(address(row($J$2)+ VLOOKUP(AR$20,$J$3:$J$14,1),COLUMN($S$2)))&gt;indirect(address(row($J5),COLUMN($K$2))):indirect(address(row($J5),COLUMN($S$2))),TRUE()))</f>
        <v>6</v>
      </c>
      <c r="AS24" s="301">
        <f t="array" ref="AS24">if(AS$20=$J5,"-", countif(indirect(address(row($J$2)+ VLOOKUP(AS$20,$J$3:$J$14,1),COLUMN($K$4))):indirect(address(row($J$2)+ VLOOKUP(AS$20,$J$3:$J$14,1),COLUMN($S$2)))&gt;indirect(address(row($J5),COLUMN($K$2))):indirect(address(row($J5),COLUMN($S$2))),TRUE()))</f>
        <v>6</v>
      </c>
      <c r="AT24" s="301">
        <f t="array" ref="AT24">if(AT$20=$J5,"-", countif(indirect(address(row($J$2)+ VLOOKUP(AT$20,$J$3:$J$14,1),COLUMN($K$4))):indirect(address(row($J$2)+ VLOOKUP(AT$20,$J$3:$J$14,1),COLUMN($S$2)))&gt;indirect(address(row($J5),COLUMN($K$2))):indirect(address(row($J5),COLUMN($S$2))),TRUE()))</f>
        <v>0</v>
      </c>
      <c r="AU24" s="301">
        <f t="array" ref="AU24">if(AU$20=$J5,"-", countif(indirect(address(row($J$2)+ VLOOKUP(AU$20,$J$3:$J$14,1),COLUMN($K$4))):indirect(address(row($J$2)+ VLOOKUP(AU$20,$J$3:$J$14,1),COLUMN($S$2)))&gt;indirect(address(row($J5),COLUMN($K$2))):indirect(address(row($J5),COLUMN($S$2))),TRUE()))</f>
        <v>6</v>
      </c>
      <c r="AV24" s="301">
        <f t="array" ref="AV24">if(AV$20=$J5,"-", countif(indirect(address(row($J$2)+ VLOOKUP(AV$20,$J$3:$J$14,1),COLUMN($K$4))):indirect(address(row($J$2)+ VLOOKUP(AV$20,$J$3:$J$14,1),COLUMN($S$2)))&gt;indirect(address(row($J5),COLUMN($K$2))):indirect(address(row($J5),COLUMN($S$2))),TRUE()))</f>
        <v>1</v>
      </c>
      <c r="AW24" s="302">
        <f t="array" ref="AW24">if(AW$20=$J5,"-", countif(indirect(address(row($J$2)+ VLOOKUP(AW$20,$J$3:$J$14,1),COLUMN($K$4))):indirect(address(row($J$2)+ VLOOKUP(AW$20,$J$3:$J$14,1),COLUMN($S$2)))&gt;indirect(address(row($J5),COLUMN($K$2))):indirect(address(row($J5),COLUMN($S$2))),TRUE()))</f>
        <v>6</v>
      </c>
      <c r="AX24" s="303">
        <v>3.0</v>
      </c>
      <c r="AY24" s="315" t="str">
        <f t="array" ref="AY24">INDIRECT("Draft!F"&amp;TEXT(VLOOKUP(TRUE,I3:J14,2,0)+2,"0"))</f>
        <v>Bam Adebayo</v>
      </c>
      <c r="AZ24" s="316"/>
      <c r="BA24" s="306">
        <f>IF($AY24="","", VLOOKUP($AY24,'Final Update'!$P$21:$AD1015,Column(G3),False))</f>
        <v>20</v>
      </c>
      <c r="BB24" s="306">
        <f>IF($AY24="","", VLOOKUP($AY24,'Final Update'!$P$21:$AD1015,Column(H3),False))</f>
        <v>0.2</v>
      </c>
      <c r="BC24" s="306">
        <f>IF($AY24="","", VLOOKUP($AY24,'Final Update'!$P$21:$AD1015,Column(I3),False))</f>
        <v>10.4</v>
      </c>
      <c r="BD24" s="306">
        <f>IF($AY24="","", VLOOKUP($AY24,'Final Update'!$P$21:$AD1015,Column(J3),False))</f>
        <v>3.9</v>
      </c>
      <c r="BE24" s="306">
        <f>IF($AY24="","", VLOOKUP($AY24,'Final Update'!$P$21:$AD1015,Column(K3),False))</f>
        <v>1.2</v>
      </c>
      <c r="BF24" s="306">
        <f>IF($AY24="","", VLOOKUP($AY24,'Final Update'!$P$21:$AD1015,Column(L3),False))</f>
        <v>0.9</v>
      </c>
      <c r="BG24" s="307">
        <f>IF($AY24="","", VLOOKUP($AY24,'Final Update'!$P$21:$AD1015,Column(M3),False))</f>
        <v>0.531</v>
      </c>
      <c r="BH24" s="307">
        <f>IF($AY24="","", VLOOKUP($AY24,'Final Update'!$P$21:$AD1015,Column(N3),False))</f>
        <v>0.743</v>
      </c>
      <c r="BI24" s="307">
        <f>IF($AY24="","", VLOOKUP($AY24,'Final Update'!$P$21:$AD1015,Column(O3),False))</f>
        <v>2.4</v>
      </c>
      <c r="BJ24" s="306" t="str">
        <f>IF($AY24="","", VLOOKUP($AY24,'Final Update'!$P$21:$AD1015,Column(C3),False))</f>
        <v>C</v>
      </c>
      <c r="BK24" s="308">
        <f t="array" ref="BK24">COUNTIF(FIND(BL24,$BJ$22:$BJ$33),"&gt;0")</f>
        <v>2</v>
      </c>
      <c r="BL24" s="309" t="s">
        <v>90</v>
      </c>
      <c r="BM24" s="296"/>
      <c r="BN24" s="297"/>
      <c r="BO24" s="297"/>
      <c r="BP24" s="297"/>
      <c r="BQ24" s="297"/>
      <c r="BR24" s="297"/>
      <c r="BS24" s="297"/>
      <c r="BT24" s="297"/>
      <c r="BU24" s="23"/>
      <c r="BV24" s="23"/>
      <c r="BW24" s="23"/>
    </row>
    <row r="25">
      <c r="A25" s="276">
        <f>VLOOKUP($F25,UpdateHashtag!$V$3:$Y$32,COLUMN(B$15),0)</f>
        <v>4</v>
      </c>
      <c r="B25" s="259">
        <f>VLOOKUP($F25,UpdateHashtag!$V$3:$Y$32,COLUMN(C$13),0)</f>
        <v>4</v>
      </c>
      <c r="C25" s="259">
        <f>VLOOKUP($F25,UpdateHashtag!$V$3:$Y$32,COLUMN(D$13),0)</f>
        <v>3</v>
      </c>
      <c r="D25" s="277">
        <f t="shared" si="4"/>
        <v>11</v>
      </c>
      <c r="E25" s="21"/>
      <c r="F25" s="261" t="str">
        <f>VLOOKUP(J25,UpdateBBM!$C$2:E1015,3,0)</f>
        <v>MIL</v>
      </c>
      <c r="G25" s="248">
        <v>6.0</v>
      </c>
      <c r="H25" s="278">
        <f>IFERROR(__xludf.DUMMYFUNCTION("""COMPUTED_VALUE"""),6.0)</f>
        <v>6</v>
      </c>
      <c r="I25" s="278">
        <f>IFERROR(__xludf.DUMMYFUNCTION("""COMPUTED_VALUE"""),6.7)</f>
        <v>6.7</v>
      </c>
      <c r="J25" s="279" t="str">
        <f>IFERROR(__xludf.DUMMYFUNCTION("""COMPUTED_VALUE"""),"Giannis Antetokounmpo")</f>
        <v>Giannis Antetokounmpo</v>
      </c>
      <c r="K25" s="278">
        <f>IFERROR(__xludf.DUMMYFUNCTION("""COMPUTED_VALUE"""),66.0)</f>
        <v>66</v>
      </c>
      <c r="L25" s="280" t="str">
        <f>IFERROR(__xludf.DUMMYFUNCTION("""COMPUTED_VALUE"""),"PF,C")</f>
        <v>PF,C</v>
      </c>
      <c r="M25" s="281">
        <f>IFERROR(__xludf.DUMMYFUNCTION("""COMPUTED_VALUE"""),8.429006939113258)</f>
        <v>8.429006939</v>
      </c>
      <c r="N25" s="281">
        <f>IFERROR(__xludf.DUMMYFUNCTION("""COMPUTED_VALUE"""),8.429006939113258)</f>
        <v>8.429006939</v>
      </c>
      <c r="O25" s="282">
        <f>IFERROR(__xludf.DUMMYFUNCTION("""COMPUTED_VALUE"""),0.0)</f>
        <v>0</v>
      </c>
      <c r="P25" s="283">
        <f>IFERROR(__xludf.DUMMYFUNCTION("""COMPUTED_VALUE"""),31.1)</f>
        <v>31.1</v>
      </c>
      <c r="Q25" s="283">
        <f>IFERROR(__xludf.DUMMYFUNCTION("""COMPUTED_VALUE"""),0.6)</f>
        <v>0.6</v>
      </c>
      <c r="R25" s="283">
        <f>IFERROR(__xludf.DUMMYFUNCTION("""COMPUTED_VALUE"""),11.8)</f>
        <v>11.8</v>
      </c>
      <c r="S25" s="284">
        <f>IFERROR(__xludf.DUMMYFUNCTION("""COMPUTED_VALUE"""),6.7)</f>
        <v>6.7</v>
      </c>
      <c r="T25" s="283">
        <f>IFERROR(__xludf.DUMMYFUNCTION("""COMPUTED_VALUE"""),1.2)</f>
        <v>1.2</v>
      </c>
      <c r="U25" s="283">
        <f>IFERROR(__xludf.DUMMYFUNCTION("""COMPUTED_VALUE"""),1.1)</f>
        <v>1.1</v>
      </c>
      <c r="V25" s="280">
        <f>IFERROR(__xludf.DUMMYFUNCTION("""COMPUTED_VALUE"""),0.614)</f>
        <v>0.614</v>
      </c>
      <c r="W25" s="280">
        <f>IFERROR(__xludf.DUMMYFUNCTION("""COMPUTED_VALUE"""),0.671)</f>
        <v>0.671</v>
      </c>
      <c r="X25" s="280">
        <f>IFERROR(__xludf.DUMMYFUNCTION("""COMPUTED_VALUE"""),3.4)</f>
        <v>3.4</v>
      </c>
      <c r="Y25" s="283">
        <f>IFERROR(__xludf.DUMMYFUNCTION("""COMPUTED_VALUE"""),2.462794789508605)</f>
        <v>2.46279479</v>
      </c>
      <c r="Z25" s="281">
        <f>IFERROR(__xludf.DUMMYFUNCTION("""COMPUTED_VALUE"""),-1.1435407868855925)</f>
        <v>-1.143540787</v>
      </c>
      <c r="AA25" s="281">
        <f>IFERROR(__xludf.DUMMYFUNCTION("""COMPUTED_VALUE"""),2.2481126868576755)</f>
        <v>2.248112687</v>
      </c>
      <c r="AB25" s="281">
        <f>IFERROR(__xludf.DUMMYFUNCTION("""COMPUTED_VALUE"""),1.2594359585561787)</f>
        <v>1.259435959</v>
      </c>
      <c r="AC25" s="281">
        <f>IFERROR(__xludf.DUMMYFUNCTION("""COMPUTED_VALUE"""),0.7430016239596308)</f>
        <v>0.743001624</v>
      </c>
      <c r="AD25" s="281">
        <f>IFERROR(__xludf.DUMMYFUNCTION("""COMPUTED_VALUE"""),0.6332385715246607)</f>
        <v>0.6332385715</v>
      </c>
      <c r="AE25" s="281">
        <f>IFERROR(__xludf.DUMMYFUNCTION("""COMPUTED_VALUE"""),2.635465260792226)</f>
        <v>2.635465261</v>
      </c>
      <c r="AF25" s="281">
        <f>IFERROR(__xludf.DUMMYFUNCTION("""COMPUTED_VALUE"""),-4.607725435738178)</f>
        <v>-4.607725436</v>
      </c>
      <c r="AG25" s="281">
        <f>IFERROR(__xludf.DUMMYFUNCTION("""COMPUTED_VALUE"""),-0.40950116520012636)</f>
        <v>-0.4095011652</v>
      </c>
      <c r="AH25" s="285"/>
      <c r="AI25" s="298"/>
      <c r="AJ25" s="23"/>
      <c r="AK25" s="299">
        <v>100.0</v>
      </c>
      <c r="AL25" s="300">
        <f t="array" ref="AL25">if(AL$20=$J6,"-", countif(indirect(address(row($J$2)+ VLOOKUP(AL$20,$J$3:$J$14,1),COLUMN($K$4))):indirect(address(row($J$2)+ VLOOKUP(AL$20,$J$3:$J$14,1),COLUMN($S$2)))&gt;indirect(address(row($J6),COLUMN($K$2))):indirect(address(row($J6),COLUMN($S$2))),TRUE()))</f>
        <v>2</v>
      </c>
      <c r="AM25" s="301">
        <f t="array" ref="AM25">if(AM$20=$J6,"-", countif(indirect(address(row($J$2)+ VLOOKUP(AM$20,$J$3:$J$14,1),COLUMN($K$4))):indirect(address(row($J$2)+ VLOOKUP(AM$20,$J$3:$J$14,1),COLUMN($S$2)))&gt;indirect(address(row($J6),COLUMN($K$2))):indirect(address(row($J6),COLUMN($S$2))),TRUE()))</f>
        <v>3</v>
      </c>
      <c r="AN25" s="301">
        <f t="array" ref="AN25">if(AN$20=$J6,"-", countif(indirect(address(row($J$2)+ VLOOKUP(AN$20,$J$3:$J$14,1),COLUMN($K$4))):indirect(address(row($J$2)+ VLOOKUP(AN$20,$J$3:$J$14,1),COLUMN($S$2)))&gt;indirect(address(row($J6),COLUMN($K$2))):indirect(address(row($J6),COLUMN($S$2))),TRUE()))</f>
        <v>2</v>
      </c>
      <c r="AO25" s="301" t="str">
        <f t="array" ref="AO25">if(AO$20=$J6,"-", countif(indirect(address(row($J$2)+ VLOOKUP(AO$20,$J$3:$J$14,1),COLUMN($K$4))):indirect(address(row($J$2)+ VLOOKUP(AO$20,$J$3:$J$14,1),COLUMN($S$2)))&gt;indirect(address(row($J6),COLUMN($K$2))):indirect(address(row($J6),COLUMN($S$2))),TRUE()))</f>
        <v>-</v>
      </c>
      <c r="AP25" s="301">
        <f t="array" ref="AP25">if(AP$20=$J6,"-", countif(indirect(address(row($J$2)+ VLOOKUP(AP$20,$J$3:$J$14,1),COLUMN($K$4))):indirect(address(row($J$2)+ VLOOKUP(AP$20,$J$3:$J$14,1),COLUMN($S$2)))&gt;indirect(address(row($J6),COLUMN($K$2))):indirect(address(row($J6),COLUMN($S$2))),TRUE()))</f>
        <v>2</v>
      </c>
      <c r="AQ25" s="301">
        <f t="array" ref="AQ25">if(AQ$20=$J6,"-", countif(indirect(address(row($J$2)+ VLOOKUP(AQ$20,$J$3:$J$14,1),COLUMN($K$4))):indirect(address(row($J$2)+ VLOOKUP(AQ$20,$J$3:$J$14,1),COLUMN($S$2)))&gt;indirect(address(row($J6),COLUMN($K$2))):indirect(address(row($J6),COLUMN($S$2))),TRUE()))</f>
        <v>1</v>
      </c>
      <c r="AR25" s="301">
        <f t="array" ref="AR25">if(AR$20=$J6,"-", countif(indirect(address(row($J$2)+ VLOOKUP(AR$20,$J$3:$J$14,1),COLUMN($K$4))):indirect(address(row($J$2)+ VLOOKUP(AR$20,$J$3:$J$14,1),COLUMN($S$2)))&gt;indirect(address(row($J6),COLUMN($K$2))):indirect(address(row($J6),COLUMN($S$2))),TRUE()))</f>
        <v>3</v>
      </c>
      <c r="AS25" s="301">
        <f t="array" ref="AS25">if(AS$20=$J6,"-", countif(indirect(address(row($J$2)+ VLOOKUP(AS$20,$J$3:$J$14,1),COLUMN($K$4))):indirect(address(row($J$2)+ VLOOKUP(AS$20,$J$3:$J$14,1),COLUMN($S$2)))&gt;indirect(address(row($J6),COLUMN($K$2))):indirect(address(row($J6),COLUMN($S$2))),TRUE()))</f>
        <v>4</v>
      </c>
      <c r="AT25" s="301">
        <f t="array" ref="AT25">if(AT$20=$J6,"-", countif(indirect(address(row($J$2)+ VLOOKUP(AT$20,$J$3:$J$14,1),COLUMN($K$4))):indirect(address(row($J$2)+ VLOOKUP(AT$20,$J$3:$J$14,1),COLUMN($S$2)))&gt;indirect(address(row($J6),COLUMN($K$2))):indirect(address(row($J6),COLUMN($S$2))),TRUE()))</f>
        <v>2</v>
      </c>
      <c r="AU25" s="301">
        <f t="array" ref="AU25">if(AU$20=$J6,"-", countif(indirect(address(row($J$2)+ VLOOKUP(AU$20,$J$3:$J$14,1),COLUMN($K$4))):indirect(address(row($J$2)+ VLOOKUP(AU$20,$J$3:$J$14,1),COLUMN($S$2)))&gt;indirect(address(row($J6),COLUMN($K$2))):indirect(address(row($J6),COLUMN($S$2))),TRUE()))</f>
        <v>2</v>
      </c>
      <c r="AV25" s="301">
        <f t="array" ref="AV25">if(AV$20=$J6,"-", countif(indirect(address(row($J$2)+ VLOOKUP(AV$20,$J$3:$J$14,1),COLUMN($K$4))):indirect(address(row($J$2)+ VLOOKUP(AV$20,$J$3:$J$14,1),COLUMN($S$2)))&gt;indirect(address(row($J6),COLUMN($K$2))):indirect(address(row($J6),COLUMN($S$2))),TRUE()))</f>
        <v>2</v>
      </c>
      <c r="AW25" s="302">
        <f t="array" ref="AW25">if(AW$20=$J6,"-", countif(indirect(address(row($J$2)+ VLOOKUP(AW$20,$J$3:$J$14,1),COLUMN($K$4))):indirect(address(row($J$2)+ VLOOKUP(AW$20,$J$3:$J$14,1),COLUMN($S$2)))&gt;indirect(address(row($J6),COLUMN($K$2))):indirect(address(row($J6),COLUMN($S$2))),TRUE()))</f>
        <v>2</v>
      </c>
      <c r="AX25" s="303">
        <v>4.0</v>
      </c>
      <c r="AY25" s="315" t="str">
        <f t="array" ref="AY25">INDIRECT("Draft!G"&amp;TEXT(15-VLOOKUP(TRUE,I3:J14,2,0),"0"))</f>
        <v>Ja Morant</v>
      </c>
      <c r="AZ25" s="317"/>
      <c r="BA25" s="306">
        <f>IF($AY25="","", VLOOKUP($AY25,'Final Update'!$P$21:$AD1015,Column(G4),False))</f>
        <v>25.8</v>
      </c>
      <c r="BB25" s="306">
        <f>IF($AY25="","", VLOOKUP($AY25,'Final Update'!$P$21:$AD1015,Column(H4),False))</f>
        <v>1.5</v>
      </c>
      <c r="BC25" s="306">
        <f>IF($AY25="","", VLOOKUP($AY25,'Final Update'!$P$21:$AD1015,Column(I4),False))</f>
        <v>5.9</v>
      </c>
      <c r="BD25" s="306">
        <f>IF($AY25="","", VLOOKUP($AY25,'Final Update'!$P$21:$AD1015,Column(J4),False))</f>
        <v>8.2</v>
      </c>
      <c r="BE25" s="306">
        <f>IF($AY25="","", VLOOKUP($AY25,'Final Update'!$P$21:$AD1015,Column(K4),False))</f>
        <v>0.9</v>
      </c>
      <c r="BF25" s="306">
        <f>IF($AY25="","", VLOOKUP($AY25,'Final Update'!$P$21:$AD1015,Column(L4),False))</f>
        <v>0.5</v>
      </c>
      <c r="BG25" s="307">
        <f>IF($AY25="","", VLOOKUP($AY25,'Final Update'!$P$21:$AD1015,Column(M4),False))</f>
        <v>0.47</v>
      </c>
      <c r="BH25" s="307">
        <f>IF($AY25="","", VLOOKUP($AY25,'Final Update'!$P$21:$AD1015,Column(N4),False))</f>
        <v>0.788</v>
      </c>
      <c r="BI25" s="307">
        <f>IF($AY25="","", VLOOKUP($AY25,'Final Update'!$P$21:$AD1015,Column(O4),False))</f>
        <v>3</v>
      </c>
      <c r="BJ25" s="306" t="str">
        <f>IF($AY25="","", VLOOKUP($AY25,'Final Update'!$P$21:$AD1015,Column(C4),False))</f>
        <v>PG</v>
      </c>
      <c r="BK25" s="308">
        <f t="array" ref="BK25">COUNTIF(FIND(BL25,$BJ$22:$BJ$33),"&gt;0")</f>
        <v>2</v>
      </c>
      <c r="BL25" s="309" t="s">
        <v>92</v>
      </c>
      <c r="BM25" s="296"/>
      <c r="BN25" s="297"/>
      <c r="BO25" s="297"/>
      <c r="BP25" s="297"/>
      <c r="BQ25" s="297"/>
      <c r="BR25" s="297"/>
      <c r="BS25" s="297"/>
      <c r="BT25" s="297"/>
      <c r="BU25" s="23"/>
      <c r="BV25" s="23"/>
      <c r="BW25" s="23"/>
    </row>
    <row r="26">
      <c r="A26" s="276">
        <f>VLOOKUP($F26,UpdateHashtag!$V$3:$Y$32,COLUMN(B$15),0)</f>
        <v>4</v>
      </c>
      <c r="B26" s="259">
        <f>VLOOKUP($F26,UpdateHashtag!$V$3:$Y$32,COLUMN(C$13),0)</f>
        <v>4</v>
      </c>
      <c r="C26" s="259">
        <f>VLOOKUP($F26,UpdateHashtag!$V$3:$Y$32,COLUMN(D$13),0)</f>
        <v>3</v>
      </c>
      <c r="D26" s="277">
        <f t="shared" si="4"/>
        <v>11</v>
      </c>
      <c r="E26" s="21"/>
      <c r="F26" s="261" t="str">
        <f>VLOOKUP(J26,UpdateBBM!$C$2:E1015,3,0)</f>
        <v>ATL</v>
      </c>
      <c r="G26" s="248">
        <v>7.0</v>
      </c>
      <c r="H26" s="278">
        <f>IFERROR(__xludf.DUMMYFUNCTION("""COMPUTED_VALUE"""),7.0)</f>
        <v>7</v>
      </c>
      <c r="I26" s="278">
        <f>IFERROR(__xludf.DUMMYFUNCTION("""COMPUTED_VALUE"""),12.5)</f>
        <v>12.5</v>
      </c>
      <c r="J26" s="279" t="str">
        <f>IFERROR(__xludf.DUMMYFUNCTION("""COMPUTED_VALUE"""),"Trae Young")</f>
        <v>Trae Young</v>
      </c>
      <c r="K26" s="278">
        <f>IFERROR(__xludf.DUMMYFUNCTION("""COMPUTED_VALUE"""),71.0)</f>
        <v>71</v>
      </c>
      <c r="L26" s="280" t="str">
        <f>IFERROR(__xludf.DUMMYFUNCTION("""COMPUTED_VALUE"""),"PG")</f>
        <v>PG</v>
      </c>
      <c r="M26" s="281">
        <f>IFERROR(__xludf.DUMMYFUNCTION("""COMPUTED_VALUE"""),7.19847521079153)</f>
        <v>7.198475211</v>
      </c>
      <c r="N26" s="281">
        <f>IFERROR(__xludf.DUMMYFUNCTION("""COMPUTED_VALUE"""),7.19847521079153)</f>
        <v>7.198475211</v>
      </c>
      <c r="O26" s="282">
        <f>IFERROR(__xludf.DUMMYFUNCTION("""COMPUTED_VALUE"""),0.0)</f>
        <v>0</v>
      </c>
      <c r="P26" s="283">
        <f>IFERROR(__xludf.DUMMYFUNCTION("""COMPUTED_VALUE"""),28.1)</f>
        <v>28.1</v>
      </c>
      <c r="Q26" s="283">
        <f>IFERROR(__xludf.DUMMYFUNCTION("""COMPUTED_VALUE"""),3.4)</f>
        <v>3.4</v>
      </c>
      <c r="R26" s="283">
        <f>IFERROR(__xludf.DUMMYFUNCTION("""COMPUTED_VALUE"""),2.9)</f>
        <v>2.9</v>
      </c>
      <c r="S26" s="284">
        <f>IFERROR(__xludf.DUMMYFUNCTION("""COMPUTED_VALUE"""),10.8)</f>
        <v>10.8</v>
      </c>
      <c r="T26" s="283">
        <f>IFERROR(__xludf.DUMMYFUNCTION("""COMPUTED_VALUE"""),1.2)</f>
        <v>1.2</v>
      </c>
      <c r="U26" s="283">
        <f>IFERROR(__xludf.DUMMYFUNCTION("""COMPUTED_VALUE"""),0.2)</f>
        <v>0.2</v>
      </c>
      <c r="V26" s="280">
        <f>IFERROR(__xludf.DUMMYFUNCTION("""COMPUTED_VALUE"""),0.432)</f>
        <v>0.432</v>
      </c>
      <c r="W26" s="280">
        <f>IFERROR(__xludf.DUMMYFUNCTION("""COMPUTED_VALUE"""),0.877)</f>
        <v>0.877</v>
      </c>
      <c r="X26" s="280">
        <f>IFERROR(__xludf.DUMMYFUNCTION("""COMPUTED_VALUE"""),4.2)</f>
        <v>4.2</v>
      </c>
      <c r="Y26" s="283">
        <f>IFERROR(__xludf.DUMMYFUNCTION("""COMPUTED_VALUE"""),1.9208507306106177)</f>
        <v>1.920850731</v>
      </c>
      <c r="Z26" s="281">
        <f>IFERROR(__xludf.DUMMYFUNCTION("""COMPUTED_VALUE"""),1.6431395859975693)</f>
        <v>1.643139586</v>
      </c>
      <c r="AA26" s="281">
        <f>IFERROR(__xludf.DUMMYFUNCTION("""COMPUTED_VALUE"""),-1.2430343432648439)</f>
        <v>-1.243034343</v>
      </c>
      <c r="AB26" s="281">
        <f>IFERROR(__xludf.DUMMYFUNCTION("""COMPUTED_VALUE"""),3.12746854586363)</f>
        <v>3.127468546</v>
      </c>
      <c r="AC26" s="281">
        <f>IFERROR(__xludf.DUMMYFUNCTION("""COMPUTED_VALUE"""),0.7430016239596308)</f>
        <v>0.743001624</v>
      </c>
      <c r="AD26" s="281">
        <f>IFERROR(__xludf.DUMMYFUNCTION("""COMPUTED_VALUE"""),-0.9723047469492465)</f>
        <v>-0.9723047469</v>
      </c>
      <c r="AE26" s="281">
        <f>IFERROR(__xludf.DUMMYFUNCTION("""COMPUTED_VALUE"""),-1.4827868385980316)</f>
        <v>-1.482786839</v>
      </c>
      <c r="AF26" s="281">
        <f>IFERROR(__xludf.DUMMYFUNCTION("""COMPUTED_VALUE"""),2.587240687582191)</f>
        <v>2.587240688</v>
      </c>
      <c r="AG26" s="281">
        <f>IFERROR(__xludf.DUMMYFUNCTION("""COMPUTED_VALUE"""),-0.6078868730080197)</f>
        <v>-0.607886873</v>
      </c>
      <c r="AH26" s="285"/>
      <c r="AI26" s="298"/>
      <c r="AJ26" s="23"/>
      <c r="AK26" s="299">
        <v>100.0</v>
      </c>
      <c r="AL26" s="300">
        <f t="array" ref="AL26">if(AL$20=$J7,"-", countif(indirect(address(row($J$2)+ VLOOKUP(AL$20,$J$3:$J$14,1),COLUMN($K$4))):indirect(address(row($J$2)+ VLOOKUP(AL$20,$J$3:$J$14,1),COLUMN($S$2)))&gt;indirect(address(row($J7),COLUMN($K$2))):indirect(address(row($J7),COLUMN($S$2))),TRUE()))</f>
        <v>7</v>
      </c>
      <c r="AM26" s="301">
        <f t="array" ref="AM26">if(AM$20=$J7,"-", countif(indirect(address(row($J$2)+ VLOOKUP(AM$20,$J$3:$J$14,1),COLUMN($K$4))):indirect(address(row($J$2)+ VLOOKUP(AM$20,$J$3:$J$14,1),COLUMN($S$2)))&gt;indirect(address(row($J7),COLUMN($K$2))):indirect(address(row($J7),COLUMN($S$2))),TRUE()))</f>
        <v>1</v>
      </c>
      <c r="AN26" s="301">
        <f t="array" ref="AN26">if(AN$20=$J7,"-", countif(indirect(address(row($J$2)+ VLOOKUP(AN$20,$J$3:$J$14,1),COLUMN($K$4))):indirect(address(row($J$2)+ VLOOKUP(AN$20,$J$3:$J$14,1),COLUMN($S$2)))&gt;indirect(address(row($J7),COLUMN($K$2))):indirect(address(row($J7),COLUMN($S$2))),TRUE()))</f>
        <v>1</v>
      </c>
      <c r="AO26" s="301">
        <f t="array" ref="AO26">if(AO$20=$J7,"-", countif(indirect(address(row($J$2)+ VLOOKUP(AO$20,$J$3:$J$14,1),COLUMN($K$4))):indirect(address(row($J$2)+ VLOOKUP(AO$20,$J$3:$J$14,1),COLUMN($S$2)))&gt;indirect(address(row($J7),COLUMN($K$2))):indirect(address(row($J7),COLUMN($S$2))),TRUE()))</f>
        <v>7</v>
      </c>
      <c r="AP26" s="301" t="str">
        <f t="array" ref="AP26">if(AP$20=$J7,"-", countif(indirect(address(row($J$2)+ VLOOKUP(AP$20,$J$3:$J$14,1),COLUMN($K$4))):indirect(address(row($J$2)+ VLOOKUP(AP$20,$J$3:$J$14,1),COLUMN($S$2)))&gt;indirect(address(row($J7),COLUMN($K$2))):indirect(address(row($J7),COLUMN($S$2))),TRUE()))</f>
        <v>-</v>
      </c>
      <c r="AQ26" s="301">
        <f t="array" ref="AQ26">if(AQ$20=$J7,"-", countif(indirect(address(row($J$2)+ VLOOKUP(AQ$20,$J$3:$J$14,1),COLUMN($K$4))):indirect(address(row($J$2)+ VLOOKUP(AQ$20,$J$3:$J$14,1),COLUMN($S$2)))&gt;indirect(address(row($J7),COLUMN($K$2))):indirect(address(row($J7),COLUMN($S$2))),TRUE()))</f>
        <v>1</v>
      </c>
      <c r="AR26" s="301">
        <f t="array" ref="AR26">if(AR$20=$J7,"-", countif(indirect(address(row($J$2)+ VLOOKUP(AR$20,$J$3:$J$14,1),COLUMN($K$4))):indirect(address(row($J$2)+ VLOOKUP(AR$20,$J$3:$J$14,1),COLUMN($S$2)))&gt;indirect(address(row($J7),COLUMN($K$2))):indirect(address(row($J7),COLUMN($S$2))),TRUE()))</f>
        <v>7</v>
      </c>
      <c r="AS26" s="301">
        <f t="array" ref="AS26">if(AS$20=$J7,"-", countif(indirect(address(row($J$2)+ VLOOKUP(AS$20,$J$3:$J$14,1),COLUMN($K$4))):indirect(address(row($J$2)+ VLOOKUP(AS$20,$J$3:$J$14,1),COLUMN($S$2)))&gt;indirect(address(row($J7),COLUMN($K$2))):indirect(address(row($J7),COLUMN($S$2))),TRUE()))</f>
        <v>7</v>
      </c>
      <c r="AT26" s="301">
        <f t="array" ref="AT26">if(AT$20=$J7,"-", countif(indirect(address(row($J$2)+ VLOOKUP(AT$20,$J$3:$J$14,1),COLUMN($K$4))):indirect(address(row($J$2)+ VLOOKUP(AT$20,$J$3:$J$14,1),COLUMN($S$2)))&gt;indirect(address(row($J7),COLUMN($K$2))):indirect(address(row($J7),COLUMN($S$2))),TRUE()))</f>
        <v>1</v>
      </c>
      <c r="AU26" s="301">
        <f t="array" ref="AU26">if(AU$20=$J7,"-", countif(indirect(address(row($J$2)+ VLOOKUP(AU$20,$J$3:$J$14,1),COLUMN($K$4))):indirect(address(row($J$2)+ VLOOKUP(AU$20,$J$3:$J$14,1),COLUMN($S$2)))&gt;indirect(address(row($J7),COLUMN($K$2))):indirect(address(row($J7),COLUMN($S$2))),TRUE()))</f>
        <v>7</v>
      </c>
      <c r="AV26" s="301">
        <f t="array" ref="AV26">if(AV$20=$J7,"-", countif(indirect(address(row($J$2)+ VLOOKUP(AV$20,$J$3:$J$14,1),COLUMN($K$4))):indirect(address(row($J$2)+ VLOOKUP(AV$20,$J$3:$J$14,1),COLUMN($S$2)))&gt;indirect(address(row($J7),COLUMN($K$2))):indirect(address(row($J7),COLUMN($S$2))),TRUE()))</f>
        <v>1</v>
      </c>
      <c r="AW26" s="302">
        <f t="array" ref="AW26">if(AW$20=$J7,"-", countif(indirect(address(row($J$2)+ VLOOKUP(AW$20,$J$3:$J$14,1),COLUMN($K$4))):indirect(address(row($J$2)+ VLOOKUP(AW$20,$J$3:$J$14,1),COLUMN($S$2)))&gt;indirect(address(row($J7),COLUMN($K$2))):indirect(address(row($J7),COLUMN($S$2))),TRUE()))</f>
        <v>7</v>
      </c>
      <c r="AX26" s="303">
        <v>5.0</v>
      </c>
      <c r="AY26" s="315" t="str">
        <f t="array" ref="AY26">INDIRECT("Draft!H"&amp;TEXT(VLOOKUP(TRUE,I3:J14,2,0)+2,"0"))</f>
        <v>Joel Embiid</v>
      </c>
      <c r="AZ26" s="317"/>
      <c r="BA26" s="306">
        <f>IF($AY26="","", VLOOKUP($AY26,'Final Update'!$P$21:$AD1015,Column(G5),False))</f>
        <v>28.1</v>
      </c>
      <c r="BB26" s="306">
        <f>IF($AY26="","", VLOOKUP($AY26,'Final Update'!$P$21:$AD1015,Column(H5),False))</f>
        <v>1.3</v>
      </c>
      <c r="BC26" s="306">
        <f>IF($AY26="","", VLOOKUP($AY26,'Final Update'!$P$21:$AD1015,Column(I5),False))</f>
        <v>10</v>
      </c>
      <c r="BD26" s="306">
        <f>IF($AY26="","", VLOOKUP($AY26,'Final Update'!$P$21:$AD1015,Column(J5),False))</f>
        <v>3.9</v>
      </c>
      <c r="BE26" s="306">
        <f>IF($AY26="","", VLOOKUP($AY26,'Final Update'!$P$21:$AD1015,Column(K5),False))</f>
        <v>0.9</v>
      </c>
      <c r="BF26" s="306">
        <f>IF($AY26="","", VLOOKUP($AY26,'Final Update'!$P$21:$AD1015,Column(L5),False))</f>
        <v>1.4</v>
      </c>
      <c r="BG26" s="307">
        <f>IF($AY26="","", VLOOKUP($AY26,'Final Update'!$P$21:$AD1015,Column(M5),False))</f>
        <v>0.518</v>
      </c>
      <c r="BH26" s="307">
        <f>IF($AY26="","", VLOOKUP($AY26,'Final Update'!$P$21:$AD1015,Column(N5),False))</f>
        <v>0.871</v>
      </c>
      <c r="BI26" s="307">
        <f>IF($AY26="","", VLOOKUP($AY26,'Final Update'!$P$21:$AD1015,Column(O5),False))</f>
        <v>3.3</v>
      </c>
      <c r="BJ26" s="306" t="str">
        <f>IF($AY26="","", VLOOKUP($AY26,'Final Update'!$P$21:$AD1015,Column(C5),False))</f>
        <v>C</v>
      </c>
      <c r="BK26" s="308">
        <f t="array" ref="BK26">COUNTIF(FIND(BL26,$BJ$22:$BJ$33),"&gt;0")</f>
        <v>3</v>
      </c>
      <c r="BL26" s="309" t="s">
        <v>97</v>
      </c>
      <c r="BM26" s="296"/>
      <c r="BN26" s="297"/>
      <c r="BO26" s="297"/>
      <c r="BP26" s="297"/>
      <c r="BQ26" s="297"/>
      <c r="BR26" s="297"/>
      <c r="BS26" s="297"/>
      <c r="BT26" s="297"/>
      <c r="BU26" s="23"/>
      <c r="BV26" s="23"/>
      <c r="BW26" s="23"/>
    </row>
    <row r="27">
      <c r="A27" s="276">
        <f>VLOOKUP($F27,UpdateHashtag!$V$3:$Y$32,COLUMN(B$15),0)</f>
        <v>4</v>
      </c>
      <c r="B27" s="259">
        <f>VLOOKUP($F27,UpdateHashtag!$V$3:$Y$32,COLUMN(C$13),0)</f>
        <v>4</v>
      </c>
      <c r="C27" s="259">
        <f>VLOOKUP($F27,UpdateHashtag!$V$3:$Y$32,COLUMN(D$13),0)</f>
        <v>4</v>
      </c>
      <c r="D27" s="277">
        <f t="shared" si="4"/>
        <v>12</v>
      </c>
      <c r="E27" s="21"/>
      <c r="F27" s="261" t="str">
        <f>VLOOKUP(J27,UpdateBBM!$C$2:E1015,3,0)</f>
        <v>PHI</v>
      </c>
      <c r="G27" s="248">
        <v>8.0</v>
      </c>
      <c r="H27" s="278">
        <f>IFERROR(__xludf.DUMMYFUNCTION("""COMPUTED_VALUE"""),8.0)</f>
        <v>8</v>
      </c>
      <c r="I27" s="278">
        <f>IFERROR(__xludf.DUMMYFUNCTION("""COMPUTED_VALUE"""),9.6)</f>
        <v>9.6</v>
      </c>
      <c r="J27" s="279" t="str">
        <f>IFERROR(__xludf.DUMMYFUNCTION("""COMPUTED_VALUE"""),"Joel Embiid")</f>
        <v>Joel Embiid</v>
      </c>
      <c r="K27" s="278">
        <f>IFERROR(__xludf.DUMMYFUNCTION("""COMPUTED_VALUE"""),54.0)</f>
        <v>54</v>
      </c>
      <c r="L27" s="280" t="str">
        <f>IFERROR(__xludf.DUMMYFUNCTION("""COMPUTED_VALUE"""),"C")</f>
        <v>C</v>
      </c>
      <c r="M27" s="281">
        <f>IFERROR(__xludf.DUMMYFUNCTION("""COMPUTED_VALUE"""),7.080727484907011)</f>
        <v>7.080727485</v>
      </c>
      <c r="N27" s="281">
        <f>IFERROR(__xludf.DUMMYFUNCTION("""COMPUTED_VALUE"""),7.080727484907011)</f>
        <v>7.080727485</v>
      </c>
      <c r="O27" s="282">
        <f>IFERROR(__xludf.DUMMYFUNCTION("""COMPUTED_VALUE"""),0.0)</f>
        <v>0</v>
      </c>
      <c r="P27" s="283">
        <f>IFERROR(__xludf.DUMMYFUNCTION("""COMPUTED_VALUE"""),28.1)</f>
        <v>28.1</v>
      </c>
      <c r="Q27" s="283">
        <f>IFERROR(__xludf.DUMMYFUNCTION("""COMPUTED_VALUE"""),1.3)</f>
        <v>1.3</v>
      </c>
      <c r="R27" s="283">
        <f>IFERROR(__xludf.DUMMYFUNCTION("""COMPUTED_VALUE"""),10.0)</f>
        <v>10</v>
      </c>
      <c r="S27" s="284">
        <f>IFERROR(__xludf.DUMMYFUNCTION("""COMPUTED_VALUE"""),3.9)</f>
        <v>3.9</v>
      </c>
      <c r="T27" s="283">
        <f>IFERROR(__xludf.DUMMYFUNCTION("""COMPUTED_VALUE"""),0.9)</f>
        <v>0.9</v>
      </c>
      <c r="U27" s="283">
        <f>IFERROR(__xludf.DUMMYFUNCTION("""COMPUTED_VALUE"""),1.4)</f>
        <v>1.4</v>
      </c>
      <c r="V27" s="280">
        <f>IFERROR(__xludf.DUMMYFUNCTION("""COMPUTED_VALUE"""),0.518)</f>
        <v>0.518</v>
      </c>
      <c r="W27" s="280">
        <f>IFERROR(__xludf.DUMMYFUNCTION("""COMPUTED_VALUE"""),0.871)</f>
        <v>0.871</v>
      </c>
      <c r="X27" s="280">
        <f>IFERROR(__xludf.DUMMYFUNCTION("""COMPUTED_VALUE"""),3.3)</f>
        <v>3.3</v>
      </c>
      <c r="Y27" s="283">
        <f>IFERROR(__xludf.DUMMYFUNCTION("""COMPUTED_VALUE"""),1.9208507306106177)</f>
        <v>1.920850731</v>
      </c>
      <c r="Z27" s="281">
        <f>IFERROR(__xludf.DUMMYFUNCTION("""COMPUTED_VALUE"""),-0.44687069366480203)</f>
        <v>-0.4468706937</v>
      </c>
      <c r="AA27" s="281">
        <f>IFERROR(__xludf.DUMMYFUNCTION("""COMPUTED_VALUE"""),1.5420380066081771)</f>
        <v>1.542038007</v>
      </c>
      <c r="AB27" s="281">
        <f>IFERROR(__xludf.DUMMYFUNCTION("""COMPUTED_VALUE"""),-0.016293613263543852)</f>
        <v>-0.01629361326</v>
      </c>
      <c r="AC27" s="281">
        <f>IFERROR(__xludf.DUMMYFUNCTION("""COMPUTED_VALUE"""),-0.25279641051880714)</f>
        <v>-0.2527964105</v>
      </c>
      <c r="AD27" s="281">
        <f>IFERROR(__xludf.DUMMYFUNCTION("""COMPUTED_VALUE"""),1.1684196776826294)</f>
        <v>1.168419678</v>
      </c>
      <c r="AE27" s="281">
        <f>IFERROR(__xludf.DUMMYFUNCTION("""COMPUTED_VALUE"""),0.43563041128701513)</f>
        <v>0.4356304113</v>
      </c>
      <c r="AF27" s="281">
        <f>IFERROR(__xludf.DUMMYFUNCTION("""COMPUTED_VALUE"""),2.667581634225062)</f>
        <v>2.667581634</v>
      </c>
      <c r="AG27" s="281">
        <f>IFERROR(__xludf.DUMMYFUNCTION("""COMPUTED_VALUE"""),-0.3847029517241397)</f>
        <v>-0.3847029517</v>
      </c>
      <c r="AH27" s="285"/>
      <c r="AI27" s="273"/>
      <c r="AJ27" s="23"/>
      <c r="AK27" s="299">
        <v>100.0</v>
      </c>
      <c r="AL27" s="300">
        <f t="array" ref="AL27">if(AL$20=$J8,"-", countif(indirect(address(row($J$2)+ VLOOKUP(AL$20,$J$3:$J$14,1),COLUMN($K$4))):indirect(address(row($J$2)+ VLOOKUP(AL$20,$J$3:$J$14,1),COLUMN($S$2)))&gt;indirect(address(row($J8),COLUMN($K$2))):indirect(address(row($J8),COLUMN($S$2))),TRUE()))</f>
        <v>7</v>
      </c>
      <c r="AM27" s="301">
        <f t="array" ref="AM27">if(AM$20=$J8,"-", countif(indirect(address(row($J$2)+ VLOOKUP(AM$20,$J$3:$J$14,1),COLUMN($K$4))):indirect(address(row($J$2)+ VLOOKUP(AM$20,$J$3:$J$14,1),COLUMN($S$2)))&gt;indirect(address(row($J8),COLUMN($K$2))):indirect(address(row($J8),COLUMN($S$2))),TRUE()))</f>
        <v>2</v>
      </c>
      <c r="AN27" s="301">
        <f t="array" ref="AN27">if(AN$20=$J8,"-", countif(indirect(address(row($J$2)+ VLOOKUP(AN$20,$J$3:$J$14,1),COLUMN($K$4))):indirect(address(row($J$2)+ VLOOKUP(AN$20,$J$3:$J$14,1),COLUMN($S$2)))&gt;indirect(address(row($J8),COLUMN($K$2))):indirect(address(row($J8),COLUMN($S$2))),TRUE()))</f>
        <v>2</v>
      </c>
      <c r="AO27" s="301">
        <f t="array" ref="AO27">if(AO$20=$J8,"-", countif(indirect(address(row($J$2)+ VLOOKUP(AO$20,$J$3:$J$14,1),COLUMN($K$4))):indirect(address(row($J$2)+ VLOOKUP(AO$20,$J$3:$J$14,1),COLUMN($S$2)))&gt;indirect(address(row($J8),COLUMN($K$2))):indirect(address(row($J8),COLUMN($S$2))),TRUE()))</f>
        <v>8</v>
      </c>
      <c r="AP27" s="301">
        <f t="array" ref="AP27">if(AP$20=$J8,"-", countif(indirect(address(row($J$2)+ VLOOKUP(AP$20,$J$3:$J$14,1),COLUMN($K$4))):indirect(address(row($J$2)+ VLOOKUP(AP$20,$J$3:$J$14,1),COLUMN($S$2)))&gt;indirect(address(row($J8),COLUMN($K$2))):indirect(address(row($J8),COLUMN($S$2))),TRUE()))</f>
        <v>1</v>
      </c>
      <c r="AQ27" s="301" t="str">
        <f t="array" ref="AQ27">if(AQ$20=$J8,"-", countif(indirect(address(row($J$2)+ VLOOKUP(AQ$20,$J$3:$J$14,1),COLUMN($K$4))):indirect(address(row($J$2)+ VLOOKUP(AQ$20,$J$3:$J$14,1),COLUMN($S$2)))&gt;indirect(address(row($J8),COLUMN($K$2))):indirect(address(row($J8),COLUMN($S$2))),TRUE()))</f>
        <v>-</v>
      </c>
      <c r="AR27" s="301">
        <f t="array" ref="AR27">if(AR$20=$J8,"-", countif(indirect(address(row($J$2)+ VLOOKUP(AR$20,$J$3:$J$14,1),COLUMN($K$4))):indirect(address(row($J$2)+ VLOOKUP(AR$20,$J$3:$J$14,1),COLUMN($S$2)))&gt;indirect(address(row($J8),COLUMN($K$2))):indirect(address(row($J8),COLUMN($S$2))),TRUE()))</f>
        <v>7</v>
      </c>
      <c r="AS27" s="301">
        <f t="array" ref="AS27">if(AS$20=$J8,"-", countif(indirect(address(row($J$2)+ VLOOKUP(AS$20,$J$3:$J$14,1),COLUMN($K$4))):indirect(address(row($J$2)+ VLOOKUP(AS$20,$J$3:$J$14,1),COLUMN($S$2)))&gt;indirect(address(row($J8),COLUMN($K$2))):indirect(address(row($J8),COLUMN($S$2))),TRUE()))</f>
        <v>8</v>
      </c>
      <c r="AT27" s="301">
        <f t="array" ref="AT27">if(AT$20=$J8,"-", countif(indirect(address(row($J$2)+ VLOOKUP(AT$20,$J$3:$J$14,1),COLUMN($K$4))):indirect(address(row($J$2)+ VLOOKUP(AT$20,$J$3:$J$14,1),COLUMN($S$2)))&gt;indirect(address(row($J8),COLUMN($K$2))):indirect(address(row($J8),COLUMN($S$2))),TRUE()))</f>
        <v>1</v>
      </c>
      <c r="AU27" s="301">
        <f t="array" ref="AU27">if(AU$20=$J8,"-", countif(indirect(address(row($J$2)+ VLOOKUP(AU$20,$J$3:$J$14,1),COLUMN($K$4))):indirect(address(row($J$2)+ VLOOKUP(AU$20,$J$3:$J$14,1),COLUMN($S$2)))&gt;indirect(address(row($J8),COLUMN($K$2))):indirect(address(row($J8),COLUMN($S$2))),TRUE()))</f>
        <v>7</v>
      </c>
      <c r="AV27" s="301">
        <f t="array" ref="AV27">if(AV$20=$J8,"-", countif(indirect(address(row($J$2)+ VLOOKUP(AV$20,$J$3:$J$14,1),COLUMN($K$4))):indirect(address(row($J$2)+ VLOOKUP(AV$20,$J$3:$J$14,1),COLUMN($S$2)))&gt;indirect(address(row($J8),COLUMN($K$2))):indirect(address(row($J8),COLUMN($S$2))),TRUE()))</f>
        <v>1</v>
      </c>
      <c r="AW27" s="302">
        <f t="array" ref="AW27">if(AW$20=$J8,"-", countif(indirect(address(row($J$2)+ VLOOKUP(AW$20,$J$3:$J$14,1),COLUMN($K$4))):indirect(address(row($J$2)+ VLOOKUP(AW$20,$J$3:$J$14,1),COLUMN($S$2)))&gt;indirect(address(row($J8),COLUMN($K$2))):indirect(address(row($J8),COLUMN($S$2))),TRUE()))</f>
        <v>8</v>
      </c>
      <c r="AX27" s="303">
        <v>6.0</v>
      </c>
      <c r="AY27" s="315" t="str">
        <f t="array" ref="AY27">INDIRECT("Draft!I"&amp;TEXT(15-VLOOKUP(TRUE,I3:J14,2,0),"0"))</f>
        <v>Payton Pritchard</v>
      </c>
      <c r="AZ27" s="317"/>
      <c r="BA27" s="306">
        <f>IF($AY27="","", VLOOKUP($AY27,'Final Update'!$P$21:$AD1015,Column(G6),False))</f>
        <v>10.5</v>
      </c>
      <c r="BB27" s="306">
        <f>IF($AY27="","", VLOOKUP($AY27,'Final Update'!$P$21:$AD1015,Column(H6),False))</f>
        <v>2</v>
      </c>
      <c r="BC27" s="306">
        <f>IF($AY27="","", VLOOKUP($AY27,'Final Update'!$P$21:$AD1015,Column(I6),False))</f>
        <v>3.5</v>
      </c>
      <c r="BD27" s="306">
        <f>IF($AY27="","", VLOOKUP($AY27,'Final Update'!$P$21:$AD1015,Column(J6),False))</f>
        <v>3.4</v>
      </c>
      <c r="BE27" s="306">
        <f>IF($AY27="","", VLOOKUP($AY27,'Final Update'!$P$21:$AD1015,Column(K6),False))</f>
        <v>0.5</v>
      </c>
      <c r="BF27" s="306">
        <f>IF($AY27="","", VLOOKUP($AY27,'Final Update'!$P$21:$AD1015,Column(L6),False))</f>
        <v>0.1</v>
      </c>
      <c r="BG27" s="307">
        <f>IF($AY27="","", VLOOKUP($AY27,'Final Update'!$P$21:$AD1015,Column(M6),False))</f>
        <v>0.453</v>
      </c>
      <c r="BH27" s="307">
        <f>IF($AY27="","", VLOOKUP($AY27,'Final Update'!$P$21:$AD1015,Column(N6),False))</f>
        <v>0.806</v>
      </c>
      <c r="BI27" s="307">
        <f>IF($AY27="","", VLOOKUP($AY27,'Final Update'!$P$21:$AD1015,Column(O6),False))</f>
        <v>1</v>
      </c>
      <c r="BJ27" s="306" t="str">
        <f>IF($AY27="","", VLOOKUP($AY27,'Final Update'!$P$21:$AD1015,Column(C6),False))</f>
        <v>PG</v>
      </c>
      <c r="BK27" s="318"/>
      <c r="BL27" s="319"/>
      <c r="BM27" s="297"/>
      <c r="BN27" s="297"/>
      <c r="BO27" s="297"/>
      <c r="BP27" s="297"/>
      <c r="BQ27" s="297"/>
      <c r="BR27" s="297"/>
      <c r="BS27" s="297"/>
      <c r="BT27" s="297"/>
      <c r="BU27" s="23"/>
      <c r="BV27" s="23"/>
      <c r="BW27" s="23"/>
    </row>
    <row r="28">
      <c r="A28" s="276">
        <f>VLOOKUP($F28,UpdateHashtag!$V$3:$Y$32,COLUMN(B$15),0)</f>
        <v>3</v>
      </c>
      <c r="B28" s="259">
        <f>VLOOKUP($F28,UpdateHashtag!$V$3:$Y$32,COLUMN(C$13),0)</f>
        <v>4</v>
      </c>
      <c r="C28" s="259">
        <f>VLOOKUP($F28,UpdateHashtag!$V$3:$Y$32,COLUMN(D$13),0)</f>
        <v>4</v>
      </c>
      <c r="D28" s="277">
        <f t="shared" si="4"/>
        <v>11</v>
      </c>
      <c r="E28" s="21"/>
      <c r="F28" s="261" t="str">
        <f>VLOOKUP(J28,UpdateBBM!$C$2:E1015,3,0)</f>
        <v>IND</v>
      </c>
      <c r="G28" s="248">
        <v>9.0</v>
      </c>
      <c r="H28" s="278">
        <f>IFERROR(__xludf.DUMMYFUNCTION("""COMPUTED_VALUE"""),9.0)</f>
        <v>9</v>
      </c>
      <c r="I28" s="278">
        <f>IFERROR(__xludf.DUMMYFUNCTION("""COMPUTED_VALUE"""),8.4)</f>
        <v>8.4</v>
      </c>
      <c r="J28" s="279" t="str">
        <f>IFERROR(__xludf.DUMMYFUNCTION("""COMPUTED_VALUE"""),"Tyrese Haliburton")</f>
        <v>Tyrese Haliburton</v>
      </c>
      <c r="K28" s="278">
        <f>IFERROR(__xludf.DUMMYFUNCTION("""COMPUTED_VALUE"""),61.0)</f>
        <v>61</v>
      </c>
      <c r="L28" s="280" t="str">
        <f>IFERROR(__xludf.DUMMYFUNCTION("""COMPUTED_VALUE"""),"PG,SG")</f>
        <v>PG,SG</v>
      </c>
      <c r="M28" s="281">
        <f>IFERROR(__xludf.DUMMYFUNCTION("""COMPUTED_VALUE"""),6.883468532105739)</f>
        <v>6.883468532</v>
      </c>
      <c r="N28" s="281">
        <f>IFERROR(__xludf.DUMMYFUNCTION("""COMPUTED_VALUE"""),6.883468532105739)</f>
        <v>6.883468532</v>
      </c>
      <c r="O28" s="282">
        <f>IFERROR(__xludf.DUMMYFUNCTION("""COMPUTED_VALUE"""),0.0)</f>
        <v>0</v>
      </c>
      <c r="P28" s="283">
        <f>IFERROR(__xludf.DUMMYFUNCTION("""COMPUTED_VALUE"""),21.1)</f>
        <v>21.1</v>
      </c>
      <c r="Q28" s="283">
        <f>IFERROR(__xludf.DUMMYFUNCTION("""COMPUTED_VALUE"""),3.0)</f>
        <v>3</v>
      </c>
      <c r="R28" s="283">
        <f>IFERROR(__xludf.DUMMYFUNCTION("""COMPUTED_VALUE"""),3.9)</f>
        <v>3.9</v>
      </c>
      <c r="S28" s="284">
        <f>IFERROR(__xludf.DUMMYFUNCTION("""COMPUTED_VALUE"""),11.1)</f>
        <v>11.1</v>
      </c>
      <c r="T28" s="283">
        <f>IFERROR(__xludf.DUMMYFUNCTION("""COMPUTED_VALUE"""),1.4)</f>
        <v>1.4</v>
      </c>
      <c r="U28" s="283">
        <f>IFERROR(__xludf.DUMMYFUNCTION("""COMPUTED_VALUE"""),0.7)</f>
        <v>0.7</v>
      </c>
      <c r="V28" s="280">
        <f>IFERROR(__xludf.DUMMYFUNCTION("""COMPUTED_VALUE"""),0.483)</f>
        <v>0.483</v>
      </c>
      <c r="W28" s="280">
        <f>IFERROR(__xludf.DUMMYFUNCTION("""COMPUTED_VALUE"""),0.862)</f>
        <v>0.862</v>
      </c>
      <c r="X28" s="280">
        <f>IFERROR(__xludf.DUMMYFUNCTION("""COMPUTED_VALUE"""),2.5)</f>
        <v>2.5</v>
      </c>
      <c r="Y28" s="283">
        <f>IFERROR(__xludf.DUMMYFUNCTION("""COMPUTED_VALUE"""),0.6563145931819813)</f>
        <v>0.6563145932</v>
      </c>
      <c r="Z28" s="281">
        <f>IFERROR(__xludf.DUMMYFUNCTION("""COMPUTED_VALUE"""),1.2450423898714034)</f>
        <v>1.24504239</v>
      </c>
      <c r="AA28" s="281">
        <f>IFERROR(__xludf.DUMMYFUNCTION("""COMPUTED_VALUE"""),-0.8507706320151226)</f>
        <v>-0.850770632</v>
      </c>
      <c r="AB28" s="281">
        <f>IFERROR(__xludf.DUMMYFUNCTION("""COMPUTED_VALUE"""),3.2641538571300286)</f>
        <v>3.264153857</v>
      </c>
      <c r="AC28" s="281">
        <f>IFERROR(__xludf.DUMMYFUNCTION("""COMPUTED_VALUE"""),1.4068669802785894)</f>
        <v>1.40686698</v>
      </c>
      <c r="AD28" s="281">
        <f>IFERROR(__xludf.DUMMYFUNCTION("""COMPUTED_VALUE"""),-0.08033623668596498)</f>
        <v>-0.08033623669</v>
      </c>
      <c r="AE28" s="281">
        <f>IFERROR(__xludf.DUMMYFUNCTION("""COMPUTED_VALUE"""),-0.2537855436318455)</f>
        <v>-0.2537855436</v>
      </c>
      <c r="AF28" s="281">
        <f>IFERROR(__xludf.DUMMYFUNCTION("""COMPUTED_VALUE"""),0.8315297358777928)</f>
        <v>0.8315297359</v>
      </c>
      <c r="AG28" s="281">
        <f>IFERROR(__xludf.DUMMYFUNCTION("""COMPUTED_VALUE"""),-0.1863172439162465)</f>
        <v>-0.1863172439</v>
      </c>
      <c r="AH28" s="285"/>
      <c r="AI28" s="273"/>
      <c r="AJ28" s="23"/>
      <c r="AK28" s="299">
        <v>100.0</v>
      </c>
      <c r="AL28" s="300">
        <f t="array" ref="AL28">if(AL$20=$J9,"-", countif(indirect(address(row($J$2)+ VLOOKUP(AL$20,$J$3:$J$14,1),COLUMN($K$4))):indirect(address(row($J$2)+ VLOOKUP(AL$20,$J$3:$J$14,1),COLUMN($S$2)))&gt;indirect(address(row($J9),COLUMN($K$2))):indirect(address(row($J9),COLUMN($S$2))),TRUE()))</f>
        <v>3</v>
      </c>
      <c r="AM28" s="301">
        <f t="array" ref="AM28">if(AM$20=$J9,"-", countif(indirect(address(row($J$2)+ VLOOKUP(AM$20,$J$3:$J$14,1),COLUMN($K$4))):indirect(address(row($J$2)+ VLOOKUP(AM$20,$J$3:$J$14,1),COLUMN($S$2)))&gt;indirect(address(row($J9),COLUMN($K$2))):indirect(address(row($J9),COLUMN($S$2))),TRUE()))</f>
        <v>3</v>
      </c>
      <c r="AN28" s="301">
        <f t="array" ref="AN28">if(AN$20=$J9,"-", countif(indirect(address(row($J$2)+ VLOOKUP(AN$20,$J$3:$J$14,1),COLUMN($K$4))):indirect(address(row($J$2)+ VLOOKUP(AN$20,$J$3:$J$14,1),COLUMN($S$2)))&gt;indirect(address(row($J9),COLUMN($K$2))):indirect(address(row($J9),COLUMN($S$2))),TRUE()))</f>
        <v>3</v>
      </c>
      <c r="AO28" s="301">
        <f t="array" ref="AO28">if(AO$20=$J9,"-", countif(indirect(address(row($J$2)+ VLOOKUP(AO$20,$J$3:$J$14,1),COLUMN($K$4))):indirect(address(row($J$2)+ VLOOKUP(AO$20,$J$3:$J$14,1),COLUMN($S$2)))&gt;indirect(address(row($J9),COLUMN($K$2))):indirect(address(row($J9),COLUMN($S$2))),TRUE()))</f>
        <v>6</v>
      </c>
      <c r="AP28" s="301">
        <f t="array" ref="AP28">if(AP$20=$J9,"-", countif(indirect(address(row($J$2)+ VLOOKUP(AP$20,$J$3:$J$14,1),COLUMN($K$4))):indirect(address(row($J$2)+ VLOOKUP(AP$20,$J$3:$J$14,1),COLUMN($S$2)))&gt;indirect(address(row($J9),COLUMN($K$2))):indirect(address(row($J9),COLUMN($S$2))),TRUE()))</f>
        <v>2</v>
      </c>
      <c r="AQ28" s="301">
        <f t="array" ref="AQ28">if(AQ$20=$J9,"-", countif(indirect(address(row($J$2)+ VLOOKUP(AQ$20,$J$3:$J$14,1),COLUMN($K$4))):indirect(address(row($J$2)+ VLOOKUP(AQ$20,$J$3:$J$14,1),COLUMN($S$2)))&gt;indirect(address(row($J9),COLUMN($K$2))):indirect(address(row($J9),COLUMN($S$2))),TRUE()))</f>
        <v>2</v>
      </c>
      <c r="AR28" s="301" t="str">
        <f t="array" ref="AR28">if(AR$20=$J9,"-", countif(indirect(address(row($J$2)+ VLOOKUP(AR$20,$J$3:$J$14,1),COLUMN($K$4))):indirect(address(row($J$2)+ VLOOKUP(AR$20,$J$3:$J$14,1),COLUMN($S$2)))&gt;indirect(address(row($J9),COLUMN($K$2))):indirect(address(row($J9),COLUMN($S$2))),TRUE()))</f>
        <v>-</v>
      </c>
      <c r="AS28" s="301">
        <f t="array" ref="AS28">if(AS$20=$J9,"-", countif(indirect(address(row($J$2)+ VLOOKUP(AS$20,$J$3:$J$14,1),COLUMN($K$4))):indirect(address(row($J$2)+ VLOOKUP(AS$20,$J$3:$J$14,1),COLUMN($S$2)))&gt;indirect(address(row($J9),COLUMN($K$2))):indirect(address(row($J9),COLUMN($S$2))),TRUE()))</f>
        <v>4</v>
      </c>
      <c r="AT28" s="301">
        <f t="array" ref="AT28">if(AT$20=$J9,"-", countif(indirect(address(row($J$2)+ VLOOKUP(AT$20,$J$3:$J$14,1),COLUMN($K$4))):indirect(address(row($J$2)+ VLOOKUP(AT$20,$J$3:$J$14,1),COLUMN($S$2)))&gt;indirect(address(row($J9),COLUMN($K$2))):indirect(address(row($J9),COLUMN($S$2))),TRUE()))</f>
        <v>2</v>
      </c>
      <c r="AU28" s="301">
        <f t="array" ref="AU28">if(AU$20=$J9,"-", countif(indirect(address(row($J$2)+ VLOOKUP(AU$20,$J$3:$J$14,1),COLUMN($K$4))):indirect(address(row($J$2)+ VLOOKUP(AU$20,$J$3:$J$14,1),COLUMN($S$2)))&gt;indirect(address(row($J9),COLUMN($K$2))):indirect(address(row($J9),COLUMN($S$2))),TRUE()))</f>
        <v>2</v>
      </c>
      <c r="AV28" s="301">
        <f t="array" ref="AV28">if(AV$20=$J9,"-", countif(indirect(address(row($J$2)+ VLOOKUP(AV$20,$J$3:$J$14,1),COLUMN($K$4))):indirect(address(row($J$2)+ VLOOKUP(AV$20,$J$3:$J$14,1),COLUMN($S$2)))&gt;indirect(address(row($J9),COLUMN($K$2))):indirect(address(row($J9),COLUMN($S$2))),TRUE()))</f>
        <v>3</v>
      </c>
      <c r="AW28" s="302">
        <f t="array" ref="AW28">if(AW$20=$J9,"-", countif(indirect(address(row($J$2)+ VLOOKUP(AW$20,$J$3:$J$14,1),COLUMN($K$4))):indirect(address(row($J$2)+ VLOOKUP(AW$20,$J$3:$J$14,1),COLUMN($S$2)))&gt;indirect(address(row($J9),COLUMN($K$2))):indirect(address(row($J9),COLUMN($S$2))),TRUE()))</f>
        <v>2</v>
      </c>
      <c r="AX28" s="303">
        <v>7.0</v>
      </c>
      <c r="AY28" s="315" t="str">
        <f t="array" ref="AY28">INDIRECT("Draft!J"&amp;TEXT(VLOOKUP(TRUE,I3:J14,2,0)+2,"0"))</f>
        <v>Jordan Poole</v>
      </c>
      <c r="AZ28" s="317"/>
      <c r="BA28" s="306">
        <f>IF($AY28="","", VLOOKUP($AY28,'Final Update'!$P$21:$AD1015,Column(G7),False))</f>
        <v>20.1</v>
      </c>
      <c r="BB28" s="306">
        <f>IF($AY28="","", VLOOKUP($AY28,'Final Update'!$P$21:$AD1015,Column(H7),False))</f>
        <v>2.6</v>
      </c>
      <c r="BC28" s="306">
        <f>IF($AY28="","", VLOOKUP($AY28,'Final Update'!$P$21:$AD1015,Column(I7),False))</f>
        <v>2.9</v>
      </c>
      <c r="BD28" s="306">
        <f>IF($AY28="","", VLOOKUP($AY28,'Final Update'!$P$21:$AD1015,Column(J7),False))</f>
        <v>5.7</v>
      </c>
      <c r="BE28" s="306">
        <f>IF($AY28="","", VLOOKUP($AY28,'Final Update'!$P$21:$AD1015,Column(K7),False))</f>
        <v>1.1</v>
      </c>
      <c r="BF28" s="306">
        <f>IF($AY28="","", VLOOKUP($AY28,'Final Update'!$P$21:$AD1015,Column(L7),False))</f>
        <v>0.3</v>
      </c>
      <c r="BG28" s="307">
        <f>IF($AY28="","", VLOOKUP($AY28,'Final Update'!$P$21:$AD1015,Column(M7),False))</f>
        <v>0.422</v>
      </c>
      <c r="BH28" s="307">
        <f>IF($AY28="","", VLOOKUP($AY28,'Final Update'!$P$21:$AD1015,Column(N7),False))</f>
        <v>0.871</v>
      </c>
      <c r="BI28" s="307">
        <f>IF($AY28="","", VLOOKUP($AY28,'Final Update'!$P$21:$AD1015,Column(O7),False))</f>
        <v>2.9</v>
      </c>
      <c r="BJ28" s="306" t="str">
        <f>IF($AY28="","", VLOOKUP($AY28,'Final Update'!$P$21:$AD1015,Column(C7),False))</f>
        <v>PG,SG</v>
      </c>
      <c r="BK28" s="318"/>
      <c r="BL28" s="319"/>
      <c r="BM28" s="297"/>
      <c r="BN28" s="297"/>
      <c r="BO28" s="297"/>
      <c r="BP28" s="297"/>
      <c r="BQ28" s="297"/>
      <c r="BR28" s="297"/>
      <c r="BS28" s="297"/>
      <c r="BT28" s="297"/>
      <c r="BU28" s="23"/>
      <c r="BV28" s="23"/>
      <c r="BW28" s="23"/>
    </row>
    <row r="29">
      <c r="A29" s="276">
        <f>VLOOKUP($F29,UpdateHashtag!$V$3:$Y$32,COLUMN(B$15),0)</f>
        <v>4</v>
      </c>
      <c r="B29" s="259">
        <f>VLOOKUP($F29,UpdateHashtag!$V$3:$Y$32,COLUMN(C$13),0)</f>
        <v>3</v>
      </c>
      <c r="C29" s="259">
        <f>VLOOKUP($F29,UpdateHashtag!$V$3:$Y$32,COLUMN(D$13),0)</f>
        <v>4</v>
      </c>
      <c r="D29" s="277">
        <f t="shared" si="4"/>
        <v>11</v>
      </c>
      <c r="E29" s="21"/>
      <c r="F29" s="261" t="str">
        <f>VLOOKUP(J29,UpdateBBM!$C$2:E1015,3,0)</f>
        <v>CHA</v>
      </c>
      <c r="G29" s="248">
        <v>10.0</v>
      </c>
      <c r="H29" s="278">
        <f>IFERROR(__xludf.DUMMYFUNCTION("""COMPUTED_VALUE"""),10.0)</f>
        <v>10</v>
      </c>
      <c r="I29" s="278">
        <f>IFERROR(__xludf.DUMMYFUNCTION("""COMPUTED_VALUE"""),22.3)</f>
        <v>22.3</v>
      </c>
      <c r="J29" s="279" t="str">
        <f>IFERROR(__xludf.DUMMYFUNCTION("""COMPUTED_VALUE"""),"LaMelo Ball")</f>
        <v>LaMelo Ball</v>
      </c>
      <c r="K29" s="278">
        <f>IFERROR(__xludf.DUMMYFUNCTION("""COMPUTED_VALUE"""),75.0)</f>
        <v>75</v>
      </c>
      <c r="L29" s="280" t="str">
        <f>IFERROR(__xludf.DUMMYFUNCTION("""COMPUTED_VALUE"""),"PG,SG")</f>
        <v>PG,SG</v>
      </c>
      <c r="M29" s="281">
        <f>IFERROR(__xludf.DUMMYFUNCTION("""COMPUTED_VALUE"""),6.5143286563032285)</f>
        <v>6.514328656</v>
      </c>
      <c r="N29" s="281">
        <f>IFERROR(__xludf.DUMMYFUNCTION("""COMPUTED_VALUE"""),6.5143286563032285)</f>
        <v>6.514328656</v>
      </c>
      <c r="O29" s="282">
        <f>IFERROR(__xludf.DUMMYFUNCTION("""COMPUTED_VALUE"""),0.0)</f>
        <v>0</v>
      </c>
      <c r="P29" s="283">
        <f>IFERROR(__xludf.DUMMYFUNCTION("""COMPUTED_VALUE"""),23.2)</f>
        <v>23.2</v>
      </c>
      <c r="Q29" s="283">
        <f>IFERROR(__xludf.DUMMYFUNCTION("""COMPUTED_VALUE"""),3.6)</f>
        <v>3.6</v>
      </c>
      <c r="R29" s="283">
        <f>IFERROR(__xludf.DUMMYFUNCTION("""COMPUTED_VALUE"""),5.7)</f>
        <v>5.7</v>
      </c>
      <c r="S29" s="284">
        <f>IFERROR(__xludf.DUMMYFUNCTION("""COMPUTED_VALUE"""),8.6)</f>
        <v>8.6</v>
      </c>
      <c r="T29" s="283">
        <f>IFERROR(__xludf.DUMMYFUNCTION("""COMPUTED_VALUE"""),1.6)</f>
        <v>1.6</v>
      </c>
      <c r="U29" s="283">
        <f>IFERROR(__xludf.DUMMYFUNCTION("""COMPUTED_VALUE"""),0.3)</f>
        <v>0.3</v>
      </c>
      <c r="V29" s="280">
        <f>IFERROR(__xludf.DUMMYFUNCTION("""COMPUTED_VALUE"""),0.427)</f>
        <v>0.427</v>
      </c>
      <c r="W29" s="280">
        <f>IFERROR(__xludf.DUMMYFUNCTION("""COMPUTED_VALUE"""),0.857)</f>
        <v>0.857</v>
      </c>
      <c r="X29" s="280">
        <f>IFERROR(__xludf.DUMMYFUNCTION("""COMPUTED_VALUE"""),3.5)</f>
        <v>3.5</v>
      </c>
      <c r="Y29" s="283">
        <f>IFERROR(__xludf.DUMMYFUNCTION("""COMPUTED_VALUE"""),1.0356754344105719)</f>
        <v>1.035675434</v>
      </c>
      <c r="Z29" s="281">
        <f>IFERROR(__xludf.DUMMYFUNCTION("""COMPUTED_VALUE"""),1.8421881840606524)</f>
        <v>1.842188184</v>
      </c>
      <c r="AA29" s="281">
        <f>IFERROR(__xludf.DUMMYFUNCTION("""COMPUTED_VALUE"""),-0.1446959517656242)</f>
        <v>-0.1446959518</v>
      </c>
      <c r="AB29" s="281">
        <f>IFERROR(__xludf.DUMMYFUNCTION("""COMPUTED_VALUE"""),2.1251095965767046)</f>
        <v>2.125109597</v>
      </c>
      <c r="AC29" s="281">
        <f>IFERROR(__xludf.DUMMYFUNCTION("""COMPUTED_VALUE"""),2.0707323365975485)</f>
        <v>2.070732337</v>
      </c>
      <c r="AD29" s="281">
        <f>IFERROR(__xludf.DUMMYFUNCTION("""COMPUTED_VALUE"""),-0.7939110448965904)</f>
        <v>-0.7939110449</v>
      </c>
      <c r="AE29" s="281">
        <f>IFERROR(__xludf.DUMMYFUNCTION("""COMPUTED_VALUE"""),-1.5724868211410579)</f>
        <v>-1.572486821</v>
      </c>
      <c r="AF29" s="281">
        <f>IFERROR(__xludf.DUMMYFUNCTION("""COMPUTED_VALUE"""),0.813529479996078)</f>
        <v>0.81352948</v>
      </c>
      <c r="AG29" s="281">
        <f>IFERROR(__xludf.DUMMYFUNCTION("""COMPUTED_VALUE"""),-0.43429937867611307)</f>
        <v>-0.4342993787</v>
      </c>
      <c r="AH29" s="285"/>
      <c r="AI29" s="273"/>
      <c r="AJ29" s="23"/>
      <c r="AK29" s="299">
        <v>100.0</v>
      </c>
      <c r="AL29" s="300">
        <f t="array" ref="AL29">if(AL$20=$J10,"-", countif(indirect(address(row($J$2)+ VLOOKUP(AL$20,$J$3:$J$14,1),COLUMN($K$4))):indirect(address(row($J$2)+ VLOOKUP(AL$20,$J$3:$J$14,1),COLUMN($S$2)))&gt;indirect(address(row($J10),COLUMN($K$2))):indirect(address(row($J10),COLUMN($S$2))),TRUE()))</f>
        <v>2</v>
      </c>
      <c r="AM29" s="301">
        <f t="array" ref="AM29">if(AM$20=$J10,"-", countif(indirect(address(row($J$2)+ VLOOKUP(AM$20,$J$3:$J$14,1),COLUMN($K$4))):indirect(address(row($J$2)+ VLOOKUP(AM$20,$J$3:$J$14,1),COLUMN($S$2)))&gt;indirect(address(row($J10),COLUMN($K$2))):indirect(address(row($J10),COLUMN($S$2))),TRUE()))</f>
        <v>2</v>
      </c>
      <c r="AN29" s="301">
        <f t="array" ref="AN29">if(AN$20=$J10,"-", countif(indirect(address(row($J$2)+ VLOOKUP(AN$20,$J$3:$J$14,1),COLUMN($K$4))):indirect(address(row($J$2)+ VLOOKUP(AN$20,$J$3:$J$14,1),COLUMN($S$2)))&gt;indirect(address(row($J10),COLUMN($K$2))):indirect(address(row($J10),COLUMN($S$2))),TRUE()))</f>
        <v>3</v>
      </c>
      <c r="AO29" s="301">
        <f t="array" ref="AO29">if(AO$20=$J10,"-", countif(indirect(address(row($J$2)+ VLOOKUP(AO$20,$J$3:$J$14,1),COLUMN($K$4))):indirect(address(row($J$2)+ VLOOKUP(AO$20,$J$3:$J$14,1),COLUMN($S$2)))&gt;indirect(address(row($J10),COLUMN($K$2))):indirect(address(row($J10),COLUMN($S$2))),TRUE()))</f>
        <v>5</v>
      </c>
      <c r="AP29" s="301">
        <f t="array" ref="AP29">if(AP$20=$J10,"-", countif(indirect(address(row($J$2)+ VLOOKUP(AP$20,$J$3:$J$14,1),COLUMN($K$4))):indirect(address(row($J$2)+ VLOOKUP(AP$20,$J$3:$J$14,1),COLUMN($S$2)))&gt;indirect(address(row($J10),COLUMN($K$2))):indirect(address(row($J10),COLUMN($S$2))),TRUE()))</f>
        <v>2</v>
      </c>
      <c r="AQ29" s="301">
        <f t="array" ref="AQ29">if(AQ$20=$J10,"-", countif(indirect(address(row($J$2)+ VLOOKUP(AQ$20,$J$3:$J$14,1),COLUMN($K$4))):indirect(address(row($J$2)+ VLOOKUP(AQ$20,$J$3:$J$14,1),COLUMN($S$2)))&gt;indirect(address(row($J10),COLUMN($K$2))):indirect(address(row($J10),COLUMN($S$2))),TRUE()))</f>
        <v>1</v>
      </c>
      <c r="AR29" s="301">
        <f t="array" ref="AR29">if(AR$20=$J10,"-", countif(indirect(address(row($J$2)+ VLOOKUP(AR$20,$J$3:$J$14,1),COLUMN($K$4))):indirect(address(row($J$2)+ VLOOKUP(AR$20,$J$3:$J$14,1),COLUMN($S$2)))&gt;indirect(address(row($J10),COLUMN($K$2))):indirect(address(row($J10),COLUMN($S$2))),TRUE()))</f>
        <v>5</v>
      </c>
      <c r="AS29" s="301" t="str">
        <f t="array" ref="AS29">if(AS$20=$J10,"-", countif(indirect(address(row($J$2)+ VLOOKUP(AS$20,$J$3:$J$14,1),COLUMN($K$4))):indirect(address(row($J$2)+ VLOOKUP(AS$20,$J$3:$J$14,1),COLUMN($S$2)))&gt;indirect(address(row($J10),COLUMN($K$2))):indirect(address(row($J10),COLUMN($S$2))),TRUE()))</f>
        <v>-</v>
      </c>
      <c r="AT29" s="301">
        <f t="array" ref="AT29">if(AT$20=$J10,"-", countif(indirect(address(row($J$2)+ VLOOKUP(AT$20,$J$3:$J$14,1),COLUMN($K$4))):indirect(address(row($J$2)+ VLOOKUP(AT$20,$J$3:$J$14,1),COLUMN($S$2)))&gt;indirect(address(row($J10),COLUMN($K$2))):indirect(address(row($J10),COLUMN($S$2))),TRUE()))</f>
        <v>2</v>
      </c>
      <c r="AU29" s="301">
        <f t="array" ref="AU29">if(AU$20=$J10,"-", countif(indirect(address(row($J$2)+ VLOOKUP(AU$20,$J$3:$J$14,1),COLUMN($K$4))):indirect(address(row($J$2)+ VLOOKUP(AU$20,$J$3:$J$14,1),COLUMN($S$2)))&gt;indirect(address(row($J10),COLUMN($K$2))):indirect(address(row($J10),COLUMN($S$2))),TRUE()))</f>
        <v>1</v>
      </c>
      <c r="AV29" s="301">
        <f t="array" ref="AV29">if(AV$20=$J10,"-", countif(indirect(address(row($J$2)+ VLOOKUP(AV$20,$J$3:$J$14,1),COLUMN($K$4))):indirect(address(row($J$2)+ VLOOKUP(AV$20,$J$3:$J$14,1),COLUMN($S$2)))&gt;indirect(address(row($J10),COLUMN($K$2))):indirect(address(row($J10),COLUMN($S$2))),TRUE()))</f>
        <v>2</v>
      </c>
      <c r="AW29" s="302">
        <f t="array" ref="AW29">if(AW$20=$J10,"-", countif(indirect(address(row($J$2)+ VLOOKUP(AW$20,$J$3:$J$14,1),COLUMN($K$4))):indirect(address(row($J$2)+ VLOOKUP(AW$20,$J$3:$J$14,1),COLUMN($S$2)))&gt;indirect(address(row($J10),COLUMN($K$2))):indirect(address(row($J10),COLUMN($S$2))),TRUE()))</f>
        <v>1</v>
      </c>
      <c r="AX29" s="303">
        <v>8.0</v>
      </c>
      <c r="AY29" s="315" t="str">
        <f t="array" ref="AY29">INDIRECT("Draft!K"&amp;TEXT(15-VLOOKUP(TRUE,I3:J14,2,0),"0"))</f>
        <v>Jalen Green</v>
      </c>
      <c r="AZ29" s="317"/>
      <c r="BA29" s="306">
        <f>IF($AY29="","", VLOOKUP($AY29,'Final Update'!$P$21:$AD1015,Column(G8),False))</f>
        <v>20.5</v>
      </c>
      <c r="BB29" s="306">
        <f>IF($AY29="","", VLOOKUP($AY29,'Final Update'!$P$21:$AD1015,Column(H8),False))</f>
        <v>2.4</v>
      </c>
      <c r="BC29" s="306">
        <f>IF($AY29="","", VLOOKUP($AY29,'Final Update'!$P$21:$AD1015,Column(I8),False))</f>
        <v>4.9</v>
      </c>
      <c r="BD29" s="306">
        <f>IF($AY29="","", VLOOKUP($AY29,'Final Update'!$P$21:$AD1015,Column(J8),False))</f>
        <v>3.7</v>
      </c>
      <c r="BE29" s="306">
        <f>IF($AY29="","", VLOOKUP($AY29,'Final Update'!$P$21:$AD1015,Column(K8),False))</f>
        <v>0.9</v>
      </c>
      <c r="BF29" s="306">
        <f>IF($AY29="","", VLOOKUP($AY29,'Final Update'!$P$21:$AD1015,Column(L8),False))</f>
        <v>0.3</v>
      </c>
      <c r="BG29" s="307">
        <f>IF($AY29="","", VLOOKUP($AY29,'Final Update'!$P$21:$AD1015,Column(M8),False))</f>
        <v>0.429</v>
      </c>
      <c r="BH29" s="307">
        <f>IF($AY29="","", VLOOKUP($AY29,'Final Update'!$P$21:$AD1015,Column(N8),False))</f>
        <v>0.807</v>
      </c>
      <c r="BI29" s="307">
        <f>IF($AY29="","", VLOOKUP($AY29,'Final Update'!$P$21:$AD1015,Column(O8),False))</f>
        <v>2.4</v>
      </c>
      <c r="BJ29" s="306" t="str">
        <f>IF($AY29="","", VLOOKUP($AY29,'Final Update'!$P$21:$AD1015,Column(C8),False))</f>
        <v>PG,SG</v>
      </c>
      <c r="BK29" s="318"/>
      <c r="BL29" s="319"/>
      <c r="BM29" s="297"/>
      <c r="BN29" s="297"/>
      <c r="BO29" s="297"/>
      <c r="BP29" s="297"/>
      <c r="BQ29" s="297"/>
      <c r="BR29" s="297"/>
      <c r="BS29" s="297"/>
      <c r="BT29" s="297"/>
      <c r="BU29" s="23"/>
      <c r="BV29" s="23"/>
      <c r="BW29" s="23"/>
    </row>
    <row r="30">
      <c r="A30" s="276">
        <f>VLOOKUP($F30,UpdateHashtag!$V$3:$Y$32,COLUMN(B$15),0)</f>
        <v>4</v>
      </c>
      <c r="B30" s="259">
        <f>VLOOKUP($F30,UpdateHashtag!$V$3:$Y$32,COLUMN(C$13),0)</f>
        <v>4</v>
      </c>
      <c r="C30" s="259">
        <f>VLOOKUP($F30,UpdateHashtag!$V$3:$Y$32,COLUMN(D$13),0)</f>
        <v>4</v>
      </c>
      <c r="D30" s="277">
        <f t="shared" si="4"/>
        <v>12</v>
      </c>
      <c r="E30" s="21"/>
      <c r="F30" s="261" t="str">
        <f>VLOOKUP(J30,UpdateBBM!$C$2:E1015,3,0)</f>
        <v>LAC</v>
      </c>
      <c r="G30" s="248">
        <v>11.0</v>
      </c>
      <c r="H30" s="278">
        <f>IFERROR(__xludf.DUMMYFUNCTION("""COMPUTED_VALUE"""),11.0)</f>
        <v>11</v>
      </c>
      <c r="I30" s="278">
        <f>IFERROR(__xludf.DUMMYFUNCTION("""COMPUTED_VALUE"""),16.2)</f>
        <v>16.2</v>
      </c>
      <c r="J30" s="279" t="str">
        <f>IFERROR(__xludf.DUMMYFUNCTION("""COMPUTED_VALUE"""),"James Harden")</f>
        <v>James Harden</v>
      </c>
      <c r="K30" s="278">
        <f>IFERROR(__xludf.DUMMYFUNCTION("""COMPUTED_VALUE"""),62.0)</f>
        <v>62</v>
      </c>
      <c r="L30" s="280" t="str">
        <f>IFERROR(__xludf.DUMMYFUNCTION("""COMPUTED_VALUE"""),"PG,SG")</f>
        <v>PG,SG</v>
      </c>
      <c r="M30" s="281">
        <f>IFERROR(__xludf.DUMMYFUNCTION("""COMPUTED_VALUE"""),6.006607638177341)</f>
        <v>6.006607638</v>
      </c>
      <c r="N30" s="281">
        <f>IFERROR(__xludf.DUMMYFUNCTION("""COMPUTED_VALUE"""),6.006607638177341)</f>
        <v>6.006607638</v>
      </c>
      <c r="O30" s="282">
        <f>IFERROR(__xludf.DUMMYFUNCTION("""COMPUTED_VALUE"""),0.0)</f>
        <v>0</v>
      </c>
      <c r="P30" s="283">
        <f>IFERROR(__xludf.DUMMYFUNCTION("""COMPUTED_VALUE"""),20.4)</f>
        <v>20.4</v>
      </c>
      <c r="Q30" s="283">
        <f>IFERROR(__xludf.DUMMYFUNCTION("""COMPUTED_VALUE"""),2.8)</f>
        <v>2.8</v>
      </c>
      <c r="R30" s="283">
        <f>IFERROR(__xludf.DUMMYFUNCTION("""COMPUTED_VALUE"""),6.1)</f>
        <v>6.1</v>
      </c>
      <c r="S30" s="284">
        <f>IFERROR(__xludf.DUMMYFUNCTION("""COMPUTED_VALUE"""),10.4)</f>
        <v>10.4</v>
      </c>
      <c r="T30" s="283">
        <f>IFERROR(__xludf.DUMMYFUNCTION("""COMPUTED_VALUE"""),1.1)</f>
        <v>1.1</v>
      </c>
      <c r="U30" s="283">
        <f>IFERROR(__xludf.DUMMYFUNCTION("""COMPUTED_VALUE"""),0.7)</f>
        <v>0.7</v>
      </c>
      <c r="V30" s="280">
        <f>IFERROR(__xludf.DUMMYFUNCTION("""COMPUTED_VALUE"""),0.438)</f>
        <v>0.438</v>
      </c>
      <c r="W30" s="280">
        <f>IFERROR(__xludf.DUMMYFUNCTION("""COMPUTED_VALUE"""),0.871)</f>
        <v>0.871</v>
      </c>
      <c r="X30" s="280">
        <f>IFERROR(__xludf.DUMMYFUNCTION("""COMPUTED_VALUE"""),2.9)</f>
        <v>2.9</v>
      </c>
      <c r="Y30" s="283">
        <f>IFERROR(__xludf.DUMMYFUNCTION("""COMPUTED_VALUE"""),0.529860979439117)</f>
        <v>0.5298609794</v>
      </c>
      <c r="Z30" s="281">
        <f>IFERROR(__xludf.DUMMYFUNCTION("""COMPUTED_VALUE"""),1.0459937918083202)</f>
        <v>1.045993792</v>
      </c>
      <c r="AA30" s="281">
        <f>IFERROR(__xludf.DUMMYFUNCTION("""COMPUTED_VALUE"""),0.012209532734264103)</f>
        <v>0.01220953273</v>
      </c>
      <c r="AB30" s="321">
        <f>IFERROR(__xludf.DUMMYFUNCTION("""COMPUTED_VALUE"""),2.945221464175098)</f>
        <v>2.945221464</v>
      </c>
      <c r="AC30" s="322">
        <f>IFERROR(__xludf.DUMMYFUNCTION("""COMPUTED_VALUE"""),0.41106894580015185)</f>
        <v>0.4110689458</v>
      </c>
      <c r="AD30" s="281">
        <f>IFERROR(__xludf.DUMMYFUNCTION("""COMPUTED_VALUE"""),-0.08033623668596498)</f>
        <v>-0.08033623669</v>
      </c>
      <c r="AE30" s="281">
        <f>IFERROR(__xludf.DUMMYFUNCTION("""COMPUTED_VALUE"""),-1.0213235091497475)</f>
        <v>-1.021323509</v>
      </c>
      <c r="AF30" s="281">
        <f>IFERROR(__xludf.DUMMYFUNCTION("""COMPUTED_VALUE"""),1.4280992587265482)</f>
        <v>1.428099259</v>
      </c>
      <c r="AG30" s="281">
        <f>IFERROR(__xludf.DUMMYFUNCTION("""COMPUTED_VALUE"""),-0.2855100978201931)</f>
        <v>-0.2855100978</v>
      </c>
      <c r="AH30" s="285"/>
      <c r="AI30" s="273"/>
      <c r="AJ30" s="23"/>
      <c r="AK30" s="299">
        <v>100.0</v>
      </c>
      <c r="AL30" s="300">
        <f t="array" ref="AL30">if(AL$20=$J11,"-", countif(indirect(address(row($J$2)+ VLOOKUP(AL$20,$J$3:$J$14,1),COLUMN($K$4))):indirect(address(row($J$2)+ VLOOKUP(AL$20,$J$3:$J$14,1),COLUMN($S$2)))&gt;indirect(address(row($J11),COLUMN($K$2))):indirect(address(row($J11),COLUMN($S$2))),TRUE()))</f>
        <v>7</v>
      </c>
      <c r="AM30" s="301">
        <f t="array" ref="AM30">if(AM$20=$J11,"-", countif(indirect(address(row($J$2)+ VLOOKUP(AM$20,$J$3:$J$14,1),COLUMN($K$4))):indirect(address(row($J$2)+ VLOOKUP(AM$20,$J$3:$J$14,1),COLUMN($S$2)))&gt;indirect(address(row($J11),COLUMN($K$2))):indirect(address(row($J11),COLUMN($S$2))),TRUE()))</f>
        <v>1</v>
      </c>
      <c r="AN30" s="301">
        <f t="array" ref="AN30">if(AN$20=$J11,"-", countif(indirect(address(row($J$2)+ VLOOKUP(AN$20,$J$3:$J$14,1),COLUMN($K$4))):indirect(address(row($J$2)+ VLOOKUP(AN$20,$J$3:$J$14,1),COLUMN($S$2)))&gt;indirect(address(row($J11),COLUMN($K$2))):indirect(address(row($J11),COLUMN($S$2))),TRUE()))</f>
        <v>2</v>
      </c>
      <c r="AO30" s="301">
        <f t="array" ref="AO30">if(AO$20=$J11,"-", countif(indirect(address(row($J$2)+ VLOOKUP(AO$20,$J$3:$J$14,1),COLUMN($K$4))):indirect(address(row($J$2)+ VLOOKUP(AO$20,$J$3:$J$14,1),COLUMN($S$2)))&gt;indirect(address(row($J11),COLUMN($K$2))):indirect(address(row($J11),COLUMN($S$2))),TRUE()))</f>
        <v>7</v>
      </c>
      <c r="AP30" s="301">
        <f t="array" ref="AP30">if(AP$20=$J11,"-", countif(indirect(address(row($J$2)+ VLOOKUP(AP$20,$J$3:$J$14,1),COLUMN($K$4))):indirect(address(row($J$2)+ VLOOKUP(AP$20,$J$3:$J$14,1),COLUMN($S$2)))&gt;indirect(address(row($J11),COLUMN($K$2))):indirect(address(row($J11),COLUMN($S$2))),TRUE()))</f>
        <v>1</v>
      </c>
      <c r="AQ30" s="301">
        <f t="array" ref="AQ30">if(AQ$20=$J11,"-", countif(indirect(address(row($J$2)+ VLOOKUP(AQ$20,$J$3:$J$14,1),COLUMN($K$4))):indirect(address(row($J$2)+ VLOOKUP(AQ$20,$J$3:$J$14,1),COLUMN($S$2)))&gt;indirect(address(row($J11),COLUMN($K$2))):indirect(address(row($J11),COLUMN($S$2))),TRUE()))</f>
        <v>1</v>
      </c>
      <c r="AR30" s="301">
        <f t="array" ref="AR30">if(AR$20=$J11,"-", countif(indirect(address(row($J$2)+ VLOOKUP(AR$20,$J$3:$J$14,1),COLUMN($K$4))):indirect(address(row($J$2)+ VLOOKUP(AR$20,$J$3:$J$14,1),COLUMN($S$2)))&gt;indirect(address(row($J11),COLUMN($K$2))):indirect(address(row($J11),COLUMN($S$2))),TRUE()))</f>
        <v>7</v>
      </c>
      <c r="AS30" s="301">
        <f t="array" ref="AS30">if(AS$20=$J11,"-", countif(indirect(address(row($J$2)+ VLOOKUP(AS$20,$J$3:$J$14,1),COLUMN($K$4))):indirect(address(row($J$2)+ VLOOKUP(AS$20,$J$3:$J$14,1),COLUMN($S$2)))&gt;indirect(address(row($J11),COLUMN($K$2))):indirect(address(row($J11),COLUMN($S$2))),TRUE()))</f>
        <v>7</v>
      </c>
      <c r="AT30" s="301" t="str">
        <f t="array" ref="AT30">if(AT$20=$J11,"-", countif(indirect(address(row($J$2)+ VLOOKUP(AT$20,$J$3:$J$14,1),COLUMN($K$4))):indirect(address(row($J$2)+ VLOOKUP(AT$20,$J$3:$J$14,1),COLUMN($S$2)))&gt;indirect(address(row($J11),COLUMN($K$2))):indirect(address(row($J11),COLUMN($S$2))),TRUE()))</f>
        <v>-</v>
      </c>
      <c r="AU30" s="301">
        <f t="array" ref="AU30">if(AU$20=$J11,"-", countif(indirect(address(row($J$2)+ VLOOKUP(AU$20,$J$3:$J$14,1),COLUMN($K$4))):indirect(address(row($J$2)+ VLOOKUP(AU$20,$J$3:$J$14,1),COLUMN($S$2)))&gt;indirect(address(row($J11),COLUMN($K$2))):indirect(address(row($J11),COLUMN($S$2))),TRUE()))</f>
        <v>6</v>
      </c>
      <c r="AV30" s="301">
        <f t="array" ref="AV30">if(AV$20=$J11,"-", countif(indirect(address(row($J$2)+ VLOOKUP(AV$20,$J$3:$J$14,1),COLUMN($K$4))):indirect(address(row($J$2)+ VLOOKUP(AV$20,$J$3:$J$14,1),COLUMN($S$2)))&gt;indirect(address(row($J11),COLUMN($K$2))):indirect(address(row($J11),COLUMN($S$2))),TRUE()))</f>
        <v>1</v>
      </c>
      <c r="AW30" s="302">
        <f t="array" ref="AW30">if(AW$20=$J11,"-", countif(indirect(address(row($J$2)+ VLOOKUP(AW$20,$J$3:$J$14,1),COLUMN($K$4))):indirect(address(row($J$2)+ VLOOKUP(AW$20,$J$3:$J$14,1),COLUMN($S$2)))&gt;indirect(address(row($J11),COLUMN($K$2))):indirect(address(row($J11),COLUMN($S$2))),TRUE()))</f>
        <v>7</v>
      </c>
      <c r="AX30" s="303">
        <v>9.0</v>
      </c>
      <c r="AY30" s="315" t="str">
        <f t="array" ref="AY30">INDIRECT("Draft!L"&amp;TEXT(VLOOKUP(TRUE,I3:J14,2,0)+2,"0"))</f>
        <v>Bobby Portis</v>
      </c>
      <c r="AZ30" s="317"/>
      <c r="BA30" s="306">
        <f>IF($AY30="","", VLOOKUP($AY30,'Final Update'!$P$21:$AD1015,Column(G9),False))</f>
        <v>14.1</v>
      </c>
      <c r="BB30" s="306">
        <f>IF($AY30="","", VLOOKUP($AY30,'Final Update'!$P$21:$AD1015,Column(H9),False))</f>
        <v>1.3</v>
      </c>
      <c r="BC30" s="306">
        <f>IF($AY30="","", VLOOKUP($AY30,'Final Update'!$P$21:$AD1015,Column(I9),False))</f>
        <v>8.3</v>
      </c>
      <c r="BD30" s="306">
        <f>IF($AY30="","", VLOOKUP($AY30,'Final Update'!$P$21:$AD1015,Column(J9),False))</f>
        <v>1.4</v>
      </c>
      <c r="BE30" s="306">
        <f>IF($AY30="","", VLOOKUP($AY30,'Final Update'!$P$21:$AD1015,Column(K9),False))</f>
        <v>0.7</v>
      </c>
      <c r="BF30" s="306">
        <f>IF($AY30="","", VLOOKUP($AY30,'Final Update'!$P$21:$AD1015,Column(L9),False))</f>
        <v>0.3</v>
      </c>
      <c r="BG30" s="307">
        <f>IF($AY30="","", VLOOKUP($AY30,'Final Update'!$P$21:$AD1015,Column(M9),False))</f>
        <v>0.502</v>
      </c>
      <c r="BH30" s="307">
        <f>IF($AY30="","", VLOOKUP($AY30,'Final Update'!$P$21:$AD1015,Column(N9),False))</f>
        <v>0.777</v>
      </c>
      <c r="BI30" s="307">
        <f>IF($AY30="","", VLOOKUP($AY30,'Final Update'!$P$21:$AD1015,Column(O9),False))</f>
        <v>1.1</v>
      </c>
      <c r="BJ30" s="306" t="str">
        <f>IF($AY30="","", VLOOKUP($AY30,'Final Update'!$P$21:$AD1015,Column(C9),False))</f>
        <v>PF,C</v>
      </c>
      <c r="BK30" s="318"/>
      <c r="BL30" s="319"/>
      <c r="BM30" s="297"/>
      <c r="BN30" s="297"/>
      <c r="BO30" s="297"/>
      <c r="BP30" s="297"/>
      <c r="BQ30" s="297"/>
      <c r="BR30" s="297"/>
      <c r="BS30" s="297"/>
      <c r="BT30" s="297"/>
      <c r="BU30" s="23"/>
      <c r="BV30" s="23"/>
      <c r="BW30" s="23"/>
    </row>
    <row r="31">
      <c r="A31" s="276">
        <f>VLOOKUP($F31,UpdateHashtag!$V$3:$Y$32,COLUMN(B$15),0)</f>
        <v>3</v>
      </c>
      <c r="B31" s="259">
        <f>VLOOKUP($F31,UpdateHashtag!$V$3:$Y$32,COLUMN(C$13),0)</f>
        <v>4</v>
      </c>
      <c r="C31" s="259">
        <f>VLOOKUP($F31,UpdateHashtag!$V$3:$Y$32,COLUMN(D$13),0)</f>
        <v>3</v>
      </c>
      <c r="D31" s="277">
        <f t="shared" si="4"/>
        <v>10</v>
      </c>
      <c r="E31" s="21"/>
      <c r="F31" s="261" t="str">
        <f>VLOOKUP(J31,UpdateBBM!$C$2:E1015,3,0)</f>
        <v>BOS</v>
      </c>
      <c r="G31" s="248">
        <v>12.0</v>
      </c>
      <c r="H31" s="278">
        <f>IFERROR(__xludf.DUMMYFUNCTION("""COMPUTED_VALUE"""),12.0)</f>
        <v>12</v>
      </c>
      <c r="I31" s="278">
        <f>IFERROR(__xludf.DUMMYFUNCTION("""COMPUTED_VALUE"""),9.5)</f>
        <v>9.5</v>
      </c>
      <c r="J31" s="279" t="str">
        <f>IFERROR(__xludf.DUMMYFUNCTION("""COMPUTED_VALUE"""),"Jayson Tatum")</f>
        <v>Jayson Tatum</v>
      </c>
      <c r="K31" s="278">
        <f>IFERROR(__xludf.DUMMYFUNCTION("""COMPUTED_VALUE"""),66.0)</f>
        <v>66</v>
      </c>
      <c r="L31" s="280" t="str">
        <f>IFERROR(__xludf.DUMMYFUNCTION("""COMPUTED_VALUE"""),"SF,PF")</f>
        <v>SF,PF</v>
      </c>
      <c r="M31" s="281">
        <f>IFERROR(__xludf.DUMMYFUNCTION("""COMPUTED_VALUE"""),5.917048842687828)</f>
        <v>5.917048843</v>
      </c>
      <c r="N31" s="281">
        <f>IFERROR(__xludf.DUMMYFUNCTION("""COMPUTED_VALUE"""),5.917048842687828)</f>
        <v>5.917048843</v>
      </c>
      <c r="O31" s="282">
        <f>IFERROR(__xludf.DUMMYFUNCTION("""COMPUTED_VALUE"""),0.0)</f>
        <v>0</v>
      </c>
      <c r="P31" s="283">
        <f>IFERROR(__xludf.DUMMYFUNCTION("""COMPUTED_VALUE"""),27.9)</f>
        <v>27.9</v>
      </c>
      <c r="Q31" s="283">
        <f>IFERROR(__xludf.DUMMYFUNCTION("""COMPUTED_VALUE"""),2.9)</f>
        <v>2.9</v>
      </c>
      <c r="R31" s="283">
        <f>IFERROR(__xludf.DUMMYFUNCTION("""COMPUTED_VALUE"""),9.0)</f>
        <v>9</v>
      </c>
      <c r="S31" s="284">
        <f>IFERROR(__xludf.DUMMYFUNCTION("""COMPUTED_VALUE"""),5.1)</f>
        <v>5.1</v>
      </c>
      <c r="T31" s="283">
        <f>IFERROR(__xludf.DUMMYFUNCTION("""COMPUTED_VALUE"""),1.1)</f>
        <v>1.1</v>
      </c>
      <c r="U31" s="283">
        <f>IFERROR(__xludf.DUMMYFUNCTION("""COMPUTED_VALUE"""),0.7)</f>
        <v>0.7</v>
      </c>
      <c r="V31" s="280">
        <f>IFERROR(__xludf.DUMMYFUNCTION("""COMPUTED_VALUE"""),0.469)</f>
        <v>0.469</v>
      </c>
      <c r="W31" s="280">
        <f>IFERROR(__xludf.DUMMYFUNCTION("""COMPUTED_VALUE"""),0.836)</f>
        <v>0.836</v>
      </c>
      <c r="X31" s="280">
        <f>IFERROR(__xludf.DUMMYFUNCTION("""COMPUTED_VALUE"""),2.5)</f>
        <v>2.5</v>
      </c>
      <c r="Y31" s="283">
        <f>IFERROR(__xludf.DUMMYFUNCTION("""COMPUTED_VALUE"""),1.8847211266840846)</f>
        <v>1.884721127</v>
      </c>
      <c r="Z31" s="281">
        <f>IFERROR(__xludf.DUMMYFUNCTION("""COMPUTED_VALUE"""),1.145518090839862)</f>
        <v>1.145518091</v>
      </c>
      <c r="AA31" s="281">
        <f>IFERROR(__xludf.DUMMYFUNCTION("""COMPUTED_VALUE"""),1.149774295358456)</f>
        <v>1.149774295</v>
      </c>
      <c r="AB31" s="281">
        <f>IFERROR(__xludf.DUMMYFUNCTION("""COMPUTED_VALUE"""),0.5304476318020513)</f>
        <v>0.5304476318</v>
      </c>
      <c r="AC31" s="281">
        <f>IFERROR(__xludf.DUMMYFUNCTION("""COMPUTED_VALUE"""),0.41106894580015185)</f>
        <v>0.4110689458</v>
      </c>
      <c r="AD31" s="281">
        <f>IFERROR(__xludf.DUMMYFUNCTION("""COMPUTED_VALUE"""),-0.08033623668596498)</f>
        <v>-0.08033623669</v>
      </c>
      <c r="AE31" s="281">
        <f>IFERROR(__xludf.DUMMYFUNCTION("""COMPUTED_VALUE"""),-0.6567939692109008)</f>
        <v>-0.6567939692</v>
      </c>
      <c r="AF31" s="281">
        <f>IFERROR(__xludf.DUMMYFUNCTION("""COMPUTED_VALUE"""),1.0621722328054333)</f>
        <v>1.062172233</v>
      </c>
      <c r="AG31" s="281">
        <f>IFERROR(__xludf.DUMMYFUNCTION("""COMPUTED_VALUE"""),-0.1863172439162465)</f>
        <v>-0.1863172439</v>
      </c>
      <c r="AH31" s="285"/>
      <c r="AI31" s="273"/>
      <c r="AJ31" s="23"/>
      <c r="AK31" s="299">
        <v>100.0</v>
      </c>
      <c r="AL31" s="300">
        <f t="array" ref="AL31">if(AL$20=$J12,"-", countif(indirect(address(row($J$2)+ VLOOKUP(AL$20,$J$3:$J$14,1),COLUMN($K$4))):indirect(address(row($J$2)+ VLOOKUP(AL$20,$J$3:$J$14,1),COLUMN($S$2)))&gt;indirect(address(row($J12),COLUMN($K$2))):indirect(address(row($J12),COLUMN($S$2))),TRUE()))</f>
        <v>2</v>
      </c>
      <c r="AM31" s="301">
        <f t="array" ref="AM31">if(AM$20=$J12,"-", countif(indirect(address(row($J$2)+ VLOOKUP(AM$20,$J$3:$J$14,1),COLUMN($K$4))):indirect(address(row($J$2)+ VLOOKUP(AM$20,$J$3:$J$14,1),COLUMN($S$2)))&gt;indirect(address(row($J12),COLUMN($K$2))):indirect(address(row($J12),COLUMN($S$2))),TRUE()))</f>
        <v>2</v>
      </c>
      <c r="AN31" s="301">
        <f t="array" ref="AN31">if(AN$20=$J12,"-", countif(indirect(address(row($J$2)+ VLOOKUP(AN$20,$J$3:$J$14,1),COLUMN($K$4))):indirect(address(row($J$2)+ VLOOKUP(AN$20,$J$3:$J$14,1),COLUMN($S$2)))&gt;indirect(address(row($J12),COLUMN($K$2))):indirect(address(row($J12),COLUMN($S$2))),TRUE()))</f>
        <v>3</v>
      </c>
      <c r="AO31" s="301">
        <f t="array" ref="AO31">if(AO$20=$J12,"-", countif(indirect(address(row($J$2)+ VLOOKUP(AO$20,$J$3:$J$14,1),COLUMN($K$4))):indirect(address(row($J$2)+ VLOOKUP(AO$20,$J$3:$J$14,1),COLUMN($S$2)))&gt;indirect(address(row($J12),COLUMN($K$2))):indirect(address(row($J12),COLUMN($S$2))),TRUE()))</f>
        <v>7</v>
      </c>
      <c r="AP31" s="301">
        <f t="array" ref="AP31">if(AP$20=$J12,"-", countif(indirect(address(row($J$2)+ VLOOKUP(AP$20,$J$3:$J$14,1),COLUMN($K$4))):indirect(address(row($J$2)+ VLOOKUP(AP$20,$J$3:$J$14,1),COLUMN($S$2)))&gt;indirect(address(row($J12),COLUMN($K$2))):indirect(address(row($J12),COLUMN($S$2))),TRUE()))</f>
        <v>2</v>
      </c>
      <c r="AQ31" s="301">
        <f t="array" ref="AQ31">if(AQ$20=$J12,"-", countif(indirect(address(row($J$2)+ VLOOKUP(AQ$20,$J$3:$J$14,1),COLUMN($K$4))):indirect(address(row($J$2)+ VLOOKUP(AQ$20,$J$3:$J$14,1),COLUMN($S$2)))&gt;indirect(address(row($J12),COLUMN($K$2))):indirect(address(row($J12),COLUMN($S$2))),TRUE()))</f>
        <v>2</v>
      </c>
      <c r="AR31" s="301">
        <f t="array" ref="AR31">if(AR$20=$J12,"-", countif(indirect(address(row($J$2)+ VLOOKUP(AR$20,$J$3:$J$14,1),COLUMN($K$4))):indirect(address(row($J$2)+ VLOOKUP(AR$20,$J$3:$J$14,1),COLUMN($S$2)))&gt;indirect(address(row($J12),COLUMN($K$2))):indirect(address(row($J12),COLUMN($S$2))),TRUE()))</f>
        <v>7</v>
      </c>
      <c r="AS31" s="301">
        <f t="array" ref="AS31">if(AS$20=$J12,"-", countif(indirect(address(row($J$2)+ VLOOKUP(AS$20,$J$3:$J$14,1),COLUMN($K$4))):indirect(address(row($J$2)+ VLOOKUP(AS$20,$J$3:$J$14,1),COLUMN($S$2)))&gt;indirect(address(row($J12),COLUMN($K$2))):indirect(address(row($J12),COLUMN($S$2))),TRUE()))</f>
        <v>8</v>
      </c>
      <c r="AT31" s="301">
        <f t="array" ref="AT31">if(AT$20=$J12,"-", countif(indirect(address(row($J$2)+ VLOOKUP(AT$20,$J$3:$J$14,1),COLUMN($K$4))):indirect(address(row($J$2)+ VLOOKUP(AT$20,$J$3:$J$14,1),COLUMN($S$2)))&gt;indirect(address(row($J12),COLUMN($K$2))):indirect(address(row($J12),COLUMN($S$2))),TRUE()))</f>
        <v>3</v>
      </c>
      <c r="AU31" s="301" t="str">
        <f t="array" ref="AU31">if(AU$20=$J12,"-", countif(indirect(address(row($J$2)+ VLOOKUP(AU$20,$J$3:$J$14,1),COLUMN($K$4))):indirect(address(row($J$2)+ VLOOKUP(AU$20,$J$3:$J$14,1),COLUMN($S$2)))&gt;indirect(address(row($J12),COLUMN($K$2))):indirect(address(row($J12),COLUMN($S$2))),TRUE()))</f>
        <v>-</v>
      </c>
      <c r="AV31" s="301">
        <f t="array" ref="AV31">if(AV$20=$J12,"-", countif(indirect(address(row($J$2)+ VLOOKUP(AV$20,$J$3:$J$14,1),COLUMN($K$4))):indirect(address(row($J$2)+ VLOOKUP(AV$20,$J$3:$J$14,1),COLUMN($S$2)))&gt;indirect(address(row($J12),COLUMN($K$2))):indirect(address(row($J12),COLUMN($S$2))),TRUE()))</f>
        <v>2</v>
      </c>
      <c r="AW31" s="302">
        <f t="array" ref="AW31">if(AW$20=$J12,"-", countif(indirect(address(row($J$2)+ VLOOKUP(AW$20,$J$3:$J$14,1),COLUMN($K$4))):indirect(address(row($J$2)+ VLOOKUP(AW$20,$J$3:$J$14,1),COLUMN($S$2)))&gt;indirect(address(row($J12),COLUMN($K$2))):indirect(address(row($J12),COLUMN($S$2))),TRUE()))</f>
        <v>2</v>
      </c>
      <c r="AX31" s="303">
        <v>10.0</v>
      </c>
      <c r="AY31" s="315" t="str">
        <f t="array" ref="AY31">INDIRECT("Draft!M"&amp;TEXT(15-VLOOKUP(TRUE,I3:J14,2,0),"0"))</f>
        <v>Reed Sheppard</v>
      </c>
      <c r="AZ31" s="317"/>
      <c r="BA31" s="306">
        <f>IF($AY31="","", VLOOKUP($AY31,'Final Update'!$P$21:$AD1015,Column(G10),False))</f>
        <v>6.7</v>
      </c>
      <c r="BB31" s="306">
        <f>IF($AY31="","", VLOOKUP($AY31,'Final Update'!$P$21:$AD1015,Column(H10),False))</f>
        <v>1.3</v>
      </c>
      <c r="BC31" s="306">
        <f>IF($AY31="","", VLOOKUP($AY31,'Final Update'!$P$21:$AD1015,Column(I10),False))</f>
        <v>2.5</v>
      </c>
      <c r="BD31" s="306">
        <f>IF($AY31="","", VLOOKUP($AY31,'Final Update'!$P$21:$AD1015,Column(J10),False))</f>
        <v>2.4</v>
      </c>
      <c r="BE31" s="306">
        <f>IF($AY31="","", VLOOKUP($AY31,'Final Update'!$P$21:$AD1015,Column(K10),False))</f>
        <v>1.3</v>
      </c>
      <c r="BF31" s="306">
        <f>IF($AY31="","", VLOOKUP($AY31,'Final Update'!$P$21:$AD1015,Column(L10),False))</f>
        <v>0.4</v>
      </c>
      <c r="BG31" s="307">
        <f>IF($AY31="","", VLOOKUP($AY31,'Final Update'!$P$21:$AD1015,Column(M10),False))</f>
        <v>0.472</v>
      </c>
      <c r="BH31" s="307">
        <f>IF($AY31="","", VLOOKUP($AY31,'Final Update'!$P$21:$AD1015,Column(N10),False))</f>
        <v>0.835</v>
      </c>
      <c r="BI31" s="307">
        <f>IF($AY31="","", VLOOKUP($AY31,'Final Update'!$P$21:$AD1015,Column(O10),False))</f>
        <v>1.1</v>
      </c>
      <c r="BJ31" s="306" t="str">
        <f>IF($AY31="","", VLOOKUP($AY31,'Final Update'!$P$21:$AD1015,Column(C10),False))</f>
        <v>SG</v>
      </c>
      <c r="BK31" s="318"/>
      <c r="BL31" s="319"/>
      <c r="BM31" s="297"/>
      <c r="BN31" s="297"/>
      <c r="BO31" s="297"/>
      <c r="BP31" s="297"/>
      <c r="BQ31" s="297"/>
      <c r="BR31" s="297"/>
      <c r="BS31" s="297"/>
      <c r="BT31" s="297"/>
      <c r="BU31" s="23"/>
      <c r="BV31" s="23"/>
      <c r="BW31" s="23"/>
    </row>
    <row r="32">
      <c r="A32" s="276">
        <f>VLOOKUP($F32,UpdateHashtag!$V$3:$Y$32,COLUMN(B$15),0)</f>
        <v>4</v>
      </c>
      <c r="B32" s="259">
        <f>VLOOKUP($F32,UpdateHashtag!$V$3:$Y$32,COLUMN(C$13),0)</f>
        <v>3</v>
      </c>
      <c r="C32" s="259">
        <f>VLOOKUP($F32,UpdateHashtag!$V$3:$Y$32,COLUMN(D$13),0)</f>
        <v>4</v>
      </c>
      <c r="D32" s="277">
        <f t="shared" si="4"/>
        <v>11</v>
      </c>
      <c r="E32" s="21"/>
      <c r="F32" s="261" t="str">
        <f>VLOOKUP(J32,UpdateBBM!$C$2:E1015,3,0)</f>
        <v>CLE</v>
      </c>
      <c r="G32" s="248">
        <v>13.0</v>
      </c>
      <c r="H32" s="278">
        <f>IFERROR(__xludf.DUMMYFUNCTION("""COMPUTED_VALUE"""),13.0)</f>
        <v>13</v>
      </c>
      <c r="I32" s="278">
        <f>IFERROR(__xludf.DUMMYFUNCTION("""COMPUTED_VALUE"""),17.0)</f>
        <v>17</v>
      </c>
      <c r="J32" s="279" t="str">
        <f>IFERROR(__xludf.DUMMYFUNCTION("""COMPUTED_VALUE"""),"Donovan Mitchell")</f>
        <v>Donovan Mitchell</v>
      </c>
      <c r="K32" s="278">
        <f>IFERROR(__xludf.DUMMYFUNCTION("""COMPUTED_VALUE"""),71.0)</f>
        <v>71</v>
      </c>
      <c r="L32" s="280" t="str">
        <f>IFERROR(__xludf.DUMMYFUNCTION("""COMPUTED_VALUE"""),"PG,SG")</f>
        <v>PG,SG</v>
      </c>
      <c r="M32" s="281">
        <f>IFERROR(__xludf.DUMMYFUNCTION("""COMPUTED_VALUE"""),5.687658286753553)</f>
        <v>5.687658287</v>
      </c>
      <c r="N32" s="281">
        <f>IFERROR(__xludf.DUMMYFUNCTION("""COMPUTED_VALUE"""),5.687658286753553)</f>
        <v>5.687658287</v>
      </c>
      <c r="O32" s="282">
        <f>IFERROR(__xludf.DUMMYFUNCTION("""COMPUTED_VALUE"""),0.0)</f>
        <v>0</v>
      </c>
      <c r="P32" s="283">
        <f>IFERROR(__xludf.DUMMYFUNCTION("""COMPUTED_VALUE"""),26.2)</f>
        <v>26.2</v>
      </c>
      <c r="Q32" s="283">
        <f>IFERROR(__xludf.DUMMYFUNCTION("""COMPUTED_VALUE"""),3.3)</f>
        <v>3.3</v>
      </c>
      <c r="R32" s="283">
        <f>IFERROR(__xludf.DUMMYFUNCTION("""COMPUTED_VALUE"""),4.4)</f>
        <v>4.4</v>
      </c>
      <c r="S32" s="284">
        <f>IFERROR(__xludf.DUMMYFUNCTION("""COMPUTED_VALUE"""),5.4)</f>
        <v>5.4</v>
      </c>
      <c r="T32" s="283">
        <f>IFERROR(__xludf.DUMMYFUNCTION("""COMPUTED_VALUE"""),1.6)</f>
        <v>1.6</v>
      </c>
      <c r="U32" s="283">
        <f>IFERROR(__xludf.DUMMYFUNCTION("""COMPUTED_VALUE"""),0.4)</f>
        <v>0.4</v>
      </c>
      <c r="V32" s="280">
        <f>IFERROR(__xludf.DUMMYFUNCTION("""COMPUTED_VALUE"""),0.468)</f>
        <v>0.468</v>
      </c>
      <c r="W32" s="280">
        <f>IFERROR(__xludf.DUMMYFUNCTION("""COMPUTED_VALUE"""),0.866)</f>
        <v>0.866</v>
      </c>
      <c r="X32" s="280">
        <f>IFERROR(__xludf.DUMMYFUNCTION("""COMPUTED_VALUE"""),2.8)</f>
        <v>2.8</v>
      </c>
      <c r="Y32" s="283">
        <f>IFERROR(__xludf.DUMMYFUNCTION("""COMPUTED_VALUE"""),1.5776194933085588)</f>
        <v>1.577619493</v>
      </c>
      <c r="Z32" s="281">
        <f>IFERROR(__xludf.DUMMYFUNCTION("""COMPUTED_VALUE"""),1.5436152869660278)</f>
        <v>1.543615287</v>
      </c>
      <c r="AA32" s="281">
        <f>IFERROR(__xludf.DUMMYFUNCTION("""COMPUTED_VALUE"""),-0.6546387763902618)</f>
        <v>-0.6546387764</v>
      </c>
      <c r="AB32" s="281">
        <f>IFERROR(__xludf.DUMMYFUNCTION("""COMPUTED_VALUE"""),0.6671329430684506)</f>
        <v>0.6671329431</v>
      </c>
      <c r="AC32" s="281">
        <f>IFERROR(__xludf.DUMMYFUNCTION("""COMPUTED_VALUE"""),2.0707323365975485)</f>
        <v>2.070732337</v>
      </c>
      <c r="AD32" s="281">
        <f>IFERROR(__xludf.DUMMYFUNCTION("""COMPUTED_VALUE"""),-0.6155173428439339)</f>
        <v>-0.6155173428</v>
      </c>
      <c r="AE32" s="281">
        <f>IFERROR(__xludf.DUMMYFUNCTION("""COMPUTED_VALUE"""),-0.6600421969098721)</f>
        <v>-0.6600421969</v>
      </c>
      <c r="AF32" s="281">
        <f>IFERROR(__xludf.DUMMYFUNCTION("""COMPUTED_VALUE"""),1.35942623039137)</f>
        <v>1.35942623</v>
      </c>
      <c r="AG32" s="281">
        <f>IFERROR(__xludf.DUMMYFUNCTION("""COMPUTED_VALUE"""),-0.2607118843442064)</f>
        <v>-0.2607118843</v>
      </c>
      <c r="AH32" s="285"/>
      <c r="AI32" s="273"/>
      <c r="AJ32" s="23"/>
      <c r="AK32" s="299">
        <v>100.0</v>
      </c>
      <c r="AL32" s="300">
        <f t="array" ref="AL32">if(AL$20=$J13,"-", countif(indirect(address(row($J$2)+ VLOOKUP(AL$20,$J$3:$J$14,1),COLUMN($K$4))):indirect(address(row($J$2)+ VLOOKUP(AL$20,$J$3:$J$14,1),COLUMN($S$2)))&gt;indirect(address(row($J13),COLUMN($K$2))):indirect(address(row($J13),COLUMN($S$2))),TRUE()))</f>
        <v>6</v>
      </c>
      <c r="AM32" s="301">
        <f t="array" ref="AM32">if(AM$20=$J13,"-", countif(indirect(address(row($J$2)+ VLOOKUP(AM$20,$J$3:$J$14,1),COLUMN($K$4))):indirect(address(row($J$2)+ VLOOKUP(AM$20,$J$3:$J$14,1),COLUMN($S$2)))&gt;indirect(address(row($J13),COLUMN($K$2))):indirect(address(row($J13),COLUMN($S$2))),TRUE()))</f>
        <v>1</v>
      </c>
      <c r="AN32" s="301">
        <f t="array" ref="AN32">if(AN$20=$J13,"-", countif(indirect(address(row($J$2)+ VLOOKUP(AN$20,$J$3:$J$14,1),COLUMN($K$4))):indirect(address(row($J$2)+ VLOOKUP(AN$20,$J$3:$J$14,1),COLUMN($S$2)))&gt;indirect(address(row($J13),COLUMN($K$2))):indirect(address(row($J13),COLUMN($S$2))),TRUE()))</f>
        <v>1</v>
      </c>
      <c r="AO32" s="301">
        <f t="array" ref="AO32">if(AO$20=$J13,"-", countif(indirect(address(row($J$2)+ VLOOKUP(AO$20,$J$3:$J$14,1),COLUMN($K$4))):indirect(address(row($J$2)+ VLOOKUP(AO$20,$J$3:$J$14,1),COLUMN($S$2)))&gt;indirect(address(row($J13),COLUMN($K$2))):indirect(address(row($J13),COLUMN($S$2))),TRUE()))</f>
        <v>7</v>
      </c>
      <c r="AP32" s="301">
        <f t="array" ref="AP32">if(AP$20=$J13,"-", countif(indirect(address(row($J$2)+ VLOOKUP(AP$20,$J$3:$J$14,1),COLUMN($K$4))):indirect(address(row($J$2)+ VLOOKUP(AP$20,$J$3:$J$14,1),COLUMN($S$2)))&gt;indirect(address(row($J13),COLUMN($K$2))):indirect(address(row($J13),COLUMN($S$2))),TRUE()))</f>
        <v>1</v>
      </c>
      <c r="AQ32" s="301">
        <f t="array" ref="AQ32">if(AQ$20=$J13,"-", countif(indirect(address(row($J$2)+ VLOOKUP(AQ$20,$J$3:$J$14,1),COLUMN($K$4))):indirect(address(row($J$2)+ VLOOKUP(AQ$20,$J$3:$J$14,1),COLUMN($S$2)))&gt;indirect(address(row($J13),COLUMN($K$2))):indirect(address(row($J13),COLUMN($S$2))),TRUE()))</f>
        <v>1</v>
      </c>
      <c r="AR32" s="301">
        <f t="array" ref="AR32">if(AR$20=$J13,"-", countif(indirect(address(row($J$2)+ VLOOKUP(AR$20,$J$3:$J$14,1),COLUMN($K$4))):indirect(address(row($J$2)+ VLOOKUP(AR$20,$J$3:$J$14,1),COLUMN($S$2)))&gt;indirect(address(row($J13),COLUMN($K$2))):indirect(address(row($J13),COLUMN($S$2))),TRUE()))</f>
        <v>6</v>
      </c>
      <c r="AS32" s="301">
        <f t="array" ref="AS32">if(AS$20=$J13,"-", countif(indirect(address(row($J$2)+ VLOOKUP(AS$20,$J$3:$J$14,1),COLUMN($K$4))):indirect(address(row($J$2)+ VLOOKUP(AS$20,$J$3:$J$14,1),COLUMN($S$2)))&gt;indirect(address(row($J13),COLUMN($K$2))):indirect(address(row($J13),COLUMN($S$2))),TRUE()))</f>
        <v>7</v>
      </c>
      <c r="AT32" s="301">
        <f t="array" ref="AT32">if(AT$20=$J13,"-", countif(indirect(address(row($J$2)+ VLOOKUP(AT$20,$J$3:$J$14,1),COLUMN($K$4))):indirect(address(row($J$2)+ VLOOKUP(AT$20,$J$3:$J$14,1),COLUMN($S$2)))&gt;indirect(address(row($J13),COLUMN($K$2))):indirect(address(row($J13),COLUMN($S$2))),TRUE()))</f>
        <v>1</v>
      </c>
      <c r="AU32" s="301">
        <f t="array" ref="AU32">if(AU$20=$J13,"-", countif(indirect(address(row($J$2)+ VLOOKUP(AU$20,$J$3:$J$14,1),COLUMN($K$4))):indirect(address(row($J$2)+ VLOOKUP(AU$20,$J$3:$J$14,1),COLUMN($S$2)))&gt;indirect(address(row($J13),COLUMN($K$2))):indirect(address(row($J13),COLUMN($S$2))),TRUE()))</f>
        <v>7</v>
      </c>
      <c r="AV32" s="301" t="str">
        <f t="array" ref="AV32">if(AV$20=$J13,"-", countif(indirect(address(row($J$2)+ VLOOKUP(AV$20,$J$3:$J$14,1),COLUMN($K$4))):indirect(address(row($J$2)+ VLOOKUP(AV$20,$J$3:$J$14,1),COLUMN($S$2)))&gt;indirect(address(row($J13),COLUMN($K$2))):indirect(address(row($J13),COLUMN($S$2))),TRUE()))</f>
        <v>-</v>
      </c>
      <c r="AW32" s="302">
        <f t="array" ref="AW32">if(AW$20=$J13,"-", countif(indirect(address(row($J$2)+ VLOOKUP(AW$20,$J$3:$J$14,1),COLUMN($K$4))):indirect(address(row($J$2)+ VLOOKUP(AW$20,$J$3:$J$14,1),COLUMN($S$2)))&gt;indirect(address(row($J13),COLUMN($K$2))):indirect(address(row($J13),COLUMN($S$2))),TRUE()))</f>
        <v>7</v>
      </c>
      <c r="AX32" s="303">
        <v>11.0</v>
      </c>
      <c r="AY32" s="315" t="str">
        <f t="array" ref="AY32">INDIRECT("Draft!N"&amp;TEXT(VLOOKUP(TRUE,I3:J14,2,0)+2,"0"))</f>
        <v>Cason Wallace</v>
      </c>
      <c r="AZ32" s="317"/>
      <c r="BA32" s="306">
        <f>IF($AY32="","", VLOOKUP($AY32,'Final Update'!$P$21:$AD1015,Column(G11),False))</f>
        <v>7.4</v>
      </c>
      <c r="BB32" s="306">
        <f>IF($AY32="","", VLOOKUP($AY32,'Final Update'!$P$21:$AD1015,Column(H11),False))</f>
        <v>1.3</v>
      </c>
      <c r="BC32" s="306">
        <f>IF($AY32="","", VLOOKUP($AY32,'Final Update'!$P$21:$AD1015,Column(I11),False))</f>
        <v>2.5</v>
      </c>
      <c r="BD32" s="306">
        <f>IF($AY32="","", VLOOKUP($AY32,'Final Update'!$P$21:$AD1015,Column(J11),False))</f>
        <v>1.6</v>
      </c>
      <c r="BE32" s="306">
        <f>IF($AY32="","", VLOOKUP($AY32,'Final Update'!$P$21:$AD1015,Column(K11),False))</f>
        <v>1</v>
      </c>
      <c r="BF32" s="306">
        <f>IF($AY32="","", VLOOKUP($AY32,'Final Update'!$P$21:$AD1015,Column(L11),False))</f>
        <v>0.5</v>
      </c>
      <c r="BG32" s="307">
        <f>IF($AY32="","", VLOOKUP($AY32,'Final Update'!$P$21:$AD1015,Column(M11),False))</f>
        <v>0.491</v>
      </c>
      <c r="BH32" s="307">
        <f>IF($AY32="","", VLOOKUP($AY32,'Final Update'!$P$21:$AD1015,Column(N11),False))</f>
        <v>0.776</v>
      </c>
      <c r="BI32" s="307">
        <f>IF($AY32="","", VLOOKUP($AY32,'Final Update'!$P$21:$AD1015,Column(O11),False))</f>
        <v>0.6</v>
      </c>
      <c r="BJ32" s="306" t="str">
        <f>IF($AY32="","", VLOOKUP($AY32,'Final Update'!$P$21:$AD1015,Column(C11),False))</f>
        <v>PG,SG</v>
      </c>
      <c r="BK32" s="318"/>
      <c r="BL32" s="319"/>
      <c r="BM32" s="297"/>
      <c r="BN32" s="297"/>
      <c r="BO32" s="297"/>
      <c r="BP32" s="297"/>
      <c r="BQ32" s="297"/>
      <c r="BR32" s="297"/>
      <c r="BS32" s="297"/>
      <c r="BT32" s="297"/>
      <c r="BU32" s="23"/>
      <c r="BV32" s="23"/>
      <c r="BW32" s="23"/>
    </row>
    <row r="33">
      <c r="A33" s="276">
        <f>VLOOKUP($F33,UpdateHashtag!$V$3:$Y$32,COLUMN(B$15),0)</f>
        <v>4</v>
      </c>
      <c r="B33" s="259">
        <f>VLOOKUP($F33,UpdateHashtag!$V$3:$Y$32,COLUMN(C$13),0)</f>
        <v>3</v>
      </c>
      <c r="C33" s="259">
        <f>VLOOKUP($F33,UpdateHashtag!$V$3:$Y$32,COLUMN(D$13),0)</f>
        <v>4</v>
      </c>
      <c r="D33" s="277">
        <f t="shared" si="4"/>
        <v>11</v>
      </c>
      <c r="E33" s="21"/>
      <c r="F33" s="261" t="str">
        <f>VLOOKUP(J33,UpdateBBM!$C$2:E1015,3,0)</f>
        <v>POR</v>
      </c>
      <c r="G33" s="248">
        <v>14.0</v>
      </c>
      <c r="H33" s="278">
        <f>IFERROR(__xludf.DUMMYFUNCTION("""COMPUTED_VALUE"""),14.0)</f>
        <v>14</v>
      </c>
      <c r="I33" s="278">
        <f>IFERROR(__xludf.DUMMYFUNCTION("""COMPUTED_VALUE"""),24.3)</f>
        <v>24.3</v>
      </c>
      <c r="J33" s="279" t="str">
        <f>IFERROR(__xludf.DUMMYFUNCTION("""COMPUTED_VALUE"""),"Damian Lillard")</f>
        <v>Damian Lillard</v>
      </c>
      <c r="K33" s="278">
        <f>IFERROR(__xludf.DUMMYFUNCTION("""COMPUTED_VALUE"""),71.0)</f>
        <v>71</v>
      </c>
      <c r="L33" s="280" t="str">
        <f>IFERROR(__xludf.DUMMYFUNCTION("""COMPUTED_VALUE"""),"PG")</f>
        <v>PG</v>
      </c>
      <c r="M33" s="281">
        <f>IFERROR(__xludf.DUMMYFUNCTION("""COMPUTED_VALUE"""),5.2326923312314175)</f>
        <v>5.232692331</v>
      </c>
      <c r="N33" s="281">
        <f>IFERROR(__xludf.DUMMYFUNCTION("""COMPUTED_VALUE"""),5.2326923312314175)</f>
        <v>5.232692331</v>
      </c>
      <c r="O33" s="282">
        <f>IFERROR(__xludf.DUMMYFUNCTION("""COMPUTED_VALUE"""),0.0)</f>
        <v>0</v>
      </c>
      <c r="P33" s="283">
        <f>IFERROR(__xludf.DUMMYFUNCTION("""COMPUTED_VALUE"""),24.9)</f>
        <v>24.9</v>
      </c>
      <c r="Q33" s="283">
        <f>IFERROR(__xludf.DUMMYFUNCTION("""COMPUTED_VALUE"""),3.1)</f>
        <v>3.1</v>
      </c>
      <c r="R33" s="283">
        <f>IFERROR(__xludf.DUMMYFUNCTION("""COMPUTED_VALUE"""),4.5)</f>
        <v>4.5</v>
      </c>
      <c r="S33" s="284">
        <f>IFERROR(__xludf.DUMMYFUNCTION("""COMPUTED_VALUE"""),7.1)</f>
        <v>7.1</v>
      </c>
      <c r="T33" s="283">
        <f>IFERROR(__xludf.DUMMYFUNCTION("""COMPUTED_VALUE"""),0.9)</f>
        <v>0.9</v>
      </c>
      <c r="U33" s="283">
        <f>IFERROR(__xludf.DUMMYFUNCTION("""COMPUTED_VALUE"""),0.3)</f>
        <v>0.3</v>
      </c>
      <c r="V33" s="280">
        <f>IFERROR(__xludf.DUMMYFUNCTION("""COMPUTED_VALUE"""),0.432)</f>
        <v>0.432</v>
      </c>
      <c r="W33" s="280">
        <f>IFERROR(__xludf.DUMMYFUNCTION("""COMPUTED_VALUE"""),0.918)</f>
        <v>0.918</v>
      </c>
      <c r="X33" s="280">
        <f>IFERROR(__xludf.DUMMYFUNCTION("""COMPUTED_VALUE"""),2.9)</f>
        <v>2.9</v>
      </c>
      <c r="Y33" s="283">
        <f>IFERROR(__xludf.DUMMYFUNCTION("""COMPUTED_VALUE"""),1.3427770677860977)</f>
        <v>1.342777068</v>
      </c>
      <c r="Z33" s="281">
        <f>IFERROR(__xludf.DUMMYFUNCTION("""COMPUTED_VALUE"""),1.344566688902945)</f>
        <v>1.344566689</v>
      </c>
      <c r="AA33" s="281">
        <f>IFERROR(__xludf.DUMMYFUNCTION("""COMPUTED_VALUE"""),-0.6154124052652897)</f>
        <v>-0.6154124053</v>
      </c>
      <c r="AB33" s="281">
        <f>IFERROR(__xludf.DUMMYFUNCTION("""COMPUTED_VALUE"""),1.4416830402447103)</f>
        <v>1.44168304</v>
      </c>
      <c r="AC33" s="281">
        <f>IFERROR(__xludf.DUMMYFUNCTION("""COMPUTED_VALUE"""),-0.25279641051880714)</f>
        <v>-0.2527964105</v>
      </c>
      <c r="AD33" s="281">
        <f>IFERROR(__xludf.DUMMYFUNCTION("""COMPUTED_VALUE"""),-0.7939110448965904)</f>
        <v>-0.7939110449</v>
      </c>
      <c r="AE33" s="281">
        <f>IFERROR(__xludf.DUMMYFUNCTION("""COMPUTED_VALUE"""),-1.3535182424125622)</f>
        <v>-1.353518242</v>
      </c>
      <c r="AF33" s="281">
        <f>IFERROR(__xludf.DUMMYFUNCTION("""COMPUTED_VALUE"""),3.0512954927985443)</f>
        <v>3.051295493</v>
      </c>
      <c r="AG33" s="281">
        <f>IFERROR(__xludf.DUMMYFUNCTION("""COMPUTED_VALUE"""),-0.2855100978201931)</f>
        <v>-0.2855100978</v>
      </c>
      <c r="AH33" s="285"/>
      <c r="AI33" s="286"/>
      <c r="AJ33" s="23"/>
      <c r="AK33" s="299">
        <v>100.0</v>
      </c>
      <c r="AL33" s="300">
        <f t="array" ref="AL33">if(AL$20=$J14,"-", countif(indirect(address(row($J$2)+ VLOOKUP(AL$20,$J$3:$J$14,1),COLUMN($K$4))):indirect(address(row($J$2)+ VLOOKUP(AL$20,$J$3:$J$14,1),COLUMN($S$2)))&gt;indirect(address(row($J14),COLUMN($K$2))):indirect(address(row($J14),COLUMN($S$2))),TRUE()))</f>
        <v>1</v>
      </c>
      <c r="AM33" s="301">
        <f t="array" ref="AM33">if(AM$20=$J14,"-", countif(indirect(address(row($J$2)+ VLOOKUP(AM$20,$J$3:$J$14,1),COLUMN($K$4))):indirect(address(row($J$2)+ VLOOKUP(AM$20,$J$3:$J$14,1),COLUMN($S$2)))&gt;indirect(address(row($J14),COLUMN($K$2))):indirect(address(row($J14),COLUMN($S$2))),TRUE()))</f>
        <v>3</v>
      </c>
      <c r="AN33" s="301">
        <f t="array" ref="AN33">if(AN$20=$J14,"-", countif(indirect(address(row($J$2)+ VLOOKUP(AN$20,$J$3:$J$14,1),COLUMN($K$4))):indirect(address(row($J$2)+ VLOOKUP(AN$20,$J$3:$J$14,1),COLUMN($S$2)))&gt;indirect(address(row($J14),COLUMN($K$2))):indirect(address(row($J14),COLUMN($S$2))),TRUE()))</f>
        <v>3</v>
      </c>
      <c r="AO33" s="301">
        <f t="array" ref="AO33">if(AO$20=$J14,"-", countif(indirect(address(row($J$2)+ VLOOKUP(AO$20,$J$3:$J$14,1),COLUMN($K$4))):indirect(address(row($J$2)+ VLOOKUP(AO$20,$J$3:$J$14,1),COLUMN($S$2)))&gt;indirect(address(row($J14),COLUMN($K$2))):indirect(address(row($J14),COLUMN($S$2))),TRUE()))</f>
        <v>7</v>
      </c>
      <c r="AP33" s="301">
        <f t="array" ref="AP33">if(AP$20=$J14,"-", countif(indirect(address(row($J$2)+ VLOOKUP(AP$20,$J$3:$J$14,1),COLUMN($K$4))):indirect(address(row($J$2)+ VLOOKUP(AP$20,$J$3:$J$14,1),COLUMN($S$2)))&gt;indirect(address(row($J14),COLUMN($K$2))):indirect(address(row($J14),COLUMN($S$2))),TRUE()))</f>
        <v>2</v>
      </c>
      <c r="AQ33" s="301">
        <f t="array" ref="AQ33">if(AQ$20=$J14,"-", countif(indirect(address(row($J$2)+ VLOOKUP(AQ$20,$J$3:$J$14,1),COLUMN($K$4))):indirect(address(row($J$2)+ VLOOKUP(AQ$20,$J$3:$J$14,1),COLUMN($S$2)))&gt;indirect(address(row($J14),COLUMN($K$2))):indirect(address(row($J14),COLUMN($S$2))),TRUE()))</f>
        <v>1</v>
      </c>
      <c r="AR33" s="301">
        <f t="array" ref="AR33">if(AR$20=$J14,"-", countif(indirect(address(row($J$2)+ VLOOKUP(AR$20,$J$3:$J$14,1),COLUMN($K$4))):indirect(address(row($J$2)+ VLOOKUP(AR$20,$J$3:$J$14,1),COLUMN($S$2)))&gt;indirect(address(row($J14),COLUMN($K$2))):indirect(address(row($J14),COLUMN($S$2))),TRUE()))</f>
        <v>7</v>
      </c>
      <c r="AS33" s="301">
        <f t="array" ref="AS33">if(AS$20=$J14,"-", countif(indirect(address(row($J$2)+ VLOOKUP(AS$20,$J$3:$J$14,1),COLUMN($K$4))):indirect(address(row($J$2)+ VLOOKUP(AS$20,$J$3:$J$14,1),COLUMN($S$2)))&gt;indirect(address(row($J14),COLUMN($K$2))):indirect(address(row($J14),COLUMN($S$2))),TRUE()))</f>
        <v>8</v>
      </c>
      <c r="AT33" s="301">
        <f t="array" ref="AT33">if(AT$20=$J14,"-", countif(indirect(address(row($J$2)+ VLOOKUP(AT$20,$J$3:$J$14,1),COLUMN($K$4))):indirect(address(row($J$2)+ VLOOKUP(AT$20,$J$3:$J$14,1),COLUMN($S$2)))&gt;indirect(address(row($J14),COLUMN($K$2))):indirect(address(row($J14),COLUMN($S$2))),TRUE()))</f>
        <v>2</v>
      </c>
      <c r="AU33" s="301">
        <f t="array" ref="AU33">if(AU$20=$J14,"-", countif(indirect(address(row($J$2)+ VLOOKUP(AU$20,$J$3:$J$14,1),COLUMN($K$4))):indirect(address(row($J$2)+ VLOOKUP(AU$20,$J$3:$J$14,1),COLUMN($S$2)))&gt;indirect(address(row($J14),COLUMN($K$2))):indirect(address(row($J14),COLUMN($S$2))),TRUE()))</f>
        <v>7</v>
      </c>
      <c r="AV33" s="301">
        <f t="array" ref="AV33">if(AV$20=$J14,"-", countif(indirect(address(row($J$2)+ VLOOKUP(AV$20,$J$3:$J$14,1),COLUMN($K$4))):indirect(address(row($J$2)+ VLOOKUP(AV$20,$J$3:$J$14,1),COLUMN($S$2)))&gt;indirect(address(row($J14),COLUMN($K$2))):indirect(address(row($J14),COLUMN($S$2))),TRUE()))</f>
        <v>2</v>
      </c>
      <c r="AW33" s="302" t="str">
        <f t="array" ref="AW33">if(AW$20=$J14,"-", countif(indirect(address(row($J$2)+ VLOOKUP(AW$20,$J$3:$J$14,1),COLUMN($K$4))):indirect(address(row($J$2)+ VLOOKUP(AW$20,$J$3:$J$14,1),COLUMN($S$2)))&gt;indirect(address(row($J14),COLUMN($K$2))):indirect(address(row($J14),COLUMN($S$2))),TRUE()))</f>
        <v>-</v>
      </c>
      <c r="AX33" s="303">
        <v>12.0</v>
      </c>
      <c r="AY33" s="324" t="str">
        <f t="array" ref="AY33">INDIRECT("Draft!O"&amp;TEXT(15-VLOOKUP(TRUE,I3:J14,2,0),"0"))</f>
        <v>Keegan Murray</v>
      </c>
      <c r="AZ33" s="325"/>
      <c r="BA33" s="306">
        <f>IF($AY33="","", VLOOKUP($AY33,'Final Update'!$P$21:$AD1015,Column(G12),False))</f>
        <v>14.6</v>
      </c>
      <c r="BB33" s="306">
        <f>IF($AY33="","", VLOOKUP($AY33,'Final Update'!$P$21:$AD1015,Column(H12),False))</f>
        <v>2.7</v>
      </c>
      <c r="BC33" s="306">
        <f>IF($AY33="","", VLOOKUP($AY33,'Final Update'!$P$21:$AD1015,Column(I12),False))</f>
        <v>5.4</v>
      </c>
      <c r="BD33" s="306">
        <f>IF($AY33="","", VLOOKUP($AY33,'Final Update'!$P$21:$AD1015,Column(J12),False))</f>
        <v>1.6</v>
      </c>
      <c r="BE33" s="306">
        <f>IF($AY33="","", VLOOKUP($AY33,'Final Update'!$P$21:$AD1015,Column(K12),False))</f>
        <v>1</v>
      </c>
      <c r="BF33" s="306">
        <f>IF($AY33="","", VLOOKUP($AY33,'Final Update'!$P$21:$AD1015,Column(L12),False))</f>
        <v>0.8</v>
      </c>
      <c r="BG33" s="307">
        <f>IF($AY33="","", VLOOKUP($AY33,'Final Update'!$P$21:$AD1015,Column(M12),False))</f>
        <v>0.454</v>
      </c>
      <c r="BH33" s="307">
        <f>IF($AY33="","", VLOOKUP($AY33,'Final Update'!$P$21:$AD1015,Column(N12),False))</f>
        <v>0.836</v>
      </c>
      <c r="BI33" s="307">
        <f>IF($AY33="","", VLOOKUP($AY33,'Final Update'!$P$21:$AD1015,Column(O12),False))</f>
        <v>0.8</v>
      </c>
      <c r="BJ33" s="306" t="str">
        <f>IF($AY33="","", VLOOKUP($AY33,'Final Update'!$P$21:$AD1015,Column(C12),False))</f>
        <v>SF,PF</v>
      </c>
      <c r="BK33" s="326"/>
      <c r="BL33" s="327"/>
      <c r="BM33" s="328"/>
      <c r="BN33" s="328"/>
      <c r="BO33" s="328"/>
      <c r="BP33" s="328"/>
      <c r="BQ33" s="328"/>
      <c r="BR33" s="328"/>
      <c r="BS33" s="328"/>
      <c r="BT33" s="328"/>
      <c r="BU33" s="23"/>
      <c r="BV33" s="23"/>
      <c r="BW33" s="23"/>
    </row>
    <row r="34">
      <c r="A34" s="259" t="str">
        <f>VLOOKUP($F34,UpdateHashtag!$V$3:$Y$32,COLUMN(B$15),0)</f>
        <v>#N/A</v>
      </c>
      <c r="B34" s="259" t="str">
        <f>VLOOKUP($F34,UpdateHashtag!$V$3:$Y$32,COLUMN(C$13),0)</f>
        <v>#N/A</v>
      </c>
      <c r="C34" s="259" t="str">
        <f>VLOOKUP($F34,UpdateHashtag!$V$3:$Y$32,COLUMN(D$13),0)</f>
        <v>#N/A</v>
      </c>
      <c r="D34" s="329" t="str">
        <f t="shared" si="4"/>
        <v>#N/A</v>
      </c>
      <c r="E34" s="21"/>
      <c r="F34" s="261" t="str">
        <f>VLOOKUP(J34,UpdateBBM!$C$2:E1015,3,0)</f>
        <v>GSW</v>
      </c>
      <c r="G34" s="248">
        <v>15.0</v>
      </c>
      <c r="H34" s="278">
        <f>IFERROR(__xludf.DUMMYFUNCTION("""COMPUTED_VALUE"""),15.0)</f>
        <v>15</v>
      </c>
      <c r="I34" s="278">
        <f>IFERROR(__xludf.DUMMYFUNCTION("""COMPUTED_VALUE"""),12.4)</f>
        <v>12.4</v>
      </c>
      <c r="J34" s="279" t="str">
        <f>IFERROR(__xludf.DUMMYFUNCTION("""COMPUTED_VALUE"""),"Stephen Curry")</f>
        <v>Stephen Curry</v>
      </c>
      <c r="K34" s="278">
        <f>IFERROR(__xludf.DUMMYFUNCTION("""COMPUTED_VALUE"""),42.0)</f>
        <v>42</v>
      </c>
      <c r="L34" s="280" t="str">
        <f>IFERROR(__xludf.DUMMYFUNCTION("""COMPUTED_VALUE"""),"PG,SG")</f>
        <v>PG,SG</v>
      </c>
      <c r="M34" s="281">
        <f>IFERROR(__xludf.DUMMYFUNCTION("""COMPUTED_VALUE"""),5.117856705350448)</f>
        <v>5.117856705</v>
      </c>
      <c r="N34" s="281">
        <f>IFERROR(__xludf.DUMMYFUNCTION("""COMPUTED_VALUE"""),5.117856705350448)</f>
        <v>5.117856705</v>
      </c>
      <c r="O34" s="282">
        <f>IFERROR(__xludf.DUMMYFUNCTION("""COMPUTED_VALUE"""),0.0)</f>
        <v>0</v>
      </c>
      <c r="P34" s="283">
        <f>IFERROR(__xludf.DUMMYFUNCTION("""COMPUTED_VALUE"""),26.4)</f>
        <v>26.4</v>
      </c>
      <c r="Q34" s="283">
        <f>IFERROR(__xludf.DUMMYFUNCTION("""COMPUTED_VALUE"""),4.8)</f>
        <v>4.8</v>
      </c>
      <c r="R34" s="283">
        <f>IFERROR(__xludf.DUMMYFUNCTION("""COMPUTED_VALUE"""),4.5)</f>
        <v>4.5</v>
      </c>
      <c r="S34" s="284">
        <f>IFERROR(__xludf.DUMMYFUNCTION("""COMPUTED_VALUE"""),5.3)</f>
        <v>5.3</v>
      </c>
      <c r="T34" s="283">
        <f>IFERROR(__xludf.DUMMYFUNCTION("""COMPUTED_VALUE"""),0.8)</f>
        <v>0.8</v>
      </c>
      <c r="U34" s="283">
        <f>IFERROR(__xludf.DUMMYFUNCTION("""COMPUTED_VALUE"""),0.4)</f>
        <v>0.4</v>
      </c>
      <c r="V34" s="280">
        <f>IFERROR(__xludf.DUMMYFUNCTION("""COMPUTED_VALUE"""),0.469)</f>
        <v>0.469</v>
      </c>
      <c r="W34" s="280">
        <f>IFERROR(__xludf.DUMMYFUNCTION("""COMPUTED_VALUE"""),0.918)</f>
        <v>0.918</v>
      </c>
      <c r="X34" s="280">
        <f>IFERROR(__xludf.DUMMYFUNCTION("""COMPUTED_VALUE"""),2.8)</f>
        <v>2.8</v>
      </c>
      <c r="Y34" s="283">
        <f>IFERROR(__xludf.DUMMYFUNCTION("""COMPUTED_VALUE"""),1.6137490972350912)</f>
        <v>1.613749097</v>
      </c>
      <c r="Z34" s="281">
        <f>IFERROR(__xludf.DUMMYFUNCTION("""COMPUTED_VALUE"""),3.0364797724391503)</f>
        <v>3.036479772</v>
      </c>
      <c r="AA34" s="281">
        <f>IFERROR(__xludf.DUMMYFUNCTION("""COMPUTED_VALUE"""),-0.6154124052652897)</f>
        <v>-0.6154124053</v>
      </c>
      <c r="AB34" s="281">
        <f>IFERROR(__xludf.DUMMYFUNCTION("""COMPUTED_VALUE"""),0.6215711726463173)</f>
        <v>0.6215711726</v>
      </c>
      <c r="AC34" s="281">
        <f>IFERROR(__xludf.DUMMYFUNCTION("""COMPUTED_VALUE"""),-0.5847290886782864)</f>
        <v>-0.5847290887</v>
      </c>
      <c r="AD34" s="281">
        <f>IFERROR(__xludf.DUMMYFUNCTION("""COMPUTED_VALUE"""),-0.6155173428439339)</f>
        <v>-0.6155173428</v>
      </c>
      <c r="AE34" s="281">
        <f>IFERROR(__xludf.DUMMYFUNCTION("""COMPUTED_VALUE"""),-0.6110471255842709)</f>
        <v>-0.6110471256</v>
      </c>
      <c r="AF34" s="281">
        <f>IFERROR(__xludf.DUMMYFUNCTION("""COMPUTED_VALUE"""),1.9179571669019424)</f>
        <v>1.917957167</v>
      </c>
      <c r="AG34" s="281">
        <f>IFERROR(__xludf.DUMMYFUNCTION("""COMPUTED_VALUE"""),-0.2607118843442064)</f>
        <v>-0.2607118843</v>
      </c>
      <c r="AH34" s="285"/>
      <c r="AI34" s="298"/>
      <c r="AJ34" s="23"/>
      <c r="AK34" s="330">
        <v>100.0</v>
      </c>
      <c r="AL34" s="326"/>
      <c r="AM34" s="326"/>
      <c r="AN34" s="326"/>
      <c r="AO34" s="326"/>
      <c r="AP34" s="326"/>
      <c r="AQ34" s="326"/>
      <c r="AR34" s="326"/>
      <c r="AS34" s="326"/>
      <c r="AT34" s="326"/>
      <c r="AU34" s="326"/>
      <c r="AV34" s="326"/>
      <c r="AW34" s="326"/>
      <c r="AX34" s="331">
        <v>13.0</v>
      </c>
      <c r="AY34" s="315" t="str">
        <f t="array" ref="AY34">INDIRECT("Draft!P"&amp;TEXT(VLOOKUP(TRUE,I3:J14,2,0)+2,"0"))</f>
        <v>Sam Hauser</v>
      </c>
      <c r="AZ34" s="316"/>
      <c r="BA34" s="306">
        <f>IF($AY34="","", VLOOKUP($AY34,'Final Update'!$P$21:$AD1015,Column(G13),False))</f>
        <v>9.6</v>
      </c>
      <c r="BB34" s="306">
        <f>IF($AY34="","", VLOOKUP($AY34,'Final Update'!$P$21:$AD1015,Column(H13),False))</f>
        <v>2.6</v>
      </c>
      <c r="BC34" s="306">
        <f>IF($AY34="","", VLOOKUP($AY34,'Final Update'!$P$21:$AD1015,Column(I13),False))</f>
        <v>3.8</v>
      </c>
      <c r="BD34" s="306">
        <f>IF($AY34="","", VLOOKUP($AY34,'Final Update'!$P$21:$AD1015,Column(J13),False))</f>
        <v>1.2</v>
      </c>
      <c r="BE34" s="306">
        <f>IF($AY34="","", VLOOKUP($AY34,'Final Update'!$P$21:$AD1015,Column(K13),False))</f>
        <v>0.5</v>
      </c>
      <c r="BF34" s="306">
        <f>IF($AY34="","", VLOOKUP($AY34,'Final Update'!$P$21:$AD1015,Column(L13),False))</f>
        <v>0.4</v>
      </c>
      <c r="BG34" s="307">
        <f>IF($AY34="","", VLOOKUP($AY34,'Final Update'!$P$21:$AD1015,Column(M13),False))</f>
        <v>0.45</v>
      </c>
      <c r="BH34" s="307">
        <f>IF($AY34="","", VLOOKUP($AY34,'Final Update'!$P$21:$AD1015,Column(N13),False))</f>
        <v>0.821</v>
      </c>
      <c r="BI34" s="307">
        <f>IF($AY34="","", VLOOKUP($AY34,'Final Update'!$P$21:$AD1015,Column(O13),False))</f>
        <v>0.5</v>
      </c>
      <c r="BJ34" s="306" t="str">
        <f>IF($AY34="","", VLOOKUP($AY34,'Final Update'!$P$21:$AD1015,Column(C13),False))</f>
        <v>SF,PF</v>
      </c>
      <c r="BK34" s="332"/>
      <c r="BL34" s="328"/>
      <c r="BM34" s="328"/>
      <c r="BN34" s="328"/>
      <c r="BO34" s="328"/>
      <c r="BP34" s="328"/>
      <c r="BQ34" s="328"/>
      <c r="BR34" s="328"/>
      <c r="BS34" s="328"/>
      <c r="BT34" s="333"/>
      <c r="BU34" s="326"/>
      <c r="BV34" s="326"/>
      <c r="BW34" s="326"/>
    </row>
    <row r="35">
      <c r="A35" s="276">
        <f>VLOOKUP($F35,UpdateHashtag!$V$3:$Y$32,COLUMN(B$15),0)</f>
        <v>4</v>
      </c>
      <c r="B35" s="259">
        <f>VLOOKUP($F35,UpdateHashtag!$V$3:$Y$32,COLUMN(C$13),0)</f>
        <v>4</v>
      </c>
      <c r="C35" s="259">
        <f>VLOOKUP($F35,UpdateHashtag!$V$3:$Y$32,COLUMN(D$13),0)</f>
        <v>2</v>
      </c>
      <c r="D35" s="277">
        <f t="shared" si="4"/>
        <v>10</v>
      </c>
      <c r="E35" s="21"/>
      <c r="F35" s="261" t="str">
        <f>VLOOKUP(J35,UpdateBBM!$C$2:E1015,3,0)</f>
        <v>DAL</v>
      </c>
      <c r="G35" s="248">
        <v>16.0</v>
      </c>
      <c r="H35" s="278">
        <f>IFERROR(__xludf.DUMMYFUNCTION("""COMPUTED_VALUE"""),16.0)</f>
        <v>16</v>
      </c>
      <c r="I35" s="278">
        <f>IFERROR(__xludf.DUMMYFUNCTION("""COMPUTED_VALUE"""),26.6)</f>
        <v>26.6</v>
      </c>
      <c r="J35" s="279" t="str">
        <f>IFERROR(__xludf.DUMMYFUNCTION("""COMPUTED_VALUE"""),"Kyrie Irving")</f>
        <v>Kyrie Irving</v>
      </c>
      <c r="K35" s="278">
        <f>IFERROR(__xludf.DUMMYFUNCTION("""COMPUTED_VALUE"""),66.0)</f>
        <v>66</v>
      </c>
      <c r="L35" s="280" t="str">
        <f>IFERROR(__xludf.DUMMYFUNCTION("""COMPUTED_VALUE"""),"PG,SG")</f>
        <v>PG,SG</v>
      </c>
      <c r="M35" s="281">
        <f>IFERROR(__xludf.DUMMYFUNCTION("""COMPUTED_VALUE"""),4.969174050321719)</f>
        <v>4.96917405</v>
      </c>
      <c r="N35" s="281">
        <f>IFERROR(__xludf.DUMMYFUNCTION("""COMPUTED_VALUE"""),4.969174050321719)</f>
        <v>4.96917405</v>
      </c>
      <c r="O35" s="282">
        <f>IFERROR(__xludf.DUMMYFUNCTION("""COMPUTED_VALUE"""),0.0)</f>
        <v>0</v>
      </c>
      <c r="P35" s="283">
        <f>IFERROR(__xludf.DUMMYFUNCTION("""COMPUTED_VALUE"""),24.6)</f>
        <v>24.6</v>
      </c>
      <c r="Q35" s="283">
        <f>IFERROR(__xludf.DUMMYFUNCTION("""COMPUTED_VALUE"""),3.0)</f>
        <v>3</v>
      </c>
      <c r="R35" s="283">
        <f>IFERROR(__xludf.DUMMYFUNCTION("""COMPUTED_VALUE"""),4.9)</f>
        <v>4.9</v>
      </c>
      <c r="S35" s="284">
        <f>IFERROR(__xludf.DUMMYFUNCTION("""COMPUTED_VALUE"""),5.2)</f>
        <v>5.2</v>
      </c>
      <c r="T35" s="283">
        <f>IFERROR(__xludf.DUMMYFUNCTION("""COMPUTED_VALUE"""),1.2)</f>
        <v>1.2</v>
      </c>
      <c r="U35" s="283">
        <f>IFERROR(__xludf.DUMMYFUNCTION("""COMPUTED_VALUE"""),0.6)</f>
        <v>0.6</v>
      </c>
      <c r="V35" s="280">
        <f>IFERROR(__xludf.DUMMYFUNCTION("""COMPUTED_VALUE"""),0.495)</f>
        <v>0.495</v>
      </c>
      <c r="W35" s="280">
        <f>IFERROR(__xludf.DUMMYFUNCTION("""COMPUTED_VALUE"""),0.907)</f>
        <v>0.907</v>
      </c>
      <c r="X35" s="280">
        <f>IFERROR(__xludf.DUMMYFUNCTION("""COMPUTED_VALUE"""),1.8)</f>
        <v>1.8</v>
      </c>
      <c r="Y35" s="283">
        <f>IFERROR(__xludf.DUMMYFUNCTION("""COMPUTED_VALUE"""),1.2885826618962994)</f>
        <v>1.288582662</v>
      </c>
      <c r="Z35" s="281">
        <f>IFERROR(__xludf.DUMMYFUNCTION("""COMPUTED_VALUE"""),1.2450423898714034)</f>
        <v>1.24504239</v>
      </c>
      <c r="AA35" s="281">
        <f>IFERROR(__xludf.DUMMYFUNCTION("""COMPUTED_VALUE"""),-0.4585069207654011)</f>
        <v>-0.4585069208</v>
      </c>
      <c r="AB35" s="281">
        <f>IFERROR(__xludf.DUMMYFUNCTION("""COMPUTED_VALUE"""),0.5760094022241846)</f>
        <v>0.5760094022</v>
      </c>
      <c r="AC35" s="281">
        <f>IFERROR(__xludf.DUMMYFUNCTION("""COMPUTED_VALUE"""),0.7430016239596308)</f>
        <v>0.743001624</v>
      </c>
      <c r="AD35" s="281">
        <f>IFERROR(__xludf.DUMMYFUNCTION("""COMPUTED_VALUE"""),-0.25872993873862127)</f>
        <v>-0.2587299387</v>
      </c>
      <c r="AE35" s="281">
        <f>IFERROR(__xludf.DUMMYFUNCTION("""COMPUTED_VALUE"""),-0.04099985184481126)</f>
        <v>-0.04099985184</v>
      </c>
      <c r="AF35" s="281">
        <f>IFERROR(__xludf.DUMMYFUNCTION("""COMPUTED_VALUE"""),1.4289975125379728)</f>
        <v>1.428997513</v>
      </c>
      <c r="AG35" s="281">
        <f>IFERROR(__xludf.DUMMYFUNCTION("""COMPUTED_VALUE"""),-0.012729749584339901)</f>
        <v>-0.01272974958</v>
      </c>
      <c r="AH35" s="285"/>
      <c r="AI35" s="298"/>
      <c r="AJ35" s="23"/>
      <c r="AK35" s="299">
        <v>50.0</v>
      </c>
      <c r="AL35" s="326"/>
      <c r="AM35" s="326"/>
      <c r="AN35" s="326"/>
      <c r="AO35" s="326"/>
      <c r="AP35" s="326"/>
      <c r="AQ35" s="326"/>
      <c r="AR35" s="326"/>
      <c r="AS35" s="326"/>
      <c r="AT35" s="326"/>
      <c r="AU35" s="326"/>
      <c r="AV35" s="326"/>
      <c r="AW35" s="326"/>
      <c r="AX35" s="331">
        <v>14.0</v>
      </c>
      <c r="AY35" s="315" t="str">
        <f t="array" ref="AY35">INDIRECT("Draft!Q"&amp;TEXT(15-VLOOKUP(TRUE,I3:J14,2,0),"0"))</f>
        <v/>
      </c>
      <c r="AZ35" s="316"/>
      <c r="BA35" s="334"/>
      <c r="BB35" s="334"/>
      <c r="BC35" s="334"/>
      <c r="BD35" s="334"/>
      <c r="BE35" s="334"/>
      <c r="BF35" s="334"/>
      <c r="BG35" s="334"/>
      <c r="BH35" s="334"/>
      <c r="BI35" s="334"/>
      <c r="BJ35" s="334"/>
      <c r="BK35" s="326"/>
      <c r="BL35" s="273"/>
      <c r="BM35" s="273"/>
      <c r="BN35" s="273"/>
      <c r="BO35" s="273"/>
      <c r="BP35" s="273"/>
      <c r="BQ35" s="273"/>
      <c r="BR35" s="273"/>
      <c r="BS35" s="273"/>
      <c r="BT35" s="273"/>
      <c r="BU35" s="273"/>
      <c r="BV35" s="273"/>
      <c r="BW35" s="273"/>
    </row>
    <row r="36">
      <c r="A36" s="276">
        <f>VLOOKUP($F36,UpdateHashtag!$V$3:$Y$32,COLUMN(B$15),0)</f>
        <v>3</v>
      </c>
      <c r="B36" s="259">
        <f>VLOOKUP($F36,UpdateHashtag!$V$3:$Y$32,COLUMN(C$13),0)</f>
        <v>4</v>
      </c>
      <c r="C36" s="259">
        <f>VLOOKUP($F36,UpdateHashtag!$V$3:$Y$32,COLUMN(D$13),0)</f>
        <v>3</v>
      </c>
      <c r="D36" s="277">
        <f t="shared" si="4"/>
        <v>10</v>
      </c>
      <c r="E36" s="21"/>
      <c r="F36" s="261" t="str">
        <f>VLOOKUP(J36,UpdateBBM!$C$2:E1015,3,0)</f>
        <v>LAL</v>
      </c>
      <c r="G36" s="248">
        <v>17.0</v>
      </c>
      <c r="H36" s="278">
        <f>IFERROR(__xludf.DUMMYFUNCTION("""COMPUTED_VALUE"""),17.0)</f>
        <v>17</v>
      </c>
      <c r="I36" s="278">
        <f>IFERROR(__xludf.DUMMYFUNCTION("""COMPUTED_VALUE"""),24.2)</f>
        <v>24.2</v>
      </c>
      <c r="J36" s="279" t="str">
        <f>IFERROR(__xludf.DUMMYFUNCTION("""COMPUTED_VALUE"""),"LeBron James")</f>
        <v>LeBron James</v>
      </c>
      <c r="K36" s="278">
        <f>IFERROR(__xludf.DUMMYFUNCTION("""COMPUTED_VALUE"""),65.0)</f>
        <v>65</v>
      </c>
      <c r="L36" s="280" t="str">
        <f>IFERROR(__xludf.DUMMYFUNCTION("""COMPUTED_VALUE"""),"SF,PF")</f>
        <v>SF,PF</v>
      </c>
      <c r="M36" s="281">
        <f>IFERROR(__xludf.DUMMYFUNCTION("""COMPUTED_VALUE"""),4.508392740326748)</f>
        <v>4.50839274</v>
      </c>
      <c r="N36" s="281">
        <f>IFERROR(__xludf.DUMMYFUNCTION("""COMPUTED_VALUE"""),4.508392740326748)</f>
        <v>4.50839274</v>
      </c>
      <c r="O36" s="282">
        <f>IFERROR(__xludf.DUMMYFUNCTION("""COMPUTED_VALUE"""),0.0)</f>
        <v>0</v>
      </c>
      <c r="P36" s="283">
        <f>IFERROR(__xludf.DUMMYFUNCTION("""COMPUTED_VALUE"""),25.2)</f>
        <v>25.2</v>
      </c>
      <c r="Q36" s="283">
        <f>IFERROR(__xludf.DUMMYFUNCTION("""COMPUTED_VALUE"""),2.1)</f>
        <v>2.1</v>
      </c>
      <c r="R36" s="283">
        <f>IFERROR(__xludf.DUMMYFUNCTION("""COMPUTED_VALUE"""),7.2)</f>
        <v>7.2</v>
      </c>
      <c r="S36" s="284">
        <f>IFERROR(__xludf.DUMMYFUNCTION("""COMPUTED_VALUE"""),8.2)</f>
        <v>8.2</v>
      </c>
      <c r="T36" s="283">
        <f>IFERROR(__xludf.DUMMYFUNCTION("""COMPUTED_VALUE"""),1.1)</f>
        <v>1.1</v>
      </c>
      <c r="U36" s="283">
        <f>IFERROR(__xludf.DUMMYFUNCTION("""COMPUTED_VALUE"""),0.5)</f>
        <v>0.5</v>
      </c>
      <c r="V36" s="280">
        <f>IFERROR(__xludf.DUMMYFUNCTION("""COMPUTED_VALUE"""),0.535)</f>
        <v>0.535</v>
      </c>
      <c r="W36" s="280">
        <f>IFERROR(__xludf.DUMMYFUNCTION("""COMPUTED_VALUE"""),0.758)</f>
        <v>0.758</v>
      </c>
      <c r="X36" s="280">
        <f>IFERROR(__xludf.DUMMYFUNCTION("""COMPUTED_VALUE"""),3.3)</f>
        <v>3.3</v>
      </c>
      <c r="Y36" s="283">
        <f>IFERROR(__xludf.DUMMYFUNCTION("""COMPUTED_VALUE"""),1.3969714736758965)</f>
        <v>1.396971474</v>
      </c>
      <c r="Z36" s="281">
        <f>IFERROR(__xludf.DUMMYFUNCTION("""COMPUTED_VALUE"""),0.34932369858753)</f>
        <v>0.3493236986</v>
      </c>
      <c r="AA36" s="281">
        <f>IFERROR(__xludf.DUMMYFUNCTION("""COMPUTED_VALUE"""),0.44369961510895767)</f>
        <v>0.4436996151</v>
      </c>
      <c r="AB36" s="281">
        <f>IFERROR(__xludf.DUMMYFUNCTION("""COMPUTED_VALUE"""),1.9428625148881729)</f>
        <v>1.942862515</v>
      </c>
      <c r="AC36" s="281">
        <f>IFERROR(__xludf.DUMMYFUNCTION("""COMPUTED_VALUE"""),0.41106894580015185)</f>
        <v>0.4110689458</v>
      </c>
      <c r="AD36" s="281">
        <f>IFERROR(__xludf.DUMMYFUNCTION("""COMPUTED_VALUE"""),-0.4371236407912776)</f>
        <v>-0.4371236408</v>
      </c>
      <c r="AE36" s="281">
        <f>IFERROR(__xludf.DUMMYFUNCTION("""COMPUTED_VALUE"""),0.7862930847814558)</f>
        <v>0.7862930848</v>
      </c>
      <c r="AF36" s="281">
        <f>IFERROR(__xludf.DUMMYFUNCTION("""COMPUTED_VALUE"""),-0.7320745110022108)</f>
        <v>-0.732074511</v>
      </c>
      <c r="AG36" s="281">
        <f>IFERROR(__xludf.DUMMYFUNCTION("""COMPUTED_VALUE"""),-0.3847029517241397)</f>
        <v>-0.3847029517</v>
      </c>
      <c r="AH36" s="285"/>
      <c r="AI36" s="298"/>
      <c r="AJ36" s="23"/>
      <c r="AK36" s="326"/>
      <c r="AL36" s="326"/>
      <c r="AM36" s="326"/>
      <c r="AN36" s="326"/>
      <c r="AO36" s="326"/>
      <c r="AP36" s="326"/>
      <c r="AQ36" s="326"/>
      <c r="AR36" s="326"/>
      <c r="AS36" s="326"/>
      <c r="AT36" s="326"/>
      <c r="AU36" s="326"/>
      <c r="AV36" s="326"/>
      <c r="AW36" s="326"/>
      <c r="AX36" s="326"/>
      <c r="AY36" s="326"/>
      <c r="AZ36" s="294" t="s">
        <v>1291</v>
      </c>
      <c r="BA36" s="335">
        <f t="shared" ref="BA36:BF36" si="5">IFERROR(AVERAGE(SUMPRODUCT(BA$22:BA$35,$AK$22:$AK$35/100))/(SUM(OFFSET($AK$22,0,0,COUNT($BA$22:$BA$35)))/100),"")</f>
        <v>17.53076923</v>
      </c>
      <c r="BB36" s="335">
        <f t="shared" si="5"/>
        <v>1.876923077</v>
      </c>
      <c r="BC36" s="335">
        <f t="shared" si="5"/>
        <v>5.907692308</v>
      </c>
      <c r="BD36" s="335">
        <f t="shared" si="5"/>
        <v>4.076923077</v>
      </c>
      <c r="BE36" s="335">
        <f t="shared" si="5"/>
        <v>0.9384615385</v>
      </c>
      <c r="BF36" s="335">
        <f t="shared" si="5"/>
        <v>0.5307692308</v>
      </c>
      <c r="BG36" s="335">
        <f t="array" ref="BG36">IFERROR(100*SUMPRODUCT(IFERROR(VLOOKUP(AY22:AY35,UpdateHashtag!$C:$S,6,False),"")*AK22:AK35/100)/SUMPRODUCT(IFERROR(VLOOKUP(AY22:AY35,UpdateHashtag!$C:$S,17,False),"")*AK22:AK35/100),"")</f>
        <v>47.44483159</v>
      </c>
      <c r="BH36" s="335">
        <f t="array" ref="BH36">IFERROR(100*SUMPRODUCT(IFERROR(VLOOKUP(AY22:AY35,UpdateHashtag!$C:$T,8,False),"")*AK22:AK35/100)/SUMPRODUCT(IFERROR(VLOOKUP(AY22:AY35,UpdateHashtag!$C:$T,18,False),"")*AK22:AK35/100),"")</f>
        <v>81.26272912</v>
      </c>
      <c r="BI36" s="335" t="str">
        <f>AVERAGE(SUMPRODUCT(BH22:BH35,$B22:$B35/100))/(SUM(OFFSET($B22,0,0,COUNT(BH22:BH35)))/100)</f>
        <v>#N/A</v>
      </c>
      <c r="BJ36" s="336"/>
      <c r="BK36" s="326"/>
      <c r="BL36" s="273"/>
      <c r="BM36" s="273"/>
      <c r="BN36" s="273"/>
      <c r="BO36" s="273"/>
      <c r="BP36" s="273"/>
      <c r="BQ36" s="273"/>
      <c r="BR36" s="273"/>
      <c r="BS36" s="273"/>
      <c r="BT36" s="273"/>
      <c r="BU36" s="273"/>
      <c r="BV36" s="273"/>
      <c r="BW36" s="273"/>
    </row>
    <row r="37">
      <c r="A37" s="276">
        <f>VLOOKUP($F37,UpdateHashtag!$V$3:$Y$32,COLUMN(B$15),0)</f>
        <v>4</v>
      </c>
      <c r="B37" s="259">
        <f>VLOOKUP($F37,UpdateHashtag!$V$3:$Y$32,COLUMN(C$13),0)</f>
        <v>4</v>
      </c>
      <c r="C37" s="259">
        <f>VLOOKUP($F37,UpdateHashtag!$V$3:$Y$32,COLUMN(D$13),0)</f>
        <v>4</v>
      </c>
      <c r="D37" s="277">
        <f t="shared" si="4"/>
        <v>12</v>
      </c>
      <c r="E37" s="21"/>
      <c r="F37" s="261" t="str">
        <f>VLOOKUP(J37,UpdateBBM!$C$2:E1015,3,0)</f>
        <v>HOU</v>
      </c>
      <c r="G37" s="248">
        <v>18.0</v>
      </c>
      <c r="H37" s="278">
        <f>IFERROR(__xludf.DUMMYFUNCTION("""COMPUTED_VALUE"""),18.0)</f>
        <v>18</v>
      </c>
      <c r="I37" s="278">
        <f>IFERROR(__xludf.DUMMYFUNCTION("""COMPUTED_VALUE"""),18.3)</f>
        <v>18.3</v>
      </c>
      <c r="J37" s="279" t="str">
        <f>IFERROR(__xludf.DUMMYFUNCTION("""COMPUTED_VALUE"""),"Kevin Durant")</f>
        <v>Kevin Durant</v>
      </c>
      <c r="K37" s="278">
        <f>IFERROR(__xludf.DUMMYFUNCTION("""COMPUTED_VALUE"""),71.0)</f>
        <v>71</v>
      </c>
      <c r="L37" s="280" t="str">
        <f>IFERROR(__xludf.DUMMYFUNCTION("""COMPUTED_VALUE"""),"SF,PF")</f>
        <v>SF,PF</v>
      </c>
      <c r="M37" s="281">
        <f>IFERROR(__xludf.DUMMYFUNCTION("""COMPUTED_VALUE"""),4.3028943022364885)</f>
        <v>4.302894302</v>
      </c>
      <c r="N37" s="281">
        <f>IFERROR(__xludf.DUMMYFUNCTION("""COMPUTED_VALUE"""),4.3028943022364885)</f>
        <v>4.302894302</v>
      </c>
      <c r="O37" s="282">
        <f>IFERROR(__xludf.DUMMYFUNCTION("""COMPUTED_VALUE"""),0.0)</f>
        <v>0</v>
      </c>
      <c r="P37" s="283">
        <f>IFERROR(__xludf.DUMMYFUNCTION("""COMPUTED_VALUE"""),25.7)</f>
        <v>25.7</v>
      </c>
      <c r="Q37" s="283">
        <f>IFERROR(__xludf.DUMMYFUNCTION("""COMPUTED_VALUE"""),2.1)</f>
        <v>2.1</v>
      </c>
      <c r="R37" s="283">
        <f>IFERROR(__xludf.DUMMYFUNCTION("""COMPUTED_VALUE"""),6.4)</f>
        <v>6.4</v>
      </c>
      <c r="S37" s="284">
        <f>IFERROR(__xludf.DUMMYFUNCTION("""COMPUTED_VALUE"""),4.8)</f>
        <v>4.8</v>
      </c>
      <c r="T37" s="283">
        <f>IFERROR(__xludf.DUMMYFUNCTION("""COMPUTED_VALUE"""),0.8)</f>
        <v>0.8</v>
      </c>
      <c r="U37" s="283">
        <f>IFERROR(__xludf.DUMMYFUNCTION("""COMPUTED_VALUE"""),1.2)</f>
        <v>1.2</v>
      </c>
      <c r="V37" s="280">
        <f>IFERROR(__xludf.DUMMYFUNCTION("""COMPUTED_VALUE"""),0.52)</f>
        <v>0.52</v>
      </c>
      <c r="W37" s="280">
        <f>IFERROR(__xludf.DUMMYFUNCTION("""COMPUTED_VALUE"""),0.846)</f>
        <v>0.846</v>
      </c>
      <c r="X37" s="280">
        <f>IFERROR(__xludf.DUMMYFUNCTION("""COMPUTED_VALUE"""),3.2)</f>
        <v>3.2</v>
      </c>
      <c r="Y37" s="283">
        <f>IFERROR(__xludf.DUMMYFUNCTION("""COMPUTED_VALUE"""),1.4872954834922276)</f>
        <v>1.487295483</v>
      </c>
      <c r="Z37" s="281">
        <f>IFERROR(__xludf.DUMMYFUNCTION("""COMPUTED_VALUE"""),0.34932369858753)</f>
        <v>0.3493236986</v>
      </c>
      <c r="AA37" s="281">
        <f>IFERROR(__xludf.DUMMYFUNCTION("""COMPUTED_VALUE"""),0.12988864610918074)</f>
        <v>0.1298886461</v>
      </c>
      <c r="AB37" s="281">
        <f>IFERROR(__xludf.DUMMYFUNCTION("""COMPUTED_VALUE"""),0.39376232053565263)</f>
        <v>0.3937623205</v>
      </c>
      <c r="AC37" s="281">
        <f>IFERROR(__xludf.DUMMYFUNCTION("""COMPUTED_VALUE"""),-0.5847290886782864)</f>
        <v>-0.5847290887</v>
      </c>
      <c r="AD37" s="281">
        <f>IFERROR(__xludf.DUMMYFUNCTION("""COMPUTED_VALUE"""),0.8116322735773168)</f>
        <v>0.8116322736</v>
      </c>
      <c r="AE37" s="281">
        <f>IFERROR(__xludf.DUMMYFUNCTION("""COMPUTED_VALUE"""),0.49585185428237616)</f>
        <v>0.4958518543</v>
      </c>
      <c r="AF37" s="281">
        <f>IFERROR(__xludf.DUMMYFUNCTION("""COMPUTED_VALUE"""),0.9950447639003571)</f>
        <v>0.9950447639</v>
      </c>
      <c r="AG37" s="281">
        <f>IFERROR(__xludf.DUMMYFUNCTION("""COMPUTED_VALUE"""),-0.3599047382481531)</f>
        <v>-0.3599047382</v>
      </c>
      <c r="AH37" s="285"/>
      <c r="AI37" s="298"/>
      <c r="AJ37" s="23"/>
      <c r="AK37" s="326"/>
      <c r="AL37" s="326"/>
      <c r="AM37" s="326"/>
      <c r="AN37" s="326"/>
      <c r="AO37" s="326"/>
      <c r="AP37" s="326"/>
      <c r="AQ37" s="326"/>
      <c r="AR37" s="326"/>
      <c r="AS37" s="326"/>
      <c r="AT37" s="326"/>
      <c r="AU37" s="326"/>
      <c r="AV37" s="326"/>
      <c r="AW37" s="326"/>
      <c r="AX37" s="326"/>
      <c r="AY37" s="326"/>
      <c r="AZ37" s="294" t="s">
        <v>1318</v>
      </c>
      <c r="BA37" s="337">
        <f>IFERROR((SUM(OFFSET(AK22,0,0,COUNT(BA22:BA35)))/100)*(BA36-'Final Update'!$B$1)/'Final Update'!$B$2,"")</f>
        <v>0.1500216004</v>
      </c>
      <c r="BB37" s="337">
        <f>IFERROR((SUM(OFFSET(AK22,0,0,COUNT(BA22:BA35)))/100)*(BB36-'Final Update'!$C$1)/'Final Update'!$C$2,"")</f>
        <v>1.65500341</v>
      </c>
      <c r="BC37" s="337">
        <f>IFERROR((SUM(OFFSET(AK22,0,0,COUNT(BA22:BA35)))/100)*(BC36-'Final Update'!$D$1)/'Final Update'!$D$2,"")</f>
        <v>-0.8219353526</v>
      </c>
      <c r="BD37" s="337">
        <f>IFERROR((SUM(OFFSET(AK22,0,0,COUNT(BA22:BA35)))/100)*(BD36-'Final Update'!$E$1)/'Final Update'!$E$2,"")</f>
        <v>0.8361037473</v>
      </c>
      <c r="BE37" s="337">
        <f>IFERROR((SUM(OFFSET(AK22,0,0,COUNT(BA22:BA35)))/100)*(BE36-'Final Update'!$F$1)/'Final Update'!$F$2,"")</f>
        <v>-1.626689946</v>
      </c>
      <c r="BF37" s="337">
        <f>IFERROR((SUM(OFFSET(AK22,0,0,COUNT(BA22:BA35)))/100)*(BF36-'Final Update'!$G$1)/'Final Update'!$G$2,"")</f>
        <v>-4.969032522</v>
      </c>
      <c r="BG37" s="337">
        <f t="array" ref="BG37">SUMPRODUCT(IFERROR(VLOOKUP(AY22:AY35,'Final Update'!$A$4:$L$403,8,False)*AK22:AK35/100,""))</f>
        <v>-4.357936376</v>
      </c>
      <c r="BH37" s="337">
        <f t="array" ref="BH37">SUMPRODUCT(IFERROR(VLOOKUP(AY22:AY35,'Final Update'!$A$4:$L$403,10,False)*AK22:AK35/100,""))</f>
        <v>2.966388227</v>
      </c>
      <c r="BI37" s="337" t="str">
        <f>-(SUM(OFFSET(AK22,0,0,COUNT(BA22:BA35)))/100)*(BI36-'Final Update'!$L$1)/'Final Update'!$L$2</f>
        <v>#N/A</v>
      </c>
      <c r="BJ37" s="336"/>
      <c r="BK37" s="326"/>
      <c r="BL37" s="273"/>
      <c r="BM37" s="273"/>
      <c r="BN37" s="273"/>
      <c r="BO37" s="273"/>
      <c r="BP37" s="273"/>
      <c r="BQ37" s="273"/>
      <c r="BR37" s="273"/>
      <c r="BS37" s="273"/>
      <c r="BT37" s="273"/>
      <c r="BU37" s="273"/>
      <c r="BV37" s="273"/>
      <c r="BW37" s="273"/>
    </row>
    <row r="38">
      <c r="A38" s="276">
        <f>VLOOKUP($F38,UpdateHashtag!$V$3:$Y$32,COLUMN(B$15),0)</f>
        <v>4</v>
      </c>
      <c r="B38" s="259">
        <f>VLOOKUP($F38,UpdateHashtag!$V$3:$Y$32,COLUMN(C$13),0)</f>
        <v>3</v>
      </c>
      <c r="C38" s="259">
        <f>VLOOKUP($F38,UpdateHashtag!$V$3:$Y$32,COLUMN(D$13),0)</f>
        <v>3</v>
      </c>
      <c r="D38" s="277">
        <f t="shared" si="4"/>
        <v>10</v>
      </c>
      <c r="E38" s="21"/>
      <c r="F38" s="261" t="str">
        <f>VLOOKUP(J38,UpdateBBM!$C$2:E1015,3,0)</f>
        <v>MIN</v>
      </c>
      <c r="G38" s="248">
        <v>19.0</v>
      </c>
      <c r="H38" s="278">
        <f>IFERROR(__xludf.DUMMYFUNCTION("""COMPUTED_VALUE"""),19.0)</f>
        <v>19</v>
      </c>
      <c r="I38" s="278">
        <f>IFERROR(__xludf.DUMMYFUNCTION("""COMPUTED_VALUE"""),10.1)</f>
        <v>10.1</v>
      </c>
      <c r="J38" s="279" t="str">
        <f>IFERROR(__xludf.DUMMYFUNCTION("""COMPUTED_VALUE"""),"Anthony Edwards")</f>
        <v>Anthony Edwards</v>
      </c>
      <c r="K38" s="278">
        <f>IFERROR(__xludf.DUMMYFUNCTION("""COMPUTED_VALUE"""),71.0)</f>
        <v>71</v>
      </c>
      <c r="L38" s="280" t="str">
        <f>IFERROR(__xludf.DUMMYFUNCTION("""COMPUTED_VALUE"""),"SG,SF")</f>
        <v>SG,SF</v>
      </c>
      <c r="M38" s="281">
        <f>IFERROR(__xludf.DUMMYFUNCTION("""COMPUTED_VALUE"""),4.276059412361503)</f>
        <v>4.276059412</v>
      </c>
      <c r="N38" s="281">
        <f>IFERROR(__xludf.DUMMYFUNCTION("""COMPUTED_VALUE"""),4.276059412361503)</f>
        <v>4.276059412</v>
      </c>
      <c r="O38" s="282">
        <f>IFERROR(__xludf.DUMMYFUNCTION("""COMPUTED_VALUE"""),0.0)</f>
        <v>0</v>
      </c>
      <c r="P38" s="283">
        <f>IFERROR(__xludf.DUMMYFUNCTION("""COMPUTED_VALUE"""),26.2)</f>
        <v>26.2</v>
      </c>
      <c r="Q38" s="283">
        <f>IFERROR(__xludf.DUMMYFUNCTION("""COMPUTED_VALUE"""),2.5)</f>
        <v>2.5</v>
      </c>
      <c r="R38" s="283">
        <f>IFERROR(__xludf.DUMMYFUNCTION("""COMPUTED_VALUE"""),5.5)</f>
        <v>5.5</v>
      </c>
      <c r="S38" s="284">
        <f>IFERROR(__xludf.DUMMYFUNCTION("""COMPUTED_VALUE"""),5.2)</f>
        <v>5.2</v>
      </c>
      <c r="T38" s="283">
        <f>IFERROR(__xludf.DUMMYFUNCTION("""COMPUTED_VALUE"""),1.4)</f>
        <v>1.4</v>
      </c>
      <c r="U38" s="283">
        <f>IFERROR(__xludf.DUMMYFUNCTION("""COMPUTED_VALUE"""),0.7)</f>
        <v>0.7</v>
      </c>
      <c r="V38" s="280">
        <f>IFERROR(__xludf.DUMMYFUNCTION("""COMPUTED_VALUE"""),0.46)</f>
        <v>0.46</v>
      </c>
      <c r="W38" s="280">
        <f>IFERROR(__xludf.DUMMYFUNCTION("""COMPUTED_VALUE"""),0.823)</f>
        <v>0.823</v>
      </c>
      <c r="X38" s="280">
        <f>IFERROR(__xludf.DUMMYFUNCTION("""COMPUTED_VALUE"""),3.1)</f>
        <v>3.1</v>
      </c>
      <c r="Y38" s="283">
        <f>IFERROR(__xludf.DUMMYFUNCTION("""COMPUTED_VALUE"""),1.5776194933085588)</f>
        <v>1.577619493</v>
      </c>
      <c r="Z38" s="281">
        <f>IFERROR(__xludf.DUMMYFUNCTION("""COMPUTED_VALUE"""),0.7474208947136959)</f>
        <v>0.7474208947</v>
      </c>
      <c r="AA38" s="281">
        <f>IFERROR(__xludf.DUMMYFUNCTION("""COMPUTED_VALUE"""),-0.2231486940155685)</f>
        <v>-0.223148694</v>
      </c>
      <c r="AB38" s="281">
        <f>IFERROR(__xludf.DUMMYFUNCTION("""COMPUTED_VALUE"""),0.5760094022241846)</f>
        <v>0.5760094022</v>
      </c>
      <c r="AC38" s="281">
        <f>IFERROR(__xludf.DUMMYFUNCTION("""COMPUTED_VALUE"""),1.4068669802785894)</f>
        <v>1.40686698</v>
      </c>
      <c r="AD38" s="281">
        <f>IFERROR(__xludf.DUMMYFUNCTION("""COMPUTED_VALUE"""),-0.08033623668596498)</f>
        <v>-0.08033623669</v>
      </c>
      <c r="AE38" s="281">
        <f>IFERROR(__xludf.DUMMYFUNCTION("""COMPUTED_VALUE"""),-0.8774537995895894)</f>
        <v>-0.8774537996</v>
      </c>
      <c r="AF38" s="281">
        <f>IFERROR(__xludf.DUMMYFUNCTION("""COMPUTED_VALUE"""),0.6067340973101739)</f>
        <v>0.6067340973</v>
      </c>
      <c r="AG38" s="281">
        <f>IFERROR(__xludf.DUMMYFUNCTION("""COMPUTED_VALUE"""),-0.33510652477216646)</f>
        <v>-0.3351065248</v>
      </c>
      <c r="AH38" s="285"/>
      <c r="AI38" s="298"/>
      <c r="AJ38" s="23"/>
      <c r="AK38" s="7"/>
      <c r="AL38" s="23"/>
      <c r="AM38" s="273"/>
      <c r="AN38" s="273"/>
      <c r="AO38" s="273"/>
      <c r="AP38" s="273"/>
      <c r="AQ38" s="273"/>
      <c r="AR38" s="273"/>
      <c r="AS38" s="273"/>
      <c r="AT38" s="273"/>
      <c r="AU38" s="273"/>
      <c r="AV38" s="273"/>
      <c r="AW38" s="273"/>
      <c r="AX38" s="273"/>
      <c r="AY38" s="273"/>
      <c r="AZ38" s="273"/>
      <c r="BA38" s="273"/>
      <c r="BB38" s="273"/>
      <c r="BC38" s="273"/>
      <c r="BD38" s="273"/>
      <c r="BE38" s="273"/>
      <c r="BF38" s="273"/>
      <c r="BG38" s="273"/>
      <c r="BH38" s="273"/>
      <c r="BI38" s="273"/>
      <c r="BJ38" s="273"/>
      <c r="BK38" s="273"/>
      <c r="BL38" s="273"/>
      <c r="BM38" s="273"/>
      <c r="BN38" s="273"/>
      <c r="BO38" s="273"/>
      <c r="BP38" s="273"/>
      <c r="BQ38" s="273"/>
      <c r="BR38" s="273"/>
      <c r="BS38" s="273"/>
      <c r="BT38" s="273"/>
      <c r="BU38" s="273"/>
      <c r="BV38" s="273"/>
      <c r="BW38" s="273"/>
    </row>
    <row r="39">
      <c r="A39" s="276">
        <f>VLOOKUP($F39,UpdateHashtag!$V$3:$Y$32,COLUMN(B$15),0)</f>
        <v>3</v>
      </c>
      <c r="B39" s="259">
        <f>VLOOKUP($F39,UpdateHashtag!$V$3:$Y$32,COLUMN(C$13),0)</f>
        <v>4</v>
      </c>
      <c r="C39" s="259">
        <f>VLOOKUP($F39,UpdateHashtag!$V$3:$Y$32,COLUMN(D$13),0)</f>
        <v>3</v>
      </c>
      <c r="D39" s="277">
        <f t="shared" si="4"/>
        <v>10</v>
      </c>
      <c r="E39" s="21"/>
      <c r="F39" s="261" t="str">
        <f>VLOOKUP(J39,UpdateBBM!$C$2:E1015,3,0)</f>
        <v>TOR</v>
      </c>
      <c r="G39" s="248">
        <v>20.0</v>
      </c>
      <c r="H39" s="278">
        <f>IFERROR(__xludf.DUMMYFUNCTION("""COMPUTED_VALUE"""),20.0)</f>
        <v>20</v>
      </c>
      <c r="I39" s="278">
        <f>IFERROR(__xludf.DUMMYFUNCTION("""COMPUTED_VALUE"""),19.0)</f>
        <v>19</v>
      </c>
      <c r="J39" s="279" t="str">
        <f>IFERROR(__xludf.DUMMYFUNCTION("""COMPUTED_VALUE"""),"Scottie Barnes")</f>
        <v>Scottie Barnes</v>
      </c>
      <c r="K39" s="278">
        <f>IFERROR(__xludf.DUMMYFUNCTION("""COMPUTED_VALUE"""),66.0)</f>
        <v>66</v>
      </c>
      <c r="L39" s="280" t="str">
        <f>IFERROR(__xludf.DUMMYFUNCTION("""COMPUTED_VALUE"""),"SG,SF,PF")</f>
        <v>SG,SF,PF</v>
      </c>
      <c r="M39" s="281">
        <f>IFERROR(__xludf.DUMMYFUNCTION("""COMPUTED_VALUE"""),4.261179524108578)</f>
        <v>4.261179524</v>
      </c>
      <c r="N39" s="281">
        <f>IFERROR(__xludf.DUMMYFUNCTION("""COMPUTED_VALUE"""),4.261179524108578)</f>
        <v>4.261179524</v>
      </c>
      <c r="O39" s="282">
        <f>IFERROR(__xludf.DUMMYFUNCTION("""COMPUTED_VALUE"""),0.0)</f>
        <v>0</v>
      </c>
      <c r="P39" s="283">
        <f>IFERROR(__xludf.DUMMYFUNCTION("""COMPUTED_VALUE"""),19.1)</f>
        <v>19.1</v>
      </c>
      <c r="Q39" s="283">
        <f>IFERROR(__xludf.DUMMYFUNCTION("""COMPUTED_VALUE"""),1.7)</f>
        <v>1.7</v>
      </c>
      <c r="R39" s="283">
        <f>IFERROR(__xludf.DUMMYFUNCTION("""COMPUTED_VALUE"""),8.3)</f>
        <v>8.3</v>
      </c>
      <c r="S39" s="284">
        <f>IFERROR(__xludf.DUMMYFUNCTION("""COMPUTED_VALUE"""),6.0)</f>
        <v>6</v>
      </c>
      <c r="T39" s="283">
        <f>IFERROR(__xludf.DUMMYFUNCTION("""COMPUTED_VALUE"""),1.3)</f>
        <v>1.3</v>
      </c>
      <c r="U39" s="283">
        <f>IFERROR(__xludf.DUMMYFUNCTION("""COMPUTED_VALUE"""),1.5)</f>
        <v>1.5</v>
      </c>
      <c r="V39" s="280">
        <f>IFERROR(__xludf.DUMMYFUNCTION("""COMPUTED_VALUE"""),0.479)</f>
        <v>0.479</v>
      </c>
      <c r="W39" s="280">
        <f>IFERROR(__xludf.DUMMYFUNCTION("""COMPUTED_VALUE"""),0.791)</f>
        <v>0.791</v>
      </c>
      <c r="X39" s="280">
        <f>IFERROR(__xludf.DUMMYFUNCTION("""COMPUTED_VALUE"""),2.4)</f>
        <v>2.4</v>
      </c>
      <c r="Y39" s="283">
        <f>IFERROR(__xludf.DUMMYFUNCTION("""COMPUTED_VALUE"""),0.2950185539166565)</f>
        <v>0.2950185539</v>
      </c>
      <c r="Z39" s="281">
        <f>IFERROR(__xludf.DUMMYFUNCTION("""COMPUTED_VALUE"""),-0.04877349753863613)</f>
        <v>-0.04877349754</v>
      </c>
      <c r="AA39" s="281">
        <f>IFERROR(__xludf.DUMMYFUNCTION("""COMPUTED_VALUE"""),0.8751896974836513)</f>
        <v>0.8751896975</v>
      </c>
      <c r="AB39" s="281">
        <f>IFERROR(__xludf.DUMMYFUNCTION("""COMPUTED_VALUE"""),0.940503565601248)</f>
        <v>0.9405035656</v>
      </c>
      <c r="AC39" s="281">
        <f>IFERROR(__xludf.DUMMYFUNCTION("""COMPUTED_VALUE"""),1.0749343021191105)</f>
        <v>1.074934302</v>
      </c>
      <c r="AD39" s="281">
        <f>IFERROR(__xludf.DUMMYFUNCTION("""COMPUTED_VALUE"""),1.346813379735286)</f>
        <v>1.34681338</v>
      </c>
      <c r="AE39" s="281">
        <f>IFERROR(__xludf.DUMMYFUNCTION("""COMPUTED_VALUE"""),-0.30386646216195506)</f>
        <v>-0.3038664622</v>
      </c>
      <c r="AF39" s="281">
        <f>IFERROR(__xludf.DUMMYFUNCTION("""COMPUTED_VALUE"""),-0.060987446768477845)</f>
        <v>-0.06098744677</v>
      </c>
      <c r="AG39" s="281">
        <f>IFERROR(__xludf.DUMMYFUNCTION("""COMPUTED_VALUE"""),-0.1615190304402598)</f>
        <v>-0.1615190304</v>
      </c>
      <c r="AH39" s="285"/>
      <c r="AI39" s="298"/>
      <c r="AJ39" s="338"/>
      <c r="AK39" s="339"/>
      <c r="AL39" s="273"/>
      <c r="AM39" s="273"/>
      <c r="AN39" s="273"/>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c r="BM39" s="273"/>
      <c r="BN39" s="273"/>
      <c r="BO39" s="273"/>
      <c r="BP39" s="273"/>
      <c r="BQ39" s="273"/>
      <c r="BR39" s="273"/>
      <c r="BS39" s="273"/>
      <c r="BT39" s="273"/>
      <c r="BU39" s="273"/>
      <c r="BV39" s="273"/>
      <c r="BW39" s="273"/>
    </row>
    <row r="40">
      <c r="A40" s="276">
        <f>VLOOKUP($F40,UpdateHashtag!$V$3:$Y$32,COLUMN(B$15),0)</f>
        <v>4</v>
      </c>
      <c r="B40" s="259">
        <f>VLOOKUP($F40,UpdateHashtag!$V$3:$Y$32,COLUMN(C$13),0)</f>
        <v>4</v>
      </c>
      <c r="C40" s="259">
        <f>VLOOKUP($F40,UpdateHashtag!$V$3:$Y$32,COLUMN(D$13),0)</f>
        <v>4</v>
      </c>
      <c r="D40" s="277">
        <f t="shared" si="4"/>
        <v>12</v>
      </c>
      <c r="E40" s="21"/>
      <c r="F40" s="261" t="str">
        <f>VLOOKUP(J40,UpdateBBM!$C$2:E1015,3,0)</f>
        <v>HOU</v>
      </c>
      <c r="G40" s="248">
        <v>21.0</v>
      </c>
      <c r="H40" s="278">
        <f>IFERROR(__xludf.DUMMYFUNCTION("""COMPUTED_VALUE"""),21.0)</f>
        <v>21</v>
      </c>
      <c r="I40" s="278">
        <f>IFERROR(__xludf.DUMMYFUNCTION("""COMPUTED_VALUE"""),38.4)</f>
        <v>38.4</v>
      </c>
      <c r="J40" s="279" t="str">
        <f>IFERROR(__xludf.DUMMYFUNCTION("""COMPUTED_VALUE"""),"Fred VanVleet")</f>
        <v>Fred VanVleet</v>
      </c>
      <c r="K40" s="278">
        <f>IFERROR(__xludf.DUMMYFUNCTION("""COMPUTED_VALUE"""),71.0)</f>
        <v>71</v>
      </c>
      <c r="L40" s="280" t="str">
        <f>IFERROR(__xludf.DUMMYFUNCTION("""COMPUTED_VALUE"""),"PG")</f>
        <v>PG</v>
      </c>
      <c r="M40" s="281">
        <f>IFERROR(__xludf.DUMMYFUNCTION("""COMPUTED_VALUE"""),4.1217013365184005)</f>
        <v>4.121701337</v>
      </c>
      <c r="N40" s="281">
        <f>IFERROR(__xludf.DUMMYFUNCTION("""COMPUTED_VALUE"""),4.1217013365184005)</f>
        <v>4.121701337</v>
      </c>
      <c r="O40" s="282">
        <f>IFERROR(__xludf.DUMMYFUNCTION("""COMPUTED_VALUE"""),0.0)</f>
        <v>0</v>
      </c>
      <c r="P40" s="283">
        <f>IFERROR(__xludf.DUMMYFUNCTION("""COMPUTED_VALUE"""),17.3)</f>
        <v>17.3</v>
      </c>
      <c r="Q40" s="283">
        <f>IFERROR(__xludf.DUMMYFUNCTION("""COMPUTED_VALUE"""),2.9)</f>
        <v>2.9</v>
      </c>
      <c r="R40" s="283">
        <f>IFERROR(__xludf.DUMMYFUNCTION("""COMPUTED_VALUE"""),3.7)</f>
        <v>3.7</v>
      </c>
      <c r="S40" s="284">
        <f>IFERROR(__xludf.DUMMYFUNCTION("""COMPUTED_VALUE"""),7.6)</f>
        <v>7.6</v>
      </c>
      <c r="T40" s="283">
        <f>IFERROR(__xludf.DUMMYFUNCTION("""COMPUTED_VALUE"""),1.4)</f>
        <v>1.4</v>
      </c>
      <c r="U40" s="283">
        <f>IFERROR(__xludf.DUMMYFUNCTION("""COMPUTED_VALUE"""),0.7)</f>
        <v>0.7</v>
      </c>
      <c r="V40" s="280">
        <f>IFERROR(__xludf.DUMMYFUNCTION("""COMPUTED_VALUE"""),0.406)</f>
        <v>0.406</v>
      </c>
      <c r="W40" s="280">
        <f>IFERROR(__xludf.DUMMYFUNCTION("""COMPUTED_VALUE"""),0.874)</f>
        <v>0.874</v>
      </c>
      <c r="X40" s="280">
        <f>IFERROR(__xludf.DUMMYFUNCTION("""COMPUTED_VALUE"""),1.8)</f>
        <v>1.8</v>
      </c>
      <c r="Y40" s="283">
        <f>IFERROR(__xludf.DUMMYFUNCTION("""COMPUTED_VALUE"""),-0.03014788142213587)</f>
        <v>-0.03014788142</v>
      </c>
      <c r="Z40" s="281">
        <f>IFERROR(__xludf.DUMMYFUNCTION("""COMPUTED_VALUE"""),1.145518090839862)</f>
        <v>1.145518091</v>
      </c>
      <c r="AA40" s="281">
        <f>IFERROR(__xludf.DUMMYFUNCTION("""COMPUTED_VALUE"""),-0.9292233742650667)</f>
        <v>-0.9292233743</v>
      </c>
      <c r="AB40" s="281">
        <f>IFERROR(__xludf.DUMMYFUNCTION("""COMPUTED_VALUE"""),1.669491892355375)</f>
        <v>1.669491892</v>
      </c>
      <c r="AC40" s="281">
        <f>IFERROR(__xludf.DUMMYFUNCTION("""COMPUTED_VALUE"""),1.4068669802785894)</f>
        <v>1.40686698</v>
      </c>
      <c r="AD40" s="281">
        <f>IFERROR(__xludf.DUMMYFUNCTION("""COMPUTED_VALUE"""),-0.08033623668596498)</f>
        <v>-0.08033623669</v>
      </c>
      <c r="AE40" s="281">
        <f>IFERROR(__xludf.DUMMYFUNCTION("""COMPUTED_VALUE"""),-1.5018244799362386)</f>
        <v>-1.50182448</v>
      </c>
      <c r="AF40" s="281">
        <f>IFERROR(__xludf.DUMMYFUNCTION("""COMPUTED_VALUE"""),0.9522616150020821)</f>
        <v>0.952261615</v>
      </c>
      <c r="AG40" s="281">
        <f>IFERROR(__xludf.DUMMYFUNCTION("""COMPUTED_VALUE"""),-0.012729749584339901)</f>
        <v>-0.01272974958</v>
      </c>
      <c r="AH40" s="285"/>
      <c r="AI40" s="273"/>
      <c r="AJ40" s="340"/>
      <c r="AK40" s="341"/>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c r="BM40" s="273"/>
      <c r="BN40" s="273"/>
      <c r="BO40" s="273"/>
      <c r="BP40" s="273"/>
      <c r="BQ40" s="273"/>
      <c r="BR40" s="273"/>
      <c r="BS40" s="273"/>
      <c r="BT40" s="273"/>
      <c r="BU40" s="273"/>
      <c r="BV40" s="273"/>
      <c r="BW40" s="273"/>
    </row>
    <row r="41">
      <c r="A41" s="276">
        <f>VLOOKUP($F41,UpdateHashtag!$V$3:$Y$32,COLUMN(B$15),0)</f>
        <v>4</v>
      </c>
      <c r="B41" s="259">
        <f>VLOOKUP($F41,UpdateHashtag!$V$3:$Y$32,COLUMN(C$13),0)</f>
        <v>3</v>
      </c>
      <c r="C41" s="259">
        <f>VLOOKUP($F41,UpdateHashtag!$V$3:$Y$32,COLUMN(D$13),0)</f>
        <v>4</v>
      </c>
      <c r="D41" s="277">
        <f t="shared" si="4"/>
        <v>11</v>
      </c>
      <c r="E41" s="21"/>
      <c r="F41" s="261" t="str">
        <f>VLOOKUP(J41,UpdateBBM!$C$2:E1015,3,0)</f>
        <v>SAC</v>
      </c>
      <c r="G41" s="248">
        <v>22.0</v>
      </c>
      <c r="H41" s="278">
        <f>IFERROR(__xludf.DUMMYFUNCTION("""COMPUTED_VALUE"""),22.0)</f>
        <v>22</v>
      </c>
      <c r="I41" s="278">
        <f>IFERROR(__xludf.DUMMYFUNCTION("""COMPUTED_VALUE"""),14.6)</f>
        <v>14.6</v>
      </c>
      <c r="J41" s="279" t="str">
        <f>IFERROR(__xludf.DUMMYFUNCTION("""COMPUTED_VALUE"""),"Domantas Sabonis")</f>
        <v>Domantas Sabonis</v>
      </c>
      <c r="K41" s="278">
        <f>IFERROR(__xludf.DUMMYFUNCTION("""COMPUTED_VALUE"""),66.0)</f>
        <v>66</v>
      </c>
      <c r="L41" s="280" t="str">
        <f>IFERROR(__xludf.DUMMYFUNCTION("""COMPUTED_VALUE"""),"C")</f>
        <v>C</v>
      </c>
      <c r="M41" s="281">
        <f>IFERROR(__xludf.DUMMYFUNCTION("""COMPUTED_VALUE"""),4.098197606086671)</f>
        <v>4.098197606</v>
      </c>
      <c r="N41" s="281">
        <f>IFERROR(__xludf.DUMMYFUNCTION("""COMPUTED_VALUE"""),4.098197606086671)</f>
        <v>4.098197606</v>
      </c>
      <c r="O41" s="282">
        <f>IFERROR(__xludf.DUMMYFUNCTION("""COMPUTED_VALUE"""),0.0)</f>
        <v>0</v>
      </c>
      <c r="P41" s="283">
        <f>IFERROR(__xludf.DUMMYFUNCTION("""COMPUTED_VALUE"""),18.8)</f>
        <v>18.8</v>
      </c>
      <c r="Q41" s="283">
        <f>IFERROR(__xludf.DUMMYFUNCTION("""COMPUTED_VALUE"""),0.4)</f>
        <v>0.4</v>
      </c>
      <c r="R41" s="283">
        <f>IFERROR(__xludf.DUMMYFUNCTION("""COMPUTED_VALUE"""),13.2)</f>
        <v>13.2</v>
      </c>
      <c r="S41" s="284">
        <f>IFERROR(__xludf.DUMMYFUNCTION("""COMPUTED_VALUE"""),7.9)</f>
        <v>7.9</v>
      </c>
      <c r="T41" s="283">
        <f>IFERROR(__xludf.DUMMYFUNCTION("""COMPUTED_VALUE"""),0.9)</f>
        <v>0.9</v>
      </c>
      <c r="U41" s="283">
        <f>IFERROR(__xludf.DUMMYFUNCTION("""COMPUTED_VALUE"""),0.6)</f>
        <v>0.6</v>
      </c>
      <c r="V41" s="280">
        <f>IFERROR(__xludf.DUMMYFUNCTION("""COMPUTED_VALUE"""),0.6)</f>
        <v>0.6</v>
      </c>
      <c r="W41" s="280">
        <f>IFERROR(__xludf.DUMMYFUNCTION("""COMPUTED_VALUE"""),0.725)</f>
        <v>0.725</v>
      </c>
      <c r="X41" s="280">
        <f>IFERROR(__xludf.DUMMYFUNCTION("""COMPUTED_VALUE"""),3.2)</f>
        <v>3.2</v>
      </c>
      <c r="Y41" s="283">
        <f>IFERROR(__xludf.DUMMYFUNCTION("""COMPUTED_VALUE"""),0.24082414802685767)</f>
        <v>0.240824148</v>
      </c>
      <c r="Z41" s="281">
        <f>IFERROR(__xludf.DUMMYFUNCTION("""COMPUTED_VALUE"""),-1.3425893849486756)</f>
        <v>-1.342589385</v>
      </c>
      <c r="AA41" s="281">
        <f>IFERROR(__xludf.DUMMYFUNCTION("""COMPUTED_VALUE"""),2.797281882607285)</f>
        <v>2.797281883</v>
      </c>
      <c r="AB41" s="281">
        <f>IFERROR(__xludf.DUMMYFUNCTION("""COMPUTED_VALUE"""),1.8061772036217743)</f>
        <v>1.806177204</v>
      </c>
      <c r="AC41" s="281">
        <f>IFERROR(__xludf.DUMMYFUNCTION("""COMPUTED_VALUE"""),-0.25279641051880714)</f>
        <v>-0.2527964105</v>
      </c>
      <c r="AD41" s="281">
        <f>IFERROR(__xludf.DUMMYFUNCTION("""COMPUTED_VALUE"""),-0.25872993873862127)</f>
        <v>-0.2587299387</v>
      </c>
      <c r="AE41" s="281">
        <f>IFERROR(__xludf.DUMMYFUNCTION("""COMPUTED_VALUE"""),1.46235521471565)</f>
        <v>1.462355215</v>
      </c>
      <c r="AF41" s="281">
        <f>IFERROR(__xludf.DUMMYFUNCTION("""COMPUTED_VALUE"""),-1.3370097553793137)</f>
        <v>-1.337009755</v>
      </c>
      <c r="AG41" s="281">
        <f>IFERROR(__xludf.DUMMYFUNCTION("""COMPUTED_VALUE"""),-0.3599047382481531)</f>
        <v>-0.3599047382</v>
      </c>
      <c r="AH41" s="285"/>
      <c r="AI41" s="273"/>
      <c r="AJ41" s="340"/>
      <c r="AK41" s="341"/>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c r="BM41" s="273"/>
      <c r="BN41" s="273"/>
      <c r="BO41" s="273"/>
      <c r="BP41" s="273"/>
      <c r="BQ41" s="273"/>
      <c r="BR41" s="273"/>
      <c r="BS41" s="273"/>
      <c r="BT41" s="273"/>
      <c r="BU41" s="273"/>
      <c r="BV41" s="273"/>
      <c r="BW41" s="273"/>
    </row>
    <row r="42">
      <c r="A42" s="276">
        <f>VLOOKUP($F42,UpdateHashtag!$V$3:$Y$32,COLUMN(B$15),0)</f>
        <v>4</v>
      </c>
      <c r="B42" s="259">
        <f>VLOOKUP($F42,UpdateHashtag!$V$3:$Y$32,COLUMN(C$13),0)</f>
        <v>4</v>
      </c>
      <c r="C42" s="259">
        <f>VLOOKUP($F42,UpdateHashtag!$V$3:$Y$32,COLUMN(D$13),0)</f>
        <v>4</v>
      </c>
      <c r="D42" s="277">
        <f t="shared" si="4"/>
        <v>12</v>
      </c>
      <c r="E42" s="21"/>
      <c r="F42" s="261" t="str">
        <f>VLOOKUP(J42,UpdateBBM!$C$2:E1015,3,0)</f>
        <v>UTA</v>
      </c>
      <c r="G42" s="248">
        <v>23.0</v>
      </c>
      <c r="H42" s="278">
        <f>IFERROR(__xludf.DUMMYFUNCTION("""COMPUTED_VALUE"""),23.0)</f>
        <v>23</v>
      </c>
      <c r="I42" s="278">
        <f>IFERROR(__xludf.DUMMYFUNCTION("""COMPUTED_VALUE"""),30.1)</f>
        <v>30.1</v>
      </c>
      <c r="J42" s="279" t="str">
        <f>IFERROR(__xludf.DUMMYFUNCTION("""COMPUTED_VALUE"""),"Lauri Markkanen")</f>
        <v>Lauri Markkanen</v>
      </c>
      <c r="K42" s="278">
        <f>IFERROR(__xludf.DUMMYFUNCTION("""COMPUTED_VALUE"""),62.0)</f>
        <v>62</v>
      </c>
      <c r="L42" s="280" t="str">
        <f>IFERROR(__xludf.DUMMYFUNCTION("""COMPUTED_VALUE"""),"SF,PF")</f>
        <v>SF,PF</v>
      </c>
      <c r="M42" s="281">
        <f>IFERROR(__xludf.DUMMYFUNCTION("""COMPUTED_VALUE"""),4.008278678991504)</f>
        <v>4.008278679</v>
      </c>
      <c r="N42" s="281">
        <f>IFERROR(__xludf.DUMMYFUNCTION("""COMPUTED_VALUE"""),4.008278678991504)</f>
        <v>4.008278679</v>
      </c>
      <c r="O42" s="282">
        <f>IFERROR(__xludf.DUMMYFUNCTION("""COMPUTED_VALUE"""),0.0)</f>
        <v>0</v>
      </c>
      <c r="P42" s="283">
        <f>IFERROR(__xludf.DUMMYFUNCTION("""COMPUTED_VALUE"""),24.5)</f>
        <v>24.5</v>
      </c>
      <c r="Q42" s="283">
        <f>IFERROR(__xludf.DUMMYFUNCTION("""COMPUTED_VALUE"""),3.1)</f>
        <v>3.1</v>
      </c>
      <c r="R42" s="283">
        <f>IFERROR(__xludf.DUMMYFUNCTION("""COMPUTED_VALUE"""),8.4)</f>
        <v>8.4</v>
      </c>
      <c r="S42" s="284">
        <f>IFERROR(__xludf.DUMMYFUNCTION("""COMPUTED_VALUE"""),1.9)</f>
        <v>1.9</v>
      </c>
      <c r="T42" s="283">
        <f>IFERROR(__xludf.DUMMYFUNCTION("""COMPUTED_VALUE"""),0.8)</f>
        <v>0.8</v>
      </c>
      <c r="U42" s="283">
        <f>IFERROR(__xludf.DUMMYFUNCTION("""COMPUTED_VALUE"""),0.5)</f>
        <v>0.5</v>
      </c>
      <c r="V42" s="280">
        <f>IFERROR(__xludf.DUMMYFUNCTION("""COMPUTED_VALUE"""),0.483)</f>
        <v>0.483</v>
      </c>
      <c r="W42" s="280">
        <f>IFERROR(__xludf.DUMMYFUNCTION("""COMPUTED_VALUE"""),0.884)</f>
        <v>0.884</v>
      </c>
      <c r="X42" s="280">
        <f>IFERROR(__xludf.DUMMYFUNCTION("""COMPUTED_VALUE"""),1.7)</f>
        <v>1.7</v>
      </c>
      <c r="Y42" s="283">
        <f>IFERROR(__xludf.DUMMYFUNCTION("""COMPUTED_VALUE"""),1.270517859933033)</f>
        <v>1.27051786</v>
      </c>
      <c r="Z42" s="281">
        <f>IFERROR(__xludf.DUMMYFUNCTION("""COMPUTED_VALUE"""),1.344566688902945)</f>
        <v>1.344566689</v>
      </c>
      <c r="AA42" s="281">
        <f>IFERROR(__xludf.DUMMYFUNCTION("""COMPUTED_VALUE"""),0.9144160686086232)</f>
        <v>0.9144160686</v>
      </c>
      <c r="AB42" s="281">
        <f>IFERROR(__xludf.DUMMYFUNCTION("""COMPUTED_VALUE"""),-0.9275290217062028)</f>
        <v>-0.9275290217</v>
      </c>
      <c r="AC42" s="281">
        <f>IFERROR(__xludf.DUMMYFUNCTION("""COMPUTED_VALUE"""),-0.5847290886782864)</f>
        <v>-0.5847290887</v>
      </c>
      <c r="AD42" s="281">
        <f>IFERROR(__xludf.DUMMYFUNCTION("""COMPUTED_VALUE"""),-0.4371236407912776)</f>
        <v>-0.4371236408</v>
      </c>
      <c r="AE42" s="281">
        <f>IFERROR(__xludf.DUMMYFUNCTION("""COMPUTED_VALUE"""),-0.27818799975029224)</f>
        <v>-0.2781879998</v>
      </c>
      <c r="AF42" s="281">
        <f>IFERROR(__xludf.DUMMYFUNCTION("""COMPUTED_VALUE"""),1.7667503268751126)</f>
        <v>1.766750327</v>
      </c>
      <c r="AG42" s="281">
        <f>IFERROR(__xludf.DUMMYFUNCTION("""COMPUTED_VALUE"""),0.012068463891646777)</f>
        <v>0.01206846389</v>
      </c>
      <c r="AH42" s="285"/>
      <c r="AI42" s="273"/>
      <c r="AJ42" s="340"/>
      <c r="AK42" s="341"/>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c r="BM42" s="273"/>
      <c r="BN42" s="273"/>
      <c r="BO42" s="273"/>
      <c r="BP42" s="273"/>
      <c r="BQ42" s="273"/>
      <c r="BR42" s="273"/>
      <c r="BS42" s="273"/>
      <c r="BT42" s="273"/>
      <c r="BU42" s="273"/>
      <c r="BV42" s="273"/>
      <c r="BW42" s="273"/>
    </row>
    <row r="43">
      <c r="A43" s="276">
        <f>VLOOKUP($F43,UpdateHashtag!$V$3:$Y$32,COLUMN(B$15),0)</f>
        <v>3</v>
      </c>
      <c r="B43" s="259">
        <f>VLOOKUP($F43,UpdateHashtag!$V$3:$Y$32,COLUMN(C$13),0)</f>
        <v>4</v>
      </c>
      <c r="C43" s="259">
        <f>VLOOKUP($F43,UpdateHashtag!$V$3:$Y$32,COLUMN(D$13),0)</f>
        <v>3</v>
      </c>
      <c r="D43" s="277">
        <f t="shared" si="4"/>
        <v>10</v>
      </c>
      <c r="E43" s="21"/>
      <c r="F43" s="261" t="str">
        <f>VLOOKUP(J43,UpdateBBM!$C$2:E1015,3,0)</f>
        <v>PHO</v>
      </c>
      <c r="G43" s="248">
        <v>24.0</v>
      </c>
      <c r="H43" s="278">
        <f>IFERROR(__xludf.DUMMYFUNCTION("""COMPUTED_VALUE"""),24.0)</f>
        <v>24</v>
      </c>
      <c r="I43" s="278">
        <f>IFERROR(__xludf.DUMMYFUNCTION("""COMPUTED_VALUE"""),20.0)</f>
        <v>20</v>
      </c>
      <c r="J43" s="279" t="str">
        <f>IFERROR(__xludf.DUMMYFUNCTION("""COMPUTED_VALUE"""),"Devin Booker")</f>
        <v>Devin Booker</v>
      </c>
      <c r="K43" s="278">
        <f>IFERROR(__xludf.DUMMYFUNCTION("""COMPUTED_VALUE"""),66.0)</f>
        <v>66</v>
      </c>
      <c r="L43" s="280" t="str">
        <f>IFERROR(__xludf.DUMMYFUNCTION("""COMPUTED_VALUE"""),"PG,SG")</f>
        <v>PG,SG</v>
      </c>
      <c r="M43" s="281">
        <f>IFERROR(__xludf.DUMMYFUNCTION("""COMPUTED_VALUE"""),3.9743584287034825)</f>
        <v>3.974358429</v>
      </c>
      <c r="N43" s="281">
        <f>IFERROR(__xludf.DUMMYFUNCTION("""COMPUTED_VALUE"""),3.9743584287034825)</f>
        <v>3.974358429</v>
      </c>
      <c r="O43" s="282">
        <f>IFERROR(__xludf.DUMMYFUNCTION("""COMPUTED_VALUE"""),0.0)</f>
        <v>0</v>
      </c>
      <c r="P43" s="283">
        <f>IFERROR(__xludf.DUMMYFUNCTION("""COMPUTED_VALUE"""),27.8)</f>
        <v>27.8</v>
      </c>
      <c r="Q43" s="283">
        <f>IFERROR(__xludf.DUMMYFUNCTION("""COMPUTED_VALUE"""),2.2)</f>
        <v>2.2</v>
      </c>
      <c r="R43" s="283">
        <f>IFERROR(__xludf.DUMMYFUNCTION("""COMPUTED_VALUE"""),4.5)</f>
        <v>4.5</v>
      </c>
      <c r="S43" s="284">
        <f>IFERROR(__xludf.DUMMYFUNCTION("""COMPUTED_VALUE"""),5.5)</f>
        <v>5.5</v>
      </c>
      <c r="T43" s="283">
        <f>IFERROR(__xludf.DUMMYFUNCTION("""COMPUTED_VALUE"""),1.0)</f>
        <v>1</v>
      </c>
      <c r="U43" s="283">
        <f>IFERROR(__xludf.DUMMYFUNCTION("""COMPUTED_VALUE"""),0.4)</f>
        <v>0.4</v>
      </c>
      <c r="V43" s="280">
        <f>IFERROR(__xludf.DUMMYFUNCTION("""COMPUTED_VALUE"""),0.49)</f>
        <v>0.49</v>
      </c>
      <c r="W43" s="280">
        <f>IFERROR(__xludf.DUMMYFUNCTION("""COMPUTED_VALUE"""),0.873)</f>
        <v>0.873</v>
      </c>
      <c r="X43" s="280">
        <f>IFERROR(__xludf.DUMMYFUNCTION("""COMPUTED_VALUE"""),2.7)</f>
        <v>2.7</v>
      </c>
      <c r="Y43" s="283">
        <f>IFERROR(__xludf.DUMMYFUNCTION("""COMPUTED_VALUE"""),1.866656324720819)</f>
        <v>1.866656325</v>
      </c>
      <c r="Z43" s="281">
        <f>IFERROR(__xludf.DUMMYFUNCTION("""COMPUTED_VALUE"""),0.44884799761907157)</f>
        <v>0.4488479976</v>
      </c>
      <c r="AA43" s="281">
        <f>IFERROR(__xludf.DUMMYFUNCTION("""COMPUTED_VALUE"""),-0.6154124052652897)</f>
        <v>-0.6154124053</v>
      </c>
      <c r="AB43" s="281">
        <f>IFERROR(__xludf.DUMMYFUNCTION("""COMPUTED_VALUE"""),0.7126947134905833)</f>
        <v>0.7126947135</v>
      </c>
      <c r="AC43" s="281">
        <f>IFERROR(__xludf.DUMMYFUNCTION("""COMPUTED_VALUE"""),0.07913626764067216)</f>
        <v>0.07913626764</v>
      </c>
      <c r="AD43" s="281">
        <f>IFERROR(__xludf.DUMMYFUNCTION("""COMPUTED_VALUE"""),-0.6155173428439339)</f>
        <v>-0.6155173428</v>
      </c>
      <c r="AE43" s="281">
        <f>IFERROR(__xludf.DUMMYFUNCTION("""COMPUTED_VALUE"""),-0.162092383375328)</f>
        <v>-0.1620923834</v>
      </c>
      <c r="AF43" s="281">
        <f>IFERROR(__xludf.DUMMYFUNCTION("""COMPUTED_VALUE"""),1.8804415847411744)</f>
        <v>1.880441585</v>
      </c>
      <c r="AG43" s="281">
        <f>IFERROR(__xludf.DUMMYFUNCTION("""COMPUTED_VALUE"""),-0.23591367086821985)</f>
        <v>-0.2359136709</v>
      </c>
      <c r="AH43" s="285"/>
      <c r="AI43" s="273"/>
      <c r="AJ43" s="340"/>
      <c r="AK43" s="341"/>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273"/>
      <c r="BN43" s="273"/>
      <c r="BO43" s="273"/>
      <c r="BP43" s="273"/>
      <c r="BQ43" s="273"/>
      <c r="BR43" s="273"/>
      <c r="BS43" s="273"/>
      <c r="BT43" s="273"/>
      <c r="BU43" s="273"/>
      <c r="BV43" s="273"/>
      <c r="BW43" s="273"/>
    </row>
    <row r="44">
      <c r="A44" s="259" t="str">
        <f>VLOOKUP($F44,UpdateHashtag!$V$3:$Y$32,COLUMN(B$15),0)</f>
        <v>#N/A</v>
      </c>
      <c r="B44" s="259" t="str">
        <f>VLOOKUP($F44,UpdateHashtag!$V$3:$Y$32,COLUMN(C$13),0)</f>
        <v>#N/A</v>
      </c>
      <c r="C44" s="259" t="str">
        <f>VLOOKUP($F44,UpdateHashtag!$V$3:$Y$32,COLUMN(D$13),0)</f>
        <v>#N/A</v>
      </c>
      <c r="D44" s="329" t="str">
        <f t="shared" si="4"/>
        <v>#N/A</v>
      </c>
      <c r="E44" s="21"/>
      <c r="F44" s="261" t="str">
        <f>VLOOKUP(J44,UpdateBBM!$C$2:E1015,3,0)</f>
        <v>NYK</v>
      </c>
      <c r="G44" s="248">
        <v>25.0</v>
      </c>
      <c r="H44" s="278">
        <f>IFERROR(__xludf.DUMMYFUNCTION("""COMPUTED_VALUE"""),25.0)</f>
        <v>25</v>
      </c>
      <c r="I44" s="278">
        <f>IFERROR(__xludf.DUMMYFUNCTION("""COMPUTED_VALUE"""),22.1)</f>
        <v>22.1</v>
      </c>
      <c r="J44" s="279" t="str">
        <f>IFERROR(__xludf.DUMMYFUNCTION("""COMPUTED_VALUE"""),"Karl-Anthony Towns")</f>
        <v>Karl-Anthony Towns</v>
      </c>
      <c r="K44" s="278">
        <f>IFERROR(__xludf.DUMMYFUNCTION("""COMPUTED_VALUE"""),66.0)</f>
        <v>66</v>
      </c>
      <c r="L44" s="280" t="str">
        <f>IFERROR(__xludf.DUMMYFUNCTION("""COMPUTED_VALUE"""),"PF,C")</f>
        <v>PF,C</v>
      </c>
      <c r="M44" s="281">
        <f>IFERROR(__xludf.DUMMYFUNCTION("""COMPUTED_VALUE"""),3.866715015229273)</f>
        <v>3.866715015</v>
      </c>
      <c r="N44" s="281">
        <f>IFERROR(__xludf.DUMMYFUNCTION("""COMPUTED_VALUE"""),3.866715015229273)</f>
        <v>3.866715015</v>
      </c>
      <c r="O44" s="282">
        <f>IFERROR(__xludf.DUMMYFUNCTION("""COMPUTED_VALUE"""),0.0)</f>
        <v>0</v>
      </c>
      <c r="P44" s="283">
        <f>IFERROR(__xludf.DUMMYFUNCTION("""COMPUTED_VALUE"""),21.4)</f>
        <v>21.4</v>
      </c>
      <c r="Q44" s="283">
        <f>IFERROR(__xludf.DUMMYFUNCTION("""COMPUTED_VALUE"""),2.2)</f>
        <v>2.2</v>
      </c>
      <c r="R44" s="283">
        <f>IFERROR(__xludf.DUMMYFUNCTION("""COMPUTED_VALUE"""),9.5)</f>
        <v>9.5</v>
      </c>
      <c r="S44" s="284">
        <f>IFERROR(__xludf.DUMMYFUNCTION("""COMPUTED_VALUE"""),3.3)</f>
        <v>3.3</v>
      </c>
      <c r="T44" s="283">
        <f>IFERROR(__xludf.DUMMYFUNCTION("""COMPUTED_VALUE"""),0.7)</f>
        <v>0.7</v>
      </c>
      <c r="U44" s="283">
        <f>IFERROR(__xludf.DUMMYFUNCTION("""COMPUTED_VALUE"""),1.0)</f>
        <v>1</v>
      </c>
      <c r="V44" s="280">
        <f>IFERROR(__xludf.DUMMYFUNCTION("""COMPUTED_VALUE"""),0.501)</f>
        <v>0.501</v>
      </c>
      <c r="W44" s="280">
        <f>IFERROR(__xludf.DUMMYFUNCTION("""COMPUTED_VALUE"""),0.873)</f>
        <v>0.873</v>
      </c>
      <c r="X44" s="280">
        <f>IFERROR(__xludf.DUMMYFUNCTION("""COMPUTED_VALUE"""),2.9)</f>
        <v>2.9</v>
      </c>
      <c r="Y44" s="283">
        <f>IFERROR(__xludf.DUMMYFUNCTION("""COMPUTED_VALUE"""),0.7105089990717794)</f>
        <v>0.7105089991</v>
      </c>
      <c r="Z44" s="281">
        <f>IFERROR(__xludf.DUMMYFUNCTION("""COMPUTED_VALUE"""),0.44884799761907157)</f>
        <v>0.4488479976</v>
      </c>
      <c r="AA44" s="281">
        <f>IFERROR(__xludf.DUMMYFUNCTION("""COMPUTED_VALUE"""),1.3459061509833166)</f>
        <v>1.345906151</v>
      </c>
      <c r="AB44" s="281">
        <f>IFERROR(__xludf.DUMMYFUNCTION("""COMPUTED_VALUE"""),-0.2896642357963416)</f>
        <v>-0.2896642358</v>
      </c>
      <c r="AC44" s="281">
        <f>IFERROR(__xludf.DUMMYFUNCTION("""COMPUTED_VALUE"""),-0.9166617668377661)</f>
        <v>-0.9166617668</v>
      </c>
      <c r="AD44" s="281">
        <f>IFERROR(__xludf.DUMMYFUNCTION("""COMPUTED_VALUE"""),0.45484486947200414)</f>
        <v>0.4548448695</v>
      </c>
      <c r="AE44" s="281">
        <f>IFERROR(__xludf.DUMMYFUNCTION("""COMPUTED_VALUE"""),0.07145014314375582)</f>
        <v>0.07145014314</v>
      </c>
      <c r="AF44" s="281">
        <f>IFERROR(__xludf.DUMMYFUNCTION("""COMPUTED_VALUE"""),1.4103311885558807)</f>
        <v>1.410331189</v>
      </c>
      <c r="AG44" s="281">
        <f>IFERROR(__xludf.DUMMYFUNCTION("""COMPUTED_VALUE"""),-0.2855100978201931)</f>
        <v>-0.2855100978</v>
      </c>
      <c r="AH44" s="285"/>
      <c r="AI44" s="273"/>
      <c r="AJ44" s="340"/>
      <c r="AK44" s="341"/>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c r="BM44" s="273"/>
      <c r="BN44" s="273"/>
      <c r="BO44" s="273"/>
      <c r="BP44" s="273"/>
      <c r="BQ44" s="273"/>
      <c r="BR44" s="273"/>
      <c r="BS44" s="273"/>
      <c r="BT44" s="273"/>
      <c r="BU44" s="273"/>
      <c r="BV44" s="273"/>
      <c r="BW44" s="273"/>
    </row>
    <row r="45">
      <c r="A45" s="259" t="str">
        <f>VLOOKUP($F45,UpdateHashtag!$V$3:$Y$32,COLUMN(B$15),0)</f>
        <v>#N/A</v>
      </c>
      <c r="B45" s="259" t="str">
        <f>VLOOKUP($F45,UpdateHashtag!$V$3:$Y$32,COLUMN(C$13),0)</f>
        <v>#N/A</v>
      </c>
      <c r="C45" s="259" t="str">
        <f>VLOOKUP($F45,UpdateHashtag!$V$3:$Y$32,COLUMN(D$13),0)</f>
        <v>#N/A</v>
      </c>
      <c r="D45" s="329" t="str">
        <f t="shared" si="4"/>
        <v>#N/A</v>
      </c>
      <c r="E45" s="21"/>
      <c r="F45" s="261" t="str">
        <f>VLOOKUP(J45,UpdateBBM!$C$2:E1015,3,0)</f>
        <v>NYK</v>
      </c>
      <c r="G45" s="248">
        <v>26.0</v>
      </c>
      <c r="H45" s="278">
        <f>IFERROR(__xludf.DUMMYFUNCTION("""COMPUTED_VALUE"""),26.0)</f>
        <v>26</v>
      </c>
      <c r="I45" s="278">
        <f>IFERROR(__xludf.DUMMYFUNCTION("""COMPUTED_VALUE"""),19.1)</f>
        <v>19.1</v>
      </c>
      <c r="J45" s="279" t="str">
        <f>IFERROR(__xludf.DUMMYFUNCTION("""COMPUTED_VALUE"""),"Jalen Brunson")</f>
        <v>Jalen Brunson</v>
      </c>
      <c r="K45" s="278">
        <f>IFERROR(__xludf.DUMMYFUNCTION("""COMPUTED_VALUE"""),71.0)</f>
        <v>71</v>
      </c>
      <c r="L45" s="280" t="str">
        <f>IFERROR(__xludf.DUMMYFUNCTION("""COMPUTED_VALUE"""),"PG")</f>
        <v>PG</v>
      </c>
      <c r="M45" s="281">
        <f>IFERROR(__xludf.DUMMYFUNCTION("""COMPUTED_VALUE"""),3.5652014548200865)</f>
        <v>3.565201455</v>
      </c>
      <c r="N45" s="281">
        <f>IFERROR(__xludf.DUMMYFUNCTION("""COMPUTED_VALUE"""),3.5652014548200865)</f>
        <v>3.565201455</v>
      </c>
      <c r="O45" s="282">
        <f>IFERROR(__xludf.DUMMYFUNCTION("""COMPUTED_VALUE"""),0.0)</f>
        <v>0</v>
      </c>
      <c r="P45" s="283">
        <f>IFERROR(__xludf.DUMMYFUNCTION("""COMPUTED_VALUE"""),27.7)</f>
        <v>27.7</v>
      </c>
      <c r="Q45" s="283">
        <f>IFERROR(__xludf.DUMMYFUNCTION("""COMPUTED_VALUE"""),2.7)</f>
        <v>2.7</v>
      </c>
      <c r="R45" s="283">
        <f>IFERROR(__xludf.DUMMYFUNCTION("""COMPUTED_VALUE"""),3.7)</f>
        <v>3.7</v>
      </c>
      <c r="S45" s="284">
        <f>IFERROR(__xludf.DUMMYFUNCTION("""COMPUTED_VALUE"""),7.0)</f>
        <v>7</v>
      </c>
      <c r="T45" s="283">
        <f>IFERROR(__xludf.DUMMYFUNCTION("""COMPUTED_VALUE"""),0.9)</f>
        <v>0.9</v>
      </c>
      <c r="U45" s="283">
        <f>IFERROR(__xludf.DUMMYFUNCTION("""COMPUTED_VALUE"""),0.2)</f>
        <v>0.2</v>
      </c>
      <c r="V45" s="280">
        <f>IFERROR(__xludf.DUMMYFUNCTION("""COMPUTED_VALUE"""),0.484)</f>
        <v>0.484</v>
      </c>
      <c r="W45" s="280">
        <f>IFERROR(__xludf.DUMMYFUNCTION("""COMPUTED_VALUE"""),0.839)</f>
        <v>0.839</v>
      </c>
      <c r="X45" s="280">
        <f>IFERROR(__xludf.DUMMYFUNCTION("""COMPUTED_VALUE"""),2.3)</f>
        <v>2.3</v>
      </c>
      <c r="Y45" s="283">
        <f>IFERROR(__xludf.DUMMYFUNCTION("""COMPUTED_VALUE"""),1.8485915227575525)</f>
        <v>1.848591523</v>
      </c>
      <c r="Z45" s="281">
        <f>IFERROR(__xludf.DUMMYFUNCTION("""COMPUTED_VALUE"""),0.946469492776779)</f>
        <v>0.9464694928</v>
      </c>
      <c r="AA45" s="281">
        <f>IFERROR(__xludf.DUMMYFUNCTION("""COMPUTED_VALUE"""),-0.9292233742650667)</f>
        <v>-0.9292233743</v>
      </c>
      <c r="AB45" s="281">
        <f>IFERROR(__xludf.DUMMYFUNCTION("""COMPUTED_VALUE"""),1.3961212698225776)</f>
        <v>1.39612127</v>
      </c>
      <c r="AC45" s="281">
        <f>IFERROR(__xludf.DUMMYFUNCTION("""COMPUTED_VALUE"""),-0.25279641051880714)</f>
        <v>-0.2527964105</v>
      </c>
      <c r="AD45" s="281">
        <f>IFERROR(__xludf.DUMMYFUNCTION("""COMPUTED_VALUE"""),-0.9723047469492465)</f>
        <v>-0.9723047469</v>
      </c>
      <c r="AE45" s="281">
        <f>IFERROR(__xludf.DUMMYFUNCTION("""COMPUTED_VALUE"""),-0.3064549542470388)</f>
        <v>-0.3064549542</v>
      </c>
      <c r="AF45" s="281">
        <f>IFERROR(__xludf.DUMMYFUNCTION("""COMPUTED_VALUE"""),0.9992147254583632)</f>
        <v>0.9992147255</v>
      </c>
      <c r="AG45" s="281">
        <f>IFERROR(__xludf.DUMMYFUNCTION("""COMPUTED_VALUE"""),-0.13672081696427313)</f>
        <v>-0.136720817</v>
      </c>
      <c r="AH45" s="285"/>
      <c r="AI45" s="273"/>
      <c r="AJ45" s="340"/>
      <c r="AK45" s="341"/>
      <c r="AL45" s="273"/>
      <c r="AM45" s="273"/>
      <c r="AN45" s="273"/>
      <c r="AO45" s="273"/>
      <c r="AP45" s="273"/>
      <c r="AQ45" s="273"/>
      <c r="AR45" s="273"/>
      <c r="AS45" s="273"/>
      <c r="AT45" s="273"/>
      <c r="AU45" s="273"/>
      <c r="AV45" s="273"/>
      <c r="AW45" s="273"/>
      <c r="AX45" s="273"/>
      <c r="AY45" s="273"/>
      <c r="AZ45" s="273"/>
      <c r="BA45" s="273"/>
      <c r="BB45" s="273"/>
      <c r="BC45" s="273"/>
      <c r="BD45" s="273"/>
      <c r="BE45" s="273"/>
      <c r="BF45" s="273"/>
      <c r="BG45" s="273"/>
      <c r="BH45" s="273"/>
      <c r="BI45" s="273"/>
      <c r="BJ45" s="273"/>
      <c r="BK45" s="273"/>
      <c r="BL45" s="273"/>
      <c r="BM45" s="273"/>
      <c r="BN45" s="273"/>
      <c r="BO45" s="273"/>
      <c r="BP45" s="273"/>
      <c r="BQ45" s="273"/>
      <c r="BR45" s="273"/>
      <c r="BS45" s="273"/>
      <c r="BT45" s="273"/>
      <c r="BU45" s="273"/>
      <c r="BV45" s="273"/>
      <c r="BW45" s="273"/>
    </row>
    <row r="46">
      <c r="A46" s="276">
        <f>VLOOKUP($F46,UpdateHashtag!$V$3:$Y$32,COLUMN(B$15),0)</f>
        <v>4</v>
      </c>
      <c r="B46" s="259">
        <f>VLOOKUP($F46,UpdateHashtag!$V$3:$Y$32,COLUMN(C$13),0)</f>
        <v>4</v>
      </c>
      <c r="C46" s="259">
        <f>VLOOKUP($F46,UpdateHashtag!$V$3:$Y$32,COLUMN(D$13),0)</f>
        <v>4</v>
      </c>
      <c r="D46" s="277">
        <f t="shared" si="4"/>
        <v>12</v>
      </c>
      <c r="E46" s="21"/>
      <c r="F46" s="261" t="str">
        <f>VLOOKUP(J46,UpdateBBM!$C$2:E1015,3,0)</f>
        <v>PHI</v>
      </c>
      <c r="G46" s="248">
        <v>27.0</v>
      </c>
      <c r="H46" s="278">
        <f>IFERROR(__xludf.DUMMYFUNCTION("""COMPUTED_VALUE"""),27.0)</f>
        <v>27</v>
      </c>
      <c r="I46" s="278">
        <f>IFERROR(__xludf.DUMMYFUNCTION("""COMPUTED_VALUE"""),32.1)</f>
        <v>32.1</v>
      </c>
      <c r="J46" s="279" t="str">
        <f>IFERROR(__xludf.DUMMYFUNCTION("""COMPUTED_VALUE"""),"Paul George")</f>
        <v>Paul George</v>
      </c>
      <c r="K46" s="278">
        <f>IFERROR(__xludf.DUMMYFUNCTION("""COMPUTED_VALUE"""),66.0)</f>
        <v>66</v>
      </c>
      <c r="L46" s="280" t="str">
        <f>IFERROR(__xludf.DUMMYFUNCTION("""COMPUTED_VALUE"""),"SG,SF,PF")</f>
        <v>SG,SF,PF</v>
      </c>
      <c r="M46" s="281">
        <f>IFERROR(__xludf.DUMMYFUNCTION("""COMPUTED_VALUE"""),3.481204948854153)</f>
        <v>3.481204949</v>
      </c>
      <c r="N46" s="281">
        <f>IFERROR(__xludf.DUMMYFUNCTION("""COMPUTED_VALUE"""),3.481204948854153)</f>
        <v>3.481204949</v>
      </c>
      <c r="O46" s="282">
        <f>IFERROR(__xludf.DUMMYFUNCTION("""COMPUTED_VALUE"""),0.0)</f>
        <v>0</v>
      </c>
      <c r="P46" s="283">
        <f>IFERROR(__xludf.DUMMYFUNCTION("""COMPUTED_VALUE"""),22.1)</f>
        <v>22.1</v>
      </c>
      <c r="Q46" s="283">
        <f>IFERROR(__xludf.DUMMYFUNCTION("""COMPUTED_VALUE"""),3.0)</f>
        <v>3</v>
      </c>
      <c r="R46" s="283">
        <f>IFERROR(__xludf.DUMMYFUNCTION("""COMPUTED_VALUE"""),5.0)</f>
        <v>5</v>
      </c>
      <c r="S46" s="284">
        <f>IFERROR(__xludf.DUMMYFUNCTION("""COMPUTED_VALUE"""),3.4)</f>
        <v>3.4</v>
      </c>
      <c r="T46" s="283">
        <f>IFERROR(__xludf.DUMMYFUNCTION("""COMPUTED_VALUE"""),1.4)</f>
        <v>1.4</v>
      </c>
      <c r="U46" s="283">
        <f>IFERROR(__xludf.DUMMYFUNCTION("""COMPUTED_VALUE"""),0.4)</f>
        <v>0.4</v>
      </c>
      <c r="V46" s="280">
        <f>IFERROR(__xludf.DUMMYFUNCTION("""COMPUTED_VALUE"""),0.465)</f>
        <v>0.465</v>
      </c>
      <c r="W46" s="280">
        <f>IFERROR(__xludf.DUMMYFUNCTION("""COMPUTED_VALUE"""),0.889)</f>
        <v>0.889</v>
      </c>
      <c r="X46" s="280">
        <f>IFERROR(__xludf.DUMMYFUNCTION("""COMPUTED_VALUE"""),2.4)</f>
        <v>2.4</v>
      </c>
      <c r="Y46" s="283">
        <f>IFERROR(__xludf.DUMMYFUNCTION("""COMPUTED_VALUE"""),0.8369626128146436)</f>
        <v>0.8369626128</v>
      </c>
      <c r="Z46" s="281">
        <f>IFERROR(__xludf.DUMMYFUNCTION("""COMPUTED_VALUE"""),1.2450423898714034)</f>
        <v>1.24504239</v>
      </c>
      <c r="AA46" s="281">
        <f>IFERROR(__xludf.DUMMYFUNCTION("""COMPUTED_VALUE"""),-0.41928054964042916)</f>
        <v>-0.4192805496</v>
      </c>
      <c r="AB46" s="281">
        <f>IFERROR(__xludf.DUMMYFUNCTION("""COMPUTED_VALUE"""),-0.2441024653742086)</f>
        <v>-0.2441024654</v>
      </c>
      <c r="AC46" s="281">
        <f>IFERROR(__xludf.DUMMYFUNCTION("""COMPUTED_VALUE"""),1.4068669802785894)</f>
        <v>1.40686698</v>
      </c>
      <c r="AD46" s="281">
        <f>IFERROR(__xludf.DUMMYFUNCTION("""COMPUTED_VALUE"""),-0.6155173428439339)</f>
        <v>-0.6155173428</v>
      </c>
      <c r="AE46" s="281">
        <f>IFERROR(__xludf.DUMMYFUNCTION("""COMPUTED_VALUE"""),-0.6165112887863645)</f>
        <v>-0.6165112888</v>
      </c>
      <c r="AF46" s="281">
        <f>IFERROR(__xludf.DUMMYFUNCTION("""COMPUTED_VALUE"""),1.4327523541883482)</f>
        <v>1.432752354</v>
      </c>
      <c r="AG46" s="281">
        <f>IFERROR(__xludf.DUMMYFUNCTION("""COMPUTED_VALUE"""),-0.1615190304402598)</f>
        <v>-0.1615190304</v>
      </c>
      <c r="AH46" s="285"/>
      <c r="AI46" s="273"/>
      <c r="AJ46" s="340"/>
      <c r="AK46" s="341"/>
      <c r="AL46" s="273"/>
      <c r="AM46" s="273"/>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3"/>
      <c r="BK46" s="273"/>
      <c r="BL46" s="273"/>
      <c r="BM46" s="273"/>
      <c r="BN46" s="273"/>
      <c r="BO46" s="273"/>
      <c r="BP46" s="273"/>
      <c r="BQ46" s="273"/>
      <c r="BR46" s="273"/>
      <c r="BS46" s="273"/>
      <c r="BT46" s="273"/>
      <c r="BU46" s="273"/>
      <c r="BV46" s="273"/>
      <c r="BW46" s="273"/>
    </row>
    <row r="47">
      <c r="A47" s="276">
        <f>VLOOKUP($F47,UpdateHashtag!$V$3:$Y$32,COLUMN(B$15),0)</f>
        <v>4</v>
      </c>
      <c r="B47" s="259">
        <f>VLOOKUP($F47,UpdateHashtag!$V$3:$Y$32,COLUMN(C$13),0)</f>
        <v>4</v>
      </c>
      <c r="C47" s="259">
        <f>VLOOKUP($F47,UpdateHashtag!$V$3:$Y$32,COLUMN(D$13),0)</f>
        <v>3</v>
      </c>
      <c r="D47" s="277">
        <f t="shared" si="4"/>
        <v>11</v>
      </c>
      <c r="E47" s="21"/>
      <c r="F47" s="261" t="str">
        <f>VLOOKUP(J47,UpdateBBM!$C$2:E1015,3,0)</f>
        <v>OKC</v>
      </c>
      <c r="G47" s="248">
        <v>28.0</v>
      </c>
      <c r="H47" s="278">
        <f>IFERROR(__xludf.DUMMYFUNCTION("""COMPUTED_VALUE"""),28.0)</f>
        <v>28</v>
      </c>
      <c r="I47" s="278">
        <f>IFERROR(__xludf.DUMMYFUNCTION("""COMPUTED_VALUE"""),17.6)</f>
        <v>17.6</v>
      </c>
      <c r="J47" s="279" t="str">
        <f>IFERROR(__xludf.DUMMYFUNCTION("""COMPUTED_VALUE"""),"Chet Holmgren")</f>
        <v>Chet Holmgren</v>
      </c>
      <c r="K47" s="278">
        <f>IFERROR(__xludf.DUMMYFUNCTION("""COMPUTED_VALUE"""),66.0)</f>
        <v>66</v>
      </c>
      <c r="L47" s="280" t="str">
        <f>IFERROR(__xludf.DUMMYFUNCTION("""COMPUTED_VALUE"""),"PF,C")</f>
        <v>PF,C</v>
      </c>
      <c r="M47" s="281">
        <f>IFERROR(__xludf.DUMMYFUNCTION("""COMPUTED_VALUE"""),3.3631444111060267)</f>
        <v>3.363144411</v>
      </c>
      <c r="N47" s="281">
        <f>IFERROR(__xludf.DUMMYFUNCTION("""COMPUTED_VALUE"""),3.3631444111060267)</f>
        <v>3.363144411</v>
      </c>
      <c r="O47" s="282">
        <f>IFERROR(__xludf.DUMMYFUNCTION("""COMPUTED_VALUE"""),0.0)</f>
        <v>0</v>
      </c>
      <c r="P47" s="283">
        <f>IFERROR(__xludf.DUMMYFUNCTION("""COMPUTED_VALUE"""),17.4)</f>
        <v>17.4</v>
      </c>
      <c r="Q47" s="283">
        <f>IFERROR(__xludf.DUMMYFUNCTION("""COMPUTED_VALUE"""),1.7)</f>
        <v>1.7</v>
      </c>
      <c r="R47" s="283">
        <f>IFERROR(__xludf.DUMMYFUNCTION("""COMPUTED_VALUE"""),8.1)</f>
        <v>8.1</v>
      </c>
      <c r="S47" s="284">
        <f>IFERROR(__xludf.DUMMYFUNCTION("""COMPUTED_VALUE"""),2.6)</f>
        <v>2.6</v>
      </c>
      <c r="T47" s="283">
        <f>IFERROR(__xludf.DUMMYFUNCTION("""COMPUTED_VALUE"""),0.7)</f>
        <v>0.7</v>
      </c>
      <c r="U47" s="283">
        <f>IFERROR(__xludf.DUMMYFUNCTION("""COMPUTED_VALUE"""),2.3)</f>
        <v>2.3</v>
      </c>
      <c r="V47" s="280">
        <f>IFERROR(__xludf.DUMMYFUNCTION("""COMPUTED_VALUE"""),0.53)</f>
        <v>0.53</v>
      </c>
      <c r="W47" s="280">
        <f>IFERROR(__xludf.DUMMYFUNCTION("""COMPUTED_VALUE"""),0.793)</f>
        <v>0.793</v>
      </c>
      <c r="X47" s="280">
        <f>IFERROR(__xludf.DUMMYFUNCTION("""COMPUTED_VALUE"""),1.7)</f>
        <v>1.7</v>
      </c>
      <c r="Y47" s="283">
        <f>IFERROR(__xludf.DUMMYFUNCTION("""COMPUTED_VALUE"""),-0.012083079458870018)</f>
        <v>-0.01208307946</v>
      </c>
      <c r="Z47" s="281">
        <f>IFERROR(__xludf.DUMMYFUNCTION("""COMPUTED_VALUE"""),-0.04877349753863613)</f>
        <v>-0.04877349754</v>
      </c>
      <c r="AA47" s="281">
        <f>IFERROR(__xludf.DUMMYFUNCTION("""COMPUTED_VALUE"""),0.7967369552337066)</f>
        <v>0.7967369552</v>
      </c>
      <c r="AB47" s="281">
        <f>IFERROR(__xludf.DUMMYFUNCTION("""COMPUTED_VALUE"""),-0.6085966287512721)</f>
        <v>-0.6085966288</v>
      </c>
      <c r="AC47" s="281">
        <f>IFERROR(__xludf.DUMMYFUNCTION("""COMPUTED_VALUE"""),-0.9166617668377661)</f>
        <v>-0.9166617668</v>
      </c>
      <c r="AD47" s="281">
        <f>IFERROR(__xludf.DUMMYFUNCTION("""COMPUTED_VALUE"""),2.7739629961565364)</f>
        <v>2.773962996</v>
      </c>
      <c r="AE47" s="281">
        <f>IFERROR(__xludf.DUMMYFUNCTION("""COMPUTED_VALUE"""),0.47355201437337247)</f>
        <v>0.4735520144</v>
      </c>
      <c r="AF47" s="281">
        <f>IFERROR(__xludf.DUMMYFUNCTION("""COMPUTED_VALUE"""),-0.02372281280045713)</f>
        <v>-0.0237228128</v>
      </c>
      <c r="AG47" s="281">
        <f>IFERROR(__xludf.DUMMYFUNCTION("""COMPUTED_VALUE"""),0.012068463891646777)</f>
        <v>0.01206846389</v>
      </c>
      <c r="AH47" s="285"/>
      <c r="AI47" s="273"/>
      <c r="AJ47" s="340"/>
      <c r="AK47" s="341"/>
      <c r="AL47" s="273"/>
      <c r="AM47" s="273"/>
      <c r="AN47" s="273"/>
      <c r="AO47" s="273"/>
      <c r="AP47" s="273"/>
      <c r="AQ47" s="273"/>
      <c r="AR47" s="273"/>
      <c r="AS47" s="273"/>
      <c r="AT47" s="273"/>
      <c r="AU47" s="273"/>
      <c r="AV47" s="273"/>
      <c r="AW47" s="273"/>
      <c r="AX47" s="273"/>
      <c r="AY47" s="273"/>
      <c r="AZ47" s="273"/>
      <c r="BA47" s="273"/>
      <c r="BB47" s="273"/>
      <c r="BC47" s="273"/>
      <c r="BD47" s="273"/>
      <c r="BE47" s="273"/>
      <c r="BF47" s="273"/>
      <c r="BG47" s="273"/>
      <c r="BH47" s="273"/>
      <c r="BI47" s="273"/>
      <c r="BJ47" s="273"/>
      <c r="BK47" s="273"/>
      <c r="BL47" s="273"/>
      <c r="BM47" s="273"/>
      <c r="BN47" s="273"/>
      <c r="BO47" s="273"/>
      <c r="BP47" s="273"/>
      <c r="BQ47" s="273"/>
      <c r="BR47" s="273"/>
      <c r="BS47" s="273"/>
      <c r="BT47" s="273"/>
      <c r="BU47" s="273"/>
      <c r="BV47" s="273"/>
      <c r="BW47" s="273"/>
    </row>
    <row r="48">
      <c r="A48" s="259" t="str">
        <f>VLOOKUP($F48,UpdateHashtag!$V$3:$Y$32,COLUMN(B$15),0)</f>
        <v>#N/A</v>
      </c>
      <c r="B48" s="259" t="str">
        <f>VLOOKUP($F48,UpdateHashtag!$V$3:$Y$32,COLUMN(C$13),0)</f>
        <v>#N/A</v>
      </c>
      <c r="C48" s="259" t="str">
        <f>VLOOKUP($F48,UpdateHashtag!$V$3:$Y$32,COLUMN(D$13),0)</f>
        <v>#N/A</v>
      </c>
      <c r="D48" s="329" t="str">
        <f t="shared" si="4"/>
        <v>#N/A</v>
      </c>
      <c r="E48" s="21"/>
      <c r="F48" s="261" t="str">
        <f>VLOOKUP(J48,UpdateBBM!$C$2:E1015,3,0)</f>
        <v>SAS</v>
      </c>
      <c r="G48" s="248">
        <v>29.0</v>
      </c>
      <c r="H48" s="278">
        <f>IFERROR(__xludf.DUMMYFUNCTION("""COMPUTED_VALUE"""),29.0)</f>
        <v>29</v>
      </c>
      <c r="I48" s="278">
        <f>IFERROR(__xludf.DUMMYFUNCTION("""COMPUTED_VALUE"""),26.1)</f>
        <v>26.1</v>
      </c>
      <c r="J48" s="279" t="str">
        <f>IFERROR(__xludf.DUMMYFUNCTION("""COMPUTED_VALUE"""),"De'Aaron Fox")</f>
        <v>De'Aaron Fox</v>
      </c>
      <c r="K48" s="278">
        <f>IFERROR(__xludf.DUMMYFUNCTION("""COMPUTED_VALUE"""),66.0)</f>
        <v>66</v>
      </c>
      <c r="L48" s="280" t="str">
        <f>IFERROR(__xludf.DUMMYFUNCTION("""COMPUTED_VALUE"""),"PG")</f>
        <v>PG</v>
      </c>
      <c r="M48" s="281">
        <f>IFERROR(__xludf.DUMMYFUNCTION("""COMPUTED_VALUE"""),3.161900045871504)</f>
        <v>3.161900046</v>
      </c>
      <c r="N48" s="281">
        <f>IFERROR(__xludf.DUMMYFUNCTION("""COMPUTED_VALUE"""),3.161900045871504)</f>
        <v>3.161900046</v>
      </c>
      <c r="O48" s="282">
        <f>IFERROR(__xludf.DUMMYFUNCTION("""COMPUTED_VALUE"""),0.0)</f>
        <v>0</v>
      </c>
      <c r="P48" s="283">
        <f>IFERROR(__xludf.DUMMYFUNCTION("""COMPUTED_VALUE"""),25.1)</f>
        <v>25.1</v>
      </c>
      <c r="Q48" s="283">
        <f>IFERROR(__xludf.DUMMYFUNCTION("""COMPUTED_VALUE"""),2.5)</f>
        <v>2.5</v>
      </c>
      <c r="R48" s="283">
        <f>IFERROR(__xludf.DUMMYFUNCTION("""COMPUTED_VALUE"""),4.2)</f>
        <v>4.2</v>
      </c>
      <c r="S48" s="284">
        <f>IFERROR(__xludf.DUMMYFUNCTION("""COMPUTED_VALUE"""),5.5)</f>
        <v>5.5</v>
      </c>
      <c r="T48" s="283">
        <f>IFERROR(__xludf.DUMMYFUNCTION("""COMPUTED_VALUE"""),1.7)</f>
        <v>1.7</v>
      </c>
      <c r="U48" s="283">
        <f>IFERROR(__xludf.DUMMYFUNCTION("""COMPUTED_VALUE"""),0.4)</f>
        <v>0.4</v>
      </c>
      <c r="V48" s="280">
        <f>IFERROR(__xludf.DUMMYFUNCTION("""COMPUTED_VALUE"""),0.472)</f>
        <v>0.472</v>
      </c>
      <c r="W48" s="280">
        <f>IFERROR(__xludf.DUMMYFUNCTION("""COMPUTED_VALUE"""),0.759)</f>
        <v>0.759</v>
      </c>
      <c r="X48" s="280">
        <f>IFERROR(__xludf.DUMMYFUNCTION("""COMPUTED_VALUE"""),2.5)</f>
        <v>2.5</v>
      </c>
      <c r="Y48" s="283">
        <f>IFERROR(__xludf.DUMMYFUNCTION("""COMPUTED_VALUE"""),1.3789066717126306)</f>
        <v>1.378906672</v>
      </c>
      <c r="Z48" s="281">
        <f>IFERROR(__xludf.DUMMYFUNCTION("""COMPUTED_VALUE"""),0.7474208947136959)</f>
        <v>0.7474208947</v>
      </c>
      <c r="AA48" s="281">
        <f>IFERROR(__xludf.DUMMYFUNCTION("""COMPUTED_VALUE"""),-0.733091518640206)</f>
        <v>-0.7330915186</v>
      </c>
      <c r="AB48" s="281">
        <f>IFERROR(__xludf.DUMMYFUNCTION("""COMPUTED_VALUE"""),0.7126947134905833)</f>
        <v>0.7126947135</v>
      </c>
      <c r="AC48" s="281">
        <f>IFERROR(__xludf.DUMMYFUNCTION("""COMPUTED_VALUE"""),2.402665014757028)</f>
        <v>2.402665015</v>
      </c>
      <c r="AD48" s="281">
        <f>IFERROR(__xludf.DUMMYFUNCTION("""COMPUTED_VALUE"""),-0.6155173428439339)</f>
        <v>-0.6155173428</v>
      </c>
      <c r="AE48" s="281">
        <f>IFERROR(__xludf.DUMMYFUNCTION("""COMPUTED_VALUE"""),-0.5657100941977983)</f>
        <v>-0.5657100942</v>
      </c>
      <c r="AF48" s="281">
        <f>IFERROR(__xludf.DUMMYFUNCTION("""COMPUTED_VALUE"""),-0.7122425678444542)</f>
        <v>-0.7122425678</v>
      </c>
      <c r="AG48" s="281">
        <f>IFERROR(__xludf.DUMMYFUNCTION("""COMPUTED_VALUE"""),-0.1863172439162465)</f>
        <v>-0.1863172439</v>
      </c>
      <c r="AH48" s="285"/>
      <c r="AI48" s="273"/>
      <c r="AJ48" s="340"/>
      <c r="AK48" s="341"/>
      <c r="AL48" s="273"/>
      <c r="AM48" s="273"/>
      <c r="AN48" s="273"/>
      <c r="AO48" s="273"/>
      <c r="AP48" s="273"/>
      <c r="AQ48" s="273"/>
      <c r="AR48" s="273"/>
      <c r="AS48" s="273"/>
      <c r="AT48" s="273"/>
      <c r="AU48" s="273"/>
      <c r="AV48" s="273"/>
      <c r="AW48" s="273"/>
      <c r="AX48" s="273"/>
      <c r="AY48" s="273"/>
      <c r="AZ48" s="273"/>
      <c r="BA48" s="273"/>
      <c r="BB48" s="273"/>
      <c r="BC48" s="273"/>
      <c r="BD48" s="273"/>
      <c r="BE48" s="273"/>
      <c r="BF48" s="273"/>
      <c r="BG48" s="273"/>
      <c r="BH48" s="273"/>
      <c r="BI48" s="273"/>
      <c r="BJ48" s="273"/>
      <c r="BK48" s="273"/>
      <c r="BL48" s="273"/>
      <c r="BM48" s="273"/>
      <c r="BN48" s="273"/>
      <c r="BO48" s="273"/>
      <c r="BP48" s="273"/>
      <c r="BQ48" s="273"/>
      <c r="BR48" s="273"/>
      <c r="BS48" s="273"/>
      <c r="BT48" s="273"/>
      <c r="BU48" s="273"/>
      <c r="BV48" s="273"/>
      <c r="BW48" s="273"/>
    </row>
    <row r="49">
      <c r="A49" s="276">
        <f>VLOOKUP($F49,UpdateHashtag!$V$3:$Y$32,COLUMN(B$15),0)</f>
        <v>4</v>
      </c>
      <c r="B49" s="259">
        <f>VLOOKUP($F49,UpdateHashtag!$V$3:$Y$32,COLUMN(C$13),0)</f>
        <v>4</v>
      </c>
      <c r="C49" s="259">
        <f>VLOOKUP($F49,UpdateHashtag!$V$3:$Y$32,COLUMN(D$13),0)</f>
        <v>3</v>
      </c>
      <c r="D49" s="277">
        <f t="shared" si="4"/>
        <v>11</v>
      </c>
      <c r="E49" s="21"/>
      <c r="F49" s="261" t="str">
        <f>VLOOKUP(J49,UpdateBBM!$C$2:E1015,3,0)</f>
        <v>MEM</v>
      </c>
      <c r="G49" s="248">
        <v>30.0</v>
      </c>
      <c r="H49" s="278">
        <f>IFERROR(__xludf.DUMMYFUNCTION("""COMPUTED_VALUE"""),30.0)</f>
        <v>30</v>
      </c>
      <c r="I49" s="278">
        <f>IFERROR(__xludf.DUMMYFUNCTION("""COMPUTED_VALUE"""),37.3)</f>
        <v>37.3</v>
      </c>
      <c r="J49" s="279" t="str">
        <f>IFERROR(__xludf.DUMMYFUNCTION("""COMPUTED_VALUE"""),"Jaren Jackson Jr.")</f>
        <v>Jaren Jackson Jr.</v>
      </c>
      <c r="K49" s="278">
        <f>IFERROR(__xludf.DUMMYFUNCTION("""COMPUTED_VALUE"""),71.0)</f>
        <v>71</v>
      </c>
      <c r="L49" s="280" t="str">
        <f>IFERROR(__xludf.DUMMYFUNCTION("""COMPUTED_VALUE"""),"PF,C")</f>
        <v>PF,C</v>
      </c>
      <c r="M49" s="281">
        <f>IFERROR(__xludf.DUMMYFUNCTION("""COMPUTED_VALUE"""),3.0541492707603997)</f>
        <v>3.054149271</v>
      </c>
      <c r="N49" s="281">
        <f>IFERROR(__xludf.DUMMYFUNCTION("""COMPUTED_VALUE"""),3.0541492707603997)</f>
        <v>3.054149271</v>
      </c>
      <c r="O49" s="282">
        <f>IFERROR(__xludf.DUMMYFUNCTION("""COMPUTED_VALUE"""),0.0)</f>
        <v>0</v>
      </c>
      <c r="P49" s="283">
        <f>IFERROR(__xludf.DUMMYFUNCTION("""COMPUTED_VALUE"""),21.3)</f>
        <v>21.3</v>
      </c>
      <c r="Q49" s="283">
        <f>IFERROR(__xludf.DUMMYFUNCTION("""COMPUTED_VALUE"""),1.7)</f>
        <v>1.7</v>
      </c>
      <c r="R49" s="283">
        <f>IFERROR(__xludf.DUMMYFUNCTION("""COMPUTED_VALUE"""),6.3)</f>
        <v>6.3</v>
      </c>
      <c r="S49" s="284">
        <f>IFERROR(__xludf.DUMMYFUNCTION("""COMPUTED_VALUE"""),1.7)</f>
        <v>1.7</v>
      </c>
      <c r="T49" s="283">
        <f>IFERROR(__xludf.DUMMYFUNCTION("""COMPUTED_VALUE"""),1.2)</f>
        <v>1.2</v>
      </c>
      <c r="U49" s="283">
        <f>IFERROR(__xludf.DUMMYFUNCTION("""COMPUTED_VALUE"""),1.9)</f>
        <v>1.9</v>
      </c>
      <c r="V49" s="280">
        <f>IFERROR(__xludf.DUMMYFUNCTION("""COMPUTED_VALUE"""),0.47)</f>
        <v>0.47</v>
      </c>
      <c r="W49" s="280">
        <f>IFERROR(__xludf.DUMMYFUNCTION("""COMPUTED_VALUE"""),0.8)</f>
        <v>0.8</v>
      </c>
      <c r="X49" s="280">
        <f>IFERROR(__xludf.DUMMYFUNCTION("""COMPUTED_VALUE"""),2.1)</f>
        <v>2.1</v>
      </c>
      <c r="Y49" s="283">
        <f>IFERROR(__xludf.DUMMYFUNCTION("""COMPUTED_VALUE"""),0.6924441971085136)</f>
        <v>0.6924441971</v>
      </c>
      <c r="Z49" s="281">
        <f>IFERROR(__xludf.DUMMYFUNCTION("""COMPUTED_VALUE"""),-0.04877349753863613)</f>
        <v>-0.04877349754</v>
      </c>
      <c r="AA49" s="281">
        <f>IFERROR(__xludf.DUMMYFUNCTION("""COMPUTED_VALUE"""),0.09066227498420842)</f>
        <v>0.09066227498</v>
      </c>
      <c r="AB49" s="281">
        <f>IFERROR(__xludf.DUMMYFUNCTION("""COMPUTED_VALUE"""),-1.0186525625504688)</f>
        <v>-1.018652563</v>
      </c>
      <c r="AC49" s="281">
        <f>IFERROR(__xludf.DUMMYFUNCTION("""COMPUTED_VALUE"""),0.7430016239596308)</f>
        <v>0.743001624</v>
      </c>
      <c r="AD49" s="281">
        <f>IFERROR(__xludf.DUMMYFUNCTION("""COMPUTED_VALUE"""),2.0603881879459114)</f>
        <v>2.060388188</v>
      </c>
      <c r="AE49" s="281">
        <f>IFERROR(__xludf.DUMMYFUNCTION("""COMPUTED_VALUE"""),-0.5009186237970484)</f>
        <v>-0.5009186238</v>
      </c>
      <c r="AF49" s="281">
        <f>IFERROR(__xludf.DUMMYFUNCTION("""COMPUTED_VALUE"""),0.10446949811012032)</f>
        <v>0.1044694981</v>
      </c>
      <c r="AG49" s="281">
        <f>IFERROR(__xludf.DUMMYFUNCTION("""COMPUTED_VALUE"""),-0.08712439001229988)</f>
        <v>-0.08712439001</v>
      </c>
      <c r="AH49" s="285"/>
      <c r="AI49" s="273"/>
      <c r="AJ49" s="340"/>
      <c r="AK49" s="341"/>
      <c r="AL49" s="273"/>
      <c r="AM49" s="273"/>
      <c r="AN49" s="273"/>
      <c r="AO49" s="273"/>
      <c r="AP49" s="273"/>
      <c r="AQ49" s="273"/>
      <c r="AR49" s="273"/>
      <c r="AS49" s="273"/>
      <c r="AT49" s="273"/>
      <c r="AU49" s="273"/>
      <c r="AV49" s="273"/>
      <c r="AW49" s="273"/>
      <c r="AX49" s="273"/>
      <c r="AY49" s="273"/>
      <c r="AZ49" s="273"/>
      <c r="BA49" s="273"/>
      <c r="BB49" s="273"/>
      <c r="BC49" s="273"/>
      <c r="BD49" s="273"/>
      <c r="BE49" s="273"/>
      <c r="BF49" s="273"/>
      <c r="BG49" s="273"/>
      <c r="BH49" s="273"/>
      <c r="BI49" s="273"/>
      <c r="BJ49" s="273"/>
      <c r="BK49" s="273"/>
      <c r="BL49" s="273"/>
      <c r="BM49" s="273"/>
      <c r="BN49" s="273"/>
      <c r="BO49" s="273"/>
      <c r="BP49" s="273"/>
      <c r="BQ49" s="273"/>
      <c r="BR49" s="273"/>
      <c r="BS49" s="273"/>
      <c r="BT49" s="273"/>
      <c r="BU49" s="273"/>
      <c r="BV49" s="273"/>
      <c r="BW49" s="273"/>
    </row>
    <row r="50">
      <c r="A50" s="276">
        <f>VLOOKUP($F50,UpdateHashtag!$V$3:$Y$32,COLUMN(B$15),0)</f>
        <v>4</v>
      </c>
      <c r="B50" s="259">
        <f>VLOOKUP($F50,UpdateHashtag!$V$3:$Y$32,COLUMN(C$13),0)</f>
        <v>4</v>
      </c>
      <c r="C50" s="259">
        <f>VLOOKUP($F50,UpdateHashtag!$V$3:$Y$32,COLUMN(D$13),0)</f>
        <v>4</v>
      </c>
      <c r="D50" s="277">
        <f t="shared" si="4"/>
        <v>12</v>
      </c>
      <c r="E50" s="21"/>
      <c r="F50" s="261" t="str">
        <f>VLOOKUP(J50,UpdateBBM!$C$2:E1015,3,0)</f>
        <v>PHI</v>
      </c>
      <c r="G50" s="248">
        <v>31.0</v>
      </c>
      <c r="H50" s="278">
        <f>IFERROR(__xludf.DUMMYFUNCTION("""COMPUTED_VALUE"""),31.0)</f>
        <v>31</v>
      </c>
      <c r="I50" s="278">
        <f>IFERROR(__xludf.DUMMYFUNCTION("""COMPUTED_VALUE"""),27.8)</f>
        <v>27.8</v>
      </c>
      <c r="J50" s="279" t="str">
        <f>IFERROR(__xludf.DUMMYFUNCTION("""COMPUTED_VALUE"""),"Tyrese Maxey")</f>
        <v>Tyrese Maxey</v>
      </c>
      <c r="K50" s="278">
        <f>IFERROR(__xludf.DUMMYFUNCTION("""COMPUTED_VALUE"""),66.0)</f>
        <v>66</v>
      </c>
      <c r="L50" s="280" t="str">
        <f>IFERROR(__xludf.DUMMYFUNCTION("""COMPUTED_VALUE"""),"PG,SG")</f>
        <v>PG,SG</v>
      </c>
      <c r="M50" s="281">
        <f>IFERROR(__xludf.DUMMYFUNCTION("""COMPUTED_VALUE"""),3.035366278078892)</f>
        <v>3.035366278</v>
      </c>
      <c r="N50" s="281">
        <f>IFERROR(__xludf.DUMMYFUNCTION("""COMPUTED_VALUE"""),3.035366278078892)</f>
        <v>3.035366278</v>
      </c>
      <c r="O50" s="282">
        <f>IFERROR(__xludf.DUMMYFUNCTION("""COMPUTED_VALUE"""),0.0)</f>
        <v>0</v>
      </c>
      <c r="P50" s="283">
        <f>IFERROR(__xludf.DUMMYFUNCTION("""COMPUTED_VALUE"""),24.4)</f>
        <v>24.4</v>
      </c>
      <c r="Q50" s="283">
        <f>IFERROR(__xludf.DUMMYFUNCTION("""COMPUTED_VALUE"""),3.0)</f>
        <v>3</v>
      </c>
      <c r="R50" s="283">
        <f>IFERROR(__xludf.DUMMYFUNCTION("""COMPUTED_VALUE"""),3.5)</f>
        <v>3.5</v>
      </c>
      <c r="S50" s="284">
        <f>IFERROR(__xludf.DUMMYFUNCTION("""COMPUTED_VALUE"""),5.9)</f>
        <v>5.9</v>
      </c>
      <c r="T50" s="283">
        <f>IFERROR(__xludf.DUMMYFUNCTION("""COMPUTED_VALUE"""),1.0)</f>
        <v>1</v>
      </c>
      <c r="U50" s="283">
        <f>IFERROR(__xludf.DUMMYFUNCTION("""COMPUTED_VALUE"""),0.3)</f>
        <v>0.3</v>
      </c>
      <c r="V50" s="280">
        <f>IFERROR(__xludf.DUMMYFUNCTION("""COMPUTED_VALUE"""),0.462)</f>
        <v>0.462</v>
      </c>
      <c r="W50" s="280">
        <f>IFERROR(__xludf.DUMMYFUNCTION("""COMPUTED_VALUE"""),0.859)</f>
        <v>0.859</v>
      </c>
      <c r="X50" s="280">
        <f>IFERROR(__xludf.DUMMYFUNCTION("""COMPUTED_VALUE"""),1.6)</f>
        <v>1.6</v>
      </c>
      <c r="Y50" s="283">
        <f>IFERROR(__xludf.DUMMYFUNCTION("""COMPUTED_VALUE"""),1.2524530579697666)</f>
        <v>1.252453058</v>
      </c>
      <c r="Z50" s="281">
        <f>IFERROR(__xludf.DUMMYFUNCTION("""COMPUTED_VALUE"""),1.2450423898714034)</f>
        <v>1.24504239</v>
      </c>
      <c r="AA50" s="281">
        <f>IFERROR(__xludf.DUMMYFUNCTION("""COMPUTED_VALUE"""),-1.007676116515011)</f>
        <v>-1.007676117</v>
      </c>
      <c r="AB50" s="281">
        <f>IFERROR(__xludf.DUMMYFUNCTION("""COMPUTED_VALUE"""),0.8949417951791153)</f>
        <v>0.8949417952</v>
      </c>
      <c r="AC50" s="281">
        <f>IFERROR(__xludf.DUMMYFUNCTION("""COMPUTED_VALUE"""),0.07913626764067216)</f>
        <v>0.07913626764</v>
      </c>
      <c r="AD50" s="281">
        <f>IFERROR(__xludf.DUMMYFUNCTION("""COMPUTED_VALUE"""),-0.7939110448965904)</f>
        <v>-0.7939110449</v>
      </c>
      <c r="AE50" s="281">
        <f>IFERROR(__xludf.DUMMYFUNCTION("""COMPUTED_VALUE"""),-0.7685500775655639)</f>
        <v>-0.7685500776</v>
      </c>
      <c r="AF50" s="281">
        <f>IFERROR(__xludf.DUMMYFUNCTION("""COMPUTED_VALUE"""),1.089387212512456)</f>
        <v>1.089387213</v>
      </c>
      <c r="AG50" s="281">
        <f>IFERROR(__xludf.DUMMYFUNCTION("""COMPUTED_VALUE"""),0.036866677367633396)</f>
        <v>0.03686667737</v>
      </c>
      <c r="AH50" s="285"/>
      <c r="AI50" s="273"/>
      <c r="AJ50" s="340"/>
      <c r="AK50" s="341"/>
      <c r="AL50" s="273"/>
      <c r="AM50" s="273"/>
      <c r="AN50" s="273"/>
      <c r="AO50" s="273"/>
      <c r="AP50" s="273"/>
      <c r="AQ50" s="273"/>
      <c r="AR50" s="273"/>
      <c r="AS50" s="273"/>
      <c r="AT50" s="273"/>
      <c r="AU50" s="273"/>
      <c r="AV50" s="273"/>
      <c r="AW50" s="273"/>
      <c r="AX50" s="273"/>
      <c r="AY50" s="273"/>
      <c r="AZ50" s="273"/>
      <c r="BA50" s="273"/>
      <c r="BB50" s="273"/>
      <c r="BC50" s="273"/>
      <c r="BD50" s="273"/>
      <c r="BE50" s="273"/>
      <c r="BF50" s="273"/>
      <c r="BG50" s="273"/>
      <c r="BH50" s="273"/>
      <c r="BI50" s="273"/>
      <c r="BJ50" s="273"/>
      <c r="BK50" s="273"/>
      <c r="BL50" s="273"/>
      <c r="BM50" s="273"/>
      <c r="BN50" s="273"/>
      <c r="BO50" s="273"/>
      <c r="BP50" s="273"/>
      <c r="BQ50" s="273"/>
      <c r="BR50" s="273"/>
      <c r="BS50" s="273"/>
      <c r="BT50" s="273"/>
      <c r="BU50" s="273"/>
      <c r="BV50" s="273"/>
      <c r="BW50" s="273"/>
    </row>
    <row r="51">
      <c r="A51" s="259" t="str">
        <f>VLOOKUP($F51,UpdateHashtag!$V$3:$Y$32,COLUMN(B$15),0)</f>
        <v>#N/A</v>
      </c>
      <c r="B51" s="259" t="str">
        <f>VLOOKUP($F51,UpdateHashtag!$V$3:$Y$32,COLUMN(C$13),0)</f>
        <v>#N/A</v>
      </c>
      <c r="C51" s="259" t="str">
        <f>VLOOKUP($F51,UpdateHashtag!$V$3:$Y$32,COLUMN(D$13),0)</f>
        <v>#N/A</v>
      </c>
      <c r="D51" s="329" t="str">
        <f t="shared" si="4"/>
        <v>#N/A</v>
      </c>
      <c r="E51" s="21"/>
      <c r="F51" s="261" t="str">
        <f>VLOOKUP(J51,UpdateBBM!$C$2:E1015,3,0)</f>
        <v>GSW</v>
      </c>
      <c r="G51" s="248">
        <v>32.0</v>
      </c>
      <c r="H51" s="278">
        <f>IFERROR(__xludf.DUMMYFUNCTION("""COMPUTED_VALUE"""),32.0)</f>
        <v>32</v>
      </c>
      <c r="I51" s="278">
        <f>IFERROR(__xludf.DUMMYFUNCTION("""COMPUTED_VALUE"""),46.0)</f>
        <v>46</v>
      </c>
      <c r="J51" s="279" t="str">
        <f>IFERROR(__xludf.DUMMYFUNCTION("""COMPUTED_VALUE"""),"Jimmy Butler")</f>
        <v>Jimmy Butler</v>
      </c>
      <c r="K51" s="278">
        <f>IFERROR(__xludf.DUMMYFUNCTION("""COMPUTED_VALUE"""),45.0)</f>
        <v>45</v>
      </c>
      <c r="L51" s="280" t="str">
        <f>IFERROR(__xludf.DUMMYFUNCTION("""COMPUTED_VALUE"""),"SF,PF")</f>
        <v>SF,PF</v>
      </c>
      <c r="M51" s="281">
        <f>IFERROR(__xludf.DUMMYFUNCTION("""COMPUTED_VALUE"""),2.818108945605094)</f>
        <v>2.818108946</v>
      </c>
      <c r="N51" s="281">
        <f>IFERROR(__xludf.DUMMYFUNCTION("""COMPUTED_VALUE"""),2.818108945605094)</f>
        <v>2.818108946</v>
      </c>
      <c r="O51" s="282">
        <f>IFERROR(__xludf.DUMMYFUNCTION("""COMPUTED_VALUE"""),0.0)</f>
        <v>0</v>
      </c>
      <c r="P51" s="283">
        <f>IFERROR(__xludf.DUMMYFUNCTION("""COMPUTED_VALUE"""),20.7)</f>
        <v>20.7</v>
      </c>
      <c r="Q51" s="283">
        <f>IFERROR(__xludf.DUMMYFUNCTION("""COMPUTED_VALUE"""),0.8)</f>
        <v>0.8</v>
      </c>
      <c r="R51" s="283">
        <f>IFERROR(__xludf.DUMMYFUNCTION("""COMPUTED_VALUE"""),5.4)</f>
        <v>5.4</v>
      </c>
      <c r="S51" s="284">
        <f>IFERROR(__xludf.DUMMYFUNCTION("""COMPUTED_VALUE"""),5.1)</f>
        <v>5.1</v>
      </c>
      <c r="T51" s="283">
        <f>IFERROR(__xludf.DUMMYFUNCTION("""COMPUTED_VALUE"""),1.3)</f>
        <v>1.3</v>
      </c>
      <c r="U51" s="283">
        <f>IFERROR(__xludf.DUMMYFUNCTION("""COMPUTED_VALUE"""),0.3)</f>
        <v>0.3</v>
      </c>
      <c r="V51" s="280">
        <f>IFERROR(__xludf.DUMMYFUNCTION("""COMPUTED_VALUE"""),0.492)</f>
        <v>0.492</v>
      </c>
      <c r="W51" s="280">
        <f>IFERROR(__xludf.DUMMYFUNCTION("""COMPUTED_VALUE"""),0.855)</f>
        <v>0.855</v>
      </c>
      <c r="X51" s="280">
        <f>IFERROR(__xludf.DUMMYFUNCTION("""COMPUTED_VALUE"""),1.6)</f>
        <v>1.6</v>
      </c>
      <c r="Y51" s="283">
        <f>IFERROR(__xludf.DUMMYFUNCTION("""COMPUTED_VALUE"""),0.5840553853289159)</f>
        <v>0.5840553853</v>
      </c>
      <c r="Z51" s="281">
        <f>IFERROR(__xludf.DUMMYFUNCTION("""COMPUTED_VALUE"""),-0.9444921888225095)</f>
        <v>-0.9444921888</v>
      </c>
      <c r="AA51" s="281">
        <f>IFERROR(__xludf.DUMMYFUNCTION("""COMPUTED_VALUE"""),-0.2623750651405405)</f>
        <v>-0.2623750651</v>
      </c>
      <c r="AB51" s="281">
        <f>IFERROR(__xludf.DUMMYFUNCTION("""COMPUTED_VALUE"""),0.5304476318020513)</f>
        <v>0.5304476318</v>
      </c>
      <c r="AC51" s="281">
        <f>IFERROR(__xludf.DUMMYFUNCTION("""COMPUTED_VALUE"""),1.0749343021191105)</f>
        <v>1.074934302</v>
      </c>
      <c r="AD51" s="281">
        <f>IFERROR(__xludf.DUMMYFUNCTION("""COMPUTED_VALUE"""),-0.7939110448965904)</f>
        <v>-0.7939110449</v>
      </c>
      <c r="AE51" s="281">
        <f>IFERROR(__xludf.DUMMYFUNCTION("""COMPUTED_VALUE"""),-0.07550790524894999)</f>
        <v>-0.07550790525</v>
      </c>
      <c r="AF51" s="281">
        <f>IFERROR(__xludf.DUMMYFUNCTION("""COMPUTED_VALUE"""),1.7235989642734637)</f>
        <v>1.723598964</v>
      </c>
      <c r="AG51" s="281">
        <f>IFERROR(__xludf.DUMMYFUNCTION("""COMPUTED_VALUE"""),0.036866677367633396)</f>
        <v>0.03686667737</v>
      </c>
      <c r="AH51" s="285"/>
      <c r="AI51" s="273"/>
      <c r="AJ51" s="340"/>
      <c r="AK51" s="341"/>
      <c r="AL51" s="273"/>
      <c r="AM51" s="273"/>
      <c r="AN51" s="273"/>
      <c r="AO51" s="273"/>
      <c r="AP51" s="273"/>
      <c r="AQ51" s="273"/>
      <c r="AR51" s="273"/>
      <c r="AS51" s="273"/>
      <c r="AT51" s="273"/>
      <c r="AU51" s="273"/>
      <c r="AV51" s="273"/>
      <c r="AW51" s="273"/>
      <c r="AX51" s="273"/>
      <c r="AY51" s="273"/>
      <c r="AZ51" s="273"/>
      <c r="BA51" s="273"/>
      <c r="BB51" s="273"/>
      <c r="BC51" s="273"/>
      <c r="BD51" s="273"/>
      <c r="BE51" s="273"/>
      <c r="BF51" s="273"/>
      <c r="BG51" s="273"/>
      <c r="BH51" s="273"/>
      <c r="BI51" s="273"/>
      <c r="BJ51" s="273"/>
      <c r="BK51" s="273"/>
      <c r="BL51" s="273"/>
      <c r="BM51" s="273"/>
      <c r="BN51" s="273"/>
      <c r="BO51" s="273"/>
      <c r="BP51" s="273"/>
      <c r="BQ51" s="273"/>
      <c r="BR51" s="273"/>
      <c r="BS51" s="273"/>
      <c r="BT51" s="273"/>
      <c r="BU51" s="273"/>
      <c r="BV51" s="273"/>
      <c r="BW51" s="273"/>
    </row>
    <row r="52">
      <c r="A52" s="276">
        <f>VLOOKUP($F52,UpdateHashtag!$V$3:$Y$32,COLUMN(B$15),0)</f>
        <v>4</v>
      </c>
      <c r="B52" s="259">
        <f>VLOOKUP($F52,UpdateHashtag!$V$3:$Y$32,COLUMN(C$13),0)</f>
        <v>4</v>
      </c>
      <c r="C52" s="259">
        <f>VLOOKUP($F52,UpdateHashtag!$V$3:$Y$32,COLUMN(D$13),0)</f>
        <v>4</v>
      </c>
      <c r="D52" s="277">
        <f t="shared" si="4"/>
        <v>12</v>
      </c>
      <c r="E52" s="21"/>
      <c r="F52" s="261" t="str">
        <f>VLOOKUP(J52,UpdateBBM!$C$2:E1015,3,0)</f>
        <v>MIA</v>
      </c>
      <c r="G52" s="248">
        <v>33.0</v>
      </c>
      <c r="H52" s="278">
        <f>IFERROR(__xludf.DUMMYFUNCTION("""COMPUTED_VALUE"""),33.0)</f>
        <v>33</v>
      </c>
      <c r="I52" s="278">
        <f>IFERROR(__xludf.DUMMYFUNCTION("""COMPUTED_VALUE"""),32.2)</f>
        <v>32.2</v>
      </c>
      <c r="J52" s="279" t="str">
        <f>IFERROR(__xludf.DUMMYFUNCTION("""COMPUTED_VALUE"""),"Bam Adebayo")</f>
        <v>Bam Adebayo</v>
      </c>
      <c r="K52" s="278">
        <f>IFERROR(__xludf.DUMMYFUNCTION("""COMPUTED_VALUE"""),71.0)</f>
        <v>71</v>
      </c>
      <c r="L52" s="280" t="str">
        <f>IFERROR(__xludf.DUMMYFUNCTION("""COMPUTED_VALUE"""),"C")</f>
        <v>C</v>
      </c>
      <c r="M52" s="281">
        <f>IFERROR(__xludf.DUMMYFUNCTION("""COMPUTED_VALUE"""),2.578835187755121)</f>
        <v>2.578835188</v>
      </c>
      <c r="N52" s="281">
        <f>IFERROR(__xludf.DUMMYFUNCTION("""COMPUTED_VALUE"""),2.578835187755121)</f>
        <v>2.578835188</v>
      </c>
      <c r="O52" s="282">
        <f>IFERROR(__xludf.DUMMYFUNCTION("""COMPUTED_VALUE"""),0.0)</f>
        <v>0</v>
      </c>
      <c r="P52" s="283">
        <f>IFERROR(__xludf.DUMMYFUNCTION("""COMPUTED_VALUE"""),20.0)</f>
        <v>20</v>
      </c>
      <c r="Q52" s="283">
        <f>IFERROR(__xludf.DUMMYFUNCTION("""COMPUTED_VALUE"""),0.2)</f>
        <v>0.2</v>
      </c>
      <c r="R52" s="283">
        <f>IFERROR(__xludf.DUMMYFUNCTION("""COMPUTED_VALUE"""),10.4)</f>
        <v>10.4</v>
      </c>
      <c r="S52" s="284">
        <f>IFERROR(__xludf.DUMMYFUNCTION("""COMPUTED_VALUE"""),3.9)</f>
        <v>3.9</v>
      </c>
      <c r="T52" s="283">
        <f>IFERROR(__xludf.DUMMYFUNCTION("""COMPUTED_VALUE"""),1.2)</f>
        <v>1.2</v>
      </c>
      <c r="U52" s="283">
        <f>IFERROR(__xludf.DUMMYFUNCTION("""COMPUTED_VALUE"""),0.9)</f>
        <v>0.9</v>
      </c>
      <c r="V52" s="280">
        <f>IFERROR(__xludf.DUMMYFUNCTION("""COMPUTED_VALUE"""),0.531)</f>
        <v>0.531</v>
      </c>
      <c r="W52" s="280">
        <f>IFERROR(__xludf.DUMMYFUNCTION("""COMPUTED_VALUE"""),0.743)</f>
        <v>0.743</v>
      </c>
      <c r="X52" s="280">
        <f>IFERROR(__xludf.DUMMYFUNCTION("""COMPUTED_VALUE"""),2.4)</f>
        <v>2.4</v>
      </c>
      <c r="Y52" s="283">
        <f>IFERROR(__xludf.DUMMYFUNCTION("""COMPUTED_VALUE"""),0.45760177158605236)</f>
        <v>0.4576017716</v>
      </c>
      <c r="Z52" s="281">
        <f>IFERROR(__xludf.DUMMYFUNCTION("""COMPUTED_VALUE"""),-1.5416379830117586)</f>
        <v>-1.541637983</v>
      </c>
      <c r="AA52" s="281">
        <f>IFERROR(__xludf.DUMMYFUNCTION("""COMPUTED_VALUE"""),1.6989434911080659)</f>
        <v>1.698943491</v>
      </c>
      <c r="AB52" s="281">
        <f>IFERROR(__xludf.DUMMYFUNCTION("""COMPUTED_VALUE"""),-0.016293613263543852)</f>
        <v>-0.01629361326</v>
      </c>
      <c r="AC52" s="281">
        <f>IFERROR(__xludf.DUMMYFUNCTION("""COMPUTED_VALUE"""),0.7430016239596308)</f>
        <v>0.743001624</v>
      </c>
      <c r="AD52" s="281">
        <f>IFERROR(__xludf.DUMMYFUNCTION("""COMPUTED_VALUE"""),0.27645116741934783)</f>
        <v>0.2764511674</v>
      </c>
      <c r="AE52" s="281">
        <f>IFERROR(__xludf.DUMMYFUNCTION("""COMPUTED_VALUE"""),0.5918185489978054)</f>
        <v>0.591818549</v>
      </c>
      <c r="AF52" s="281">
        <f>IFERROR(__xludf.DUMMYFUNCTION("""COMPUTED_VALUE"""),-1.0111687716119777)</f>
        <v>-1.011168772</v>
      </c>
      <c r="AG52" s="281">
        <f>IFERROR(__xludf.DUMMYFUNCTION("""COMPUTED_VALUE"""),-0.1615190304402598)</f>
        <v>-0.1615190304</v>
      </c>
      <c r="AH52" s="285"/>
      <c r="AI52" s="273"/>
      <c r="AJ52" s="340"/>
      <c r="AK52" s="341"/>
      <c r="AL52" s="273"/>
      <c r="AM52" s="273"/>
      <c r="AN52" s="273"/>
      <c r="AO52" s="273"/>
      <c r="AP52" s="273"/>
      <c r="AQ52" s="273"/>
      <c r="AR52" s="273"/>
      <c r="AS52" s="273"/>
      <c r="AT52" s="273"/>
      <c r="AU52" s="273"/>
      <c r="AV52" s="273"/>
      <c r="AW52" s="273"/>
      <c r="AX52" s="273"/>
      <c r="AY52" s="273"/>
      <c r="AZ52" s="273"/>
      <c r="BA52" s="273"/>
      <c r="BB52" s="273"/>
      <c r="BC52" s="273"/>
      <c r="BD52" s="273"/>
      <c r="BE52" s="273"/>
      <c r="BF52" s="273"/>
      <c r="BG52" s="273"/>
      <c r="BH52" s="273"/>
      <c r="BI52" s="273"/>
      <c r="BJ52" s="273"/>
      <c r="BK52" s="273"/>
      <c r="BL52" s="273"/>
      <c r="BM52" s="273"/>
      <c r="BN52" s="273"/>
      <c r="BO52" s="273"/>
      <c r="BP52" s="273"/>
      <c r="BQ52" s="273"/>
      <c r="BR52" s="273"/>
      <c r="BS52" s="273"/>
      <c r="BT52" s="273"/>
      <c r="BU52" s="273"/>
      <c r="BV52" s="273"/>
      <c r="BW52" s="273"/>
    </row>
    <row r="53">
      <c r="A53" s="259" t="str">
        <f>VLOOKUP($F53,UpdateHashtag!$V$3:$Y$32,COLUMN(B$15),0)</f>
        <v>#N/A</v>
      </c>
      <c r="B53" s="259" t="str">
        <f>VLOOKUP($F53,UpdateHashtag!$V$3:$Y$32,COLUMN(C$13),0)</f>
        <v>#N/A</v>
      </c>
      <c r="C53" s="259" t="str">
        <f>VLOOKUP($F53,UpdateHashtag!$V$3:$Y$32,COLUMN(D$13),0)</f>
        <v>#N/A</v>
      </c>
      <c r="D53" s="329" t="str">
        <f t="shared" si="4"/>
        <v>#N/A</v>
      </c>
      <c r="E53" s="21"/>
      <c r="F53" s="261" t="str">
        <f>VLOOKUP(J53,UpdateBBM!$C$2:E1015,3,0)</f>
        <v>#N/A</v>
      </c>
      <c r="G53" s="248">
        <v>34.0</v>
      </c>
      <c r="H53" s="278">
        <f>IFERROR(__xludf.DUMMYFUNCTION("""COMPUTED_VALUE"""),34.0)</f>
        <v>34</v>
      </c>
      <c r="I53" s="278">
        <f>IFERROR(__xludf.DUMMYFUNCTION("""COMPUTED_VALUE"""),27.7)</f>
        <v>27.7</v>
      </c>
      <c r="J53" s="279" t="str">
        <f>IFERROR(__xludf.DUMMYFUNCTION("""COMPUTED_VALUE"""),"Alperen Sengün")</f>
        <v>Alperen Sengün</v>
      </c>
      <c r="K53" s="278">
        <f>IFERROR(__xludf.DUMMYFUNCTION("""COMPUTED_VALUE"""),58.0)</f>
        <v>58</v>
      </c>
      <c r="L53" s="280" t="str">
        <f>IFERROR(__xludf.DUMMYFUNCTION("""COMPUTED_VALUE"""),"C")</f>
        <v>C</v>
      </c>
      <c r="M53" s="281">
        <f>IFERROR(__xludf.DUMMYFUNCTION("""COMPUTED_VALUE"""),2.5245255067472074)</f>
        <v>2.524525507</v>
      </c>
      <c r="N53" s="281">
        <f>IFERROR(__xludf.DUMMYFUNCTION("""COMPUTED_VALUE"""),2.5245255067472074)</f>
        <v>2.524525507</v>
      </c>
      <c r="O53" s="282">
        <f>IFERROR(__xludf.DUMMYFUNCTION("""COMPUTED_VALUE"""),0.0)</f>
        <v>0</v>
      </c>
      <c r="P53" s="283">
        <f>IFERROR(__xludf.DUMMYFUNCTION("""COMPUTED_VALUE"""),19.4)</f>
        <v>19.4</v>
      </c>
      <c r="Q53" s="283">
        <f>IFERROR(__xludf.DUMMYFUNCTION("""COMPUTED_VALUE"""),0.4)</f>
        <v>0.4</v>
      </c>
      <c r="R53" s="283">
        <f>IFERROR(__xludf.DUMMYFUNCTION("""COMPUTED_VALUE"""),9.9)</f>
        <v>9.9</v>
      </c>
      <c r="S53" s="284">
        <f>IFERROR(__xludf.DUMMYFUNCTION("""COMPUTED_VALUE"""),5.4)</f>
        <v>5.4</v>
      </c>
      <c r="T53" s="283">
        <f>IFERROR(__xludf.DUMMYFUNCTION("""COMPUTED_VALUE"""),1.2)</f>
        <v>1.2</v>
      </c>
      <c r="U53" s="283">
        <f>IFERROR(__xludf.DUMMYFUNCTION("""COMPUTED_VALUE"""),0.8)</f>
        <v>0.8</v>
      </c>
      <c r="V53" s="280">
        <f>IFERROR(__xludf.DUMMYFUNCTION("""COMPUTED_VALUE"""),0.544)</f>
        <v>0.544</v>
      </c>
      <c r="W53" s="280">
        <f>IFERROR(__xludf.DUMMYFUNCTION("""COMPUTED_VALUE"""),0.713)</f>
        <v>0.713</v>
      </c>
      <c r="X53" s="280">
        <f>IFERROR(__xludf.DUMMYFUNCTION("""COMPUTED_VALUE"""),2.8)</f>
        <v>2.8</v>
      </c>
      <c r="Y53" s="283">
        <f>IFERROR(__xludf.DUMMYFUNCTION("""COMPUTED_VALUE"""),0.34921295980645467)</f>
        <v>0.3492129598</v>
      </c>
      <c r="Z53" s="281">
        <f>IFERROR(__xludf.DUMMYFUNCTION("""COMPUTED_VALUE"""),-1.3425893849486756)</f>
        <v>-1.342589385</v>
      </c>
      <c r="AA53" s="281">
        <f>IFERROR(__xludf.DUMMYFUNCTION("""COMPUTED_VALUE"""),1.502811635483205)</f>
        <v>1.502811635</v>
      </c>
      <c r="AB53" s="281">
        <f>IFERROR(__xludf.DUMMYFUNCTION("""COMPUTED_VALUE"""),0.6671329430684506)</f>
        <v>0.6671329431</v>
      </c>
      <c r="AC53" s="281">
        <f>IFERROR(__xludf.DUMMYFUNCTION("""COMPUTED_VALUE"""),0.7430016239596308)</f>
        <v>0.743001624</v>
      </c>
      <c r="AD53" s="281">
        <f>IFERROR(__xludf.DUMMYFUNCTION("""COMPUTED_VALUE"""),0.09805746536669153)</f>
        <v>0.09805746537</v>
      </c>
      <c r="AE53" s="281">
        <f>IFERROR(__xludf.DUMMYFUNCTION("""COMPUTED_VALUE"""),0.7676101483556568)</f>
        <v>0.7676101484</v>
      </c>
      <c r="AF53" s="281">
        <f>IFERROR(__xludf.DUMMYFUNCTION("""COMPUTED_VALUE"""),-1.5664936690619253)</f>
        <v>-1.566493669</v>
      </c>
      <c r="AG53" s="281">
        <f>IFERROR(__xludf.DUMMYFUNCTION("""COMPUTED_VALUE"""),-0.2607118843442064)</f>
        <v>-0.2607118843</v>
      </c>
      <c r="AH53" s="285"/>
      <c r="AI53" s="273"/>
      <c r="AJ53" s="340"/>
      <c r="AK53" s="341"/>
      <c r="AL53" s="273"/>
      <c r="AM53" s="273"/>
      <c r="AN53" s="273"/>
      <c r="AO53" s="273"/>
      <c r="AP53" s="273"/>
      <c r="AQ53" s="273"/>
      <c r="AR53" s="273"/>
      <c r="AS53" s="273"/>
      <c r="AT53" s="273"/>
      <c r="AU53" s="273"/>
      <c r="AV53" s="273"/>
      <c r="AW53" s="273"/>
      <c r="AX53" s="273"/>
      <c r="AY53" s="273"/>
      <c r="AZ53" s="273"/>
      <c r="BA53" s="273"/>
      <c r="BB53" s="273"/>
      <c r="BC53" s="273"/>
      <c r="BD53" s="273"/>
      <c r="BE53" s="273"/>
      <c r="BF53" s="273"/>
      <c r="BG53" s="273"/>
      <c r="BH53" s="273"/>
      <c r="BI53" s="273"/>
      <c r="BJ53" s="273"/>
      <c r="BK53" s="273"/>
      <c r="BL53" s="273"/>
      <c r="BM53" s="273"/>
      <c r="BN53" s="273"/>
      <c r="BO53" s="273"/>
      <c r="BP53" s="273"/>
      <c r="BQ53" s="273"/>
      <c r="BR53" s="273"/>
      <c r="BS53" s="273"/>
      <c r="BT53" s="273"/>
      <c r="BU53" s="273"/>
      <c r="BV53" s="273"/>
      <c r="BW53" s="273"/>
    </row>
    <row r="54">
      <c r="A54" s="276">
        <f>VLOOKUP($F54,UpdateHashtag!$V$3:$Y$32,COLUMN(B$15),0)</f>
        <v>4</v>
      </c>
      <c r="B54" s="259">
        <f>VLOOKUP($F54,UpdateHashtag!$V$3:$Y$32,COLUMN(C$13),0)</f>
        <v>4</v>
      </c>
      <c r="C54" s="259">
        <f>VLOOKUP($F54,UpdateHashtag!$V$3:$Y$32,COLUMN(D$13),0)</f>
        <v>3</v>
      </c>
      <c r="D54" s="277">
        <f t="shared" si="4"/>
        <v>11</v>
      </c>
      <c r="E54" s="21"/>
      <c r="F54" s="261" t="str">
        <f>VLOOKUP(J54,UpdateBBM!$C$2:E1015,3,0)</f>
        <v>ATL</v>
      </c>
      <c r="G54" s="248">
        <v>35.0</v>
      </c>
      <c r="H54" s="278">
        <f>IFERROR(__xludf.DUMMYFUNCTION("""COMPUTED_VALUE"""),35.0)</f>
        <v>35</v>
      </c>
      <c r="I54" s="278">
        <f>IFERROR(__xludf.DUMMYFUNCTION("""COMPUTED_VALUE"""),41.4)</f>
        <v>41.4</v>
      </c>
      <c r="J54" s="279" t="str">
        <f>IFERROR(__xludf.DUMMYFUNCTION("""COMPUTED_VALUE"""),"Jalen Johnson")</f>
        <v>Jalen Johnson</v>
      </c>
      <c r="K54" s="278">
        <f>IFERROR(__xludf.DUMMYFUNCTION("""COMPUTED_VALUE"""),71.0)</f>
        <v>71</v>
      </c>
      <c r="L54" s="280" t="str">
        <f>IFERROR(__xludf.DUMMYFUNCTION("""COMPUTED_VALUE"""),"PF")</f>
        <v>PF</v>
      </c>
      <c r="M54" s="281">
        <f>IFERROR(__xludf.DUMMYFUNCTION("""COMPUTED_VALUE"""),2.460612775692953)</f>
        <v>2.460612776</v>
      </c>
      <c r="N54" s="281">
        <f>IFERROR(__xludf.DUMMYFUNCTION("""COMPUTED_VALUE"""),2.460612775692953)</f>
        <v>2.460612776</v>
      </c>
      <c r="O54" s="282">
        <f>IFERROR(__xludf.DUMMYFUNCTION("""COMPUTED_VALUE"""),0.0)</f>
        <v>0</v>
      </c>
      <c r="P54" s="283">
        <f>IFERROR(__xludf.DUMMYFUNCTION("""COMPUTED_VALUE"""),18.2)</f>
        <v>18.2</v>
      </c>
      <c r="Q54" s="283">
        <f>IFERROR(__xludf.DUMMYFUNCTION("""COMPUTED_VALUE"""),1.4)</f>
        <v>1.4</v>
      </c>
      <c r="R54" s="283">
        <f>IFERROR(__xludf.DUMMYFUNCTION("""COMPUTED_VALUE"""),9.2)</f>
        <v>9.2</v>
      </c>
      <c r="S54" s="284">
        <f>IFERROR(__xludf.DUMMYFUNCTION("""COMPUTED_VALUE"""),3.5)</f>
        <v>3.5</v>
      </c>
      <c r="T54" s="283">
        <f>IFERROR(__xludf.DUMMYFUNCTION("""COMPUTED_VALUE"""),1.3)</f>
        <v>1.3</v>
      </c>
      <c r="U54" s="283">
        <f>IFERROR(__xludf.DUMMYFUNCTION("""COMPUTED_VALUE"""),1.0)</f>
        <v>1</v>
      </c>
      <c r="V54" s="280">
        <f>IFERROR(__xludf.DUMMYFUNCTION("""COMPUTED_VALUE"""),0.503)</f>
        <v>0.503</v>
      </c>
      <c r="W54" s="280">
        <f>IFERROR(__xludf.DUMMYFUNCTION("""COMPUTED_VALUE"""),0.747)</f>
        <v>0.747</v>
      </c>
      <c r="X54" s="280">
        <f>IFERROR(__xludf.DUMMYFUNCTION("""COMPUTED_VALUE"""),1.7)</f>
        <v>1.7</v>
      </c>
      <c r="Y54" s="283">
        <f>IFERROR(__xludf.DUMMYFUNCTION("""COMPUTED_VALUE"""),0.13243533624726)</f>
        <v>0.1324353362</v>
      </c>
      <c r="Z54" s="281">
        <f>IFERROR(__xludf.DUMMYFUNCTION("""COMPUTED_VALUE"""),-0.34734639463326067)</f>
        <v>-0.3473463946</v>
      </c>
      <c r="AA54" s="281">
        <f>IFERROR(__xludf.DUMMYFUNCTION("""COMPUTED_VALUE"""),1.2282270376084)</f>
        <v>1.228227038</v>
      </c>
      <c r="AB54" s="281">
        <f>IFERROR(__xludf.DUMMYFUNCTION("""COMPUTED_VALUE"""),-0.1985406949520756)</f>
        <v>-0.198540695</v>
      </c>
      <c r="AC54" s="281">
        <f>IFERROR(__xludf.DUMMYFUNCTION("""COMPUTED_VALUE"""),1.0749343021191105)</f>
        <v>1.074934302</v>
      </c>
      <c r="AD54" s="281">
        <f>IFERROR(__xludf.DUMMYFUNCTION("""COMPUTED_VALUE"""),0.45484486947200414)</f>
        <v>0.4548448695</v>
      </c>
      <c r="AE54" s="281">
        <f>IFERROR(__xludf.DUMMYFUNCTION("""COMPUTED_VALUE"""),0.1039898559398676)</f>
        <v>0.1039898559</v>
      </c>
      <c r="AF54" s="281">
        <f>IFERROR(__xludf.DUMMYFUNCTION("""COMPUTED_VALUE"""),-0.49208126225693666)</f>
        <v>-0.4920812623</v>
      </c>
      <c r="AG54" s="281">
        <f>IFERROR(__xludf.DUMMYFUNCTION("""COMPUTED_VALUE"""),0.012068463891646777)</f>
        <v>0.01206846389</v>
      </c>
      <c r="AH54" s="285"/>
      <c r="AI54" s="273"/>
      <c r="AJ54" s="340"/>
      <c r="AK54" s="341"/>
      <c r="AL54" s="273"/>
      <c r="AM54" s="273"/>
      <c r="AN54" s="273"/>
      <c r="AO54" s="273"/>
      <c r="AP54" s="273"/>
      <c r="AQ54" s="273"/>
      <c r="AR54" s="273"/>
      <c r="AS54" s="273"/>
      <c r="AT54" s="273"/>
      <c r="AU54" s="273"/>
      <c r="AV54" s="273"/>
      <c r="AW54" s="273"/>
      <c r="AX54" s="273"/>
      <c r="AY54" s="273"/>
      <c r="AZ54" s="273"/>
      <c r="BA54" s="273"/>
      <c r="BB54" s="273"/>
      <c r="BC54" s="273"/>
      <c r="BD54" s="273"/>
      <c r="BE54" s="273"/>
      <c r="BF54" s="273"/>
      <c r="BG54" s="273"/>
      <c r="BH54" s="273"/>
      <c r="BI54" s="273"/>
      <c r="BJ54" s="273"/>
      <c r="BK54" s="273"/>
      <c r="BL54" s="273"/>
      <c r="BM54" s="273"/>
      <c r="BN54" s="273"/>
      <c r="BO54" s="273"/>
      <c r="BP54" s="273"/>
      <c r="BQ54" s="273"/>
      <c r="BR54" s="273"/>
      <c r="BS54" s="273"/>
      <c r="BT54" s="273"/>
      <c r="BU54" s="273"/>
      <c r="BV54" s="273"/>
      <c r="BW54" s="273"/>
    </row>
    <row r="55">
      <c r="A55" s="259" t="str">
        <f>VLOOKUP($F55,UpdateHashtag!$V$3:$Y$32,COLUMN(B$15),0)</f>
        <v>#N/A</v>
      </c>
      <c r="B55" s="259" t="str">
        <f>VLOOKUP($F55,UpdateHashtag!$V$3:$Y$32,COLUMN(C$13),0)</f>
        <v>#N/A</v>
      </c>
      <c r="C55" s="259" t="str">
        <f>VLOOKUP($F55,UpdateHashtag!$V$3:$Y$32,COLUMN(D$13),0)</f>
        <v>#N/A</v>
      </c>
      <c r="D55" s="329" t="str">
        <f t="shared" si="4"/>
        <v>#N/A</v>
      </c>
      <c r="E55" s="21"/>
      <c r="F55" s="261" t="str">
        <f>VLOOKUP(J55,UpdateBBM!$C$2:E1015,3,0)</f>
        <v>NOR</v>
      </c>
      <c r="G55" s="248">
        <v>36.0</v>
      </c>
      <c r="H55" s="278">
        <f>IFERROR(__xludf.DUMMYFUNCTION("""COMPUTED_VALUE"""),36.0)</f>
        <v>36</v>
      </c>
      <c r="I55" s="278">
        <f>IFERROR(__xludf.DUMMYFUNCTION("""COMPUTED_VALUE"""),35.6)</f>
        <v>35.6</v>
      </c>
      <c r="J55" s="279" t="str">
        <f>IFERROR(__xludf.DUMMYFUNCTION("""COMPUTED_VALUE"""),"Dejounte Murray")</f>
        <v>Dejounte Murray</v>
      </c>
      <c r="K55" s="278">
        <f>IFERROR(__xludf.DUMMYFUNCTION("""COMPUTED_VALUE"""),71.0)</f>
        <v>71</v>
      </c>
      <c r="L55" s="280" t="str">
        <f>IFERROR(__xludf.DUMMYFUNCTION("""COMPUTED_VALUE"""),"PG,SG")</f>
        <v>PG,SG</v>
      </c>
      <c r="M55" s="281">
        <f>IFERROR(__xludf.DUMMYFUNCTION("""COMPUTED_VALUE"""),2.427604478469864)</f>
        <v>2.427604478</v>
      </c>
      <c r="N55" s="281">
        <f>IFERROR(__xludf.DUMMYFUNCTION("""COMPUTED_VALUE"""),2.427604478469864)</f>
        <v>2.427604478</v>
      </c>
      <c r="O55" s="282">
        <f>IFERROR(__xludf.DUMMYFUNCTION("""COMPUTED_VALUE"""),0.0)</f>
        <v>0</v>
      </c>
      <c r="P55" s="283">
        <f>IFERROR(__xludf.DUMMYFUNCTION("""COMPUTED_VALUE"""),19.5)</f>
        <v>19.5</v>
      </c>
      <c r="Q55" s="283">
        <f>IFERROR(__xludf.DUMMYFUNCTION("""COMPUTED_VALUE"""),2.2)</f>
        <v>2.2</v>
      </c>
      <c r="R55" s="283">
        <f>IFERROR(__xludf.DUMMYFUNCTION("""COMPUTED_VALUE"""),5.2)</f>
        <v>5.2</v>
      </c>
      <c r="S55" s="284">
        <f>IFERROR(__xludf.DUMMYFUNCTION("""COMPUTED_VALUE"""),6.5)</f>
        <v>6.5</v>
      </c>
      <c r="T55" s="283">
        <f>IFERROR(__xludf.DUMMYFUNCTION("""COMPUTED_VALUE"""),1.4)</f>
        <v>1.4</v>
      </c>
      <c r="U55" s="283">
        <f>IFERROR(__xludf.DUMMYFUNCTION("""COMPUTED_VALUE"""),0.3)</f>
        <v>0.3</v>
      </c>
      <c r="V55" s="280">
        <f>IFERROR(__xludf.DUMMYFUNCTION("""COMPUTED_VALUE"""),0.462)</f>
        <v>0.462</v>
      </c>
      <c r="W55" s="280">
        <f>IFERROR(__xludf.DUMMYFUNCTION("""COMPUTED_VALUE"""),0.809)</f>
        <v>0.809</v>
      </c>
      <c r="X55" s="280">
        <f>IFERROR(__xludf.DUMMYFUNCTION("""COMPUTED_VALUE"""),2.1)</f>
        <v>2.1</v>
      </c>
      <c r="Y55" s="283">
        <f>IFERROR(__xludf.DUMMYFUNCTION("""COMPUTED_VALUE"""),0.3672777617697212)</f>
        <v>0.3672777618</v>
      </c>
      <c r="Z55" s="281">
        <f>IFERROR(__xludf.DUMMYFUNCTION("""COMPUTED_VALUE"""),0.44884799761907157)</f>
        <v>0.4488479976</v>
      </c>
      <c r="AA55" s="281">
        <f>IFERROR(__xludf.DUMMYFUNCTION("""COMPUTED_VALUE"""),-0.3408278073904848)</f>
        <v>-0.3408278074</v>
      </c>
      <c r="AB55" s="281">
        <f>IFERROR(__xludf.DUMMYFUNCTION("""COMPUTED_VALUE"""),1.1683124177119129)</f>
        <v>1.168312418</v>
      </c>
      <c r="AC55" s="281">
        <f>IFERROR(__xludf.DUMMYFUNCTION("""COMPUTED_VALUE"""),1.4068669802785894)</f>
        <v>1.40686698</v>
      </c>
      <c r="AD55" s="281">
        <f>IFERROR(__xludf.DUMMYFUNCTION("""COMPUTED_VALUE"""),-0.7939110448965904)</f>
        <v>-0.7939110449</v>
      </c>
      <c r="AE55" s="281">
        <f>IFERROR(__xludf.DUMMYFUNCTION("""COMPUTED_VALUE"""),-0.6704373017061303)</f>
        <v>-0.6704373017</v>
      </c>
      <c r="AF55" s="281">
        <f>IFERROR(__xludf.DUMMYFUNCTION("""COMPUTED_VALUE"""),0.1346888201994836)</f>
        <v>0.1346888202</v>
      </c>
      <c r="AG55" s="281">
        <f>IFERROR(__xludf.DUMMYFUNCTION("""COMPUTED_VALUE"""),-0.08712439001229988)</f>
        <v>-0.08712439001</v>
      </c>
      <c r="AH55" s="285"/>
      <c r="AI55" s="273"/>
      <c r="AJ55" s="340"/>
      <c r="AK55" s="341"/>
      <c r="AL55" s="273"/>
      <c r="AM55" s="273"/>
      <c r="AN55" s="273"/>
      <c r="AO55" s="273"/>
      <c r="AP55" s="273"/>
      <c r="AQ55" s="273"/>
      <c r="AR55" s="273"/>
      <c r="AS55" s="273"/>
      <c r="AT55" s="273"/>
      <c r="AU55" s="273"/>
      <c r="AV55" s="273"/>
      <c r="AW55" s="273"/>
      <c r="AX55" s="273"/>
      <c r="AY55" s="273"/>
      <c r="AZ55" s="273"/>
      <c r="BA55" s="273"/>
      <c r="BB55" s="273"/>
      <c r="BC55" s="273"/>
      <c r="BD55" s="273"/>
      <c r="BE55" s="273"/>
      <c r="BF55" s="273"/>
      <c r="BG55" s="273"/>
      <c r="BH55" s="273"/>
      <c r="BI55" s="273"/>
      <c r="BJ55" s="273"/>
      <c r="BK55" s="273"/>
      <c r="BL55" s="273"/>
      <c r="BM55" s="273"/>
      <c r="BN55" s="273"/>
      <c r="BO55" s="273"/>
      <c r="BP55" s="273"/>
      <c r="BQ55" s="273"/>
      <c r="BR55" s="273"/>
      <c r="BS55" s="273"/>
      <c r="BT55" s="273"/>
      <c r="BU55" s="273"/>
      <c r="BV55" s="273"/>
      <c r="BW55" s="273"/>
    </row>
    <row r="56">
      <c r="A56" s="276">
        <f>VLOOKUP($F56,UpdateHashtag!$V$3:$Y$32,COLUMN(B$15),0)</f>
        <v>4</v>
      </c>
      <c r="B56" s="259">
        <f>VLOOKUP($F56,UpdateHashtag!$V$3:$Y$32,COLUMN(C$13),0)</f>
        <v>4</v>
      </c>
      <c r="C56" s="259">
        <f>VLOOKUP($F56,UpdateHashtag!$V$3:$Y$32,COLUMN(D$13),0)</f>
        <v>3</v>
      </c>
      <c r="D56" s="277">
        <f t="shared" si="4"/>
        <v>11</v>
      </c>
      <c r="E56" s="21"/>
      <c r="F56" s="261" t="str">
        <f>VLOOKUP(J56,UpdateBBM!$C$2:E1015,3,0)</f>
        <v>OKC</v>
      </c>
      <c r="G56" s="248">
        <v>37.0</v>
      </c>
      <c r="H56" s="278">
        <f>IFERROR(__xludf.DUMMYFUNCTION("""COMPUTED_VALUE"""),37.0)</f>
        <v>37</v>
      </c>
      <c r="I56" s="278">
        <f>IFERROR(__xludf.DUMMYFUNCTION("""COMPUTED_VALUE"""),36.0)</f>
        <v>36</v>
      </c>
      <c r="J56" s="279" t="str">
        <f>IFERROR(__xludf.DUMMYFUNCTION("""COMPUTED_VALUE"""),"Jalen Williams")</f>
        <v>Jalen Williams</v>
      </c>
      <c r="K56" s="278">
        <f>IFERROR(__xludf.DUMMYFUNCTION("""COMPUTED_VALUE"""),75.0)</f>
        <v>75</v>
      </c>
      <c r="L56" s="280" t="str">
        <f>IFERROR(__xludf.DUMMYFUNCTION("""COMPUTED_VALUE"""),"SG,SF,PF")</f>
        <v>SG,SF,PF</v>
      </c>
      <c r="M56" s="281">
        <f>IFERROR(__xludf.DUMMYFUNCTION("""COMPUTED_VALUE"""),2.310625432136085)</f>
        <v>2.310625432</v>
      </c>
      <c r="N56" s="281">
        <f>IFERROR(__xludf.DUMMYFUNCTION("""COMPUTED_VALUE"""),2.310625432136085)</f>
        <v>2.310625432</v>
      </c>
      <c r="O56" s="282">
        <f>IFERROR(__xludf.DUMMYFUNCTION("""COMPUTED_VALUE"""),0.0)</f>
        <v>0</v>
      </c>
      <c r="P56" s="283">
        <f>IFERROR(__xludf.DUMMYFUNCTION("""COMPUTED_VALUE"""),20.0)</f>
        <v>20</v>
      </c>
      <c r="Q56" s="283">
        <f>IFERROR(__xludf.DUMMYFUNCTION("""COMPUTED_VALUE"""),1.7)</f>
        <v>1.7</v>
      </c>
      <c r="R56" s="283">
        <f>IFERROR(__xludf.DUMMYFUNCTION("""COMPUTED_VALUE"""),4.6)</f>
        <v>4.6</v>
      </c>
      <c r="S56" s="284">
        <f>IFERROR(__xludf.DUMMYFUNCTION("""COMPUTED_VALUE"""),4.9)</f>
        <v>4.9</v>
      </c>
      <c r="T56" s="283">
        <f>IFERROR(__xludf.DUMMYFUNCTION("""COMPUTED_VALUE"""),1.2)</f>
        <v>1.2</v>
      </c>
      <c r="U56" s="283">
        <f>IFERROR(__xludf.DUMMYFUNCTION("""COMPUTED_VALUE"""),0.6)</f>
        <v>0.6</v>
      </c>
      <c r="V56" s="280">
        <f>IFERROR(__xludf.DUMMYFUNCTION("""COMPUTED_VALUE"""),0.536)</f>
        <v>0.536</v>
      </c>
      <c r="W56" s="280">
        <f>IFERROR(__xludf.DUMMYFUNCTION("""COMPUTED_VALUE"""),0.822)</f>
        <v>0.822</v>
      </c>
      <c r="X56" s="280">
        <f>IFERROR(__xludf.DUMMYFUNCTION("""COMPUTED_VALUE"""),1.8)</f>
        <v>1.8</v>
      </c>
      <c r="Y56" s="283">
        <f>IFERROR(__xludf.DUMMYFUNCTION("""COMPUTED_VALUE"""),0.45760177158605236)</f>
        <v>0.4576017716</v>
      </c>
      <c r="Z56" s="281">
        <f>IFERROR(__xludf.DUMMYFUNCTION("""COMPUTED_VALUE"""),-0.04877349753863613)</f>
        <v>-0.04877349754</v>
      </c>
      <c r="AA56" s="281">
        <f>IFERROR(__xludf.DUMMYFUNCTION("""COMPUTED_VALUE"""),-0.5761860341403178)</f>
        <v>-0.5761860341</v>
      </c>
      <c r="AB56" s="281">
        <f>IFERROR(__xludf.DUMMYFUNCTION("""COMPUTED_VALUE"""),0.43932409095778585)</f>
        <v>0.439324091</v>
      </c>
      <c r="AC56" s="281">
        <f>IFERROR(__xludf.DUMMYFUNCTION("""COMPUTED_VALUE"""),0.7430016239596308)</f>
        <v>0.743001624</v>
      </c>
      <c r="AD56" s="281">
        <f>IFERROR(__xludf.DUMMYFUNCTION("""COMPUTED_VALUE"""),-0.25872993873862127)</f>
        <v>-0.2587299387</v>
      </c>
      <c r="AE56" s="281">
        <f>IFERROR(__xludf.DUMMYFUNCTION("""COMPUTED_VALUE"""),0.6647922933298738)</f>
        <v>0.6647922933</v>
      </c>
      <c r="AF56" s="281">
        <f>IFERROR(__xludf.DUMMYFUNCTION("""COMPUTED_VALUE"""),0.32613883816433964)</f>
        <v>0.3261388382</v>
      </c>
      <c r="AG56" s="281">
        <f>IFERROR(__xludf.DUMMYFUNCTION("""COMPUTED_VALUE"""),-0.012729749584339901)</f>
        <v>-0.01272974958</v>
      </c>
      <c r="AH56" s="285"/>
      <c r="AI56" s="273"/>
      <c r="AJ56" s="340"/>
      <c r="AK56" s="341"/>
      <c r="AL56" s="273"/>
      <c r="AM56" s="273"/>
      <c r="AN56" s="273"/>
      <c r="AO56" s="273"/>
      <c r="AP56" s="273"/>
      <c r="AQ56" s="273"/>
      <c r="AR56" s="273"/>
      <c r="AS56" s="273"/>
      <c r="AT56" s="273"/>
      <c r="AU56" s="273"/>
      <c r="AV56" s="273"/>
      <c r="AW56" s="273"/>
      <c r="AX56" s="273"/>
      <c r="AY56" s="273"/>
      <c r="AZ56" s="273"/>
      <c r="BA56" s="273"/>
      <c r="BB56" s="273"/>
      <c r="BC56" s="273"/>
      <c r="BD56" s="273"/>
      <c r="BE56" s="273"/>
      <c r="BF56" s="273"/>
      <c r="BG56" s="273"/>
      <c r="BH56" s="273"/>
      <c r="BI56" s="273"/>
      <c r="BJ56" s="273"/>
      <c r="BK56" s="273"/>
      <c r="BL56" s="273"/>
      <c r="BM56" s="273"/>
      <c r="BN56" s="273"/>
      <c r="BO56" s="273"/>
      <c r="BP56" s="273"/>
      <c r="BQ56" s="273"/>
      <c r="BR56" s="273"/>
      <c r="BS56" s="273"/>
      <c r="BT56" s="273"/>
      <c r="BU56" s="273"/>
      <c r="BV56" s="273"/>
      <c r="BW56" s="273"/>
    </row>
    <row r="57">
      <c r="A57" s="276">
        <f>VLOOKUP($F57,UpdateHashtag!$V$3:$Y$32,COLUMN(B$15),0)</f>
        <v>4</v>
      </c>
      <c r="B57" s="259">
        <f>VLOOKUP($F57,UpdateHashtag!$V$3:$Y$32,COLUMN(C$13),0)</f>
        <v>3</v>
      </c>
      <c r="C57" s="259">
        <f>VLOOKUP($F57,UpdateHashtag!$V$3:$Y$32,COLUMN(D$13),0)</f>
        <v>4</v>
      </c>
      <c r="D57" s="277">
        <f t="shared" si="4"/>
        <v>11</v>
      </c>
      <c r="E57" s="21"/>
      <c r="F57" s="261" t="str">
        <f>VLOOKUP(J57,UpdateBBM!$C$2:E1015,3,0)</f>
        <v>DET</v>
      </c>
      <c r="G57" s="248">
        <v>38.0</v>
      </c>
      <c r="H57" s="278">
        <f>IFERROR(__xludf.DUMMYFUNCTION("""COMPUTED_VALUE"""),38.0)</f>
        <v>38</v>
      </c>
      <c r="I57" s="278">
        <f>IFERROR(__xludf.DUMMYFUNCTION("""COMPUTED_VALUE"""),34.0)</f>
        <v>34</v>
      </c>
      <c r="J57" s="279" t="str">
        <f>IFERROR(__xludf.DUMMYFUNCTION("""COMPUTED_VALUE"""),"Cade Cunningham")</f>
        <v>Cade Cunningham</v>
      </c>
      <c r="K57" s="278">
        <f>IFERROR(__xludf.DUMMYFUNCTION("""COMPUTED_VALUE"""),53.0)</f>
        <v>53</v>
      </c>
      <c r="L57" s="280" t="str">
        <f>IFERROR(__xludf.DUMMYFUNCTION("""COMPUTED_VALUE"""),"PG,SG")</f>
        <v>PG,SG</v>
      </c>
      <c r="M57" s="281">
        <f>IFERROR(__xludf.DUMMYFUNCTION("""COMPUTED_VALUE"""),2.199091564198683)</f>
        <v>2.199091564</v>
      </c>
      <c r="N57" s="281">
        <f>IFERROR(__xludf.DUMMYFUNCTION("""COMPUTED_VALUE"""),2.199091564198683)</f>
        <v>2.199091564</v>
      </c>
      <c r="O57" s="282">
        <f>IFERROR(__xludf.DUMMYFUNCTION("""COMPUTED_VALUE"""),0.0)</f>
        <v>0</v>
      </c>
      <c r="P57" s="283">
        <f>IFERROR(__xludf.DUMMYFUNCTION("""COMPUTED_VALUE"""),23.2)</f>
        <v>23.2</v>
      </c>
      <c r="Q57" s="283">
        <f>IFERROR(__xludf.DUMMYFUNCTION("""COMPUTED_VALUE"""),1.9)</f>
        <v>1.9</v>
      </c>
      <c r="R57" s="283">
        <f>IFERROR(__xludf.DUMMYFUNCTION("""COMPUTED_VALUE"""),4.7)</f>
        <v>4.7</v>
      </c>
      <c r="S57" s="284">
        <f>IFERROR(__xludf.DUMMYFUNCTION("""COMPUTED_VALUE"""),7.8)</f>
        <v>7.8</v>
      </c>
      <c r="T57" s="283">
        <f>IFERROR(__xludf.DUMMYFUNCTION("""COMPUTED_VALUE"""),0.9)</f>
        <v>0.9</v>
      </c>
      <c r="U57" s="283">
        <f>IFERROR(__xludf.DUMMYFUNCTION("""COMPUTED_VALUE"""),0.4)</f>
        <v>0.4</v>
      </c>
      <c r="V57" s="280">
        <f>IFERROR(__xludf.DUMMYFUNCTION("""COMPUTED_VALUE"""),0.45)</f>
        <v>0.45</v>
      </c>
      <c r="W57" s="280">
        <f>IFERROR(__xludf.DUMMYFUNCTION("""COMPUTED_VALUE"""),0.865)</f>
        <v>0.865</v>
      </c>
      <c r="X57" s="280">
        <f>IFERROR(__xludf.DUMMYFUNCTION("""COMPUTED_VALUE"""),3.5)</f>
        <v>3.5</v>
      </c>
      <c r="Y57" s="283">
        <f>IFERROR(__xludf.DUMMYFUNCTION("""COMPUTED_VALUE"""),1.0356754344105719)</f>
        <v>1.035675434</v>
      </c>
      <c r="Z57" s="281">
        <f>IFERROR(__xludf.DUMMYFUNCTION("""COMPUTED_VALUE"""),0.15027510052444681)</f>
        <v>0.1502751005</v>
      </c>
      <c r="AA57" s="281">
        <f>IFERROR(__xludf.DUMMYFUNCTION("""COMPUTED_VALUE"""),-0.5369596630153455)</f>
        <v>-0.536959663</v>
      </c>
      <c r="AB57" s="281">
        <f>IFERROR(__xludf.DUMMYFUNCTION("""COMPUTED_VALUE"""),1.760615433199641)</f>
        <v>1.760615433</v>
      </c>
      <c r="AC57" s="281">
        <f>IFERROR(__xludf.DUMMYFUNCTION("""COMPUTED_VALUE"""),-0.25279641051880714)</f>
        <v>-0.2527964105</v>
      </c>
      <c r="AD57" s="281">
        <f>IFERROR(__xludf.DUMMYFUNCTION("""COMPUTED_VALUE"""),-0.6155173428439339)</f>
        <v>-0.6155173428</v>
      </c>
      <c r="AE57" s="281">
        <f>IFERROR(__xludf.DUMMYFUNCTION("""COMPUTED_VALUE"""),-1.0714145177539518)</f>
        <v>-1.071414518</v>
      </c>
      <c r="AF57" s="281">
        <f>IFERROR(__xludf.DUMMYFUNCTION("""COMPUTED_VALUE"""),1.092098391118223)</f>
        <v>1.092098391</v>
      </c>
      <c r="AG57" s="281">
        <f>IFERROR(__xludf.DUMMYFUNCTION("""COMPUTED_VALUE"""),-0.43429937867611307)</f>
        <v>-0.4342993787</v>
      </c>
      <c r="AH57" s="285"/>
      <c r="AI57" s="273"/>
      <c r="AJ57" s="340"/>
      <c r="AK57" s="341"/>
      <c r="AL57" s="273"/>
      <c r="AM57" s="273"/>
      <c r="AN57" s="273"/>
      <c r="AO57" s="273"/>
      <c r="AP57" s="273"/>
      <c r="AQ57" s="273"/>
      <c r="AR57" s="273"/>
      <c r="AS57" s="273"/>
      <c r="AT57" s="273"/>
      <c r="AU57" s="273"/>
      <c r="AV57" s="273"/>
      <c r="AW57" s="273"/>
      <c r="AX57" s="273"/>
      <c r="AY57" s="273"/>
      <c r="AZ57" s="273"/>
      <c r="BA57" s="273"/>
      <c r="BB57" s="273"/>
      <c r="BC57" s="273"/>
      <c r="BD57" s="273"/>
      <c r="BE57" s="273"/>
      <c r="BF57" s="273"/>
      <c r="BG57" s="273"/>
      <c r="BH57" s="273"/>
      <c r="BI57" s="273"/>
      <c r="BJ57" s="273"/>
      <c r="BK57" s="273"/>
      <c r="BL57" s="273"/>
      <c r="BM57" s="273"/>
      <c r="BN57" s="273"/>
      <c r="BO57" s="273"/>
      <c r="BP57" s="273"/>
      <c r="BQ57" s="273"/>
      <c r="BR57" s="273"/>
      <c r="BS57" s="273"/>
      <c r="BT57" s="273"/>
      <c r="BU57" s="273"/>
      <c r="BV57" s="273"/>
      <c r="BW57" s="273"/>
    </row>
    <row r="58">
      <c r="A58" s="276">
        <f>VLOOKUP($F58,UpdateHashtag!$V$3:$Y$32,COLUMN(B$15),0)</f>
        <v>4</v>
      </c>
      <c r="B58" s="259">
        <f>VLOOKUP($F58,UpdateHashtag!$V$3:$Y$32,COLUMN(C$13),0)</f>
        <v>3</v>
      </c>
      <c r="C58" s="259">
        <f>VLOOKUP($F58,UpdateHashtag!$V$3:$Y$32,COLUMN(D$13),0)</f>
        <v>3</v>
      </c>
      <c r="D58" s="277">
        <f t="shared" si="4"/>
        <v>10</v>
      </c>
      <c r="E58" s="21"/>
      <c r="F58" s="261" t="str">
        <f>VLOOKUP(J58,UpdateBBM!$C$2:E1015,3,0)</f>
        <v>MIN</v>
      </c>
      <c r="G58" s="248">
        <v>39.0</v>
      </c>
      <c r="H58" s="278">
        <f>IFERROR(__xludf.DUMMYFUNCTION("""COMPUTED_VALUE"""),39.0)</f>
        <v>39</v>
      </c>
      <c r="I58" s="278">
        <f>IFERROR(__xludf.DUMMYFUNCTION("""COMPUTED_VALUE"""),46.4)</f>
        <v>46.4</v>
      </c>
      <c r="J58" s="279" t="str">
        <f>IFERROR(__xludf.DUMMYFUNCTION("""COMPUTED_VALUE"""),"Rudy Gobert")</f>
        <v>Rudy Gobert</v>
      </c>
      <c r="K58" s="278">
        <f>IFERROR(__xludf.DUMMYFUNCTION("""COMPUTED_VALUE"""),71.0)</f>
        <v>71</v>
      </c>
      <c r="L58" s="280" t="str">
        <f>IFERROR(__xludf.DUMMYFUNCTION("""COMPUTED_VALUE"""),"C")</f>
        <v>C</v>
      </c>
      <c r="M58" s="281">
        <f>IFERROR(__xludf.DUMMYFUNCTION("""COMPUTED_VALUE"""),2.1075798541550443)</f>
        <v>2.107579854</v>
      </c>
      <c r="N58" s="281">
        <f>IFERROR(__xludf.DUMMYFUNCTION("""COMPUTED_VALUE"""),2.1075798541550443)</f>
        <v>2.107579854</v>
      </c>
      <c r="O58" s="282">
        <f>IFERROR(__xludf.DUMMYFUNCTION("""COMPUTED_VALUE"""),0.0)</f>
        <v>0</v>
      </c>
      <c r="P58" s="283">
        <f>IFERROR(__xludf.DUMMYFUNCTION("""COMPUTED_VALUE"""),14.3)</f>
        <v>14.3</v>
      </c>
      <c r="Q58" s="283">
        <f>IFERROR(__xludf.DUMMYFUNCTION("""COMPUTED_VALUE"""),0.0)</f>
        <v>0</v>
      </c>
      <c r="R58" s="283">
        <f>IFERROR(__xludf.DUMMYFUNCTION("""COMPUTED_VALUE"""),12.9)</f>
        <v>12.9</v>
      </c>
      <c r="S58" s="284">
        <f>IFERROR(__xludf.DUMMYFUNCTION("""COMPUTED_VALUE"""),1.4)</f>
        <v>1.4</v>
      </c>
      <c r="T58" s="283">
        <f>IFERROR(__xludf.DUMMYFUNCTION("""COMPUTED_VALUE"""),0.8)</f>
        <v>0.8</v>
      </c>
      <c r="U58" s="283">
        <f>IFERROR(__xludf.DUMMYFUNCTION("""COMPUTED_VALUE"""),1.8)</f>
        <v>1.8</v>
      </c>
      <c r="V58" s="280">
        <f>IFERROR(__xludf.DUMMYFUNCTION("""COMPUTED_VALUE"""),0.66)</f>
        <v>0.66</v>
      </c>
      <c r="W58" s="280">
        <f>IFERROR(__xludf.DUMMYFUNCTION("""COMPUTED_VALUE"""),0.642)</f>
        <v>0.642</v>
      </c>
      <c r="X58" s="280">
        <f>IFERROR(__xludf.DUMMYFUNCTION("""COMPUTED_VALUE"""),1.7)</f>
        <v>1.7</v>
      </c>
      <c r="Y58" s="283">
        <f>IFERROR(__xludf.DUMMYFUNCTION("""COMPUTED_VALUE"""),-0.5720919403201229)</f>
        <v>-0.5720919403</v>
      </c>
      <c r="Z58" s="281">
        <f>IFERROR(__xludf.DUMMYFUNCTION("""COMPUTED_VALUE"""),-1.7406865810748415)</f>
        <v>-1.740686581</v>
      </c>
      <c r="AA58" s="281">
        <f>IFERROR(__xludf.DUMMYFUNCTION("""COMPUTED_VALUE"""),2.679602769232369)</f>
        <v>2.679602769</v>
      </c>
      <c r="AB58" s="281">
        <f>IFERROR(__xludf.DUMMYFUNCTION("""COMPUTED_VALUE"""),-1.1553378738168676)</f>
        <v>-1.155337874</v>
      </c>
      <c r="AC58" s="281">
        <f>IFERROR(__xludf.DUMMYFUNCTION("""COMPUTED_VALUE"""),-0.5847290886782864)</f>
        <v>-0.5847290887</v>
      </c>
      <c r="AD58" s="281">
        <f>IFERROR(__xludf.DUMMYFUNCTION("""COMPUTED_VALUE"""),1.881994485893255)</f>
        <v>1.881994486</v>
      </c>
      <c r="AE58" s="281">
        <f>IFERROR(__xludf.DUMMYFUNCTION("""COMPUTED_VALUE"""),1.586759619027892)</f>
        <v>1.586759619</v>
      </c>
      <c r="AF58" s="281">
        <f>IFERROR(__xludf.DUMMYFUNCTION("""COMPUTED_VALUE"""),-2.8159670660661136)</f>
        <v>-2.815967066</v>
      </c>
      <c r="AG58" s="281">
        <f>IFERROR(__xludf.DUMMYFUNCTION("""COMPUTED_VALUE"""),0.012068463891646777)</f>
        <v>0.01206846389</v>
      </c>
      <c r="AH58" s="285"/>
      <c r="AI58" s="273"/>
      <c r="AJ58" s="340"/>
      <c r="AK58" s="341"/>
      <c r="AL58" s="273"/>
      <c r="AM58" s="273"/>
      <c r="AN58" s="273"/>
      <c r="AO58" s="273"/>
      <c r="AP58" s="273"/>
      <c r="AQ58" s="273"/>
      <c r="AR58" s="273"/>
      <c r="AS58" s="273"/>
      <c r="AT58" s="273"/>
      <c r="AU58" s="273"/>
      <c r="AV58" s="273"/>
      <c r="AW58" s="273"/>
      <c r="AX58" s="273"/>
      <c r="AY58" s="273"/>
      <c r="AZ58" s="273"/>
      <c r="BA58" s="273"/>
      <c r="BB58" s="273"/>
      <c r="BC58" s="273"/>
      <c r="BD58" s="273"/>
      <c r="BE58" s="273"/>
      <c r="BF58" s="273"/>
      <c r="BG58" s="273"/>
      <c r="BH58" s="273"/>
      <c r="BI58" s="273"/>
      <c r="BJ58" s="273"/>
      <c r="BK58" s="273"/>
      <c r="BL58" s="273"/>
      <c r="BM58" s="273"/>
      <c r="BN58" s="273"/>
      <c r="BO58" s="273"/>
      <c r="BP58" s="273"/>
      <c r="BQ58" s="273"/>
      <c r="BR58" s="273"/>
      <c r="BS58" s="273"/>
      <c r="BT58" s="273"/>
      <c r="BU58" s="273"/>
      <c r="BV58" s="273"/>
      <c r="BW58" s="273"/>
    </row>
    <row r="59">
      <c r="A59" s="276">
        <f>VLOOKUP($F59,UpdateHashtag!$V$3:$Y$32,COLUMN(B$15),0)</f>
        <v>3</v>
      </c>
      <c r="B59" s="259">
        <f>VLOOKUP($F59,UpdateHashtag!$V$3:$Y$32,COLUMN(C$13),0)</f>
        <v>4</v>
      </c>
      <c r="C59" s="259">
        <f>VLOOKUP($F59,UpdateHashtag!$V$3:$Y$32,COLUMN(D$13),0)</f>
        <v>3</v>
      </c>
      <c r="D59" s="277">
        <f t="shared" si="4"/>
        <v>10</v>
      </c>
      <c r="E59" s="21"/>
      <c r="F59" s="261" t="str">
        <f>VLOOKUP(J59,UpdateBBM!$C$2:E1015,3,0)</f>
        <v>TOR</v>
      </c>
      <c r="G59" s="248">
        <v>40.0</v>
      </c>
      <c r="H59" s="278">
        <f>IFERROR(__xludf.DUMMYFUNCTION("""COMPUTED_VALUE"""),40.0)</f>
        <v>40</v>
      </c>
      <c r="I59" s="278">
        <f>IFERROR(__xludf.DUMMYFUNCTION("""COMPUTED_VALUE"""),53.8)</f>
        <v>53.8</v>
      </c>
      <c r="J59" s="279" t="str">
        <f>IFERROR(__xludf.DUMMYFUNCTION("""COMPUTED_VALUE"""),"Immanuel Quickley")</f>
        <v>Immanuel Quickley</v>
      </c>
      <c r="K59" s="278">
        <f>IFERROR(__xludf.DUMMYFUNCTION("""COMPUTED_VALUE"""),46.0)</f>
        <v>46</v>
      </c>
      <c r="L59" s="280" t="str">
        <f>IFERROR(__xludf.DUMMYFUNCTION("""COMPUTED_VALUE"""),"PG,SG")</f>
        <v>PG,SG</v>
      </c>
      <c r="M59" s="281">
        <f>IFERROR(__xludf.DUMMYFUNCTION("""COMPUTED_VALUE"""),2.002004754105327)</f>
        <v>2.002004754</v>
      </c>
      <c r="N59" s="281">
        <f>IFERROR(__xludf.DUMMYFUNCTION("""COMPUTED_VALUE"""),2.002004754105327)</f>
        <v>2.002004754</v>
      </c>
      <c r="O59" s="282">
        <f>IFERROR(__xludf.DUMMYFUNCTION("""COMPUTED_VALUE"""),0.0)</f>
        <v>0</v>
      </c>
      <c r="P59" s="283">
        <f>IFERROR(__xludf.DUMMYFUNCTION("""COMPUTED_VALUE"""),18.7)</f>
        <v>18.7</v>
      </c>
      <c r="Q59" s="283">
        <f>IFERROR(__xludf.DUMMYFUNCTION("""COMPUTED_VALUE"""),2.6)</f>
        <v>2.6</v>
      </c>
      <c r="R59" s="283">
        <f>IFERROR(__xludf.DUMMYFUNCTION("""COMPUTED_VALUE"""),4.6)</f>
        <v>4.6</v>
      </c>
      <c r="S59" s="284">
        <f>IFERROR(__xludf.DUMMYFUNCTION("""COMPUTED_VALUE"""),6.8)</f>
        <v>6.8</v>
      </c>
      <c r="T59" s="283">
        <f>IFERROR(__xludf.DUMMYFUNCTION("""COMPUTED_VALUE"""),1.1)</f>
        <v>1.1</v>
      </c>
      <c r="U59" s="283">
        <f>IFERROR(__xludf.DUMMYFUNCTION("""COMPUTED_VALUE"""),0.2)</f>
        <v>0.2</v>
      </c>
      <c r="V59" s="280">
        <f>IFERROR(__xludf.DUMMYFUNCTION("""COMPUTED_VALUE"""),0.44)</f>
        <v>0.44</v>
      </c>
      <c r="W59" s="280">
        <f>IFERROR(__xludf.DUMMYFUNCTION("""COMPUTED_VALUE"""),0.849)</f>
        <v>0.849</v>
      </c>
      <c r="X59" s="280">
        <f>IFERROR(__xludf.DUMMYFUNCTION("""COMPUTED_VALUE"""),1.6)</f>
        <v>1.6</v>
      </c>
      <c r="Y59" s="283">
        <f>IFERROR(__xludf.DUMMYFUNCTION("""COMPUTED_VALUE"""),0.22275934606359118)</f>
        <v>0.2227593461</v>
      </c>
      <c r="Z59" s="281">
        <f>IFERROR(__xludf.DUMMYFUNCTION("""COMPUTED_VALUE"""),0.8469451937452375)</f>
        <v>0.8469451937</v>
      </c>
      <c r="AA59" s="281">
        <f>IFERROR(__xludf.DUMMYFUNCTION("""COMPUTED_VALUE"""),-0.5761860341403178)</f>
        <v>-0.5761860341</v>
      </c>
      <c r="AB59" s="281">
        <f>IFERROR(__xludf.DUMMYFUNCTION("""COMPUTED_VALUE"""),1.3049977289783117)</f>
        <v>1.304997729</v>
      </c>
      <c r="AC59" s="281">
        <f>IFERROR(__xludf.DUMMYFUNCTION("""COMPUTED_VALUE"""),0.41106894580015185)</f>
        <v>0.4110689458</v>
      </c>
      <c r="AD59" s="281">
        <f>IFERROR(__xludf.DUMMYFUNCTION("""COMPUTED_VALUE"""),-0.9723047469492465)</f>
        <v>-0.9723047469</v>
      </c>
      <c r="AE59" s="281">
        <f>IFERROR(__xludf.DUMMYFUNCTION("""COMPUTED_VALUE"""),-0.9799658477543457)</f>
        <v>-0.9799658478</v>
      </c>
      <c r="AF59" s="281">
        <f>IFERROR(__xludf.DUMMYFUNCTION("""COMPUTED_VALUE"""),0.7278576432399655)</f>
        <v>0.7278576432</v>
      </c>
      <c r="AG59" s="281">
        <f>IFERROR(__xludf.DUMMYFUNCTION("""COMPUTED_VALUE"""),0.036866677367633396)</f>
        <v>0.03686667737</v>
      </c>
      <c r="AH59" s="285"/>
      <c r="AI59" s="273"/>
      <c r="AJ59" s="340"/>
      <c r="AK59" s="341"/>
      <c r="AL59" s="273"/>
      <c r="AM59" s="273"/>
      <c r="AN59" s="273"/>
      <c r="AO59" s="273"/>
      <c r="AP59" s="273"/>
      <c r="AQ59" s="273"/>
      <c r="AR59" s="273"/>
      <c r="AS59" s="273"/>
      <c r="AT59" s="273"/>
      <c r="AU59" s="273"/>
      <c r="AV59" s="273"/>
      <c r="AW59" s="273"/>
      <c r="AX59" s="273"/>
      <c r="AY59" s="273"/>
      <c r="AZ59" s="273"/>
      <c r="BA59" s="273"/>
      <c r="BB59" s="273"/>
      <c r="BC59" s="273"/>
      <c r="BD59" s="273"/>
      <c r="BE59" s="273"/>
      <c r="BF59" s="273"/>
      <c r="BG59" s="273"/>
      <c r="BH59" s="273"/>
      <c r="BI59" s="273"/>
      <c r="BJ59" s="273"/>
      <c r="BK59" s="273"/>
      <c r="BL59" s="273"/>
      <c r="BM59" s="273"/>
      <c r="BN59" s="273"/>
      <c r="BO59" s="273"/>
      <c r="BP59" s="273"/>
      <c r="BQ59" s="273"/>
      <c r="BR59" s="273"/>
      <c r="BS59" s="273"/>
      <c r="BT59" s="273"/>
      <c r="BU59" s="273"/>
      <c r="BV59" s="273"/>
      <c r="BW59" s="273"/>
    </row>
    <row r="60">
      <c r="A60" s="276">
        <f>VLOOKUP($F60,UpdateHashtag!$V$3:$Y$32,COLUMN(B$15),0)</f>
        <v>4</v>
      </c>
      <c r="B60" s="259">
        <f>VLOOKUP($F60,UpdateHashtag!$V$3:$Y$32,COLUMN(C$13),0)</f>
        <v>3</v>
      </c>
      <c r="C60" s="259">
        <f>VLOOKUP($F60,UpdateHashtag!$V$3:$Y$32,COLUMN(D$13),0)</f>
        <v>4</v>
      </c>
      <c r="D60" s="277">
        <f t="shared" si="4"/>
        <v>11</v>
      </c>
      <c r="E60" s="21"/>
      <c r="F60" s="261" t="str">
        <f>VLOOKUP(J60,UpdateBBM!$C$2:E1015,3,0)</f>
        <v>CLE</v>
      </c>
      <c r="G60" s="248">
        <v>41.0</v>
      </c>
      <c r="H60" s="278">
        <f>IFERROR(__xludf.DUMMYFUNCTION("""COMPUTED_VALUE"""),41.0)</f>
        <v>41</v>
      </c>
      <c r="I60" s="278">
        <f>IFERROR(__xludf.DUMMYFUNCTION("""COMPUTED_VALUE"""),39.0)</f>
        <v>39</v>
      </c>
      <c r="J60" s="279" t="str">
        <f>IFERROR(__xludf.DUMMYFUNCTION("""COMPUTED_VALUE"""),"Evan Mobley")</f>
        <v>Evan Mobley</v>
      </c>
      <c r="K60" s="278">
        <f>IFERROR(__xludf.DUMMYFUNCTION("""COMPUTED_VALUE"""),64.0)</f>
        <v>64</v>
      </c>
      <c r="L60" s="280" t="str">
        <f>IFERROR(__xludf.DUMMYFUNCTION("""COMPUTED_VALUE"""),"PF,C")</f>
        <v>PF,C</v>
      </c>
      <c r="M60" s="281">
        <f>IFERROR(__xludf.DUMMYFUNCTION("""COMPUTED_VALUE"""),1.9569098276328871)</f>
        <v>1.956909828</v>
      </c>
      <c r="N60" s="281">
        <f>IFERROR(__xludf.DUMMYFUNCTION("""COMPUTED_VALUE"""),1.9569098276328871)</f>
        <v>1.956909828</v>
      </c>
      <c r="O60" s="282">
        <f>IFERROR(__xludf.DUMMYFUNCTION("""COMPUTED_VALUE"""),0.0)</f>
        <v>0</v>
      </c>
      <c r="P60" s="283">
        <f>IFERROR(__xludf.DUMMYFUNCTION("""COMPUTED_VALUE"""),16.1)</f>
        <v>16.1</v>
      </c>
      <c r="Q60" s="283">
        <f>IFERROR(__xludf.DUMMYFUNCTION("""COMPUTED_VALUE"""),0.4)</f>
        <v>0.4</v>
      </c>
      <c r="R60" s="283">
        <f>IFERROR(__xludf.DUMMYFUNCTION("""COMPUTED_VALUE"""),9.2)</f>
        <v>9.2</v>
      </c>
      <c r="S60" s="284">
        <f>IFERROR(__xludf.DUMMYFUNCTION("""COMPUTED_VALUE"""),3.4)</f>
        <v>3.4</v>
      </c>
      <c r="T60" s="283">
        <f>IFERROR(__xludf.DUMMYFUNCTION("""COMPUTED_VALUE"""),0.9)</f>
        <v>0.9</v>
      </c>
      <c r="U60" s="283">
        <f>IFERROR(__xludf.DUMMYFUNCTION("""COMPUTED_VALUE"""),1.5)</f>
        <v>1.5</v>
      </c>
      <c r="V60" s="280">
        <f>IFERROR(__xludf.DUMMYFUNCTION("""COMPUTED_VALUE"""),0.573)</f>
        <v>0.573</v>
      </c>
      <c r="W60" s="280">
        <f>IFERROR(__xludf.DUMMYFUNCTION("""COMPUTED_VALUE"""),0.726)</f>
        <v>0.726</v>
      </c>
      <c r="X60" s="280">
        <f>IFERROR(__xludf.DUMMYFUNCTION("""COMPUTED_VALUE"""),1.8)</f>
        <v>1.8</v>
      </c>
      <c r="Y60" s="283">
        <f>IFERROR(__xludf.DUMMYFUNCTION("""COMPUTED_VALUE"""),-0.24692550498133056)</f>
        <v>-0.246925505</v>
      </c>
      <c r="Z60" s="281">
        <f>IFERROR(__xludf.DUMMYFUNCTION("""COMPUTED_VALUE"""),-1.3425893849486756)</f>
        <v>-1.342589385</v>
      </c>
      <c r="AA60" s="281">
        <f>IFERROR(__xludf.DUMMYFUNCTION("""COMPUTED_VALUE"""),1.2282270376084)</f>
        <v>1.228227038</v>
      </c>
      <c r="AB60" s="281">
        <f>IFERROR(__xludf.DUMMYFUNCTION("""COMPUTED_VALUE"""),-0.2441024653742086)</f>
        <v>-0.2441024654</v>
      </c>
      <c r="AC60" s="281">
        <f>IFERROR(__xludf.DUMMYFUNCTION("""COMPUTED_VALUE"""),-0.25279641051880714)</f>
        <v>-0.2527964105</v>
      </c>
      <c r="AD60" s="281">
        <f>IFERROR(__xludf.DUMMYFUNCTION("""COMPUTED_VALUE"""),1.346813379735286)</f>
        <v>1.34681338</v>
      </c>
      <c r="AE60" s="281">
        <f>IFERROR(__xludf.DUMMYFUNCTION("""COMPUTED_VALUE"""),1.0170142713517292)</f>
        <v>1.017014271</v>
      </c>
      <c r="AF60" s="281">
        <f>IFERROR(__xludf.DUMMYFUNCTION("""COMPUTED_VALUE"""),-0.8785907306038417)</f>
        <v>-0.8785907306</v>
      </c>
      <c r="AG60" s="281">
        <f>IFERROR(__xludf.DUMMYFUNCTION("""COMPUTED_VALUE"""),-0.012729749584339901)</f>
        <v>-0.01272974958</v>
      </c>
      <c r="AH60" s="285"/>
      <c r="AI60" s="273"/>
      <c r="AJ60" s="340"/>
      <c r="AK60" s="341"/>
      <c r="AL60" s="273"/>
      <c r="AM60" s="273"/>
      <c r="AN60" s="273"/>
      <c r="AO60" s="273"/>
      <c r="AP60" s="273"/>
      <c r="AQ60" s="273"/>
      <c r="AR60" s="273"/>
      <c r="AS60" s="273"/>
      <c r="AT60" s="273"/>
      <c r="AU60" s="273"/>
      <c r="AV60" s="273"/>
      <c r="AW60" s="273"/>
      <c r="AX60" s="273"/>
      <c r="AY60" s="273"/>
      <c r="AZ60" s="273"/>
      <c r="BA60" s="273"/>
      <c r="BB60" s="273"/>
      <c r="BC60" s="273"/>
      <c r="BD60" s="273"/>
      <c r="BE60" s="273"/>
      <c r="BF60" s="273"/>
      <c r="BG60" s="273"/>
      <c r="BH60" s="273"/>
      <c r="BI60" s="273"/>
      <c r="BJ60" s="273"/>
      <c r="BK60" s="273"/>
      <c r="BL60" s="273"/>
      <c r="BM60" s="273"/>
      <c r="BN60" s="273"/>
      <c r="BO60" s="273"/>
      <c r="BP60" s="273"/>
      <c r="BQ60" s="273"/>
      <c r="BR60" s="273"/>
      <c r="BS60" s="273"/>
      <c r="BT60" s="273"/>
      <c r="BU60" s="273"/>
      <c r="BV60" s="273"/>
      <c r="BW60" s="273"/>
    </row>
    <row r="61">
      <c r="A61" s="276">
        <f>VLOOKUP($F61,UpdateHashtag!$V$3:$Y$32,COLUMN(B$15),0)</f>
        <v>4</v>
      </c>
      <c r="B61" s="259">
        <f>VLOOKUP($F61,UpdateHashtag!$V$3:$Y$32,COLUMN(C$13),0)</f>
        <v>4</v>
      </c>
      <c r="C61" s="259">
        <f>VLOOKUP($F61,UpdateHashtag!$V$3:$Y$32,COLUMN(D$13),0)</f>
        <v>3</v>
      </c>
      <c r="D61" s="277">
        <f t="shared" si="4"/>
        <v>11</v>
      </c>
      <c r="E61" s="21"/>
      <c r="F61" s="261" t="str">
        <f>VLOOKUP(J61,UpdateBBM!$C$2:E1015,3,0)</f>
        <v>MEM</v>
      </c>
      <c r="G61" s="248">
        <v>42.0</v>
      </c>
      <c r="H61" s="278">
        <f>IFERROR(__xludf.DUMMYFUNCTION("""COMPUTED_VALUE"""),42.0)</f>
        <v>42</v>
      </c>
      <c r="I61" s="278">
        <f>IFERROR(__xludf.DUMMYFUNCTION("""COMPUTED_VALUE"""),35.2)</f>
        <v>35.2</v>
      </c>
      <c r="J61" s="279" t="str">
        <f>IFERROR(__xludf.DUMMYFUNCTION("""COMPUTED_VALUE"""),"Ja Morant")</f>
        <v>Ja Morant</v>
      </c>
      <c r="K61" s="278">
        <f>IFERROR(__xludf.DUMMYFUNCTION("""COMPUTED_VALUE"""),64.0)</f>
        <v>64</v>
      </c>
      <c r="L61" s="280" t="str">
        <f>IFERROR(__xludf.DUMMYFUNCTION("""COMPUTED_VALUE"""),"PG")</f>
        <v>PG</v>
      </c>
      <c r="M61" s="281">
        <f>IFERROR(__xludf.DUMMYFUNCTION("""COMPUTED_VALUE"""),1.9527398468352886)</f>
        <v>1.952739847</v>
      </c>
      <c r="N61" s="281">
        <f>IFERROR(__xludf.DUMMYFUNCTION("""COMPUTED_VALUE"""),1.9527398468352886)</f>
        <v>1.952739847</v>
      </c>
      <c r="O61" s="282">
        <f>IFERROR(__xludf.DUMMYFUNCTION("""COMPUTED_VALUE"""),0.0)</f>
        <v>0</v>
      </c>
      <c r="P61" s="283">
        <f>IFERROR(__xludf.DUMMYFUNCTION("""COMPUTED_VALUE"""),25.8)</f>
        <v>25.8</v>
      </c>
      <c r="Q61" s="283">
        <f>IFERROR(__xludf.DUMMYFUNCTION("""COMPUTED_VALUE"""),1.5)</f>
        <v>1.5</v>
      </c>
      <c r="R61" s="283">
        <f>IFERROR(__xludf.DUMMYFUNCTION("""COMPUTED_VALUE"""),5.9)</f>
        <v>5.9</v>
      </c>
      <c r="S61" s="284">
        <f>IFERROR(__xludf.DUMMYFUNCTION("""COMPUTED_VALUE"""),8.2)</f>
        <v>8.2</v>
      </c>
      <c r="T61" s="283">
        <f>IFERROR(__xludf.DUMMYFUNCTION("""COMPUTED_VALUE"""),0.9)</f>
        <v>0.9</v>
      </c>
      <c r="U61" s="283">
        <f>IFERROR(__xludf.DUMMYFUNCTION("""COMPUTED_VALUE"""),0.5)</f>
        <v>0.5</v>
      </c>
      <c r="V61" s="280">
        <f>IFERROR(__xludf.DUMMYFUNCTION("""COMPUTED_VALUE"""),0.47)</f>
        <v>0.47</v>
      </c>
      <c r="W61" s="280">
        <f>IFERROR(__xludf.DUMMYFUNCTION("""COMPUTED_VALUE"""),0.788)</f>
        <v>0.788</v>
      </c>
      <c r="X61" s="280">
        <f>IFERROR(__xludf.DUMMYFUNCTION("""COMPUTED_VALUE"""),3.0)</f>
        <v>3</v>
      </c>
      <c r="Y61" s="283">
        <f>IFERROR(__xludf.DUMMYFUNCTION("""COMPUTED_VALUE"""),1.5053602854554942)</f>
        <v>1.505360285</v>
      </c>
      <c r="Z61" s="281">
        <f>IFERROR(__xludf.DUMMYFUNCTION("""COMPUTED_VALUE"""),-0.24782209560171908)</f>
        <v>-0.2478220956</v>
      </c>
      <c r="AA61" s="281">
        <f>IFERROR(__xludf.DUMMYFUNCTION("""COMPUTED_VALUE"""),-0.06624320951567987)</f>
        <v>-0.06624320952</v>
      </c>
      <c r="AB61" s="281">
        <f>IFERROR(__xludf.DUMMYFUNCTION("""COMPUTED_VALUE"""),1.9428625148881729)</f>
        <v>1.942862515</v>
      </c>
      <c r="AC61" s="281">
        <f>IFERROR(__xludf.DUMMYFUNCTION("""COMPUTED_VALUE"""),-0.25279641051880714)</f>
        <v>-0.2527964105</v>
      </c>
      <c r="AD61" s="281">
        <f>IFERROR(__xludf.DUMMYFUNCTION("""COMPUTED_VALUE"""),-0.4371236407912776)</f>
        <v>-0.4371236408</v>
      </c>
      <c r="AE61" s="281">
        <f>IFERROR(__xludf.DUMMYFUNCTION("""COMPUTED_VALUE"""),-0.617484592856739)</f>
        <v>-0.6174845929</v>
      </c>
      <c r="AF61" s="281">
        <f>IFERROR(__xludf.DUMMYFUNCTION("""COMPUTED_VALUE"""),-0.18118928578471516)</f>
        <v>-0.1811892858</v>
      </c>
      <c r="AG61" s="281">
        <f>IFERROR(__xludf.DUMMYFUNCTION("""COMPUTED_VALUE"""),-0.31030831129617975)</f>
        <v>-0.3103083113</v>
      </c>
      <c r="AH61" s="285"/>
      <c r="AI61" s="273"/>
      <c r="AJ61" s="340"/>
      <c r="AK61" s="341"/>
      <c r="AL61" s="273"/>
      <c r="AM61" s="273"/>
      <c r="AN61" s="273"/>
      <c r="AO61" s="273"/>
      <c r="AP61" s="273"/>
      <c r="AQ61" s="273"/>
      <c r="AR61" s="273"/>
      <c r="AS61" s="273"/>
      <c r="AT61" s="273"/>
      <c r="AU61" s="273"/>
      <c r="AV61" s="273"/>
      <c r="AW61" s="273"/>
      <c r="AX61" s="273"/>
      <c r="AY61" s="273"/>
      <c r="AZ61" s="273"/>
      <c r="BA61" s="273"/>
      <c r="BB61" s="273"/>
      <c r="BC61" s="273"/>
      <c r="BD61" s="273"/>
      <c r="BE61" s="273"/>
      <c r="BF61" s="273"/>
      <c r="BG61" s="273"/>
      <c r="BH61" s="273"/>
      <c r="BI61" s="273"/>
      <c r="BJ61" s="273"/>
      <c r="BK61" s="273"/>
      <c r="BL61" s="273"/>
      <c r="BM61" s="273"/>
      <c r="BN61" s="273"/>
      <c r="BO61" s="273"/>
      <c r="BP61" s="273"/>
      <c r="BQ61" s="273"/>
      <c r="BR61" s="273"/>
      <c r="BS61" s="273"/>
      <c r="BT61" s="273"/>
      <c r="BU61" s="273"/>
      <c r="BV61" s="273"/>
      <c r="BW61" s="273"/>
    </row>
    <row r="62">
      <c r="A62" s="276">
        <f>VLOOKUP($F62,UpdateHashtag!$V$3:$Y$32,COLUMN(B$15),0)</f>
        <v>2</v>
      </c>
      <c r="B62" s="259">
        <f>VLOOKUP($F62,UpdateHashtag!$V$3:$Y$32,COLUMN(C$13),0)</f>
        <v>4</v>
      </c>
      <c r="C62" s="259">
        <f>VLOOKUP($F62,UpdateHashtag!$V$3:$Y$32,COLUMN(D$13),0)</f>
        <v>3</v>
      </c>
      <c r="D62" s="277">
        <f t="shared" si="4"/>
        <v>9</v>
      </c>
      <c r="E62" s="21"/>
      <c r="F62" s="261" t="str">
        <f>VLOOKUP(J62,UpdateBBM!$C$2:E1015,3,0)</f>
        <v>ORL</v>
      </c>
      <c r="G62" s="248">
        <v>43.0</v>
      </c>
      <c r="H62" s="278">
        <f>IFERROR(__xludf.DUMMYFUNCTION("""COMPUTED_VALUE"""),43.0)</f>
        <v>43</v>
      </c>
      <c r="I62" s="278">
        <f>IFERROR(__xludf.DUMMYFUNCTION("""COMPUTED_VALUE"""),44.1)</f>
        <v>44.1</v>
      </c>
      <c r="J62" s="279" t="str">
        <f>IFERROR(__xludf.DUMMYFUNCTION("""COMPUTED_VALUE"""),"Desmond Bane")</f>
        <v>Desmond Bane</v>
      </c>
      <c r="K62" s="278">
        <f>IFERROR(__xludf.DUMMYFUNCTION("""COMPUTED_VALUE"""),71.0)</f>
        <v>71</v>
      </c>
      <c r="L62" s="280" t="str">
        <f>IFERROR(__xludf.DUMMYFUNCTION("""COMPUTED_VALUE"""),"SG,SF")</f>
        <v>SG,SF</v>
      </c>
      <c r="M62" s="281">
        <f>IFERROR(__xludf.DUMMYFUNCTION("""COMPUTED_VALUE"""),1.9337704253555552)</f>
        <v>1.933770425</v>
      </c>
      <c r="N62" s="281">
        <f>IFERROR(__xludf.DUMMYFUNCTION("""COMPUTED_VALUE"""),1.9337704253555552)</f>
        <v>1.933770425</v>
      </c>
      <c r="O62" s="282">
        <f>IFERROR(__xludf.DUMMYFUNCTION("""COMPUTED_VALUE"""),0.0)</f>
        <v>0</v>
      </c>
      <c r="P62" s="283">
        <f>IFERROR(__xludf.DUMMYFUNCTION("""COMPUTED_VALUE"""),21.4)</f>
        <v>21.4</v>
      </c>
      <c r="Q62" s="283">
        <f>IFERROR(__xludf.DUMMYFUNCTION("""COMPUTED_VALUE"""),2.9)</f>
        <v>2.9</v>
      </c>
      <c r="R62" s="283">
        <f>IFERROR(__xludf.DUMMYFUNCTION("""COMPUTED_VALUE"""),4.5)</f>
        <v>4.5</v>
      </c>
      <c r="S62" s="284">
        <f>IFERROR(__xludf.DUMMYFUNCTION("""COMPUTED_VALUE"""),4.4)</f>
        <v>4.4</v>
      </c>
      <c r="T62" s="283">
        <f>IFERROR(__xludf.DUMMYFUNCTION("""COMPUTED_VALUE"""),1.0)</f>
        <v>1</v>
      </c>
      <c r="U62" s="283">
        <f>IFERROR(__xludf.DUMMYFUNCTION("""COMPUTED_VALUE"""),0.4)</f>
        <v>0.4</v>
      </c>
      <c r="V62" s="280">
        <f>IFERROR(__xludf.DUMMYFUNCTION("""COMPUTED_VALUE"""),0.472)</f>
        <v>0.472</v>
      </c>
      <c r="W62" s="280">
        <f>IFERROR(__xludf.DUMMYFUNCTION("""COMPUTED_VALUE"""),0.877)</f>
        <v>0.877</v>
      </c>
      <c r="X62" s="280">
        <f>IFERROR(__xludf.DUMMYFUNCTION("""COMPUTED_VALUE"""),2.3)</f>
        <v>2.3</v>
      </c>
      <c r="Y62" s="283">
        <f>IFERROR(__xludf.DUMMYFUNCTION("""COMPUTED_VALUE"""),0.7105089990717794)</f>
        <v>0.7105089991</v>
      </c>
      <c r="Z62" s="281">
        <f>IFERROR(__xludf.DUMMYFUNCTION("""COMPUTED_VALUE"""),1.145518090839862)</f>
        <v>1.145518091</v>
      </c>
      <c r="AA62" s="281">
        <f>IFERROR(__xludf.DUMMYFUNCTION("""COMPUTED_VALUE"""),-0.6154124052652897)</f>
        <v>-0.6154124053</v>
      </c>
      <c r="AB62" s="281">
        <f>IFERROR(__xludf.DUMMYFUNCTION("""COMPUTED_VALUE"""),0.2115152388471211)</f>
        <v>0.2115152388</v>
      </c>
      <c r="AC62" s="281">
        <f>IFERROR(__xludf.DUMMYFUNCTION("""COMPUTED_VALUE"""),0.07913626764067216)</f>
        <v>0.07913626764</v>
      </c>
      <c r="AD62" s="281">
        <f>IFERROR(__xludf.DUMMYFUNCTION("""COMPUTED_VALUE"""),-0.6155173428439339)</f>
        <v>-0.6155173428</v>
      </c>
      <c r="AE62" s="281">
        <f>IFERROR(__xludf.DUMMYFUNCTION("""COMPUTED_VALUE"""),-0.47822915179607683)</f>
        <v>-0.4782291518</v>
      </c>
      <c r="AF62" s="281">
        <f>IFERROR(__xludf.DUMMYFUNCTION("""COMPUTED_VALUE"""),1.0174542029817606)</f>
        <v>1.017454203</v>
      </c>
      <c r="AG62" s="281">
        <f>IFERROR(__xludf.DUMMYFUNCTION("""COMPUTED_VALUE"""),-0.13672081696427313)</f>
        <v>-0.136720817</v>
      </c>
      <c r="AH62" s="285"/>
      <c r="AI62" s="273"/>
      <c r="AJ62" s="340"/>
      <c r="AK62" s="341"/>
      <c r="AL62" s="273"/>
      <c r="AM62" s="273"/>
      <c r="AN62" s="273"/>
      <c r="AO62" s="273"/>
      <c r="AP62" s="273"/>
      <c r="AQ62" s="273"/>
      <c r="AR62" s="273"/>
      <c r="AS62" s="273"/>
      <c r="AT62" s="273"/>
      <c r="AU62" s="273"/>
      <c r="AV62" s="273"/>
      <c r="AW62" s="273"/>
      <c r="AX62" s="273"/>
      <c r="AY62" s="273"/>
      <c r="AZ62" s="273"/>
      <c r="BA62" s="273"/>
      <c r="BB62" s="273"/>
      <c r="BC62" s="273"/>
      <c r="BD62" s="273"/>
      <c r="BE62" s="273"/>
      <c r="BF62" s="273"/>
      <c r="BG62" s="273"/>
      <c r="BH62" s="273"/>
      <c r="BI62" s="273"/>
      <c r="BJ62" s="273"/>
      <c r="BK62" s="273"/>
      <c r="BL62" s="273"/>
      <c r="BM62" s="273"/>
      <c r="BN62" s="273"/>
      <c r="BO62" s="273"/>
      <c r="BP62" s="273"/>
      <c r="BQ62" s="273"/>
      <c r="BR62" s="273"/>
      <c r="BS62" s="273"/>
      <c r="BT62" s="273"/>
      <c r="BU62" s="273"/>
      <c r="BV62" s="273"/>
      <c r="BW62" s="273"/>
    </row>
    <row r="63">
      <c r="A63" s="276">
        <f>VLOOKUP($F63,UpdateHashtag!$V$3:$Y$32,COLUMN(B$15),0)</f>
        <v>3</v>
      </c>
      <c r="B63" s="259">
        <f>VLOOKUP($F63,UpdateHashtag!$V$3:$Y$32,COLUMN(C$13),0)</f>
        <v>4</v>
      </c>
      <c r="C63" s="259">
        <f>VLOOKUP($F63,UpdateHashtag!$V$3:$Y$32,COLUMN(D$13),0)</f>
        <v>3</v>
      </c>
      <c r="D63" s="277">
        <f t="shared" si="4"/>
        <v>10</v>
      </c>
      <c r="E63" s="21"/>
      <c r="F63" s="261" t="str">
        <f>VLOOKUP(J63,UpdateBBM!$C$2:E1015,3,0)</f>
        <v>BOS</v>
      </c>
      <c r="G63" s="248">
        <v>44.0</v>
      </c>
      <c r="H63" s="278">
        <f>IFERROR(__xludf.DUMMYFUNCTION("""COMPUTED_VALUE"""),44.0)</f>
        <v>44</v>
      </c>
      <c r="I63" s="278">
        <f>IFERROR(__xludf.DUMMYFUNCTION("""COMPUTED_VALUE"""),48.4)</f>
        <v>48.4</v>
      </c>
      <c r="J63" s="279" t="str">
        <f>IFERROR(__xludf.DUMMYFUNCTION("""COMPUTED_VALUE"""),"Derrick White")</f>
        <v>Derrick White</v>
      </c>
      <c r="K63" s="278">
        <f>IFERROR(__xludf.DUMMYFUNCTION("""COMPUTED_VALUE"""),60.0)</f>
        <v>60</v>
      </c>
      <c r="L63" s="280" t="str">
        <f>IFERROR(__xludf.DUMMYFUNCTION("""COMPUTED_VALUE"""),"PG,SG")</f>
        <v>PG,SG</v>
      </c>
      <c r="M63" s="281">
        <f>IFERROR(__xludf.DUMMYFUNCTION("""COMPUTED_VALUE"""),1.9127706800117394)</f>
        <v>1.91277068</v>
      </c>
      <c r="N63" s="281">
        <f>IFERROR(__xludf.DUMMYFUNCTION("""COMPUTED_VALUE"""),1.9127706800117394)</f>
        <v>1.91277068</v>
      </c>
      <c r="O63" s="282">
        <f>IFERROR(__xludf.DUMMYFUNCTION("""COMPUTED_VALUE"""),0.0)</f>
        <v>0</v>
      </c>
      <c r="P63" s="283">
        <f>IFERROR(__xludf.DUMMYFUNCTION("""COMPUTED_VALUE"""),15.2)</f>
        <v>15.2</v>
      </c>
      <c r="Q63" s="283">
        <f>IFERROR(__xludf.DUMMYFUNCTION("""COMPUTED_VALUE"""),2.7)</f>
        <v>2.7</v>
      </c>
      <c r="R63" s="283">
        <f>IFERROR(__xludf.DUMMYFUNCTION("""COMPUTED_VALUE"""),4.3)</f>
        <v>4.3</v>
      </c>
      <c r="S63" s="284">
        <f>IFERROR(__xludf.DUMMYFUNCTION("""COMPUTED_VALUE"""),4.9)</f>
        <v>4.9</v>
      </c>
      <c r="T63" s="283">
        <f>IFERROR(__xludf.DUMMYFUNCTION("""COMPUTED_VALUE"""),0.9)</f>
        <v>0.9</v>
      </c>
      <c r="U63" s="283">
        <f>IFERROR(__xludf.DUMMYFUNCTION("""COMPUTED_VALUE"""),1.2)</f>
        <v>1.2</v>
      </c>
      <c r="V63" s="280">
        <f>IFERROR(__xludf.DUMMYFUNCTION("""COMPUTED_VALUE"""),0.461)</f>
        <v>0.461</v>
      </c>
      <c r="W63" s="280">
        <f>IFERROR(__xludf.DUMMYFUNCTION("""COMPUTED_VALUE"""),0.888)</f>
        <v>0.888</v>
      </c>
      <c r="X63" s="280">
        <f>IFERROR(__xludf.DUMMYFUNCTION("""COMPUTED_VALUE"""),1.5)</f>
        <v>1.5</v>
      </c>
      <c r="Y63" s="283">
        <f>IFERROR(__xludf.DUMMYFUNCTION("""COMPUTED_VALUE"""),-0.4095087226507271)</f>
        <v>-0.4095087227</v>
      </c>
      <c r="Z63" s="281">
        <f>IFERROR(__xludf.DUMMYFUNCTION("""COMPUTED_VALUE"""),0.946469492776779)</f>
        <v>0.9464694928</v>
      </c>
      <c r="AA63" s="281">
        <f>IFERROR(__xludf.DUMMYFUNCTION("""COMPUTED_VALUE"""),-0.6938651475152341)</f>
        <v>-0.6938651475</v>
      </c>
      <c r="AB63" s="281">
        <f>IFERROR(__xludf.DUMMYFUNCTION("""COMPUTED_VALUE"""),0.43932409095778585)</f>
        <v>0.439324091</v>
      </c>
      <c r="AC63" s="281">
        <f>IFERROR(__xludf.DUMMYFUNCTION("""COMPUTED_VALUE"""),-0.25279641051880714)</f>
        <v>-0.2527964105</v>
      </c>
      <c r="AD63" s="281">
        <f>IFERROR(__xludf.DUMMYFUNCTION("""COMPUTED_VALUE"""),0.8116322735773168)</f>
        <v>0.8116322736</v>
      </c>
      <c r="AE63" s="281">
        <f>IFERROR(__xludf.DUMMYFUNCTION("""COMPUTED_VALUE"""),-0.475191263334002)</f>
        <v>-0.4751912633</v>
      </c>
      <c r="AF63" s="281">
        <f>IFERROR(__xludf.DUMMYFUNCTION("""COMPUTED_VALUE"""),0.7911763283597737)</f>
        <v>0.7911763284</v>
      </c>
      <c r="AG63" s="281">
        <f>IFERROR(__xludf.DUMMYFUNCTION("""COMPUTED_VALUE"""),0.06166489084362008)</f>
        <v>0.06166489084</v>
      </c>
      <c r="AH63" s="285"/>
      <c r="AI63" s="273"/>
      <c r="AJ63" s="340"/>
      <c r="AK63" s="341"/>
      <c r="AL63" s="273"/>
      <c r="AM63" s="273"/>
      <c r="AN63" s="273"/>
      <c r="AO63" s="273"/>
      <c r="AP63" s="273"/>
      <c r="AQ63" s="273"/>
      <c r="AR63" s="273"/>
      <c r="AS63" s="273"/>
      <c r="AT63" s="273"/>
      <c r="AU63" s="273"/>
      <c r="AV63" s="273"/>
      <c r="AW63" s="273"/>
      <c r="AX63" s="273"/>
      <c r="AY63" s="273"/>
      <c r="AZ63" s="273"/>
      <c r="BA63" s="273"/>
      <c r="BB63" s="273"/>
      <c r="BC63" s="273"/>
      <c r="BD63" s="273"/>
      <c r="BE63" s="273"/>
      <c r="BF63" s="273"/>
      <c r="BG63" s="273"/>
      <c r="BH63" s="273"/>
      <c r="BI63" s="273"/>
      <c r="BJ63" s="273"/>
      <c r="BK63" s="273"/>
      <c r="BL63" s="273"/>
      <c r="BM63" s="273"/>
      <c r="BN63" s="273"/>
      <c r="BO63" s="273"/>
      <c r="BP63" s="273"/>
      <c r="BQ63" s="273"/>
      <c r="BR63" s="273"/>
      <c r="BS63" s="273"/>
      <c r="BT63" s="273"/>
      <c r="BU63" s="273"/>
      <c r="BV63" s="273"/>
      <c r="BW63" s="273"/>
    </row>
    <row r="64">
      <c r="A64" s="276">
        <f>VLOOKUP($F64,UpdateHashtag!$V$3:$Y$32,COLUMN(B$15),0)</f>
        <v>4</v>
      </c>
      <c r="B64" s="259">
        <f>VLOOKUP($F64,UpdateHashtag!$V$3:$Y$32,COLUMN(C$13),0)</f>
        <v>3</v>
      </c>
      <c r="C64" s="259">
        <f>VLOOKUP($F64,UpdateHashtag!$V$3:$Y$32,COLUMN(D$13),0)</f>
        <v>4</v>
      </c>
      <c r="D64" s="277">
        <f t="shared" si="4"/>
        <v>11</v>
      </c>
      <c r="E64" s="21"/>
      <c r="F64" s="261" t="str">
        <f>VLOOKUP(J64,UpdateBBM!$C$2:E1015,3,0)</f>
        <v>SAC</v>
      </c>
      <c r="G64" s="248">
        <v>45.0</v>
      </c>
      <c r="H64" s="278">
        <f>IFERROR(__xludf.DUMMYFUNCTION("""COMPUTED_VALUE"""),45.0)</f>
        <v>45</v>
      </c>
      <c r="I64" s="278">
        <f>IFERROR(__xludf.DUMMYFUNCTION("""COMPUTED_VALUE"""),54.1)</f>
        <v>54.1</v>
      </c>
      <c r="J64" s="279" t="str">
        <f>IFERROR(__xludf.DUMMYFUNCTION("""COMPUTED_VALUE"""),"DeMar DeRozan")</f>
        <v>DeMar DeRozan</v>
      </c>
      <c r="K64" s="278">
        <f>IFERROR(__xludf.DUMMYFUNCTION("""COMPUTED_VALUE"""),66.0)</f>
        <v>66</v>
      </c>
      <c r="L64" s="280" t="str">
        <f>IFERROR(__xludf.DUMMYFUNCTION("""COMPUTED_VALUE"""),"SF,PF")</f>
        <v>SF,PF</v>
      </c>
      <c r="M64" s="281">
        <f>IFERROR(__xludf.DUMMYFUNCTION("""COMPUTED_VALUE"""),1.8306211388938802)</f>
        <v>1.830621139</v>
      </c>
      <c r="N64" s="281">
        <f>IFERROR(__xludf.DUMMYFUNCTION("""COMPUTED_VALUE"""),1.8306211388938802)</f>
        <v>1.830621139</v>
      </c>
      <c r="O64" s="282">
        <f>IFERROR(__xludf.DUMMYFUNCTION("""COMPUTED_VALUE"""),0.0)</f>
        <v>0</v>
      </c>
      <c r="P64" s="283">
        <f>IFERROR(__xludf.DUMMYFUNCTION("""COMPUTED_VALUE"""),22.1)</f>
        <v>22.1</v>
      </c>
      <c r="Q64" s="283">
        <f>IFERROR(__xludf.DUMMYFUNCTION("""COMPUTED_VALUE"""),1.1)</f>
        <v>1.1</v>
      </c>
      <c r="R64" s="283">
        <f>IFERROR(__xludf.DUMMYFUNCTION("""COMPUTED_VALUE"""),3.8)</f>
        <v>3.8</v>
      </c>
      <c r="S64" s="284">
        <f>IFERROR(__xludf.DUMMYFUNCTION("""COMPUTED_VALUE"""),3.9)</f>
        <v>3.9</v>
      </c>
      <c r="T64" s="283">
        <f>IFERROR(__xludf.DUMMYFUNCTION("""COMPUTED_VALUE"""),1.1)</f>
        <v>1.1</v>
      </c>
      <c r="U64" s="283">
        <f>IFERROR(__xludf.DUMMYFUNCTION("""COMPUTED_VALUE"""),0.6)</f>
        <v>0.6</v>
      </c>
      <c r="V64" s="280">
        <f>IFERROR(__xludf.DUMMYFUNCTION("""COMPUTED_VALUE"""),0.486)</f>
        <v>0.486</v>
      </c>
      <c r="W64" s="280">
        <f>IFERROR(__xludf.DUMMYFUNCTION("""COMPUTED_VALUE"""),0.863)</f>
        <v>0.863</v>
      </c>
      <c r="X64" s="280">
        <f>IFERROR(__xludf.DUMMYFUNCTION("""COMPUTED_VALUE"""),1.7)</f>
        <v>1.7</v>
      </c>
      <c r="Y64" s="283">
        <f>IFERROR(__xludf.DUMMYFUNCTION("""COMPUTED_VALUE"""),0.8369626128146436)</f>
        <v>0.8369626128</v>
      </c>
      <c r="Z64" s="281">
        <f>IFERROR(__xludf.DUMMYFUNCTION("""COMPUTED_VALUE"""),-0.645919291727885)</f>
        <v>-0.6459192917</v>
      </c>
      <c r="AA64" s="281">
        <f>IFERROR(__xludf.DUMMYFUNCTION("""COMPUTED_VALUE"""),-0.8899970031400947)</f>
        <v>-0.8899970031</v>
      </c>
      <c r="AB64" s="281">
        <f>IFERROR(__xludf.DUMMYFUNCTION("""COMPUTED_VALUE"""),-0.016293613263543852)</f>
        <v>-0.01629361326</v>
      </c>
      <c r="AC64" s="281">
        <f>IFERROR(__xludf.DUMMYFUNCTION("""COMPUTED_VALUE"""),0.41106894580015185)</f>
        <v>0.4110689458</v>
      </c>
      <c r="AD64" s="281">
        <f>IFERROR(__xludf.DUMMYFUNCTION("""COMPUTED_VALUE"""),-0.25872993873862127)</f>
        <v>-0.2587299387</v>
      </c>
      <c r="AE64" s="281">
        <f>IFERROR(__xludf.DUMMYFUNCTION("""COMPUTED_VALUE"""),-0.19638544058529345)</f>
        <v>-0.1963854406</v>
      </c>
      <c r="AF64" s="281">
        <f>IFERROR(__xludf.DUMMYFUNCTION("""COMPUTED_VALUE"""),1.6878494007027816)</f>
        <v>1.687849401</v>
      </c>
      <c r="AG64" s="281">
        <f>IFERROR(__xludf.DUMMYFUNCTION("""COMPUTED_VALUE"""),0.012068463891646777)</f>
        <v>0.01206846389</v>
      </c>
      <c r="AH64" s="285"/>
      <c r="AI64" s="273"/>
      <c r="AJ64" s="340"/>
      <c r="AK64" s="341"/>
      <c r="AL64" s="273"/>
      <c r="AM64" s="273"/>
      <c r="AN64" s="273"/>
      <c r="AO64" s="273"/>
      <c r="AP64" s="273"/>
      <c r="AQ64" s="273"/>
      <c r="AR64" s="273"/>
      <c r="AS64" s="273"/>
      <c r="AT64" s="273"/>
      <c r="AU64" s="273"/>
      <c r="AV64" s="273"/>
      <c r="AW64" s="273"/>
      <c r="AX64" s="273"/>
      <c r="AY64" s="273"/>
      <c r="AZ64" s="273"/>
      <c r="BA64" s="273"/>
      <c r="BB64" s="273"/>
      <c r="BC64" s="273"/>
      <c r="BD64" s="273"/>
      <c r="BE64" s="273"/>
      <c r="BF64" s="273"/>
      <c r="BG64" s="273"/>
      <c r="BH64" s="273"/>
      <c r="BI64" s="273"/>
      <c r="BJ64" s="273"/>
      <c r="BK64" s="273"/>
      <c r="BL64" s="273"/>
      <c r="BM64" s="273"/>
      <c r="BN64" s="273"/>
      <c r="BO64" s="273"/>
      <c r="BP64" s="273"/>
      <c r="BQ64" s="273"/>
      <c r="BR64" s="273"/>
      <c r="BS64" s="273"/>
      <c r="BT64" s="273"/>
      <c r="BU64" s="273"/>
      <c r="BV64" s="273"/>
      <c r="BW64" s="273"/>
    </row>
    <row r="65">
      <c r="A65" s="276">
        <f>VLOOKUP($F65,UpdateHashtag!$V$3:$Y$32,COLUMN(B$15),0)</f>
        <v>3</v>
      </c>
      <c r="B65" s="259">
        <f>VLOOKUP($F65,UpdateHashtag!$V$3:$Y$32,COLUMN(C$13),0)</f>
        <v>4</v>
      </c>
      <c r="C65" s="259">
        <f>VLOOKUP($F65,UpdateHashtag!$V$3:$Y$32,COLUMN(D$13),0)</f>
        <v>4</v>
      </c>
      <c r="D65" s="277">
        <f t="shared" si="4"/>
        <v>11</v>
      </c>
      <c r="E65" s="21"/>
      <c r="F65" s="261" t="str">
        <f>VLOOKUP(J65,UpdateBBM!$C$2:E1015,3,0)</f>
        <v>DEN</v>
      </c>
      <c r="G65" s="248">
        <v>46.0</v>
      </c>
      <c r="H65" s="278">
        <f>IFERROR(__xludf.DUMMYFUNCTION("""COMPUTED_VALUE"""),46.0)</f>
        <v>46</v>
      </c>
      <c r="I65" s="278">
        <f>IFERROR(__xludf.DUMMYFUNCTION("""COMPUTED_VALUE"""),52.7)</f>
        <v>52.7</v>
      </c>
      <c r="J65" s="279" t="str">
        <f>IFERROR(__xludf.DUMMYFUNCTION("""COMPUTED_VALUE"""),"Jamal Murray")</f>
        <v>Jamal Murray</v>
      </c>
      <c r="K65" s="278">
        <f>IFERROR(__xludf.DUMMYFUNCTION("""COMPUTED_VALUE"""),71.0)</f>
        <v>71</v>
      </c>
      <c r="L65" s="280" t="str">
        <f>IFERROR(__xludf.DUMMYFUNCTION("""COMPUTED_VALUE"""),"PG,SG")</f>
        <v>PG,SG</v>
      </c>
      <c r="M65" s="281">
        <f>IFERROR(__xludf.DUMMYFUNCTION("""COMPUTED_VALUE"""),1.7726770882562053)</f>
        <v>1.772677088</v>
      </c>
      <c r="N65" s="281">
        <f>IFERROR(__xludf.DUMMYFUNCTION("""COMPUTED_VALUE"""),1.7726770882562053)</f>
        <v>1.772677088</v>
      </c>
      <c r="O65" s="282">
        <f>IFERROR(__xludf.DUMMYFUNCTION("""COMPUTED_VALUE"""),0.0)</f>
        <v>0</v>
      </c>
      <c r="P65" s="283">
        <f>IFERROR(__xludf.DUMMYFUNCTION("""COMPUTED_VALUE"""),20.0)</f>
        <v>20</v>
      </c>
      <c r="Q65" s="283">
        <f>IFERROR(__xludf.DUMMYFUNCTION("""COMPUTED_VALUE"""),2.5)</f>
        <v>2.5</v>
      </c>
      <c r="R65" s="283">
        <f>IFERROR(__xludf.DUMMYFUNCTION("""COMPUTED_VALUE"""),3.9)</f>
        <v>3.9</v>
      </c>
      <c r="S65" s="284">
        <f>IFERROR(__xludf.DUMMYFUNCTION("""COMPUTED_VALUE"""),6.1)</f>
        <v>6.1</v>
      </c>
      <c r="T65" s="283">
        <f>IFERROR(__xludf.DUMMYFUNCTION("""COMPUTED_VALUE"""),1.0)</f>
        <v>1</v>
      </c>
      <c r="U65" s="283">
        <f>IFERROR(__xludf.DUMMYFUNCTION("""COMPUTED_VALUE"""),0.5)</f>
        <v>0.5</v>
      </c>
      <c r="V65" s="280">
        <f>IFERROR(__xludf.DUMMYFUNCTION("""COMPUTED_VALUE"""),0.471)</f>
        <v>0.471</v>
      </c>
      <c r="W65" s="280">
        <f>IFERROR(__xludf.DUMMYFUNCTION("""COMPUTED_VALUE"""),0.841)</f>
        <v>0.841</v>
      </c>
      <c r="X65" s="280">
        <f>IFERROR(__xludf.DUMMYFUNCTION("""COMPUTED_VALUE"""),2.1)</f>
        <v>2.1</v>
      </c>
      <c r="Y65" s="283">
        <f>IFERROR(__xludf.DUMMYFUNCTION("""COMPUTED_VALUE"""),0.45760177158605236)</f>
        <v>0.4576017716</v>
      </c>
      <c r="Z65" s="281">
        <f>IFERROR(__xludf.DUMMYFUNCTION("""COMPUTED_VALUE"""),0.7474208947136959)</f>
        <v>0.7474208947</v>
      </c>
      <c r="AA65" s="281">
        <f>IFERROR(__xludf.DUMMYFUNCTION("""COMPUTED_VALUE"""),-0.8507706320151226)</f>
        <v>-0.850770632</v>
      </c>
      <c r="AB65" s="281">
        <f>IFERROR(__xludf.DUMMYFUNCTION("""COMPUTED_VALUE"""),0.9860653360233809)</f>
        <v>0.986065336</v>
      </c>
      <c r="AC65" s="281">
        <f>IFERROR(__xludf.DUMMYFUNCTION("""COMPUTED_VALUE"""),0.07913626764067216)</f>
        <v>0.07913626764</v>
      </c>
      <c r="AD65" s="281">
        <f>IFERROR(__xludf.DUMMYFUNCTION("""COMPUTED_VALUE"""),-0.4371236407912776)</f>
        <v>-0.4371236408</v>
      </c>
      <c r="AE65" s="281">
        <f>IFERROR(__xludf.DUMMYFUNCTION("""COMPUTED_VALUE"""),-0.47925057775828667)</f>
        <v>-0.4792505778</v>
      </c>
      <c r="AF65" s="281">
        <f>IFERROR(__xludf.DUMMYFUNCTION("""COMPUTED_VALUE"""),0.505951426854268)</f>
        <v>0.5059514269</v>
      </c>
      <c r="AG65" s="281">
        <f>IFERROR(__xludf.DUMMYFUNCTION("""COMPUTED_VALUE"""),-0.08712439001229988)</f>
        <v>-0.08712439001</v>
      </c>
      <c r="AH65" s="285"/>
      <c r="AI65" s="273"/>
      <c r="AJ65" s="340"/>
      <c r="AK65" s="341"/>
      <c r="AL65" s="273"/>
      <c r="AM65" s="273"/>
      <c r="AN65" s="273"/>
      <c r="AO65" s="273"/>
      <c r="AP65" s="273"/>
      <c r="AQ65" s="273"/>
      <c r="AR65" s="273"/>
      <c r="AS65" s="273"/>
      <c r="AT65" s="273"/>
      <c r="AU65" s="273"/>
      <c r="AV65" s="273"/>
      <c r="AW65" s="273"/>
      <c r="AX65" s="273"/>
      <c r="AY65" s="273"/>
      <c r="AZ65" s="273"/>
      <c r="BA65" s="273"/>
      <c r="BB65" s="273"/>
      <c r="BC65" s="273"/>
      <c r="BD65" s="273"/>
      <c r="BE65" s="273"/>
      <c r="BF65" s="273"/>
      <c r="BG65" s="273"/>
      <c r="BH65" s="273"/>
      <c r="BI65" s="273"/>
      <c r="BJ65" s="273"/>
      <c r="BK65" s="273"/>
      <c r="BL65" s="273"/>
      <c r="BM65" s="273"/>
      <c r="BN65" s="273"/>
      <c r="BO65" s="273"/>
      <c r="BP65" s="273"/>
      <c r="BQ65" s="273"/>
      <c r="BR65" s="273"/>
      <c r="BS65" s="273"/>
      <c r="BT65" s="273"/>
      <c r="BU65" s="273"/>
      <c r="BV65" s="273"/>
      <c r="BW65" s="273"/>
    </row>
    <row r="66">
      <c r="A66" s="276">
        <f>VLOOKUP($F66,UpdateHashtag!$V$3:$Y$32,COLUMN(B$15),0)</f>
        <v>4</v>
      </c>
      <c r="B66" s="259">
        <f>VLOOKUP($F66,UpdateHashtag!$V$3:$Y$32,COLUMN(C$13),0)</f>
        <v>3</v>
      </c>
      <c r="C66" s="259">
        <f>VLOOKUP($F66,UpdateHashtag!$V$3:$Y$32,COLUMN(D$13),0)</f>
        <v>4</v>
      </c>
      <c r="D66" s="277">
        <f t="shared" si="4"/>
        <v>11</v>
      </c>
      <c r="E66" s="21"/>
      <c r="F66" s="261" t="str">
        <f>VLOOKUP(J66,UpdateBBM!$C$2:E1015,3,0)</f>
        <v>CLE</v>
      </c>
      <c r="G66" s="248">
        <v>47.0</v>
      </c>
      <c r="H66" s="278">
        <f>IFERROR(__xludf.DUMMYFUNCTION("""COMPUTED_VALUE"""),47.0)</f>
        <v>47</v>
      </c>
      <c r="I66" s="278">
        <f>IFERROR(__xludf.DUMMYFUNCTION("""COMPUTED_VALUE"""),62.6)</f>
        <v>62.6</v>
      </c>
      <c r="J66" s="279" t="str">
        <f>IFERROR(__xludf.DUMMYFUNCTION("""COMPUTED_VALUE"""),"Darius Garland")</f>
        <v>Darius Garland</v>
      </c>
      <c r="K66" s="278">
        <f>IFERROR(__xludf.DUMMYFUNCTION("""COMPUTED_VALUE"""),52.0)</f>
        <v>52</v>
      </c>
      <c r="L66" s="280" t="str">
        <f>IFERROR(__xludf.DUMMYFUNCTION("""COMPUTED_VALUE"""),"PG")</f>
        <v>PG</v>
      </c>
      <c r="M66" s="281">
        <f>IFERROR(__xludf.DUMMYFUNCTION("""COMPUTED_VALUE"""),1.5825764566259903)</f>
        <v>1.582576457</v>
      </c>
      <c r="N66" s="281">
        <f>IFERROR(__xludf.DUMMYFUNCTION("""COMPUTED_VALUE"""),1.5825764566259903)</f>
        <v>1.582576457</v>
      </c>
      <c r="O66" s="282">
        <f>IFERROR(__xludf.DUMMYFUNCTION("""COMPUTED_VALUE"""),0.0)</f>
        <v>0</v>
      </c>
      <c r="P66" s="283">
        <f>IFERROR(__xludf.DUMMYFUNCTION("""COMPUTED_VALUE"""),19.3)</f>
        <v>19.3</v>
      </c>
      <c r="Q66" s="283">
        <f>IFERROR(__xludf.DUMMYFUNCTION("""COMPUTED_VALUE"""),2.3)</f>
        <v>2.3</v>
      </c>
      <c r="R66" s="283">
        <f>IFERROR(__xludf.DUMMYFUNCTION("""COMPUTED_VALUE"""),2.6)</f>
        <v>2.6</v>
      </c>
      <c r="S66" s="284">
        <f>IFERROR(__xludf.DUMMYFUNCTION("""COMPUTED_VALUE"""),7.0)</f>
        <v>7</v>
      </c>
      <c r="T66" s="283">
        <f>IFERROR(__xludf.DUMMYFUNCTION("""COMPUTED_VALUE"""),1.2)</f>
        <v>1.2</v>
      </c>
      <c r="U66" s="283">
        <f>IFERROR(__xludf.DUMMYFUNCTION("""COMPUTED_VALUE"""),0.1)</f>
        <v>0.1</v>
      </c>
      <c r="V66" s="280">
        <f>IFERROR(__xludf.DUMMYFUNCTION("""COMPUTED_VALUE"""),0.455)</f>
        <v>0.455</v>
      </c>
      <c r="W66" s="280">
        <f>IFERROR(__xludf.DUMMYFUNCTION("""COMPUTED_VALUE"""),0.85)</f>
        <v>0.85</v>
      </c>
      <c r="X66" s="280">
        <f>IFERROR(__xludf.DUMMYFUNCTION("""COMPUTED_VALUE"""),2.9)</f>
        <v>2.9</v>
      </c>
      <c r="Y66" s="283">
        <f>IFERROR(__xludf.DUMMYFUNCTION("""COMPUTED_VALUE"""),0.33114815784318885)</f>
        <v>0.3311481578</v>
      </c>
      <c r="Z66" s="281">
        <f>IFERROR(__xludf.DUMMYFUNCTION("""COMPUTED_VALUE"""),0.5483722966506127)</f>
        <v>0.5483722967</v>
      </c>
      <c r="AA66" s="281">
        <f>IFERROR(__xludf.DUMMYFUNCTION("""COMPUTED_VALUE"""),-1.36071345663976)</f>
        <v>-1.360713457</v>
      </c>
      <c r="AB66" s="281">
        <f>IFERROR(__xludf.DUMMYFUNCTION("""COMPUTED_VALUE"""),1.3961212698225776)</f>
        <v>1.39612127</v>
      </c>
      <c r="AC66" s="281">
        <f>IFERROR(__xludf.DUMMYFUNCTION("""COMPUTED_VALUE"""),0.7430016239596308)</f>
        <v>0.743001624</v>
      </c>
      <c r="AD66" s="281">
        <f>IFERROR(__xludf.DUMMYFUNCTION("""COMPUTED_VALUE"""),-1.150698449001903)</f>
        <v>-1.150698449</v>
      </c>
      <c r="AE66" s="281">
        <f>IFERROR(__xludf.DUMMYFUNCTION("""COMPUTED_VALUE"""),-0.7411733780677952)</f>
        <v>-0.7411733781</v>
      </c>
      <c r="AF66" s="281">
        <f>IFERROR(__xludf.DUMMYFUNCTION("""COMPUTED_VALUE"""),0.7413150332398716)</f>
        <v>0.7413150332</v>
      </c>
      <c r="AG66" s="281">
        <f>IFERROR(__xludf.DUMMYFUNCTION("""COMPUTED_VALUE"""),-0.2855100978201931)</f>
        <v>-0.2855100978</v>
      </c>
      <c r="AH66" s="285"/>
      <c r="AI66" s="273"/>
      <c r="AJ66" s="340"/>
      <c r="AK66" s="341"/>
      <c r="AL66" s="273"/>
      <c r="AM66" s="273"/>
      <c r="AN66" s="273"/>
      <c r="AO66" s="273"/>
      <c r="AP66" s="273"/>
      <c r="AQ66" s="273"/>
      <c r="AR66" s="273"/>
      <c r="AS66" s="273"/>
      <c r="AT66" s="273"/>
      <c r="AU66" s="273"/>
      <c r="AV66" s="273"/>
      <c r="AW66" s="273"/>
      <c r="AX66" s="273"/>
      <c r="AY66" s="273"/>
      <c r="AZ66" s="273"/>
      <c r="BA66" s="273"/>
      <c r="BB66" s="273"/>
      <c r="BC66" s="273"/>
      <c r="BD66" s="273"/>
      <c r="BE66" s="273"/>
      <c r="BF66" s="273"/>
      <c r="BG66" s="273"/>
      <c r="BH66" s="273"/>
      <c r="BI66" s="273"/>
      <c r="BJ66" s="273"/>
      <c r="BK66" s="273"/>
      <c r="BL66" s="273"/>
      <c r="BM66" s="273"/>
      <c r="BN66" s="273"/>
      <c r="BO66" s="273"/>
      <c r="BP66" s="273"/>
      <c r="BQ66" s="273"/>
      <c r="BR66" s="273"/>
      <c r="BS66" s="273"/>
      <c r="BT66" s="273"/>
      <c r="BU66" s="273"/>
      <c r="BV66" s="273"/>
      <c r="BW66" s="273"/>
    </row>
    <row r="67">
      <c r="A67" s="276">
        <f>VLOOKUP($F67,UpdateHashtag!$V$3:$Y$32,COLUMN(B$15),0)</f>
        <v>4</v>
      </c>
      <c r="B67" s="259">
        <f>VLOOKUP($F67,UpdateHashtag!$V$3:$Y$32,COLUMN(C$13),0)</f>
        <v>4</v>
      </c>
      <c r="C67" s="259">
        <f>VLOOKUP($F67,UpdateHashtag!$V$3:$Y$32,COLUMN(D$13),0)</f>
        <v>3</v>
      </c>
      <c r="D67" s="277">
        <f t="shared" si="4"/>
        <v>11</v>
      </c>
      <c r="E67" s="21"/>
      <c r="F67" s="261" t="str">
        <f>VLOOKUP(J67,UpdateBBM!$C$2:E1015,3,0)</f>
        <v>ATL</v>
      </c>
      <c r="G67" s="248">
        <v>48.0</v>
      </c>
      <c r="H67" s="278">
        <f>IFERROR(__xludf.DUMMYFUNCTION("""COMPUTED_VALUE"""),48.0)</f>
        <v>48</v>
      </c>
      <c r="I67" s="278">
        <f>IFERROR(__xludf.DUMMYFUNCTION("""COMPUTED_VALUE"""),103.3)</f>
        <v>103.3</v>
      </c>
      <c r="J67" s="279" t="str">
        <f>IFERROR(__xludf.DUMMYFUNCTION("""COMPUTED_VALUE"""),"Kristaps Porzingis")</f>
        <v>Kristaps Porzingis</v>
      </c>
      <c r="K67" s="278">
        <f>IFERROR(__xludf.DUMMYFUNCTION("""COMPUTED_VALUE"""),62.0)</f>
        <v>62</v>
      </c>
      <c r="L67" s="280" t="str">
        <f>IFERROR(__xludf.DUMMYFUNCTION("""COMPUTED_VALUE"""),"PF,C")</f>
        <v>PF,C</v>
      </c>
      <c r="M67" s="281">
        <f>IFERROR(__xludf.DUMMYFUNCTION("""COMPUTED_VALUE"""),1.5159943752021188)</f>
        <v>1.515994375</v>
      </c>
      <c r="N67" s="281">
        <f>IFERROR(__xludf.DUMMYFUNCTION("""COMPUTED_VALUE"""),1.5159943752021188)</f>
        <v>1.515994375</v>
      </c>
      <c r="O67" s="282">
        <f>IFERROR(__xludf.DUMMYFUNCTION("""COMPUTED_VALUE"""),0.0)</f>
        <v>0</v>
      </c>
      <c r="P67" s="283">
        <f>IFERROR(__xludf.DUMMYFUNCTION("""COMPUTED_VALUE"""),17.8)</f>
        <v>17.8</v>
      </c>
      <c r="Q67" s="283">
        <f>IFERROR(__xludf.DUMMYFUNCTION("""COMPUTED_VALUE"""),1.8)</f>
        <v>1.8</v>
      </c>
      <c r="R67" s="283">
        <f>IFERROR(__xludf.DUMMYFUNCTION("""COMPUTED_VALUE"""),6.7)</f>
        <v>6.7</v>
      </c>
      <c r="S67" s="284">
        <f>IFERROR(__xludf.DUMMYFUNCTION("""COMPUTED_VALUE"""),2.0)</f>
        <v>2</v>
      </c>
      <c r="T67" s="283">
        <f>IFERROR(__xludf.DUMMYFUNCTION("""COMPUTED_VALUE"""),0.7)</f>
        <v>0.7</v>
      </c>
      <c r="U67" s="283">
        <f>IFERROR(__xludf.DUMMYFUNCTION("""COMPUTED_VALUE"""),1.5)</f>
        <v>1.5</v>
      </c>
      <c r="V67" s="280">
        <f>IFERROR(__xludf.DUMMYFUNCTION("""COMPUTED_VALUE"""),0.484)</f>
        <v>0.484</v>
      </c>
      <c r="W67" s="280">
        <f>IFERROR(__xludf.DUMMYFUNCTION("""COMPUTED_VALUE"""),0.848)</f>
        <v>0.848</v>
      </c>
      <c r="X67" s="280">
        <f>IFERROR(__xludf.DUMMYFUNCTION("""COMPUTED_VALUE"""),1.6)</f>
        <v>1.6</v>
      </c>
      <c r="Y67" s="283">
        <f>IFERROR(__xludf.DUMMYFUNCTION("""COMPUTED_VALUE"""),0.06017612839419531)</f>
        <v>0.06017612839</v>
      </c>
      <c r="Z67" s="281">
        <f>IFERROR(__xludf.DUMMYFUNCTION("""COMPUTED_VALUE"""),0.05075080149290546)</f>
        <v>0.05075080149</v>
      </c>
      <c r="AA67" s="281">
        <f>IFERROR(__xludf.DUMMYFUNCTION("""COMPUTED_VALUE"""),0.24756775948409707)</f>
        <v>0.2475677595</v>
      </c>
      <c r="AB67" s="281">
        <f>IFERROR(__xludf.DUMMYFUNCTION("""COMPUTED_VALUE"""),-0.8819672512840698)</f>
        <v>-0.8819672513</v>
      </c>
      <c r="AC67" s="281">
        <f>IFERROR(__xludf.DUMMYFUNCTION("""COMPUTED_VALUE"""),-0.9166617668377661)</f>
        <v>-0.9166617668</v>
      </c>
      <c r="AD67" s="281">
        <f>IFERROR(__xludf.DUMMYFUNCTION("""COMPUTED_VALUE"""),1.346813379735286)</f>
        <v>1.34681338</v>
      </c>
      <c r="AE67" s="281">
        <f>IFERROR(__xludf.DUMMYFUNCTION("""COMPUTED_VALUE"""),-0.19021341987747237)</f>
        <v>-0.1902134199</v>
      </c>
      <c r="AF67" s="281">
        <f>IFERROR(__xludf.DUMMYFUNCTION("""COMPUTED_VALUE"""),0.8460002998895438)</f>
        <v>0.8460002999</v>
      </c>
      <c r="AG67" s="281">
        <f>IFERROR(__xludf.DUMMYFUNCTION("""COMPUTED_VALUE"""),0.036866677367633396)</f>
        <v>0.03686667737</v>
      </c>
      <c r="AH67" s="285"/>
      <c r="AI67" s="273"/>
      <c r="AJ67" s="340"/>
      <c r="AK67" s="341"/>
      <c r="AL67" s="273"/>
      <c r="AM67" s="273"/>
      <c r="AN67" s="273"/>
      <c r="AO67" s="273"/>
      <c r="AP67" s="273"/>
      <c r="AQ67" s="273"/>
      <c r="AR67" s="273"/>
      <c r="AS67" s="273"/>
      <c r="AT67" s="273"/>
      <c r="AU67" s="273"/>
      <c r="AV67" s="273"/>
      <c r="AW67" s="273"/>
      <c r="AX67" s="273"/>
      <c r="AY67" s="273"/>
      <c r="AZ67" s="273"/>
      <c r="BA67" s="273"/>
      <c r="BB67" s="273"/>
      <c r="BC67" s="273"/>
      <c r="BD67" s="273"/>
      <c r="BE67" s="273"/>
      <c r="BF67" s="273"/>
      <c r="BG67" s="273"/>
      <c r="BH67" s="273"/>
      <c r="BI67" s="273"/>
      <c r="BJ67" s="273"/>
      <c r="BK67" s="273"/>
      <c r="BL67" s="273"/>
      <c r="BM67" s="273"/>
      <c r="BN67" s="273"/>
      <c r="BO67" s="273"/>
      <c r="BP67" s="273"/>
      <c r="BQ67" s="273"/>
      <c r="BR67" s="273"/>
      <c r="BS67" s="273"/>
      <c r="BT67" s="273"/>
      <c r="BU67" s="273"/>
      <c r="BV67" s="273"/>
      <c r="BW67" s="273"/>
    </row>
    <row r="68">
      <c r="A68" s="276">
        <f>VLOOKUP($F68,UpdateHashtag!$V$3:$Y$32,COLUMN(B$15),0)</f>
        <v>4</v>
      </c>
      <c r="B68" s="259">
        <f>VLOOKUP($F68,UpdateHashtag!$V$3:$Y$32,COLUMN(C$13),0)</f>
        <v>4</v>
      </c>
      <c r="C68" s="259">
        <f>VLOOKUP($F68,UpdateHashtag!$V$3:$Y$32,COLUMN(D$13),0)</f>
        <v>3</v>
      </c>
      <c r="D68" s="277">
        <f t="shared" si="4"/>
        <v>11</v>
      </c>
      <c r="E68" s="21"/>
      <c r="F68" s="261" t="str">
        <f>VLOOKUP(J68,UpdateBBM!$C$2:E1015,3,0)</f>
        <v>MIL</v>
      </c>
      <c r="G68" s="248">
        <v>49.0</v>
      </c>
      <c r="H68" s="278">
        <f>IFERROR(__xludf.DUMMYFUNCTION("""COMPUTED_VALUE"""),49.0)</f>
        <v>49</v>
      </c>
      <c r="I68" s="278">
        <f>IFERROR(__xludf.DUMMYFUNCTION("""COMPUTED_VALUE"""),45.0)</f>
        <v>45</v>
      </c>
      <c r="J68" s="279" t="str">
        <f>IFERROR(__xludf.DUMMYFUNCTION("""COMPUTED_VALUE"""),"Myles Turner")</f>
        <v>Myles Turner</v>
      </c>
      <c r="K68" s="278">
        <f>IFERROR(__xludf.DUMMYFUNCTION("""COMPUTED_VALUE"""),64.0)</f>
        <v>64</v>
      </c>
      <c r="L68" s="280" t="str">
        <f>IFERROR(__xludf.DUMMYFUNCTION("""COMPUTED_VALUE"""),"C")</f>
        <v>C</v>
      </c>
      <c r="M68" s="281">
        <f>IFERROR(__xludf.DUMMYFUNCTION("""COMPUTED_VALUE"""),1.4008138626613764)</f>
        <v>1.400813863</v>
      </c>
      <c r="N68" s="281">
        <f>IFERROR(__xludf.DUMMYFUNCTION("""COMPUTED_VALUE"""),1.4008138626613764)</f>
        <v>1.400813863</v>
      </c>
      <c r="O68" s="282">
        <f>IFERROR(__xludf.DUMMYFUNCTION("""COMPUTED_VALUE"""),0.0)</f>
        <v>0</v>
      </c>
      <c r="P68" s="283">
        <f>IFERROR(__xludf.DUMMYFUNCTION("""COMPUTED_VALUE"""),17.0)</f>
        <v>17</v>
      </c>
      <c r="Q68" s="283">
        <f>IFERROR(__xludf.DUMMYFUNCTION("""COMPUTED_VALUE"""),1.5)</f>
        <v>1.5</v>
      </c>
      <c r="R68" s="283">
        <f>IFERROR(__xludf.DUMMYFUNCTION("""COMPUTED_VALUE"""),7.0)</f>
        <v>7</v>
      </c>
      <c r="S68" s="284">
        <f>IFERROR(__xludf.DUMMYFUNCTION("""COMPUTED_VALUE"""),1.3)</f>
        <v>1.3</v>
      </c>
      <c r="T68" s="283">
        <f>IFERROR(__xludf.DUMMYFUNCTION("""COMPUTED_VALUE"""),0.5)</f>
        <v>0.5</v>
      </c>
      <c r="U68" s="283">
        <f>IFERROR(__xludf.DUMMYFUNCTION("""COMPUTED_VALUE"""),2.0)</f>
        <v>2</v>
      </c>
      <c r="V68" s="280">
        <f>IFERROR(__xludf.DUMMYFUNCTION("""COMPUTED_VALUE"""),0.535)</f>
        <v>0.535</v>
      </c>
      <c r="W68" s="280">
        <f>IFERROR(__xludf.DUMMYFUNCTION("""COMPUTED_VALUE"""),0.778)</f>
        <v>0.778</v>
      </c>
      <c r="X68" s="280">
        <f>IFERROR(__xludf.DUMMYFUNCTION("""COMPUTED_VALUE"""),1.5)</f>
        <v>1.5</v>
      </c>
      <c r="Y68" s="283">
        <f>IFERROR(__xludf.DUMMYFUNCTION("""COMPUTED_VALUE"""),-0.0843422873119347)</f>
        <v>-0.08434228731</v>
      </c>
      <c r="Z68" s="281">
        <f>IFERROR(__xludf.DUMMYFUNCTION("""COMPUTED_VALUE"""),-0.24782209560171908)</f>
        <v>-0.2478220956</v>
      </c>
      <c r="AA68" s="281">
        <f>IFERROR(__xludf.DUMMYFUNCTION("""COMPUTED_VALUE"""),0.36524687285901336)</f>
        <v>0.3652468729</v>
      </c>
      <c r="AB68" s="281">
        <f>IFERROR(__xludf.DUMMYFUNCTION("""COMPUTED_VALUE"""),-1.2008996442390003)</f>
        <v>-1.200899644</v>
      </c>
      <c r="AC68" s="281">
        <f>IFERROR(__xludf.DUMMYFUNCTION("""COMPUTED_VALUE"""),-1.5805271231567248)</f>
        <v>-1.580527123</v>
      </c>
      <c r="AD68" s="281">
        <f>IFERROR(__xludf.DUMMYFUNCTION("""COMPUTED_VALUE"""),2.2387818899985676)</f>
        <v>2.23878189</v>
      </c>
      <c r="AE68" s="281">
        <f>IFERROR(__xludf.DUMMYFUNCTION("""COMPUTED_VALUE"""),0.5137710497151557)</f>
        <v>0.5137710497</v>
      </c>
      <c r="AF68" s="281">
        <f>IFERROR(__xludf.DUMMYFUNCTION("""COMPUTED_VALUE"""),-0.2455868136023262)</f>
        <v>-0.2455868136</v>
      </c>
      <c r="AG68" s="281">
        <f>IFERROR(__xludf.DUMMYFUNCTION("""COMPUTED_VALUE"""),0.06166489084362008)</f>
        <v>0.06166489084</v>
      </c>
      <c r="AH68" s="285"/>
      <c r="AI68" s="273"/>
      <c r="AJ68" s="340"/>
      <c r="AK68" s="341"/>
      <c r="AL68" s="273"/>
      <c r="AM68" s="273"/>
      <c r="AN68" s="273"/>
      <c r="AO68" s="273"/>
      <c r="AP68" s="273"/>
      <c r="AQ68" s="273"/>
      <c r="AR68" s="273"/>
      <c r="AS68" s="273"/>
      <c r="AT68" s="273"/>
      <c r="AU68" s="273"/>
      <c r="AV68" s="273"/>
      <c r="AW68" s="273"/>
      <c r="AX68" s="273"/>
      <c r="AY68" s="273"/>
      <c r="AZ68" s="273"/>
      <c r="BA68" s="273"/>
      <c r="BB68" s="273"/>
      <c r="BC68" s="273"/>
      <c r="BD68" s="273"/>
      <c r="BE68" s="273"/>
      <c r="BF68" s="273"/>
      <c r="BG68" s="273"/>
      <c r="BH68" s="273"/>
      <c r="BI68" s="273"/>
      <c r="BJ68" s="273"/>
      <c r="BK68" s="273"/>
      <c r="BL68" s="273"/>
      <c r="BM68" s="273"/>
      <c r="BN68" s="273"/>
      <c r="BO68" s="273"/>
      <c r="BP68" s="273"/>
      <c r="BQ68" s="273"/>
      <c r="BR68" s="273"/>
      <c r="BS68" s="273"/>
      <c r="BT68" s="273"/>
      <c r="BU68" s="273"/>
      <c r="BV68" s="273"/>
      <c r="BW68" s="273"/>
    </row>
    <row r="69">
      <c r="A69" s="276">
        <f>VLOOKUP($F69,UpdateHashtag!$V$3:$Y$32,COLUMN(B$15),0)</f>
        <v>4</v>
      </c>
      <c r="B69" s="259">
        <f>VLOOKUP($F69,UpdateHashtag!$V$3:$Y$32,COLUMN(C$13),0)</f>
        <v>4</v>
      </c>
      <c r="C69" s="259">
        <f>VLOOKUP($F69,UpdateHashtag!$V$3:$Y$32,COLUMN(D$13),0)</f>
        <v>4</v>
      </c>
      <c r="D69" s="277">
        <f t="shared" si="4"/>
        <v>12</v>
      </c>
      <c r="E69" s="21"/>
      <c r="F69" s="261" t="str">
        <f>VLOOKUP(J69,UpdateBBM!$C$2:E1015,3,0)</f>
        <v>LAC</v>
      </c>
      <c r="G69" s="248">
        <v>50.0</v>
      </c>
      <c r="H69" s="278">
        <f>IFERROR(__xludf.DUMMYFUNCTION("""COMPUTED_VALUE"""),50.0)</f>
        <v>50</v>
      </c>
      <c r="I69" s="278">
        <f>IFERROR(__xludf.DUMMYFUNCTION("""COMPUTED_VALUE"""),49.1)</f>
        <v>49.1</v>
      </c>
      <c r="J69" s="279" t="str">
        <f>IFERROR(__xludf.DUMMYFUNCTION("""COMPUTED_VALUE"""),"Kawhi Leonard")</f>
        <v>Kawhi Leonard</v>
      </c>
      <c r="K69" s="278">
        <f>IFERROR(__xludf.DUMMYFUNCTION("""COMPUTED_VALUE"""),71.0)</f>
        <v>71</v>
      </c>
      <c r="L69" s="280" t="str">
        <f>IFERROR(__xludf.DUMMYFUNCTION("""COMPUTED_VALUE"""),"SG,SF,PF")</f>
        <v>SG,SF,PF</v>
      </c>
      <c r="M69" s="281">
        <f>IFERROR(__xludf.DUMMYFUNCTION("""COMPUTED_VALUE"""),1.4001485263324316)</f>
        <v>1.400148526</v>
      </c>
      <c r="N69" s="281">
        <f>IFERROR(__xludf.DUMMYFUNCTION("""COMPUTED_VALUE"""),1.4001485263324316)</f>
        <v>1.400148526</v>
      </c>
      <c r="O69" s="282">
        <f>IFERROR(__xludf.DUMMYFUNCTION("""COMPUTED_VALUE"""),0.0)</f>
        <v>0</v>
      </c>
      <c r="P69" s="283">
        <f>IFERROR(__xludf.DUMMYFUNCTION("""COMPUTED_VALUE"""),20.2)</f>
        <v>20.2</v>
      </c>
      <c r="Q69" s="283">
        <f>IFERROR(__xludf.DUMMYFUNCTION("""COMPUTED_VALUE"""),1.7)</f>
        <v>1.7</v>
      </c>
      <c r="R69" s="283">
        <f>IFERROR(__xludf.DUMMYFUNCTION("""COMPUTED_VALUE"""),5.4)</f>
        <v>5.4</v>
      </c>
      <c r="S69" s="284">
        <f>IFERROR(__xludf.DUMMYFUNCTION("""COMPUTED_VALUE"""),3.2)</f>
        <v>3.2</v>
      </c>
      <c r="T69" s="283">
        <f>IFERROR(__xludf.DUMMYFUNCTION("""COMPUTED_VALUE"""),1.1)</f>
        <v>1.1</v>
      </c>
      <c r="U69" s="283">
        <f>IFERROR(__xludf.DUMMYFUNCTION("""COMPUTED_VALUE"""),0.5)</f>
        <v>0.5</v>
      </c>
      <c r="V69" s="280">
        <f>IFERROR(__xludf.DUMMYFUNCTION("""COMPUTED_VALUE"""),0.507)</f>
        <v>0.507</v>
      </c>
      <c r="W69" s="280">
        <f>IFERROR(__xludf.DUMMYFUNCTION("""COMPUTED_VALUE"""),0.859)</f>
        <v>0.859</v>
      </c>
      <c r="X69" s="280">
        <f>IFERROR(__xludf.DUMMYFUNCTION("""COMPUTED_VALUE"""),1.6)</f>
        <v>1.6</v>
      </c>
      <c r="Y69" s="283">
        <f>IFERROR(__xludf.DUMMYFUNCTION("""COMPUTED_VALUE"""),0.4937313755125847)</f>
        <v>0.4937313755</v>
      </c>
      <c r="Z69" s="281">
        <f>IFERROR(__xludf.DUMMYFUNCTION("""COMPUTED_VALUE"""),-0.04877349753863613)</f>
        <v>-0.04877349754</v>
      </c>
      <c r="AA69" s="281">
        <f>IFERROR(__xludf.DUMMYFUNCTION("""COMPUTED_VALUE"""),-0.2623750651405405)</f>
        <v>-0.2623750651</v>
      </c>
      <c r="AB69" s="281">
        <f>IFERROR(__xludf.DUMMYFUNCTION("""COMPUTED_VALUE"""),-0.33522600621847437)</f>
        <v>-0.3352260062</v>
      </c>
      <c r="AC69" s="281">
        <f>IFERROR(__xludf.DUMMYFUNCTION("""COMPUTED_VALUE"""),0.41106894580015185)</f>
        <v>0.4110689458</v>
      </c>
      <c r="AD69" s="281">
        <f>IFERROR(__xludf.DUMMYFUNCTION("""COMPUTED_VALUE"""),-0.4371236407912776)</f>
        <v>-0.4371236408</v>
      </c>
      <c r="AE69" s="281">
        <f>IFERROR(__xludf.DUMMYFUNCTION("""COMPUTED_VALUE"""),0.17433785252865647)</f>
        <v>0.1743378525</v>
      </c>
      <c r="AF69" s="281">
        <f>IFERROR(__xludf.DUMMYFUNCTION("""COMPUTED_VALUE"""),0.9305182440210561)</f>
        <v>0.930518244</v>
      </c>
      <c r="AG69" s="281">
        <f>IFERROR(__xludf.DUMMYFUNCTION("""COMPUTED_VALUE"""),0.036866677367633396)</f>
        <v>0.03686667737</v>
      </c>
      <c r="AH69" s="285"/>
      <c r="AI69" s="273"/>
      <c r="AJ69" s="340"/>
      <c r="AK69" s="341"/>
      <c r="AL69" s="273"/>
      <c r="AM69" s="273"/>
      <c r="AN69" s="273"/>
      <c r="AO69" s="273"/>
      <c r="AP69" s="273"/>
      <c r="AQ69" s="273"/>
      <c r="AR69" s="273"/>
      <c r="AS69" s="273"/>
      <c r="AT69" s="273"/>
      <c r="AU69" s="273"/>
      <c r="AV69" s="273"/>
      <c r="AW69" s="273"/>
      <c r="AX69" s="273"/>
      <c r="AY69" s="273"/>
      <c r="AZ69" s="273"/>
      <c r="BA69" s="273"/>
      <c r="BB69" s="273"/>
      <c r="BC69" s="273"/>
      <c r="BD69" s="273"/>
      <c r="BE69" s="273"/>
      <c r="BF69" s="273"/>
      <c r="BG69" s="273"/>
      <c r="BH69" s="273"/>
      <c r="BI69" s="273"/>
      <c r="BJ69" s="273"/>
      <c r="BK69" s="273"/>
      <c r="BL69" s="273"/>
      <c r="BM69" s="273"/>
      <c r="BN69" s="273"/>
      <c r="BO69" s="273"/>
      <c r="BP69" s="273"/>
      <c r="BQ69" s="273"/>
      <c r="BR69" s="273"/>
      <c r="BS69" s="273"/>
      <c r="BT69" s="273"/>
      <c r="BU69" s="273"/>
      <c r="BV69" s="273"/>
      <c r="BW69" s="273"/>
    </row>
    <row r="70">
      <c r="A70" s="259" t="str">
        <f>VLOOKUP($F70,UpdateHashtag!$V$3:$Y$32,COLUMN(B$15),0)</f>
        <v>#N/A</v>
      </c>
      <c r="B70" s="259" t="str">
        <f>VLOOKUP($F70,UpdateHashtag!$V$3:$Y$32,COLUMN(C$13),0)</f>
        <v>#N/A</v>
      </c>
      <c r="C70" s="259" t="str">
        <f>VLOOKUP($F70,UpdateHashtag!$V$3:$Y$32,COLUMN(D$13),0)</f>
        <v>#N/A</v>
      </c>
      <c r="D70" s="329" t="str">
        <f t="shared" si="4"/>
        <v>#N/A</v>
      </c>
      <c r="E70" s="21"/>
      <c r="F70" s="261" t="str">
        <f>VLOOKUP(J70,UpdateBBM!$C$2:E1015,3,0)</f>
        <v>NOR</v>
      </c>
      <c r="G70" s="248">
        <v>51.0</v>
      </c>
      <c r="H70" s="278">
        <f>IFERROR(__xludf.DUMMYFUNCTION("""COMPUTED_VALUE"""),51.0)</f>
        <v>51</v>
      </c>
      <c r="I70" s="278">
        <f>IFERROR(__xludf.DUMMYFUNCTION("""COMPUTED_VALUE"""),86.4)</f>
        <v>86.4</v>
      </c>
      <c r="J70" s="279" t="str">
        <f>IFERROR(__xludf.DUMMYFUNCTION("""COMPUTED_VALUE"""),"Jordan Poole")</f>
        <v>Jordan Poole</v>
      </c>
      <c r="K70" s="278">
        <f>IFERROR(__xludf.DUMMYFUNCTION("""COMPUTED_VALUE"""),66.0)</f>
        <v>66</v>
      </c>
      <c r="L70" s="280" t="str">
        <f>IFERROR(__xludf.DUMMYFUNCTION("""COMPUTED_VALUE"""),"PG,SG")</f>
        <v>PG,SG</v>
      </c>
      <c r="M70" s="281">
        <f>IFERROR(__xludf.DUMMYFUNCTION("""COMPUTED_VALUE"""),1.3467447808161384)</f>
        <v>1.346744781</v>
      </c>
      <c r="N70" s="281">
        <f>IFERROR(__xludf.DUMMYFUNCTION("""COMPUTED_VALUE"""),1.3467447808161384)</f>
        <v>1.346744781</v>
      </c>
      <c r="O70" s="282">
        <f>IFERROR(__xludf.DUMMYFUNCTION("""COMPUTED_VALUE"""),0.0)</f>
        <v>0</v>
      </c>
      <c r="P70" s="283">
        <f>IFERROR(__xludf.DUMMYFUNCTION("""COMPUTED_VALUE"""),20.1)</f>
        <v>20.1</v>
      </c>
      <c r="Q70" s="283">
        <f>IFERROR(__xludf.DUMMYFUNCTION("""COMPUTED_VALUE"""),2.6)</f>
        <v>2.6</v>
      </c>
      <c r="R70" s="283">
        <f>IFERROR(__xludf.DUMMYFUNCTION("""COMPUTED_VALUE"""),2.9)</f>
        <v>2.9</v>
      </c>
      <c r="S70" s="284">
        <f>IFERROR(__xludf.DUMMYFUNCTION("""COMPUTED_VALUE"""),5.7)</f>
        <v>5.7</v>
      </c>
      <c r="T70" s="283">
        <f>IFERROR(__xludf.DUMMYFUNCTION("""COMPUTED_VALUE"""),1.1)</f>
        <v>1.1</v>
      </c>
      <c r="U70" s="283">
        <f>IFERROR(__xludf.DUMMYFUNCTION("""COMPUTED_VALUE"""),0.3)</f>
        <v>0.3</v>
      </c>
      <c r="V70" s="280">
        <f>IFERROR(__xludf.DUMMYFUNCTION("""COMPUTED_VALUE"""),0.422)</f>
        <v>0.422</v>
      </c>
      <c r="W70" s="280">
        <f>IFERROR(__xludf.DUMMYFUNCTION("""COMPUTED_VALUE"""),0.871)</f>
        <v>0.871</v>
      </c>
      <c r="X70" s="280">
        <f>IFERROR(__xludf.DUMMYFUNCTION("""COMPUTED_VALUE"""),2.9)</f>
        <v>2.9</v>
      </c>
      <c r="Y70" s="283">
        <f>IFERROR(__xludf.DUMMYFUNCTION("""COMPUTED_VALUE"""),0.47566657354931885)</f>
        <v>0.4756665735</v>
      </c>
      <c r="Z70" s="281">
        <f>IFERROR(__xludf.DUMMYFUNCTION("""COMPUTED_VALUE"""),0.8469451937452375)</f>
        <v>0.8469451937</v>
      </c>
      <c r="AA70" s="281">
        <f>IFERROR(__xludf.DUMMYFUNCTION("""COMPUTED_VALUE"""),-1.2430343432648439)</f>
        <v>-1.243034343</v>
      </c>
      <c r="AB70" s="281">
        <f>IFERROR(__xludf.DUMMYFUNCTION("""COMPUTED_VALUE"""),0.8038182543348493)</f>
        <v>0.8038182543</v>
      </c>
      <c r="AC70" s="281">
        <f>IFERROR(__xludf.DUMMYFUNCTION("""COMPUTED_VALUE"""),0.41106894580015185)</f>
        <v>0.4110689458</v>
      </c>
      <c r="AD70" s="281">
        <f>IFERROR(__xludf.DUMMYFUNCTION("""COMPUTED_VALUE"""),-0.7939110448965904)</f>
        <v>-0.7939110449</v>
      </c>
      <c r="AE70" s="281">
        <f>IFERROR(__xludf.DUMMYFUNCTION("""COMPUTED_VALUE"""),-1.4304938653625285)</f>
        <v>-1.430493865</v>
      </c>
      <c r="AF70" s="281">
        <f>IFERROR(__xludf.DUMMYFUNCTION("""COMPUTED_VALUE"""),1.131701299368208)</f>
        <v>1.131701299</v>
      </c>
      <c r="AG70" s="281">
        <f>IFERROR(__xludf.DUMMYFUNCTION("""COMPUTED_VALUE"""),-0.2855100978201931)</f>
        <v>-0.2855100978</v>
      </c>
      <c r="AH70" s="285"/>
      <c r="AI70" s="273"/>
      <c r="AJ70" s="340"/>
      <c r="AK70" s="341"/>
      <c r="AL70" s="273"/>
      <c r="AM70" s="273"/>
      <c r="AN70" s="273"/>
      <c r="AO70" s="273"/>
      <c r="AP70" s="273"/>
      <c r="AQ70" s="273"/>
      <c r="AR70" s="273"/>
      <c r="AS70" s="273"/>
      <c r="AT70" s="273"/>
      <c r="AU70" s="273"/>
      <c r="AV70" s="273"/>
      <c r="AW70" s="273"/>
      <c r="AX70" s="273"/>
      <c r="AY70" s="273"/>
      <c r="AZ70" s="273"/>
      <c r="BA70" s="273"/>
      <c r="BB70" s="273"/>
      <c r="BC70" s="273"/>
      <c r="BD70" s="273"/>
      <c r="BE70" s="273"/>
      <c r="BF70" s="273"/>
      <c r="BG70" s="273"/>
      <c r="BH70" s="273"/>
      <c r="BI70" s="273"/>
      <c r="BJ70" s="273"/>
      <c r="BK70" s="273"/>
      <c r="BL70" s="273"/>
      <c r="BM70" s="273"/>
      <c r="BN70" s="273"/>
      <c r="BO70" s="273"/>
      <c r="BP70" s="273"/>
      <c r="BQ70" s="273"/>
      <c r="BR70" s="273"/>
      <c r="BS70" s="273"/>
      <c r="BT70" s="273"/>
      <c r="BU70" s="273"/>
      <c r="BV70" s="273"/>
      <c r="BW70" s="273"/>
    </row>
    <row r="71">
      <c r="A71" s="276">
        <f>VLOOKUP($F71,UpdateHashtag!$V$3:$Y$32,COLUMN(B$15),0)</f>
        <v>3</v>
      </c>
      <c r="B71" s="259">
        <f>VLOOKUP($F71,UpdateHashtag!$V$3:$Y$32,COLUMN(C$13),0)</f>
        <v>5</v>
      </c>
      <c r="C71" s="259">
        <f>VLOOKUP($F71,UpdateHashtag!$V$3:$Y$32,COLUMN(D$13),0)</f>
        <v>3</v>
      </c>
      <c r="D71" s="277">
        <f t="shared" si="4"/>
        <v>11</v>
      </c>
      <c r="E71" s="21"/>
      <c r="F71" s="261" t="str">
        <f>VLOOKUP(J71,UpdateBBM!$C$2:E1015,3,0)</f>
        <v>BKN</v>
      </c>
      <c r="G71" s="248">
        <v>52.0</v>
      </c>
      <c r="H71" s="278">
        <f>IFERROR(__xludf.DUMMYFUNCTION("""COMPUTED_VALUE"""),52.0)</f>
        <v>52</v>
      </c>
      <c r="I71" s="278">
        <f>IFERROR(__xludf.DUMMYFUNCTION("""COMPUTED_VALUE"""),63.9)</f>
        <v>63.9</v>
      </c>
      <c r="J71" s="279" t="str">
        <f>IFERROR(__xludf.DUMMYFUNCTION("""COMPUTED_VALUE"""),"Nicolas Claxton")</f>
        <v>Nicolas Claxton</v>
      </c>
      <c r="K71" s="278">
        <f>IFERROR(__xludf.DUMMYFUNCTION("""COMPUTED_VALUE"""),66.0)</f>
        <v>66</v>
      </c>
      <c r="L71" s="280" t="str">
        <f>IFERROR(__xludf.DUMMYFUNCTION("""COMPUTED_VALUE"""),"C")</f>
        <v>C</v>
      </c>
      <c r="M71" s="281">
        <f>IFERROR(__xludf.DUMMYFUNCTION("""COMPUTED_VALUE"""),1.3313446315258908)</f>
        <v>1.331344632</v>
      </c>
      <c r="N71" s="281">
        <f>IFERROR(__xludf.DUMMYFUNCTION("""COMPUTED_VALUE"""),1.3313446315258908)</f>
        <v>1.331344632</v>
      </c>
      <c r="O71" s="282">
        <f>IFERROR(__xludf.DUMMYFUNCTION("""COMPUTED_VALUE"""),0.0)</f>
        <v>0</v>
      </c>
      <c r="P71" s="283">
        <f>IFERROR(__xludf.DUMMYFUNCTION("""COMPUTED_VALUE"""),12.5)</f>
        <v>12.5</v>
      </c>
      <c r="Q71" s="283">
        <f>IFERROR(__xludf.DUMMYFUNCTION("""COMPUTED_VALUE"""),0.0)</f>
        <v>0</v>
      </c>
      <c r="R71" s="283">
        <f>IFERROR(__xludf.DUMMYFUNCTION("""COMPUTED_VALUE"""),9.8)</f>
        <v>9.8</v>
      </c>
      <c r="S71" s="284">
        <f>IFERROR(__xludf.DUMMYFUNCTION("""COMPUTED_VALUE"""),2.0)</f>
        <v>2</v>
      </c>
      <c r="T71" s="283">
        <f>IFERROR(__xludf.DUMMYFUNCTION("""COMPUTED_VALUE"""),0.8)</f>
        <v>0.8</v>
      </c>
      <c r="U71" s="283">
        <f>IFERROR(__xludf.DUMMYFUNCTION("""COMPUTED_VALUE"""),2.2)</f>
        <v>2.2</v>
      </c>
      <c r="V71" s="280">
        <f>IFERROR(__xludf.DUMMYFUNCTION("""COMPUTED_VALUE"""),0.621)</f>
        <v>0.621</v>
      </c>
      <c r="W71" s="280">
        <f>IFERROR(__xludf.DUMMYFUNCTION("""COMPUTED_VALUE"""),0.555)</f>
        <v>0.555</v>
      </c>
      <c r="X71" s="280">
        <f>IFERROR(__xludf.DUMMYFUNCTION("""COMPUTED_VALUE"""),1.3)</f>
        <v>1.3</v>
      </c>
      <c r="Y71" s="283">
        <f>IFERROR(__xludf.DUMMYFUNCTION("""COMPUTED_VALUE"""),-0.8972583756589153)</f>
        <v>-0.8972583757</v>
      </c>
      <c r="Z71" s="281">
        <f>IFERROR(__xludf.DUMMYFUNCTION("""COMPUTED_VALUE"""),-1.7406865810748415)</f>
        <v>-1.740686581</v>
      </c>
      <c r="AA71" s="281">
        <f>IFERROR(__xludf.DUMMYFUNCTION("""COMPUTED_VALUE"""),1.4635852643582332)</f>
        <v>1.463585264</v>
      </c>
      <c r="AB71" s="281">
        <f>IFERROR(__xludf.DUMMYFUNCTION("""COMPUTED_VALUE"""),-0.8819672512840698)</f>
        <v>-0.8819672513</v>
      </c>
      <c r="AC71" s="281">
        <f>IFERROR(__xludf.DUMMYFUNCTION("""COMPUTED_VALUE"""),-0.5847290886782864)</f>
        <v>-0.5847290887</v>
      </c>
      <c r="AD71" s="281">
        <f>IFERROR(__xludf.DUMMYFUNCTION("""COMPUTED_VALUE"""),2.595569294103881)</f>
        <v>2.595569294</v>
      </c>
      <c r="AE71" s="281">
        <f>IFERROR(__xludf.DUMMYFUNCTION("""COMPUTED_VALUE"""),1.265570051964296)</f>
        <v>1.265570052</v>
      </c>
      <c r="AF71" s="281">
        <f>IFERROR(__xludf.DUMMYFUNCTION("""COMPUTED_VALUE"""),-2.548906592157207)</f>
        <v>-2.548906592</v>
      </c>
      <c r="AG71" s="281">
        <f>IFERROR(__xludf.DUMMYFUNCTION("""COMPUTED_VALUE"""),0.11126131779559338)</f>
        <v>0.1112613178</v>
      </c>
      <c r="AH71" s="285"/>
      <c r="AI71" s="273"/>
      <c r="AJ71" s="340"/>
      <c r="AK71" s="341"/>
      <c r="AL71" s="273"/>
      <c r="AM71" s="273"/>
      <c r="AN71" s="273"/>
      <c r="AO71" s="273"/>
      <c r="AP71" s="273"/>
      <c r="AQ71" s="273"/>
      <c r="AR71" s="273"/>
      <c r="AS71" s="273"/>
      <c r="AT71" s="273"/>
      <c r="AU71" s="273"/>
      <c r="AV71" s="273"/>
      <c r="AW71" s="273"/>
      <c r="AX71" s="273"/>
      <c r="AY71" s="273"/>
      <c r="AZ71" s="273"/>
      <c r="BA71" s="273"/>
      <c r="BB71" s="273"/>
      <c r="BC71" s="273"/>
      <c r="BD71" s="273"/>
      <c r="BE71" s="273"/>
      <c r="BF71" s="273"/>
      <c r="BG71" s="273"/>
      <c r="BH71" s="273"/>
      <c r="BI71" s="273"/>
      <c r="BJ71" s="273"/>
      <c r="BK71" s="273"/>
      <c r="BL71" s="273"/>
      <c r="BM71" s="273"/>
      <c r="BN71" s="273"/>
      <c r="BO71" s="273"/>
      <c r="BP71" s="273"/>
      <c r="BQ71" s="273"/>
      <c r="BR71" s="273"/>
      <c r="BS71" s="273"/>
      <c r="BT71" s="273"/>
      <c r="BU71" s="273"/>
      <c r="BV71" s="273"/>
      <c r="BW71" s="273"/>
    </row>
    <row r="72">
      <c r="A72" s="276">
        <f>VLOOKUP($F72,UpdateHashtag!$V$3:$Y$32,COLUMN(B$15),0)</f>
        <v>4</v>
      </c>
      <c r="B72" s="259">
        <f>VLOOKUP($F72,UpdateHashtag!$V$3:$Y$32,COLUMN(C$13),0)</f>
        <v>4</v>
      </c>
      <c r="C72" s="259">
        <f>VLOOKUP($F72,UpdateHashtag!$V$3:$Y$32,COLUMN(D$13),0)</f>
        <v>2</v>
      </c>
      <c r="D72" s="277">
        <f t="shared" si="4"/>
        <v>10</v>
      </c>
      <c r="E72" s="21"/>
      <c r="F72" s="261" t="str">
        <f>VLOOKUP(J72,UpdateBBM!$C$2:E1015,3,0)</f>
        <v>DAL</v>
      </c>
      <c r="G72" s="248">
        <v>53.0</v>
      </c>
      <c r="H72" s="278">
        <f>IFERROR(__xludf.DUMMYFUNCTION("""COMPUTED_VALUE"""),53.0)</f>
        <v>53</v>
      </c>
      <c r="I72" s="278">
        <f>IFERROR(__xludf.DUMMYFUNCTION("""COMPUTED_VALUE"""),74.0)</f>
        <v>74</v>
      </c>
      <c r="J72" s="279" t="str">
        <f>IFERROR(__xludf.DUMMYFUNCTION("""COMPUTED_VALUE"""),"D'Angelo Russell")</f>
        <v>D'Angelo Russell</v>
      </c>
      <c r="K72" s="278">
        <f>IFERROR(__xludf.DUMMYFUNCTION("""COMPUTED_VALUE"""),71.0)</f>
        <v>71</v>
      </c>
      <c r="L72" s="280" t="str">
        <f>IFERROR(__xludf.DUMMYFUNCTION("""COMPUTED_VALUE"""),"PG")</f>
        <v>PG</v>
      </c>
      <c r="M72" s="281">
        <f>IFERROR(__xludf.DUMMYFUNCTION("""COMPUTED_VALUE"""),1.2794992760437933)</f>
        <v>1.279499276</v>
      </c>
      <c r="N72" s="281">
        <f>IFERROR(__xludf.DUMMYFUNCTION("""COMPUTED_VALUE"""),1.2794992760437933)</f>
        <v>1.279499276</v>
      </c>
      <c r="O72" s="282">
        <f>IFERROR(__xludf.DUMMYFUNCTION("""COMPUTED_VALUE"""),0.0)</f>
        <v>0</v>
      </c>
      <c r="P72" s="283">
        <f>IFERROR(__xludf.DUMMYFUNCTION("""COMPUTED_VALUE"""),17.5)</f>
        <v>17.5</v>
      </c>
      <c r="Q72" s="283">
        <f>IFERROR(__xludf.DUMMYFUNCTION("""COMPUTED_VALUE"""),2.9)</f>
        <v>2.9</v>
      </c>
      <c r="R72" s="283">
        <f>IFERROR(__xludf.DUMMYFUNCTION("""COMPUTED_VALUE"""),3.1)</f>
        <v>3.1</v>
      </c>
      <c r="S72" s="284">
        <f>IFERROR(__xludf.DUMMYFUNCTION("""COMPUTED_VALUE"""),6.0)</f>
        <v>6</v>
      </c>
      <c r="T72" s="283">
        <f>IFERROR(__xludf.DUMMYFUNCTION("""COMPUTED_VALUE"""),1.0)</f>
        <v>1</v>
      </c>
      <c r="U72" s="283">
        <f>IFERROR(__xludf.DUMMYFUNCTION("""COMPUTED_VALUE"""),0.5)</f>
        <v>0.5</v>
      </c>
      <c r="V72" s="280">
        <f>IFERROR(__xludf.DUMMYFUNCTION("""COMPUTED_VALUE"""),0.457)</f>
        <v>0.457</v>
      </c>
      <c r="W72" s="280">
        <f>IFERROR(__xludf.DUMMYFUNCTION("""COMPUTED_VALUE"""),0.829)</f>
        <v>0.829</v>
      </c>
      <c r="X72" s="280">
        <f>IFERROR(__xludf.DUMMYFUNCTION("""COMPUTED_VALUE"""),2.4)</f>
        <v>2.4</v>
      </c>
      <c r="Y72" s="283">
        <f>IFERROR(__xludf.DUMMYFUNCTION("""COMPUTED_VALUE"""),0.005981722504396474)</f>
        <v>0.005981722504</v>
      </c>
      <c r="Z72" s="281">
        <f>IFERROR(__xludf.DUMMYFUNCTION("""COMPUTED_VALUE"""),1.145518090839862)</f>
        <v>1.145518091</v>
      </c>
      <c r="AA72" s="281">
        <f>IFERROR(__xludf.DUMMYFUNCTION("""COMPUTED_VALUE"""),-1.1645816010148995)</f>
        <v>-1.164581601</v>
      </c>
      <c r="AB72" s="281">
        <f>IFERROR(__xludf.DUMMYFUNCTION("""COMPUTED_VALUE"""),0.940503565601248)</f>
        <v>0.9405035656</v>
      </c>
      <c r="AC72" s="281">
        <f>IFERROR(__xludf.DUMMYFUNCTION("""COMPUTED_VALUE"""),0.07913626764067216)</f>
        <v>0.07913626764</v>
      </c>
      <c r="AD72" s="281">
        <f>IFERROR(__xludf.DUMMYFUNCTION("""COMPUTED_VALUE"""),-0.4371236407912776)</f>
        <v>-0.4371236408</v>
      </c>
      <c r="AE72" s="281">
        <f>IFERROR(__xludf.DUMMYFUNCTION("""COMPUTED_VALUE"""),-0.6309944259100991)</f>
        <v>-0.6309944259</v>
      </c>
      <c r="AF72" s="281">
        <f>IFERROR(__xludf.DUMMYFUNCTION("""COMPUTED_VALUE"""),0.33799672659925106)</f>
        <v>0.3379967266</v>
      </c>
      <c r="AG72" s="281">
        <f>IFERROR(__xludf.DUMMYFUNCTION("""COMPUTED_VALUE"""),-0.1615190304402598)</f>
        <v>-0.1615190304</v>
      </c>
      <c r="AH72" s="285"/>
      <c r="AI72" s="273"/>
      <c r="AJ72" s="340"/>
      <c r="AK72" s="341"/>
      <c r="AL72" s="273"/>
      <c r="AM72" s="273"/>
      <c r="AN72" s="273"/>
      <c r="AO72" s="273"/>
      <c r="AP72" s="273"/>
      <c r="AQ72" s="273"/>
      <c r="AR72" s="273"/>
      <c r="AS72" s="273"/>
      <c r="AT72" s="273"/>
      <c r="AU72" s="273"/>
      <c r="AV72" s="273"/>
      <c r="AW72" s="273"/>
      <c r="AX72" s="273"/>
      <c r="AY72" s="273"/>
      <c r="AZ72" s="273"/>
      <c r="BA72" s="273"/>
      <c r="BB72" s="273"/>
      <c r="BC72" s="273"/>
      <c r="BD72" s="273"/>
      <c r="BE72" s="273"/>
      <c r="BF72" s="273"/>
      <c r="BG72" s="273"/>
      <c r="BH72" s="273"/>
      <c r="BI72" s="273"/>
      <c r="BJ72" s="273"/>
      <c r="BK72" s="273"/>
      <c r="BL72" s="273"/>
      <c r="BM72" s="273"/>
      <c r="BN72" s="273"/>
      <c r="BO72" s="273"/>
      <c r="BP72" s="273"/>
      <c r="BQ72" s="273"/>
      <c r="BR72" s="273"/>
      <c r="BS72" s="273"/>
      <c r="BT72" s="273"/>
      <c r="BU72" s="273"/>
      <c r="BV72" s="273"/>
      <c r="BW72" s="273"/>
    </row>
    <row r="73">
      <c r="A73" s="259" t="str">
        <f>VLOOKUP($F73,UpdateHashtag!$V$3:$Y$32,COLUMN(B$15),0)</f>
        <v>#N/A</v>
      </c>
      <c r="B73" s="259" t="str">
        <f>VLOOKUP($F73,UpdateHashtag!$V$3:$Y$32,COLUMN(C$13),0)</f>
        <v>#N/A</v>
      </c>
      <c r="C73" s="259" t="str">
        <f>VLOOKUP($F73,UpdateHashtag!$V$3:$Y$32,COLUMN(D$13),0)</f>
        <v>#N/A</v>
      </c>
      <c r="D73" s="329" t="str">
        <f t="shared" si="4"/>
        <v>#N/A</v>
      </c>
      <c r="E73" s="21"/>
      <c r="F73" s="261" t="str">
        <f>VLOOKUP(J73,UpdateBBM!$C$2:E1015,3,0)</f>
        <v>NOR</v>
      </c>
      <c r="G73" s="248">
        <v>54.0</v>
      </c>
      <c r="H73" s="278">
        <f>IFERROR(__xludf.DUMMYFUNCTION("""COMPUTED_VALUE"""),54.0)</f>
        <v>54</v>
      </c>
      <c r="I73" s="278">
        <f>IFERROR(__xludf.DUMMYFUNCTION("""COMPUTED_VALUE"""),46.6)</f>
        <v>46.6</v>
      </c>
      <c r="J73" s="279" t="str">
        <f>IFERROR(__xludf.DUMMYFUNCTION("""COMPUTED_VALUE"""),"Zion Williamson")</f>
        <v>Zion Williamson</v>
      </c>
      <c r="K73" s="278">
        <f>IFERROR(__xludf.DUMMYFUNCTION("""COMPUTED_VALUE"""),58.0)</f>
        <v>58</v>
      </c>
      <c r="L73" s="280" t="str">
        <f>IFERROR(__xludf.DUMMYFUNCTION("""COMPUTED_VALUE"""),"PF,C")</f>
        <v>PF,C</v>
      </c>
      <c r="M73" s="281">
        <f>IFERROR(__xludf.DUMMYFUNCTION("""COMPUTED_VALUE"""),1.2528614916780914)</f>
        <v>1.252861492</v>
      </c>
      <c r="N73" s="281">
        <f>IFERROR(__xludf.DUMMYFUNCTION("""COMPUTED_VALUE"""),1.2528614916780914)</f>
        <v>1.252861492</v>
      </c>
      <c r="O73" s="282">
        <f>IFERROR(__xludf.DUMMYFUNCTION("""COMPUTED_VALUE"""),0.0)</f>
        <v>0</v>
      </c>
      <c r="P73" s="283">
        <f>IFERROR(__xludf.DUMMYFUNCTION("""COMPUTED_VALUE"""),22.8)</f>
        <v>22.8</v>
      </c>
      <c r="Q73" s="283">
        <f>IFERROR(__xludf.DUMMYFUNCTION("""COMPUTED_VALUE"""),0.1)</f>
        <v>0.1</v>
      </c>
      <c r="R73" s="283">
        <f>IFERROR(__xludf.DUMMYFUNCTION("""COMPUTED_VALUE"""),6.2)</f>
        <v>6.2</v>
      </c>
      <c r="S73" s="284">
        <f>IFERROR(__xludf.DUMMYFUNCTION("""COMPUTED_VALUE"""),5.0)</f>
        <v>5</v>
      </c>
      <c r="T73" s="283">
        <f>IFERROR(__xludf.DUMMYFUNCTION("""COMPUTED_VALUE"""),1.1)</f>
        <v>1.1</v>
      </c>
      <c r="U73" s="283">
        <f>IFERROR(__xludf.DUMMYFUNCTION("""COMPUTED_VALUE"""),0.7)</f>
        <v>0.7</v>
      </c>
      <c r="V73" s="280">
        <f>IFERROR(__xludf.DUMMYFUNCTION("""COMPUTED_VALUE"""),0.573)</f>
        <v>0.573</v>
      </c>
      <c r="W73" s="280">
        <f>IFERROR(__xludf.DUMMYFUNCTION("""COMPUTED_VALUE"""),0.714)</f>
        <v>0.714</v>
      </c>
      <c r="X73" s="280">
        <f>IFERROR(__xludf.DUMMYFUNCTION("""COMPUTED_VALUE"""),3.0)</f>
        <v>3</v>
      </c>
      <c r="Y73" s="283">
        <f>IFERROR(__xludf.DUMMYFUNCTION("""COMPUTED_VALUE"""),0.9634162265575071)</f>
        <v>0.9634162266</v>
      </c>
      <c r="Z73" s="281">
        <f>IFERROR(__xludf.DUMMYFUNCTION("""COMPUTED_VALUE"""),-1.6411622820433)</f>
        <v>-1.641162282</v>
      </c>
      <c r="AA73" s="281">
        <f>IFERROR(__xludf.DUMMYFUNCTION("""COMPUTED_VALUE"""),0.05143590385923644)</f>
        <v>0.05143590386</v>
      </c>
      <c r="AB73" s="281">
        <f>IFERROR(__xludf.DUMMYFUNCTION("""COMPUTED_VALUE"""),0.4848858613799186)</f>
        <v>0.4848858614</v>
      </c>
      <c r="AC73" s="281">
        <f>IFERROR(__xludf.DUMMYFUNCTION("""COMPUTED_VALUE"""),0.41106894580015185)</f>
        <v>0.4110689458</v>
      </c>
      <c r="AD73" s="281">
        <f>IFERROR(__xludf.DUMMYFUNCTION("""COMPUTED_VALUE"""),-0.08033623668596498)</f>
        <v>-0.08033623669</v>
      </c>
      <c r="AE73" s="281">
        <f>IFERROR(__xludf.DUMMYFUNCTION("""COMPUTED_VALUE"""),1.373861384106722)</f>
        <v>1.373861384</v>
      </c>
      <c r="AF73" s="281">
        <f>IFERROR(__xludf.DUMMYFUNCTION("""COMPUTED_VALUE"""),-2.0345050126069366)</f>
        <v>-2.034505013</v>
      </c>
      <c r="AG73" s="281">
        <f>IFERROR(__xludf.DUMMYFUNCTION("""COMPUTED_VALUE"""),-0.31030831129617975)</f>
        <v>-0.3103083113</v>
      </c>
      <c r="AH73" s="285"/>
      <c r="AI73" s="273"/>
      <c r="AJ73" s="340"/>
      <c r="AK73" s="341"/>
      <c r="AL73" s="273"/>
      <c r="AM73" s="273"/>
      <c r="AN73" s="273"/>
      <c r="AO73" s="273"/>
      <c r="AP73" s="273"/>
      <c r="AQ73" s="273"/>
      <c r="AR73" s="273"/>
      <c r="AS73" s="273"/>
      <c r="AT73" s="273"/>
      <c r="AU73" s="273"/>
      <c r="AV73" s="273"/>
      <c r="AW73" s="273"/>
      <c r="AX73" s="273"/>
      <c r="AY73" s="273"/>
      <c r="AZ73" s="273"/>
      <c r="BA73" s="273"/>
      <c r="BB73" s="273"/>
      <c r="BC73" s="273"/>
      <c r="BD73" s="273"/>
      <c r="BE73" s="273"/>
      <c r="BF73" s="273"/>
      <c r="BG73" s="273"/>
      <c r="BH73" s="273"/>
      <c r="BI73" s="273"/>
      <c r="BJ73" s="273"/>
      <c r="BK73" s="273"/>
      <c r="BL73" s="273"/>
      <c r="BM73" s="273"/>
      <c r="BN73" s="273"/>
      <c r="BO73" s="273"/>
      <c r="BP73" s="273"/>
      <c r="BQ73" s="273"/>
      <c r="BR73" s="273"/>
      <c r="BS73" s="273"/>
      <c r="BT73" s="273"/>
      <c r="BU73" s="273"/>
      <c r="BV73" s="273"/>
      <c r="BW73" s="273"/>
    </row>
    <row r="74">
      <c r="A74" s="276">
        <f>VLOOKUP($F74,UpdateHashtag!$V$3:$Y$32,COLUMN(B$15),0)</f>
        <v>3</v>
      </c>
      <c r="B74" s="259">
        <f>VLOOKUP($F74,UpdateHashtag!$V$3:$Y$32,COLUMN(C$13),0)</f>
        <v>4</v>
      </c>
      <c r="C74" s="259">
        <f>VLOOKUP($F74,UpdateHashtag!$V$3:$Y$32,COLUMN(D$13),0)</f>
        <v>3</v>
      </c>
      <c r="D74" s="277">
        <f t="shared" si="4"/>
        <v>10</v>
      </c>
      <c r="E74" s="21"/>
      <c r="F74" s="261" t="str">
        <f>VLOOKUP(J74,UpdateBBM!$C$2:E1015,3,0)</f>
        <v>BOS</v>
      </c>
      <c r="G74" s="248">
        <v>55.0</v>
      </c>
      <c r="H74" s="278">
        <f>IFERROR(__xludf.DUMMYFUNCTION("""COMPUTED_VALUE"""),55.0)</f>
        <v>55</v>
      </c>
      <c r="I74" s="278">
        <f>IFERROR(__xludf.DUMMYFUNCTION("""COMPUTED_VALUE"""),40.9)</f>
        <v>40.9</v>
      </c>
      <c r="J74" s="279" t="str">
        <f>IFERROR(__xludf.DUMMYFUNCTION("""COMPUTED_VALUE"""),"Jaylen Brown")</f>
        <v>Jaylen Brown</v>
      </c>
      <c r="K74" s="278">
        <f>IFERROR(__xludf.DUMMYFUNCTION("""COMPUTED_VALUE"""),71.0)</f>
        <v>71</v>
      </c>
      <c r="L74" s="280" t="str">
        <f>IFERROR(__xludf.DUMMYFUNCTION("""COMPUTED_VALUE"""),"SG,SF")</f>
        <v>SG,SF</v>
      </c>
      <c r="M74" s="281">
        <f>IFERROR(__xludf.DUMMYFUNCTION("""COMPUTED_VALUE"""),1.235918171898882)</f>
        <v>1.235918172</v>
      </c>
      <c r="N74" s="281">
        <f>IFERROR(__xludf.DUMMYFUNCTION("""COMPUTED_VALUE"""),1.235918171898882)</f>
        <v>1.235918172</v>
      </c>
      <c r="O74" s="282">
        <f>IFERROR(__xludf.DUMMYFUNCTION("""COMPUTED_VALUE"""),0.0)</f>
        <v>0</v>
      </c>
      <c r="P74" s="283">
        <f>IFERROR(__xludf.DUMMYFUNCTION("""COMPUTED_VALUE"""),24.4)</f>
        <v>24.4</v>
      </c>
      <c r="Q74" s="283">
        <f>IFERROR(__xludf.DUMMYFUNCTION("""COMPUTED_VALUE"""),2.2)</f>
        <v>2.2</v>
      </c>
      <c r="R74" s="283">
        <f>IFERROR(__xludf.DUMMYFUNCTION("""COMPUTED_VALUE"""),6.1)</f>
        <v>6.1</v>
      </c>
      <c r="S74" s="284">
        <f>IFERROR(__xludf.DUMMYFUNCTION("""COMPUTED_VALUE"""),3.5)</f>
        <v>3.5</v>
      </c>
      <c r="T74" s="283">
        <f>IFERROR(__xludf.DUMMYFUNCTION("""COMPUTED_VALUE"""),1.1)</f>
        <v>1.1</v>
      </c>
      <c r="U74" s="283">
        <f>IFERROR(__xludf.DUMMYFUNCTION("""COMPUTED_VALUE"""),0.5)</f>
        <v>0.5</v>
      </c>
      <c r="V74" s="280">
        <f>IFERROR(__xludf.DUMMYFUNCTION("""COMPUTED_VALUE"""),0.495)</f>
        <v>0.495</v>
      </c>
      <c r="W74" s="280">
        <f>IFERROR(__xludf.DUMMYFUNCTION("""COMPUTED_VALUE"""),0.737)</f>
        <v>0.737</v>
      </c>
      <c r="X74" s="280">
        <f>IFERROR(__xludf.DUMMYFUNCTION("""COMPUTED_VALUE"""),2.6)</f>
        <v>2.6</v>
      </c>
      <c r="Y74" s="283">
        <f>IFERROR(__xludf.DUMMYFUNCTION("""COMPUTED_VALUE"""),1.2524530579697666)</f>
        <v>1.252453058</v>
      </c>
      <c r="Z74" s="281">
        <f>IFERROR(__xludf.DUMMYFUNCTION("""COMPUTED_VALUE"""),0.44884799761907157)</f>
        <v>0.4488479976</v>
      </c>
      <c r="AA74" s="281">
        <f>IFERROR(__xludf.DUMMYFUNCTION("""COMPUTED_VALUE"""),0.012209532734264103)</f>
        <v>0.01220953273</v>
      </c>
      <c r="AB74" s="281">
        <f>IFERROR(__xludf.DUMMYFUNCTION("""COMPUTED_VALUE"""),-0.1985406949520756)</f>
        <v>-0.198540695</v>
      </c>
      <c r="AC74" s="281">
        <f>IFERROR(__xludf.DUMMYFUNCTION("""COMPUTED_VALUE"""),0.41106894580015185)</f>
        <v>0.4110689458</v>
      </c>
      <c r="AD74" s="281">
        <f>IFERROR(__xludf.DUMMYFUNCTION("""COMPUTED_VALUE"""),-0.4371236407912776)</f>
        <v>-0.4371236408</v>
      </c>
      <c r="AE74" s="281">
        <f>IFERROR(__xludf.DUMMYFUNCTION("""COMPUTED_VALUE"""),-0.04188156908878569)</f>
        <v>-0.04188156909</v>
      </c>
      <c r="AF74" s="281">
        <f>IFERROR(__xludf.DUMMYFUNCTION("""COMPUTED_VALUE"""),-0.9434479392231165)</f>
        <v>-0.9434479392</v>
      </c>
      <c r="AG74" s="281">
        <f>IFERROR(__xludf.DUMMYFUNCTION("""COMPUTED_VALUE"""),-0.21111545739223317)</f>
        <v>-0.2111154574</v>
      </c>
      <c r="AH74" s="285"/>
      <c r="AI74" s="273"/>
      <c r="AJ74" s="340"/>
      <c r="AK74" s="341"/>
      <c r="AL74" s="273"/>
      <c r="AM74" s="273"/>
      <c r="AN74" s="273"/>
      <c r="AO74" s="273"/>
      <c r="AP74" s="273"/>
      <c r="AQ74" s="273"/>
      <c r="AR74" s="273"/>
      <c r="AS74" s="273"/>
      <c r="AT74" s="273"/>
      <c r="AU74" s="273"/>
      <c r="AV74" s="273"/>
      <c r="AW74" s="273"/>
      <c r="AX74" s="273"/>
      <c r="AY74" s="273"/>
      <c r="AZ74" s="273"/>
      <c r="BA74" s="273"/>
      <c r="BB74" s="273"/>
      <c r="BC74" s="273"/>
      <c r="BD74" s="273"/>
      <c r="BE74" s="273"/>
      <c r="BF74" s="273"/>
      <c r="BG74" s="273"/>
      <c r="BH74" s="273"/>
      <c r="BI74" s="273"/>
      <c r="BJ74" s="273"/>
      <c r="BK74" s="273"/>
      <c r="BL74" s="273"/>
      <c r="BM74" s="273"/>
      <c r="BN74" s="273"/>
      <c r="BO74" s="273"/>
      <c r="BP74" s="273"/>
      <c r="BQ74" s="273"/>
      <c r="BR74" s="273"/>
      <c r="BS74" s="273"/>
      <c r="BT74" s="273"/>
      <c r="BU74" s="273"/>
      <c r="BV74" s="273"/>
      <c r="BW74" s="273"/>
    </row>
    <row r="75">
      <c r="A75" s="276">
        <f>VLOOKUP($F75,UpdateHashtag!$V$3:$Y$32,COLUMN(B$15),0)</f>
        <v>2</v>
      </c>
      <c r="B75" s="259">
        <f>VLOOKUP($F75,UpdateHashtag!$V$3:$Y$32,COLUMN(C$13),0)</f>
        <v>4</v>
      </c>
      <c r="C75" s="259">
        <f>VLOOKUP($F75,UpdateHashtag!$V$3:$Y$32,COLUMN(D$13),0)</f>
        <v>3</v>
      </c>
      <c r="D75" s="277">
        <f t="shared" si="4"/>
        <v>9</v>
      </c>
      <c r="E75" s="21"/>
      <c r="F75" s="261" t="str">
        <f>VLOOKUP(J75,UpdateBBM!$C$2:E1015,3,0)</f>
        <v>ORL</v>
      </c>
      <c r="G75" s="248">
        <v>56.0</v>
      </c>
      <c r="H75" s="278">
        <f>IFERROR(__xludf.DUMMYFUNCTION("""COMPUTED_VALUE"""),56.0)</f>
        <v>56</v>
      </c>
      <c r="I75" s="278">
        <f>IFERROR(__xludf.DUMMYFUNCTION("""COMPUTED_VALUE"""),34.6)</f>
        <v>34.6</v>
      </c>
      <c r="J75" s="279" t="str">
        <f>IFERROR(__xludf.DUMMYFUNCTION("""COMPUTED_VALUE"""),"Paolo Banchero")</f>
        <v>Paolo Banchero</v>
      </c>
      <c r="K75" s="278">
        <f>IFERROR(__xludf.DUMMYFUNCTION("""COMPUTED_VALUE"""),71.0)</f>
        <v>71</v>
      </c>
      <c r="L75" s="280" t="str">
        <f>IFERROR(__xludf.DUMMYFUNCTION("""COMPUTED_VALUE"""),"SF,PF")</f>
        <v>SF,PF</v>
      </c>
      <c r="M75" s="281">
        <f>IFERROR(__xludf.DUMMYFUNCTION("""COMPUTED_VALUE"""),1.1724575422485133)</f>
        <v>1.172457542</v>
      </c>
      <c r="N75" s="281">
        <f>IFERROR(__xludf.DUMMYFUNCTION("""COMPUTED_VALUE"""),1.1724575422485133)</f>
        <v>1.172457542</v>
      </c>
      <c r="O75" s="282">
        <f>IFERROR(__xludf.DUMMYFUNCTION("""COMPUTED_VALUE"""),0.0)</f>
        <v>0</v>
      </c>
      <c r="P75" s="283">
        <f>IFERROR(__xludf.DUMMYFUNCTION("""COMPUTED_VALUE"""),23.1)</f>
        <v>23.1</v>
      </c>
      <c r="Q75" s="283">
        <f>IFERROR(__xludf.DUMMYFUNCTION("""COMPUTED_VALUE"""),1.6)</f>
        <v>1.6</v>
      </c>
      <c r="R75" s="283">
        <f>IFERROR(__xludf.DUMMYFUNCTION("""COMPUTED_VALUE"""),7.4)</f>
        <v>7.4</v>
      </c>
      <c r="S75" s="284">
        <f>IFERROR(__xludf.DUMMYFUNCTION("""COMPUTED_VALUE"""),5.7)</f>
        <v>5.7</v>
      </c>
      <c r="T75" s="283">
        <f>IFERROR(__xludf.DUMMYFUNCTION("""COMPUTED_VALUE"""),1.0)</f>
        <v>1</v>
      </c>
      <c r="U75" s="283">
        <f>IFERROR(__xludf.DUMMYFUNCTION("""COMPUTED_VALUE"""),0.7)</f>
        <v>0.7</v>
      </c>
      <c r="V75" s="280">
        <f>IFERROR(__xludf.DUMMYFUNCTION("""COMPUTED_VALUE"""),0.462)</f>
        <v>0.462</v>
      </c>
      <c r="W75" s="280">
        <f>IFERROR(__xludf.DUMMYFUNCTION("""COMPUTED_VALUE"""),0.731)</f>
        <v>0.731</v>
      </c>
      <c r="X75" s="280">
        <f>IFERROR(__xludf.DUMMYFUNCTION("""COMPUTED_VALUE"""),3.0)</f>
        <v>3</v>
      </c>
      <c r="Y75" s="283">
        <f>IFERROR(__xludf.DUMMYFUNCTION("""COMPUTED_VALUE"""),1.017610632447306)</f>
        <v>1.017610632</v>
      </c>
      <c r="Z75" s="281">
        <f>IFERROR(__xludf.DUMMYFUNCTION("""COMPUTED_VALUE"""),-0.1482977965701775)</f>
        <v>-0.1482977966</v>
      </c>
      <c r="AA75" s="281">
        <f>IFERROR(__xludf.DUMMYFUNCTION("""COMPUTED_VALUE"""),0.522152357358902)</f>
        <v>0.5221523574</v>
      </c>
      <c r="AB75" s="281">
        <f>IFERROR(__xludf.DUMMYFUNCTION("""COMPUTED_VALUE"""),0.8038182543348493)</f>
        <v>0.8038182543</v>
      </c>
      <c r="AC75" s="281">
        <f>IFERROR(__xludf.DUMMYFUNCTION("""COMPUTED_VALUE"""),0.07913626764067216)</f>
        <v>0.07913626764</v>
      </c>
      <c r="AD75" s="281">
        <f>IFERROR(__xludf.DUMMYFUNCTION("""COMPUTED_VALUE"""),-0.08033623668596498)</f>
        <v>-0.08033623669</v>
      </c>
      <c r="AE75" s="281">
        <f>IFERROR(__xludf.DUMMYFUNCTION("""COMPUTED_VALUE"""),-0.7113176249808941)</f>
        <v>-0.711317625</v>
      </c>
      <c r="AF75" s="281">
        <f>IFERROR(__xludf.DUMMYFUNCTION("""COMPUTED_VALUE"""),-1.674959575774307)</f>
        <v>-1.674959576</v>
      </c>
      <c r="AG75" s="281">
        <f>IFERROR(__xludf.DUMMYFUNCTION("""COMPUTED_VALUE"""),-0.31030831129617975)</f>
        <v>-0.3103083113</v>
      </c>
      <c r="AH75" s="285"/>
      <c r="AI75" s="273"/>
      <c r="AJ75" s="340"/>
      <c r="AK75" s="341"/>
      <c r="AL75" s="273"/>
      <c r="AM75" s="273"/>
      <c r="AN75" s="273"/>
      <c r="AO75" s="273"/>
      <c r="AP75" s="273"/>
      <c r="AQ75" s="273"/>
      <c r="AR75" s="273"/>
      <c r="AS75" s="273"/>
      <c r="AT75" s="273"/>
      <c r="AU75" s="273"/>
      <c r="AV75" s="273"/>
      <c r="AW75" s="273"/>
      <c r="AX75" s="273"/>
      <c r="AY75" s="273"/>
      <c r="AZ75" s="273"/>
      <c r="BA75" s="273"/>
      <c r="BB75" s="273"/>
      <c r="BC75" s="273"/>
      <c r="BD75" s="273"/>
      <c r="BE75" s="273"/>
      <c r="BF75" s="273"/>
      <c r="BG75" s="273"/>
      <c r="BH75" s="273"/>
      <c r="BI75" s="273"/>
      <c r="BJ75" s="273"/>
      <c r="BK75" s="273"/>
      <c r="BL75" s="273"/>
      <c r="BM75" s="273"/>
      <c r="BN75" s="273"/>
      <c r="BO75" s="273"/>
      <c r="BP75" s="273"/>
      <c r="BQ75" s="273"/>
      <c r="BR75" s="273"/>
      <c r="BS75" s="273"/>
      <c r="BT75" s="273"/>
      <c r="BU75" s="273"/>
      <c r="BV75" s="273"/>
      <c r="BW75" s="273"/>
    </row>
    <row r="76">
      <c r="A76" s="276">
        <f>VLOOKUP($F76,UpdateHashtag!$V$3:$Y$32,COLUMN(B$15),0)</f>
        <v>3</v>
      </c>
      <c r="B76" s="259">
        <f>VLOOKUP($F76,UpdateHashtag!$V$3:$Y$32,COLUMN(C$13),0)</f>
        <v>4</v>
      </c>
      <c r="C76" s="259">
        <f>VLOOKUP($F76,UpdateHashtag!$V$3:$Y$32,COLUMN(D$13),0)</f>
        <v>3</v>
      </c>
      <c r="D76" s="277">
        <f t="shared" si="4"/>
        <v>10</v>
      </c>
      <c r="E76" s="21"/>
      <c r="F76" s="261" t="str">
        <f>VLOOKUP(J76,UpdateBBM!$C$2:E1015,3,0)</f>
        <v>LAL</v>
      </c>
      <c r="G76" s="248">
        <v>57.0</v>
      </c>
      <c r="H76" s="278">
        <f>IFERROR(__xludf.DUMMYFUNCTION("""COMPUTED_VALUE"""),57.0)</f>
        <v>57</v>
      </c>
      <c r="I76" s="278">
        <f>IFERROR(__xludf.DUMMYFUNCTION("""COMPUTED_VALUE"""),60.8)</f>
        <v>60.8</v>
      </c>
      <c r="J76" s="279" t="str">
        <f>IFERROR(__xludf.DUMMYFUNCTION("""COMPUTED_VALUE"""),"Deandre Ayton")</f>
        <v>Deandre Ayton</v>
      </c>
      <c r="K76" s="278">
        <f>IFERROR(__xludf.DUMMYFUNCTION("""COMPUTED_VALUE"""),71.0)</f>
        <v>71</v>
      </c>
      <c r="L76" s="280" t="str">
        <f>IFERROR(__xludf.DUMMYFUNCTION("""COMPUTED_VALUE"""),"C")</f>
        <v>C</v>
      </c>
      <c r="M76" s="281">
        <f>IFERROR(__xludf.DUMMYFUNCTION("""COMPUTED_VALUE"""),1.0748941103118046)</f>
        <v>1.07489411</v>
      </c>
      <c r="N76" s="281">
        <f>IFERROR(__xludf.DUMMYFUNCTION("""COMPUTED_VALUE"""),1.0748941103118046)</f>
        <v>1.07489411</v>
      </c>
      <c r="O76" s="282">
        <f>IFERROR(__xludf.DUMMYFUNCTION("""COMPUTED_VALUE"""),0.0)</f>
        <v>0</v>
      </c>
      <c r="P76" s="283">
        <f>IFERROR(__xludf.DUMMYFUNCTION("""COMPUTED_VALUE"""),17.0)</f>
        <v>17</v>
      </c>
      <c r="Q76" s="283">
        <f>IFERROR(__xludf.DUMMYFUNCTION("""COMPUTED_VALUE"""),0.1)</f>
        <v>0.1</v>
      </c>
      <c r="R76" s="283">
        <f>IFERROR(__xludf.DUMMYFUNCTION("""COMPUTED_VALUE"""),10.3)</f>
        <v>10.3</v>
      </c>
      <c r="S76" s="284">
        <f>IFERROR(__xludf.DUMMYFUNCTION("""COMPUTED_VALUE"""),1.7)</f>
        <v>1.7</v>
      </c>
      <c r="T76" s="283">
        <f>IFERROR(__xludf.DUMMYFUNCTION("""COMPUTED_VALUE"""),0.8)</f>
        <v>0.8</v>
      </c>
      <c r="U76" s="283">
        <f>IFERROR(__xludf.DUMMYFUNCTION("""COMPUTED_VALUE"""),0.8)</f>
        <v>0.8</v>
      </c>
      <c r="V76" s="280">
        <f>IFERROR(__xludf.DUMMYFUNCTION("""COMPUTED_VALUE"""),0.571)</f>
        <v>0.571</v>
      </c>
      <c r="W76" s="280">
        <f>IFERROR(__xludf.DUMMYFUNCTION("""COMPUTED_VALUE"""),0.778)</f>
        <v>0.778</v>
      </c>
      <c r="X76" s="280">
        <f>IFERROR(__xludf.DUMMYFUNCTION("""COMPUTED_VALUE"""),1.8)</f>
        <v>1.8</v>
      </c>
      <c r="Y76" s="283">
        <f>IFERROR(__xludf.DUMMYFUNCTION("""COMPUTED_VALUE"""),-0.0843422873119347)</f>
        <v>-0.08434228731</v>
      </c>
      <c r="Z76" s="281">
        <f>IFERROR(__xludf.DUMMYFUNCTION("""COMPUTED_VALUE"""),-1.6411622820433)</f>
        <v>-1.641162282</v>
      </c>
      <c r="AA76" s="281">
        <f>IFERROR(__xludf.DUMMYFUNCTION("""COMPUTED_VALUE"""),1.6597171199830938)</f>
        <v>1.65971712</v>
      </c>
      <c r="AB76" s="281">
        <f>IFERROR(__xludf.DUMMYFUNCTION("""COMPUTED_VALUE"""),-1.0186525625504688)</f>
        <v>-1.018652563</v>
      </c>
      <c r="AC76" s="281">
        <f>IFERROR(__xludf.DUMMYFUNCTION("""COMPUTED_VALUE"""),-0.5847290886782864)</f>
        <v>-0.5847290887</v>
      </c>
      <c r="AD76" s="281">
        <f>IFERROR(__xludf.DUMMYFUNCTION("""COMPUTED_VALUE"""),0.09805746536669153)</f>
        <v>0.09805746537</v>
      </c>
      <c r="AE76" s="281">
        <f>IFERROR(__xludf.DUMMYFUNCTION("""COMPUTED_VALUE"""),1.155341425595671)</f>
        <v>1.155341426</v>
      </c>
      <c r="AF76" s="281">
        <f>IFERROR(__xludf.DUMMYFUNCTION("""COMPUTED_VALUE"""),-0.137768212508622)</f>
        <v>-0.1377682125</v>
      </c>
      <c r="AG76" s="281">
        <f>IFERROR(__xludf.DUMMYFUNCTION("""COMPUTED_VALUE"""),-0.012729749584339901)</f>
        <v>-0.01272974958</v>
      </c>
      <c r="AH76" s="285"/>
      <c r="AI76" s="273"/>
      <c r="AJ76" s="340"/>
      <c r="AK76" s="341"/>
      <c r="AL76" s="273"/>
      <c r="AM76" s="273"/>
      <c r="AN76" s="273"/>
      <c r="AO76" s="273"/>
      <c r="AP76" s="273"/>
      <c r="AQ76" s="273"/>
      <c r="AR76" s="273"/>
      <c r="AS76" s="273"/>
      <c r="AT76" s="273"/>
      <c r="AU76" s="273"/>
      <c r="AV76" s="273"/>
      <c r="AW76" s="273"/>
      <c r="AX76" s="273"/>
      <c r="AY76" s="273"/>
      <c r="AZ76" s="273"/>
      <c r="BA76" s="273"/>
      <c r="BB76" s="273"/>
      <c r="BC76" s="273"/>
      <c r="BD76" s="273"/>
      <c r="BE76" s="273"/>
      <c r="BF76" s="273"/>
      <c r="BG76" s="273"/>
      <c r="BH76" s="273"/>
      <c r="BI76" s="273"/>
      <c r="BJ76" s="273"/>
      <c r="BK76" s="273"/>
      <c r="BL76" s="273"/>
      <c r="BM76" s="273"/>
      <c r="BN76" s="273"/>
      <c r="BO76" s="273"/>
      <c r="BP76" s="273"/>
      <c r="BQ76" s="273"/>
      <c r="BR76" s="273"/>
      <c r="BS76" s="273"/>
      <c r="BT76" s="273"/>
      <c r="BU76" s="273"/>
      <c r="BV76" s="273"/>
      <c r="BW76" s="273"/>
    </row>
    <row r="77">
      <c r="A77" s="276">
        <f>VLOOKUP($F77,UpdateHashtag!$V$3:$Y$32,COLUMN(B$15),0)</f>
        <v>2</v>
      </c>
      <c r="B77" s="259">
        <f>VLOOKUP($F77,UpdateHashtag!$V$3:$Y$32,COLUMN(C$13),0)</f>
        <v>4</v>
      </c>
      <c r="C77" s="259">
        <f>VLOOKUP($F77,UpdateHashtag!$V$3:$Y$32,COLUMN(D$13),0)</f>
        <v>3</v>
      </c>
      <c r="D77" s="277">
        <f t="shared" si="4"/>
        <v>9</v>
      </c>
      <c r="E77" s="21"/>
      <c r="F77" s="261" t="str">
        <f>VLOOKUP(J77,UpdateBBM!$C$2:E1015,3,0)</f>
        <v>ORL</v>
      </c>
      <c r="G77" s="248">
        <v>58.0</v>
      </c>
      <c r="H77" s="278">
        <f>IFERROR(__xludf.DUMMYFUNCTION("""COMPUTED_VALUE"""),58.0)</f>
        <v>58</v>
      </c>
      <c r="I77" s="278">
        <f>IFERROR(__xludf.DUMMYFUNCTION("""COMPUTED_VALUE"""),46.1)</f>
        <v>46.1</v>
      </c>
      <c r="J77" s="279" t="str">
        <f>IFERROR(__xludf.DUMMYFUNCTION("""COMPUTED_VALUE"""),"Franz Wagner")</f>
        <v>Franz Wagner</v>
      </c>
      <c r="K77" s="278">
        <f>IFERROR(__xludf.DUMMYFUNCTION("""COMPUTED_VALUE"""),66.0)</f>
        <v>66</v>
      </c>
      <c r="L77" s="280" t="str">
        <f>IFERROR(__xludf.DUMMYFUNCTION("""COMPUTED_VALUE"""),"SF,PF")</f>
        <v>SF,PF</v>
      </c>
      <c r="M77" s="281">
        <f>IFERROR(__xludf.DUMMYFUNCTION("""COMPUTED_VALUE"""),0.9586943658643525)</f>
        <v>0.9586943659</v>
      </c>
      <c r="N77" s="281">
        <f>IFERROR(__xludf.DUMMYFUNCTION("""COMPUTED_VALUE"""),0.9586943658643525)</f>
        <v>0.9586943659</v>
      </c>
      <c r="O77" s="282">
        <f>IFERROR(__xludf.DUMMYFUNCTION("""COMPUTED_VALUE"""),0.0)</f>
        <v>0</v>
      </c>
      <c r="P77" s="283">
        <f>IFERROR(__xludf.DUMMYFUNCTION("""COMPUTED_VALUE"""),19.6)</f>
        <v>19.6</v>
      </c>
      <c r="Q77" s="283">
        <f>IFERROR(__xludf.DUMMYFUNCTION("""COMPUTED_VALUE"""),1.4)</f>
        <v>1.4</v>
      </c>
      <c r="R77" s="283">
        <f>IFERROR(__xludf.DUMMYFUNCTION("""COMPUTED_VALUE"""),5.4)</f>
        <v>5.4</v>
      </c>
      <c r="S77" s="284">
        <f>IFERROR(__xludf.DUMMYFUNCTION("""COMPUTED_VALUE"""),3.9)</f>
        <v>3.9</v>
      </c>
      <c r="T77" s="283">
        <f>IFERROR(__xludf.DUMMYFUNCTION("""COMPUTED_VALUE"""),1.2)</f>
        <v>1.2</v>
      </c>
      <c r="U77" s="283">
        <f>IFERROR(__xludf.DUMMYFUNCTION("""COMPUTED_VALUE"""),0.4)</f>
        <v>0.4</v>
      </c>
      <c r="V77" s="280">
        <f>IFERROR(__xludf.DUMMYFUNCTION("""COMPUTED_VALUE"""),0.483)</f>
        <v>0.483</v>
      </c>
      <c r="W77" s="280">
        <f>IFERROR(__xludf.DUMMYFUNCTION("""COMPUTED_VALUE"""),0.845)</f>
        <v>0.845</v>
      </c>
      <c r="X77" s="280">
        <f>IFERROR(__xludf.DUMMYFUNCTION("""COMPUTED_VALUE"""),2.0)</f>
        <v>2</v>
      </c>
      <c r="Y77" s="283">
        <f>IFERROR(__xludf.DUMMYFUNCTION("""COMPUTED_VALUE"""),0.3853425637329877)</f>
        <v>0.3853425637</v>
      </c>
      <c r="Z77" s="281">
        <f>IFERROR(__xludf.DUMMYFUNCTION("""COMPUTED_VALUE"""),-0.34734639463326067)</f>
        <v>-0.3473463946</v>
      </c>
      <c r="AA77" s="281">
        <f>IFERROR(__xludf.DUMMYFUNCTION("""COMPUTED_VALUE"""),-0.2623750651405405)</f>
        <v>-0.2623750651</v>
      </c>
      <c r="AB77" s="281">
        <f>IFERROR(__xludf.DUMMYFUNCTION("""COMPUTED_VALUE"""),-0.016293613263543852)</f>
        <v>-0.01629361326</v>
      </c>
      <c r="AC77" s="281">
        <f>IFERROR(__xludf.DUMMYFUNCTION("""COMPUTED_VALUE"""),0.7430016239596308)</f>
        <v>0.743001624</v>
      </c>
      <c r="AD77" s="281">
        <f>IFERROR(__xludf.DUMMYFUNCTION("""COMPUTED_VALUE"""),-0.6155173428439339)</f>
        <v>-0.6155173428</v>
      </c>
      <c r="AE77" s="281">
        <f>IFERROR(__xludf.DUMMYFUNCTION("""COMPUTED_VALUE"""),-0.24402456118446686)</f>
        <v>-0.2440245612</v>
      </c>
      <c r="AF77" s="281">
        <f>IFERROR(__xludf.DUMMYFUNCTION("""COMPUTED_VALUE"""),0.7627159889298591)</f>
        <v>0.7627159889</v>
      </c>
      <c r="AG77" s="281">
        <f>IFERROR(__xludf.DUMMYFUNCTION("""COMPUTED_VALUE"""),-0.062326176536313206)</f>
        <v>-0.06232617654</v>
      </c>
      <c r="AH77" s="285"/>
      <c r="AI77" s="273"/>
      <c r="AJ77" s="340"/>
      <c r="AK77" s="341"/>
      <c r="AL77" s="273"/>
      <c r="AM77" s="273"/>
      <c r="AN77" s="273"/>
      <c r="AO77" s="273"/>
      <c r="AP77" s="273"/>
      <c r="AQ77" s="273"/>
      <c r="AR77" s="273"/>
      <c r="AS77" s="273"/>
      <c r="AT77" s="273"/>
      <c r="AU77" s="273"/>
      <c r="AV77" s="273"/>
      <c r="AW77" s="273"/>
      <c r="AX77" s="273"/>
      <c r="AY77" s="273"/>
      <c r="AZ77" s="273"/>
      <c r="BA77" s="273"/>
      <c r="BB77" s="273"/>
      <c r="BC77" s="273"/>
      <c r="BD77" s="273"/>
      <c r="BE77" s="273"/>
      <c r="BF77" s="273"/>
      <c r="BG77" s="273"/>
      <c r="BH77" s="273"/>
      <c r="BI77" s="273"/>
      <c r="BJ77" s="273"/>
      <c r="BK77" s="273"/>
      <c r="BL77" s="273"/>
      <c r="BM77" s="273"/>
      <c r="BN77" s="273"/>
      <c r="BO77" s="273"/>
      <c r="BP77" s="273"/>
      <c r="BQ77" s="273"/>
      <c r="BR77" s="273"/>
      <c r="BS77" s="273"/>
      <c r="BT77" s="273"/>
      <c r="BU77" s="273"/>
      <c r="BV77" s="273"/>
      <c r="BW77" s="273"/>
    </row>
    <row r="78">
      <c r="A78" s="276">
        <f>VLOOKUP($F78,UpdateHashtag!$V$3:$Y$32,COLUMN(B$15),0)</f>
        <v>2</v>
      </c>
      <c r="B78" s="259">
        <f>VLOOKUP($F78,UpdateHashtag!$V$3:$Y$32,COLUMN(C$13),0)</f>
        <v>4</v>
      </c>
      <c r="C78" s="259">
        <f>VLOOKUP($F78,UpdateHashtag!$V$3:$Y$32,COLUMN(D$13),0)</f>
        <v>3</v>
      </c>
      <c r="D78" s="277">
        <f t="shared" si="4"/>
        <v>9</v>
      </c>
      <c r="E78" s="21"/>
      <c r="F78" s="261" t="str">
        <f>VLOOKUP(J78,UpdateBBM!$C$2:E1015,3,0)</f>
        <v>ORL</v>
      </c>
      <c r="G78" s="248">
        <v>59.0</v>
      </c>
      <c r="H78" s="278">
        <f>IFERROR(__xludf.DUMMYFUNCTION("""COMPUTED_VALUE"""),59.0)</f>
        <v>59</v>
      </c>
      <c r="I78" s="278">
        <f>IFERROR(__xludf.DUMMYFUNCTION("""COMPUTED_VALUE"""),101.8)</f>
        <v>101.8</v>
      </c>
      <c r="J78" s="279" t="str">
        <f>IFERROR(__xludf.DUMMYFUNCTION("""COMPUTED_VALUE"""),"Jalen Suggs")</f>
        <v>Jalen Suggs</v>
      </c>
      <c r="K78" s="278">
        <f>IFERROR(__xludf.DUMMYFUNCTION("""COMPUTED_VALUE"""),66.0)</f>
        <v>66</v>
      </c>
      <c r="L78" s="280" t="str">
        <f>IFERROR(__xludf.DUMMYFUNCTION("""COMPUTED_VALUE"""),"PG,SG")</f>
        <v>PG,SG</v>
      </c>
      <c r="M78" s="281">
        <f>IFERROR(__xludf.DUMMYFUNCTION("""COMPUTED_VALUE"""),0.8841082015557058)</f>
        <v>0.8841082016</v>
      </c>
      <c r="N78" s="281">
        <f>IFERROR(__xludf.DUMMYFUNCTION("""COMPUTED_VALUE"""),0.8841082015557058)</f>
        <v>0.8841082016</v>
      </c>
      <c r="O78" s="282">
        <f>IFERROR(__xludf.DUMMYFUNCTION("""COMPUTED_VALUE"""),0.0)</f>
        <v>0</v>
      </c>
      <c r="P78" s="283">
        <f>IFERROR(__xludf.DUMMYFUNCTION("""COMPUTED_VALUE"""),14.0)</f>
        <v>14</v>
      </c>
      <c r="Q78" s="283">
        <f>IFERROR(__xludf.DUMMYFUNCTION("""COMPUTED_VALUE"""),2.2)</f>
        <v>2.2</v>
      </c>
      <c r="R78" s="283">
        <f>IFERROR(__xludf.DUMMYFUNCTION("""COMPUTED_VALUE"""),3.5)</f>
        <v>3.5</v>
      </c>
      <c r="S78" s="284">
        <f>IFERROR(__xludf.DUMMYFUNCTION("""COMPUTED_VALUE"""),3.6)</f>
        <v>3.6</v>
      </c>
      <c r="T78" s="283">
        <f>IFERROR(__xludf.DUMMYFUNCTION("""COMPUTED_VALUE"""),1.6)</f>
        <v>1.6</v>
      </c>
      <c r="U78" s="283">
        <f>IFERROR(__xludf.DUMMYFUNCTION("""COMPUTED_VALUE"""),0.7)</f>
        <v>0.7</v>
      </c>
      <c r="V78" s="280">
        <f>IFERROR(__xludf.DUMMYFUNCTION("""COMPUTED_VALUE"""),0.465)</f>
        <v>0.465</v>
      </c>
      <c r="W78" s="280">
        <f>IFERROR(__xludf.DUMMYFUNCTION("""COMPUTED_VALUE"""),0.758)</f>
        <v>0.758</v>
      </c>
      <c r="X78" s="280">
        <f>IFERROR(__xludf.DUMMYFUNCTION("""COMPUTED_VALUE"""),2.0)</f>
        <v>2</v>
      </c>
      <c r="Y78" s="283">
        <f>IFERROR(__xludf.DUMMYFUNCTION("""COMPUTED_VALUE"""),-0.6262863462099217)</f>
        <v>-0.6262863462</v>
      </c>
      <c r="Z78" s="281">
        <f>IFERROR(__xludf.DUMMYFUNCTION("""COMPUTED_VALUE"""),0.44884799761907157)</f>
        <v>0.4488479976</v>
      </c>
      <c r="AA78" s="281">
        <f>IFERROR(__xludf.DUMMYFUNCTION("""COMPUTED_VALUE"""),-1.007676116515011)</f>
        <v>-1.007676117</v>
      </c>
      <c r="AB78" s="281">
        <f>IFERROR(__xludf.DUMMYFUNCTION("""COMPUTED_VALUE"""),-0.1529789245299426)</f>
        <v>-0.1529789245</v>
      </c>
      <c r="AC78" s="281">
        <f>IFERROR(__xludf.DUMMYFUNCTION("""COMPUTED_VALUE"""),2.0707323365975485)</f>
        <v>2.070732337</v>
      </c>
      <c r="AD78" s="281">
        <f>IFERROR(__xludf.DUMMYFUNCTION("""COMPUTED_VALUE"""),-0.08033623668596498)</f>
        <v>-0.08033623669</v>
      </c>
      <c r="AE78" s="281">
        <f>IFERROR(__xludf.DUMMYFUNCTION("""COMPUTED_VALUE"""),-0.39979822969782425)</f>
        <v>-0.3997982297</v>
      </c>
      <c r="AF78" s="281">
        <f>IFERROR(__xludf.DUMMYFUNCTION("""COMPUTED_VALUE"""),-0.31374621900094746)</f>
        <v>-0.313746219</v>
      </c>
      <c r="AG78" s="281">
        <f>IFERROR(__xludf.DUMMYFUNCTION("""COMPUTED_VALUE"""),-0.062326176536313206)</f>
        <v>-0.06232617654</v>
      </c>
      <c r="AH78" s="285"/>
      <c r="AI78" s="273"/>
      <c r="AJ78" s="340"/>
      <c r="AK78" s="341"/>
      <c r="AL78" s="273"/>
      <c r="AM78" s="273"/>
      <c r="AN78" s="273"/>
      <c r="AO78" s="273"/>
      <c r="AP78" s="273"/>
      <c r="AQ78" s="273"/>
      <c r="AR78" s="273"/>
      <c r="AS78" s="273"/>
      <c r="AT78" s="273"/>
      <c r="AU78" s="273"/>
      <c r="AV78" s="273"/>
      <c r="AW78" s="273"/>
      <c r="AX78" s="273"/>
      <c r="AY78" s="273"/>
      <c r="AZ78" s="273"/>
      <c r="BA78" s="273"/>
      <c r="BB78" s="273"/>
      <c r="BC78" s="273"/>
      <c r="BD78" s="273"/>
      <c r="BE78" s="273"/>
      <c r="BF78" s="273"/>
      <c r="BG78" s="273"/>
      <c r="BH78" s="273"/>
      <c r="BI78" s="273"/>
      <c r="BJ78" s="273"/>
      <c r="BK78" s="273"/>
      <c r="BL78" s="273"/>
      <c r="BM78" s="273"/>
      <c r="BN78" s="273"/>
      <c r="BO78" s="273"/>
      <c r="BP78" s="273"/>
      <c r="BQ78" s="273"/>
      <c r="BR78" s="273"/>
      <c r="BS78" s="273"/>
      <c r="BT78" s="273"/>
      <c r="BU78" s="273"/>
      <c r="BV78" s="273"/>
      <c r="BW78" s="273"/>
    </row>
    <row r="79">
      <c r="A79" s="276">
        <f>VLOOKUP($F79,UpdateHashtag!$V$3:$Y$32,COLUMN(B$15),0)</f>
        <v>4</v>
      </c>
      <c r="B79" s="259">
        <f>VLOOKUP($F79,UpdateHashtag!$V$3:$Y$32,COLUMN(C$13),0)</f>
        <v>3</v>
      </c>
      <c r="C79" s="259">
        <f>VLOOKUP($F79,UpdateHashtag!$V$3:$Y$32,COLUMN(D$13),0)</f>
        <v>4</v>
      </c>
      <c r="D79" s="277">
        <f t="shared" si="4"/>
        <v>11</v>
      </c>
      <c r="E79" s="21"/>
      <c r="F79" s="261" t="str">
        <f>VLOOKUP(J79,UpdateBBM!$C$2:E1015,3,0)</f>
        <v>CLE</v>
      </c>
      <c r="G79" s="248">
        <v>60.0</v>
      </c>
      <c r="H79" s="278">
        <f>IFERROR(__xludf.DUMMYFUNCTION("""COMPUTED_VALUE"""),60.0)</f>
        <v>60</v>
      </c>
      <c r="I79" s="278">
        <f>IFERROR(__xludf.DUMMYFUNCTION("""COMPUTED_VALUE"""),53.2)</f>
        <v>53.2</v>
      </c>
      <c r="J79" s="279" t="str">
        <f>IFERROR(__xludf.DUMMYFUNCTION("""COMPUTED_VALUE"""),"Jarrett Allen")</f>
        <v>Jarrett Allen</v>
      </c>
      <c r="K79" s="278">
        <f>IFERROR(__xludf.DUMMYFUNCTION("""COMPUTED_VALUE"""),51.0)</f>
        <v>51</v>
      </c>
      <c r="L79" s="280" t="str">
        <f>IFERROR(__xludf.DUMMYFUNCTION("""COMPUTED_VALUE"""),"C")</f>
        <v>C</v>
      </c>
      <c r="M79" s="281">
        <f>IFERROR(__xludf.DUMMYFUNCTION("""COMPUTED_VALUE"""),0.8803883476420991)</f>
        <v>0.8803883476</v>
      </c>
      <c r="N79" s="281">
        <f>IFERROR(__xludf.DUMMYFUNCTION("""COMPUTED_VALUE"""),0.8803883476420991)</f>
        <v>0.8803883476</v>
      </c>
      <c r="O79" s="282">
        <f>IFERROR(__xludf.DUMMYFUNCTION("""COMPUTED_VALUE"""),0.0)</f>
        <v>0</v>
      </c>
      <c r="P79" s="283">
        <f>IFERROR(__xludf.DUMMYFUNCTION("""COMPUTED_VALUE"""),14.9)</f>
        <v>14.9</v>
      </c>
      <c r="Q79" s="283">
        <f>IFERROR(__xludf.DUMMYFUNCTION("""COMPUTED_VALUE"""),0.0)</f>
        <v>0</v>
      </c>
      <c r="R79" s="283">
        <f>IFERROR(__xludf.DUMMYFUNCTION("""COMPUTED_VALUE"""),9.9)</f>
        <v>9.9</v>
      </c>
      <c r="S79" s="284">
        <f>IFERROR(__xludf.DUMMYFUNCTION("""COMPUTED_VALUE"""),2.2)</f>
        <v>2.2</v>
      </c>
      <c r="T79" s="283">
        <f>IFERROR(__xludf.DUMMYFUNCTION("""COMPUTED_VALUE"""),0.7)</f>
        <v>0.7</v>
      </c>
      <c r="U79" s="283">
        <f>IFERROR(__xludf.DUMMYFUNCTION("""COMPUTED_VALUE"""),1.1)</f>
        <v>1.1</v>
      </c>
      <c r="V79" s="280">
        <f>IFERROR(__xludf.DUMMYFUNCTION("""COMPUTED_VALUE"""),0.637)</f>
        <v>0.637</v>
      </c>
      <c r="W79" s="280">
        <f>IFERROR(__xludf.DUMMYFUNCTION("""COMPUTED_VALUE"""),0.735)</f>
        <v>0.735</v>
      </c>
      <c r="X79" s="280">
        <f>IFERROR(__xludf.DUMMYFUNCTION("""COMPUTED_VALUE"""),1.4)</f>
        <v>1.4</v>
      </c>
      <c r="Y79" s="283">
        <f>IFERROR(__xludf.DUMMYFUNCTION("""COMPUTED_VALUE"""),-0.4637031285405256)</f>
        <v>-0.4637031285</v>
      </c>
      <c r="Z79" s="281">
        <f>IFERROR(__xludf.DUMMYFUNCTION("""COMPUTED_VALUE"""),-1.7406865810748415)</f>
        <v>-1.740686581</v>
      </c>
      <c r="AA79" s="281">
        <f>IFERROR(__xludf.DUMMYFUNCTION("""COMPUTED_VALUE"""),1.502811635483205)</f>
        <v>1.502811635</v>
      </c>
      <c r="AB79" s="281">
        <f>IFERROR(__xludf.DUMMYFUNCTION("""COMPUTED_VALUE"""),-0.7908437104398038)</f>
        <v>-0.7908437104</v>
      </c>
      <c r="AC79" s="281">
        <f>IFERROR(__xludf.DUMMYFUNCTION("""COMPUTED_VALUE"""),-0.9166617668377661)</f>
        <v>-0.9166617668</v>
      </c>
      <c r="AD79" s="281">
        <f>IFERROR(__xludf.DUMMYFUNCTION("""COMPUTED_VALUE"""),0.6332385715246607)</f>
        <v>0.6332385715</v>
      </c>
      <c r="AE79" s="281">
        <f>IFERROR(__xludf.DUMMYFUNCTION("""COMPUTED_VALUE"""),1.592932415895258)</f>
        <v>1.592932416</v>
      </c>
      <c r="AF79" s="281">
        <f>IFERROR(__xludf.DUMMYFUNCTION("""COMPUTED_VALUE"""),-0.763848773762536)</f>
        <v>-0.7638487738</v>
      </c>
      <c r="AG79" s="281">
        <f>IFERROR(__xludf.DUMMYFUNCTION("""COMPUTED_VALUE"""),0.08646310431960676)</f>
        <v>0.08646310432</v>
      </c>
      <c r="AH79" s="285"/>
      <c r="AI79" s="273"/>
      <c r="AJ79" s="340"/>
      <c r="AK79" s="341"/>
      <c r="AL79" s="273"/>
      <c r="AM79" s="273"/>
      <c r="AN79" s="273"/>
      <c r="AO79" s="273"/>
      <c r="AP79" s="273"/>
      <c r="AQ79" s="273"/>
      <c r="AR79" s="273"/>
      <c r="AS79" s="273"/>
      <c r="AT79" s="273"/>
      <c r="AU79" s="273"/>
      <c r="AV79" s="273"/>
      <c r="AW79" s="273"/>
      <c r="AX79" s="273"/>
      <c r="AY79" s="273"/>
      <c r="AZ79" s="273"/>
      <c r="BA79" s="273"/>
      <c r="BB79" s="273"/>
      <c r="BC79" s="273"/>
      <c r="BD79" s="273"/>
      <c r="BE79" s="273"/>
      <c r="BF79" s="273"/>
      <c r="BG79" s="273"/>
      <c r="BH79" s="273"/>
      <c r="BI79" s="273"/>
      <c r="BJ79" s="273"/>
      <c r="BK79" s="273"/>
      <c r="BL79" s="273"/>
      <c r="BM79" s="273"/>
      <c r="BN79" s="273"/>
      <c r="BO79" s="273"/>
      <c r="BP79" s="273"/>
      <c r="BQ79" s="273"/>
      <c r="BR79" s="273"/>
      <c r="BS79" s="273"/>
      <c r="BT79" s="273"/>
      <c r="BU79" s="273"/>
      <c r="BV79" s="273"/>
      <c r="BW79" s="273"/>
    </row>
    <row r="80">
      <c r="A80" s="276">
        <f>VLOOKUP($F80,UpdateHashtag!$V$3:$Y$32,COLUMN(B$15),0)</f>
        <v>2</v>
      </c>
      <c r="B80" s="259">
        <f>VLOOKUP($F80,UpdateHashtag!$V$3:$Y$32,COLUMN(C$13),0)</f>
        <v>4</v>
      </c>
      <c r="C80" s="259">
        <f>VLOOKUP($F80,UpdateHashtag!$V$3:$Y$32,COLUMN(D$13),0)</f>
        <v>4</v>
      </c>
      <c r="D80" s="277">
        <f t="shared" si="4"/>
        <v>10</v>
      </c>
      <c r="E80" s="21"/>
      <c r="F80" s="261" t="str">
        <f>VLOOKUP(J80,UpdateBBM!$C$2:E1015,3,0)</f>
        <v>CHI</v>
      </c>
      <c r="G80" s="248">
        <v>61.0</v>
      </c>
      <c r="H80" s="278">
        <f>IFERROR(__xludf.DUMMYFUNCTION("""COMPUTED_VALUE"""),61.0)</f>
        <v>61</v>
      </c>
      <c r="I80" s="278">
        <f>IFERROR(__xludf.DUMMYFUNCTION("""COMPUTED_VALUE"""),55.2)</f>
        <v>55.2</v>
      </c>
      <c r="J80" s="279" t="str">
        <f>IFERROR(__xludf.DUMMYFUNCTION("""COMPUTED_VALUE"""),"Nikola Vucevic")</f>
        <v>Nikola Vucevic</v>
      </c>
      <c r="K80" s="278">
        <f>IFERROR(__xludf.DUMMYFUNCTION("""COMPUTED_VALUE"""),62.0)</f>
        <v>62</v>
      </c>
      <c r="L80" s="280" t="str">
        <f>IFERROR(__xludf.DUMMYFUNCTION("""COMPUTED_VALUE"""),"PF,C")</f>
        <v>PF,C</v>
      </c>
      <c r="M80" s="281">
        <f>IFERROR(__xludf.DUMMYFUNCTION("""COMPUTED_VALUE"""),0.834858274176779)</f>
        <v>0.8348582742</v>
      </c>
      <c r="N80" s="281">
        <f>IFERROR(__xludf.DUMMYFUNCTION("""COMPUTED_VALUE"""),0.834858274176779)</f>
        <v>0.8348582742</v>
      </c>
      <c r="O80" s="282">
        <f>IFERROR(__xludf.DUMMYFUNCTION("""COMPUTED_VALUE"""),0.0)</f>
        <v>0</v>
      </c>
      <c r="P80" s="283">
        <f>IFERROR(__xludf.DUMMYFUNCTION("""COMPUTED_VALUE"""),17.1)</f>
        <v>17.1</v>
      </c>
      <c r="Q80" s="283">
        <f>IFERROR(__xludf.DUMMYFUNCTION("""COMPUTED_VALUE"""),1.4)</f>
        <v>1.4</v>
      </c>
      <c r="R80" s="283">
        <f>IFERROR(__xludf.DUMMYFUNCTION("""COMPUTED_VALUE"""),10.4)</f>
        <v>10.4</v>
      </c>
      <c r="S80" s="284">
        <f>IFERROR(__xludf.DUMMYFUNCTION("""COMPUTED_VALUE"""),3.3)</f>
        <v>3.3</v>
      </c>
      <c r="T80" s="283">
        <f>IFERROR(__xludf.DUMMYFUNCTION("""COMPUTED_VALUE"""),0.7)</f>
        <v>0.7</v>
      </c>
      <c r="U80" s="283">
        <f>IFERROR(__xludf.DUMMYFUNCTION("""COMPUTED_VALUE"""),0.7)</f>
        <v>0.7</v>
      </c>
      <c r="V80" s="280">
        <f>IFERROR(__xludf.DUMMYFUNCTION("""COMPUTED_VALUE"""),0.482)</f>
        <v>0.482</v>
      </c>
      <c r="W80" s="280">
        <f>IFERROR(__xludf.DUMMYFUNCTION("""COMPUTED_VALUE"""),0.817)</f>
        <v>0.817</v>
      </c>
      <c r="X80" s="280">
        <f>IFERROR(__xludf.DUMMYFUNCTION("""COMPUTED_VALUE"""),1.6)</f>
        <v>1.6</v>
      </c>
      <c r="Y80" s="283">
        <f>IFERROR(__xludf.DUMMYFUNCTION("""COMPUTED_VALUE"""),-0.06627748534866822)</f>
        <v>-0.06627748535</v>
      </c>
      <c r="Z80" s="281">
        <f>IFERROR(__xludf.DUMMYFUNCTION("""COMPUTED_VALUE"""),-0.34734639463326067)</f>
        <v>-0.3473463946</v>
      </c>
      <c r="AA80" s="281">
        <f>IFERROR(__xludf.DUMMYFUNCTION("""COMPUTED_VALUE"""),1.6989434911080659)</f>
        <v>1.698943491</v>
      </c>
      <c r="AB80" s="281">
        <f>IFERROR(__xludf.DUMMYFUNCTION("""COMPUTED_VALUE"""),-0.2896642357963416)</f>
        <v>-0.2896642358</v>
      </c>
      <c r="AC80" s="281">
        <f>IFERROR(__xludf.DUMMYFUNCTION("""COMPUTED_VALUE"""),-0.9166617668377661)</f>
        <v>-0.9166617668</v>
      </c>
      <c r="AD80" s="281">
        <f>IFERROR(__xludf.DUMMYFUNCTION("""COMPUTED_VALUE"""),-0.08033623668596498)</f>
        <v>-0.08033623669</v>
      </c>
      <c r="AE80" s="281">
        <f>IFERROR(__xludf.DUMMYFUNCTION("""COMPUTED_VALUE"""),-0.2581165138971423)</f>
        <v>-0.2581165139</v>
      </c>
      <c r="AF80" s="281">
        <f>IFERROR(__xludf.DUMMYFUNCTION("""COMPUTED_VALUE"""),0.1407889720624576)</f>
        <v>0.1407889721</v>
      </c>
      <c r="AG80" s="281">
        <f>IFERROR(__xludf.DUMMYFUNCTION("""COMPUTED_VALUE"""),0.036866677367633396)</f>
        <v>0.03686667737</v>
      </c>
      <c r="AH80" s="285"/>
      <c r="AI80" s="273"/>
      <c r="AJ80" s="340"/>
      <c r="AK80" s="341"/>
      <c r="AL80" s="273"/>
      <c r="AM80" s="273"/>
      <c r="AN80" s="273"/>
      <c r="AO80" s="273"/>
      <c r="AP80" s="273"/>
      <c r="AQ80" s="273"/>
      <c r="AR80" s="273"/>
      <c r="AS80" s="273"/>
      <c r="AT80" s="273"/>
      <c r="AU80" s="273"/>
      <c r="AV80" s="273"/>
      <c r="AW80" s="273"/>
      <c r="AX80" s="273"/>
      <c r="AY80" s="273"/>
      <c r="AZ80" s="273"/>
      <c r="BA80" s="273"/>
      <c r="BB80" s="273"/>
      <c r="BC80" s="273"/>
      <c r="BD80" s="273"/>
      <c r="BE80" s="273"/>
      <c r="BF80" s="273"/>
      <c r="BG80" s="273"/>
      <c r="BH80" s="273"/>
      <c r="BI80" s="273"/>
      <c r="BJ80" s="273"/>
      <c r="BK80" s="273"/>
      <c r="BL80" s="273"/>
      <c r="BM80" s="273"/>
      <c r="BN80" s="273"/>
      <c r="BO80" s="273"/>
      <c r="BP80" s="273"/>
      <c r="BQ80" s="273"/>
      <c r="BR80" s="273"/>
      <c r="BS80" s="273"/>
      <c r="BT80" s="273"/>
      <c r="BU80" s="273"/>
      <c r="BV80" s="273"/>
      <c r="BW80" s="273"/>
    </row>
    <row r="81">
      <c r="A81" s="276">
        <f>VLOOKUP($F81,UpdateHashtag!$V$3:$Y$32,COLUMN(B$15),0)</f>
        <v>4</v>
      </c>
      <c r="B81" s="259">
        <f>VLOOKUP($F81,UpdateHashtag!$V$3:$Y$32,COLUMN(C$13),0)</f>
        <v>4</v>
      </c>
      <c r="C81" s="259">
        <f>VLOOKUP($F81,UpdateHashtag!$V$3:$Y$32,COLUMN(D$13),0)</f>
        <v>3</v>
      </c>
      <c r="D81" s="277">
        <f t="shared" si="4"/>
        <v>11</v>
      </c>
      <c r="E81" s="21"/>
      <c r="F81" s="261" t="str">
        <f>VLOOKUP(J81,UpdateBBM!$C$2:E1015,3,0)</f>
        <v>OKC</v>
      </c>
      <c r="G81" s="248">
        <v>62.0</v>
      </c>
      <c r="H81" s="278">
        <f>IFERROR(__xludf.DUMMYFUNCTION("""COMPUTED_VALUE"""),62.0)</f>
        <v>62</v>
      </c>
      <c r="I81" s="278">
        <f>IFERROR(__xludf.DUMMYFUNCTION("""COMPUTED_VALUE"""),102.0)</f>
        <v>102</v>
      </c>
      <c r="J81" s="279" t="str">
        <f>IFERROR(__xludf.DUMMYFUNCTION("""COMPUTED_VALUE"""),"Alex Caruso")</f>
        <v>Alex Caruso</v>
      </c>
      <c r="K81" s="278">
        <f>IFERROR(__xludf.DUMMYFUNCTION("""COMPUTED_VALUE"""),10.0)</f>
        <v>10</v>
      </c>
      <c r="L81" s="280" t="str">
        <f>IFERROR(__xludf.DUMMYFUNCTION("""COMPUTED_VALUE"""),"SG,SF")</f>
        <v>SG,SF</v>
      </c>
      <c r="M81" s="281">
        <f>IFERROR(__xludf.DUMMYFUNCTION("""COMPUTED_VALUE"""),0.7860588756264406)</f>
        <v>0.7860588756</v>
      </c>
      <c r="N81" s="281">
        <f>IFERROR(__xludf.DUMMYFUNCTION("""COMPUTED_VALUE"""),0.7860588756264406)</f>
        <v>0.7860588756</v>
      </c>
      <c r="O81" s="282">
        <f>IFERROR(__xludf.DUMMYFUNCTION("""COMPUTED_VALUE"""),0.0)</f>
        <v>0</v>
      </c>
      <c r="P81" s="283">
        <f>IFERROR(__xludf.DUMMYFUNCTION("""COMPUTED_VALUE"""),8.7)</f>
        <v>8.7</v>
      </c>
      <c r="Q81" s="283">
        <f>IFERROR(__xludf.DUMMYFUNCTION("""COMPUTED_VALUE"""),1.5)</f>
        <v>1.5</v>
      </c>
      <c r="R81" s="283">
        <f>IFERROR(__xludf.DUMMYFUNCTION("""COMPUTED_VALUE"""),3.8)</f>
        <v>3.8</v>
      </c>
      <c r="S81" s="284">
        <f>IFERROR(__xludf.DUMMYFUNCTION("""COMPUTED_VALUE"""),3.5)</f>
        <v>3.5</v>
      </c>
      <c r="T81" s="283">
        <f>IFERROR(__xludf.DUMMYFUNCTION("""COMPUTED_VALUE"""),1.6)</f>
        <v>1.6</v>
      </c>
      <c r="U81" s="283">
        <f>IFERROR(__xludf.DUMMYFUNCTION("""COMPUTED_VALUE"""),0.9)</f>
        <v>0.9</v>
      </c>
      <c r="V81" s="280">
        <f>IFERROR(__xludf.DUMMYFUNCTION("""COMPUTED_VALUE"""),0.463)</f>
        <v>0.463</v>
      </c>
      <c r="W81" s="280">
        <f>IFERROR(__xludf.DUMMYFUNCTION("""COMPUTED_VALUE"""),0.785)</f>
        <v>0.785</v>
      </c>
      <c r="X81" s="280">
        <f>IFERROR(__xludf.DUMMYFUNCTION("""COMPUTED_VALUE"""),1.4)</f>
        <v>1.4</v>
      </c>
      <c r="Y81" s="283">
        <f>IFERROR(__xludf.DUMMYFUNCTION("""COMPUTED_VALUE"""),-1.5837208502630324)</f>
        <v>-1.58372085</v>
      </c>
      <c r="Z81" s="281">
        <f>IFERROR(__xludf.DUMMYFUNCTION("""COMPUTED_VALUE"""),-0.24782209560171908)</f>
        <v>-0.2478220956</v>
      </c>
      <c r="AA81" s="281">
        <f>IFERROR(__xludf.DUMMYFUNCTION("""COMPUTED_VALUE"""),-0.8899970031400947)</f>
        <v>-0.8899970031</v>
      </c>
      <c r="AB81" s="281">
        <f>IFERROR(__xludf.DUMMYFUNCTION("""COMPUTED_VALUE"""),-0.1985406949520756)</f>
        <v>-0.198540695</v>
      </c>
      <c r="AC81" s="281">
        <f>IFERROR(__xludf.DUMMYFUNCTION("""COMPUTED_VALUE"""),2.0707323365975485)</f>
        <v>2.070732337</v>
      </c>
      <c r="AD81" s="281">
        <f>IFERROR(__xludf.DUMMYFUNCTION("""COMPUTED_VALUE"""),0.27645116741934783)</f>
        <v>0.2764511674</v>
      </c>
      <c r="AE81" s="281">
        <f>IFERROR(__xludf.DUMMYFUNCTION("""COMPUTED_VALUE"""),-0.262074927580477)</f>
        <v>-0.2620749276</v>
      </c>
      <c r="AF81" s="281">
        <f>IFERROR(__xludf.DUMMYFUNCTION("""COMPUTED_VALUE"""),-0.04915301143569595)</f>
        <v>-0.04915301144</v>
      </c>
      <c r="AG81" s="281">
        <f>IFERROR(__xludf.DUMMYFUNCTION("""COMPUTED_VALUE"""),0.08646310431960676)</f>
        <v>0.08646310432</v>
      </c>
      <c r="AH81" s="285"/>
      <c r="AI81" s="273"/>
      <c r="AJ81" s="340"/>
      <c r="AK81" s="341"/>
      <c r="AL81" s="273"/>
      <c r="AM81" s="273"/>
      <c r="AN81" s="273"/>
      <c r="AO81" s="273"/>
      <c r="AP81" s="273"/>
      <c r="AQ81" s="273"/>
      <c r="AR81" s="273"/>
      <c r="AS81" s="273"/>
      <c r="AT81" s="273"/>
      <c r="AU81" s="273"/>
      <c r="AV81" s="273"/>
      <c r="AW81" s="273"/>
      <c r="AX81" s="273"/>
      <c r="AY81" s="273"/>
      <c r="AZ81" s="273"/>
      <c r="BA81" s="273"/>
      <c r="BB81" s="273"/>
      <c r="BC81" s="273"/>
      <c r="BD81" s="273"/>
      <c r="BE81" s="273"/>
      <c r="BF81" s="273"/>
      <c r="BG81" s="273"/>
      <c r="BH81" s="273"/>
      <c r="BI81" s="273"/>
      <c r="BJ81" s="273"/>
      <c r="BK81" s="273"/>
      <c r="BL81" s="273"/>
      <c r="BM81" s="273"/>
      <c r="BN81" s="273"/>
      <c r="BO81" s="273"/>
      <c r="BP81" s="273"/>
      <c r="BQ81" s="273"/>
      <c r="BR81" s="273"/>
      <c r="BS81" s="273"/>
      <c r="BT81" s="273"/>
      <c r="BU81" s="273"/>
      <c r="BV81" s="273"/>
      <c r="BW81" s="273"/>
    </row>
    <row r="82">
      <c r="A82" s="276">
        <f>VLOOKUP($F82,UpdateHashtag!$V$3:$Y$32,COLUMN(B$15),0)</f>
        <v>4</v>
      </c>
      <c r="B82" s="259">
        <f>VLOOKUP($F82,UpdateHashtag!$V$3:$Y$32,COLUMN(C$13),0)</f>
        <v>4</v>
      </c>
      <c r="C82" s="259">
        <f>VLOOKUP($F82,UpdateHashtag!$V$3:$Y$32,COLUMN(D$13),0)</f>
        <v>4</v>
      </c>
      <c r="D82" s="277">
        <f t="shared" si="4"/>
        <v>12</v>
      </c>
      <c r="E82" s="21"/>
      <c r="F82" s="261" t="str">
        <f>VLOOKUP(J82,UpdateBBM!$C$2:E1015,3,0)</f>
        <v>MIA</v>
      </c>
      <c r="G82" s="248">
        <v>63.0</v>
      </c>
      <c r="H82" s="278">
        <f>IFERROR(__xludf.DUMMYFUNCTION("""COMPUTED_VALUE"""),63.0)</f>
        <v>63</v>
      </c>
      <c r="I82" s="278">
        <f>IFERROR(__xludf.DUMMYFUNCTION("""COMPUTED_VALUE"""),78.0)</f>
        <v>78</v>
      </c>
      <c r="J82" s="279" t="str">
        <f>IFERROR(__xludf.DUMMYFUNCTION("""COMPUTED_VALUE"""),"Tyler Herro")</f>
        <v>Tyler Herro</v>
      </c>
      <c r="K82" s="278">
        <f>IFERROR(__xludf.DUMMYFUNCTION("""COMPUTED_VALUE"""),66.0)</f>
        <v>66</v>
      </c>
      <c r="L82" s="280" t="str">
        <f>IFERROR(__xludf.DUMMYFUNCTION("""COMPUTED_VALUE"""),"PG,SG")</f>
        <v>PG,SG</v>
      </c>
      <c r="M82" s="281">
        <f>IFERROR(__xludf.DUMMYFUNCTION("""COMPUTED_VALUE"""),0.710463581280097)</f>
        <v>0.7104635813</v>
      </c>
      <c r="N82" s="281">
        <f>IFERROR(__xludf.DUMMYFUNCTION("""COMPUTED_VALUE"""),0.710463581280097)</f>
        <v>0.7104635813</v>
      </c>
      <c r="O82" s="282">
        <f>IFERROR(__xludf.DUMMYFUNCTION("""COMPUTED_VALUE"""),0.0)</f>
        <v>0</v>
      </c>
      <c r="P82" s="283">
        <f>IFERROR(__xludf.DUMMYFUNCTION("""COMPUTED_VALUE"""),20.2)</f>
        <v>20.2</v>
      </c>
      <c r="Q82" s="283">
        <f>IFERROR(__xludf.DUMMYFUNCTION("""COMPUTED_VALUE"""),3.1)</f>
        <v>3.1</v>
      </c>
      <c r="R82" s="283">
        <f>IFERROR(__xludf.DUMMYFUNCTION("""COMPUTED_VALUE"""),5.3)</f>
        <v>5.3</v>
      </c>
      <c r="S82" s="284">
        <f>IFERROR(__xludf.DUMMYFUNCTION("""COMPUTED_VALUE"""),4.3)</f>
        <v>4.3</v>
      </c>
      <c r="T82" s="283">
        <f>IFERROR(__xludf.DUMMYFUNCTION("""COMPUTED_VALUE"""),0.7)</f>
        <v>0.7</v>
      </c>
      <c r="U82" s="283">
        <f>IFERROR(__xludf.DUMMYFUNCTION("""COMPUTED_VALUE"""),0.2)</f>
        <v>0.2</v>
      </c>
      <c r="V82" s="280">
        <f>IFERROR(__xludf.DUMMYFUNCTION("""COMPUTED_VALUE"""),0.44)</f>
        <v>0.44</v>
      </c>
      <c r="W82" s="280">
        <f>IFERROR(__xludf.DUMMYFUNCTION("""COMPUTED_VALUE"""),0.903)</f>
        <v>0.903</v>
      </c>
      <c r="X82" s="280">
        <f>IFERROR(__xludf.DUMMYFUNCTION("""COMPUTED_VALUE"""),2.3)</f>
        <v>2.3</v>
      </c>
      <c r="Y82" s="283">
        <f>IFERROR(__xludf.DUMMYFUNCTION("""COMPUTED_VALUE"""),0.4937313755125847)</f>
        <v>0.4937313755</v>
      </c>
      <c r="Z82" s="281">
        <f>IFERROR(__xludf.DUMMYFUNCTION("""COMPUTED_VALUE"""),1.344566688902945)</f>
        <v>1.344566689</v>
      </c>
      <c r="AA82" s="281">
        <f>IFERROR(__xludf.DUMMYFUNCTION("""COMPUTED_VALUE"""),-0.30160143626551283)</f>
        <v>-0.3016014363</v>
      </c>
      <c r="AB82" s="281">
        <f>IFERROR(__xludf.DUMMYFUNCTION("""COMPUTED_VALUE"""),0.1659534684249879)</f>
        <v>0.1659534684</v>
      </c>
      <c r="AC82" s="281">
        <f>IFERROR(__xludf.DUMMYFUNCTION("""COMPUTED_VALUE"""),-0.9166617668377661)</f>
        <v>-0.9166617668</v>
      </c>
      <c r="AD82" s="281">
        <f>IFERROR(__xludf.DUMMYFUNCTION("""COMPUTED_VALUE"""),-0.9723047469492465)</f>
        <v>-0.9723047469</v>
      </c>
      <c r="AE82" s="281">
        <f>IFERROR(__xludf.DUMMYFUNCTION("""COMPUTED_VALUE"""),-1.1199609688621095)</f>
        <v>-1.119960969</v>
      </c>
      <c r="AF82" s="281">
        <f>IFERROR(__xludf.DUMMYFUNCTION("""COMPUTED_VALUE"""),1.0335008154563778)</f>
        <v>1.033500815</v>
      </c>
      <c r="AG82" s="281">
        <f>IFERROR(__xludf.DUMMYFUNCTION("""COMPUTED_VALUE"""),-0.13672081696427313)</f>
        <v>-0.136720817</v>
      </c>
      <c r="AH82" s="285"/>
      <c r="AI82" s="273"/>
      <c r="AJ82" s="340"/>
      <c r="AK82" s="341"/>
      <c r="AL82" s="273"/>
      <c r="AM82" s="273"/>
      <c r="AN82" s="273"/>
      <c r="AO82" s="273"/>
      <c r="AP82" s="273"/>
      <c r="AQ82" s="273"/>
      <c r="AR82" s="273"/>
      <c r="AS82" s="273"/>
      <c r="AT82" s="273"/>
      <c r="AU82" s="273"/>
      <c r="AV82" s="273"/>
      <c r="AW82" s="273"/>
      <c r="AX82" s="273"/>
      <c r="AY82" s="273"/>
      <c r="AZ82" s="273"/>
      <c r="BA82" s="273"/>
      <c r="BB82" s="273"/>
      <c r="BC82" s="273"/>
      <c r="BD82" s="273"/>
      <c r="BE82" s="273"/>
      <c r="BF82" s="273"/>
      <c r="BG82" s="273"/>
      <c r="BH82" s="273"/>
      <c r="BI82" s="273"/>
      <c r="BJ82" s="273"/>
      <c r="BK82" s="273"/>
      <c r="BL82" s="273"/>
      <c r="BM82" s="273"/>
      <c r="BN82" s="273"/>
      <c r="BO82" s="273"/>
      <c r="BP82" s="273"/>
      <c r="BQ82" s="273"/>
      <c r="BR82" s="273"/>
      <c r="BS82" s="273"/>
      <c r="BT82" s="273"/>
      <c r="BU82" s="273"/>
      <c r="BV82" s="273"/>
      <c r="BW82" s="273"/>
    </row>
    <row r="83">
      <c r="A83" s="276">
        <f>VLOOKUP($F83,UpdateHashtag!$V$3:$Y$32,COLUMN(B$15),0)</f>
        <v>4</v>
      </c>
      <c r="B83" s="259">
        <f>VLOOKUP($F83,UpdateHashtag!$V$3:$Y$32,COLUMN(C$13),0)</f>
        <v>3</v>
      </c>
      <c r="C83" s="259">
        <f>VLOOKUP($F83,UpdateHashtag!$V$3:$Y$32,COLUMN(D$13),0)</f>
        <v>4</v>
      </c>
      <c r="D83" s="277">
        <f t="shared" si="4"/>
        <v>11</v>
      </c>
      <c r="E83" s="21"/>
      <c r="F83" s="261" t="str">
        <f>VLOOKUP(J83,UpdateBBM!$C$2:E1015,3,0)</f>
        <v>SAC</v>
      </c>
      <c r="G83" s="248">
        <v>64.0</v>
      </c>
      <c r="H83" s="278">
        <f>IFERROR(__xludf.DUMMYFUNCTION("""COMPUTED_VALUE"""),64.0)</f>
        <v>64</v>
      </c>
      <c r="I83" s="278">
        <f>IFERROR(__xludf.DUMMYFUNCTION("""COMPUTED_VALUE"""),63.0)</f>
        <v>63</v>
      </c>
      <c r="J83" s="279" t="str">
        <f>IFERROR(__xludf.DUMMYFUNCTION("""COMPUTED_VALUE"""),"Zach LaVine")</f>
        <v>Zach LaVine</v>
      </c>
      <c r="K83" s="278">
        <f>IFERROR(__xludf.DUMMYFUNCTION("""COMPUTED_VALUE"""),62.0)</f>
        <v>62</v>
      </c>
      <c r="L83" s="280" t="str">
        <f>IFERROR(__xludf.DUMMYFUNCTION("""COMPUTED_VALUE"""),"SG,SF")</f>
        <v>SG,SF</v>
      </c>
      <c r="M83" s="281">
        <f>IFERROR(__xludf.DUMMYFUNCTION("""COMPUTED_VALUE"""),0.6816169649399682)</f>
        <v>0.6816169649</v>
      </c>
      <c r="N83" s="281">
        <f>IFERROR(__xludf.DUMMYFUNCTION("""COMPUTED_VALUE"""),0.6816169649399682)</f>
        <v>0.6816169649</v>
      </c>
      <c r="O83" s="282">
        <f>IFERROR(__xludf.DUMMYFUNCTION("""COMPUTED_VALUE"""),0.0)</f>
        <v>0</v>
      </c>
      <c r="P83" s="283">
        <f>IFERROR(__xludf.DUMMYFUNCTION("""COMPUTED_VALUE"""),21.6)</f>
        <v>21.6</v>
      </c>
      <c r="Q83" s="283">
        <f>IFERROR(__xludf.DUMMYFUNCTION("""COMPUTED_VALUE"""),2.5)</f>
        <v>2.5</v>
      </c>
      <c r="R83" s="283">
        <f>IFERROR(__xludf.DUMMYFUNCTION("""COMPUTED_VALUE"""),4.5)</f>
        <v>4.5</v>
      </c>
      <c r="S83" s="284">
        <f>IFERROR(__xludf.DUMMYFUNCTION("""COMPUTED_VALUE"""),4.0)</f>
        <v>4</v>
      </c>
      <c r="T83" s="283">
        <f>IFERROR(__xludf.DUMMYFUNCTION("""COMPUTED_VALUE"""),0.9)</f>
        <v>0.9</v>
      </c>
      <c r="U83" s="283">
        <f>IFERROR(__xludf.DUMMYFUNCTION("""COMPUTED_VALUE"""),0.3)</f>
        <v>0.3</v>
      </c>
      <c r="V83" s="280">
        <f>IFERROR(__xludf.DUMMYFUNCTION("""COMPUTED_VALUE"""),0.459)</f>
        <v>0.459</v>
      </c>
      <c r="W83" s="280">
        <f>IFERROR(__xludf.DUMMYFUNCTION("""COMPUTED_VALUE"""),0.845)</f>
        <v>0.845</v>
      </c>
      <c r="X83" s="280">
        <f>IFERROR(__xludf.DUMMYFUNCTION("""COMPUTED_VALUE"""),2.3)</f>
        <v>2.3</v>
      </c>
      <c r="Y83" s="283">
        <f>IFERROR(__xludf.DUMMYFUNCTION("""COMPUTED_VALUE"""),0.7466386029983124)</f>
        <v>0.746638603</v>
      </c>
      <c r="Z83" s="281">
        <f>IFERROR(__xludf.DUMMYFUNCTION("""COMPUTED_VALUE"""),0.7474208947136959)</f>
        <v>0.7474208947</v>
      </c>
      <c r="AA83" s="281">
        <f>IFERROR(__xludf.DUMMYFUNCTION("""COMPUTED_VALUE"""),-0.6154124052652897)</f>
        <v>-0.6154124053</v>
      </c>
      <c r="AB83" s="281">
        <f>IFERROR(__xludf.DUMMYFUNCTION("""COMPUTED_VALUE"""),0.029268157158589138)</f>
        <v>0.02926815716</v>
      </c>
      <c r="AC83" s="281">
        <f>IFERROR(__xludf.DUMMYFUNCTION("""COMPUTED_VALUE"""),-0.25279641051880714)</f>
        <v>-0.2527964105</v>
      </c>
      <c r="AD83" s="281">
        <f>IFERROR(__xludf.DUMMYFUNCTION("""COMPUTED_VALUE"""),-0.7939110448965904)</f>
        <v>-0.7939110449</v>
      </c>
      <c r="AE83" s="281">
        <f>IFERROR(__xludf.DUMMYFUNCTION("""COMPUTED_VALUE"""),-0.7236601140774443)</f>
        <v>-0.7236601141</v>
      </c>
      <c r="AF83" s="281">
        <f>IFERROR(__xludf.DUMMYFUNCTION("""COMPUTED_VALUE"""),0.886879056895185)</f>
        <v>0.8868790569</v>
      </c>
      <c r="AG83" s="281">
        <f>IFERROR(__xludf.DUMMYFUNCTION("""COMPUTED_VALUE"""),-0.13672081696427313)</f>
        <v>-0.136720817</v>
      </c>
      <c r="AH83" s="285"/>
      <c r="AI83" s="273"/>
      <c r="AJ83" s="340"/>
      <c r="AK83" s="341"/>
      <c r="AL83" s="273"/>
      <c r="AM83" s="273"/>
      <c r="AN83" s="273"/>
      <c r="AO83" s="273"/>
      <c r="AP83" s="273"/>
      <c r="AQ83" s="273"/>
      <c r="AR83" s="273"/>
      <c r="AS83" s="273"/>
      <c r="AT83" s="273"/>
      <c r="AU83" s="273"/>
      <c r="AV83" s="273"/>
      <c r="AW83" s="273"/>
      <c r="AX83" s="273"/>
      <c r="AY83" s="273"/>
      <c r="AZ83" s="273"/>
      <c r="BA83" s="273"/>
      <c r="BB83" s="273"/>
      <c r="BC83" s="273"/>
      <c r="BD83" s="273"/>
      <c r="BE83" s="273"/>
      <c r="BF83" s="273"/>
      <c r="BG83" s="273"/>
      <c r="BH83" s="273"/>
      <c r="BI83" s="273"/>
      <c r="BJ83" s="273"/>
      <c r="BK83" s="273"/>
      <c r="BL83" s="273"/>
      <c r="BM83" s="273"/>
      <c r="BN83" s="273"/>
      <c r="BO83" s="273"/>
      <c r="BP83" s="273"/>
      <c r="BQ83" s="273"/>
      <c r="BR83" s="273"/>
      <c r="BS83" s="273"/>
      <c r="BT83" s="273"/>
      <c r="BU83" s="273"/>
      <c r="BV83" s="273"/>
      <c r="BW83" s="273"/>
    </row>
    <row r="84">
      <c r="A84" s="276">
        <f>VLOOKUP($F84,UpdateHashtag!$V$3:$Y$32,COLUMN(B$15),0)</f>
        <v>3</v>
      </c>
      <c r="B84" s="259">
        <f>VLOOKUP($F84,UpdateHashtag!$V$3:$Y$32,COLUMN(C$13),0)</f>
        <v>4</v>
      </c>
      <c r="C84" s="259">
        <f>VLOOKUP($F84,UpdateHashtag!$V$3:$Y$32,COLUMN(D$13),0)</f>
        <v>3</v>
      </c>
      <c r="D84" s="277">
        <f t="shared" si="4"/>
        <v>10</v>
      </c>
      <c r="E84" s="21"/>
      <c r="F84" s="261" t="str">
        <f>VLOOKUP(J84,UpdateBBM!$C$2:E1015,3,0)</f>
        <v>BOS</v>
      </c>
      <c r="G84" s="248">
        <v>65.0</v>
      </c>
      <c r="H84" s="278">
        <f>IFERROR(__xludf.DUMMYFUNCTION("""COMPUTED_VALUE"""),65.0)</f>
        <v>65</v>
      </c>
      <c r="I84" s="278">
        <f>IFERROR(__xludf.DUMMYFUNCTION("""COMPUTED_VALUE"""),79.7)</f>
        <v>79.7</v>
      </c>
      <c r="J84" s="279" t="str">
        <f>IFERROR(__xludf.DUMMYFUNCTION("""COMPUTED_VALUE"""),"Anfernee Simons")</f>
        <v>Anfernee Simons</v>
      </c>
      <c r="K84" s="278">
        <f>IFERROR(__xludf.DUMMYFUNCTION("""COMPUTED_VALUE"""),66.0)</f>
        <v>66</v>
      </c>
      <c r="L84" s="280" t="str">
        <f>IFERROR(__xludf.DUMMYFUNCTION("""COMPUTED_VALUE"""),"PG,SG")</f>
        <v>PG,SG</v>
      </c>
      <c r="M84" s="281">
        <f>IFERROR(__xludf.DUMMYFUNCTION("""COMPUTED_VALUE"""),0.6200534586721316)</f>
        <v>0.6200534587</v>
      </c>
      <c r="N84" s="281">
        <f>IFERROR(__xludf.DUMMYFUNCTION("""COMPUTED_VALUE"""),0.6200534586721316)</f>
        <v>0.6200534587</v>
      </c>
      <c r="O84" s="282">
        <f>IFERROR(__xludf.DUMMYFUNCTION("""COMPUTED_VALUE"""),0.0)</f>
        <v>0</v>
      </c>
      <c r="P84" s="283">
        <f>IFERROR(__xludf.DUMMYFUNCTION("""COMPUTED_VALUE"""),21.4)</f>
        <v>21.4</v>
      </c>
      <c r="Q84" s="283">
        <f>IFERROR(__xludf.DUMMYFUNCTION("""COMPUTED_VALUE"""),3.4)</f>
        <v>3.4</v>
      </c>
      <c r="R84" s="283">
        <f>IFERROR(__xludf.DUMMYFUNCTION("""COMPUTED_VALUE"""),3.0)</f>
        <v>3</v>
      </c>
      <c r="S84" s="284">
        <f>IFERROR(__xludf.DUMMYFUNCTION("""COMPUTED_VALUE"""),4.9)</f>
        <v>4.9</v>
      </c>
      <c r="T84" s="283">
        <f>IFERROR(__xludf.DUMMYFUNCTION("""COMPUTED_VALUE"""),0.6)</f>
        <v>0.6</v>
      </c>
      <c r="U84" s="283">
        <f>IFERROR(__xludf.DUMMYFUNCTION("""COMPUTED_VALUE"""),0.2)</f>
        <v>0.2</v>
      </c>
      <c r="V84" s="280">
        <f>IFERROR(__xludf.DUMMYFUNCTION("""COMPUTED_VALUE"""),0.44)</f>
        <v>0.44</v>
      </c>
      <c r="W84" s="280">
        <f>IFERROR(__xludf.DUMMYFUNCTION("""COMPUTED_VALUE"""),0.905)</f>
        <v>0.905</v>
      </c>
      <c r="X84" s="280">
        <f>IFERROR(__xludf.DUMMYFUNCTION("""COMPUTED_VALUE"""),2.3)</f>
        <v>2.3</v>
      </c>
      <c r="Y84" s="283">
        <f>IFERROR(__xludf.DUMMYFUNCTION("""COMPUTED_VALUE"""),0.7105089990717794)</f>
        <v>0.7105089991</v>
      </c>
      <c r="Z84" s="281">
        <f>IFERROR(__xludf.DUMMYFUNCTION("""COMPUTED_VALUE"""),1.6431395859975693)</f>
        <v>1.643139586</v>
      </c>
      <c r="AA84" s="281">
        <f>IFERROR(__xludf.DUMMYFUNCTION("""COMPUTED_VALUE"""),-1.2038079721398716)</f>
        <v>-1.203807972</v>
      </c>
      <c r="AB84" s="281">
        <f>IFERROR(__xludf.DUMMYFUNCTION("""COMPUTED_VALUE"""),0.43932409095778585)</f>
        <v>0.439324091</v>
      </c>
      <c r="AC84" s="281">
        <f>IFERROR(__xludf.DUMMYFUNCTION("""COMPUTED_VALUE"""),-1.2485944449972455)</f>
        <v>-1.248594445</v>
      </c>
      <c r="AD84" s="281">
        <f>IFERROR(__xludf.DUMMYFUNCTION("""COMPUTED_VALUE"""),-0.9723047469492465)</f>
        <v>-0.9723047469</v>
      </c>
      <c r="AE84" s="281">
        <f>IFERROR(__xludf.DUMMYFUNCTION("""COMPUTED_VALUE"""),-1.1466267062159692)</f>
        <v>-1.146626706</v>
      </c>
      <c r="AF84" s="281">
        <f>IFERROR(__xludf.DUMMYFUNCTION("""COMPUTED_VALUE"""),1.2865410249143574)</f>
        <v>1.286541025</v>
      </c>
      <c r="AG84" s="281">
        <f>IFERROR(__xludf.DUMMYFUNCTION("""COMPUTED_VALUE"""),-0.13672081696427313)</f>
        <v>-0.136720817</v>
      </c>
      <c r="AH84" s="285"/>
      <c r="AI84" s="273"/>
      <c r="AJ84" s="340"/>
      <c r="AK84" s="341"/>
      <c r="AL84" s="273"/>
      <c r="AM84" s="273"/>
      <c r="AN84" s="273"/>
      <c r="AO84" s="273"/>
      <c r="AP84" s="273"/>
      <c r="AQ84" s="273"/>
      <c r="AR84" s="273"/>
      <c r="AS84" s="273"/>
      <c r="AT84" s="273"/>
      <c r="AU84" s="273"/>
      <c r="AV84" s="273"/>
      <c r="AW84" s="273"/>
      <c r="AX84" s="273"/>
      <c r="AY84" s="273"/>
      <c r="AZ84" s="273"/>
      <c r="BA84" s="273"/>
      <c r="BB84" s="273"/>
      <c r="BC84" s="273"/>
      <c r="BD84" s="273"/>
      <c r="BE84" s="273"/>
      <c r="BF84" s="273"/>
      <c r="BG84" s="273"/>
      <c r="BH84" s="273"/>
      <c r="BI84" s="273"/>
      <c r="BJ84" s="273"/>
      <c r="BK84" s="273"/>
      <c r="BL84" s="273"/>
      <c r="BM84" s="273"/>
      <c r="BN84" s="273"/>
      <c r="BO84" s="273"/>
      <c r="BP84" s="273"/>
      <c r="BQ84" s="273"/>
      <c r="BR84" s="273"/>
      <c r="BS84" s="273"/>
      <c r="BT84" s="273"/>
      <c r="BU84" s="273"/>
      <c r="BV84" s="273"/>
      <c r="BW84" s="273"/>
    </row>
    <row r="85">
      <c r="A85" s="276">
        <f>VLOOKUP($F85,UpdateHashtag!$V$3:$Y$32,COLUMN(B$15),0)</f>
        <v>4</v>
      </c>
      <c r="B85" s="259">
        <f>VLOOKUP($F85,UpdateHashtag!$V$3:$Y$32,COLUMN(C$13),0)</f>
        <v>4</v>
      </c>
      <c r="C85" s="259">
        <f>VLOOKUP($F85,UpdateHashtag!$V$3:$Y$32,COLUMN(D$13),0)</f>
        <v>4</v>
      </c>
      <c r="D85" s="277">
        <f t="shared" si="4"/>
        <v>12</v>
      </c>
      <c r="E85" s="21"/>
      <c r="F85" s="261" t="str">
        <f>VLOOKUP(J85,UpdateBBM!$C$2:E1015,3,0)</f>
        <v>LAC</v>
      </c>
      <c r="G85" s="248">
        <v>66.0</v>
      </c>
      <c r="H85" s="278">
        <f>IFERROR(__xludf.DUMMYFUNCTION("""COMPUTED_VALUE"""),66.0)</f>
        <v>66</v>
      </c>
      <c r="I85" s="278">
        <f>IFERROR(__xludf.DUMMYFUNCTION("""COMPUTED_VALUE"""),90.4)</f>
        <v>90.4</v>
      </c>
      <c r="J85" s="279" t="str">
        <f>IFERROR(__xludf.DUMMYFUNCTION("""COMPUTED_VALUE"""),"Bogdan Bogdanovic")</f>
        <v>Bogdan Bogdanovic</v>
      </c>
      <c r="K85" s="278">
        <f>IFERROR(__xludf.DUMMYFUNCTION("""COMPUTED_VALUE"""),71.0)</f>
        <v>71</v>
      </c>
      <c r="L85" s="280" t="str">
        <f>IFERROR(__xludf.DUMMYFUNCTION("""COMPUTED_VALUE"""),"SG,SF")</f>
        <v>SG,SF</v>
      </c>
      <c r="M85" s="281">
        <f>IFERROR(__xludf.DUMMYFUNCTION("""COMPUTED_VALUE"""),0.5837576984764301)</f>
        <v>0.5837576985</v>
      </c>
      <c r="N85" s="281">
        <f>IFERROR(__xludf.DUMMYFUNCTION("""COMPUTED_VALUE"""),0.5837576984764301)</f>
        <v>0.5837576985</v>
      </c>
      <c r="O85" s="282">
        <f>IFERROR(__xludf.DUMMYFUNCTION("""COMPUTED_VALUE"""),0.0)</f>
        <v>0</v>
      </c>
      <c r="P85" s="283">
        <f>IFERROR(__xludf.DUMMYFUNCTION("""COMPUTED_VALUE"""),17.1)</f>
        <v>17.1</v>
      </c>
      <c r="Q85" s="283">
        <f>IFERROR(__xludf.DUMMYFUNCTION("""COMPUTED_VALUE"""),3.1)</f>
        <v>3.1</v>
      </c>
      <c r="R85" s="283">
        <f>IFERROR(__xludf.DUMMYFUNCTION("""COMPUTED_VALUE"""),3.5)</f>
        <v>3.5</v>
      </c>
      <c r="S85" s="284">
        <f>IFERROR(__xludf.DUMMYFUNCTION("""COMPUTED_VALUE"""),3.2)</f>
        <v>3.2</v>
      </c>
      <c r="T85" s="283">
        <f>IFERROR(__xludf.DUMMYFUNCTION("""COMPUTED_VALUE"""),1.1)</f>
        <v>1.1</v>
      </c>
      <c r="U85" s="283">
        <f>IFERROR(__xludf.DUMMYFUNCTION("""COMPUTED_VALUE"""),0.4)</f>
        <v>0.4</v>
      </c>
      <c r="V85" s="280">
        <f>IFERROR(__xludf.DUMMYFUNCTION("""COMPUTED_VALUE"""),0.434)</f>
        <v>0.434</v>
      </c>
      <c r="W85" s="280">
        <f>IFERROR(__xludf.DUMMYFUNCTION("""COMPUTED_VALUE"""),0.889)</f>
        <v>0.889</v>
      </c>
      <c r="X85" s="280">
        <f>IFERROR(__xludf.DUMMYFUNCTION("""COMPUTED_VALUE"""),1.4)</f>
        <v>1.4</v>
      </c>
      <c r="Y85" s="283">
        <f>IFERROR(__xludf.DUMMYFUNCTION("""COMPUTED_VALUE"""),-0.06627748534866822)</f>
        <v>-0.06627748535</v>
      </c>
      <c r="Z85" s="281">
        <f>IFERROR(__xludf.DUMMYFUNCTION("""COMPUTED_VALUE"""),1.344566688902945)</f>
        <v>1.344566689</v>
      </c>
      <c r="AA85" s="281">
        <f>IFERROR(__xludf.DUMMYFUNCTION("""COMPUTED_VALUE"""),-1.007676116515011)</f>
        <v>-1.007676117</v>
      </c>
      <c r="AB85" s="281">
        <f>IFERROR(__xludf.DUMMYFUNCTION("""COMPUTED_VALUE"""),-0.33522600621847437)</f>
        <v>-0.3352260062</v>
      </c>
      <c r="AC85" s="281">
        <f>IFERROR(__xludf.DUMMYFUNCTION("""COMPUTED_VALUE"""),0.41106894580015185)</f>
        <v>0.4110689458</v>
      </c>
      <c r="AD85" s="281">
        <f>IFERROR(__xludf.DUMMYFUNCTION("""COMPUTED_VALUE"""),-0.6155173428439339)</f>
        <v>-0.6155173428</v>
      </c>
      <c r="AE85" s="281">
        <f>IFERROR(__xludf.DUMMYFUNCTION("""COMPUTED_VALUE"""),-1.0096399795075408)</f>
        <v>-1.00963998</v>
      </c>
      <c r="AF85" s="281">
        <f>IFERROR(__xludf.DUMMYFUNCTION("""COMPUTED_VALUE"""),0.7663559103798141)</f>
        <v>0.7663559104</v>
      </c>
      <c r="AG85" s="281">
        <f>IFERROR(__xludf.DUMMYFUNCTION("""COMPUTED_VALUE"""),0.08646310431960676)</f>
        <v>0.08646310432</v>
      </c>
      <c r="AH85" s="285"/>
      <c r="AI85" s="273"/>
      <c r="AJ85" s="340"/>
      <c r="AK85" s="341"/>
      <c r="AL85" s="273"/>
      <c r="AM85" s="273"/>
      <c r="AN85" s="273"/>
      <c r="AO85" s="273"/>
      <c r="AP85" s="273"/>
      <c r="AQ85" s="273"/>
      <c r="AR85" s="273"/>
      <c r="AS85" s="273"/>
      <c r="AT85" s="273"/>
      <c r="AU85" s="273"/>
      <c r="AV85" s="273"/>
      <c r="AW85" s="273"/>
      <c r="AX85" s="273"/>
      <c r="AY85" s="273"/>
      <c r="AZ85" s="273"/>
      <c r="BA85" s="273"/>
      <c r="BB85" s="273"/>
      <c r="BC85" s="273"/>
      <c r="BD85" s="273"/>
      <c r="BE85" s="273"/>
      <c r="BF85" s="273"/>
      <c r="BG85" s="273"/>
      <c r="BH85" s="273"/>
      <c r="BI85" s="273"/>
      <c r="BJ85" s="273"/>
      <c r="BK85" s="273"/>
      <c r="BL85" s="273"/>
      <c r="BM85" s="273"/>
      <c r="BN85" s="273"/>
      <c r="BO85" s="273"/>
      <c r="BP85" s="273"/>
      <c r="BQ85" s="273"/>
      <c r="BR85" s="273"/>
      <c r="BS85" s="273"/>
      <c r="BT85" s="273"/>
      <c r="BU85" s="273"/>
      <c r="BV85" s="273"/>
      <c r="BW85" s="273"/>
    </row>
    <row r="86">
      <c r="A86" s="259" t="str">
        <f>VLOOKUP($F86,UpdateHashtag!$V$3:$Y$32,COLUMN(B$15),0)</f>
        <v>#N/A</v>
      </c>
      <c r="B86" s="259" t="str">
        <f>VLOOKUP($F86,UpdateHashtag!$V$3:$Y$32,COLUMN(C$13),0)</f>
        <v>#N/A</v>
      </c>
      <c r="C86" s="259" t="str">
        <f>VLOOKUP($F86,UpdateHashtag!$V$3:$Y$32,COLUMN(D$13),0)</f>
        <v>#N/A</v>
      </c>
      <c r="D86" s="329" t="str">
        <f t="shared" si="4"/>
        <v>#N/A</v>
      </c>
      <c r="E86" s="21"/>
      <c r="F86" s="261" t="str">
        <f>VLOOKUP(J86,UpdateBBM!$C$2:E1015,3,0)</f>
        <v>#N/A</v>
      </c>
      <c r="G86" s="248">
        <v>67.0</v>
      </c>
      <c r="H86" s="278">
        <f>IFERROR(__xludf.DUMMYFUNCTION("""COMPUTED_VALUE"""),67.0)</f>
        <v>67</v>
      </c>
      <c r="I86" s="278">
        <f>IFERROR(__xludf.DUMMYFUNCTION("""COMPUTED_VALUE"""),96.7)</f>
        <v>96.7</v>
      </c>
      <c r="J86" s="279" t="str">
        <f>IFERROR(__xludf.DUMMYFUNCTION("""COMPUTED_VALUE"""),"Trey Murphy III")</f>
        <v>Trey Murphy III</v>
      </c>
      <c r="K86" s="278">
        <f>IFERROR(__xludf.DUMMYFUNCTION("""COMPUTED_VALUE"""),75.0)</f>
        <v>75</v>
      </c>
      <c r="L86" s="280" t="str">
        <f>IFERROR(__xludf.DUMMYFUNCTION("""COMPUTED_VALUE"""),"SF,PF")</f>
        <v>SF,PF</v>
      </c>
      <c r="M86" s="281">
        <f>IFERROR(__xludf.DUMMYFUNCTION("""COMPUTED_VALUE"""),0.5326645776009525)</f>
        <v>0.5326645776</v>
      </c>
      <c r="N86" s="281">
        <f>IFERROR(__xludf.DUMMYFUNCTION("""COMPUTED_VALUE"""),0.5326645776009525)</f>
        <v>0.5326645776</v>
      </c>
      <c r="O86" s="282">
        <f>IFERROR(__xludf.DUMMYFUNCTION("""COMPUTED_VALUE"""),0.0)</f>
        <v>0</v>
      </c>
      <c r="P86" s="283">
        <f>IFERROR(__xludf.DUMMYFUNCTION("""COMPUTED_VALUE"""),15.1)</f>
        <v>15.1</v>
      </c>
      <c r="Q86" s="283">
        <f>IFERROR(__xludf.DUMMYFUNCTION("""COMPUTED_VALUE"""),2.9)</f>
        <v>2.9</v>
      </c>
      <c r="R86" s="283">
        <f>IFERROR(__xludf.DUMMYFUNCTION("""COMPUTED_VALUE"""),4.3)</f>
        <v>4.3</v>
      </c>
      <c r="S86" s="284">
        <f>IFERROR(__xludf.DUMMYFUNCTION("""COMPUTED_VALUE"""),1.8)</f>
        <v>1.8</v>
      </c>
      <c r="T86" s="283">
        <f>IFERROR(__xludf.DUMMYFUNCTION("""COMPUTED_VALUE"""),1.1)</f>
        <v>1.1</v>
      </c>
      <c r="U86" s="283">
        <f>IFERROR(__xludf.DUMMYFUNCTION("""COMPUTED_VALUE"""),0.6)</f>
        <v>0.6</v>
      </c>
      <c r="V86" s="280">
        <f>IFERROR(__xludf.DUMMYFUNCTION("""COMPUTED_VALUE"""),0.455)</f>
        <v>0.455</v>
      </c>
      <c r="W86" s="280">
        <f>IFERROR(__xludf.DUMMYFUNCTION("""COMPUTED_VALUE"""),0.864)</f>
        <v>0.864</v>
      </c>
      <c r="X86" s="280">
        <f>IFERROR(__xludf.DUMMYFUNCTION("""COMPUTED_VALUE"""),0.7)</f>
        <v>0.7</v>
      </c>
      <c r="Y86" s="283">
        <f>IFERROR(__xludf.DUMMYFUNCTION("""COMPUTED_VALUE"""),-0.4275735246139932)</f>
        <v>-0.4275735246</v>
      </c>
      <c r="Z86" s="281">
        <f>IFERROR(__xludf.DUMMYFUNCTION("""COMPUTED_VALUE"""),1.145518090839862)</f>
        <v>1.145518091</v>
      </c>
      <c r="AA86" s="281">
        <f>IFERROR(__xludf.DUMMYFUNCTION("""COMPUTED_VALUE"""),-0.6938651475152341)</f>
        <v>-0.6938651475</v>
      </c>
      <c r="AB86" s="281">
        <f>IFERROR(__xludf.DUMMYFUNCTION("""COMPUTED_VALUE"""),-0.9730907921283356)</f>
        <v>-0.9730907921</v>
      </c>
      <c r="AC86" s="281">
        <f>IFERROR(__xludf.DUMMYFUNCTION("""COMPUTED_VALUE"""),0.41106894580015185)</f>
        <v>0.4110689458</v>
      </c>
      <c r="AD86" s="281">
        <f>IFERROR(__xludf.DUMMYFUNCTION("""COMPUTED_VALUE"""),-0.25872993873862127)</f>
        <v>-0.2587299387</v>
      </c>
      <c r="AE86" s="281">
        <f>IFERROR(__xludf.DUMMYFUNCTION("""COMPUTED_VALUE"""),-0.5399276264070031)</f>
        <v>-0.5399276264</v>
      </c>
      <c r="AF86" s="281">
        <f>IFERROR(__xludf.DUMMYFUNCTION("""COMPUTED_VALUE"""),0.6361231795842771)</f>
        <v>0.6361231796</v>
      </c>
      <c r="AG86" s="281">
        <f>IFERROR(__xludf.DUMMYFUNCTION("""COMPUTED_VALUE"""),0.26005059865151336)</f>
        <v>0.2600505987</v>
      </c>
      <c r="AH86" s="285"/>
      <c r="AI86" s="273"/>
      <c r="AJ86" s="340"/>
      <c r="AK86" s="341"/>
      <c r="AL86" s="273"/>
      <c r="AM86" s="273"/>
      <c r="AN86" s="273"/>
      <c r="AO86" s="273"/>
      <c r="AP86" s="273"/>
      <c r="AQ86" s="273"/>
      <c r="AR86" s="273"/>
      <c r="AS86" s="273"/>
      <c r="AT86" s="273"/>
      <c r="AU86" s="273"/>
      <c r="AV86" s="273"/>
      <c r="AW86" s="273"/>
      <c r="AX86" s="273"/>
      <c r="AY86" s="273"/>
      <c r="AZ86" s="273"/>
      <c r="BA86" s="273"/>
      <c r="BB86" s="273"/>
      <c r="BC86" s="273"/>
      <c r="BD86" s="273"/>
      <c r="BE86" s="273"/>
      <c r="BF86" s="273"/>
      <c r="BG86" s="273"/>
      <c r="BH86" s="273"/>
      <c r="BI86" s="273"/>
      <c r="BJ86" s="273"/>
      <c r="BK86" s="273"/>
      <c r="BL86" s="273"/>
      <c r="BM86" s="273"/>
      <c r="BN86" s="273"/>
      <c r="BO86" s="273"/>
      <c r="BP86" s="273"/>
      <c r="BQ86" s="273"/>
      <c r="BR86" s="273"/>
      <c r="BS86" s="273"/>
      <c r="BT86" s="273"/>
      <c r="BU86" s="273"/>
      <c r="BV86" s="273"/>
      <c r="BW86" s="273"/>
    </row>
    <row r="87">
      <c r="A87" s="276">
        <f>VLOOKUP($F87,UpdateHashtag!$V$3:$Y$32,COLUMN(B$15),0)</f>
        <v>4</v>
      </c>
      <c r="B87" s="259">
        <f>VLOOKUP($F87,UpdateHashtag!$V$3:$Y$32,COLUMN(C$13),0)</f>
        <v>3</v>
      </c>
      <c r="C87" s="259">
        <f>VLOOKUP($F87,UpdateHashtag!$V$3:$Y$32,COLUMN(D$13),0)</f>
        <v>4</v>
      </c>
      <c r="D87" s="277">
        <f t="shared" si="4"/>
        <v>11</v>
      </c>
      <c r="E87" s="21"/>
      <c r="F87" s="261" t="str">
        <f>VLOOKUP(J87,UpdateBBM!$C$2:E1015,3,0)</f>
        <v>DET</v>
      </c>
      <c r="G87" s="248">
        <v>68.0</v>
      </c>
      <c r="H87" s="278">
        <f>IFERROR(__xludf.DUMMYFUNCTION("""COMPUTED_VALUE"""),68.0)</f>
        <v>68</v>
      </c>
      <c r="I87" s="278">
        <f>IFERROR(__xludf.DUMMYFUNCTION("""COMPUTED_VALUE"""),66.6)</f>
        <v>66.6</v>
      </c>
      <c r="J87" s="279" t="str">
        <f>IFERROR(__xludf.DUMMYFUNCTION("""COMPUTED_VALUE"""),"Tobias Harris")</f>
        <v>Tobias Harris</v>
      </c>
      <c r="K87" s="278">
        <f>IFERROR(__xludf.DUMMYFUNCTION("""COMPUTED_VALUE"""),60.0)</f>
        <v>60</v>
      </c>
      <c r="L87" s="280" t="str">
        <f>IFERROR(__xludf.DUMMYFUNCTION("""COMPUTED_VALUE"""),"SF,PF")</f>
        <v>SF,PF</v>
      </c>
      <c r="M87" s="281">
        <f>IFERROR(__xludf.DUMMYFUNCTION("""COMPUTED_VALUE"""),0.5054739450689137)</f>
        <v>0.5054739451</v>
      </c>
      <c r="N87" s="281">
        <f>IFERROR(__xludf.DUMMYFUNCTION("""COMPUTED_VALUE"""),0.5054739450689137)</f>
        <v>0.5054739451</v>
      </c>
      <c r="O87" s="282">
        <f>IFERROR(__xludf.DUMMYFUNCTION("""COMPUTED_VALUE"""),0.0)</f>
        <v>0</v>
      </c>
      <c r="P87" s="283">
        <f>IFERROR(__xludf.DUMMYFUNCTION("""COMPUTED_VALUE"""),17.6)</f>
        <v>17.6</v>
      </c>
      <c r="Q87" s="283">
        <f>IFERROR(__xludf.DUMMYFUNCTION("""COMPUTED_VALUE"""),1.6)</f>
        <v>1.6</v>
      </c>
      <c r="R87" s="283">
        <f>IFERROR(__xludf.DUMMYFUNCTION("""COMPUTED_VALUE"""),6.3)</f>
        <v>6.3</v>
      </c>
      <c r="S87" s="284">
        <f>IFERROR(__xludf.DUMMYFUNCTION("""COMPUTED_VALUE"""),3.0)</f>
        <v>3</v>
      </c>
      <c r="T87" s="283">
        <f>IFERROR(__xludf.DUMMYFUNCTION("""COMPUTED_VALUE"""),1.0)</f>
        <v>1</v>
      </c>
      <c r="U87" s="283">
        <f>IFERROR(__xludf.DUMMYFUNCTION("""COMPUTED_VALUE"""),0.6)</f>
        <v>0.6</v>
      </c>
      <c r="V87" s="280">
        <f>IFERROR(__xludf.DUMMYFUNCTION("""COMPUTED_VALUE"""),0.482)</f>
        <v>0.482</v>
      </c>
      <c r="W87" s="280">
        <f>IFERROR(__xludf.DUMMYFUNCTION("""COMPUTED_VALUE"""),0.878)</f>
        <v>0.878</v>
      </c>
      <c r="X87" s="280">
        <f>IFERROR(__xludf.DUMMYFUNCTION("""COMPUTED_VALUE"""),1.3)</f>
        <v>1.3</v>
      </c>
      <c r="Y87" s="283">
        <f>IFERROR(__xludf.DUMMYFUNCTION("""COMPUTED_VALUE"""),0.024046524467662967)</f>
        <v>0.02404652447</v>
      </c>
      <c r="Z87" s="281">
        <f>IFERROR(__xludf.DUMMYFUNCTION("""COMPUTED_VALUE"""),-0.1482977965701775)</f>
        <v>-0.1482977966</v>
      </c>
      <c r="AA87" s="281">
        <f>IFERROR(__xludf.DUMMYFUNCTION("""COMPUTED_VALUE"""),0.09066227498420842)</f>
        <v>0.09066227498</v>
      </c>
      <c r="AB87" s="281">
        <f>IFERROR(__xludf.DUMMYFUNCTION("""COMPUTED_VALUE"""),-0.42634954706274036)</f>
        <v>-0.4263495471</v>
      </c>
      <c r="AC87" s="281">
        <f>IFERROR(__xludf.DUMMYFUNCTION("""COMPUTED_VALUE"""),0.07913626764067216)</f>
        <v>0.07913626764</v>
      </c>
      <c r="AD87" s="281">
        <f>IFERROR(__xludf.DUMMYFUNCTION("""COMPUTED_VALUE"""),-0.25872993873862127)</f>
        <v>-0.2587299387</v>
      </c>
      <c r="AE87" s="281">
        <f>IFERROR(__xludf.DUMMYFUNCTION("""COMPUTED_VALUE"""),-0.24590830040200717)</f>
        <v>-0.2459083004</v>
      </c>
      <c r="AF87" s="281">
        <f>IFERROR(__xludf.DUMMYFUNCTION("""COMPUTED_VALUE"""),0.8533035958915827)</f>
        <v>0.8533035959</v>
      </c>
      <c r="AG87" s="281">
        <f>IFERROR(__xludf.DUMMYFUNCTION("""COMPUTED_VALUE"""),0.11126131779559338)</f>
        <v>0.1112613178</v>
      </c>
      <c r="AH87" s="285"/>
      <c r="AI87" s="273"/>
      <c r="AJ87" s="340"/>
      <c r="AK87" s="341"/>
      <c r="AL87" s="273"/>
      <c r="AM87" s="273"/>
      <c r="AN87" s="273"/>
      <c r="AO87" s="273"/>
      <c r="AP87" s="273"/>
      <c r="AQ87" s="273"/>
      <c r="AR87" s="273"/>
      <c r="AS87" s="273"/>
      <c r="AT87" s="273"/>
      <c r="AU87" s="273"/>
      <c r="AV87" s="273"/>
      <c r="AW87" s="273"/>
      <c r="AX87" s="273"/>
      <c r="AY87" s="273"/>
      <c r="AZ87" s="273"/>
      <c r="BA87" s="273"/>
      <c r="BB87" s="273"/>
      <c r="BC87" s="273"/>
      <c r="BD87" s="273"/>
      <c r="BE87" s="273"/>
      <c r="BF87" s="273"/>
      <c r="BG87" s="273"/>
      <c r="BH87" s="273"/>
      <c r="BI87" s="273"/>
      <c r="BJ87" s="273"/>
      <c r="BK87" s="273"/>
      <c r="BL87" s="273"/>
      <c r="BM87" s="273"/>
      <c r="BN87" s="273"/>
      <c r="BO87" s="273"/>
      <c r="BP87" s="273"/>
      <c r="BQ87" s="273"/>
      <c r="BR87" s="273"/>
      <c r="BS87" s="273"/>
      <c r="BT87" s="273"/>
      <c r="BU87" s="273"/>
      <c r="BV87" s="273"/>
      <c r="BW87" s="273"/>
    </row>
    <row r="88">
      <c r="A88" s="276">
        <f>VLOOKUP($F88,UpdateHashtag!$V$3:$Y$32,COLUMN(B$15),0)</f>
        <v>4</v>
      </c>
      <c r="B88" s="259">
        <f>VLOOKUP($F88,UpdateHashtag!$V$3:$Y$32,COLUMN(C$13),0)</f>
        <v>4</v>
      </c>
      <c r="C88" s="259">
        <f>VLOOKUP($F88,UpdateHashtag!$V$3:$Y$32,COLUMN(D$13),0)</f>
        <v>4</v>
      </c>
      <c r="D88" s="277">
        <f t="shared" si="4"/>
        <v>12</v>
      </c>
      <c r="E88" s="21"/>
      <c r="F88" s="261" t="str">
        <f>VLOOKUP(J88,UpdateBBM!$C$2:E1015,3,0)</f>
        <v>LAC</v>
      </c>
      <c r="G88" s="248">
        <v>69.0</v>
      </c>
      <c r="H88" s="278">
        <f>IFERROR(__xludf.DUMMYFUNCTION("""COMPUTED_VALUE"""),69.0)</f>
        <v>69</v>
      </c>
      <c r="I88" s="278">
        <f>IFERROR(__xludf.DUMMYFUNCTION("""COMPUTED_VALUE"""),72.6)</f>
        <v>72.6</v>
      </c>
      <c r="J88" s="279" t="str">
        <f>IFERROR(__xludf.DUMMYFUNCTION("""COMPUTED_VALUE"""),"Bradley Beal")</f>
        <v>Bradley Beal</v>
      </c>
      <c r="K88" s="278">
        <f>IFERROR(__xludf.DUMMYFUNCTION("""COMPUTED_VALUE"""),57.0)</f>
        <v>57</v>
      </c>
      <c r="L88" s="280" t="str">
        <f>IFERROR(__xludf.DUMMYFUNCTION("""COMPUTED_VALUE"""),"PG,SG")</f>
        <v>PG,SG</v>
      </c>
      <c r="M88" s="281">
        <f>IFERROR(__xludf.DUMMYFUNCTION("""COMPUTED_VALUE"""),0.49812564923623914)</f>
        <v>0.4981256492</v>
      </c>
      <c r="N88" s="281">
        <f>IFERROR(__xludf.DUMMYFUNCTION("""COMPUTED_VALUE"""),0.49812564923623914)</f>
        <v>0.4981256492</v>
      </c>
      <c r="O88" s="282">
        <f>IFERROR(__xludf.DUMMYFUNCTION("""COMPUTED_VALUE"""),0.0)</f>
        <v>0</v>
      </c>
      <c r="P88" s="283">
        <f>IFERROR(__xludf.DUMMYFUNCTION("""COMPUTED_VALUE"""),18.9)</f>
        <v>18.9</v>
      </c>
      <c r="Q88" s="283">
        <f>IFERROR(__xludf.DUMMYFUNCTION("""COMPUTED_VALUE"""),1.9)</f>
        <v>1.9</v>
      </c>
      <c r="R88" s="283">
        <f>IFERROR(__xludf.DUMMYFUNCTION("""COMPUTED_VALUE"""),3.8)</f>
        <v>3.8</v>
      </c>
      <c r="S88" s="284">
        <f>IFERROR(__xludf.DUMMYFUNCTION("""COMPUTED_VALUE"""),4.2)</f>
        <v>4.2</v>
      </c>
      <c r="T88" s="283">
        <f>IFERROR(__xludf.DUMMYFUNCTION("""COMPUTED_VALUE"""),1.0)</f>
        <v>1</v>
      </c>
      <c r="U88" s="283">
        <f>IFERROR(__xludf.DUMMYFUNCTION("""COMPUTED_VALUE"""),0.5)</f>
        <v>0.5</v>
      </c>
      <c r="V88" s="280">
        <f>IFERROR(__xludf.DUMMYFUNCTION("""COMPUTED_VALUE"""),0.509)</f>
        <v>0.509</v>
      </c>
      <c r="W88" s="280">
        <f>IFERROR(__xludf.DUMMYFUNCTION("""COMPUTED_VALUE"""),0.821)</f>
        <v>0.821</v>
      </c>
      <c r="X88" s="280">
        <f>IFERROR(__xludf.DUMMYFUNCTION("""COMPUTED_VALUE"""),2.4)</f>
        <v>2.4</v>
      </c>
      <c r="Y88" s="283">
        <f>IFERROR(__xludf.DUMMYFUNCTION("""COMPUTED_VALUE"""),0.2588889499901235)</f>
        <v>0.25888895</v>
      </c>
      <c r="Z88" s="281">
        <f>IFERROR(__xludf.DUMMYFUNCTION("""COMPUTED_VALUE"""),0.15027510052444681)</f>
        <v>0.1502751005</v>
      </c>
      <c r="AA88" s="281">
        <f>IFERROR(__xludf.DUMMYFUNCTION("""COMPUTED_VALUE"""),-0.8899970031400947)</f>
        <v>-0.8899970031</v>
      </c>
      <c r="AB88" s="281">
        <f>IFERROR(__xludf.DUMMYFUNCTION("""COMPUTED_VALUE"""),0.12039169800285511)</f>
        <v>0.120391698</v>
      </c>
      <c r="AC88" s="281">
        <f>IFERROR(__xludf.DUMMYFUNCTION("""COMPUTED_VALUE"""),0.07913626764067216)</f>
        <v>0.07913626764</v>
      </c>
      <c r="AD88" s="281">
        <f>IFERROR(__xludf.DUMMYFUNCTION("""COMPUTED_VALUE"""),-0.4371236407912776)</f>
        <v>-0.4371236408</v>
      </c>
      <c r="AE88" s="281">
        <f>IFERROR(__xludf.DUMMYFUNCTION("""COMPUTED_VALUE"""),0.20169281955914414)</f>
        <v>0.2016928196</v>
      </c>
      <c r="AF88" s="281">
        <f>IFERROR(__xludf.DUMMYFUNCTION("""COMPUTED_VALUE"""),0.28638348475053477)</f>
        <v>0.2863834848</v>
      </c>
      <c r="AG88" s="281">
        <f>IFERROR(__xludf.DUMMYFUNCTION("""COMPUTED_VALUE"""),-0.1615190304402598)</f>
        <v>-0.1615190304</v>
      </c>
      <c r="AH88" s="285"/>
      <c r="AI88" s="273"/>
      <c r="AJ88" s="340"/>
      <c r="AK88" s="341"/>
      <c r="AL88" s="273"/>
      <c r="AM88" s="273"/>
      <c r="AN88" s="273"/>
      <c r="AO88" s="273"/>
      <c r="AP88" s="273"/>
      <c r="AQ88" s="273"/>
      <c r="AR88" s="273"/>
      <c r="AS88" s="273"/>
      <c r="AT88" s="273"/>
      <c r="AU88" s="273"/>
      <c r="AV88" s="273"/>
      <c r="AW88" s="273"/>
      <c r="AX88" s="273"/>
      <c r="AY88" s="273"/>
      <c r="AZ88" s="273"/>
      <c r="BA88" s="273"/>
      <c r="BB88" s="273"/>
      <c r="BC88" s="273"/>
      <c r="BD88" s="273"/>
      <c r="BE88" s="273"/>
      <c r="BF88" s="273"/>
      <c r="BG88" s="273"/>
      <c r="BH88" s="273"/>
      <c r="BI88" s="273"/>
      <c r="BJ88" s="273"/>
      <c r="BK88" s="273"/>
      <c r="BL88" s="273"/>
      <c r="BM88" s="273"/>
      <c r="BN88" s="273"/>
      <c r="BO88" s="273"/>
      <c r="BP88" s="273"/>
      <c r="BQ88" s="273"/>
      <c r="BR88" s="273"/>
      <c r="BS88" s="273"/>
      <c r="BT88" s="273"/>
      <c r="BU88" s="273"/>
      <c r="BV88" s="273"/>
      <c r="BW88" s="273"/>
    </row>
    <row r="89">
      <c r="A89" s="276">
        <f>VLOOKUP($F89,UpdateHashtag!$V$3:$Y$32,COLUMN(B$15),0)</f>
        <v>4</v>
      </c>
      <c r="B89" s="259">
        <f>VLOOKUP($F89,UpdateHashtag!$V$3:$Y$32,COLUMN(C$13),0)</f>
        <v>4</v>
      </c>
      <c r="C89" s="259">
        <f>VLOOKUP($F89,UpdateHashtag!$V$3:$Y$32,COLUMN(D$13),0)</f>
        <v>4</v>
      </c>
      <c r="D89" s="277">
        <f t="shared" si="4"/>
        <v>12</v>
      </c>
      <c r="E89" s="21"/>
      <c r="F89" s="261" t="str">
        <f>VLOOKUP(J89,UpdateBBM!$C$2:E1015,3,0)</f>
        <v>UTA</v>
      </c>
      <c r="G89" s="248">
        <v>70.0</v>
      </c>
      <c r="H89" s="278">
        <f>IFERROR(__xludf.DUMMYFUNCTION("""COMPUTED_VALUE"""),70.0)</f>
        <v>70</v>
      </c>
      <c r="I89" s="278">
        <f>IFERROR(__xludf.DUMMYFUNCTION("""COMPUTED_VALUE"""),138.9)</f>
        <v>138.9</v>
      </c>
      <c r="J89" s="279" t="str">
        <f>IFERROR(__xludf.DUMMYFUNCTION("""COMPUTED_VALUE"""),"Taylor Hendricks")</f>
        <v>Taylor Hendricks</v>
      </c>
      <c r="K89" s="278">
        <f>IFERROR(__xludf.DUMMYFUNCTION("""COMPUTED_VALUE"""),71.0)</f>
        <v>71</v>
      </c>
      <c r="L89" s="280" t="str">
        <f>IFERROR(__xludf.DUMMYFUNCTION("""COMPUTED_VALUE"""),"SF,PF")</f>
        <v>SF,PF</v>
      </c>
      <c r="M89" s="281">
        <f>IFERROR(__xludf.DUMMYFUNCTION("""COMPUTED_VALUE"""),0.4880697754263841)</f>
        <v>0.4880697754</v>
      </c>
      <c r="N89" s="281">
        <f>IFERROR(__xludf.DUMMYFUNCTION("""COMPUTED_VALUE"""),0.4880697754263841)</f>
        <v>0.4880697754</v>
      </c>
      <c r="O89" s="282">
        <f>IFERROR(__xludf.DUMMYFUNCTION("""COMPUTED_VALUE"""),0.0)</f>
        <v>0</v>
      </c>
      <c r="P89" s="283">
        <f>IFERROR(__xludf.DUMMYFUNCTION("""COMPUTED_VALUE"""),11.4)</f>
        <v>11.4</v>
      </c>
      <c r="Q89" s="283">
        <f>IFERROR(__xludf.DUMMYFUNCTION("""COMPUTED_VALUE"""),2.0)</f>
        <v>2</v>
      </c>
      <c r="R89" s="283">
        <f>IFERROR(__xludf.DUMMYFUNCTION("""COMPUTED_VALUE"""),7.0)</f>
        <v>7</v>
      </c>
      <c r="S89" s="284">
        <f>IFERROR(__xludf.DUMMYFUNCTION("""COMPUTED_VALUE"""),1.2)</f>
        <v>1.2</v>
      </c>
      <c r="T89" s="283">
        <f>IFERROR(__xludf.DUMMYFUNCTION("""COMPUTED_VALUE"""),1.1)</f>
        <v>1.1</v>
      </c>
      <c r="U89" s="283">
        <f>IFERROR(__xludf.DUMMYFUNCTION("""COMPUTED_VALUE"""),1.1)</f>
        <v>1.1</v>
      </c>
      <c r="V89" s="280">
        <f>IFERROR(__xludf.DUMMYFUNCTION("""COMPUTED_VALUE"""),0.471)</f>
        <v>0.471</v>
      </c>
      <c r="W89" s="280">
        <f>IFERROR(__xludf.DUMMYFUNCTION("""COMPUTED_VALUE"""),0.798)</f>
        <v>0.798</v>
      </c>
      <c r="X89" s="280">
        <f>IFERROR(__xludf.DUMMYFUNCTION("""COMPUTED_VALUE"""),1.0)</f>
        <v>1</v>
      </c>
      <c r="Y89" s="283">
        <f>IFERROR(__xludf.DUMMYFUNCTION("""COMPUTED_VALUE"""),-1.0959711972548438)</f>
        <v>-1.095971197</v>
      </c>
      <c r="Z89" s="281">
        <f>IFERROR(__xludf.DUMMYFUNCTION("""COMPUTED_VALUE"""),0.2497993995559884)</f>
        <v>0.2497993996</v>
      </c>
      <c r="AA89" s="281">
        <f>IFERROR(__xludf.DUMMYFUNCTION("""COMPUTED_VALUE"""),0.36524687285901336)</f>
        <v>0.3652468729</v>
      </c>
      <c r="AB89" s="281">
        <f>IFERROR(__xludf.DUMMYFUNCTION("""COMPUTED_VALUE"""),-1.2464614146611335)</f>
        <v>-1.246461415</v>
      </c>
      <c r="AC89" s="281">
        <f>IFERROR(__xludf.DUMMYFUNCTION("""COMPUTED_VALUE"""),0.41106894580015185)</f>
        <v>0.4110689458</v>
      </c>
      <c r="AD89" s="281">
        <f>IFERROR(__xludf.DUMMYFUNCTION("""COMPUTED_VALUE"""),0.6332385715246607)</f>
        <v>0.6332385715</v>
      </c>
      <c r="AE89" s="281">
        <f>IFERROR(__xludf.DUMMYFUNCTION("""COMPUTED_VALUE"""),-0.2729908354319355)</f>
        <v>-0.2729908354</v>
      </c>
      <c r="AF89" s="281">
        <f>IFERROR(__xludf.DUMMYFUNCTION("""COMPUTED_VALUE"""),0.0120220601497958)</f>
        <v>0.01202206015</v>
      </c>
      <c r="AG89" s="281">
        <f>IFERROR(__xludf.DUMMYFUNCTION("""COMPUTED_VALUE"""),0.18565595822355335)</f>
        <v>0.1856559582</v>
      </c>
      <c r="AH89" s="285"/>
      <c r="AI89" s="273"/>
      <c r="AJ89" s="340"/>
      <c r="AK89" s="341"/>
      <c r="AL89" s="273"/>
      <c r="AM89" s="273"/>
      <c r="AN89" s="273"/>
      <c r="AO89" s="273"/>
      <c r="AP89" s="273"/>
      <c r="AQ89" s="273"/>
      <c r="AR89" s="273"/>
      <c r="AS89" s="273"/>
      <c r="AT89" s="273"/>
      <c r="AU89" s="273"/>
      <c r="AV89" s="273"/>
      <c r="AW89" s="273"/>
      <c r="AX89" s="273"/>
      <c r="AY89" s="273"/>
      <c r="AZ89" s="273"/>
      <c r="BA89" s="273"/>
      <c r="BB89" s="273"/>
      <c r="BC89" s="273"/>
      <c r="BD89" s="273"/>
      <c r="BE89" s="273"/>
      <c r="BF89" s="273"/>
      <c r="BG89" s="273"/>
      <c r="BH89" s="273"/>
      <c r="BI89" s="273"/>
      <c r="BJ89" s="273"/>
      <c r="BK89" s="273"/>
      <c r="BL89" s="273"/>
      <c r="BM89" s="273"/>
      <c r="BN89" s="273"/>
      <c r="BO89" s="273"/>
      <c r="BP89" s="273"/>
      <c r="BQ89" s="273"/>
      <c r="BR89" s="273"/>
      <c r="BS89" s="273"/>
      <c r="BT89" s="273"/>
      <c r="BU89" s="273"/>
      <c r="BV89" s="273"/>
      <c r="BW89" s="273"/>
    </row>
    <row r="90">
      <c r="A90" s="276">
        <f>VLOOKUP($F90,UpdateHashtag!$V$3:$Y$32,COLUMN(B$15),0)</f>
        <v>4</v>
      </c>
      <c r="B90" s="259">
        <f>VLOOKUP($F90,UpdateHashtag!$V$3:$Y$32,COLUMN(C$13),0)</f>
        <v>4</v>
      </c>
      <c r="C90" s="259">
        <f>VLOOKUP($F90,UpdateHashtag!$V$3:$Y$32,COLUMN(D$13),0)</f>
        <v>4</v>
      </c>
      <c r="D90" s="277">
        <f t="shared" si="4"/>
        <v>12</v>
      </c>
      <c r="E90" s="21"/>
      <c r="F90" s="261" t="str">
        <f>VLOOKUP(J90,UpdateBBM!$C$2:E1015,3,0)</f>
        <v>HOU</v>
      </c>
      <c r="G90" s="248">
        <v>71.0</v>
      </c>
      <c r="H90" s="278">
        <f>IFERROR(__xludf.DUMMYFUNCTION("""COMPUTED_VALUE"""),71.0)</f>
        <v>71</v>
      </c>
      <c r="I90" s="278">
        <f>IFERROR(__xludf.DUMMYFUNCTION("""COMPUTED_VALUE"""),116.8)</f>
        <v>116.8</v>
      </c>
      <c r="J90" s="279" t="str">
        <f>IFERROR(__xludf.DUMMYFUNCTION("""COMPUTED_VALUE"""),"Amen Thompson")</f>
        <v>Amen Thompson</v>
      </c>
      <c r="K90" s="278">
        <f>IFERROR(__xludf.DUMMYFUNCTION("""COMPUTED_VALUE"""),66.0)</f>
        <v>66</v>
      </c>
      <c r="L90" s="280" t="str">
        <f>IFERROR(__xludf.DUMMYFUNCTION("""COMPUTED_VALUE"""),"SG,SF")</f>
        <v>SG,SF</v>
      </c>
      <c r="M90" s="281">
        <f>IFERROR(__xludf.DUMMYFUNCTION("""COMPUTED_VALUE"""),0.46137761648313913)</f>
        <v>0.4613776165</v>
      </c>
      <c r="N90" s="281">
        <f>IFERROR(__xludf.DUMMYFUNCTION("""COMPUTED_VALUE"""),0.46137761648313913)</f>
        <v>0.4613776165</v>
      </c>
      <c r="O90" s="282">
        <f>IFERROR(__xludf.DUMMYFUNCTION("""COMPUTED_VALUE"""),0.0)</f>
        <v>0</v>
      </c>
      <c r="P90" s="283">
        <f>IFERROR(__xludf.DUMMYFUNCTION("""COMPUTED_VALUE"""),12.0)</f>
        <v>12</v>
      </c>
      <c r="Q90" s="283">
        <f>IFERROR(__xludf.DUMMYFUNCTION("""COMPUTED_VALUE"""),0.3)</f>
        <v>0.3</v>
      </c>
      <c r="R90" s="283">
        <f>IFERROR(__xludf.DUMMYFUNCTION("""COMPUTED_VALUE"""),7.2)</f>
        <v>7.2</v>
      </c>
      <c r="S90" s="284">
        <f>IFERROR(__xludf.DUMMYFUNCTION("""COMPUTED_VALUE"""),3.2)</f>
        <v>3.2</v>
      </c>
      <c r="T90" s="283">
        <f>IFERROR(__xludf.DUMMYFUNCTION("""COMPUTED_VALUE"""),1.5)</f>
        <v>1.5</v>
      </c>
      <c r="U90" s="283">
        <f>IFERROR(__xludf.DUMMYFUNCTION("""COMPUTED_VALUE"""),0.8)</f>
        <v>0.8</v>
      </c>
      <c r="V90" s="280">
        <f>IFERROR(__xludf.DUMMYFUNCTION("""COMPUTED_VALUE"""),0.529)</f>
        <v>0.529</v>
      </c>
      <c r="W90" s="280">
        <f>IFERROR(__xludf.DUMMYFUNCTION("""COMPUTED_VALUE"""),0.72)</f>
        <v>0.72</v>
      </c>
      <c r="X90" s="280">
        <f>IFERROR(__xludf.DUMMYFUNCTION("""COMPUTED_VALUE"""),1.8)</f>
        <v>1.8</v>
      </c>
      <c r="Y90" s="283">
        <f>IFERROR(__xludf.DUMMYFUNCTION("""COMPUTED_VALUE"""),-0.9875823854752465)</f>
        <v>-0.9875823855</v>
      </c>
      <c r="Z90" s="281">
        <f>IFERROR(__xludf.DUMMYFUNCTION("""COMPUTED_VALUE"""),-1.442113683980217)</f>
        <v>-1.442113684</v>
      </c>
      <c r="AA90" s="281">
        <f>IFERROR(__xludf.DUMMYFUNCTION("""COMPUTED_VALUE"""),0.44369961510895767)</f>
        <v>0.4436996151</v>
      </c>
      <c r="AB90" s="281">
        <f>IFERROR(__xludf.DUMMYFUNCTION("""COMPUTED_VALUE"""),-0.33522600621847437)</f>
        <v>-0.3352260062</v>
      </c>
      <c r="AC90" s="281">
        <f>IFERROR(__xludf.DUMMYFUNCTION("""COMPUTED_VALUE"""),1.738799658438069)</f>
        <v>1.738799658</v>
      </c>
      <c r="AD90" s="281">
        <f>IFERROR(__xludf.DUMMYFUNCTION("""COMPUTED_VALUE"""),0.09805746536669153)</f>
        <v>0.09805746537</v>
      </c>
      <c r="AE90" s="281">
        <f>IFERROR(__xludf.DUMMYFUNCTION("""COMPUTED_VALUE"""),0.33879364172079857)</f>
        <v>0.3387936417</v>
      </c>
      <c r="AF90" s="281">
        <f>IFERROR(__xludf.DUMMYFUNCTION("""COMPUTED_VALUE"""),-0.822434622873317)</f>
        <v>-0.8224346229</v>
      </c>
      <c r="AG90" s="281">
        <f>IFERROR(__xludf.DUMMYFUNCTION("""COMPUTED_VALUE"""),-0.012729749584339901)</f>
        <v>-0.01272974958</v>
      </c>
      <c r="AH90" s="285"/>
      <c r="AI90" s="273"/>
      <c r="AJ90" s="340"/>
      <c r="AK90" s="341"/>
      <c r="AL90" s="273"/>
      <c r="AM90" s="273"/>
      <c r="AN90" s="273"/>
      <c r="AO90" s="273"/>
      <c r="AP90" s="273"/>
      <c r="AQ90" s="273"/>
      <c r="AR90" s="273"/>
      <c r="AS90" s="273"/>
      <c r="AT90" s="273"/>
      <c r="AU90" s="273"/>
      <c r="AV90" s="273"/>
      <c r="AW90" s="273"/>
      <c r="AX90" s="273"/>
      <c r="AY90" s="273"/>
      <c r="AZ90" s="273"/>
      <c r="BA90" s="273"/>
      <c r="BB90" s="273"/>
      <c r="BC90" s="273"/>
      <c r="BD90" s="273"/>
      <c r="BE90" s="273"/>
      <c r="BF90" s="273"/>
      <c r="BG90" s="273"/>
      <c r="BH90" s="273"/>
      <c r="BI90" s="273"/>
      <c r="BJ90" s="273"/>
      <c r="BK90" s="273"/>
      <c r="BL90" s="273"/>
      <c r="BM90" s="273"/>
      <c r="BN90" s="273"/>
      <c r="BO90" s="273"/>
      <c r="BP90" s="273"/>
      <c r="BQ90" s="273"/>
      <c r="BR90" s="273"/>
      <c r="BS90" s="273"/>
      <c r="BT90" s="273"/>
      <c r="BU90" s="273"/>
      <c r="BV90" s="273"/>
      <c r="BW90" s="273"/>
    </row>
    <row r="91">
      <c r="A91" s="259" t="str">
        <f>VLOOKUP($F91,UpdateHashtag!$V$3:$Y$32,COLUMN(B$15),0)</f>
        <v>#N/A</v>
      </c>
      <c r="B91" s="259" t="str">
        <f>VLOOKUP($F91,UpdateHashtag!$V$3:$Y$32,COLUMN(C$13),0)</f>
        <v>#N/A</v>
      </c>
      <c r="C91" s="259" t="str">
        <f>VLOOKUP($F91,UpdateHashtag!$V$3:$Y$32,COLUMN(D$13),0)</f>
        <v>#N/A</v>
      </c>
      <c r="D91" s="329" t="str">
        <f t="shared" si="4"/>
        <v>#N/A</v>
      </c>
      <c r="E91" s="21"/>
      <c r="F91" s="261" t="str">
        <f>VLOOKUP(J91,UpdateBBM!$C$2:E1015,3,0)</f>
        <v>SAS</v>
      </c>
      <c r="G91" s="248">
        <v>72.0</v>
      </c>
      <c r="H91" s="278">
        <f>IFERROR(__xludf.DUMMYFUNCTION("""COMPUTED_VALUE"""),72.0)</f>
        <v>72</v>
      </c>
      <c r="I91" s="278">
        <f>IFERROR(__xludf.DUMMYFUNCTION("""COMPUTED_VALUE"""),82.0)</f>
        <v>82</v>
      </c>
      <c r="J91" s="279" t="str">
        <f>IFERROR(__xludf.DUMMYFUNCTION("""COMPUTED_VALUE"""),"Devin Vassell")</f>
        <v>Devin Vassell</v>
      </c>
      <c r="K91" s="278">
        <f>IFERROR(__xludf.DUMMYFUNCTION("""COMPUTED_VALUE"""),71.0)</f>
        <v>71</v>
      </c>
      <c r="L91" s="280" t="str">
        <f>IFERROR(__xludf.DUMMYFUNCTION("""COMPUTED_VALUE"""),"SG,SF")</f>
        <v>SG,SF</v>
      </c>
      <c r="M91" s="281">
        <f>IFERROR(__xludf.DUMMYFUNCTION("""COMPUTED_VALUE"""),0.4374051168837939)</f>
        <v>0.4374051169</v>
      </c>
      <c r="N91" s="281">
        <f>IFERROR(__xludf.DUMMYFUNCTION("""COMPUTED_VALUE"""),0.4374051168837939)</f>
        <v>0.4374051169</v>
      </c>
      <c r="O91" s="282">
        <f>IFERROR(__xludf.DUMMYFUNCTION("""COMPUTED_VALUE"""),0.0)</f>
        <v>0</v>
      </c>
      <c r="P91" s="283">
        <f>IFERROR(__xludf.DUMMYFUNCTION("""COMPUTED_VALUE"""),19.4)</f>
        <v>19.4</v>
      </c>
      <c r="Q91" s="283">
        <f>IFERROR(__xludf.DUMMYFUNCTION("""COMPUTED_VALUE"""),2.6)</f>
        <v>2.6</v>
      </c>
      <c r="R91" s="283">
        <f>IFERROR(__xludf.DUMMYFUNCTION("""COMPUTED_VALUE"""),3.9)</f>
        <v>3.9</v>
      </c>
      <c r="S91" s="284">
        <f>IFERROR(__xludf.DUMMYFUNCTION("""COMPUTED_VALUE"""),4.0)</f>
        <v>4</v>
      </c>
      <c r="T91" s="283">
        <f>IFERROR(__xludf.DUMMYFUNCTION("""COMPUTED_VALUE"""),1.1)</f>
        <v>1.1</v>
      </c>
      <c r="U91" s="283">
        <f>IFERROR(__xludf.DUMMYFUNCTION("""COMPUTED_VALUE"""),0.4)</f>
        <v>0.4</v>
      </c>
      <c r="V91" s="280">
        <f>IFERROR(__xludf.DUMMYFUNCTION("""COMPUTED_VALUE"""),0.46)</f>
        <v>0.46</v>
      </c>
      <c r="W91" s="280">
        <f>IFERROR(__xludf.DUMMYFUNCTION("""COMPUTED_VALUE"""),0.801)</f>
        <v>0.801</v>
      </c>
      <c r="X91" s="280">
        <f>IFERROR(__xludf.DUMMYFUNCTION("""COMPUTED_VALUE"""),1.6)</f>
        <v>1.6</v>
      </c>
      <c r="Y91" s="283">
        <f>IFERROR(__xludf.DUMMYFUNCTION("""COMPUTED_VALUE"""),0.34921295980645467)</f>
        <v>0.3492129598</v>
      </c>
      <c r="Z91" s="281">
        <f>IFERROR(__xludf.DUMMYFUNCTION("""COMPUTED_VALUE"""),0.8469451937452375)</f>
        <v>0.8469451937</v>
      </c>
      <c r="AA91" s="281">
        <f>IFERROR(__xludf.DUMMYFUNCTION("""COMPUTED_VALUE"""),-0.8507706320151226)</f>
        <v>-0.850770632</v>
      </c>
      <c r="AB91" s="281">
        <f>IFERROR(__xludf.DUMMYFUNCTION("""COMPUTED_VALUE"""),0.029268157158589138)</f>
        <v>0.02926815716</v>
      </c>
      <c r="AC91" s="281">
        <f>IFERROR(__xludf.DUMMYFUNCTION("""COMPUTED_VALUE"""),0.41106894580015185)</f>
        <v>0.4110689458</v>
      </c>
      <c r="AD91" s="281">
        <f>IFERROR(__xludf.DUMMYFUNCTION("""COMPUTED_VALUE"""),-0.6155173428439339)</f>
        <v>-0.6155173428</v>
      </c>
      <c r="AE91" s="281">
        <f>IFERROR(__xludf.DUMMYFUNCTION("""COMPUTED_VALUE"""),-0.6829443366263799)</f>
        <v>-0.6829443366</v>
      </c>
      <c r="AF91" s="281">
        <f>IFERROR(__xludf.DUMMYFUNCTION("""COMPUTED_VALUE"""),0.06250486247604124)</f>
        <v>0.06250486248</v>
      </c>
      <c r="AG91" s="281">
        <f>IFERROR(__xludf.DUMMYFUNCTION("""COMPUTED_VALUE"""),0.036866677367633396)</f>
        <v>0.03686667737</v>
      </c>
      <c r="AH91" s="285"/>
      <c r="AI91" s="273"/>
      <c r="AJ91" s="340"/>
      <c r="AK91" s="341"/>
      <c r="AL91" s="273"/>
      <c r="AM91" s="273"/>
      <c r="AN91" s="273"/>
      <c r="AO91" s="273"/>
      <c r="AP91" s="273"/>
      <c r="AQ91" s="273"/>
      <c r="AR91" s="273"/>
      <c r="AS91" s="273"/>
      <c r="AT91" s="273"/>
      <c r="AU91" s="273"/>
      <c r="AV91" s="273"/>
      <c r="AW91" s="273"/>
      <c r="AX91" s="273"/>
      <c r="AY91" s="273"/>
      <c r="AZ91" s="273"/>
      <c r="BA91" s="273"/>
      <c r="BB91" s="273"/>
      <c r="BC91" s="273"/>
      <c r="BD91" s="273"/>
      <c r="BE91" s="273"/>
      <c r="BF91" s="273"/>
      <c r="BG91" s="273"/>
      <c r="BH91" s="273"/>
      <c r="BI91" s="273"/>
      <c r="BJ91" s="273"/>
      <c r="BK91" s="273"/>
      <c r="BL91" s="273"/>
      <c r="BM91" s="273"/>
      <c r="BN91" s="273"/>
      <c r="BO91" s="273"/>
      <c r="BP91" s="273"/>
      <c r="BQ91" s="273"/>
      <c r="BR91" s="273"/>
      <c r="BS91" s="273"/>
      <c r="BT91" s="273"/>
      <c r="BU91" s="273"/>
      <c r="BV91" s="273"/>
      <c r="BW91" s="273"/>
    </row>
    <row r="92">
      <c r="A92" s="276">
        <f>VLOOKUP($F92,UpdateHashtag!$V$3:$Y$32,COLUMN(B$15),0)</f>
        <v>4</v>
      </c>
      <c r="B92" s="259">
        <f>VLOOKUP($F92,UpdateHashtag!$V$3:$Y$32,COLUMN(C$13),0)</f>
        <v>3</v>
      </c>
      <c r="C92" s="259">
        <f>VLOOKUP($F92,UpdateHashtag!$V$3:$Y$32,COLUMN(D$13),0)</f>
        <v>4</v>
      </c>
      <c r="D92" s="277">
        <f t="shared" si="4"/>
        <v>11</v>
      </c>
      <c r="E92" s="21"/>
      <c r="F92" s="261" t="str">
        <f>VLOOKUP(J92,UpdateBBM!$C$2:E1015,3,0)</f>
        <v>CHA</v>
      </c>
      <c r="G92" s="248">
        <v>73.0</v>
      </c>
      <c r="H92" s="278">
        <f>IFERROR(__xludf.DUMMYFUNCTION("""COMPUTED_VALUE"""),73.0)</f>
        <v>73</v>
      </c>
      <c r="I92" s="278">
        <f>IFERROR(__xludf.DUMMYFUNCTION("""COMPUTED_VALUE"""),58.2)</f>
        <v>58.2</v>
      </c>
      <c r="J92" s="279" t="str">
        <f>IFERROR(__xludf.DUMMYFUNCTION("""COMPUTED_VALUE"""),"Miles Bridges")</f>
        <v>Miles Bridges</v>
      </c>
      <c r="K92" s="278">
        <f>IFERROR(__xludf.DUMMYFUNCTION("""COMPUTED_VALUE"""),75.0)</f>
        <v>75</v>
      </c>
      <c r="L92" s="280" t="str">
        <f>IFERROR(__xludf.DUMMYFUNCTION("""COMPUTED_VALUE"""),"SF,PF")</f>
        <v>SF,PF</v>
      </c>
      <c r="M92" s="281">
        <f>IFERROR(__xludf.DUMMYFUNCTION("""COMPUTED_VALUE"""),0.43238411758235185)</f>
        <v>0.4323841176</v>
      </c>
      <c r="N92" s="281">
        <f>IFERROR(__xludf.DUMMYFUNCTION("""COMPUTED_VALUE"""),0.43238411758235185)</f>
        <v>0.4323841176</v>
      </c>
      <c r="O92" s="282">
        <f>IFERROR(__xludf.DUMMYFUNCTION("""COMPUTED_VALUE"""),0.0)</f>
        <v>0</v>
      </c>
      <c r="P92" s="283">
        <f>IFERROR(__xludf.DUMMYFUNCTION("""COMPUTED_VALUE"""),19.8)</f>
        <v>19.8</v>
      </c>
      <c r="Q92" s="283">
        <f>IFERROR(__xludf.DUMMYFUNCTION("""COMPUTED_VALUE"""),2.2)</f>
        <v>2.2</v>
      </c>
      <c r="R92" s="283">
        <f>IFERROR(__xludf.DUMMYFUNCTION("""COMPUTED_VALUE"""),6.9)</f>
        <v>6.9</v>
      </c>
      <c r="S92" s="284">
        <f>IFERROR(__xludf.DUMMYFUNCTION("""COMPUTED_VALUE"""),3.2)</f>
        <v>3.2</v>
      </c>
      <c r="T92" s="283">
        <f>IFERROR(__xludf.DUMMYFUNCTION("""COMPUTED_VALUE"""),0.9)</f>
        <v>0.9</v>
      </c>
      <c r="U92" s="283">
        <f>IFERROR(__xludf.DUMMYFUNCTION("""COMPUTED_VALUE"""),0.5)</f>
        <v>0.5</v>
      </c>
      <c r="V92" s="280">
        <f>IFERROR(__xludf.DUMMYFUNCTION("""COMPUTED_VALUE"""),0.462)</f>
        <v>0.462</v>
      </c>
      <c r="W92" s="280">
        <f>IFERROR(__xludf.DUMMYFUNCTION("""COMPUTED_VALUE"""),0.824)</f>
        <v>0.824</v>
      </c>
      <c r="X92" s="280">
        <f>IFERROR(__xludf.DUMMYFUNCTION("""COMPUTED_VALUE"""),1.9)</f>
        <v>1.9</v>
      </c>
      <c r="Y92" s="283">
        <f>IFERROR(__xludf.DUMMYFUNCTION("""COMPUTED_VALUE"""),0.42147216765952)</f>
        <v>0.4214721677</v>
      </c>
      <c r="Z92" s="281">
        <f>IFERROR(__xludf.DUMMYFUNCTION("""COMPUTED_VALUE"""),0.44884799761907157)</f>
        <v>0.4488479976</v>
      </c>
      <c r="AA92" s="281">
        <f>IFERROR(__xludf.DUMMYFUNCTION("""COMPUTED_VALUE"""),0.3260205017340414)</f>
        <v>0.3260205017</v>
      </c>
      <c r="AB92" s="281">
        <f>IFERROR(__xludf.DUMMYFUNCTION("""COMPUTED_VALUE"""),-0.33522600621847437)</f>
        <v>-0.3352260062</v>
      </c>
      <c r="AC92" s="281">
        <f>IFERROR(__xludf.DUMMYFUNCTION("""COMPUTED_VALUE"""),-0.25279641051880714)</f>
        <v>-0.2527964105</v>
      </c>
      <c r="AD92" s="281">
        <f>IFERROR(__xludf.DUMMYFUNCTION("""COMPUTED_VALUE"""),-0.4371236407912776)</f>
        <v>-0.4371236408</v>
      </c>
      <c r="AE92" s="281">
        <f>IFERROR(__xludf.DUMMYFUNCTION("""COMPUTED_VALUE"""),-0.678613366361083)</f>
        <v>-0.6786133664</v>
      </c>
      <c r="AF92" s="281">
        <f>IFERROR(__xludf.DUMMYFUNCTION("""COMPUTED_VALUE"""),0.29871747115860475)</f>
        <v>0.2987174712</v>
      </c>
      <c r="AG92" s="281">
        <f>IFERROR(__xludf.DUMMYFUNCTION("""COMPUTED_VALUE"""),-0.037527963060326526)</f>
        <v>-0.03752796306</v>
      </c>
      <c r="AH92" s="285"/>
      <c r="AI92" s="273"/>
      <c r="AJ92" s="340"/>
      <c r="AK92" s="341"/>
      <c r="AL92" s="273"/>
      <c r="AM92" s="273"/>
      <c r="AN92" s="273"/>
      <c r="AO92" s="273"/>
      <c r="AP92" s="273"/>
      <c r="AQ92" s="273"/>
      <c r="AR92" s="273"/>
      <c r="AS92" s="273"/>
      <c r="AT92" s="273"/>
      <c r="AU92" s="273"/>
      <c r="AV92" s="273"/>
      <c r="AW92" s="273"/>
      <c r="AX92" s="273"/>
      <c r="AY92" s="273"/>
      <c r="AZ92" s="273"/>
      <c r="BA92" s="273"/>
      <c r="BB92" s="273"/>
      <c r="BC92" s="273"/>
      <c r="BD92" s="273"/>
      <c r="BE92" s="273"/>
      <c r="BF92" s="273"/>
      <c r="BG92" s="273"/>
      <c r="BH92" s="273"/>
      <c r="BI92" s="273"/>
      <c r="BJ92" s="273"/>
      <c r="BK92" s="273"/>
      <c r="BL92" s="273"/>
      <c r="BM92" s="273"/>
      <c r="BN92" s="273"/>
      <c r="BO92" s="273"/>
      <c r="BP92" s="273"/>
      <c r="BQ92" s="273"/>
      <c r="BR92" s="273"/>
      <c r="BS92" s="273"/>
      <c r="BT92" s="273"/>
      <c r="BU92" s="273"/>
      <c r="BV92" s="273"/>
      <c r="BW92" s="273"/>
    </row>
    <row r="93">
      <c r="A93" s="276">
        <f>VLOOKUP($F93,UpdateHashtag!$V$3:$Y$32,COLUMN(B$15),0)</f>
        <v>4</v>
      </c>
      <c r="B93" s="259">
        <f>VLOOKUP($F93,UpdateHashtag!$V$3:$Y$32,COLUMN(C$13),0)</f>
        <v>4</v>
      </c>
      <c r="C93" s="259">
        <f>VLOOKUP($F93,UpdateHashtag!$V$3:$Y$32,COLUMN(D$13),0)</f>
        <v>3</v>
      </c>
      <c r="D93" s="277">
        <f t="shared" si="4"/>
        <v>11</v>
      </c>
      <c r="E93" s="21"/>
      <c r="F93" s="261" t="str">
        <f>VLOOKUP(J93,UpdateBBM!$C$2:E1015,3,0)</f>
        <v>OKC</v>
      </c>
      <c r="G93" s="248">
        <v>74.0</v>
      </c>
      <c r="H93" s="278">
        <f>IFERROR(__xludf.DUMMYFUNCTION("""COMPUTED_VALUE"""),74.0)</f>
        <v>74</v>
      </c>
      <c r="I93" s="278">
        <f>IFERROR(__xludf.DUMMYFUNCTION("""COMPUTED_VALUE"""),76.4)</f>
        <v>76.4</v>
      </c>
      <c r="J93" s="279" t="str">
        <f>IFERROR(__xludf.DUMMYFUNCTION("""COMPUTED_VALUE"""),"Isaiah Hartenstein")</f>
        <v>Isaiah Hartenstein</v>
      </c>
      <c r="K93" s="278">
        <f>IFERROR(__xludf.DUMMYFUNCTION("""COMPUTED_VALUE"""),71.0)</f>
        <v>71</v>
      </c>
      <c r="L93" s="280" t="str">
        <f>IFERROR(__xludf.DUMMYFUNCTION("""COMPUTED_VALUE"""),"C")</f>
        <v>C</v>
      </c>
      <c r="M93" s="281">
        <f>IFERROR(__xludf.DUMMYFUNCTION("""COMPUTED_VALUE"""),0.4199092294826001)</f>
        <v>0.4199092295</v>
      </c>
      <c r="N93" s="281">
        <f>IFERROR(__xludf.DUMMYFUNCTION("""COMPUTED_VALUE"""),0.4199092294826001)</f>
        <v>0.4199092295</v>
      </c>
      <c r="O93" s="282">
        <f>IFERROR(__xludf.DUMMYFUNCTION("""COMPUTED_VALUE"""),0.0)</f>
        <v>0</v>
      </c>
      <c r="P93" s="283">
        <f>IFERROR(__xludf.DUMMYFUNCTION("""COMPUTED_VALUE"""),8.7)</f>
        <v>8.7</v>
      </c>
      <c r="Q93" s="283">
        <f>IFERROR(__xludf.DUMMYFUNCTION("""COMPUTED_VALUE"""),0.1)</f>
        <v>0.1</v>
      </c>
      <c r="R93" s="283">
        <f>IFERROR(__xludf.DUMMYFUNCTION("""COMPUTED_VALUE"""),9.0)</f>
        <v>9</v>
      </c>
      <c r="S93" s="284">
        <f>IFERROR(__xludf.DUMMYFUNCTION("""COMPUTED_VALUE"""),2.4)</f>
        <v>2.4</v>
      </c>
      <c r="T93" s="283">
        <f>IFERROR(__xludf.DUMMYFUNCTION("""COMPUTED_VALUE"""),1.1)</f>
        <v>1.1</v>
      </c>
      <c r="U93" s="283">
        <f>IFERROR(__xludf.DUMMYFUNCTION("""COMPUTED_VALUE"""),1.2)</f>
        <v>1.2</v>
      </c>
      <c r="V93" s="280">
        <f>IFERROR(__xludf.DUMMYFUNCTION("""COMPUTED_VALUE"""),0.621)</f>
        <v>0.621</v>
      </c>
      <c r="W93" s="280">
        <f>IFERROR(__xludf.DUMMYFUNCTION("""COMPUTED_VALUE"""),0.7)</f>
        <v>0.7</v>
      </c>
      <c r="X93" s="280">
        <f>IFERROR(__xludf.DUMMYFUNCTION("""COMPUTED_VALUE"""),1.3)</f>
        <v>1.3</v>
      </c>
      <c r="Y93" s="283">
        <f>IFERROR(__xludf.DUMMYFUNCTION("""COMPUTED_VALUE"""),-1.5837208502630324)</f>
        <v>-1.58372085</v>
      </c>
      <c r="Z93" s="281">
        <f>IFERROR(__xludf.DUMMYFUNCTION("""COMPUTED_VALUE"""),-1.6411622820433)</f>
        <v>-1.641162282</v>
      </c>
      <c r="AA93" s="281">
        <f>IFERROR(__xludf.DUMMYFUNCTION("""COMPUTED_VALUE"""),1.149774295358456)</f>
        <v>1.149774295</v>
      </c>
      <c r="AB93" s="281">
        <f>IFERROR(__xludf.DUMMYFUNCTION("""COMPUTED_VALUE"""),-0.6997201695955381)</f>
        <v>-0.6997201696</v>
      </c>
      <c r="AC93" s="281">
        <f>IFERROR(__xludf.DUMMYFUNCTION("""COMPUTED_VALUE"""),0.41106894580015185)</f>
        <v>0.4110689458</v>
      </c>
      <c r="AD93" s="281">
        <f>IFERROR(__xludf.DUMMYFUNCTION("""COMPUTED_VALUE"""),0.8116322735773168)</f>
        <v>0.8116322736</v>
      </c>
      <c r="AE93" s="281">
        <f>IFERROR(__xludf.DUMMYFUNCTION("""COMPUTED_VALUE"""),0.8582601501826838)</f>
        <v>0.8582601502</v>
      </c>
      <c r="AF93" s="281">
        <f>IFERROR(__xludf.DUMMYFUNCTION("""COMPUTED_VALUE"""),-0.6386467333730309)</f>
        <v>-0.6386467334</v>
      </c>
      <c r="AG93" s="281">
        <f>IFERROR(__xludf.DUMMYFUNCTION("""COMPUTED_VALUE"""),0.11126131779559338)</f>
        <v>0.1112613178</v>
      </c>
      <c r="AH93" s="285"/>
      <c r="AI93" s="273"/>
      <c r="AJ93" s="340"/>
      <c r="AK93" s="341"/>
      <c r="AL93" s="273"/>
      <c r="AM93" s="273"/>
      <c r="AN93" s="273"/>
      <c r="AO93" s="273"/>
      <c r="AP93" s="273"/>
      <c r="AQ93" s="273"/>
      <c r="AR93" s="273"/>
      <c r="AS93" s="273"/>
      <c r="AT93" s="273"/>
      <c r="AU93" s="273"/>
      <c r="AV93" s="273"/>
      <c r="AW93" s="273"/>
      <c r="AX93" s="273"/>
      <c r="AY93" s="273"/>
      <c r="AZ93" s="273"/>
      <c r="BA93" s="273"/>
      <c r="BB93" s="273"/>
      <c r="BC93" s="273"/>
      <c r="BD93" s="273"/>
      <c r="BE93" s="273"/>
      <c r="BF93" s="273"/>
      <c r="BG93" s="273"/>
      <c r="BH93" s="273"/>
      <c r="BI93" s="273"/>
      <c r="BJ93" s="273"/>
      <c r="BK93" s="273"/>
      <c r="BL93" s="273"/>
      <c r="BM93" s="273"/>
      <c r="BN93" s="273"/>
      <c r="BO93" s="273"/>
      <c r="BP93" s="273"/>
      <c r="BQ93" s="273"/>
      <c r="BR93" s="273"/>
      <c r="BS93" s="273"/>
      <c r="BT93" s="273"/>
      <c r="BU93" s="273"/>
      <c r="BV93" s="273"/>
      <c r="BW93" s="273"/>
    </row>
    <row r="94">
      <c r="A94" s="259" t="str">
        <f>VLOOKUP($F94,UpdateHashtag!$V$3:$Y$32,COLUMN(B$15),0)</f>
        <v>#N/A</v>
      </c>
      <c r="B94" s="259" t="str">
        <f>VLOOKUP($F94,UpdateHashtag!$V$3:$Y$32,COLUMN(C$13),0)</f>
        <v>#N/A</v>
      </c>
      <c r="C94" s="259" t="str">
        <f>VLOOKUP($F94,UpdateHashtag!$V$3:$Y$32,COLUMN(D$13),0)</f>
        <v>#N/A</v>
      </c>
      <c r="D94" s="329" t="str">
        <f t="shared" si="4"/>
        <v>#N/A</v>
      </c>
      <c r="E94" s="21"/>
      <c r="F94" s="261" t="str">
        <f>VLOOKUP(J94,UpdateBBM!$C$2:E1015,3,0)</f>
        <v>GSW</v>
      </c>
      <c r="G94" s="248">
        <v>75.0</v>
      </c>
      <c r="H94" s="278">
        <f>IFERROR(__xludf.DUMMYFUNCTION("""COMPUTED_VALUE"""),75.0)</f>
        <v>75</v>
      </c>
      <c r="I94" s="278">
        <f>IFERROR(__xludf.DUMMYFUNCTION("""COMPUTED_VALUE"""),101.4)</f>
        <v>101.4</v>
      </c>
      <c r="J94" s="279" t="str">
        <f>IFERROR(__xludf.DUMMYFUNCTION("""COMPUTED_VALUE"""),"Draymond Green")</f>
        <v>Draymond Green</v>
      </c>
      <c r="K94" s="278">
        <f>IFERROR(__xludf.DUMMYFUNCTION("""COMPUTED_VALUE"""),71.0)</f>
        <v>71</v>
      </c>
      <c r="L94" s="280" t="str">
        <f>IFERROR(__xludf.DUMMYFUNCTION("""COMPUTED_VALUE"""),"PF,C")</f>
        <v>PF,C</v>
      </c>
      <c r="M94" s="281">
        <f>IFERROR(__xludf.DUMMYFUNCTION("""COMPUTED_VALUE"""),0.35671376212424777)</f>
        <v>0.3567137621</v>
      </c>
      <c r="N94" s="281">
        <f>IFERROR(__xludf.DUMMYFUNCTION("""COMPUTED_VALUE"""),0.35671376212424777)</f>
        <v>0.3567137621</v>
      </c>
      <c r="O94" s="282">
        <f>IFERROR(__xludf.DUMMYFUNCTION("""COMPUTED_VALUE"""),0.0)</f>
        <v>0</v>
      </c>
      <c r="P94" s="283">
        <f>IFERROR(__xludf.DUMMYFUNCTION("""COMPUTED_VALUE"""),8.2)</f>
        <v>8.2</v>
      </c>
      <c r="Q94" s="283">
        <f>IFERROR(__xludf.DUMMYFUNCTION("""COMPUTED_VALUE"""),0.7)</f>
        <v>0.7</v>
      </c>
      <c r="R94" s="283">
        <f>IFERROR(__xludf.DUMMYFUNCTION("""COMPUTED_VALUE"""),6.9)</f>
        <v>6.9</v>
      </c>
      <c r="S94" s="284">
        <f>IFERROR(__xludf.DUMMYFUNCTION("""COMPUTED_VALUE"""),6.2)</f>
        <v>6.2</v>
      </c>
      <c r="T94" s="283">
        <f>IFERROR(__xludf.DUMMYFUNCTION("""COMPUTED_VALUE"""),1.1)</f>
        <v>1.1</v>
      </c>
      <c r="U94" s="283">
        <f>IFERROR(__xludf.DUMMYFUNCTION("""COMPUTED_VALUE"""),0.8)</f>
        <v>0.8</v>
      </c>
      <c r="V94" s="280">
        <f>IFERROR(__xludf.DUMMYFUNCTION("""COMPUTED_VALUE"""),0.514)</f>
        <v>0.514</v>
      </c>
      <c r="W94" s="280">
        <f>IFERROR(__xludf.DUMMYFUNCTION("""COMPUTED_VALUE"""),0.713)</f>
        <v>0.713</v>
      </c>
      <c r="X94" s="280">
        <f>IFERROR(__xludf.DUMMYFUNCTION("""COMPUTED_VALUE"""),2.5)</f>
        <v>2.5</v>
      </c>
      <c r="Y94" s="283">
        <f>IFERROR(__xludf.DUMMYFUNCTION("""COMPUTED_VALUE"""),-1.6740448600793636)</f>
        <v>-1.67404486</v>
      </c>
      <c r="Z94" s="281">
        <f>IFERROR(__xludf.DUMMYFUNCTION("""COMPUTED_VALUE"""),-1.0440164878540512)</f>
        <v>-1.044016488</v>
      </c>
      <c r="AA94" s="281">
        <f>IFERROR(__xludf.DUMMYFUNCTION("""COMPUTED_VALUE"""),0.3260205017340414)</f>
        <v>0.3260205017</v>
      </c>
      <c r="AB94" s="281">
        <f>IFERROR(__xludf.DUMMYFUNCTION("""COMPUTED_VALUE"""),1.031627106445514)</f>
        <v>1.031627106</v>
      </c>
      <c r="AC94" s="281">
        <f>IFERROR(__xludf.DUMMYFUNCTION("""COMPUTED_VALUE"""),0.41106894580015185)</f>
        <v>0.4110689458</v>
      </c>
      <c r="AD94" s="281">
        <f>IFERROR(__xludf.DUMMYFUNCTION("""COMPUTED_VALUE"""),0.09805746536669153)</f>
        <v>0.09805746537</v>
      </c>
      <c r="AE94" s="281">
        <f>IFERROR(__xludf.DUMMYFUNCTION("""COMPUTED_VALUE"""),0.1264014628234606)</f>
        <v>0.1264014628</v>
      </c>
      <c r="AF94" s="281">
        <f>IFERROR(__xludf.DUMMYFUNCTION("""COMPUTED_VALUE"""),-0.40612798827531393)</f>
        <v>-0.4061279883</v>
      </c>
      <c r="AG94" s="281">
        <f>IFERROR(__xludf.DUMMYFUNCTION("""COMPUTED_VALUE"""),-0.1863172439162465)</f>
        <v>-0.1863172439</v>
      </c>
      <c r="AH94" s="285"/>
      <c r="AI94" s="273"/>
      <c r="AJ94" s="340"/>
      <c r="AK94" s="341"/>
      <c r="AL94" s="273"/>
      <c r="AM94" s="273"/>
      <c r="AN94" s="273"/>
      <c r="AO94" s="273"/>
      <c r="AP94" s="273"/>
      <c r="AQ94" s="273"/>
      <c r="AR94" s="273"/>
      <c r="AS94" s="273"/>
      <c r="AT94" s="273"/>
      <c r="AU94" s="273"/>
      <c r="AV94" s="273"/>
      <c r="AW94" s="273"/>
      <c r="AX94" s="273"/>
      <c r="AY94" s="273"/>
      <c r="AZ94" s="273"/>
      <c r="BA94" s="273"/>
      <c r="BB94" s="273"/>
      <c r="BC94" s="273"/>
      <c r="BD94" s="273"/>
      <c r="BE94" s="273"/>
      <c r="BF94" s="273"/>
      <c r="BG94" s="273"/>
      <c r="BH94" s="273"/>
      <c r="BI94" s="273"/>
      <c r="BJ94" s="273"/>
      <c r="BK94" s="273"/>
      <c r="BL94" s="273"/>
      <c r="BM94" s="273"/>
      <c r="BN94" s="273"/>
      <c r="BO94" s="273"/>
      <c r="BP94" s="273"/>
      <c r="BQ94" s="273"/>
      <c r="BR94" s="273"/>
      <c r="BS94" s="273"/>
      <c r="BT94" s="273"/>
      <c r="BU94" s="273"/>
      <c r="BV94" s="273"/>
      <c r="BW94" s="273"/>
    </row>
    <row r="95">
      <c r="A95" s="276">
        <f>VLOOKUP($F95,UpdateHashtag!$V$3:$Y$32,COLUMN(B$15),0)</f>
        <v>4</v>
      </c>
      <c r="B95" s="259">
        <f>VLOOKUP($F95,UpdateHashtag!$V$3:$Y$32,COLUMN(C$13),0)</f>
        <v>3</v>
      </c>
      <c r="C95" s="259">
        <f>VLOOKUP($F95,UpdateHashtag!$V$3:$Y$32,COLUMN(D$13),0)</f>
        <v>4</v>
      </c>
      <c r="D95" s="277">
        <f t="shared" si="4"/>
        <v>11</v>
      </c>
      <c r="E95" s="21"/>
      <c r="F95" s="261" t="str">
        <f>VLOOKUP(J95,UpdateBBM!$C$2:E1015,3,0)</f>
        <v>POR</v>
      </c>
      <c r="G95" s="248">
        <v>76.0</v>
      </c>
      <c r="H95" s="278">
        <f>IFERROR(__xludf.DUMMYFUNCTION("""COMPUTED_VALUE"""),76.0)</f>
        <v>76</v>
      </c>
      <c r="I95" s="278">
        <f>IFERROR(__xludf.DUMMYFUNCTION("""COMPUTED_VALUE"""),78.5)</f>
        <v>78.5</v>
      </c>
      <c r="J95" s="279" t="str">
        <f>IFERROR(__xludf.DUMMYFUNCTION("""COMPUTED_VALUE"""),"Jrue Holiday")</f>
        <v>Jrue Holiday</v>
      </c>
      <c r="K95" s="278">
        <f>IFERROR(__xludf.DUMMYFUNCTION("""COMPUTED_VALUE"""),71.0)</f>
        <v>71</v>
      </c>
      <c r="L95" s="280" t="str">
        <f>IFERROR(__xludf.DUMMYFUNCTION("""COMPUTED_VALUE"""),"PG,SG")</f>
        <v>PG,SG</v>
      </c>
      <c r="M95" s="281">
        <f>IFERROR(__xludf.DUMMYFUNCTION("""COMPUTED_VALUE"""),0.34784031775405766)</f>
        <v>0.3478403178</v>
      </c>
      <c r="N95" s="281">
        <f>IFERROR(__xludf.DUMMYFUNCTION("""COMPUTED_VALUE"""),0.34784031775405766)</f>
        <v>0.3478403178</v>
      </c>
      <c r="O95" s="282">
        <f>IFERROR(__xludf.DUMMYFUNCTION("""COMPUTED_VALUE"""),0.0)</f>
        <v>0</v>
      </c>
      <c r="P95" s="283">
        <f>IFERROR(__xludf.DUMMYFUNCTION("""COMPUTED_VALUE"""),13.5)</f>
        <v>13.5</v>
      </c>
      <c r="Q95" s="283">
        <f>IFERROR(__xludf.DUMMYFUNCTION("""COMPUTED_VALUE"""),2.2)</f>
        <v>2.2</v>
      </c>
      <c r="R95" s="283">
        <f>IFERROR(__xludf.DUMMYFUNCTION("""COMPUTED_VALUE"""),5.3)</f>
        <v>5.3</v>
      </c>
      <c r="S95" s="284">
        <f>IFERROR(__xludf.DUMMYFUNCTION("""COMPUTED_VALUE"""),5.1)</f>
        <v>5.1</v>
      </c>
      <c r="T95" s="283">
        <f>IFERROR(__xludf.DUMMYFUNCTION("""COMPUTED_VALUE"""),1.0)</f>
        <v>1</v>
      </c>
      <c r="U95" s="283">
        <f>IFERROR(__xludf.DUMMYFUNCTION("""COMPUTED_VALUE"""),0.6)</f>
        <v>0.6</v>
      </c>
      <c r="V95" s="280">
        <f>IFERROR(__xludf.DUMMYFUNCTION("""COMPUTED_VALUE"""),0.477)</f>
        <v>0.477</v>
      </c>
      <c r="W95" s="280">
        <f>IFERROR(__xludf.DUMMYFUNCTION("""COMPUTED_VALUE"""),0.847)</f>
        <v>0.847</v>
      </c>
      <c r="X95" s="280">
        <f>IFERROR(__xludf.DUMMYFUNCTION("""COMPUTED_VALUE"""),2.4)</f>
        <v>2.4</v>
      </c>
      <c r="Y95" s="283">
        <f>IFERROR(__xludf.DUMMYFUNCTION("""COMPUTED_VALUE"""),-0.716610356026253)</f>
        <v>-0.716610356</v>
      </c>
      <c r="Z95" s="281">
        <f>IFERROR(__xludf.DUMMYFUNCTION("""COMPUTED_VALUE"""),0.44884799761907157)</f>
        <v>0.4488479976</v>
      </c>
      <c r="AA95" s="281">
        <f>IFERROR(__xludf.DUMMYFUNCTION("""COMPUTED_VALUE"""),-0.30160143626551283)</f>
        <v>-0.3016014363</v>
      </c>
      <c r="AB95" s="281">
        <f>IFERROR(__xludf.DUMMYFUNCTION("""COMPUTED_VALUE"""),0.5304476318020513)</f>
        <v>0.5304476318</v>
      </c>
      <c r="AC95" s="281">
        <f>IFERROR(__xludf.DUMMYFUNCTION("""COMPUTED_VALUE"""),0.07913626764067216)</f>
        <v>0.07913626764</v>
      </c>
      <c r="AD95" s="281">
        <f>IFERROR(__xludf.DUMMYFUNCTION("""COMPUTED_VALUE"""),-0.25872993873862127)</f>
        <v>-0.2587299387</v>
      </c>
      <c r="AE95" s="281">
        <f>IFERROR(__xludf.DUMMYFUNCTION("""COMPUTED_VALUE"""),-0.24698328137287356)</f>
        <v>-0.2469832814</v>
      </c>
      <c r="AF95" s="281">
        <f>IFERROR(__xludf.DUMMYFUNCTION("""COMPUTED_VALUE"""),0.2582421075095301)</f>
        <v>0.2582421075</v>
      </c>
      <c r="AG95" s="281">
        <f>IFERROR(__xludf.DUMMYFUNCTION("""COMPUTED_VALUE"""),-0.1615190304402598)</f>
        <v>-0.1615190304</v>
      </c>
      <c r="AH95" s="285"/>
      <c r="AI95" s="273"/>
      <c r="AJ95" s="340"/>
      <c r="AK95" s="341"/>
      <c r="AL95" s="273"/>
      <c r="AM95" s="273"/>
      <c r="AN95" s="273"/>
      <c r="AO95" s="273"/>
      <c r="AP95" s="273"/>
      <c r="AQ95" s="273"/>
      <c r="AR95" s="273"/>
      <c r="AS95" s="273"/>
      <c r="AT95" s="273"/>
      <c r="AU95" s="273"/>
      <c r="AV95" s="273"/>
      <c r="AW95" s="273"/>
      <c r="AX95" s="273"/>
      <c r="AY95" s="273"/>
      <c r="AZ95" s="273"/>
      <c r="BA95" s="273"/>
      <c r="BB95" s="273"/>
      <c r="BC95" s="273"/>
      <c r="BD95" s="273"/>
      <c r="BE95" s="273"/>
      <c r="BF95" s="273"/>
      <c r="BG95" s="273"/>
      <c r="BH95" s="273"/>
      <c r="BI95" s="273"/>
      <c r="BJ95" s="273"/>
      <c r="BK95" s="273"/>
      <c r="BL95" s="273"/>
      <c r="BM95" s="273"/>
      <c r="BN95" s="273"/>
      <c r="BO95" s="273"/>
      <c r="BP95" s="273"/>
      <c r="BQ95" s="273"/>
      <c r="BR95" s="273"/>
      <c r="BS95" s="273"/>
      <c r="BT95" s="273"/>
      <c r="BU95" s="273"/>
      <c r="BV95" s="273"/>
      <c r="BW95" s="273"/>
    </row>
    <row r="96">
      <c r="A96" s="276">
        <f>VLOOKUP($F96,UpdateHashtag!$V$3:$Y$32,COLUMN(B$15),0)</f>
        <v>4</v>
      </c>
      <c r="B96" s="259">
        <f>VLOOKUP($F96,UpdateHashtag!$V$3:$Y$32,COLUMN(C$13),0)</f>
        <v>3</v>
      </c>
      <c r="C96" s="259">
        <f>VLOOKUP($F96,UpdateHashtag!$V$3:$Y$32,COLUMN(D$13),0)</f>
        <v>4</v>
      </c>
      <c r="D96" s="277">
        <f t="shared" si="4"/>
        <v>11</v>
      </c>
      <c r="E96" s="21"/>
      <c r="F96" s="261" t="str">
        <f>VLOOKUP(J96,UpdateBBM!$C$2:E1015,3,0)</f>
        <v>DET</v>
      </c>
      <c r="G96" s="248">
        <v>77.0</v>
      </c>
      <c r="H96" s="278">
        <f>IFERROR(__xludf.DUMMYFUNCTION("""COMPUTED_VALUE"""),77.0)</f>
        <v>77</v>
      </c>
      <c r="I96" s="278">
        <f>IFERROR(__xludf.DUMMYFUNCTION("""COMPUTED_VALUE"""),53.8)</f>
        <v>53.8</v>
      </c>
      <c r="J96" s="279" t="str">
        <f>IFERROR(__xludf.DUMMYFUNCTION("""COMPUTED_VALUE"""),"Jalen Duren")</f>
        <v>Jalen Duren</v>
      </c>
      <c r="K96" s="278">
        <f>IFERROR(__xludf.DUMMYFUNCTION("""COMPUTED_VALUE"""),66.0)</f>
        <v>66</v>
      </c>
      <c r="L96" s="280" t="str">
        <f>IFERROR(__xludf.DUMMYFUNCTION("""COMPUTED_VALUE"""),"C")</f>
        <v>C</v>
      </c>
      <c r="M96" s="281">
        <f>IFERROR(__xludf.DUMMYFUNCTION("""COMPUTED_VALUE"""),0.33354101455070917)</f>
        <v>0.3335410146</v>
      </c>
      <c r="N96" s="281">
        <f>IFERROR(__xludf.DUMMYFUNCTION("""COMPUTED_VALUE"""),0.33354101455070917)</f>
        <v>0.3335410146</v>
      </c>
      <c r="O96" s="282">
        <f>IFERROR(__xludf.DUMMYFUNCTION("""COMPUTED_VALUE"""),0.0)</f>
        <v>0</v>
      </c>
      <c r="P96" s="283">
        <f>IFERROR(__xludf.DUMMYFUNCTION("""COMPUTED_VALUE"""),12.8)</f>
        <v>12.8</v>
      </c>
      <c r="Q96" s="283">
        <f>IFERROR(__xludf.DUMMYFUNCTION("""COMPUTED_VALUE"""),0.0)</f>
        <v>0</v>
      </c>
      <c r="R96" s="283">
        <f>IFERROR(__xludf.DUMMYFUNCTION("""COMPUTED_VALUE"""),10.9)</f>
        <v>10.9</v>
      </c>
      <c r="S96" s="284">
        <f>IFERROR(__xludf.DUMMYFUNCTION("""COMPUTED_VALUE"""),2.0)</f>
        <v>2</v>
      </c>
      <c r="T96" s="283">
        <f>IFERROR(__xludf.DUMMYFUNCTION("""COMPUTED_VALUE"""),0.6)</f>
        <v>0.6</v>
      </c>
      <c r="U96" s="283">
        <f>IFERROR(__xludf.DUMMYFUNCTION("""COMPUTED_VALUE"""),0.9)</f>
        <v>0.9</v>
      </c>
      <c r="V96" s="280">
        <f>IFERROR(__xludf.DUMMYFUNCTION("""COMPUTED_VALUE"""),0.628)</f>
        <v>0.628</v>
      </c>
      <c r="W96" s="280">
        <f>IFERROR(__xludf.DUMMYFUNCTION("""COMPUTED_VALUE"""),0.781)</f>
        <v>0.781</v>
      </c>
      <c r="X96" s="280">
        <f>IFERROR(__xludf.DUMMYFUNCTION("""COMPUTED_VALUE"""),1.9)</f>
        <v>1.9</v>
      </c>
      <c r="Y96" s="283">
        <f>IFERROR(__xludf.DUMMYFUNCTION("""COMPUTED_VALUE"""),-0.8430639697691165)</f>
        <v>-0.8430639698</v>
      </c>
      <c r="Z96" s="281">
        <f>IFERROR(__xludf.DUMMYFUNCTION("""COMPUTED_VALUE"""),-1.7406865810748415)</f>
        <v>-1.740686581</v>
      </c>
      <c r="AA96" s="281">
        <f>IFERROR(__xludf.DUMMYFUNCTION("""COMPUTED_VALUE"""),1.8950753467329264)</f>
        <v>1.895075347</v>
      </c>
      <c r="AB96" s="281">
        <f>IFERROR(__xludf.DUMMYFUNCTION("""COMPUTED_VALUE"""),-0.8819672512840698)</f>
        <v>-0.8819672513</v>
      </c>
      <c r="AC96" s="281">
        <f>IFERROR(__xludf.DUMMYFUNCTION("""COMPUTED_VALUE"""),-1.2485944449972455)</f>
        <v>-1.248594445</v>
      </c>
      <c r="AD96" s="281">
        <f>IFERROR(__xludf.DUMMYFUNCTION("""COMPUTED_VALUE"""),0.27645116741934783)</f>
        <v>0.2764511674</v>
      </c>
      <c r="AE96" s="281">
        <f>IFERROR(__xludf.DUMMYFUNCTION("""COMPUTED_VALUE"""),1.306210541939423)</f>
        <v>1.306210542</v>
      </c>
      <c r="AF96" s="281">
        <f>IFERROR(__xludf.DUMMYFUNCTION("""COMPUTED_VALUE"""),-0.13304241243022985)</f>
        <v>-0.1330424124</v>
      </c>
      <c r="AG96" s="281">
        <f>IFERROR(__xludf.DUMMYFUNCTION("""COMPUTED_VALUE"""),-0.037527963060326526)</f>
        <v>-0.03752796306</v>
      </c>
      <c r="AH96" s="285"/>
      <c r="AI96" s="273"/>
      <c r="AJ96" s="340"/>
      <c r="AK96" s="341"/>
      <c r="AL96" s="273"/>
      <c r="AM96" s="273"/>
      <c r="AN96" s="273"/>
      <c r="AO96" s="273"/>
      <c r="AP96" s="273"/>
      <c r="AQ96" s="273"/>
      <c r="AR96" s="273"/>
      <c r="AS96" s="273"/>
      <c r="AT96" s="273"/>
      <c r="AU96" s="273"/>
      <c r="AV96" s="273"/>
      <c r="AW96" s="273"/>
      <c r="AX96" s="273"/>
      <c r="AY96" s="273"/>
      <c r="AZ96" s="273"/>
      <c r="BA96" s="273"/>
      <c r="BB96" s="273"/>
      <c r="BC96" s="273"/>
      <c r="BD96" s="273"/>
      <c r="BE96" s="273"/>
      <c r="BF96" s="273"/>
      <c r="BG96" s="273"/>
      <c r="BH96" s="273"/>
      <c r="BI96" s="273"/>
      <c r="BJ96" s="273"/>
      <c r="BK96" s="273"/>
      <c r="BL96" s="273"/>
      <c r="BM96" s="273"/>
      <c r="BN96" s="273"/>
      <c r="BO96" s="273"/>
      <c r="BP96" s="273"/>
      <c r="BQ96" s="273"/>
      <c r="BR96" s="273"/>
      <c r="BS96" s="273"/>
      <c r="BT96" s="273"/>
      <c r="BU96" s="273"/>
      <c r="BV96" s="273"/>
      <c r="BW96" s="273"/>
    </row>
    <row r="97">
      <c r="A97" s="276">
        <f>VLOOKUP($F97,UpdateHashtag!$V$3:$Y$32,COLUMN(B$15),0)</f>
        <v>3</v>
      </c>
      <c r="B97" s="259">
        <f>VLOOKUP($F97,UpdateHashtag!$V$3:$Y$32,COLUMN(C$13),0)</f>
        <v>5</v>
      </c>
      <c r="C97" s="259">
        <f>VLOOKUP($F97,UpdateHashtag!$V$3:$Y$32,COLUMN(D$13),0)</f>
        <v>3</v>
      </c>
      <c r="D97" s="277">
        <f t="shared" si="4"/>
        <v>11</v>
      </c>
      <c r="E97" s="21"/>
      <c r="F97" s="261" t="str">
        <f>VLOOKUP(J97,UpdateBBM!$C$2:E1015,3,0)</f>
        <v>BKN</v>
      </c>
      <c r="G97" s="248">
        <v>78.0</v>
      </c>
      <c r="H97" s="278">
        <f>IFERROR(__xludf.DUMMYFUNCTION("""COMPUTED_VALUE"""),78.0)</f>
        <v>78</v>
      </c>
      <c r="I97" s="278">
        <f>IFERROR(__xludf.DUMMYFUNCTION("""COMPUTED_VALUE"""),70.1)</f>
        <v>70.1</v>
      </c>
      <c r="J97" s="279" t="str">
        <f>IFERROR(__xludf.DUMMYFUNCTION("""COMPUTED_VALUE"""),"Cam Thomas")</f>
        <v>Cam Thomas</v>
      </c>
      <c r="K97" s="278">
        <f>IFERROR(__xludf.DUMMYFUNCTION("""COMPUTED_VALUE"""),54.0)</f>
        <v>54</v>
      </c>
      <c r="L97" s="280" t="str">
        <f>IFERROR(__xludf.DUMMYFUNCTION("""COMPUTED_VALUE"""),"SG")</f>
        <v>SG</v>
      </c>
      <c r="M97" s="281">
        <f>IFERROR(__xludf.DUMMYFUNCTION("""COMPUTED_VALUE"""),0.27244849438886454)</f>
        <v>0.2724484944</v>
      </c>
      <c r="N97" s="281">
        <f>IFERROR(__xludf.DUMMYFUNCTION("""COMPUTED_VALUE"""),0.27244849438886454)</f>
        <v>0.2724484944</v>
      </c>
      <c r="O97" s="282">
        <f>IFERROR(__xludf.DUMMYFUNCTION("""COMPUTED_VALUE"""),0.0)</f>
        <v>0</v>
      </c>
      <c r="P97" s="283">
        <f>IFERROR(__xludf.DUMMYFUNCTION("""COMPUTED_VALUE"""),25.6)</f>
        <v>25.6</v>
      </c>
      <c r="Q97" s="283">
        <f>IFERROR(__xludf.DUMMYFUNCTION("""COMPUTED_VALUE"""),2.6)</f>
        <v>2.6</v>
      </c>
      <c r="R97" s="283">
        <f>IFERROR(__xludf.DUMMYFUNCTION("""COMPUTED_VALUE"""),3.3)</f>
        <v>3.3</v>
      </c>
      <c r="S97" s="284">
        <f>IFERROR(__xludf.DUMMYFUNCTION("""COMPUTED_VALUE"""),2.9)</f>
        <v>2.9</v>
      </c>
      <c r="T97" s="283">
        <f>IFERROR(__xludf.DUMMYFUNCTION("""COMPUTED_VALUE"""),0.7)</f>
        <v>0.7</v>
      </c>
      <c r="U97" s="283">
        <f>IFERROR(__xludf.DUMMYFUNCTION("""COMPUTED_VALUE"""),0.3)</f>
        <v>0.3</v>
      </c>
      <c r="V97" s="280">
        <f>IFERROR(__xludf.DUMMYFUNCTION("""COMPUTED_VALUE"""),0.44)</f>
        <v>0.44</v>
      </c>
      <c r="W97" s="280">
        <f>IFERROR(__xludf.DUMMYFUNCTION("""COMPUTED_VALUE"""),0.861)</f>
        <v>0.861</v>
      </c>
      <c r="X97" s="280">
        <f>IFERROR(__xludf.DUMMYFUNCTION("""COMPUTED_VALUE"""),2.0)</f>
        <v>2</v>
      </c>
      <c r="Y97" s="283">
        <f>IFERROR(__xludf.DUMMYFUNCTION("""COMPUTED_VALUE"""),1.4692306815289617)</f>
        <v>1.469230682</v>
      </c>
      <c r="Z97" s="281">
        <f>IFERROR(__xludf.DUMMYFUNCTION("""COMPUTED_VALUE"""),0.8469451937452375)</f>
        <v>0.8469451937</v>
      </c>
      <c r="AA97" s="281">
        <f>IFERROR(__xludf.DUMMYFUNCTION("""COMPUTED_VALUE"""),-1.0861288587649554)</f>
        <v>-1.086128859</v>
      </c>
      <c r="AB97" s="281">
        <f>IFERROR(__xludf.DUMMYFUNCTION("""COMPUTED_VALUE"""),-0.4719113174848733)</f>
        <v>-0.4719113175</v>
      </c>
      <c r="AC97" s="281">
        <f>IFERROR(__xludf.DUMMYFUNCTION("""COMPUTED_VALUE"""),-0.9166617668377661)</f>
        <v>-0.9166617668</v>
      </c>
      <c r="AD97" s="281">
        <f>IFERROR(__xludf.DUMMYFUNCTION("""COMPUTED_VALUE"""),-0.7939110448965904)</f>
        <v>-0.7939110449</v>
      </c>
      <c r="AE97" s="281">
        <f>IFERROR(__xludf.DUMMYFUNCTION("""COMPUTED_VALUE"""),-1.3799519080622422)</f>
        <v>-1.379951908</v>
      </c>
      <c r="AF97" s="281">
        <f>IFERROR(__xludf.DUMMYFUNCTION("""COMPUTED_VALUE"""),1.2872117836351635)</f>
        <v>1.287211784</v>
      </c>
      <c r="AG97" s="281">
        <f>IFERROR(__xludf.DUMMYFUNCTION("""COMPUTED_VALUE"""),-0.062326176536313206)</f>
        <v>-0.06232617654</v>
      </c>
      <c r="AH97" s="285"/>
      <c r="AI97" s="273"/>
      <c r="AJ97" s="340"/>
      <c r="AK97" s="341"/>
      <c r="AL97" s="273"/>
      <c r="AM97" s="273"/>
      <c r="AN97" s="273"/>
      <c r="AO97" s="273"/>
      <c r="AP97" s="273"/>
      <c r="AQ97" s="273"/>
      <c r="AR97" s="273"/>
      <c r="AS97" s="273"/>
      <c r="AT97" s="273"/>
      <c r="AU97" s="273"/>
      <c r="AV97" s="273"/>
      <c r="AW97" s="273"/>
      <c r="AX97" s="273"/>
      <c r="AY97" s="273"/>
      <c r="AZ97" s="273"/>
      <c r="BA97" s="273"/>
      <c r="BB97" s="273"/>
      <c r="BC97" s="273"/>
      <c r="BD97" s="273"/>
      <c r="BE97" s="273"/>
      <c r="BF97" s="273"/>
      <c r="BG97" s="273"/>
      <c r="BH97" s="273"/>
      <c r="BI97" s="273"/>
      <c r="BJ97" s="273"/>
      <c r="BK97" s="273"/>
      <c r="BL97" s="273"/>
      <c r="BM97" s="273"/>
      <c r="BN97" s="273"/>
      <c r="BO97" s="273"/>
      <c r="BP97" s="273"/>
      <c r="BQ97" s="273"/>
      <c r="BR97" s="273"/>
      <c r="BS97" s="273"/>
      <c r="BT97" s="273"/>
      <c r="BU97" s="273"/>
      <c r="BV97" s="273"/>
      <c r="BW97" s="273"/>
    </row>
    <row r="98">
      <c r="A98" s="276">
        <f>VLOOKUP($F98,UpdateHashtag!$V$3:$Y$32,COLUMN(B$15),0)</f>
        <v>3</v>
      </c>
      <c r="B98" s="259">
        <f>VLOOKUP($F98,UpdateHashtag!$V$3:$Y$32,COLUMN(C$13),0)</f>
        <v>4</v>
      </c>
      <c r="C98" s="259">
        <f>VLOOKUP($F98,UpdateHashtag!$V$3:$Y$32,COLUMN(D$13),0)</f>
        <v>3</v>
      </c>
      <c r="D98" s="277">
        <f t="shared" si="4"/>
        <v>10</v>
      </c>
      <c r="E98" s="21"/>
      <c r="F98" s="261" t="str">
        <f>VLOOKUP(J98,UpdateBBM!$C$2:E1015,3,0)</f>
        <v>TOR</v>
      </c>
      <c r="G98" s="248">
        <v>79.0</v>
      </c>
      <c r="H98" s="278">
        <f>IFERROR(__xludf.DUMMYFUNCTION("""COMPUTED_VALUE"""),79.0)</f>
        <v>79</v>
      </c>
      <c r="I98" s="278">
        <f>IFERROR(__xludf.DUMMYFUNCTION("""COMPUTED_VALUE"""),92.7)</f>
        <v>92.7</v>
      </c>
      <c r="J98" s="279" t="str">
        <f>IFERROR(__xludf.DUMMYFUNCTION("""COMPUTED_VALUE"""),"Jakob Poeltl")</f>
        <v>Jakob Poeltl</v>
      </c>
      <c r="K98" s="278">
        <f>IFERROR(__xludf.DUMMYFUNCTION("""COMPUTED_VALUE"""),66.0)</f>
        <v>66</v>
      </c>
      <c r="L98" s="280" t="str">
        <f>IFERROR(__xludf.DUMMYFUNCTION("""COMPUTED_VALUE"""),"C")</f>
        <v>C</v>
      </c>
      <c r="M98" s="281">
        <f>IFERROR(__xludf.DUMMYFUNCTION("""COMPUTED_VALUE"""),0.2704992278191174)</f>
        <v>0.2704992278</v>
      </c>
      <c r="N98" s="281">
        <f>IFERROR(__xludf.DUMMYFUNCTION("""COMPUTED_VALUE"""),0.2704992278191174)</f>
        <v>0.2704992278</v>
      </c>
      <c r="O98" s="282">
        <f>IFERROR(__xludf.DUMMYFUNCTION("""COMPUTED_VALUE"""),0.0)</f>
        <v>0</v>
      </c>
      <c r="P98" s="283">
        <f>IFERROR(__xludf.DUMMYFUNCTION("""COMPUTED_VALUE"""),12.2)</f>
        <v>12.2</v>
      </c>
      <c r="Q98" s="283">
        <f>IFERROR(__xludf.DUMMYFUNCTION("""COMPUTED_VALUE"""),0.0)</f>
        <v>0</v>
      </c>
      <c r="R98" s="283">
        <f>IFERROR(__xludf.DUMMYFUNCTION("""COMPUTED_VALUE"""),9.1)</f>
        <v>9.1</v>
      </c>
      <c r="S98" s="284">
        <f>IFERROR(__xludf.DUMMYFUNCTION("""COMPUTED_VALUE"""),2.7)</f>
        <v>2.7</v>
      </c>
      <c r="T98" s="283">
        <f>IFERROR(__xludf.DUMMYFUNCTION("""COMPUTED_VALUE"""),0.9)</f>
        <v>0.9</v>
      </c>
      <c r="U98" s="283">
        <f>IFERROR(__xludf.DUMMYFUNCTION("""COMPUTED_VALUE"""),1.4)</f>
        <v>1.4</v>
      </c>
      <c r="V98" s="280">
        <f>IFERROR(__xludf.DUMMYFUNCTION("""COMPUTED_VALUE"""),0.64)</f>
        <v>0.64</v>
      </c>
      <c r="W98" s="280">
        <f>IFERROR(__xludf.DUMMYFUNCTION("""COMPUTED_VALUE"""),0.575)</f>
        <v>0.575</v>
      </c>
      <c r="X98" s="280">
        <f>IFERROR(__xludf.DUMMYFUNCTION("""COMPUTED_VALUE"""),1.7)</f>
        <v>1.7</v>
      </c>
      <c r="Y98" s="283">
        <f>IFERROR(__xludf.DUMMYFUNCTION("""COMPUTED_VALUE"""),-0.9514527815487142)</f>
        <v>-0.9514527815</v>
      </c>
      <c r="Z98" s="281">
        <f>IFERROR(__xludf.DUMMYFUNCTION("""COMPUTED_VALUE"""),-1.7406865810748415)</f>
        <v>-1.740686581</v>
      </c>
      <c r="AA98" s="281">
        <f>IFERROR(__xludf.DUMMYFUNCTION("""COMPUTED_VALUE"""),1.1890006664834278)</f>
        <v>1.189000666</v>
      </c>
      <c r="AB98" s="281">
        <f>IFERROR(__xludf.DUMMYFUNCTION("""COMPUTED_VALUE"""),-0.5630348583291391)</f>
        <v>-0.5630348583</v>
      </c>
      <c r="AC98" s="281">
        <f>IFERROR(__xludf.DUMMYFUNCTION("""COMPUTED_VALUE"""),-0.25279641051880714)</f>
        <v>-0.2527964105</v>
      </c>
      <c r="AD98" s="281">
        <f>IFERROR(__xludf.DUMMYFUNCTION("""COMPUTED_VALUE"""),1.1684196776826294)</f>
        <v>1.168419678</v>
      </c>
      <c r="AE98" s="281">
        <f>IFERROR(__xludf.DUMMYFUNCTION("""COMPUTED_VALUE"""),1.408981051232915)</f>
        <v>1.408981051</v>
      </c>
      <c r="AF98" s="281">
        <f>IFERROR(__xludf.DUMMYFUNCTION("""COMPUTED_VALUE"""),-2.024898621976127)</f>
        <v>-2.024898622</v>
      </c>
      <c r="AG98" s="281">
        <f>IFERROR(__xludf.DUMMYFUNCTION("""COMPUTED_VALUE"""),0.012068463891646777)</f>
        <v>0.01206846389</v>
      </c>
      <c r="AH98" s="285"/>
      <c r="AI98" s="273"/>
      <c r="AJ98" s="350"/>
      <c r="AK98" s="341"/>
      <c r="AL98" s="273"/>
      <c r="AM98" s="273"/>
      <c r="AN98" s="273"/>
      <c r="AO98" s="273"/>
      <c r="AP98" s="273"/>
      <c r="AQ98" s="273"/>
      <c r="AR98" s="273"/>
      <c r="AS98" s="273"/>
      <c r="AT98" s="273"/>
      <c r="AU98" s="273"/>
      <c r="AV98" s="273"/>
      <c r="AW98" s="273"/>
      <c r="AX98" s="273"/>
      <c r="AY98" s="273"/>
      <c r="AZ98" s="273"/>
      <c r="BA98" s="273"/>
      <c r="BB98" s="273"/>
      <c r="BC98" s="273"/>
      <c r="BD98" s="273"/>
      <c r="BE98" s="273"/>
      <c r="BF98" s="273"/>
      <c r="BG98" s="273"/>
      <c r="BH98" s="273"/>
      <c r="BI98" s="273"/>
      <c r="BJ98" s="273"/>
      <c r="BK98" s="273"/>
      <c r="BL98" s="273"/>
      <c r="BM98" s="273"/>
      <c r="BN98" s="273"/>
      <c r="BO98" s="273"/>
      <c r="BP98" s="273"/>
      <c r="BQ98" s="273"/>
      <c r="BR98" s="273"/>
      <c r="BS98" s="273"/>
      <c r="BT98" s="273"/>
      <c r="BU98" s="273"/>
      <c r="BV98" s="273"/>
      <c r="BW98" s="273"/>
    </row>
    <row r="99">
      <c r="A99" s="259" t="str">
        <f>VLOOKUP($F99,UpdateHashtag!$V$3:$Y$32,COLUMN(B$15),0)</f>
        <v>#N/A</v>
      </c>
      <c r="B99" s="259" t="str">
        <f>VLOOKUP($F99,UpdateHashtag!$V$3:$Y$32,COLUMN(C$13),0)</f>
        <v>#N/A</v>
      </c>
      <c r="C99" s="259" t="str">
        <f>VLOOKUP($F99,UpdateHashtag!$V$3:$Y$32,COLUMN(D$13),0)</f>
        <v>#N/A</v>
      </c>
      <c r="D99" s="329" t="str">
        <f t="shared" si="4"/>
        <v>#N/A</v>
      </c>
      <c r="E99" s="21"/>
      <c r="F99" s="261" t="str">
        <f>VLOOKUP(J99,UpdateBBM!$C$2:E1015,3,0)</f>
        <v>#N/A</v>
      </c>
      <c r="G99" s="248">
        <v>80.0</v>
      </c>
      <c r="H99" s="278">
        <f>IFERROR(__xludf.DUMMYFUNCTION("""COMPUTED_VALUE"""),80.0)</f>
        <v>80</v>
      </c>
      <c r="I99" s="278">
        <f>IFERROR(__xludf.DUMMYFUNCTION("""COMPUTED_VALUE"""),82.6)</f>
        <v>82.6</v>
      </c>
      <c r="J99" s="279" t="str">
        <f>IFERROR(__xludf.DUMMYFUNCTION("""COMPUTED_VALUE"""),"OG Anunoby")</f>
        <v>OG Anunoby</v>
      </c>
      <c r="K99" s="278">
        <f>IFERROR(__xludf.DUMMYFUNCTION("""COMPUTED_VALUE"""),59.0)</f>
        <v>59</v>
      </c>
      <c r="L99" s="280" t="str">
        <f>IFERROR(__xludf.DUMMYFUNCTION("""COMPUTED_VALUE"""),"SF,PF")</f>
        <v>SF,PF</v>
      </c>
      <c r="M99" s="281">
        <f>IFERROR(__xludf.DUMMYFUNCTION("""COMPUTED_VALUE"""),0.25404360026342265)</f>
        <v>0.2540436003</v>
      </c>
      <c r="N99" s="281">
        <f>IFERROR(__xludf.DUMMYFUNCTION("""COMPUTED_VALUE"""),0.25404360026342265)</f>
        <v>0.2540436003</v>
      </c>
      <c r="O99" s="282">
        <f>IFERROR(__xludf.DUMMYFUNCTION("""COMPUTED_VALUE"""),0.0)</f>
        <v>0</v>
      </c>
      <c r="P99" s="283">
        <f>IFERROR(__xludf.DUMMYFUNCTION("""COMPUTED_VALUE"""),14.8)</f>
        <v>14.8</v>
      </c>
      <c r="Q99" s="283">
        <f>IFERROR(__xludf.DUMMYFUNCTION("""COMPUTED_VALUE"""),2.0)</f>
        <v>2</v>
      </c>
      <c r="R99" s="283">
        <f>IFERROR(__xludf.DUMMYFUNCTION("""COMPUTED_VALUE"""),4.1)</f>
        <v>4.1</v>
      </c>
      <c r="S99" s="284">
        <f>IFERROR(__xludf.DUMMYFUNCTION("""COMPUTED_VALUE"""),2.0)</f>
        <v>2</v>
      </c>
      <c r="T99" s="283">
        <f>IFERROR(__xludf.DUMMYFUNCTION("""COMPUTED_VALUE"""),1.5)</f>
        <v>1.5</v>
      </c>
      <c r="U99" s="283">
        <f>IFERROR(__xludf.DUMMYFUNCTION("""COMPUTED_VALUE"""),0.7)</f>
        <v>0.7</v>
      </c>
      <c r="V99" s="280">
        <f>IFERROR(__xludf.DUMMYFUNCTION("""COMPUTED_VALUE"""),0.48)</f>
        <v>0.48</v>
      </c>
      <c r="W99" s="280">
        <f>IFERROR(__xludf.DUMMYFUNCTION("""COMPUTED_VALUE"""),0.77)</f>
        <v>0.77</v>
      </c>
      <c r="X99" s="280">
        <f>IFERROR(__xludf.DUMMYFUNCTION("""COMPUTED_VALUE"""),1.8)</f>
        <v>1.8</v>
      </c>
      <c r="Y99" s="283">
        <f>IFERROR(__xludf.DUMMYFUNCTION("""COMPUTED_VALUE"""),-0.48176793050379174)</f>
        <v>-0.4817679305</v>
      </c>
      <c r="Z99" s="281">
        <f>IFERROR(__xludf.DUMMYFUNCTION("""COMPUTED_VALUE"""),0.2497993995559884)</f>
        <v>0.2497993996</v>
      </c>
      <c r="AA99" s="281">
        <f>IFERROR(__xludf.DUMMYFUNCTION("""COMPUTED_VALUE"""),-0.7723178897651785)</f>
        <v>-0.7723178898</v>
      </c>
      <c r="AB99" s="281">
        <f>IFERROR(__xludf.DUMMYFUNCTION("""COMPUTED_VALUE"""),-0.8819672512840698)</f>
        <v>-0.8819672513</v>
      </c>
      <c r="AC99" s="281">
        <f>IFERROR(__xludf.DUMMYFUNCTION("""COMPUTED_VALUE"""),1.738799658438069)</f>
        <v>1.738799658</v>
      </c>
      <c r="AD99" s="281">
        <f>IFERROR(__xludf.DUMMYFUNCTION("""COMPUTED_VALUE"""),-0.08033623668596498)</f>
        <v>-0.08033623669</v>
      </c>
      <c r="AE99" s="281">
        <f>IFERROR(__xludf.DUMMYFUNCTION("""COMPUTED_VALUE"""),-0.23741168185465863)</f>
        <v>-0.2374116819</v>
      </c>
      <c r="AF99" s="281">
        <f>IFERROR(__xludf.DUMMYFUNCTION("""COMPUTED_VALUE"""),-0.1499919693367008)</f>
        <v>-0.1499919693</v>
      </c>
      <c r="AG99" s="281">
        <f>IFERROR(__xludf.DUMMYFUNCTION("""COMPUTED_VALUE"""),-0.012729749584339901)</f>
        <v>-0.01272974958</v>
      </c>
      <c r="AH99" s="285"/>
      <c r="AI99" s="273"/>
      <c r="AJ99" s="340"/>
      <c r="AK99" s="341"/>
      <c r="AL99" s="273"/>
      <c r="AM99" s="273"/>
      <c r="AN99" s="273"/>
      <c r="AO99" s="273"/>
      <c r="AP99" s="273"/>
      <c r="AQ99" s="273"/>
      <c r="AR99" s="273"/>
      <c r="AS99" s="273"/>
      <c r="AT99" s="273"/>
      <c r="AU99" s="273"/>
      <c r="AV99" s="273"/>
      <c r="AW99" s="273"/>
      <c r="AX99" s="273"/>
      <c r="AY99" s="273"/>
      <c r="AZ99" s="273"/>
      <c r="BA99" s="273"/>
      <c r="BB99" s="273"/>
      <c r="BC99" s="273"/>
      <c r="BD99" s="273"/>
      <c r="BE99" s="273"/>
      <c r="BF99" s="273"/>
      <c r="BG99" s="273"/>
      <c r="BH99" s="273"/>
      <c r="BI99" s="273"/>
      <c r="BJ99" s="273"/>
      <c r="BK99" s="273"/>
      <c r="BL99" s="273"/>
      <c r="BM99" s="273"/>
      <c r="BN99" s="273"/>
      <c r="BO99" s="273"/>
      <c r="BP99" s="273"/>
      <c r="BQ99" s="273"/>
      <c r="BR99" s="273"/>
      <c r="BS99" s="273"/>
      <c r="BT99" s="273"/>
      <c r="BU99" s="273"/>
      <c r="BV99" s="273"/>
      <c r="BW99" s="273"/>
    </row>
    <row r="100">
      <c r="A100" s="259" t="str">
        <f>VLOOKUP($F100,UpdateHashtag!$V$3:$Y$32,COLUMN(B$15),0)</f>
        <v>#N/A</v>
      </c>
      <c r="B100" s="259" t="str">
        <f>VLOOKUP($F100,UpdateHashtag!$V$3:$Y$32,COLUMN(C$13),0)</f>
        <v>#N/A</v>
      </c>
      <c r="C100" s="259" t="str">
        <f>VLOOKUP($F100,UpdateHashtag!$V$3:$Y$32,COLUMN(D$13),0)</f>
        <v>#N/A</v>
      </c>
      <c r="D100" s="329" t="str">
        <f t="shared" si="4"/>
        <v>#N/A</v>
      </c>
      <c r="E100" s="21"/>
      <c r="F100" s="261" t="str">
        <f>VLOOKUP(J100,UpdateBBM!$C$2:E1015,3,0)</f>
        <v>#N/A</v>
      </c>
      <c r="G100" s="248">
        <v>81.0</v>
      </c>
      <c r="H100" s="278">
        <f>IFERROR(__xludf.DUMMYFUNCTION("""COMPUTED_VALUE"""),81.0)</f>
        <v>81</v>
      </c>
      <c r="I100" s="278">
        <f>IFERROR(__xludf.DUMMYFUNCTION("""COMPUTED_VALUE"""),96.2)</f>
        <v>96.2</v>
      </c>
      <c r="J100" s="279" t="str">
        <f>IFERROR(__xludf.DUMMYFUNCTION("""COMPUTED_VALUE"""),"Herbert Jones")</f>
        <v>Herbert Jones</v>
      </c>
      <c r="K100" s="278">
        <f>IFERROR(__xludf.DUMMYFUNCTION("""COMPUTED_VALUE"""),62.0)</f>
        <v>62</v>
      </c>
      <c r="L100" s="280" t="str">
        <f>IFERROR(__xludf.DUMMYFUNCTION("""COMPUTED_VALUE"""),"SF,PF")</f>
        <v>SF,PF</v>
      </c>
      <c r="M100" s="281">
        <f>IFERROR(__xludf.DUMMYFUNCTION("""COMPUTED_VALUE"""),0.23501941975385487)</f>
        <v>0.2350194198</v>
      </c>
      <c r="N100" s="281">
        <f>IFERROR(__xludf.DUMMYFUNCTION("""COMPUTED_VALUE"""),0.23501941975385487)</f>
        <v>0.2350194198</v>
      </c>
      <c r="O100" s="282">
        <f>IFERROR(__xludf.DUMMYFUNCTION("""COMPUTED_VALUE"""),0.0)</f>
        <v>0</v>
      </c>
      <c r="P100" s="283">
        <f>IFERROR(__xludf.DUMMYFUNCTION("""COMPUTED_VALUE"""),10.5)</f>
        <v>10.5</v>
      </c>
      <c r="Q100" s="283">
        <f>IFERROR(__xludf.DUMMYFUNCTION("""COMPUTED_VALUE"""),1.2)</f>
        <v>1.2</v>
      </c>
      <c r="R100" s="283">
        <f>IFERROR(__xludf.DUMMYFUNCTION("""COMPUTED_VALUE"""),4.2)</f>
        <v>4.2</v>
      </c>
      <c r="S100" s="284">
        <f>IFERROR(__xludf.DUMMYFUNCTION("""COMPUTED_VALUE"""),2.6)</f>
        <v>2.6</v>
      </c>
      <c r="T100" s="283">
        <f>IFERROR(__xludf.DUMMYFUNCTION("""COMPUTED_VALUE"""),1.4)</f>
        <v>1.4</v>
      </c>
      <c r="U100" s="283">
        <f>IFERROR(__xludf.DUMMYFUNCTION("""COMPUTED_VALUE"""),0.9)</f>
        <v>0.9</v>
      </c>
      <c r="V100" s="280">
        <f>IFERROR(__xludf.DUMMYFUNCTION("""COMPUTED_VALUE"""),0.484)</f>
        <v>0.484</v>
      </c>
      <c r="W100" s="280">
        <f>IFERROR(__xludf.DUMMYFUNCTION("""COMPUTED_VALUE"""),0.852)</f>
        <v>0.852</v>
      </c>
      <c r="X100" s="280">
        <f>IFERROR(__xludf.DUMMYFUNCTION("""COMPUTED_VALUE"""),1.3)</f>
        <v>1.3</v>
      </c>
      <c r="Y100" s="283">
        <f>IFERROR(__xludf.DUMMYFUNCTION("""COMPUTED_VALUE"""),-1.25855441492424)</f>
        <v>-1.258554415</v>
      </c>
      <c r="Z100" s="281">
        <f>IFERROR(__xludf.DUMMYFUNCTION("""COMPUTED_VALUE"""),-0.5463949926963436)</f>
        <v>-0.5463949927</v>
      </c>
      <c r="AA100" s="281">
        <f>IFERROR(__xludf.DUMMYFUNCTION("""COMPUTED_VALUE"""),-0.733091518640206)</f>
        <v>-0.7330915186</v>
      </c>
      <c r="AB100" s="281">
        <f>IFERROR(__xludf.DUMMYFUNCTION("""COMPUTED_VALUE"""),-0.6085966287512721)</f>
        <v>-0.6085966288</v>
      </c>
      <c r="AC100" s="281">
        <f>IFERROR(__xludf.DUMMYFUNCTION("""COMPUTED_VALUE"""),1.4068669802785894)</f>
        <v>1.40686698</v>
      </c>
      <c r="AD100" s="281">
        <f>IFERROR(__xludf.DUMMYFUNCTION("""COMPUTED_VALUE"""),0.27645116741934783)</f>
        <v>0.2764511674</v>
      </c>
      <c r="AE100" s="281">
        <f>IFERROR(__xludf.DUMMYFUNCTION("""COMPUTED_VALUE"""),-0.11624153436956645)</f>
        <v>-0.1162415344</v>
      </c>
      <c r="AF100" s="281">
        <f>IFERROR(__xludf.DUMMYFUNCTION("""COMPUTED_VALUE"""),0.44476462871771194)</f>
        <v>0.4447646287</v>
      </c>
      <c r="AG100" s="281">
        <f>IFERROR(__xludf.DUMMYFUNCTION("""COMPUTED_VALUE"""),0.11126131779559338)</f>
        <v>0.1112613178</v>
      </c>
      <c r="AH100" s="285"/>
      <c r="AI100" s="273"/>
      <c r="AJ100" s="340"/>
      <c r="AK100" s="341"/>
      <c r="AL100" s="273"/>
      <c r="AM100" s="273"/>
      <c r="AN100" s="273"/>
      <c r="AO100" s="273"/>
      <c r="AP100" s="273"/>
      <c r="AQ100" s="273"/>
      <c r="AR100" s="273"/>
      <c r="AS100" s="273"/>
      <c r="AT100" s="273"/>
      <c r="AU100" s="273"/>
      <c r="AV100" s="273"/>
      <c r="AW100" s="273"/>
      <c r="AX100" s="273"/>
      <c r="AY100" s="273"/>
      <c r="AZ100" s="273"/>
      <c r="BA100" s="273"/>
      <c r="BB100" s="273"/>
      <c r="BC100" s="273"/>
      <c r="BD100" s="273"/>
      <c r="BE100" s="273"/>
      <c r="BF100" s="273"/>
      <c r="BG100" s="273"/>
      <c r="BH100" s="273"/>
      <c r="BI100" s="273"/>
      <c r="BJ100" s="273"/>
      <c r="BK100" s="273"/>
      <c r="BL100" s="273"/>
      <c r="BM100" s="273"/>
      <c r="BN100" s="273"/>
      <c r="BO100" s="273"/>
      <c r="BP100" s="273"/>
      <c r="BQ100" s="273"/>
      <c r="BR100" s="273"/>
      <c r="BS100" s="273"/>
      <c r="BT100" s="273"/>
      <c r="BU100" s="273"/>
      <c r="BV100" s="273"/>
      <c r="BW100" s="273"/>
    </row>
    <row r="101">
      <c r="A101" s="276">
        <f>VLOOKUP($F101,UpdateHashtag!$V$3:$Y$32,COLUMN(B$15),0)</f>
        <v>2</v>
      </c>
      <c r="B101" s="259">
        <f>VLOOKUP($F101,UpdateHashtag!$V$3:$Y$32,COLUMN(C$13),0)</f>
        <v>4</v>
      </c>
      <c r="C101" s="259">
        <f>VLOOKUP($F101,UpdateHashtag!$V$3:$Y$32,COLUMN(D$13),0)</f>
        <v>4</v>
      </c>
      <c r="D101" s="277">
        <f t="shared" si="4"/>
        <v>10</v>
      </c>
      <c r="E101" s="21"/>
      <c r="F101" s="261" t="str">
        <f>VLOOKUP(J101,UpdateBBM!$C$2:E1015,3,0)</f>
        <v>CHI</v>
      </c>
      <c r="G101" s="248">
        <v>82.0</v>
      </c>
      <c r="H101" s="278">
        <f>IFERROR(__xludf.DUMMYFUNCTION("""COMPUTED_VALUE"""),82.0)</f>
        <v>82</v>
      </c>
      <c r="I101" s="278">
        <f>IFERROR(__xludf.DUMMYFUNCTION("""COMPUTED_VALUE"""),86.5)</f>
        <v>86.5</v>
      </c>
      <c r="J101" s="279" t="str">
        <f>IFERROR(__xludf.DUMMYFUNCTION("""COMPUTED_VALUE"""),"Coby White")</f>
        <v>Coby White</v>
      </c>
      <c r="K101" s="278">
        <f>IFERROR(__xludf.DUMMYFUNCTION("""COMPUTED_VALUE"""),60.0)</f>
        <v>60</v>
      </c>
      <c r="L101" s="280" t="str">
        <f>IFERROR(__xludf.DUMMYFUNCTION("""COMPUTED_VALUE"""),"PG,SG")</f>
        <v>PG,SG</v>
      </c>
      <c r="M101" s="281">
        <f>IFERROR(__xludf.DUMMYFUNCTION("""COMPUTED_VALUE"""),0.17994959276772948)</f>
        <v>0.1799495928</v>
      </c>
      <c r="N101" s="281">
        <f>IFERROR(__xludf.DUMMYFUNCTION("""COMPUTED_VALUE"""),0.17994959276772948)</f>
        <v>0.1799495928</v>
      </c>
      <c r="O101" s="282">
        <f>IFERROR(__xludf.DUMMYFUNCTION("""COMPUTED_VALUE"""),0.0)</f>
        <v>0</v>
      </c>
      <c r="P101" s="283">
        <f>IFERROR(__xludf.DUMMYFUNCTION("""COMPUTED_VALUE"""),18.0)</f>
        <v>18</v>
      </c>
      <c r="Q101" s="283">
        <f>IFERROR(__xludf.DUMMYFUNCTION("""COMPUTED_VALUE"""),2.7)</f>
        <v>2.7</v>
      </c>
      <c r="R101" s="283">
        <f>IFERROR(__xludf.DUMMYFUNCTION("""COMPUTED_VALUE"""),4.6)</f>
        <v>4.6</v>
      </c>
      <c r="S101" s="284">
        <f>IFERROR(__xludf.DUMMYFUNCTION("""COMPUTED_VALUE"""),4.9)</f>
        <v>4.9</v>
      </c>
      <c r="T101" s="283">
        <f>IFERROR(__xludf.DUMMYFUNCTION("""COMPUTED_VALUE"""),0.9)</f>
        <v>0.9</v>
      </c>
      <c r="U101" s="283">
        <f>IFERROR(__xludf.DUMMYFUNCTION("""COMPUTED_VALUE"""),0.2)</f>
        <v>0.2</v>
      </c>
      <c r="V101" s="280">
        <f>IFERROR(__xludf.DUMMYFUNCTION("""COMPUTED_VALUE"""),0.446)</f>
        <v>0.446</v>
      </c>
      <c r="W101" s="280">
        <f>IFERROR(__xludf.DUMMYFUNCTION("""COMPUTED_VALUE"""),0.843)</f>
        <v>0.843</v>
      </c>
      <c r="X101" s="280">
        <f>IFERROR(__xludf.DUMMYFUNCTION("""COMPUTED_VALUE"""),2.0)</f>
        <v>2</v>
      </c>
      <c r="Y101" s="283">
        <f>IFERROR(__xludf.DUMMYFUNCTION("""COMPUTED_VALUE"""),0.09630573232072766)</f>
        <v>0.09630573232</v>
      </c>
      <c r="Z101" s="281">
        <f>IFERROR(__xludf.DUMMYFUNCTION("""COMPUTED_VALUE"""),0.946469492776779)</f>
        <v>0.9464694928</v>
      </c>
      <c r="AA101" s="281">
        <f>IFERROR(__xludf.DUMMYFUNCTION("""COMPUTED_VALUE"""),-0.5761860341403178)</f>
        <v>-0.5761860341</v>
      </c>
      <c r="AB101" s="281">
        <f>IFERROR(__xludf.DUMMYFUNCTION("""COMPUTED_VALUE"""),0.43932409095778585)</f>
        <v>0.439324091</v>
      </c>
      <c r="AC101" s="281">
        <f>IFERROR(__xludf.DUMMYFUNCTION("""COMPUTED_VALUE"""),-0.25279641051880714)</f>
        <v>-0.2527964105</v>
      </c>
      <c r="AD101" s="281">
        <f>IFERROR(__xludf.DUMMYFUNCTION("""COMPUTED_VALUE"""),-0.9723047469492465)</f>
        <v>-0.9723047469</v>
      </c>
      <c r="AE101" s="281">
        <f>IFERROR(__xludf.DUMMYFUNCTION("""COMPUTED_VALUE"""),-0.8706321333419738)</f>
        <v>-0.8706321333</v>
      </c>
      <c r="AF101" s="281">
        <f>IFERROR(__xludf.DUMMYFUNCTION("""COMPUTED_VALUE"""),0.45979103124984894)</f>
        <v>0.4597910312</v>
      </c>
      <c r="AG101" s="281">
        <f>IFERROR(__xludf.DUMMYFUNCTION("""COMPUTED_VALUE"""),-0.062326176536313206)</f>
        <v>-0.06232617654</v>
      </c>
      <c r="AH101" s="285"/>
      <c r="AI101" s="273"/>
      <c r="AJ101" s="340"/>
      <c r="AK101" s="341"/>
      <c r="AL101" s="273"/>
      <c r="AM101" s="273"/>
      <c r="AN101" s="273"/>
      <c r="AO101" s="273"/>
      <c r="AP101" s="273"/>
      <c r="AQ101" s="273"/>
      <c r="AR101" s="273"/>
      <c r="AS101" s="273"/>
      <c r="AT101" s="273"/>
      <c r="AU101" s="273"/>
      <c r="AV101" s="273"/>
      <c r="AW101" s="273"/>
      <c r="AX101" s="273"/>
      <c r="AY101" s="273"/>
      <c r="AZ101" s="273"/>
      <c r="BA101" s="273"/>
      <c r="BB101" s="273"/>
      <c r="BC101" s="273"/>
      <c r="BD101" s="273"/>
      <c r="BE101" s="273"/>
      <c r="BF101" s="273"/>
      <c r="BG101" s="273"/>
      <c r="BH101" s="273"/>
      <c r="BI101" s="273"/>
      <c r="BJ101" s="273"/>
      <c r="BK101" s="273"/>
      <c r="BL101" s="273"/>
      <c r="BM101" s="273"/>
      <c r="BN101" s="273"/>
      <c r="BO101" s="273"/>
      <c r="BP101" s="273"/>
      <c r="BQ101" s="273"/>
      <c r="BR101" s="273"/>
      <c r="BS101" s="273"/>
      <c r="BT101" s="273"/>
      <c r="BU101" s="273"/>
      <c r="BV101" s="273"/>
      <c r="BW101" s="273"/>
    </row>
    <row r="102">
      <c r="A102" s="259" t="str">
        <f>VLOOKUP($F102,UpdateHashtag!$V$3:$Y$32,COLUMN(B$15),0)</f>
        <v>#N/A</v>
      </c>
      <c r="B102" s="259" t="str">
        <f>VLOOKUP($F102,UpdateHashtag!$V$3:$Y$32,COLUMN(C$13),0)</f>
        <v>#N/A</v>
      </c>
      <c r="C102" s="259" t="str">
        <f>VLOOKUP($F102,UpdateHashtag!$V$3:$Y$32,COLUMN(D$13),0)</f>
        <v>#N/A</v>
      </c>
      <c r="D102" s="329" t="str">
        <f t="shared" si="4"/>
        <v>#N/A</v>
      </c>
      <c r="E102" s="21"/>
      <c r="F102" s="261" t="str">
        <f>VLOOKUP(J102,UpdateBBM!$C$2:E1015,3,0)</f>
        <v>NYK</v>
      </c>
      <c r="G102" s="248">
        <v>83.0</v>
      </c>
      <c r="H102" s="278">
        <f>IFERROR(__xludf.DUMMYFUNCTION("""COMPUTED_VALUE"""),83.0)</f>
        <v>83</v>
      </c>
      <c r="I102" s="278">
        <f>IFERROR(__xludf.DUMMYFUNCTION("""COMPUTED_VALUE"""),54.7)</f>
        <v>54.7</v>
      </c>
      <c r="J102" s="279" t="str">
        <f>IFERROR(__xludf.DUMMYFUNCTION("""COMPUTED_VALUE"""),"Mikal Bridges")</f>
        <v>Mikal Bridges</v>
      </c>
      <c r="K102" s="278">
        <f>IFERROR(__xludf.DUMMYFUNCTION("""COMPUTED_VALUE"""),55.0)</f>
        <v>55</v>
      </c>
      <c r="L102" s="280" t="str">
        <f>IFERROR(__xludf.DUMMYFUNCTION("""COMPUTED_VALUE"""),"SG,SF,PF")</f>
        <v>SG,SF,PF</v>
      </c>
      <c r="M102" s="281">
        <f>IFERROR(__xludf.DUMMYFUNCTION("""COMPUTED_VALUE"""),0.17582059731321575)</f>
        <v>0.1758205973</v>
      </c>
      <c r="N102" s="281">
        <f>IFERROR(__xludf.DUMMYFUNCTION("""COMPUTED_VALUE"""),0.17582059731321575)</f>
        <v>0.1758205973</v>
      </c>
      <c r="O102" s="282">
        <f>IFERROR(__xludf.DUMMYFUNCTION("""COMPUTED_VALUE"""),0.0)</f>
        <v>0</v>
      </c>
      <c r="P102" s="283">
        <f>IFERROR(__xludf.DUMMYFUNCTION("""COMPUTED_VALUE"""),16.0)</f>
        <v>16</v>
      </c>
      <c r="Q102" s="283">
        <f>IFERROR(__xludf.DUMMYFUNCTION("""COMPUTED_VALUE"""),2.4)</f>
        <v>2.4</v>
      </c>
      <c r="R102" s="283">
        <f>IFERROR(__xludf.DUMMYFUNCTION("""COMPUTED_VALUE"""),4.1)</f>
        <v>4.1</v>
      </c>
      <c r="S102" s="284">
        <f>IFERROR(__xludf.DUMMYFUNCTION("""COMPUTED_VALUE"""),3.2)</f>
        <v>3.2</v>
      </c>
      <c r="T102" s="283">
        <f>IFERROR(__xludf.DUMMYFUNCTION("""COMPUTED_VALUE"""),1.1)</f>
        <v>1.1</v>
      </c>
      <c r="U102" s="283">
        <f>IFERROR(__xludf.DUMMYFUNCTION("""COMPUTED_VALUE"""),0.7)</f>
        <v>0.7</v>
      </c>
      <c r="V102" s="280">
        <f>IFERROR(__xludf.DUMMYFUNCTION("""COMPUTED_VALUE"""),0.454)</f>
        <v>0.454</v>
      </c>
      <c r="W102" s="280">
        <f>IFERROR(__xludf.DUMMYFUNCTION("""COMPUTED_VALUE"""),0.827)</f>
        <v>0.827</v>
      </c>
      <c r="X102" s="280">
        <f>IFERROR(__xludf.DUMMYFUNCTION("""COMPUTED_VALUE"""),1.6)</f>
        <v>1.6</v>
      </c>
      <c r="Y102" s="283">
        <f>IFERROR(__xludf.DUMMYFUNCTION("""COMPUTED_VALUE"""),-0.2649903069445971)</f>
        <v>-0.2649903069</v>
      </c>
      <c r="Z102" s="281">
        <f>IFERROR(__xludf.DUMMYFUNCTION("""COMPUTED_VALUE"""),0.6478965956821543)</f>
        <v>0.6478965957</v>
      </c>
      <c r="AA102" s="281">
        <f>IFERROR(__xludf.DUMMYFUNCTION("""COMPUTED_VALUE"""),-0.7723178897651785)</f>
        <v>-0.7723178898</v>
      </c>
      <c r="AB102" s="281">
        <f>IFERROR(__xludf.DUMMYFUNCTION("""COMPUTED_VALUE"""),-0.33522600621847437)</f>
        <v>-0.3352260062</v>
      </c>
      <c r="AC102" s="281">
        <f>IFERROR(__xludf.DUMMYFUNCTION("""COMPUTED_VALUE"""),0.41106894580015185)</f>
        <v>0.4110689458</v>
      </c>
      <c r="AD102" s="281">
        <f>IFERROR(__xludf.DUMMYFUNCTION("""COMPUTED_VALUE"""),-0.08033623668596498)</f>
        <v>-0.08033623669</v>
      </c>
      <c r="AE102" s="281">
        <f>IFERROR(__xludf.DUMMYFUNCTION("""COMPUTED_VALUE"""),-0.6030759670493954)</f>
        <v>-0.603075967</v>
      </c>
      <c r="AF102" s="281">
        <f>IFERROR(__xludf.DUMMYFUNCTION("""COMPUTED_VALUE"""),0.3636168953617081)</f>
        <v>0.3636168954</v>
      </c>
      <c r="AG102" s="281">
        <f>IFERROR(__xludf.DUMMYFUNCTION("""COMPUTED_VALUE"""),0.036866677367633396)</f>
        <v>0.03686667737</v>
      </c>
      <c r="AH102" s="285"/>
      <c r="AI102" s="273"/>
      <c r="AJ102" s="340"/>
      <c r="AK102" s="341"/>
      <c r="AL102" s="273"/>
      <c r="AM102" s="273"/>
      <c r="AN102" s="273"/>
      <c r="AO102" s="273"/>
      <c r="AP102" s="273"/>
      <c r="AQ102" s="273"/>
      <c r="AR102" s="273"/>
      <c r="AS102" s="273"/>
      <c r="AT102" s="273"/>
      <c r="AU102" s="273"/>
      <c r="AV102" s="273"/>
      <c r="AW102" s="273"/>
      <c r="AX102" s="273"/>
      <c r="AY102" s="273"/>
      <c r="AZ102" s="273"/>
      <c r="BA102" s="273"/>
      <c r="BB102" s="273"/>
      <c r="BC102" s="273"/>
      <c r="BD102" s="273"/>
      <c r="BE102" s="273"/>
      <c r="BF102" s="273"/>
      <c r="BG102" s="273"/>
      <c r="BH102" s="273"/>
      <c r="BI102" s="273"/>
      <c r="BJ102" s="273"/>
      <c r="BK102" s="273"/>
      <c r="BL102" s="273"/>
      <c r="BM102" s="273"/>
      <c r="BN102" s="273"/>
      <c r="BO102" s="273"/>
      <c r="BP102" s="273"/>
      <c r="BQ102" s="273"/>
      <c r="BR102" s="273"/>
      <c r="BS102" s="273"/>
      <c r="BT102" s="273"/>
      <c r="BU102" s="273"/>
      <c r="BV102" s="273"/>
      <c r="BW102" s="273"/>
    </row>
    <row r="103">
      <c r="A103" s="276">
        <f>VLOOKUP($F103,UpdateHashtag!$V$3:$Y$32,COLUMN(B$15),0)</f>
        <v>4</v>
      </c>
      <c r="B103" s="259">
        <f>VLOOKUP($F103,UpdateHashtag!$V$3:$Y$32,COLUMN(C$13),0)</f>
        <v>3</v>
      </c>
      <c r="C103" s="259">
        <f>VLOOKUP($F103,UpdateHashtag!$V$3:$Y$32,COLUMN(D$13),0)</f>
        <v>4</v>
      </c>
      <c r="D103" s="277">
        <f t="shared" si="4"/>
        <v>11</v>
      </c>
      <c r="E103" s="21"/>
      <c r="F103" s="261" t="str">
        <f>VLOOKUP(J103,UpdateBBM!$C$2:E1015,3,0)</f>
        <v>SAC</v>
      </c>
      <c r="G103" s="248">
        <v>84.0</v>
      </c>
      <c r="H103" s="278">
        <f>IFERROR(__xludf.DUMMYFUNCTION("""COMPUTED_VALUE"""),84.0)</f>
        <v>84</v>
      </c>
      <c r="I103" s="278">
        <f>IFERROR(__xludf.DUMMYFUNCTION("""COMPUTED_VALUE"""),81.0)</f>
        <v>81</v>
      </c>
      <c r="J103" s="279" t="str">
        <f>IFERROR(__xludf.DUMMYFUNCTION("""COMPUTED_VALUE"""),"Keegan Murray")</f>
        <v>Keegan Murray</v>
      </c>
      <c r="K103" s="278">
        <f>IFERROR(__xludf.DUMMYFUNCTION("""COMPUTED_VALUE"""),66.0)</f>
        <v>66</v>
      </c>
      <c r="L103" s="280" t="str">
        <f>IFERROR(__xludf.DUMMYFUNCTION("""COMPUTED_VALUE"""),"SF,PF")</f>
        <v>SF,PF</v>
      </c>
      <c r="M103" s="281">
        <f>IFERROR(__xludf.DUMMYFUNCTION("""COMPUTED_VALUE"""),0.16472100360613018)</f>
        <v>0.1647210036</v>
      </c>
      <c r="N103" s="281">
        <f>IFERROR(__xludf.DUMMYFUNCTION("""COMPUTED_VALUE"""),0.16472100360613018)</f>
        <v>0.1647210036</v>
      </c>
      <c r="O103" s="282">
        <f>IFERROR(__xludf.DUMMYFUNCTION("""COMPUTED_VALUE"""),0.0)</f>
        <v>0</v>
      </c>
      <c r="P103" s="283">
        <f>IFERROR(__xludf.DUMMYFUNCTION("""COMPUTED_VALUE"""),14.6)</f>
        <v>14.6</v>
      </c>
      <c r="Q103" s="283">
        <f>IFERROR(__xludf.DUMMYFUNCTION("""COMPUTED_VALUE"""),2.7)</f>
        <v>2.7</v>
      </c>
      <c r="R103" s="283">
        <f>IFERROR(__xludf.DUMMYFUNCTION("""COMPUTED_VALUE"""),5.4)</f>
        <v>5.4</v>
      </c>
      <c r="S103" s="284">
        <f>IFERROR(__xludf.DUMMYFUNCTION("""COMPUTED_VALUE"""),1.6)</f>
        <v>1.6</v>
      </c>
      <c r="T103" s="283">
        <f>IFERROR(__xludf.DUMMYFUNCTION("""COMPUTED_VALUE"""),1.0)</f>
        <v>1</v>
      </c>
      <c r="U103" s="283">
        <f>IFERROR(__xludf.DUMMYFUNCTION("""COMPUTED_VALUE"""),0.8)</f>
        <v>0.8</v>
      </c>
      <c r="V103" s="280">
        <f>IFERROR(__xludf.DUMMYFUNCTION("""COMPUTED_VALUE"""),0.454)</f>
        <v>0.454</v>
      </c>
      <c r="W103" s="280">
        <f>IFERROR(__xludf.DUMMYFUNCTION("""COMPUTED_VALUE"""),0.836)</f>
        <v>0.836</v>
      </c>
      <c r="X103" s="280">
        <f>IFERROR(__xludf.DUMMYFUNCTION("""COMPUTED_VALUE"""),0.8)</f>
        <v>0.8</v>
      </c>
      <c r="Y103" s="283">
        <f>IFERROR(__xludf.DUMMYFUNCTION("""COMPUTED_VALUE"""),-0.5178975344303244)</f>
        <v>-0.5178975344</v>
      </c>
      <c r="Z103" s="281">
        <f>IFERROR(__xludf.DUMMYFUNCTION("""COMPUTED_VALUE"""),0.946469492776779)</f>
        <v>0.9464694928</v>
      </c>
      <c r="AA103" s="281">
        <f>IFERROR(__xludf.DUMMYFUNCTION("""COMPUTED_VALUE"""),-0.2623750651405405)</f>
        <v>-0.2623750651</v>
      </c>
      <c r="AB103" s="281">
        <f>IFERROR(__xludf.DUMMYFUNCTION("""COMPUTED_VALUE"""),-1.0642143329726015)</f>
        <v>-1.064214333</v>
      </c>
      <c r="AC103" s="281">
        <f>IFERROR(__xludf.DUMMYFUNCTION("""COMPUTED_VALUE"""),0.07913626764067216)</f>
        <v>0.07913626764</v>
      </c>
      <c r="AD103" s="281">
        <f>IFERROR(__xludf.DUMMYFUNCTION("""COMPUTED_VALUE"""),0.09805746536669153)</f>
        <v>0.09805746537</v>
      </c>
      <c r="AE103" s="281">
        <f>IFERROR(__xludf.DUMMYFUNCTION("""COMPUTED_VALUE"""),-0.6030759670493954)</f>
        <v>-0.603075967</v>
      </c>
      <c r="AF103" s="281">
        <f>IFERROR(__xludf.DUMMYFUNCTION("""COMPUTED_VALUE"""),0.18915395926672102)</f>
        <v>0.1891539593</v>
      </c>
      <c r="AG103" s="281">
        <f>IFERROR(__xludf.DUMMYFUNCTION("""COMPUTED_VALUE"""),0.23525238517552666)</f>
        <v>0.2352523852</v>
      </c>
      <c r="AH103" s="285"/>
      <c r="AI103" s="273"/>
      <c r="AJ103" s="340"/>
      <c r="AK103" s="341"/>
      <c r="AL103" s="273"/>
      <c r="AM103" s="273"/>
      <c r="AN103" s="273"/>
      <c r="AO103" s="273"/>
      <c r="AP103" s="273"/>
      <c r="AQ103" s="273"/>
      <c r="AR103" s="273"/>
      <c r="AS103" s="273"/>
      <c r="AT103" s="273"/>
      <c r="AU103" s="273"/>
      <c r="AV103" s="273"/>
      <c r="AW103" s="273"/>
      <c r="AX103" s="273"/>
      <c r="AY103" s="273"/>
      <c r="AZ103" s="273"/>
      <c r="BA103" s="273"/>
      <c r="BB103" s="273"/>
      <c r="BC103" s="273"/>
      <c r="BD103" s="273"/>
      <c r="BE103" s="273"/>
      <c r="BF103" s="273"/>
      <c r="BG103" s="273"/>
      <c r="BH103" s="273"/>
      <c r="BI103" s="273"/>
      <c r="BJ103" s="273"/>
      <c r="BK103" s="273"/>
      <c r="BL103" s="273"/>
      <c r="BM103" s="273"/>
      <c r="BN103" s="273"/>
      <c r="BO103" s="273"/>
      <c r="BP103" s="273"/>
      <c r="BQ103" s="273"/>
      <c r="BR103" s="273"/>
      <c r="BS103" s="273"/>
      <c r="BT103" s="273"/>
      <c r="BU103" s="273"/>
      <c r="BV103" s="273"/>
      <c r="BW103" s="273"/>
    </row>
    <row r="104">
      <c r="A104" s="276">
        <f>VLOOKUP($F104,UpdateHashtag!$V$3:$Y$32,COLUMN(B$15),0)</f>
        <v>3</v>
      </c>
      <c r="B104" s="259">
        <f>VLOOKUP($F104,UpdateHashtag!$V$3:$Y$32,COLUMN(C$13),0)</f>
        <v>4</v>
      </c>
      <c r="C104" s="259">
        <f>VLOOKUP($F104,UpdateHashtag!$V$3:$Y$32,COLUMN(D$13),0)</f>
        <v>4</v>
      </c>
      <c r="D104" s="277">
        <f t="shared" si="4"/>
        <v>11</v>
      </c>
      <c r="E104" s="21"/>
      <c r="F104" s="261" t="str">
        <f>VLOOKUP(J104,UpdateBBM!$C$2:E1015,3,0)</f>
        <v>IND</v>
      </c>
      <c r="G104" s="248">
        <v>85.0</v>
      </c>
      <c r="H104" s="278">
        <f>IFERROR(__xludf.DUMMYFUNCTION("""COMPUTED_VALUE"""),85.0)</f>
        <v>85</v>
      </c>
      <c r="I104" s="278">
        <f>IFERROR(__xludf.DUMMYFUNCTION("""COMPUTED_VALUE"""),48.3)</f>
        <v>48.3</v>
      </c>
      <c r="J104" s="279" t="str">
        <f>IFERROR(__xludf.DUMMYFUNCTION("""COMPUTED_VALUE"""),"Pascal Siakam")</f>
        <v>Pascal Siakam</v>
      </c>
      <c r="K104" s="278">
        <f>IFERROR(__xludf.DUMMYFUNCTION("""COMPUTED_VALUE"""),66.0)</f>
        <v>66</v>
      </c>
      <c r="L104" s="280" t="str">
        <f>IFERROR(__xludf.DUMMYFUNCTION("""COMPUTED_VALUE"""),"SF,PF")</f>
        <v>SF,PF</v>
      </c>
      <c r="M104" s="281">
        <f>IFERROR(__xludf.DUMMYFUNCTION("""COMPUTED_VALUE"""),0.15735508264334508)</f>
        <v>0.1573550826</v>
      </c>
      <c r="N104" s="281">
        <f>IFERROR(__xludf.DUMMYFUNCTION("""COMPUTED_VALUE"""),0.15735508264334508)</f>
        <v>0.1573550826</v>
      </c>
      <c r="O104" s="282">
        <f>IFERROR(__xludf.DUMMYFUNCTION("""COMPUTED_VALUE"""),0.0)</f>
        <v>0</v>
      </c>
      <c r="P104" s="283">
        <f>IFERROR(__xludf.DUMMYFUNCTION("""COMPUTED_VALUE"""),21.1)</f>
        <v>21.1</v>
      </c>
      <c r="Q104" s="283">
        <f>IFERROR(__xludf.DUMMYFUNCTION("""COMPUTED_VALUE"""),1.1)</f>
        <v>1.1</v>
      </c>
      <c r="R104" s="283">
        <f>IFERROR(__xludf.DUMMYFUNCTION("""COMPUTED_VALUE"""),7.5)</f>
        <v>7.5</v>
      </c>
      <c r="S104" s="284">
        <f>IFERROR(__xludf.DUMMYFUNCTION("""COMPUTED_VALUE"""),3.9)</f>
        <v>3.9</v>
      </c>
      <c r="T104" s="283">
        <f>IFERROR(__xludf.DUMMYFUNCTION("""COMPUTED_VALUE"""),0.8)</f>
        <v>0.8</v>
      </c>
      <c r="U104" s="283">
        <f>IFERROR(__xludf.DUMMYFUNCTION("""COMPUTED_VALUE"""),0.4)</f>
        <v>0.4</v>
      </c>
      <c r="V104" s="280">
        <f>IFERROR(__xludf.DUMMYFUNCTION("""COMPUTED_VALUE"""),0.539)</f>
        <v>0.539</v>
      </c>
      <c r="W104" s="280">
        <f>IFERROR(__xludf.DUMMYFUNCTION("""COMPUTED_VALUE"""),0.742)</f>
        <v>0.742</v>
      </c>
      <c r="X104" s="280">
        <f>IFERROR(__xludf.DUMMYFUNCTION("""COMPUTED_VALUE"""),1.5)</f>
        <v>1.5</v>
      </c>
      <c r="Y104" s="283">
        <f>IFERROR(__xludf.DUMMYFUNCTION("""COMPUTED_VALUE"""),0.6563145931819813)</f>
        <v>0.6563145932</v>
      </c>
      <c r="Z104" s="281">
        <f>IFERROR(__xludf.DUMMYFUNCTION("""COMPUTED_VALUE"""),-0.645919291727885)</f>
        <v>-0.6459192917</v>
      </c>
      <c r="AA104" s="281">
        <f>IFERROR(__xludf.DUMMYFUNCTION("""COMPUTED_VALUE"""),0.561378728483874)</f>
        <v>0.5613787285</v>
      </c>
      <c r="AB104" s="281">
        <f>IFERROR(__xludf.DUMMYFUNCTION("""COMPUTED_VALUE"""),-0.016293613263543852)</f>
        <v>-0.01629361326</v>
      </c>
      <c r="AC104" s="281">
        <f>IFERROR(__xludf.DUMMYFUNCTION("""COMPUTED_VALUE"""),-0.5847290886782864)</f>
        <v>-0.5847290887</v>
      </c>
      <c r="AD104" s="281">
        <f>IFERROR(__xludf.DUMMYFUNCTION("""COMPUTED_VALUE"""),-0.6155173428439339)</f>
        <v>-0.6155173428</v>
      </c>
      <c r="AE104" s="281">
        <f>IFERROR(__xludf.DUMMYFUNCTION("""COMPUTED_VALUE"""),0.7404562066475189)</f>
        <v>0.7404562066</v>
      </c>
      <c r="AF104" s="281">
        <f>IFERROR(__xludf.DUMMYFUNCTION("""COMPUTED_VALUE"""),-0.9556904585328946)</f>
        <v>-0.9556904585</v>
      </c>
      <c r="AG104" s="281">
        <f>IFERROR(__xludf.DUMMYFUNCTION("""COMPUTED_VALUE"""),0.06166489084362008)</f>
        <v>0.06166489084</v>
      </c>
      <c r="AH104" s="285"/>
      <c r="AI104" s="273"/>
      <c r="AJ104" s="340"/>
      <c r="AK104" s="341"/>
      <c r="AL104" s="273"/>
      <c r="AM104" s="273"/>
      <c r="AN104" s="273"/>
      <c r="AO104" s="273"/>
      <c r="AP104" s="273"/>
      <c r="AQ104" s="273"/>
      <c r="AR104" s="273"/>
      <c r="AS104" s="273"/>
      <c r="AT104" s="273"/>
      <c r="AU104" s="273"/>
      <c r="AV104" s="273"/>
      <c r="AW104" s="273"/>
      <c r="AX104" s="273"/>
      <c r="AY104" s="273"/>
      <c r="AZ104" s="273"/>
      <c r="BA104" s="273"/>
      <c r="BB104" s="273"/>
      <c r="BC104" s="273"/>
      <c r="BD104" s="273"/>
      <c r="BE104" s="273"/>
      <c r="BF104" s="273"/>
      <c r="BG104" s="273"/>
      <c r="BH104" s="273"/>
      <c r="BI104" s="273"/>
      <c r="BJ104" s="273"/>
      <c r="BK104" s="273"/>
      <c r="BL104" s="273"/>
      <c r="BM104" s="273"/>
      <c r="BN104" s="273"/>
      <c r="BO104" s="273"/>
      <c r="BP104" s="273"/>
      <c r="BQ104" s="273"/>
      <c r="BR104" s="273"/>
      <c r="BS104" s="273"/>
      <c r="BT104" s="273"/>
      <c r="BU104" s="273"/>
      <c r="BV104" s="273"/>
      <c r="BW104" s="273"/>
    </row>
    <row r="105">
      <c r="A105" s="276">
        <f>VLOOKUP($F105,UpdateHashtag!$V$3:$Y$32,COLUMN(B$15),0)</f>
        <v>3</v>
      </c>
      <c r="B105" s="259">
        <f>VLOOKUP($F105,UpdateHashtag!$V$3:$Y$32,COLUMN(C$13),0)</f>
        <v>4</v>
      </c>
      <c r="C105" s="259">
        <f>VLOOKUP($F105,UpdateHashtag!$V$3:$Y$32,COLUMN(D$13),0)</f>
        <v>3</v>
      </c>
      <c r="D105" s="277">
        <f t="shared" si="4"/>
        <v>10</v>
      </c>
      <c r="E105" s="21"/>
      <c r="F105" s="261" t="str">
        <f>VLOOKUP(J105,UpdateBBM!$C$2:E1015,3,0)</f>
        <v>PHO</v>
      </c>
      <c r="G105" s="248">
        <v>86.0</v>
      </c>
      <c r="H105" s="278">
        <f>IFERROR(__xludf.DUMMYFUNCTION("""COMPUTED_VALUE"""),86.0)</f>
        <v>86</v>
      </c>
      <c r="I105" s="278">
        <f>IFERROR(__xludf.DUMMYFUNCTION("""COMPUTED_VALUE"""),99.3)</f>
        <v>99.3</v>
      </c>
      <c r="J105" s="279" t="str">
        <f>IFERROR(__xludf.DUMMYFUNCTION("""COMPUTED_VALUE"""),"Mark Williams")</f>
        <v>Mark Williams</v>
      </c>
      <c r="K105" s="278">
        <f>IFERROR(__xludf.DUMMYFUNCTION("""COMPUTED_VALUE"""),53.0)</f>
        <v>53</v>
      </c>
      <c r="L105" s="280" t="str">
        <f>IFERROR(__xludf.DUMMYFUNCTION("""COMPUTED_VALUE"""),"C")</f>
        <v>C</v>
      </c>
      <c r="M105" s="281">
        <f>IFERROR(__xludf.DUMMYFUNCTION("""COMPUTED_VALUE"""),0.15712775861173323)</f>
        <v>0.1571277586</v>
      </c>
      <c r="N105" s="281">
        <f>IFERROR(__xludf.DUMMYFUNCTION("""COMPUTED_VALUE"""),0.15712775861173323)</f>
        <v>0.1571277586</v>
      </c>
      <c r="O105" s="282">
        <f>IFERROR(__xludf.DUMMYFUNCTION("""COMPUTED_VALUE"""),0.0)</f>
        <v>0</v>
      </c>
      <c r="P105" s="283">
        <f>IFERROR(__xludf.DUMMYFUNCTION("""COMPUTED_VALUE"""),12.6)</f>
        <v>12.6</v>
      </c>
      <c r="Q105" s="283">
        <f>IFERROR(__xludf.DUMMYFUNCTION("""COMPUTED_VALUE"""),0.0)</f>
        <v>0</v>
      </c>
      <c r="R105" s="283">
        <f>IFERROR(__xludf.DUMMYFUNCTION("""COMPUTED_VALUE"""),9.7)</f>
        <v>9.7</v>
      </c>
      <c r="S105" s="284">
        <f>IFERROR(__xludf.DUMMYFUNCTION("""COMPUTED_VALUE"""),0.8)</f>
        <v>0.8</v>
      </c>
      <c r="T105" s="283">
        <f>IFERROR(__xludf.DUMMYFUNCTION("""COMPUTED_VALUE"""),0.9)</f>
        <v>0.9</v>
      </c>
      <c r="U105" s="283">
        <f>IFERROR(__xludf.DUMMYFUNCTION("""COMPUTED_VALUE"""),1.2)</f>
        <v>1.2</v>
      </c>
      <c r="V105" s="280">
        <f>IFERROR(__xludf.DUMMYFUNCTION("""COMPUTED_VALUE"""),0.641)</f>
        <v>0.641</v>
      </c>
      <c r="W105" s="280">
        <f>IFERROR(__xludf.DUMMYFUNCTION("""COMPUTED_VALUE"""),0.704)</f>
        <v>0.704</v>
      </c>
      <c r="X105" s="280">
        <f>IFERROR(__xludf.DUMMYFUNCTION("""COMPUTED_VALUE"""),1.1)</f>
        <v>1.1</v>
      </c>
      <c r="Y105" s="283">
        <f>IFERROR(__xludf.DUMMYFUNCTION("""COMPUTED_VALUE"""),-0.8791935736956491)</f>
        <v>-0.8791935737</v>
      </c>
      <c r="Z105" s="281">
        <f>IFERROR(__xludf.DUMMYFUNCTION("""COMPUTED_VALUE"""),-1.7406865810748415)</f>
        <v>-1.740686581</v>
      </c>
      <c r="AA105" s="281">
        <f>IFERROR(__xludf.DUMMYFUNCTION("""COMPUTED_VALUE"""),1.4243588932332605)</f>
        <v>1.424358893</v>
      </c>
      <c r="AB105" s="281">
        <f>IFERROR(__xludf.DUMMYFUNCTION("""COMPUTED_VALUE"""),-1.428708496349665)</f>
        <v>-1.428708496</v>
      </c>
      <c r="AC105" s="281">
        <f>IFERROR(__xludf.DUMMYFUNCTION("""COMPUTED_VALUE"""),-0.25279641051880714)</f>
        <v>-0.2527964105</v>
      </c>
      <c r="AD105" s="281">
        <f>IFERROR(__xludf.DUMMYFUNCTION("""COMPUTED_VALUE"""),0.8116322735773168)</f>
        <v>0.8116322736</v>
      </c>
      <c r="AE105" s="281">
        <f>IFERROR(__xludf.DUMMYFUNCTION("""COMPUTED_VALUE"""),1.3512627227726046)</f>
        <v>1.351262723</v>
      </c>
      <c r="AF105" s="281">
        <f>IFERROR(__xludf.DUMMYFUNCTION("""COMPUTED_VALUE"""),-1.0302853951548943)</f>
        <v>-1.030285395</v>
      </c>
      <c r="AG105" s="281">
        <f>IFERROR(__xludf.DUMMYFUNCTION("""COMPUTED_VALUE"""),0.16085774474756667)</f>
        <v>0.1608577447</v>
      </c>
      <c r="AH105" s="285"/>
      <c r="AI105" s="273"/>
      <c r="AJ105" s="340"/>
      <c r="AK105" s="341"/>
      <c r="AL105" s="273"/>
      <c r="AM105" s="273"/>
      <c r="AN105" s="273"/>
      <c r="AO105" s="273"/>
      <c r="AP105" s="273"/>
      <c r="AQ105" s="273"/>
      <c r="AR105" s="273"/>
      <c r="AS105" s="273"/>
      <c r="AT105" s="273"/>
      <c r="AU105" s="273"/>
      <c r="AV105" s="273"/>
      <c r="AW105" s="273"/>
      <c r="AX105" s="273"/>
      <c r="AY105" s="273"/>
      <c r="AZ105" s="273"/>
      <c r="BA105" s="273"/>
      <c r="BB105" s="273"/>
      <c r="BC105" s="273"/>
      <c r="BD105" s="273"/>
      <c r="BE105" s="273"/>
      <c r="BF105" s="273"/>
      <c r="BG105" s="273"/>
      <c r="BH105" s="273"/>
      <c r="BI105" s="273"/>
      <c r="BJ105" s="273"/>
      <c r="BK105" s="273"/>
      <c r="BL105" s="273"/>
      <c r="BM105" s="273"/>
      <c r="BN105" s="273"/>
      <c r="BO105" s="273"/>
      <c r="BP105" s="273"/>
      <c r="BQ105" s="273"/>
      <c r="BR105" s="273"/>
      <c r="BS105" s="273"/>
      <c r="BT105" s="273"/>
      <c r="BU105" s="273"/>
      <c r="BV105" s="273"/>
      <c r="BW105" s="273"/>
    </row>
    <row r="106">
      <c r="A106" s="276">
        <f>VLOOKUP($F106,UpdateHashtag!$V$3:$Y$32,COLUMN(B$15),0)</f>
        <v>4</v>
      </c>
      <c r="B106" s="259">
        <f>VLOOKUP($F106,UpdateHashtag!$V$3:$Y$32,COLUMN(C$13),0)</f>
        <v>4</v>
      </c>
      <c r="C106" s="259">
        <f>VLOOKUP($F106,UpdateHashtag!$V$3:$Y$32,COLUMN(D$13),0)</f>
        <v>4</v>
      </c>
      <c r="D106" s="277">
        <f t="shared" si="4"/>
        <v>12</v>
      </c>
      <c r="E106" s="21"/>
      <c r="F106" s="261" t="str">
        <f>VLOOKUP(J106,UpdateBBM!$C$2:E1015,3,0)</f>
        <v>HOU</v>
      </c>
      <c r="G106" s="248">
        <v>87.0</v>
      </c>
      <c r="H106" s="278">
        <f>IFERROR(__xludf.DUMMYFUNCTION("""COMPUTED_VALUE"""),87.0)</f>
        <v>87</v>
      </c>
      <c r="I106" s="278">
        <f>IFERROR(__xludf.DUMMYFUNCTION("""COMPUTED_VALUE"""),80.8)</f>
        <v>80.8</v>
      </c>
      <c r="J106" s="279" t="str">
        <f>IFERROR(__xludf.DUMMYFUNCTION("""COMPUTED_VALUE"""),"Jabari Smith Jr.")</f>
        <v>Jabari Smith Jr.</v>
      </c>
      <c r="K106" s="278">
        <f>IFERROR(__xludf.DUMMYFUNCTION("""COMPUTED_VALUE"""),66.0)</f>
        <v>66</v>
      </c>
      <c r="L106" s="280" t="str">
        <f>IFERROR(__xludf.DUMMYFUNCTION("""COMPUTED_VALUE"""),"PF,C")</f>
        <v>PF,C</v>
      </c>
      <c r="M106" s="281">
        <f>IFERROR(__xludf.DUMMYFUNCTION("""COMPUTED_VALUE"""),0.0803540017618467)</f>
        <v>0.08035400176</v>
      </c>
      <c r="N106" s="281">
        <f>IFERROR(__xludf.DUMMYFUNCTION("""COMPUTED_VALUE"""),0.0803540017618467)</f>
        <v>0.08035400176</v>
      </c>
      <c r="O106" s="282">
        <f>IFERROR(__xludf.DUMMYFUNCTION("""COMPUTED_VALUE"""),0.0)</f>
        <v>0</v>
      </c>
      <c r="P106" s="283">
        <f>IFERROR(__xludf.DUMMYFUNCTION("""COMPUTED_VALUE"""),14.0)</f>
        <v>14</v>
      </c>
      <c r="Q106" s="283">
        <f>IFERROR(__xludf.DUMMYFUNCTION("""COMPUTED_VALUE"""),1.9)</f>
        <v>1.9</v>
      </c>
      <c r="R106" s="283">
        <f>IFERROR(__xludf.DUMMYFUNCTION("""COMPUTED_VALUE"""),8.4)</f>
        <v>8.4</v>
      </c>
      <c r="S106" s="284">
        <f>IFERROR(__xludf.DUMMYFUNCTION("""COMPUTED_VALUE"""),1.5)</f>
        <v>1.5</v>
      </c>
      <c r="T106" s="283">
        <f>IFERROR(__xludf.DUMMYFUNCTION("""COMPUTED_VALUE"""),0.8)</f>
        <v>0.8</v>
      </c>
      <c r="U106" s="283">
        <f>IFERROR(__xludf.DUMMYFUNCTION("""COMPUTED_VALUE"""),0.9)</f>
        <v>0.9</v>
      </c>
      <c r="V106" s="280">
        <f>IFERROR(__xludf.DUMMYFUNCTION("""COMPUTED_VALUE"""),0.463)</f>
        <v>0.463</v>
      </c>
      <c r="W106" s="280">
        <f>IFERROR(__xludf.DUMMYFUNCTION("""COMPUTED_VALUE"""),0.824)</f>
        <v>0.824</v>
      </c>
      <c r="X106" s="280">
        <f>IFERROR(__xludf.DUMMYFUNCTION("""COMPUTED_VALUE"""),1.3)</f>
        <v>1.3</v>
      </c>
      <c r="Y106" s="283">
        <f>IFERROR(__xludf.DUMMYFUNCTION("""COMPUTED_VALUE"""),-0.6262863462099217)</f>
        <v>-0.6262863462</v>
      </c>
      <c r="Z106" s="281">
        <f>IFERROR(__xludf.DUMMYFUNCTION("""COMPUTED_VALUE"""),0.15027510052444681)</f>
        <v>0.1502751005</v>
      </c>
      <c r="AA106" s="281">
        <f>IFERROR(__xludf.DUMMYFUNCTION("""COMPUTED_VALUE"""),0.9144160686086232)</f>
        <v>0.9144160686</v>
      </c>
      <c r="AB106" s="281">
        <f>IFERROR(__xludf.DUMMYFUNCTION("""COMPUTED_VALUE"""),-1.1097761033947346)</f>
        <v>-1.109776103</v>
      </c>
      <c r="AC106" s="281">
        <f>IFERROR(__xludf.DUMMYFUNCTION("""COMPUTED_VALUE"""),-0.5847290886782864)</f>
        <v>-0.5847290887</v>
      </c>
      <c r="AD106" s="281">
        <f>IFERROR(__xludf.DUMMYFUNCTION("""COMPUTED_VALUE"""),0.27645116741934783)</f>
        <v>0.2764511674</v>
      </c>
      <c r="AE106" s="281">
        <f>IFERROR(__xludf.DUMMYFUNCTION("""COMPUTED_VALUE"""),-0.4288498814953261)</f>
        <v>-0.4288498815</v>
      </c>
      <c r="AF106" s="281">
        <f>IFERROR(__xludf.DUMMYFUNCTION("""COMPUTED_VALUE"""),0.26781566379736976)</f>
        <v>0.2678156638</v>
      </c>
      <c r="AG106" s="281">
        <f>IFERROR(__xludf.DUMMYFUNCTION("""COMPUTED_VALUE"""),0.11126131779559338)</f>
        <v>0.1112613178</v>
      </c>
      <c r="AH106" s="285"/>
      <c r="AI106" s="273"/>
      <c r="AJ106" s="340"/>
      <c r="AK106" s="341"/>
      <c r="AL106" s="273"/>
      <c r="AM106" s="273"/>
      <c r="AN106" s="273"/>
      <c r="AO106" s="273"/>
      <c r="AP106" s="273"/>
      <c r="AQ106" s="273"/>
      <c r="AR106" s="273"/>
      <c r="AS106" s="273"/>
      <c r="AT106" s="273"/>
      <c r="AU106" s="273"/>
      <c r="AV106" s="273"/>
      <c r="AW106" s="273"/>
      <c r="AX106" s="273"/>
      <c r="AY106" s="273"/>
      <c r="AZ106" s="273"/>
      <c r="BA106" s="273"/>
      <c r="BB106" s="273"/>
      <c r="BC106" s="273"/>
      <c r="BD106" s="273"/>
      <c r="BE106" s="273"/>
      <c r="BF106" s="273"/>
      <c r="BG106" s="273"/>
      <c r="BH106" s="273"/>
      <c r="BI106" s="273"/>
      <c r="BJ106" s="273"/>
      <c r="BK106" s="273"/>
      <c r="BL106" s="273"/>
      <c r="BM106" s="273"/>
      <c r="BN106" s="273"/>
      <c r="BO106" s="273"/>
      <c r="BP106" s="273"/>
      <c r="BQ106" s="273"/>
      <c r="BR106" s="273"/>
      <c r="BS106" s="273"/>
      <c r="BT106" s="273"/>
      <c r="BU106" s="273"/>
      <c r="BV106" s="273"/>
      <c r="BW106" s="273"/>
    </row>
    <row r="107">
      <c r="A107" s="276">
        <f>VLOOKUP($F107,UpdateHashtag!$V$3:$Y$32,COLUMN(B$15),0)</f>
        <v>2</v>
      </c>
      <c r="B107" s="259">
        <f>VLOOKUP($F107,UpdateHashtag!$V$3:$Y$32,COLUMN(C$13),0)</f>
        <v>4</v>
      </c>
      <c r="C107" s="259">
        <f>VLOOKUP($F107,UpdateHashtag!$V$3:$Y$32,COLUMN(D$13),0)</f>
        <v>3</v>
      </c>
      <c r="D107" s="277">
        <f t="shared" si="4"/>
        <v>9</v>
      </c>
      <c r="E107" s="21"/>
      <c r="F107" s="261" t="str">
        <f>VLOOKUP(J107,UpdateBBM!$C$2:E1015,3,0)</f>
        <v>ORL</v>
      </c>
      <c r="G107" s="248">
        <v>88.0</v>
      </c>
      <c r="H107" s="278">
        <f>IFERROR(__xludf.DUMMYFUNCTION("""COMPUTED_VALUE"""),88.0)</f>
        <v>88</v>
      </c>
      <c r="I107" s="278">
        <f>IFERROR(__xludf.DUMMYFUNCTION("""COMPUTED_VALUE"""),116.1)</f>
        <v>116.1</v>
      </c>
      <c r="J107" s="279" t="str">
        <f>IFERROR(__xludf.DUMMYFUNCTION("""COMPUTED_VALUE"""),"Tyus Jones")</f>
        <v>Tyus Jones</v>
      </c>
      <c r="K107" s="278">
        <f>IFERROR(__xludf.DUMMYFUNCTION("""COMPUTED_VALUE"""),54.0)</f>
        <v>54</v>
      </c>
      <c r="L107" s="280" t="str">
        <f>IFERROR(__xludf.DUMMYFUNCTION("""COMPUTED_VALUE"""),"PG")</f>
        <v>PG</v>
      </c>
      <c r="M107" s="281">
        <f>IFERROR(__xludf.DUMMYFUNCTION("""COMPUTED_VALUE"""),0.016760037027831576)</f>
        <v>0.01676003703</v>
      </c>
      <c r="N107" s="281">
        <f>IFERROR(__xludf.DUMMYFUNCTION("""COMPUTED_VALUE"""),0.016760037027831576)</f>
        <v>0.01676003703</v>
      </c>
      <c r="O107" s="282">
        <f>IFERROR(__xludf.DUMMYFUNCTION("""COMPUTED_VALUE"""),0.0)</f>
        <v>0</v>
      </c>
      <c r="P107" s="283">
        <f>IFERROR(__xludf.DUMMYFUNCTION("""COMPUTED_VALUE"""),12.2)</f>
        <v>12.2</v>
      </c>
      <c r="Q107" s="283">
        <f>IFERROR(__xludf.DUMMYFUNCTION("""COMPUTED_VALUE"""),1.7)</f>
        <v>1.7</v>
      </c>
      <c r="R107" s="283">
        <f>IFERROR(__xludf.DUMMYFUNCTION("""COMPUTED_VALUE"""),2.9)</f>
        <v>2.9</v>
      </c>
      <c r="S107" s="284">
        <f>IFERROR(__xludf.DUMMYFUNCTION("""COMPUTED_VALUE"""),6.8)</f>
        <v>6.8</v>
      </c>
      <c r="T107" s="283">
        <f>IFERROR(__xludf.DUMMYFUNCTION("""COMPUTED_VALUE"""),1.2)</f>
        <v>1.2</v>
      </c>
      <c r="U107" s="283">
        <f>IFERROR(__xludf.DUMMYFUNCTION("""COMPUTED_VALUE"""),0.2)</f>
        <v>0.2</v>
      </c>
      <c r="V107" s="280">
        <f>IFERROR(__xludf.DUMMYFUNCTION("""COMPUTED_VALUE"""),0.476)</f>
        <v>0.476</v>
      </c>
      <c r="W107" s="280">
        <f>IFERROR(__xludf.DUMMYFUNCTION("""COMPUTED_VALUE"""),0.802)</f>
        <v>0.802</v>
      </c>
      <c r="X107" s="280">
        <f>IFERROR(__xludf.DUMMYFUNCTION("""COMPUTED_VALUE"""),1.1)</f>
        <v>1.1</v>
      </c>
      <c r="Y107" s="283">
        <f>IFERROR(__xludf.DUMMYFUNCTION("""COMPUTED_VALUE"""),-0.9514527815487142)</f>
        <v>-0.9514527815</v>
      </c>
      <c r="Z107" s="281">
        <f>IFERROR(__xludf.DUMMYFUNCTION("""COMPUTED_VALUE"""),-0.04877349753863613)</f>
        <v>-0.04877349754</v>
      </c>
      <c r="AA107" s="281">
        <f>IFERROR(__xludf.DUMMYFUNCTION("""COMPUTED_VALUE"""),-1.2430343432648439)</f>
        <v>-1.243034343</v>
      </c>
      <c r="AB107" s="281">
        <f>IFERROR(__xludf.DUMMYFUNCTION("""COMPUTED_VALUE"""),1.3049977289783117)</f>
        <v>1.304997729</v>
      </c>
      <c r="AC107" s="281">
        <f>IFERROR(__xludf.DUMMYFUNCTION("""COMPUTED_VALUE"""),0.7430016239596308)</f>
        <v>0.743001624</v>
      </c>
      <c r="AD107" s="281">
        <f>IFERROR(__xludf.DUMMYFUNCTION("""COMPUTED_VALUE"""),-0.9723047469492465)</f>
        <v>-0.9723047469</v>
      </c>
      <c r="AE107" s="281">
        <f>IFERROR(__xludf.DUMMYFUNCTION("""COMPUTED_VALUE"""),-0.2471703358233998)</f>
        <v>-0.2471703358</v>
      </c>
      <c r="AF107" s="281">
        <f>IFERROR(__xludf.DUMMYFUNCTION("""COMPUTED_VALUE"""),0.02760430120231881)</f>
        <v>0.0276043012</v>
      </c>
      <c r="AG107" s="281">
        <f>IFERROR(__xludf.DUMMYFUNCTION("""COMPUTED_VALUE"""),0.16085774474756667)</f>
        <v>0.1608577447</v>
      </c>
      <c r="AH107" s="285"/>
      <c r="AI107" s="273"/>
      <c r="AJ107" s="340"/>
      <c r="AK107" s="341"/>
      <c r="AL107" s="273"/>
      <c r="AM107" s="273"/>
      <c r="AN107" s="273"/>
      <c r="AO107" s="273"/>
      <c r="AP107" s="273"/>
      <c r="AQ107" s="273"/>
      <c r="AR107" s="273"/>
      <c r="AS107" s="273"/>
      <c r="AT107" s="273"/>
      <c r="AU107" s="273"/>
      <c r="AV107" s="273"/>
      <c r="AW107" s="273"/>
      <c r="AX107" s="273"/>
      <c r="AY107" s="273"/>
      <c r="AZ107" s="273"/>
      <c r="BA107" s="273"/>
      <c r="BB107" s="273"/>
      <c r="BC107" s="273"/>
      <c r="BD107" s="273"/>
      <c r="BE107" s="273"/>
      <c r="BF107" s="273"/>
      <c r="BG107" s="273"/>
      <c r="BH107" s="273"/>
      <c r="BI107" s="273"/>
      <c r="BJ107" s="273"/>
      <c r="BK107" s="273"/>
      <c r="BL107" s="273"/>
      <c r="BM107" s="273"/>
      <c r="BN107" s="273"/>
      <c r="BO107" s="273"/>
      <c r="BP107" s="273"/>
      <c r="BQ107" s="273"/>
      <c r="BR107" s="273"/>
      <c r="BS107" s="273"/>
      <c r="BT107" s="273"/>
      <c r="BU107" s="273"/>
      <c r="BV107" s="273"/>
      <c r="BW107" s="273"/>
    </row>
    <row r="108">
      <c r="A108" s="276">
        <f>VLOOKUP($F108,UpdateHashtag!$V$3:$Y$32,COLUMN(B$15),0)</f>
        <v>3</v>
      </c>
      <c r="B108" s="259">
        <f>VLOOKUP($F108,UpdateHashtag!$V$3:$Y$32,COLUMN(C$13),0)</f>
        <v>5</v>
      </c>
      <c r="C108" s="259">
        <f>VLOOKUP($F108,UpdateHashtag!$V$3:$Y$32,COLUMN(D$13),0)</f>
        <v>3</v>
      </c>
      <c r="D108" s="277">
        <f t="shared" si="4"/>
        <v>11</v>
      </c>
      <c r="E108" s="21"/>
      <c r="F108" s="261" t="str">
        <f>VLOOKUP(J108,UpdateBBM!$C$2:E1015,3,0)</f>
        <v>BKN</v>
      </c>
      <c r="G108" s="248">
        <v>89.0</v>
      </c>
      <c r="H108" s="278">
        <f>IFERROR(__xludf.DUMMYFUNCTION("""COMPUTED_VALUE"""),89.0)</f>
        <v>89</v>
      </c>
      <c r="I108" s="278">
        <f>IFERROR(__xludf.DUMMYFUNCTION("""COMPUTED_VALUE"""),73.3)</f>
        <v>73.3</v>
      </c>
      <c r="J108" s="279" t="str">
        <f>IFERROR(__xludf.DUMMYFUNCTION("""COMPUTED_VALUE"""),"Michael Porter Jr.")</f>
        <v>Michael Porter Jr.</v>
      </c>
      <c r="K108" s="278">
        <f>IFERROR(__xludf.DUMMYFUNCTION("""COMPUTED_VALUE"""),71.0)</f>
        <v>71</v>
      </c>
      <c r="L108" s="280" t="str">
        <f>IFERROR(__xludf.DUMMYFUNCTION("""COMPUTED_VALUE"""),"SF,PF")</f>
        <v>SF,PF</v>
      </c>
      <c r="M108" s="281">
        <f>IFERROR(__xludf.DUMMYFUNCTION("""COMPUTED_VALUE"""),-0.007776187497103848)</f>
        <v>-0.007776187497</v>
      </c>
      <c r="N108" s="281">
        <f>IFERROR(__xludf.DUMMYFUNCTION("""COMPUTED_VALUE"""),-0.007776187497103848)</f>
        <v>-0.007776187497</v>
      </c>
      <c r="O108" s="282">
        <f>IFERROR(__xludf.DUMMYFUNCTION("""COMPUTED_VALUE"""),0.0)</f>
        <v>0</v>
      </c>
      <c r="P108" s="283">
        <f>IFERROR(__xludf.DUMMYFUNCTION("""COMPUTED_VALUE"""),17.5)</f>
        <v>17.5</v>
      </c>
      <c r="Q108" s="283">
        <f>IFERROR(__xludf.DUMMYFUNCTION("""COMPUTED_VALUE"""),2.9)</f>
        <v>2.9</v>
      </c>
      <c r="R108" s="283">
        <f>IFERROR(__xludf.DUMMYFUNCTION("""COMPUTED_VALUE"""),6.5)</f>
        <v>6.5</v>
      </c>
      <c r="S108" s="284">
        <f>IFERROR(__xludf.DUMMYFUNCTION("""COMPUTED_VALUE"""),1.4)</f>
        <v>1.4</v>
      </c>
      <c r="T108" s="283">
        <f>IFERROR(__xludf.DUMMYFUNCTION("""COMPUTED_VALUE"""),0.6)</f>
        <v>0.6</v>
      </c>
      <c r="U108" s="283">
        <f>IFERROR(__xludf.DUMMYFUNCTION("""COMPUTED_VALUE"""),0.6)</f>
        <v>0.6</v>
      </c>
      <c r="V108" s="280">
        <f>IFERROR(__xludf.DUMMYFUNCTION("""COMPUTED_VALUE"""),0.485)</f>
        <v>0.485</v>
      </c>
      <c r="W108" s="280">
        <f>IFERROR(__xludf.DUMMYFUNCTION("""COMPUTED_VALUE"""),0.818)</f>
        <v>0.818</v>
      </c>
      <c r="X108" s="280">
        <f>IFERROR(__xludf.DUMMYFUNCTION("""COMPUTED_VALUE"""),1.2)</f>
        <v>1.2</v>
      </c>
      <c r="Y108" s="283">
        <f>IFERROR(__xludf.DUMMYFUNCTION("""COMPUTED_VALUE"""),0.005981722504396474)</f>
        <v>0.005981722504</v>
      </c>
      <c r="Z108" s="281">
        <f>IFERROR(__xludf.DUMMYFUNCTION("""COMPUTED_VALUE"""),1.145518090839862)</f>
        <v>1.145518091</v>
      </c>
      <c r="AA108" s="281">
        <f>IFERROR(__xludf.DUMMYFUNCTION("""COMPUTED_VALUE"""),0.16911501723415273)</f>
        <v>0.1691150172</v>
      </c>
      <c r="AB108" s="281">
        <f>IFERROR(__xludf.DUMMYFUNCTION("""COMPUTED_VALUE"""),-1.1553378738168676)</f>
        <v>-1.155337874</v>
      </c>
      <c r="AC108" s="281">
        <f>IFERROR(__xludf.DUMMYFUNCTION("""COMPUTED_VALUE"""),-1.2485944449972455)</f>
        <v>-1.248594445</v>
      </c>
      <c r="AD108" s="281">
        <f>IFERROR(__xludf.DUMMYFUNCTION("""COMPUTED_VALUE"""),-0.25872993873862127)</f>
        <v>-0.2587299387</v>
      </c>
      <c r="AE108" s="281">
        <f>IFERROR(__xludf.DUMMYFUNCTION("""COMPUTED_VALUE"""),-0.1893705106107856)</f>
        <v>-0.1893705106</v>
      </c>
      <c r="AF108" s="281">
        <f>IFERROR(__xludf.DUMMYFUNCTION("""COMPUTED_VALUE"""),0.13898777381917968)</f>
        <v>0.1389877738</v>
      </c>
      <c r="AG108" s="281">
        <f>IFERROR(__xludf.DUMMYFUNCTION("""COMPUTED_VALUE"""),0.13605953127158005)</f>
        <v>0.1360595313</v>
      </c>
      <c r="AH108" s="285"/>
      <c r="AI108" s="273"/>
      <c r="AJ108" s="340"/>
      <c r="AK108" s="341"/>
      <c r="AL108" s="273"/>
      <c r="AM108" s="273"/>
      <c r="AN108" s="273"/>
      <c r="AO108" s="273"/>
      <c r="AP108" s="273"/>
      <c r="AQ108" s="273"/>
      <c r="AR108" s="273"/>
      <c r="AS108" s="273"/>
      <c r="AT108" s="273"/>
      <c r="AU108" s="273"/>
      <c r="AV108" s="273"/>
      <c r="AW108" s="273"/>
      <c r="AX108" s="273"/>
      <c r="AY108" s="273"/>
      <c r="AZ108" s="273"/>
      <c r="BA108" s="273"/>
      <c r="BB108" s="273"/>
      <c r="BC108" s="273"/>
      <c r="BD108" s="273"/>
      <c r="BE108" s="273"/>
      <c r="BF108" s="273"/>
      <c r="BG108" s="273"/>
      <c r="BH108" s="273"/>
      <c r="BI108" s="273"/>
      <c r="BJ108" s="273"/>
      <c r="BK108" s="273"/>
      <c r="BL108" s="273"/>
      <c r="BM108" s="273"/>
      <c r="BN108" s="273"/>
      <c r="BO108" s="273"/>
      <c r="BP108" s="273"/>
      <c r="BQ108" s="273"/>
      <c r="BR108" s="273"/>
      <c r="BS108" s="273"/>
      <c r="BT108" s="273"/>
      <c r="BU108" s="273"/>
      <c r="BV108" s="273"/>
      <c r="BW108" s="273"/>
    </row>
    <row r="109">
      <c r="A109" s="276">
        <f>VLOOKUP($F109,UpdateHashtag!$V$3:$Y$32,COLUMN(B$15),0)</f>
        <v>4</v>
      </c>
      <c r="B109" s="259">
        <f>VLOOKUP($F109,UpdateHashtag!$V$3:$Y$32,COLUMN(C$13),0)</f>
        <v>4</v>
      </c>
      <c r="C109" s="259">
        <f>VLOOKUP($F109,UpdateHashtag!$V$3:$Y$32,COLUMN(D$13),0)</f>
        <v>3</v>
      </c>
      <c r="D109" s="277">
        <f t="shared" si="4"/>
        <v>11</v>
      </c>
      <c r="E109" s="21"/>
      <c r="F109" s="261" t="str">
        <f>VLOOKUP(J109,UpdateBBM!$C$2:E1015,3,0)</f>
        <v>MIL</v>
      </c>
      <c r="G109" s="248">
        <v>90.0</v>
      </c>
      <c r="H109" s="278">
        <f>IFERROR(__xludf.DUMMYFUNCTION("""COMPUTED_VALUE"""),90.0)</f>
        <v>90</v>
      </c>
      <c r="I109" s="278">
        <f>IFERROR(__xludf.DUMMYFUNCTION("""COMPUTED_VALUE"""),82.5)</f>
        <v>82.5</v>
      </c>
      <c r="J109" s="279" t="str">
        <f>IFERROR(__xludf.DUMMYFUNCTION("""COMPUTED_VALUE"""),"Kyle Kuzma")</f>
        <v>Kyle Kuzma</v>
      </c>
      <c r="K109" s="278">
        <f>IFERROR(__xludf.DUMMYFUNCTION("""COMPUTED_VALUE"""),71.0)</f>
        <v>71</v>
      </c>
      <c r="L109" s="280" t="str">
        <f>IFERROR(__xludf.DUMMYFUNCTION("""COMPUTED_VALUE"""),"PF")</f>
        <v>PF</v>
      </c>
      <c r="M109" s="281">
        <f>IFERROR(__xludf.DUMMYFUNCTION("""COMPUTED_VALUE"""),-0.015738148850119593)</f>
        <v>-0.01573814885</v>
      </c>
      <c r="N109" s="281">
        <f>IFERROR(__xludf.DUMMYFUNCTION("""COMPUTED_VALUE"""),-0.015738148850119593)</f>
        <v>-0.01573814885</v>
      </c>
      <c r="O109" s="282">
        <f>IFERROR(__xludf.DUMMYFUNCTION("""COMPUTED_VALUE"""),0.0)</f>
        <v>0</v>
      </c>
      <c r="P109" s="283">
        <f>IFERROR(__xludf.DUMMYFUNCTION("""COMPUTED_VALUE"""),21.6)</f>
        <v>21.6</v>
      </c>
      <c r="Q109" s="283">
        <f>IFERROR(__xludf.DUMMYFUNCTION("""COMPUTED_VALUE"""),2.3)</f>
        <v>2.3</v>
      </c>
      <c r="R109" s="283">
        <f>IFERROR(__xludf.DUMMYFUNCTION("""COMPUTED_VALUE"""),6.9)</f>
        <v>6.9</v>
      </c>
      <c r="S109" s="284">
        <f>IFERROR(__xludf.DUMMYFUNCTION("""COMPUTED_VALUE"""),4.0)</f>
        <v>4</v>
      </c>
      <c r="T109" s="283">
        <f>IFERROR(__xludf.DUMMYFUNCTION("""COMPUTED_VALUE"""),0.5)</f>
        <v>0.5</v>
      </c>
      <c r="U109" s="283">
        <f>IFERROR(__xludf.DUMMYFUNCTION("""COMPUTED_VALUE"""),0.6)</f>
        <v>0.6</v>
      </c>
      <c r="V109" s="280">
        <f>IFERROR(__xludf.DUMMYFUNCTION("""COMPUTED_VALUE"""),0.456)</f>
        <v>0.456</v>
      </c>
      <c r="W109" s="280">
        <f>IFERROR(__xludf.DUMMYFUNCTION("""COMPUTED_VALUE"""),0.773)</f>
        <v>0.773</v>
      </c>
      <c r="X109" s="280">
        <f>IFERROR(__xludf.DUMMYFUNCTION("""COMPUTED_VALUE"""),2.8)</f>
        <v>2.8</v>
      </c>
      <c r="Y109" s="283">
        <f>IFERROR(__xludf.DUMMYFUNCTION("""COMPUTED_VALUE"""),0.7466386029983124)</f>
        <v>0.746638603</v>
      </c>
      <c r="Z109" s="281">
        <f>IFERROR(__xludf.DUMMYFUNCTION("""COMPUTED_VALUE"""),0.5483722966506127)</f>
        <v>0.5483722967</v>
      </c>
      <c r="AA109" s="281">
        <f>IFERROR(__xludf.DUMMYFUNCTION("""COMPUTED_VALUE"""),0.3260205017340414)</f>
        <v>0.3260205017</v>
      </c>
      <c r="AB109" s="281">
        <f>IFERROR(__xludf.DUMMYFUNCTION("""COMPUTED_VALUE"""),0.029268157158589138)</f>
        <v>0.02926815716</v>
      </c>
      <c r="AC109" s="281">
        <f>IFERROR(__xludf.DUMMYFUNCTION("""COMPUTED_VALUE"""),-1.5805271231567248)</f>
        <v>-1.580527123</v>
      </c>
      <c r="AD109" s="281">
        <f>IFERROR(__xludf.DUMMYFUNCTION("""COMPUTED_VALUE"""),-0.25872993873862127)</f>
        <v>-0.2587299387</v>
      </c>
      <c r="AE109" s="281">
        <f>IFERROR(__xludf.DUMMYFUNCTION("""COMPUTED_VALUE"""),-0.8672131505429359)</f>
        <v>-0.8672131505</v>
      </c>
      <c r="AF109" s="281">
        <f>IFERROR(__xludf.DUMMYFUNCTION("""COMPUTED_VALUE"""),-0.2793827337659116)</f>
        <v>-0.2793827338</v>
      </c>
      <c r="AG109" s="281">
        <f>IFERROR(__xludf.DUMMYFUNCTION("""COMPUTED_VALUE"""),-0.2607118843442064)</f>
        <v>-0.2607118843</v>
      </c>
      <c r="AH109" s="285"/>
      <c r="AI109" s="273"/>
      <c r="AJ109" s="340"/>
      <c r="AK109" s="341"/>
      <c r="AL109" s="273"/>
      <c r="AM109" s="273"/>
      <c r="AN109" s="273"/>
      <c r="AO109" s="273"/>
      <c r="AP109" s="273"/>
      <c r="AQ109" s="273"/>
      <c r="AR109" s="273"/>
      <c r="AS109" s="273"/>
      <c r="AT109" s="273"/>
      <c r="AU109" s="273"/>
      <c r="AV109" s="273"/>
      <c r="AW109" s="273"/>
      <c r="AX109" s="273"/>
      <c r="AY109" s="273"/>
      <c r="AZ109" s="273"/>
      <c r="BA109" s="273"/>
      <c r="BB109" s="273"/>
      <c r="BC109" s="273"/>
      <c r="BD109" s="273"/>
      <c r="BE109" s="273"/>
      <c r="BF109" s="273"/>
      <c r="BG109" s="273"/>
      <c r="BH109" s="273"/>
      <c r="BI109" s="273"/>
      <c r="BJ109" s="273"/>
      <c r="BK109" s="273"/>
      <c r="BL109" s="273"/>
      <c r="BM109" s="273"/>
      <c r="BN109" s="273"/>
      <c r="BO109" s="273"/>
      <c r="BP109" s="273"/>
      <c r="BQ109" s="273"/>
      <c r="BR109" s="273"/>
      <c r="BS109" s="273"/>
      <c r="BT109" s="273"/>
      <c r="BU109" s="273"/>
      <c r="BV109" s="273"/>
      <c r="BW109" s="273"/>
    </row>
    <row r="110">
      <c r="A110" s="276">
        <f>VLOOKUP($F110,UpdateHashtag!$V$3:$Y$32,COLUMN(B$15),0)</f>
        <v>4</v>
      </c>
      <c r="B110" s="259">
        <f>VLOOKUP($F110,UpdateHashtag!$V$3:$Y$32,COLUMN(C$13),0)</f>
        <v>4</v>
      </c>
      <c r="C110" s="259">
        <f>VLOOKUP($F110,UpdateHashtag!$V$3:$Y$32,COLUMN(D$13),0)</f>
        <v>4</v>
      </c>
      <c r="D110" s="277">
        <f t="shared" si="4"/>
        <v>12</v>
      </c>
      <c r="E110" s="21"/>
      <c r="F110" s="261" t="str">
        <f>VLOOKUP(J110,UpdateBBM!$C$2:E1015,3,0)</f>
        <v>UTA</v>
      </c>
      <c r="G110" s="248">
        <v>91.0</v>
      </c>
      <c r="H110" s="278">
        <f>IFERROR(__xludf.DUMMYFUNCTION("""COMPUTED_VALUE"""),91.0)</f>
        <v>91</v>
      </c>
      <c r="I110" s="278">
        <f>IFERROR(__xludf.DUMMYFUNCTION("""COMPUTED_VALUE"""),84.2)</f>
        <v>84.2</v>
      </c>
      <c r="J110" s="279" t="str">
        <f>IFERROR(__xludf.DUMMYFUNCTION("""COMPUTED_VALUE"""),"Jusuf Nurkic")</f>
        <v>Jusuf Nurkic</v>
      </c>
      <c r="K110" s="278">
        <f>IFERROR(__xludf.DUMMYFUNCTION("""COMPUTED_VALUE"""),66.0)</f>
        <v>66</v>
      </c>
      <c r="L110" s="280" t="str">
        <f>IFERROR(__xludf.DUMMYFUNCTION("""COMPUTED_VALUE"""),"C")</f>
        <v>C</v>
      </c>
      <c r="M110" s="281">
        <f>IFERROR(__xludf.DUMMYFUNCTION("""COMPUTED_VALUE"""),-0.054284932345338266)</f>
        <v>-0.05428493235</v>
      </c>
      <c r="N110" s="281">
        <f>IFERROR(__xludf.DUMMYFUNCTION("""COMPUTED_VALUE"""),-0.054284932345338266)</f>
        <v>-0.05428493235</v>
      </c>
      <c r="O110" s="282">
        <f>IFERROR(__xludf.DUMMYFUNCTION("""COMPUTED_VALUE"""),0.0)</f>
        <v>0</v>
      </c>
      <c r="P110" s="283">
        <f>IFERROR(__xludf.DUMMYFUNCTION("""COMPUTED_VALUE"""),12.2)</f>
        <v>12.2</v>
      </c>
      <c r="Q110" s="283">
        <f>IFERROR(__xludf.DUMMYFUNCTION("""COMPUTED_VALUE"""),0.5)</f>
        <v>0.5</v>
      </c>
      <c r="R110" s="283">
        <f>IFERROR(__xludf.DUMMYFUNCTION("""COMPUTED_VALUE"""),10.5)</f>
        <v>10.5</v>
      </c>
      <c r="S110" s="284">
        <f>IFERROR(__xludf.DUMMYFUNCTION("""COMPUTED_VALUE"""),3.6)</f>
        <v>3.6</v>
      </c>
      <c r="T110" s="283">
        <f>IFERROR(__xludf.DUMMYFUNCTION("""COMPUTED_VALUE"""),1.0)</f>
        <v>1</v>
      </c>
      <c r="U110" s="283">
        <f>IFERROR(__xludf.DUMMYFUNCTION("""COMPUTED_VALUE"""),1.0)</f>
        <v>1</v>
      </c>
      <c r="V110" s="280">
        <f>IFERROR(__xludf.DUMMYFUNCTION("""COMPUTED_VALUE"""),0.514)</f>
        <v>0.514</v>
      </c>
      <c r="W110" s="280">
        <f>IFERROR(__xludf.DUMMYFUNCTION("""COMPUTED_VALUE"""),0.647)</f>
        <v>0.647</v>
      </c>
      <c r="X110" s="280">
        <f>IFERROR(__xludf.DUMMYFUNCTION("""COMPUTED_VALUE"""),2.4)</f>
        <v>2.4</v>
      </c>
      <c r="Y110" s="283">
        <f>IFERROR(__xludf.DUMMYFUNCTION("""COMPUTED_VALUE"""),-0.9514527815487142)</f>
        <v>-0.9514527815</v>
      </c>
      <c r="Z110" s="281">
        <f>IFERROR(__xludf.DUMMYFUNCTION("""COMPUTED_VALUE"""),-1.2430650859171342)</f>
        <v>-1.243065086</v>
      </c>
      <c r="AA110" s="281">
        <f>IFERROR(__xludf.DUMMYFUNCTION("""COMPUTED_VALUE"""),1.7381698622330377)</f>
        <v>1.738169862</v>
      </c>
      <c r="AB110" s="281">
        <f>IFERROR(__xludf.DUMMYFUNCTION("""COMPUTED_VALUE"""),-0.1529789245299426)</f>
        <v>-0.1529789245</v>
      </c>
      <c r="AC110" s="281">
        <f>IFERROR(__xludf.DUMMYFUNCTION("""COMPUTED_VALUE"""),0.07913626764067216)</f>
        <v>0.07913626764</v>
      </c>
      <c r="AD110" s="281">
        <f>IFERROR(__xludf.DUMMYFUNCTION("""COMPUTED_VALUE"""),0.45484486947200414)</f>
        <v>0.4548448695</v>
      </c>
      <c r="AE110" s="281">
        <f>IFERROR(__xludf.DUMMYFUNCTION("""COMPUTED_VALUE"""),0.1825798907449986)</f>
        <v>0.1825798907</v>
      </c>
      <c r="AF110" s="281">
        <f>IFERROR(__xludf.DUMMYFUNCTION("""COMPUTED_VALUE"""),-1.8857701295441909)</f>
        <v>-1.88577013</v>
      </c>
      <c r="AG110" s="281">
        <f>IFERROR(__xludf.DUMMYFUNCTION("""COMPUTED_VALUE"""),-0.1615190304402598)</f>
        <v>-0.1615190304</v>
      </c>
      <c r="AH110" s="285"/>
      <c r="AI110" s="273"/>
      <c r="AJ110" s="340"/>
      <c r="AK110" s="341"/>
      <c r="AL110" s="273"/>
      <c r="AM110" s="273"/>
      <c r="AN110" s="273"/>
      <c r="AO110" s="273"/>
      <c r="AP110" s="273"/>
      <c r="AQ110" s="273"/>
      <c r="AR110" s="273"/>
      <c r="AS110" s="273"/>
      <c r="AT110" s="273"/>
      <c r="AU110" s="273"/>
      <c r="AV110" s="273"/>
      <c r="AW110" s="273"/>
      <c r="AX110" s="273"/>
      <c r="AY110" s="273"/>
      <c r="AZ110" s="273"/>
      <c r="BA110" s="273"/>
      <c r="BB110" s="273"/>
      <c r="BC110" s="273"/>
      <c r="BD110" s="273"/>
      <c r="BE110" s="273"/>
      <c r="BF110" s="273"/>
      <c r="BG110" s="273"/>
      <c r="BH110" s="273"/>
      <c r="BI110" s="273"/>
      <c r="BJ110" s="273"/>
      <c r="BK110" s="273"/>
      <c r="BL110" s="273"/>
      <c r="BM110" s="273"/>
      <c r="BN110" s="273"/>
      <c r="BO110" s="273"/>
      <c r="BP110" s="273"/>
      <c r="BQ110" s="273"/>
      <c r="BR110" s="273"/>
      <c r="BS110" s="273"/>
      <c r="BT110" s="273"/>
      <c r="BU110" s="273"/>
      <c r="BV110" s="273"/>
      <c r="BW110" s="273"/>
    </row>
    <row r="111">
      <c r="A111" s="276">
        <f>VLOOKUP($F111,UpdateHashtag!$V$3:$Y$32,COLUMN(B$15),0)</f>
        <v>4</v>
      </c>
      <c r="B111" s="259">
        <f>VLOOKUP($F111,UpdateHashtag!$V$3:$Y$32,COLUMN(C$13),0)</f>
        <v>3</v>
      </c>
      <c r="C111" s="259">
        <f>VLOOKUP($F111,UpdateHashtag!$V$3:$Y$32,COLUMN(D$13),0)</f>
        <v>3</v>
      </c>
      <c r="D111" s="277">
        <f t="shared" si="4"/>
        <v>10</v>
      </c>
      <c r="E111" s="21"/>
      <c r="F111" s="261" t="str">
        <f>VLOOKUP(J111,UpdateBBM!$C$2:E1015,3,0)</f>
        <v>MIN</v>
      </c>
      <c r="G111" s="248">
        <v>92.0</v>
      </c>
      <c r="H111" s="278">
        <f>IFERROR(__xludf.DUMMYFUNCTION("""COMPUTED_VALUE"""),92.0)</f>
        <v>92</v>
      </c>
      <c r="I111" s="278">
        <f>IFERROR(__xludf.DUMMYFUNCTION("""COMPUTED_VALUE"""),132.8)</f>
        <v>132.8</v>
      </c>
      <c r="J111" s="279" t="str">
        <f>IFERROR(__xludf.DUMMYFUNCTION("""COMPUTED_VALUE"""),"Mike Conley")</f>
        <v>Mike Conley</v>
      </c>
      <c r="K111" s="278">
        <f>IFERROR(__xludf.DUMMYFUNCTION("""COMPUTED_VALUE"""),79.0)</f>
        <v>79</v>
      </c>
      <c r="L111" s="280" t="str">
        <f>IFERROR(__xludf.DUMMYFUNCTION("""COMPUTED_VALUE"""),"PG")</f>
        <v>PG</v>
      </c>
      <c r="M111" s="281">
        <f>IFERROR(__xludf.DUMMYFUNCTION("""COMPUTED_VALUE"""),-0.09868785686054338)</f>
        <v>-0.09868785686</v>
      </c>
      <c r="N111" s="281">
        <f>IFERROR(__xludf.DUMMYFUNCTION("""COMPUTED_VALUE"""),-0.09868785686054338)</f>
        <v>-0.09868785686</v>
      </c>
      <c r="O111" s="282">
        <f>IFERROR(__xludf.DUMMYFUNCTION("""COMPUTED_VALUE"""),0.0)</f>
        <v>0</v>
      </c>
      <c r="P111" s="283">
        <f>IFERROR(__xludf.DUMMYFUNCTION("""COMPUTED_VALUE"""),11.6)</f>
        <v>11.6</v>
      </c>
      <c r="Q111" s="283">
        <f>IFERROR(__xludf.DUMMYFUNCTION("""COMPUTED_VALUE"""),2.2)</f>
        <v>2.2</v>
      </c>
      <c r="R111" s="283">
        <f>IFERROR(__xludf.DUMMYFUNCTION("""COMPUTED_VALUE"""),2.8)</f>
        <v>2.8</v>
      </c>
      <c r="S111" s="284">
        <f>IFERROR(__xludf.DUMMYFUNCTION("""COMPUTED_VALUE"""),6.0)</f>
        <v>6</v>
      </c>
      <c r="T111" s="283">
        <f>IFERROR(__xludf.DUMMYFUNCTION("""COMPUTED_VALUE"""),1.1)</f>
        <v>1.1</v>
      </c>
      <c r="U111" s="283">
        <f>IFERROR(__xludf.DUMMYFUNCTION("""COMPUTED_VALUE"""),0.2)</f>
        <v>0.2</v>
      </c>
      <c r="V111" s="280">
        <f>IFERROR(__xludf.DUMMYFUNCTION("""COMPUTED_VALUE"""),0.442)</f>
        <v>0.442</v>
      </c>
      <c r="W111" s="280">
        <f>IFERROR(__xludf.DUMMYFUNCTION("""COMPUTED_VALUE"""),0.885)</f>
        <v>0.885</v>
      </c>
      <c r="X111" s="280">
        <f>IFERROR(__xludf.DUMMYFUNCTION("""COMPUTED_VALUE"""),1.4)</f>
        <v>1.4</v>
      </c>
      <c r="Y111" s="283">
        <f>IFERROR(__xludf.DUMMYFUNCTION("""COMPUTED_VALUE"""),-1.0598415933283114)</f>
        <v>-1.059841593</v>
      </c>
      <c r="Z111" s="281">
        <f>IFERROR(__xludf.DUMMYFUNCTION("""COMPUTED_VALUE"""),0.44884799761907157)</f>
        <v>0.4488479976</v>
      </c>
      <c r="AA111" s="281">
        <f>IFERROR(__xludf.DUMMYFUNCTION("""COMPUTED_VALUE"""),-1.282260714389816)</f>
        <v>-1.282260714</v>
      </c>
      <c r="AB111" s="281">
        <f>IFERROR(__xludf.DUMMYFUNCTION("""COMPUTED_VALUE"""),0.940503565601248)</f>
        <v>0.9405035656</v>
      </c>
      <c r="AC111" s="281">
        <f>IFERROR(__xludf.DUMMYFUNCTION("""COMPUTED_VALUE"""),0.41106894580015185)</f>
        <v>0.4110689458</v>
      </c>
      <c r="AD111" s="281">
        <f>IFERROR(__xludf.DUMMYFUNCTION("""COMPUTED_VALUE"""),-0.9723047469492465)</f>
        <v>-0.9723047469</v>
      </c>
      <c r="AE111" s="281">
        <f>IFERROR(__xludf.DUMMYFUNCTION("""COMPUTED_VALUE"""),-0.5595869715413584)</f>
        <v>-0.5595869715</v>
      </c>
      <c r="AF111" s="281">
        <f>IFERROR(__xludf.DUMMYFUNCTION("""COMPUTED_VALUE"""),0.6061618416182949)</f>
        <v>0.6061618416</v>
      </c>
      <c r="AG111" s="281">
        <f>IFERROR(__xludf.DUMMYFUNCTION("""COMPUTED_VALUE"""),0.08646310431960676)</f>
        <v>0.08646310432</v>
      </c>
      <c r="AH111" s="285"/>
      <c r="AI111" s="273"/>
      <c r="AJ111" s="340"/>
      <c r="AK111" s="341"/>
      <c r="AL111" s="273"/>
      <c r="AM111" s="273"/>
      <c r="AN111" s="273"/>
      <c r="AO111" s="273"/>
      <c r="AP111" s="273"/>
      <c r="AQ111" s="273"/>
      <c r="AR111" s="273"/>
      <c r="AS111" s="273"/>
      <c r="AT111" s="273"/>
      <c r="AU111" s="273"/>
      <c r="AV111" s="273"/>
      <c r="AW111" s="273"/>
      <c r="AX111" s="273"/>
      <c r="AY111" s="273"/>
      <c r="AZ111" s="273"/>
      <c r="BA111" s="273"/>
      <c r="BB111" s="273"/>
      <c r="BC111" s="273"/>
      <c r="BD111" s="273"/>
      <c r="BE111" s="273"/>
      <c r="BF111" s="273"/>
      <c r="BG111" s="273"/>
      <c r="BH111" s="273"/>
      <c r="BI111" s="273"/>
      <c r="BJ111" s="273"/>
      <c r="BK111" s="273"/>
      <c r="BL111" s="273"/>
      <c r="BM111" s="273"/>
      <c r="BN111" s="273"/>
      <c r="BO111" s="273"/>
      <c r="BP111" s="273"/>
      <c r="BQ111" s="273"/>
      <c r="BR111" s="273"/>
      <c r="BS111" s="273"/>
      <c r="BT111" s="273"/>
      <c r="BU111" s="273"/>
      <c r="BV111" s="273"/>
      <c r="BW111" s="273"/>
    </row>
    <row r="112">
      <c r="A112" s="259" t="str">
        <f>VLOOKUP($F112,UpdateHashtag!$V$3:$Y$32,COLUMN(B$15),0)</f>
        <v>#N/A</v>
      </c>
      <c r="B112" s="259" t="str">
        <f>VLOOKUP($F112,UpdateHashtag!$V$3:$Y$32,COLUMN(C$13),0)</f>
        <v>#N/A</v>
      </c>
      <c r="C112" s="259" t="str">
        <f>VLOOKUP($F112,UpdateHashtag!$V$3:$Y$32,COLUMN(D$13),0)</f>
        <v>#N/A</v>
      </c>
      <c r="D112" s="329" t="str">
        <f t="shared" si="4"/>
        <v>#N/A</v>
      </c>
      <c r="E112" s="21"/>
      <c r="F112" s="261" t="str">
        <f>VLOOKUP(J112,UpdateBBM!$C$2:E1015,3,0)</f>
        <v>GSW</v>
      </c>
      <c r="G112" s="248">
        <v>93.0</v>
      </c>
      <c r="H112" s="278">
        <f>IFERROR(__xludf.DUMMYFUNCTION("""COMPUTED_VALUE"""),93.0)</f>
        <v>93</v>
      </c>
      <c r="I112" s="278">
        <f>IFERROR(__xludf.DUMMYFUNCTION("""COMPUTED_VALUE"""),142.0)</f>
        <v>142</v>
      </c>
      <c r="J112" s="279" t="str">
        <f>IFERROR(__xludf.DUMMYFUNCTION("""COMPUTED_VALUE"""),"De'Anthony Melton")</f>
        <v>De'Anthony Melton</v>
      </c>
      <c r="K112" s="278">
        <f>IFERROR(__xludf.DUMMYFUNCTION("""COMPUTED_VALUE"""),58.0)</f>
        <v>58</v>
      </c>
      <c r="L112" s="280" t="str">
        <f>IFERROR(__xludf.DUMMYFUNCTION("""COMPUTED_VALUE"""),"PG,SG")</f>
        <v>PG,SG</v>
      </c>
      <c r="M112" s="281">
        <f>IFERROR(__xludf.DUMMYFUNCTION("""COMPUTED_VALUE"""),-0.10757370168310865)</f>
        <v>-0.1075737017</v>
      </c>
      <c r="N112" s="281">
        <f>IFERROR(__xludf.DUMMYFUNCTION("""COMPUTED_VALUE"""),-0.10757370168310865)</f>
        <v>-0.1075737017</v>
      </c>
      <c r="O112" s="282">
        <f>IFERROR(__xludf.DUMMYFUNCTION("""COMPUTED_VALUE"""),0.0)</f>
        <v>0</v>
      </c>
      <c r="P112" s="283">
        <f>IFERROR(__xludf.DUMMYFUNCTION("""COMPUTED_VALUE"""),10.1)</f>
        <v>10.1</v>
      </c>
      <c r="Q112" s="283">
        <f>IFERROR(__xludf.DUMMYFUNCTION("""COMPUTED_VALUE"""),2.0)</f>
        <v>2</v>
      </c>
      <c r="R112" s="283">
        <f>IFERROR(__xludf.DUMMYFUNCTION("""COMPUTED_VALUE"""),3.8)</f>
        <v>3.8</v>
      </c>
      <c r="S112" s="284">
        <f>IFERROR(__xludf.DUMMYFUNCTION("""COMPUTED_VALUE"""),2.6)</f>
        <v>2.6</v>
      </c>
      <c r="T112" s="283">
        <f>IFERROR(__xludf.DUMMYFUNCTION("""COMPUTED_VALUE"""),1.6)</f>
        <v>1.6</v>
      </c>
      <c r="U112" s="283">
        <f>IFERROR(__xludf.DUMMYFUNCTION("""COMPUTED_VALUE"""),0.5)</f>
        <v>0.5</v>
      </c>
      <c r="V112" s="280">
        <f>IFERROR(__xludf.DUMMYFUNCTION("""COMPUTED_VALUE"""),0.42)</f>
        <v>0.42</v>
      </c>
      <c r="W112" s="280">
        <f>IFERROR(__xludf.DUMMYFUNCTION("""COMPUTED_VALUE"""),0.819)</f>
        <v>0.819</v>
      </c>
      <c r="X112" s="280">
        <f>IFERROR(__xludf.DUMMYFUNCTION("""COMPUTED_VALUE"""),1.2)</f>
        <v>1.2</v>
      </c>
      <c r="Y112" s="283">
        <f>IFERROR(__xludf.DUMMYFUNCTION("""COMPUTED_VALUE"""),-1.330813622777305)</f>
        <v>-1.330813623</v>
      </c>
      <c r="Z112" s="281">
        <f>IFERROR(__xludf.DUMMYFUNCTION("""COMPUTED_VALUE"""),0.2497993995559884)</f>
        <v>0.2497993996</v>
      </c>
      <c r="AA112" s="281">
        <f>IFERROR(__xludf.DUMMYFUNCTION("""COMPUTED_VALUE"""),-0.8899970031400947)</f>
        <v>-0.8899970031</v>
      </c>
      <c r="AB112" s="281">
        <f>IFERROR(__xludf.DUMMYFUNCTION("""COMPUTED_VALUE"""),-0.6085966287512721)</f>
        <v>-0.6085966288</v>
      </c>
      <c r="AC112" s="281">
        <f>IFERROR(__xludf.DUMMYFUNCTION("""COMPUTED_VALUE"""),2.0707323365975485)</f>
        <v>2.070732337</v>
      </c>
      <c r="AD112" s="281">
        <f>IFERROR(__xludf.DUMMYFUNCTION("""COMPUTED_VALUE"""),-0.4371236407912776)</f>
        <v>-0.4371236408</v>
      </c>
      <c r="AE112" s="281">
        <f>IFERROR(__xludf.DUMMYFUNCTION("""COMPUTED_VALUE"""),-0.7478662018308158)</f>
        <v>-0.7478662018</v>
      </c>
      <c r="AF112" s="281">
        <f>IFERROR(__xludf.DUMMYFUNCTION("""COMPUTED_VALUE"""),0.11941850540523417)</f>
        <v>0.1194185054</v>
      </c>
      <c r="AG112" s="281">
        <f>IFERROR(__xludf.DUMMYFUNCTION("""COMPUTED_VALUE"""),0.13605953127158005)</f>
        <v>0.1360595313</v>
      </c>
      <c r="AH112" s="285"/>
      <c r="AI112" s="273"/>
      <c r="AJ112" s="340"/>
      <c r="AK112" s="341"/>
      <c r="AL112" s="273"/>
      <c r="AM112" s="273"/>
      <c r="AN112" s="273"/>
      <c r="AO112" s="273"/>
      <c r="AP112" s="273"/>
      <c r="AQ112" s="273"/>
      <c r="AR112" s="273"/>
      <c r="AS112" s="273"/>
      <c r="AT112" s="273"/>
      <c r="AU112" s="273"/>
      <c r="AV112" s="273"/>
      <c r="AW112" s="273"/>
      <c r="AX112" s="273"/>
      <c r="AY112" s="273"/>
      <c r="AZ112" s="273"/>
      <c r="BA112" s="273"/>
      <c r="BB112" s="273"/>
      <c r="BC112" s="273"/>
      <c r="BD112" s="273"/>
      <c r="BE112" s="273"/>
      <c r="BF112" s="273"/>
      <c r="BG112" s="273"/>
      <c r="BH112" s="273"/>
      <c r="BI112" s="273"/>
      <c r="BJ112" s="273"/>
      <c r="BK112" s="273"/>
      <c r="BL112" s="273"/>
      <c r="BM112" s="273"/>
      <c r="BN112" s="273"/>
      <c r="BO112" s="273"/>
      <c r="BP112" s="273"/>
      <c r="BQ112" s="273"/>
      <c r="BR112" s="273"/>
      <c r="BS112" s="273"/>
      <c r="BT112" s="273"/>
      <c r="BU112" s="273"/>
      <c r="BV112" s="273"/>
      <c r="BW112" s="273"/>
    </row>
    <row r="113">
      <c r="A113" s="276">
        <f>VLOOKUP($F113,UpdateHashtag!$V$3:$Y$32,COLUMN(B$15),0)</f>
        <v>4</v>
      </c>
      <c r="B113" s="259">
        <f>VLOOKUP($F113,UpdateHashtag!$V$3:$Y$32,COLUMN(C$13),0)</f>
        <v>3</v>
      </c>
      <c r="C113" s="259">
        <f>VLOOKUP($F113,UpdateHashtag!$V$3:$Y$32,COLUMN(D$13),0)</f>
        <v>4</v>
      </c>
      <c r="D113" s="277">
        <f t="shared" si="4"/>
        <v>11</v>
      </c>
      <c r="E113" s="21"/>
      <c r="F113" s="261" t="str">
        <f>VLOOKUP(J113,UpdateBBM!$C$2:E1015,3,0)</f>
        <v>CHA</v>
      </c>
      <c r="G113" s="248">
        <v>94.0</v>
      </c>
      <c r="H113" s="278">
        <f>IFERROR(__xludf.DUMMYFUNCTION("""COMPUTED_VALUE"""),94.0)</f>
        <v>94</v>
      </c>
      <c r="I113" s="278">
        <f>IFERROR(__xludf.DUMMYFUNCTION("""COMPUTED_VALUE"""),94.9)</f>
        <v>94.9</v>
      </c>
      <c r="J113" s="279" t="str">
        <f>IFERROR(__xludf.DUMMYFUNCTION("""COMPUTED_VALUE"""),"Collin Sexton")</f>
        <v>Collin Sexton</v>
      </c>
      <c r="K113" s="278">
        <f>IFERROR(__xludf.DUMMYFUNCTION("""COMPUTED_VALUE"""),56.0)</f>
        <v>56</v>
      </c>
      <c r="L113" s="280" t="str">
        <f>IFERROR(__xludf.DUMMYFUNCTION("""COMPUTED_VALUE"""),"PG,SG")</f>
        <v>PG,SG</v>
      </c>
      <c r="M113" s="281">
        <f>IFERROR(__xludf.DUMMYFUNCTION("""COMPUTED_VALUE"""),-0.11525870456412024)</f>
        <v>-0.1152587046</v>
      </c>
      <c r="N113" s="281">
        <f>IFERROR(__xludf.DUMMYFUNCTION("""COMPUTED_VALUE"""),-0.11525870456412024)</f>
        <v>-0.1152587046</v>
      </c>
      <c r="O113" s="282">
        <f>IFERROR(__xludf.DUMMYFUNCTION("""COMPUTED_VALUE"""),0.0)</f>
        <v>0</v>
      </c>
      <c r="P113" s="283">
        <f>IFERROR(__xludf.DUMMYFUNCTION("""COMPUTED_VALUE"""),20.0)</f>
        <v>20</v>
      </c>
      <c r="Q113" s="283">
        <f>IFERROR(__xludf.DUMMYFUNCTION("""COMPUTED_VALUE"""),1.7)</f>
        <v>1.7</v>
      </c>
      <c r="R113" s="283">
        <f>IFERROR(__xludf.DUMMYFUNCTION("""COMPUTED_VALUE"""),2.9)</f>
        <v>2.9</v>
      </c>
      <c r="S113" s="284">
        <f>IFERROR(__xludf.DUMMYFUNCTION("""COMPUTED_VALUE"""),4.9)</f>
        <v>4.9</v>
      </c>
      <c r="T113" s="283">
        <f>IFERROR(__xludf.DUMMYFUNCTION("""COMPUTED_VALUE"""),0.8)</f>
        <v>0.8</v>
      </c>
      <c r="U113" s="283">
        <f>IFERROR(__xludf.DUMMYFUNCTION("""COMPUTED_VALUE"""),0.2)</f>
        <v>0.2</v>
      </c>
      <c r="V113" s="280">
        <f>IFERROR(__xludf.DUMMYFUNCTION("""COMPUTED_VALUE"""),0.487)</f>
        <v>0.487</v>
      </c>
      <c r="W113" s="280">
        <f>IFERROR(__xludf.DUMMYFUNCTION("""COMPUTED_VALUE"""),0.843)</f>
        <v>0.843</v>
      </c>
      <c r="X113" s="280">
        <f>IFERROR(__xludf.DUMMYFUNCTION("""COMPUTED_VALUE"""),2.4)</f>
        <v>2.4</v>
      </c>
      <c r="Y113" s="283">
        <f>IFERROR(__xludf.DUMMYFUNCTION("""COMPUTED_VALUE"""),0.45760177158605236)</f>
        <v>0.4576017716</v>
      </c>
      <c r="Z113" s="281">
        <f>IFERROR(__xludf.DUMMYFUNCTION("""COMPUTED_VALUE"""),-0.04877349753863613)</f>
        <v>-0.04877349754</v>
      </c>
      <c r="AA113" s="281">
        <f>IFERROR(__xludf.DUMMYFUNCTION("""COMPUTED_VALUE"""),-1.2430343432648439)</f>
        <v>-1.243034343</v>
      </c>
      <c r="AB113" s="281">
        <f>IFERROR(__xludf.DUMMYFUNCTION("""COMPUTED_VALUE"""),0.43932409095778585)</f>
        <v>0.439324091</v>
      </c>
      <c r="AC113" s="281">
        <f>IFERROR(__xludf.DUMMYFUNCTION("""COMPUTED_VALUE"""),-0.5847290886782864)</f>
        <v>-0.5847290887</v>
      </c>
      <c r="AD113" s="281">
        <f>IFERROR(__xludf.DUMMYFUNCTION("""COMPUTED_VALUE"""),-0.9723047469492465)</f>
        <v>-0.9723047469</v>
      </c>
      <c r="AE113" s="281">
        <f>IFERROR(__xludf.DUMMYFUNCTION("""COMPUTED_VALUE"""),-0.1644402660012277)</f>
        <v>-0.164440266</v>
      </c>
      <c r="AF113" s="281">
        <f>IFERROR(__xludf.DUMMYFUNCTION("""COMPUTED_VALUE"""),0.9195820624996979)</f>
        <v>0.9195820625</v>
      </c>
      <c r="AG113" s="281">
        <f>IFERROR(__xludf.DUMMYFUNCTION("""COMPUTED_VALUE"""),-0.1615190304402598)</f>
        <v>-0.1615190304</v>
      </c>
      <c r="AH113" s="285"/>
      <c r="AI113" s="273"/>
      <c r="AJ113" s="340"/>
      <c r="AK113" s="341"/>
      <c r="AL113" s="273"/>
      <c r="AM113" s="273"/>
      <c r="AN113" s="273"/>
      <c r="AO113" s="273"/>
      <c r="AP113" s="273"/>
      <c r="AQ113" s="273"/>
      <c r="AR113" s="273"/>
      <c r="AS113" s="273"/>
      <c r="AT113" s="273"/>
      <c r="AU113" s="273"/>
      <c r="AV113" s="273"/>
      <c r="AW113" s="273"/>
      <c r="AX113" s="273"/>
      <c r="AY113" s="273"/>
      <c r="AZ113" s="273"/>
      <c r="BA113" s="273"/>
      <c r="BB113" s="273"/>
      <c r="BC113" s="273"/>
      <c r="BD113" s="273"/>
      <c r="BE113" s="273"/>
      <c r="BF113" s="273"/>
      <c r="BG113" s="273"/>
      <c r="BH113" s="273"/>
      <c r="BI113" s="273"/>
      <c r="BJ113" s="273"/>
      <c r="BK113" s="273"/>
      <c r="BL113" s="273"/>
      <c r="BM113" s="273"/>
      <c r="BN113" s="273"/>
      <c r="BO113" s="273"/>
      <c r="BP113" s="273"/>
      <c r="BQ113" s="273"/>
      <c r="BR113" s="273"/>
      <c r="BS113" s="273"/>
      <c r="BT113" s="273"/>
      <c r="BU113" s="273"/>
      <c r="BV113" s="273"/>
      <c r="BW113" s="273"/>
    </row>
    <row r="114">
      <c r="A114" s="276">
        <f>VLOOKUP($F114,UpdateHashtag!$V$3:$Y$32,COLUMN(B$15),0)</f>
        <v>4</v>
      </c>
      <c r="B114" s="259">
        <f>VLOOKUP($F114,UpdateHashtag!$V$3:$Y$32,COLUMN(C$13),0)</f>
        <v>3</v>
      </c>
      <c r="C114" s="259">
        <f>VLOOKUP($F114,UpdateHashtag!$V$3:$Y$32,COLUMN(D$13),0)</f>
        <v>4</v>
      </c>
      <c r="D114" s="277">
        <f t="shared" si="4"/>
        <v>11</v>
      </c>
      <c r="E114" s="21"/>
      <c r="F114" s="261" t="str">
        <f>VLOOKUP(J114,UpdateBBM!$C$2:E1015,3,0)</f>
        <v>CHA</v>
      </c>
      <c r="G114" s="248">
        <v>95.0</v>
      </c>
      <c r="H114" s="278">
        <f>IFERROR(__xludf.DUMMYFUNCTION("""COMPUTED_VALUE"""),95.0)</f>
        <v>95</v>
      </c>
      <c r="I114" s="278">
        <f>IFERROR(__xludf.DUMMYFUNCTION("""COMPUTED_VALUE"""),63.0)</f>
        <v>63</v>
      </c>
      <c r="J114" s="279" t="str">
        <f>IFERROR(__xludf.DUMMYFUNCTION("""COMPUTED_VALUE"""),"Brandon Miller")</f>
        <v>Brandon Miller</v>
      </c>
      <c r="K114" s="278">
        <f>IFERROR(__xludf.DUMMYFUNCTION("""COMPUTED_VALUE"""),59.0)</f>
        <v>59</v>
      </c>
      <c r="L114" s="280" t="str">
        <f>IFERROR(__xludf.DUMMYFUNCTION("""COMPUTED_VALUE"""),"SG,SF")</f>
        <v>SG,SF</v>
      </c>
      <c r="M114" s="281">
        <f>IFERROR(__xludf.DUMMYFUNCTION("""COMPUTED_VALUE"""),-0.1919919216656777)</f>
        <v>-0.1919919217</v>
      </c>
      <c r="N114" s="281">
        <f>IFERROR(__xludf.DUMMYFUNCTION("""COMPUTED_VALUE"""),-0.1919919216656777)</f>
        <v>-0.1919919217</v>
      </c>
      <c r="O114" s="282">
        <f>IFERROR(__xludf.DUMMYFUNCTION("""COMPUTED_VALUE"""),0.0)</f>
        <v>0</v>
      </c>
      <c r="P114" s="283">
        <f>IFERROR(__xludf.DUMMYFUNCTION("""COMPUTED_VALUE"""),18.1)</f>
        <v>18.1</v>
      </c>
      <c r="Q114" s="283">
        <f>IFERROR(__xludf.DUMMYFUNCTION("""COMPUTED_VALUE"""),2.6)</f>
        <v>2.6</v>
      </c>
      <c r="R114" s="283">
        <f>IFERROR(__xludf.DUMMYFUNCTION("""COMPUTED_VALUE"""),4.4)</f>
        <v>4.4</v>
      </c>
      <c r="S114" s="284">
        <f>IFERROR(__xludf.DUMMYFUNCTION("""COMPUTED_VALUE"""),2.5)</f>
        <v>2.5</v>
      </c>
      <c r="T114" s="283">
        <f>IFERROR(__xludf.DUMMYFUNCTION("""COMPUTED_VALUE"""),1.0)</f>
        <v>1</v>
      </c>
      <c r="U114" s="283">
        <f>IFERROR(__xludf.DUMMYFUNCTION("""COMPUTED_VALUE"""),0.6)</f>
        <v>0.6</v>
      </c>
      <c r="V114" s="280">
        <f>IFERROR(__xludf.DUMMYFUNCTION("""COMPUTED_VALUE"""),0.445)</f>
        <v>0.445</v>
      </c>
      <c r="W114" s="280">
        <f>IFERROR(__xludf.DUMMYFUNCTION("""COMPUTED_VALUE"""),0.837)</f>
        <v>0.837</v>
      </c>
      <c r="X114" s="280">
        <f>IFERROR(__xludf.DUMMYFUNCTION("""COMPUTED_VALUE"""),1.9)</f>
        <v>1.9</v>
      </c>
      <c r="Y114" s="283">
        <f>IFERROR(__xludf.DUMMYFUNCTION("""COMPUTED_VALUE"""),0.11437053428399414)</f>
        <v>0.1143705343</v>
      </c>
      <c r="Z114" s="281">
        <f>IFERROR(__xludf.DUMMYFUNCTION("""COMPUTED_VALUE"""),0.8469451937452375)</f>
        <v>0.8469451937</v>
      </c>
      <c r="AA114" s="281">
        <f>IFERROR(__xludf.DUMMYFUNCTION("""COMPUTED_VALUE"""),-0.6546387763902618)</f>
        <v>-0.6546387764</v>
      </c>
      <c r="AB114" s="281">
        <f>IFERROR(__xludf.DUMMYFUNCTION("""COMPUTED_VALUE"""),-0.6541583991734051)</f>
        <v>-0.6541583992</v>
      </c>
      <c r="AC114" s="281">
        <f>IFERROR(__xludf.DUMMYFUNCTION("""COMPUTED_VALUE"""),0.07913626764067216)</f>
        <v>0.07913626764</v>
      </c>
      <c r="AD114" s="281">
        <f>IFERROR(__xludf.DUMMYFUNCTION("""COMPUTED_VALUE"""),-0.25872993873862127)</f>
        <v>-0.2587299387</v>
      </c>
      <c r="AE114" s="281">
        <f>IFERROR(__xludf.DUMMYFUNCTION("""COMPUTED_VALUE"""),-0.9181455160947355)</f>
        <v>-0.9181455161</v>
      </c>
      <c r="AF114" s="281">
        <f>IFERROR(__xludf.DUMMYFUNCTION("""COMPUTED_VALUE"""),0.3726111600270333)</f>
        <v>0.37261116</v>
      </c>
      <c r="AG114" s="281">
        <f>IFERROR(__xludf.DUMMYFUNCTION("""COMPUTED_VALUE"""),-0.037527963060326526)</f>
        <v>-0.03752796306</v>
      </c>
      <c r="AH114" s="285"/>
      <c r="AI114" s="273"/>
      <c r="AJ114" s="340"/>
      <c r="AK114" s="341"/>
      <c r="AL114" s="273"/>
      <c r="AM114" s="273"/>
      <c r="AN114" s="273"/>
      <c r="AO114" s="273"/>
      <c r="AP114" s="273"/>
      <c r="AQ114" s="273"/>
      <c r="AR114" s="273"/>
      <c r="AS114" s="273"/>
      <c r="AT114" s="273"/>
      <c r="AU114" s="273"/>
      <c r="AV114" s="273"/>
      <c r="AW114" s="273"/>
      <c r="AX114" s="273"/>
      <c r="AY114" s="273"/>
      <c r="AZ114" s="273"/>
      <c r="BA114" s="273"/>
      <c r="BB114" s="273"/>
      <c r="BC114" s="273"/>
      <c r="BD114" s="273"/>
      <c r="BE114" s="273"/>
      <c r="BF114" s="273"/>
      <c r="BG114" s="273"/>
      <c r="BH114" s="273"/>
      <c r="BI114" s="273"/>
      <c r="BJ114" s="273"/>
      <c r="BK114" s="273"/>
      <c r="BL114" s="273"/>
      <c r="BM114" s="273"/>
      <c r="BN114" s="273"/>
      <c r="BO114" s="273"/>
      <c r="BP114" s="273"/>
      <c r="BQ114" s="273"/>
      <c r="BR114" s="273"/>
      <c r="BS114" s="273"/>
      <c r="BT114" s="273"/>
      <c r="BU114" s="273"/>
      <c r="BV114" s="273"/>
      <c r="BW114" s="273"/>
    </row>
    <row r="115">
      <c r="A115" s="276">
        <f>VLOOKUP($F115,UpdateHashtag!$V$3:$Y$32,COLUMN(B$15),0)</f>
        <v>3</v>
      </c>
      <c r="B115" s="259">
        <f>VLOOKUP($F115,UpdateHashtag!$V$3:$Y$32,COLUMN(C$13),0)</f>
        <v>4</v>
      </c>
      <c r="C115" s="259">
        <f>VLOOKUP($F115,UpdateHashtag!$V$3:$Y$32,COLUMN(D$13),0)</f>
        <v>3</v>
      </c>
      <c r="D115" s="277">
        <f t="shared" si="4"/>
        <v>10</v>
      </c>
      <c r="E115" s="21"/>
      <c r="F115" s="261" t="str">
        <f>VLOOKUP(J115,UpdateBBM!$C$2:E1015,3,0)</f>
        <v>LAL</v>
      </c>
      <c r="G115" s="248">
        <v>96.0</v>
      </c>
      <c r="H115" s="278">
        <f>IFERROR(__xludf.DUMMYFUNCTION("""COMPUTED_VALUE"""),96.0)</f>
        <v>96</v>
      </c>
      <c r="I115" s="278">
        <f>IFERROR(__xludf.DUMMYFUNCTION("""COMPUTED_VALUE"""),87.2)</f>
        <v>87.2</v>
      </c>
      <c r="J115" s="279" t="str">
        <f>IFERROR(__xludf.DUMMYFUNCTION("""COMPUTED_VALUE"""),"Austin Reaves")</f>
        <v>Austin Reaves</v>
      </c>
      <c r="K115" s="278">
        <f>IFERROR(__xludf.DUMMYFUNCTION("""COMPUTED_VALUE"""),71.0)</f>
        <v>71</v>
      </c>
      <c r="L115" s="280" t="str">
        <f>IFERROR(__xludf.DUMMYFUNCTION("""COMPUTED_VALUE"""),"PG,SG")</f>
        <v>PG,SG</v>
      </c>
      <c r="M115" s="281">
        <f>IFERROR(__xludf.DUMMYFUNCTION("""COMPUTED_VALUE"""),-0.28313217534611734)</f>
        <v>-0.2831321753</v>
      </c>
      <c r="N115" s="281">
        <f>IFERROR(__xludf.DUMMYFUNCTION("""COMPUTED_VALUE"""),-0.28313217534611734)</f>
        <v>-0.2831321753</v>
      </c>
      <c r="O115" s="282">
        <f>IFERROR(__xludf.DUMMYFUNCTION("""COMPUTED_VALUE"""),0.0)</f>
        <v>0</v>
      </c>
      <c r="P115" s="283">
        <f>IFERROR(__xludf.DUMMYFUNCTION("""COMPUTED_VALUE"""),15.7)</f>
        <v>15.7</v>
      </c>
      <c r="Q115" s="283">
        <f>IFERROR(__xludf.DUMMYFUNCTION("""COMPUTED_VALUE"""),2.0)</f>
        <v>2</v>
      </c>
      <c r="R115" s="283">
        <f>IFERROR(__xludf.DUMMYFUNCTION("""COMPUTED_VALUE"""),4.0)</f>
        <v>4</v>
      </c>
      <c r="S115" s="284">
        <f>IFERROR(__xludf.DUMMYFUNCTION("""COMPUTED_VALUE"""),5.1)</f>
        <v>5.1</v>
      </c>
      <c r="T115" s="283">
        <f>IFERROR(__xludf.DUMMYFUNCTION("""COMPUTED_VALUE"""),0.8)</f>
        <v>0.8</v>
      </c>
      <c r="U115" s="283">
        <f>IFERROR(__xludf.DUMMYFUNCTION("""COMPUTED_VALUE"""),0.3)</f>
        <v>0.3</v>
      </c>
      <c r="V115" s="280">
        <f>IFERROR(__xludf.DUMMYFUNCTION("""COMPUTED_VALUE"""),0.482)</f>
        <v>0.482</v>
      </c>
      <c r="W115" s="280">
        <f>IFERROR(__xludf.DUMMYFUNCTION("""COMPUTED_VALUE"""),0.859)</f>
        <v>0.859</v>
      </c>
      <c r="X115" s="280">
        <f>IFERROR(__xludf.DUMMYFUNCTION("""COMPUTED_VALUE"""),2.0)</f>
        <v>2</v>
      </c>
      <c r="Y115" s="283">
        <f>IFERROR(__xludf.DUMMYFUNCTION("""COMPUTED_VALUE"""),-0.3191847128343959)</f>
        <v>-0.3191847128</v>
      </c>
      <c r="Z115" s="281">
        <f>IFERROR(__xludf.DUMMYFUNCTION("""COMPUTED_VALUE"""),0.2497993995559884)</f>
        <v>0.2497993996</v>
      </c>
      <c r="AA115" s="281">
        <f>IFERROR(__xludf.DUMMYFUNCTION("""COMPUTED_VALUE"""),-0.8115442608901504)</f>
        <v>-0.8115442609</v>
      </c>
      <c r="AB115" s="281">
        <f>IFERROR(__xludf.DUMMYFUNCTION("""COMPUTED_VALUE"""),0.5304476318020513)</f>
        <v>0.5304476318</v>
      </c>
      <c r="AC115" s="281">
        <f>IFERROR(__xludf.DUMMYFUNCTION("""COMPUTED_VALUE"""),-0.5847290886782864)</f>
        <v>-0.5847290887</v>
      </c>
      <c r="AD115" s="281">
        <f>IFERROR(__xludf.DUMMYFUNCTION("""COMPUTED_VALUE"""),-0.7939110448965904)</f>
        <v>-0.7939110449</v>
      </c>
      <c r="AE115" s="281">
        <f>IFERROR(__xludf.DUMMYFUNCTION("""COMPUTED_VALUE"""),-0.18835529392494169)</f>
        <v>-0.1883552939</v>
      </c>
      <c r="AF115" s="281">
        <f>IFERROR(__xludf.DUMMYFUNCTION("""COMPUTED_VALUE"""),0.8851271101663706)</f>
        <v>0.8851271102</v>
      </c>
      <c r="AG115" s="281">
        <f>IFERROR(__xludf.DUMMYFUNCTION("""COMPUTED_VALUE"""),-0.062326176536313206)</f>
        <v>-0.06232617654</v>
      </c>
      <c r="AH115" s="285"/>
      <c r="AI115" s="273"/>
      <c r="AJ115" s="340"/>
      <c r="AK115" s="341"/>
      <c r="AL115" s="273"/>
      <c r="AM115" s="273"/>
      <c r="AN115" s="273"/>
      <c r="AO115" s="273"/>
      <c r="AP115" s="273"/>
      <c r="AQ115" s="273"/>
      <c r="AR115" s="273"/>
      <c r="AS115" s="273"/>
      <c r="AT115" s="273"/>
      <c r="AU115" s="273"/>
      <c r="AV115" s="273"/>
      <c r="AW115" s="273"/>
      <c r="AX115" s="273"/>
      <c r="AY115" s="273"/>
      <c r="AZ115" s="273"/>
      <c r="BA115" s="273"/>
      <c r="BB115" s="273"/>
      <c r="BC115" s="273"/>
      <c r="BD115" s="273"/>
      <c r="BE115" s="273"/>
      <c r="BF115" s="273"/>
      <c r="BG115" s="273"/>
      <c r="BH115" s="273"/>
      <c r="BI115" s="273"/>
      <c r="BJ115" s="273"/>
      <c r="BK115" s="273"/>
      <c r="BL115" s="273"/>
      <c r="BM115" s="273"/>
      <c r="BN115" s="273"/>
      <c r="BO115" s="273"/>
      <c r="BP115" s="273"/>
      <c r="BQ115" s="273"/>
      <c r="BR115" s="273"/>
      <c r="BS115" s="273"/>
      <c r="BT115" s="273"/>
      <c r="BU115" s="273"/>
      <c r="BV115" s="273"/>
      <c r="BW115" s="273"/>
    </row>
    <row r="116">
      <c r="A116" s="276">
        <f>VLOOKUP($F116,UpdateHashtag!$V$3:$Y$32,COLUMN(B$15),0)</f>
        <v>4</v>
      </c>
      <c r="B116" s="259">
        <f>VLOOKUP($F116,UpdateHashtag!$V$3:$Y$32,COLUMN(C$13),0)</f>
        <v>4</v>
      </c>
      <c r="C116" s="259">
        <f>VLOOKUP($F116,UpdateHashtag!$V$3:$Y$32,COLUMN(D$13),0)</f>
        <v>2</v>
      </c>
      <c r="D116" s="277">
        <f t="shared" si="4"/>
        <v>10</v>
      </c>
      <c r="E116" s="21"/>
      <c r="F116" s="261" t="str">
        <f>VLOOKUP(J116,UpdateBBM!$C$2:E1015,3,0)</f>
        <v>DAL</v>
      </c>
      <c r="G116" s="248">
        <v>97.0</v>
      </c>
      <c r="H116" s="278">
        <f>IFERROR(__xludf.DUMMYFUNCTION("""COMPUTED_VALUE"""),97.0)</f>
        <v>97</v>
      </c>
      <c r="I116" s="278">
        <f>IFERROR(__xludf.DUMMYFUNCTION("""COMPUTED_VALUE"""),108.3)</f>
        <v>108.3</v>
      </c>
      <c r="J116" s="279" t="str">
        <f>IFERROR(__xludf.DUMMYFUNCTION("""COMPUTED_VALUE"""),"Dereck Lively II")</f>
        <v>Dereck Lively II</v>
      </c>
      <c r="K116" s="278">
        <f>IFERROR(__xludf.DUMMYFUNCTION("""COMPUTED_VALUE"""),71.0)</f>
        <v>71</v>
      </c>
      <c r="L116" s="280" t="str">
        <f>IFERROR(__xludf.DUMMYFUNCTION("""COMPUTED_VALUE"""),"C")</f>
        <v>C</v>
      </c>
      <c r="M116" s="281">
        <f>IFERROR(__xludf.DUMMYFUNCTION("""COMPUTED_VALUE"""),-0.28858464769727754)</f>
        <v>-0.2885846477</v>
      </c>
      <c r="N116" s="281">
        <f>IFERROR(__xludf.DUMMYFUNCTION("""COMPUTED_VALUE"""),-0.28858464769727754)</f>
        <v>-0.2885846477</v>
      </c>
      <c r="O116" s="282">
        <f>IFERROR(__xludf.DUMMYFUNCTION("""COMPUTED_VALUE"""),0.0)</f>
        <v>0</v>
      </c>
      <c r="P116" s="283">
        <f>IFERROR(__xludf.DUMMYFUNCTION("""COMPUTED_VALUE"""),10.1)</f>
        <v>10.1</v>
      </c>
      <c r="Q116" s="283">
        <f>IFERROR(__xludf.DUMMYFUNCTION("""COMPUTED_VALUE"""),0.0)</f>
        <v>0</v>
      </c>
      <c r="R116" s="283">
        <f>IFERROR(__xludf.DUMMYFUNCTION("""COMPUTED_VALUE"""),7.9)</f>
        <v>7.9</v>
      </c>
      <c r="S116" s="284">
        <f>IFERROR(__xludf.DUMMYFUNCTION("""COMPUTED_VALUE"""),1.5)</f>
        <v>1.5</v>
      </c>
      <c r="T116" s="283">
        <f>IFERROR(__xludf.DUMMYFUNCTION("""COMPUTED_VALUE"""),0.8)</f>
        <v>0.8</v>
      </c>
      <c r="U116" s="283">
        <f>IFERROR(__xludf.DUMMYFUNCTION("""COMPUTED_VALUE"""),1.6)</f>
        <v>1.6</v>
      </c>
      <c r="V116" s="280">
        <f>IFERROR(__xludf.DUMMYFUNCTION("""COMPUTED_VALUE"""),0.738)</f>
        <v>0.738</v>
      </c>
      <c r="W116" s="280">
        <f>IFERROR(__xludf.DUMMYFUNCTION("""COMPUTED_VALUE"""),0.535)</f>
        <v>0.535</v>
      </c>
      <c r="X116" s="280">
        <f>IFERROR(__xludf.DUMMYFUNCTION("""COMPUTED_VALUE"""),1.0)</f>
        <v>1</v>
      </c>
      <c r="Y116" s="283">
        <f>IFERROR(__xludf.DUMMYFUNCTION("""COMPUTED_VALUE"""),-1.330813622777305)</f>
        <v>-1.330813623</v>
      </c>
      <c r="Z116" s="281">
        <f>IFERROR(__xludf.DUMMYFUNCTION("""COMPUTED_VALUE"""),-1.7406865810748415)</f>
        <v>-1.740686581</v>
      </c>
      <c r="AA116" s="281">
        <f>IFERROR(__xludf.DUMMYFUNCTION("""COMPUTED_VALUE"""),0.7182842129837627)</f>
        <v>0.718284213</v>
      </c>
      <c r="AB116" s="281">
        <f>IFERROR(__xludf.DUMMYFUNCTION("""COMPUTED_VALUE"""),-1.1097761033947346)</f>
        <v>-1.109776103</v>
      </c>
      <c r="AC116" s="281">
        <f>IFERROR(__xludf.DUMMYFUNCTION("""COMPUTED_VALUE"""),-0.5847290886782864)</f>
        <v>-0.5847290887</v>
      </c>
      <c r="AD116" s="281">
        <f>IFERROR(__xludf.DUMMYFUNCTION("""COMPUTED_VALUE"""),1.5252070817879424)</f>
        <v>1.525207082</v>
      </c>
      <c r="AE116" s="281">
        <f>IFERROR(__xludf.DUMMYFUNCTION("""COMPUTED_VALUE"""),1.780329152781195)</f>
        <v>1.780329153</v>
      </c>
      <c r="AF116" s="281">
        <f>IFERROR(__xludf.DUMMYFUNCTION("""COMPUTED_VALUE"""),-1.472742238623405)</f>
        <v>-1.472742239</v>
      </c>
      <c r="AG116" s="281">
        <f>IFERROR(__xludf.DUMMYFUNCTION("""COMPUTED_VALUE"""),0.18565595822355335)</f>
        <v>0.1856559582</v>
      </c>
      <c r="AH116" s="285"/>
      <c r="AI116" s="273"/>
      <c r="AJ116" s="340"/>
      <c r="AK116" s="341"/>
      <c r="AL116" s="273"/>
      <c r="AM116" s="273"/>
      <c r="AN116" s="273"/>
      <c r="AO116" s="273"/>
      <c r="AP116" s="273"/>
      <c r="AQ116" s="273"/>
      <c r="AR116" s="273"/>
      <c r="AS116" s="273"/>
      <c r="AT116" s="273"/>
      <c r="AU116" s="273"/>
      <c r="AV116" s="273"/>
      <c r="AW116" s="273"/>
      <c r="AX116" s="273"/>
      <c r="AY116" s="273"/>
      <c r="AZ116" s="273"/>
      <c r="BA116" s="273"/>
      <c r="BB116" s="273"/>
      <c r="BC116" s="273"/>
      <c r="BD116" s="273"/>
      <c r="BE116" s="273"/>
      <c r="BF116" s="273"/>
      <c r="BG116" s="273"/>
      <c r="BH116" s="273"/>
      <c r="BI116" s="273"/>
      <c r="BJ116" s="273"/>
      <c r="BK116" s="273"/>
      <c r="BL116" s="273"/>
      <c r="BM116" s="273"/>
      <c r="BN116" s="273"/>
      <c r="BO116" s="273"/>
      <c r="BP116" s="273"/>
      <c r="BQ116" s="273"/>
      <c r="BR116" s="273"/>
      <c r="BS116" s="273"/>
      <c r="BT116" s="273"/>
      <c r="BU116" s="273"/>
      <c r="BV116" s="273"/>
      <c r="BW116" s="273"/>
    </row>
    <row r="117">
      <c r="A117" s="276">
        <f>VLOOKUP($F117,UpdateHashtag!$V$3:$Y$32,COLUMN(B$15),0)</f>
        <v>3</v>
      </c>
      <c r="B117" s="259">
        <f>VLOOKUP($F117,UpdateHashtag!$V$3:$Y$32,COLUMN(C$13),0)</f>
        <v>4</v>
      </c>
      <c r="C117" s="259">
        <f>VLOOKUP($F117,UpdateHashtag!$V$3:$Y$32,COLUMN(D$13),0)</f>
        <v>4</v>
      </c>
      <c r="D117" s="277">
        <f t="shared" si="4"/>
        <v>11</v>
      </c>
      <c r="E117" s="21"/>
      <c r="F117" s="261" t="str">
        <f>VLOOKUP(J117,UpdateBBM!$C$2:E1015,3,0)</f>
        <v>DEN</v>
      </c>
      <c r="G117" s="248">
        <v>98.0</v>
      </c>
      <c r="H117" s="278">
        <f>IFERROR(__xludf.DUMMYFUNCTION("""COMPUTED_VALUE"""),98.0)</f>
        <v>98</v>
      </c>
      <c r="I117" s="278">
        <f>IFERROR(__xludf.DUMMYFUNCTION("""COMPUTED_VALUE"""),88.2)</f>
        <v>88.2</v>
      </c>
      <c r="J117" s="279" t="str">
        <f>IFERROR(__xludf.DUMMYFUNCTION("""COMPUTED_VALUE"""),"Jonas Valanciunas")</f>
        <v>Jonas Valanciunas</v>
      </c>
      <c r="K117" s="278">
        <f>IFERROR(__xludf.DUMMYFUNCTION("""COMPUTED_VALUE"""),71.0)</f>
        <v>71</v>
      </c>
      <c r="L117" s="280" t="str">
        <f>IFERROR(__xludf.DUMMYFUNCTION("""COMPUTED_VALUE"""),"C")</f>
        <v>C</v>
      </c>
      <c r="M117" s="281">
        <f>IFERROR(__xludf.DUMMYFUNCTION("""COMPUTED_VALUE"""),-0.29034592242517765)</f>
        <v>-0.2903459224</v>
      </c>
      <c r="N117" s="281">
        <f>IFERROR(__xludf.DUMMYFUNCTION("""COMPUTED_VALUE"""),-0.29034592242517765)</f>
        <v>-0.2903459224</v>
      </c>
      <c r="O117" s="282">
        <f>IFERROR(__xludf.DUMMYFUNCTION("""COMPUTED_VALUE"""),0.0)</f>
        <v>0</v>
      </c>
      <c r="P117" s="283">
        <f>IFERROR(__xludf.DUMMYFUNCTION("""COMPUTED_VALUE"""),14.2)</f>
        <v>14.2</v>
      </c>
      <c r="Q117" s="283">
        <f>IFERROR(__xludf.DUMMYFUNCTION("""COMPUTED_VALUE"""),0.5)</f>
        <v>0.5</v>
      </c>
      <c r="R117" s="283">
        <f>IFERROR(__xludf.DUMMYFUNCTION("""COMPUTED_VALUE"""),10.3)</f>
        <v>10.3</v>
      </c>
      <c r="S117" s="284">
        <f>IFERROR(__xludf.DUMMYFUNCTION("""COMPUTED_VALUE"""),2.1)</f>
        <v>2.1</v>
      </c>
      <c r="T117" s="283">
        <f>IFERROR(__xludf.DUMMYFUNCTION("""COMPUTED_VALUE"""),0.4)</f>
        <v>0.4</v>
      </c>
      <c r="U117" s="283">
        <f>IFERROR(__xludf.DUMMYFUNCTION("""COMPUTED_VALUE"""),0.8)</f>
        <v>0.8</v>
      </c>
      <c r="V117" s="280">
        <f>IFERROR(__xludf.DUMMYFUNCTION("""COMPUTED_VALUE"""),0.548)</f>
        <v>0.548</v>
      </c>
      <c r="W117" s="280">
        <f>IFERROR(__xludf.DUMMYFUNCTION("""COMPUTED_VALUE"""),0.796)</f>
        <v>0.796</v>
      </c>
      <c r="X117" s="280">
        <f>IFERROR(__xludf.DUMMYFUNCTION("""COMPUTED_VALUE"""),1.8)</f>
        <v>1.8</v>
      </c>
      <c r="Y117" s="283">
        <f>IFERROR(__xludf.DUMMYFUNCTION("""COMPUTED_VALUE"""),-0.5901567422833894)</f>
        <v>-0.5901567423</v>
      </c>
      <c r="Z117" s="281">
        <f>IFERROR(__xludf.DUMMYFUNCTION("""COMPUTED_VALUE"""),-1.2430650859171342)</f>
        <v>-1.243065086</v>
      </c>
      <c r="AA117" s="281">
        <f>IFERROR(__xludf.DUMMYFUNCTION("""COMPUTED_VALUE"""),1.6597171199830938)</f>
        <v>1.65971712</v>
      </c>
      <c r="AB117" s="281">
        <f>IFERROR(__xludf.DUMMYFUNCTION("""COMPUTED_VALUE"""),-0.8364054808619368)</f>
        <v>-0.8364054809</v>
      </c>
      <c r="AC117" s="281">
        <f>IFERROR(__xludf.DUMMYFUNCTION("""COMPUTED_VALUE"""),-1.912459801316204)</f>
        <v>-1.912459801</v>
      </c>
      <c r="AD117" s="281">
        <f>IFERROR(__xludf.DUMMYFUNCTION("""COMPUTED_VALUE"""),0.09805746536669153)</f>
        <v>0.09805746537</v>
      </c>
      <c r="AE117" s="281">
        <f>IFERROR(__xludf.DUMMYFUNCTION("""COMPUTED_VALUE"""),0.6230822555007011)</f>
        <v>0.6230822555</v>
      </c>
      <c r="AF117" s="281">
        <f>IFERROR(__xludf.DUMMYFUNCTION("""COMPUTED_VALUE"""),0.011154295371135875)</f>
        <v>0.01115429537</v>
      </c>
      <c r="AG117" s="281">
        <f>IFERROR(__xludf.DUMMYFUNCTION("""COMPUTED_VALUE"""),-0.012729749584339901)</f>
        <v>-0.01272974958</v>
      </c>
      <c r="AH117" s="285"/>
      <c r="AI117" s="273"/>
      <c r="AJ117" s="340"/>
      <c r="AK117" s="341"/>
      <c r="AL117" s="273"/>
      <c r="AM117" s="273"/>
      <c r="AN117" s="273"/>
      <c r="AO117" s="273"/>
      <c r="AP117" s="273"/>
      <c r="AQ117" s="273"/>
      <c r="AR117" s="273"/>
      <c r="AS117" s="273"/>
      <c r="AT117" s="273"/>
      <c r="AU117" s="273"/>
      <c r="AV117" s="273"/>
      <c r="AW117" s="273"/>
      <c r="AX117" s="273"/>
      <c r="AY117" s="273"/>
      <c r="AZ117" s="273"/>
      <c r="BA117" s="273"/>
      <c r="BB117" s="273"/>
      <c r="BC117" s="273"/>
      <c r="BD117" s="273"/>
      <c r="BE117" s="273"/>
      <c r="BF117" s="273"/>
      <c r="BG117" s="273"/>
      <c r="BH117" s="273"/>
      <c r="BI117" s="273"/>
      <c r="BJ117" s="273"/>
      <c r="BK117" s="273"/>
      <c r="BL117" s="273"/>
      <c r="BM117" s="273"/>
      <c r="BN117" s="273"/>
      <c r="BO117" s="273"/>
      <c r="BP117" s="273"/>
      <c r="BQ117" s="273"/>
      <c r="BR117" s="273"/>
      <c r="BS117" s="273"/>
      <c r="BT117" s="273"/>
      <c r="BU117" s="273"/>
      <c r="BV117" s="273"/>
      <c r="BW117" s="273"/>
    </row>
    <row r="118">
      <c r="A118" s="276">
        <f>VLOOKUP($F118,UpdateHashtag!$V$3:$Y$32,COLUMN(B$15),0)</f>
        <v>2</v>
      </c>
      <c r="B118" s="259">
        <f>VLOOKUP($F118,UpdateHashtag!$V$3:$Y$32,COLUMN(C$13),0)</f>
        <v>4</v>
      </c>
      <c r="C118" s="259">
        <f>VLOOKUP($F118,UpdateHashtag!$V$3:$Y$32,COLUMN(D$13),0)</f>
        <v>4</v>
      </c>
      <c r="D118" s="277">
        <f t="shared" si="4"/>
        <v>10</v>
      </c>
      <c r="E118" s="21"/>
      <c r="F118" s="261" t="str">
        <f>VLOOKUP(J118,UpdateBBM!$C$2:E1015,3,0)</f>
        <v>CHI</v>
      </c>
      <c r="G118" s="248">
        <v>99.0</v>
      </c>
      <c r="H118" s="278">
        <f>IFERROR(__xludf.DUMMYFUNCTION("""COMPUTED_VALUE"""),99.0)</f>
        <v>99</v>
      </c>
      <c r="I118" s="278">
        <f>IFERROR(__xludf.DUMMYFUNCTION("""COMPUTED_VALUE"""),67.4)</f>
        <v>67.4</v>
      </c>
      <c r="J118" s="279" t="str">
        <f>IFERROR(__xludf.DUMMYFUNCTION("""COMPUTED_VALUE"""),"Josh Giddey")</f>
        <v>Josh Giddey</v>
      </c>
      <c r="K118" s="278">
        <f>IFERROR(__xludf.DUMMYFUNCTION("""COMPUTED_VALUE"""),71.0)</f>
        <v>71</v>
      </c>
      <c r="L118" s="280" t="str">
        <f>IFERROR(__xludf.DUMMYFUNCTION("""COMPUTED_VALUE"""),"SG,SF")</f>
        <v>SG,SF</v>
      </c>
      <c r="M118" s="281">
        <f>IFERROR(__xludf.DUMMYFUNCTION("""COMPUTED_VALUE"""),-0.2913788593821486)</f>
        <v>-0.2913788594</v>
      </c>
      <c r="N118" s="281">
        <f>IFERROR(__xludf.DUMMYFUNCTION("""COMPUTED_VALUE"""),-0.2913788593821486)</f>
        <v>-0.2913788594</v>
      </c>
      <c r="O118" s="282">
        <f>IFERROR(__xludf.DUMMYFUNCTION("""COMPUTED_VALUE"""),0.0)</f>
        <v>0</v>
      </c>
      <c r="P118" s="283">
        <f>IFERROR(__xludf.DUMMYFUNCTION("""COMPUTED_VALUE"""),16.1)</f>
        <v>16.1</v>
      </c>
      <c r="Q118" s="283">
        <f>IFERROR(__xludf.DUMMYFUNCTION("""COMPUTED_VALUE"""),1.1)</f>
        <v>1.1</v>
      </c>
      <c r="R118" s="283">
        <f>IFERROR(__xludf.DUMMYFUNCTION("""COMPUTED_VALUE"""),7.4)</f>
        <v>7.4</v>
      </c>
      <c r="S118" s="284">
        <f>IFERROR(__xludf.DUMMYFUNCTION("""COMPUTED_VALUE"""),6.1)</f>
        <v>6.1</v>
      </c>
      <c r="T118" s="283">
        <f>IFERROR(__xludf.DUMMYFUNCTION("""COMPUTED_VALUE"""),0.8)</f>
        <v>0.8</v>
      </c>
      <c r="U118" s="283">
        <f>IFERROR(__xludf.DUMMYFUNCTION("""COMPUTED_VALUE"""),0.5)</f>
        <v>0.5</v>
      </c>
      <c r="V118" s="280">
        <f>IFERROR(__xludf.DUMMYFUNCTION("""COMPUTED_VALUE"""),0.479)</f>
        <v>0.479</v>
      </c>
      <c r="W118" s="280">
        <f>IFERROR(__xludf.DUMMYFUNCTION("""COMPUTED_VALUE"""),0.795)</f>
        <v>0.795</v>
      </c>
      <c r="X118" s="280">
        <f>IFERROR(__xludf.DUMMYFUNCTION("""COMPUTED_VALUE"""),2.7)</f>
        <v>2.7</v>
      </c>
      <c r="Y118" s="283">
        <f>IFERROR(__xludf.DUMMYFUNCTION("""COMPUTED_VALUE"""),-0.24692550498133056)</f>
        <v>-0.246925505</v>
      </c>
      <c r="Z118" s="281">
        <f>IFERROR(__xludf.DUMMYFUNCTION("""COMPUTED_VALUE"""),-0.645919291727885)</f>
        <v>-0.6459192917</v>
      </c>
      <c r="AA118" s="281">
        <f>IFERROR(__xludf.DUMMYFUNCTION("""COMPUTED_VALUE"""),0.522152357358902)</f>
        <v>0.5221523574</v>
      </c>
      <c r="AB118" s="281">
        <f>IFERROR(__xludf.DUMMYFUNCTION("""COMPUTED_VALUE"""),0.9860653360233809)</f>
        <v>0.986065336</v>
      </c>
      <c r="AC118" s="281">
        <f>IFERROR(__xludf.DUMMYFUNCTION("""COMPUTED_VALUE"""),-0.5847290886782864)</f>
        <v>-0.5847290887</v>
      </c>
      <c r="AD118" s="281">
        <f>IFERROR(__xludf.DUMMYFUNCTION("""COMPUTED_VALUE"""),-0.4371236407912776)</f>
        <v>-0.4371236408</v>
      </c>
      <c r="AE118" s="281">
        <f>IFERROR(__xludf.DUMMYFUNCTION("""COMPUTED_VALUE"""),-0.29548393906783216)</f>
        <v>-0.2954839391</v>
      </c>
      <c r="AF118" s="281">
        <f>IFERROR(__xludf.DUMMYFUNCTION("""COMPUTED_VALUE"""),5.79291622515216E-4)</f>
        <v>0.0005792916225</v>
      </c>
      <c r="AG118" s="281">
        <f>IFERROR(__xludf.DUMMYFUNCTION("""COMPUTED_VALUE"""),-0.23591367086821985)</f>
        <v>-0.2359136709</v>
      </c>
      <c r="AH118" s="285"/>
      <c r="AI118" s="273"/>
      <c r="AJ118" s="340"/>
      <c r="AK118" s="341"/>
      <c r="AL118" s="273"/>
      <c r="AM118" s="273"/>
      <c r="AN118" s="273"/>
      <c r="AO118" s="273"/>
      <c r="AP118" s="273"/>
      <c r="AQ118" s="273"/>
      <c r="AR118" s="273"/>
      <c r="AS118" s="273"/>
      <c r="AT118" s="273"/>
      <c r="AU118" s="273"/>
      <c r="AV118" s="273"/>
      <c r="AW118" s="273"/>
      <c r="AX118" s="273"/>
      <c r="AY118" s="273"/>
      <c r="AZ118" s="273"/>
      <c r="BA118" s="273"/>
      <c r="BB118" s="273"/>
      <c r="BC118" s="273"/>
      <c r="BD118" s="273"/>
      <c r="BE118" s="273"/>
      <c r="BF118" s="273"/>
      <c r="BG118" s="273"/>
      <c r="BH118" s="273"/>
      <c r="BI118" s="273"/>
      <c r="BJ118" s="273"/>
      <c r="BK118" s="273"/>
      <c r="BL118" s="273"/>
      <c r="BM118" s="273"/>
      <c r="BN118" s="273"/>
      <c r="BO118" s="273"/>
      <c r="BP118" s="273"/>
      <c r="BQ118" s="273"/>
      <c r="BR118" s="273"/>
      <c r="BS118" s="273"/>
      <c r="BT118" s="273"/>
      <c r="BU118" s="273"/>
      <c r="BV118" s="273"/>
      <c r="BW118" s="273"/>
    </row>
    <row r="119">
      <c r="A119" s="276">
        <f>VLOOKUP($F119,UpdateHashtag!$V$3:$Y$32,COLUMN(B$15),0)</f>
        <v>3</v>
      </c>
      <c r="B119" s="259">
        <f>VLOOKUP($F119,UpdateHashtag!$V$3:$Y$32,COLUMN(C$13),0)</f>
        <v>4</v>
      </c>
      <c r="C119" s="259">
        <f>VLOOKUP($F119,UpdateHashtag!$V$3:$Y$32,COLUMN(D$13),0)</f>
        <v>3</v>
      </c>
      <c r="D119" s="277">
        <f t="shared" si="4"/>
        <v>10</v>
      </c>
      <c r="E119" s="21"/>
      <c r="F119" s="261" t="str">
        <f>VLOOKUP(J119,UpdateBBM!$C$2:E1015,3,0)</f>
        <v>PHO</v>
      </c>
      <c r="G119" s="248">
        <v>100.0</v>
      </c>
      <c r="H119" s="278">
        <f>IFERROR(__xludf.DUMMYFUNCTION("""COMPUTED_VALUE"""),100.0)</f>
        <v>100</v>
      </c>
      <c r="I119" s="278">
        <f>IFERROR(__xludf.DUMMYFUNCTION("""COMPUTED_VALUE"""),92.2)</f>
        <v>92.2</v>
      </c>
      <c r="J119" s="279" t="str">
        <f>IFERROR(__xludf.DUMMYFUNCTION("""COMPUTED_VALUE"""),"Jalen Green")</f>
        <v>Jalen Green</v>
      </c>
      <c r="K119" s="278">
        <f>IFERROR(__xludf.DUMMYFUNCTION("""COMPUTED_VALUE"""),66.0)</f>
        <v>66</v>
      </c>
      <c r="L119" s="280" t="str">
        <f>IFERROR(__xludf.DUMMYFUNCTION("""COMPUTED_VALUE"""),"PG,SG")</f>
        <v>PG,SG</v>
      </c>
      <c r="M119" s="281">
        <f>IFERROR(__xludf.DUMMYFUNCTION("""COMPUTED_VALUE"""),-0.3643186267444549)</f>
        <v>-0.3643186267</v>
      </c>
      <c r="N119" s="281">
        <f>IFERROR(__xludf.DUMMYFUNCTION("""COMPUTED_VALUE"""),-0.3643186267444549)</f>
        <v>-0.3643186267</v>
      </c>
      <c r="O119" s="282">
        <f>IFERROR(__xludf.DUMMYFUNCTION("""COMPUTED_VALUE"""),0.0)</f>
        <v>0</v>
      </c>
      <c r="P119" s="283">
        <f>IFERROR(__xludf.DUMMYFUNCTION("""COMPUTED_VALUE"""),20.5)</f>
        <v>20.5</v>
      </c>
      <c r="Q119" s="283">
        <f>IFERROR(__xludf.DUMMYFUNCTION("""COMPUTED_VALUE"""),2.4)</f>
        <v>2.4</v>
      </c>
      <c r="R119" s="283">
        <f>IFERROR(__xludf.DUMMYFUNCTION("""COMPUTED_VALUE"""),4.9)</f>
        <v>4.9</v>
      </c>
      <c r="S119" s="284">
        <f>IFERROR(__xludf.DUMMYFUNCTION("""COMPUTED_VALUE"""),3.7)</f>
        <v>3.7</v>
      </c>
      <c r="T119" s="283">
        <f>IFERROR(__xludf.DUMMYFUNCTION("""COMPUTED_VALUE"""),0.9)</f>
        <v>0.9</v>
      </c>
      <c r="U119" s="283">
        <f>IFERROR(__xludf.DUMMYFUNCTION("""COMPUTED_VALUE"""),0.3)</f>
        <v>0.3</v>
      </c>
      <c r="V119" s="280">
        <f>IFERROR(__xludf.DUMMYFUNCTION("""COMPUTED_VALUE"""),0.429)</f>
        <v>0.429</v>
      </c>
      <c r="W119" s="280">
        <f>IFERROR(__xludf.DUMMYFUNCTION("""COMPUTED_VALUE"""),0.807)</f>
        <v>0.807</v>
      </c>
      <c r="X119" s="280">
        <f>IFERROR(__xludf.DUMMYFUNCTION("""COMPUTED_VALUE"""),2.4)</f>
        <v>2.4</v>
      </c>
      <c r="Y119" s="283">
        <f>IFERROR(__xludf.DUMMYFUNCTION("""COMPUTED_VALUE"""),0.5479257814023836)</f>
        <v>0.5479257814</v>
      </c>
      <c r="Z119" s="281">
        <f>IFERROR(__xludf.DUMMYFUNCTION("""COMPUTED_VALUE"""),0.6478965956821543)</f>
        <v>0.6478965957</v>
      </c>
      <c r="AA119" s="281">
        <f>IFERROR(__xludf.DUMMYFUNCTION("""COMPUTED_VALUE"""),-0.4585069207654011)</f>
        <v>-0.4585069208</v>
      </c>
      <c r="AB119" s="281">
        <f>IFERROR(__xludf.DUMMYFUNCTION("""COMPUTED_VALUE"""),-0.10741715410780962)</f>
        <v>-0.1074171541</v>
      </c>
      <c r="AC119" s="281">
        <f>IFERROR(__xludf.DUMMYFUNCTION("""COMPUTED_VALUE"""),-0.25279641051880714)</f>
        <v>-0.2527964105</v>
      </c>
      <c r="AD119" s="281">
        <f>IFERROR(__xludf.DUMMYFUNCTION("""COMPUTED_VALUE"""),-0.7939110448965904)</f>
        <v>-0.7939110449</v>
      </c>
      <c r="AE119" s="281">
        <f>IFERROR(__xludf.DUMMYFUNCTION("""COMPUTED_VALUE"""),-1.3047241964093097)</f>
        <v>-1.304724196</v>
      </c>
      <c r="AF119" s="281">
        <f>IFERROR(__xludf.DUMMYFUNCTION("""COMPUTED_VALUE"""),0.2140095568998753)</f>
        <v>0.2140095569</v>
      </c>
      <c r="AG119" s="281">
        <f>IFERROR(__xludf.DUMMYFUNCTION("""COMPUTED_VALUE"""),-0.1615190304402598)</f>
        <v>-0.1615190304</v>
      </c>
      <c r="AH119" s="285"/>
      <c r="AI119" s="273"/>
      <c r="AJ119" s="340"/>
      <c r="AK119" s="341"/>
      <c r="AL119" s="273"/>
      <c r="AM119" s="273"/>
      <c r="AN119" s="273"/>
      <c r="AO119" s="273"/>
      <c r="AP119" s="273"/>
      <c r="AQ119" s="273"/>
      <c r="AR119" s="273"/>
      <c r="AS119" s="273"/>
      <c r="AT119" s="273"/>
      <c r="AU119" s="273"/>
      <c r="AV119" s="273"/>
      <c r="AW119" s="273"/>
      <c r="AX119" s="273"/>
      <c r="AY119" s="273"/>
      <c r="AZ119" s="273"/>
      <c r="BA119" s="273"/>
      <c r="BB119" s="273"/>
      <c r="BC119" s="273"/>
      <c r="BD119" s="273"/>
      <c r="BE119" s="273"/>
      <c r="BF119" s="273"/>
      <c r="BG119" s="273"/>
      <c r="BH119" s="273"/>
      <c r="BI119" s="273"/>
      <c r="BJ119" s="273"/>
      <c r="BK119" s="273"/>
      <c r="BL119" s="273"/>
      <c r="BM119" s="273"/>
      <c r="BN119" s="273"/>
      <c r="BO119" s="273"/>
      <c r="BP119" s="273"/>
      <c r="BQ119" s="273"/>
      <c r="BR119" s="273"/>
      <c r="BS119" s="273"/>
      <c r="BT119" s="273"/>
      <c r="BU119" s="273"/>
      <c r="BV119" s="273"/>
      <c r="BW119" s="273"/>
    </row>
    <row r="120">
      <c r="A120" s="276">
        <f>VLOOKUP($F120,UpdateHashtag!$V$3:$Y$32,COLUMN(B$15),0)</f>
        <v>3</v>
      </c>
      <c r="B120" s="259">
        <f>VLOOKUP($F120,UpdateHashtag!$V$3:$Y$32,COLUMN(C$13),0)</f>
        <v>4</v>
      </c>
      <c r="C120" s="259">
        <f>VLOOKUP($F120,UpdateHashtag!$V$3:$Y$32,COLUMN(D$13),0)</f>
        <v>3</v>
      </c>
      <c r="D120" s="277">
        <f t="shared" si="4"/>
        <v>10</v>
      </c>
      <c r="E120" s="21"/>
      <c r="F120" s="261" t="str">
        <f>VLOOKUP(J120,UpdateBBM!$C$2:E1015,3,0)</f>
        <v>TOR</v>
      </c>
      <c r="G120" s="248">
        <v>101.0</v>
      </c>
      <c r="H120" s="278">
        <f>IFERROR(__xludf.DUMMYFUNCTION("""COMPUTED_VALUE"""),101.0)</f>
        <v>101</v>
      </c>
      <c r="I120" s="278">
        <f>IFERROR(__xludf.DUMMYFUNCTION("""COMPUTED_VALUE"""),69.9)</f>
        <v>69.9</v>
      </c>
      <c r="J120" s="279" t="str">
        <f>IFERROR(__xludf.DUMMYFUNCTION("""COMPUTED_VALUE"""),"Brandon Ingram")</f>
        <v>Brandon Ingram</v>
      </c>
      <c r="K120" s="278">
        <f>IFERROR(__xludf.DUMMYFUNCTION("""COMPUTED_VALUE"""),66.0)</f>
        <v>66</v>
      </c>
      <c r="L120" s="280" t="str">
        <f>IFERROR(__xludf.DUMMYFUNCTION("""COMPUTED_VALUE"""),"SG,SF,PF")</f>
        <v>SG,SF,PF</v>
      </c>
      <c r="M120" s="281">
        <f>IFERROR(__xludf.DUMMYFUNCTION("""COMPUTED_VALUE"""),-0.3648775981758804)</f>
        <v>-0.3648775982</v>
      </c>
      <c r="N120" s="281">
        <f>IFERROR(__xludf.DUMMYFUNCTION("""COMPUTED_VALUE"""),-0.3648775981758804)</f>
        <v>-0.3648775982</v>
      </c>
      <c r="O120" s="282">
        <f>IFERROR(__xludf.DUMMYFUNCTION("""COMPUTED_VALUE"""),0.0)</f>
        <v>0</v>
      </c>
      <c r="P120" s="283">
        <f>IFERROR(__xludf.DUMMYFUNCTION("""COMPUTED_VALUE"""),20.1)</f>
        <v>20.1</v>
      </c>
      <c r="Q120" s="283">
        <f>IFERROR(__xludf.DUMMYFUNCTION("""COMPUTED_VALUE"""),1.3)</f>
        <v>1.3</v>
      </c>
      <c r="R120" s="283">
        <f>IFERROR(__xludf.DUMMYFUNCTION("""COMPUTED_VALUE"""),4.8)</f>
        <v>4.8</v>
      </c>
      <c r="S120" s="284">
        <f>IFERROR(__xludf.DUMMYFUNCTION("""COMPUTED_VALUE"""),4.6)</f>
        <v>4.6</v>
      </c>
      <c r="T120" s="283">
        <f>IFERROR(__xludf.DUMMYFUNCTION("""COMPUTED_VALUE"""),0.8)</f>
        <v>0.8</v>
      </c>
      <c r="U120" s="283">
        <f>IFERROR(__xludf.DUMMYFUNCTION("""COMPUTED_VALUE"""),0.6)</f>
        <v>0.6</v>
      </c>
      <c r="V120" s="280">
        <f>IFERROR(__xludf.DUMMYFUNCTION("""COMPUTED_VALUE"""),0.492)</f>
        <v>0.492</v>
      </c>
      <c r="W120" s="280">
        <f>IFERROR(__xludf.DUMMYFUNCTION("""COMPUTED_VALUE"""),0.812)</f>
        <v>0.812</v>
      </c>
      <c r="X120" s="280">
        <f>IFERROR(__xludf.DUMMYFUNCTION("""COMPUTED_VALUE"""),2.3)</f>
        <v>2.3</v>
      </c>
      <c r="Y120" s="283">
        <f>IFERROR(__xludf.DUMMYFUNCTION("""COMPUTED_VALUE"""),0.47566657354931885)</f>
        <v>0.4756665735</v>
      </c>
      <c r="Z120" s="281">
        <f>IFERROR(__xludf.DUMMYFUNCTION("""COMPUTED_VALUE"""),-0.44687069366480203)</f>
        <v>-0.4468706937</v>
      </c>
      <c r="AA120" s="281">
        <f>IFERROR(__xludf.DUMMYFUNCTION("""COMPUTED_VALUE"""),-0.49773329189037346)</f>
        <v>-0.4977332919</v>
      </c>
      <c r="AB120" s="281">
        <f>IFERROR(__xludf.DUMMYFUNCTION("""COMPUTED_VALUE"""),0.30263877969138664)</f>
        <v>0.3026387797</v>
      </c>
      <c r="AC120" s="281">
        <f>IFERROR(__xludf.DUMMYFUNCTION("""COMPUTED_VALUE"""),-0.5847290886782864)</f>
        <v>-0.5847290887</v>
      </c>
      <c r="AD120" s="281">
        <f>IFERROR(__xludf.DUMMYFUNCTION("""COMPUTED_VALUE"""),-0.25872993873862127)</f>
        <v>-0.2587299387</v>
      </c>
      <c r="AE120" s="281">
        <f>IFERROR(__xludf.DUMMYFUNCTION("""COMPUTED_VALUE"""),-0.08752052653855567)</f>
        <v>-0.08752052654</v>
      </c>
      <c r="AF120" s="281">
        <f>IFERROR(__xludf.DUMMYFUNCTION("""COMPUTED_VALUE"""),0.28439231638003976)</f>
        <v>0.2843923164</v>
      </c>
      <c r="AG120" s="281">
        <f>IFERROR(__xludf.DUMMYFUNCTION("""COMPUTED_VALUE"""),-0.13672081696427313)</f>
        <v>-0.136720817</v>
      </c>
      <c r="AH120" s="285"/>
      <c r="AI120" s="273"/>
      <c r="AJ120" s="340"/>
      <c r="AK120" s="341"/>
      <c r="AL120" s="273"/>
      <c r="AM120" s="273"/>
      <c r="AN120" s="273"/>
      <c r="AO120" s="273"/>
      <c r="AP120" s="273"/>
      <c r="AQ120" s="273"/>
      <c r="AR120" s="273"/>
      <c r="AS120" s="273"/>
      <c r="AT120" s="273"/>
      <c r="AU120" s="273"/>
      <c r="AV120" s="273"/>
      <c r="AW120" s="273"/>
      <c r="AX120" s="273"/>
      <c r="AY120" s="273"/>
      <c r="AZ120" s="273"/>
      <c r="BA120" s="273"/>
      <c r="BB120" s="273"/>
      <c r="BC120" s="273"/>
      <c r="BD120" s="273"/>
      <c r="BE120" s="273"/>
      <c r="BF120" s="273"/>
      <c r="BG120" s="273"/>
      <c r="BH120" s="273"/>
      <c r="BI120" s="273"/>
      <c r="BJ120" s="273"/>
      <c r="BK120" s="273"/>
      <c r="BL120" s="273"/>
      <c r="BM120" s="273"/>
      <c r="BN120" s="273"/>
      <c r="BO120" s="273"/>
      <c r="BP120" s="273"/>
      <c r="BQ120" s="273"/>
      <c r="BR120" s="273"/>
      <c r="BS120" s="273"/>
      <c r="BT120" s="273"/>
      <c r="BU120" s="273"/>
      <c r="BV120" s="273"/>
      <c r="BW120" s="273"/>
    </row>
    <row r="121">
      <c r="A121" s="259" t="str">
        <f>VLOOKUP($F121,UpdateHashtag!$V$3:$Y$32,COLUMN(B$15),0)</f>
        <v>#N/A</v>
      </c>
      <c r="B121" s="259" t="str">
        <f>VLOOKUP($F121,UpdateHashtag!$V$3:$Y$32,COLUMN(C$13),0)</f>
        <v>#N/A</v>
      </c>
      <c r="C121" s="259" t="str">
        <f>VLOOKUP($F121,UpdateHashtag!$V$3:$Y$32,COLUMN(D$13),0)</f>
        <v>#N/A</v>
      </c>
      <c r="D121" s="329" t="str">
        <f t="shared" si="4"/>
        <v>#N/A</v>
      </c>
      <c r="E121" s="21"/>
      <c r="F121" s="261" t="str">
        <f>VLOOKUP(J121,UpdateBBM!$C$2:E1015,3,0)</f>
        <v>GSW</v>
      </c>
      <c r="G121" s="248">
        <v>102.0</v>
      </c>
      <c r="H121" s="278">
        <f>IFERROR(__xludf.DUMMYFUNCTION("""COMPUTED_VALUE"""),102.0)</f>
        <v>102</v>
      </c>
      <c r="I121" s="278">
        <f>IFERROR(__xludf.DUMMYFUNCTION("""COMPUTED_VALUE"""),136.7)</f>
        <v>136.7</v>
      </c>
      <c r="J121" s="279" t="str">
        <f>IFERROR(__xludf.DUMMYFUNCTION("""COMPUTED_VALUE"""),"Al Horford")</f>
        <v>Al Horford</v>
      </c>
      <c r="K121" s="278">
        <f>IFERROR(__xludf.DUMMYFUNCTION("""COMPUTED_VALUE"""),71.0)</f>
        <v>71</v>
      </c>
      <c r="L121" s="280" t="str">
        <f>IFERROR(__xludf.DUMMYFUNCTION("""COMPUTED_VALUE"""),"PF,C")</f>
        <v>PF,C</v>
      </c>
      <c r="M121" s="281">
        <f>IFERROR(__xludf.DUMMYFUNCTION("""COMPUTED_VALUE"""),-0.4023587617494251)</f>
        <v>-0.4023587617</v>
      </c>
      <c r="N121" s="281">
        <f>IFERROR(__xludf.DUMMYFUNCTION("""COMPUTED_VALUE"""),-0.4023587617494251)</f>
        <v>-0.4023587617</v>
      </c>
      <c r="O121" s="282">
        <f>IFERROR(__xludf.DUMMYFUNCTION("""COMPUTED_VALUE"""),0.0)</f>
        <v>0</v>
      </c>
      <c r="P121" s="283">
        <f>IFERROR(__xludf.DUMMYFUNCTION("""COMPUTED_VALUE"""),9.8)</f>
        <v>9.8</v>
      </c>
      <c r="Q121" s="283">
        <f>IFERROR(__xludf.DUMMYFUNCTION("""COMPUTED_VALUE"""),2.1)</f>
        <v>2.1</v>
      </c>
      <c r="R121" s="283">
        <f>IFERROR(__xludf.DUMMYFUNCTION("""COMPUTED_VALUE"""),6.7)</f>
        <v>6.7</v>
      </c>
      <c r="S121" s="284">
        <f>IFERROR(__xludf.DUMMYFUNCTION("""COMPUTED_VALUE"""),3.0)</f>
        <v>3</v>
      </c>
      <c r="T121" s="283">
        <f>IFERROR(__xludf.DUMMYFUNCTION("""COMPUTED_VALUE"""),0.6)</f>
        <v>0.6</v>
      </c>
      <c r="U121" s="283">
        <f>IFERROR(__xludf.DUMMYFUNCTION("""COMPUTED_VALUE"""),1.0)</f>
        <v>1</v>
      </c>
      <c r="V121" s="280">
        <f>IFERROR(__xludf.DUMMYFUNCTION("""COMPUTED_VALUE"""),0.493)</f>
        <v>0.493</v>
      </c>
      <c r="W121" s="280">
        <f>IFERROR(__xludf.DUMMYFUNCTION("""COMPUTED_VALUE"""),0.791)</f>
        <v>0.791</v>
      </c>
      <c r="X121" s="280">
        <f>IFERROR(__xludf.DUMMYFUNCTION("""COMPUTED_VALUE"""),0.7)</f>
        <v>0.7</v>
      </c>
      <c r="Y121" s="283">
        <f>IFERROR(__xludf.DUMMYFUNCTION("""COMPUTED_VALUE"""),-1.3850080286671036)</f>
        <v>-1.385008029</v>
      </c>
      <c r="Z121" s="281">
        <f>IFERROR(__xludf.DUMMYFUNCTION("""COMPUTED_VALUE"""),0.34932369858753)</f>
        <v>0.3493236986</v>
      </c>
      <c r="AA121" s="281">
        <f>IFERROR(__xludf.DUMMYFUNCTION("""COMPUTED_VALUE"""),0.24756775948409707)</f>
        <v>0.2475677595</v>
      </c>
      <c r="AB121" s="281">
        <f>IFERROR(__xludf.DUMMYFUNCTION("""COMPUTED_VALUE"""),-0.42634954706274036)</f>
        <v>-0.4263495471</v>
      </c>
      <c r="AC121" s="281">
        <f>IFERROR(__xludf.DUMMYFUNCTION("""COMPUTED_VALUE"""),-1.2485944449972455)</f>
        <v>-1.248594445</v>
      </c>
      <c r="AD121" s="281">
        <f>IFERROR(__xludf.DUMMYFUNCTION("""COMPUTED_VALUE"""),0.45484486947200414)</f>
        <v>0.4548448695</v>
      </c>
      <c r="AE121" s="281">
        <f>IFERROR(__xludf.DUMMYFUNCTION("""COMPUTED_VALUE"""),-0.03365738254199538)</f>
        <v>-0.03365738254</v>
      </c>
      <c r="AF121" s="281">
        <f>IFERROR(__xludf.DUMMYFUNCTION("""COMPUTED_VALUE"""),-0.005544313342588894)</f>
        <v>-0.005544313343</v>
      </c>
      <c r="AG121" s="281">
        <f>IFERROR(__xludf.DUMMYFUNCTION("""COMPUTED_VALUE"""),0.26005059865151336)</f>
        <v>0.2600505987</v>
      </c>
      <c r="AH121" s="285"/>
      <c r="AI121" s="273"/>
      <c r="AJ121" s="340"/>
      <c r="AK121" s="341"/>
      <c r="AL121" s="273"/>
      <c r="AM121" s="273"/>
      <c r="AN121" s="273"/>
      <c r="AO121" s="273"/>
      <c r="AP121" s="273"/>
      <c r="AQ121" s="273"/>
      <c r="AR121" s="273"/>
      <c r="AS121" s="273"/>
      <c r="AT121" s="273"/>
      <c r="AU121" s="273"/>
      <c r="AV121" s="273"/>
      <c r="AW121" s="273"/>
      <c r="AX121" s="273"/>
      <c r="AY121" s="273"/>
      <c r="AZ121" s="273"/>
      <c r="BA121" s="273"/>
      <c r="BB121" s="273"/>
      <c r="BC121" s="273"/>
      <c r="BD121" s="273"/>
      <c r="BE121" s="273"/>
      <c r="BF121" s="273"/>
      <c r="BG121" s="273"/>
      <c r="BH121" s="273"/>
      <c r="BI121" s="273"/>
      <c r="BJ121" s="273"/>
      <c r="BK121" s="273"/>
      <c r="BL121" s="273"/>
      <c r="BM121" s="273"/>
      <c r="BN121" s="273"/>
      <c r="BO121" s="273"/>
      <c r="BP121" s="273"/>
      <c r="BQ121" s="273"/>
      <c r="BR121" s="273"/>
      <c r="BS121" s="273"/>
      <c r="BT121" s="273"/>
      <c r="BU121" s="273"/>
      <c r="BV121" s="273"/>
      <c r="BW121" s="273"/>
    </row>
    <row r="122">
      <c r="A122" s="276">
        <f>VLOOKUP($F122,UpdateHashtag!$V$3:$Y$32,COLUMN(B$15),0)</f>
        <v>4</v>
      </c>
      <c r="B122" s="259">
        <f>VLOOKUP($F122,UpdateHashtag!$V$3:$Y$32,COLUMN(C$13),0)</f>
        <v>4</v>
      </c>
      <c r="C122" s="259">
        <f>VLOOKUP($F122,UpdateHashtag!$V$3:$Y$32,COLUMN(D$13),0)</f>
        <v>4</v>
      </c>
      <c r="D122" s="277">
        <f t="shared" si="4"/>
        <v>12</v>
      </c>
      <c r="E122" s="21"/>
      <c r="F122" s="261" t="str">
        <f>VLOOKUP(J122,UpdateBBM!$C$2:E1015,3,0)</f>
        <v>UTA</v>
      </c>
      <c r="G122" s="248">
        <v>103.0</v>
      </c>
      <c r="H122" s="278">
        <f>IFERROR(__xludf.DUMMYFUNCTION("""COMPUTED_VALUE"""),103.0)</f>
        <v>103</v>
      </c>
      <c r="I122" s="278">
        <f>IFERROR(__xludf.DUMMYFUNCTION("""COMPUTED_VALUE"""),93.2)</f>
        <v>93.2</v>
      </c>
      <c r="J122" s="279" t="str">
        <f>IFERROR(__xludf.DUMMYFUNCTION("""COMPUTED_VALUE"""),"Walker Kessler")</f>
        <v>Walker Kessler</v>
      </c>
      <c r="K122" s="278">
        <f>IFERROR(__xludf.DUMMYFUNCTION("""COMPUTED_VALUE"""),65.0)</f>
        <v>65</v>
      </c>
      <c r="L122" s="280" t="str">
        <f>IFERROR(__xludf.DUMMYFUNCTION("""COMPUTED_VALUE"""),"C")</f>
        <v>C</v>
      </c>
      <c r="M122" s="281">
        <f>IFERROR(__xludf.DUMMYFUNCTION("""COMPUTED_VALUE"""),-0.41607353391850066)</f>
        <v>-0.4160735339</v>
      </c>
      <c r="N122" s="281">
        <f>IFERROR(__xludf.DUMMYFUNCTION("""COMPUTED_VALUE"""),-0.41607353391850066)</f>
        <v>-0.4160735339</v>
      </c>
      <c r="O122" s="282">
        <f>IFERROR(__xludf.DUMMYFUNCTION("""COMPUTED_VALUE"""),0.0)</f>
        <v>0</v>
      </c>
      <c r="P122" s="283">
        <f>IFERROR(__xludf.DUMMYFUNCTION("""COMPUTED_VALUE"""),9.5)</f>
        <v>9.5</v>
      </c>
      <c r="Q122" s="283">
        <f>IFERROR(__xludf.DUMMYFUNCTION("""COMPUTED_VALUE"""),0.0)</f>
        <v>0</v>
      </c>
      <c r="R122" s="283">
        <f>IFERROR(__xludf.DUMMYFUNCTION("""COMPUTED_VALUE"""),8.7)</f>
        <v>8.7</v>
      </c>
      <c r="S122" s="284">
        <f>IFERROR(__xludf.DUMMYFUNCTION("""COMPUTED_VALUE"""),1.0)</f>
        <v>1</v>
      </c>
      <c r="T122" s="283">
        <f>IFERROR(__xludf.DUMMYFUNCTION("""COMPUTED_VALUE"""),0.4)</f>
        <v>0.4</v>
      </c>
      <c r="U122" s="283">
        <f>IFERROR(__xludf.DUMMYFUNCTION("""COMPUTED_VALUE"""),2.5)</f>
        <v>2.5</v>
      </c>
      <c r="V122" s="280">
        <f>IFERROR(__xludf.DUMMYFUNCTION("""COMPUTED_VALUE"""),0.662)</f>
        <v>0.662</v>
      </c>
      <c r="W122" s="280">
        <f>IFERROR(__xludf.DUMMYFUNCTION("""COMPUTED_VALUE"""),0.577)</f>
        <v>0.577</v>
      </c>
      <c r="X122" s="280">
        <f>IFERROR(__xludf.DUMMYFUNCTION("""COMPUTED_VALUE"""),1.0)</f>
        <v>1</v>
      </c>
      <c r="Y122" s="283">
        <f>IFERROR(__xludf.DUMMYFUNCTION("""COMPUTED_VALUE"""),-1.4392024345569023)</f>
        <v>-1.439202435</v>
      </c>
      <c r="Z122" s="281">
        <f>IFERROR(__xludf.DUMMYFUNCTION("""COMPUTED_VALUE"""),-1.7406865810748415)</f>
        <v>-1.740686581</v>
      </c>
      <c r="AA122" s="281">
        <f>IFERROR(__xludf.DUMMYFUNCTION("""COMPUTED_VALUE"""),1.0320951819835393)</f>
        <v>1.032095182</v>
      </c>
      <c r="AB122" s="281">
        <f>IFERROR(__xludf.DUMMYFUNCTION("""COMPUTED_VALUE"""),-1.3375849555053994)</f>
        <v>-1.337584956</v>
      </c>
      <c r="AC122" s="281">
        <f>IFERROR(__xludf.DUMMYFUNCTION("""COMPUTED_VALUE"""),-1.912459801316204)</f>
        <v>-1.912459801</v>
      </c>
      <c r="AD122" s="281">
        <f>IFERROR(__xludf.DUMMYFUNCTION("""COMPUTED_VALUE"""),3.1307504002618494)</f>
        <v>3.1307504</v>
      </c>
      <c r="AE122" s="281">
        <f>IFERROR(__xludf.DUMMYFUNCTION("""COMPUTED_VALUE"""),1.219175115116964)</f>
        <v>1.219175115</v>
      </c>
      <c r="AF122" s="281">
        <f>IFERROR(__xludf.DUMMYFUNCTION("""COMPUTED_VALUE"""),-1.4662762183672633)</f>
        <v>-1.466276218</v>
      </c>
      <c r="AG122" s="281">
        <f>IFERROR(__xludf.DUMMYFUNCTION("""COMPUTED_VALUE"""),0.18565595822355335)</f>
        <v>0.1856559582</v>
      </c>
      <c r="AH122" s="285"/>
      <c r="AI122" s="273"/>
      <c r="AJ122" s="340"/>
      <c r="AK122" s="341"/>
      <c r="AL122" s="273"/>
      <c r="AM122" s="273"/>
      <c r="AN122" s="273"/>
      <c r="AO122" s="273"/>
      <c r="AP122" s="273"/>
      <c r="AQ122" s="273"/>
      <c r="AR122" s="273"/>
      <c r="AS122" s="273"/>
      <c r="AT122" s="273"/>
      <c r="AU122" s="273"/>
      <c r="AV122" s="273"/>
      <c r="AW122" s="273"/>
      <c r="AX122" s="273"/>
      <c r="AY122" s="273"/>
      <c r="AZ122" s="273"/>
      <c r="BA122" s="273"/>
      <c r="BB122" s="273"/>
      <c r="BC122" s="273"/>
      <c r="BD122" s="273"/>
      <c r="BE122" s="273"/>
      <c r="BF122" s="273"/>
      <c r="BG122" s="273"/>
      <c r="BH122" s="273"/>
      <c r="BI122" s="273"/>
      <c r="BJ122" s="273"/>
      <c r="BK122" s="273"/>
      <c r="BL122" s="273"/>
      <c r="BM122" s="273"/>
      <c r="BN122" s="273"/>
      <c r="BO122" s="273"/>
      <c r="BP122" s="273"/>
      <c r="BQ122" s="273"/>
      <c r="BR122" s="273"/>
      <c r="BS122" s="273"/>
      <c r="BT122" s="273"/>
      <c r="BU122" s="273"/>
      <c r="BV122" s="273"/>
      <c r="BW122" s="273"/>
    </row>
    <row r="123">
      <c r="A123" s="259" t="str">
        <f>VLOOKUP($F123,UpdateHashtag!$V$3:$Y$32,COLUMN(B$15),0)</f>
        <v>#N/A</v>
      </c>
      <c r="B123" s="259" t="str">
        <f>VLOOKUP($F123,UpdateHashtag!$V$3:$Y$32,COLUMN(C$13),0)</f>
        <v>#N/A</v>
      </c>
      <c r="C123" s="259" t="str">
        <f>VLOOKUP($F123,UpdateHashtag!$V$3:$Y$32,COLUMN(D$13),0)</f>
        <v>#N/A</v>
      </c>
      <c r="D123" s="329" t="str">
        <f t="shared" si="4"/>
        <v>#N/A</v>
      </c>
      <c r="E123" s="21"/>
      <c r="F123" s="261" t="str">
        <f>VLOOKUP(J123,UpdateBBM!$C$2:E1015,3,0)</f>
        <v>#N/A</v>
      </c>
      <c r="G123" s="248">
        <v>104.0</v>
      </c>
      <c r="H123" s="278">
        <f>IFERROR(__xludf.DUMMYFUNCTION("""COMPUTED_VALUE"""),104.0)</f>
        <v>104</v>
      </c>
      <c r="I123" s="278">
        <f>IFERROR(__xludf.DUMMYFUNCTION("""COMPUTED_VALUE"""),86.9)</f>
        <v>86.9</v>
      </c>
      <c r="J123" s="279" t="str">
        <f>IFERROR(__xludf.DUMMYFUNCTION("""COMPUTED_VALUE"""),"CJ McCollum")</f>
        <v>CJ McCollum</v>
      </c>
      <c r="K123" s="278">
        <f>IFERROR(__xludf.DUMMYFUNCTION("""COMPUTED_VALUE"""),71.0)</f>
        <v>71</v>
      </c>
      <c r="L123" s="280" t="str">
        <f>IFERROR(__xludf.DUMMYFUNCTION("""COMPUTED_VALUE"""),"PG,SG")</f>
        <v>PG,SG</v>
      </c>
      <c r="M123" s="281">
        <f>IFERROR(__xludf.DUMMYFUNCTION("""COMPUTED_VALUE"""),-0.4391806021234307)</f>
        <v>-0.4391806021</v>
      </c>
      <c r="N123" s="281">
        <f>IFERROR(__xludf.DUMMYFUNCTION("""COMPUTED_VALUE"""),-0.4391806021234307)</f>
        <v>-0.4391806021</v>
      </c>
      <c r="O123" s="282">
        <f>IFERROR(__xludf.DUMMYFUNCTION("""COMPUTED_VALUE"""),0.0)</f>
        <v>0</v>
      </c>
      <c r="P123" s="283">
        <f>IFERROR(__xludf.DUMMYFUNCTION("""COMPUTED_VALUE"""),18.3)</f>
        <v>18.3</v>
      </c>
      <c r="Q123" s="283">
        <f>IFERROR(__xludf.DUMMYFUNCTION("""COMPUTED_VALUE"""),2.8)</f>
        <v>2.8</v>
      </c>
      <c r="R123" s="283">
        <f>IFERROR(__xludf.DUMMYFUNCTION("""COMPUTED_VALUE"""),3.9)</f>
        <v>3.9</v>
      </c>
      <c r="S123" s="284">
        <f>IFERROR(__xludf.DUMMYFUNCTION("""COMPUTED_VALUE"""),4.1)</f>
        <v>4.1</v>
      </c>
      <c r="T123" s="283">
        <f>IFERROR(__xludf.DUMMYFUNCTION("""COMPUTED_VALUE"""),0.8)</f>
        <v>0.8</v>
      </c>
      <c r="U123" s="283">
        <f>IFERROR(__xludf.DUMMYFUNCTION("""COMPUTED_VALUE"""),0.5)</f>
        <v>0.5</v>
      </c>
      <c r="V123" s="280">
        <f>IFERROR(__xludf.DUMMYFUNCTION("""COMPUTED_VALUE"""),0.451)</f>
        <v>0.451</v>
      </c>
      <c r="W123" s="280">
        <f>IFERROR(__xludf.DUMMYFUNCTION("""COMPUTED_VALUE"""),0.814)</f>
        <v>0.814</v>
      </c>
      <c r="X123" s="280">
        <f>IFERROR(__xludf.DUMMYFUNCTION("""COMPUTED_VALUE"""),1.9)</f>
        <v>1.9</v>
      </c>
      <c r="Y123" s="283">
        <f>IFERROR(__xludf.DUMMYFUNCTION("""COMPUTED_VALUE"""),0.1505001382105265)</f>
        <v>0.1505001382</v>
      </c>
      <c r="Z123" s="281">
        <f>IFERROR(__xludf.DUMMYFUNCTION("""COMPUTED_VALUE"""),1.0459937918083202)</f>
        <v>1.045993792</v>
      </c>
      <c r="AA123" s="281">
        <f>IFERROR(__xludf.DUMMYFUNCTION("""COMPUTED_VALUE"""),-0.8507706320151226)</f>
        <v>-0.850770632</v>
      </c>
      <c r="AB123" s="281">
        <f>IFERROR(__xludf.DUMMYFUNCTION("""COMPUTED_VALUE"""),0.07482992758072192)</f>
        <v>0.07482992758</v>
      </c>
      <c r="AC123" s="281">
        <f>IFERROR(__xludf.DUMMYFUNCTION("""COMPUTED_VALUE"""),-0.5847290886782864)</f>
        <v>-0.5847290887</v>
      </c>
      <c r="AD123" s="281">
        <f>IFERROR(__xludf.DUMMYFUNCTION("""COMPUTED_VALUE"""),-0.4371236407912776)</f>
        <v>-0.4371236408</v>
      </c>
      <c r="AE123" s="281">
        <f>IFERROR(__xludf.DUMMYFUNCTION("""COMPUTED_VALUE"""),-0.8065849999456005)</f>
        <v>-0.8065849999</v>
      </c>
      <c r="AF123" s="281">
        <f>IFERROR(__xludf.DUMMYFUNCTION("""COMPUTED_VALUE"""),0.1554612327524918)</f>
        <v>0.1554612328</v>
      </c>
      <c r="AG123" s="281">
        <f>IFERROR(__xludf.DUMMYFUNCTION("""COMPUTED_VALUE"""),-0.037527963060326526)</f>
        <v>-0.03752796306</v>
      </c>
      <c r="AH123" s="285"/>
      <c r="AI123" s="273"/>
      <c r="AJ123" s="340"/>
      <c r="AK123" s="341"/>
      <c r="AL123" s="273"/>
      <c r="AM123" s="273"/>
      <c r="AN123" s="273"/>
      <c r="AO123" s="273"/>
      <c r="AP123" s="273"/>
      <c r="AQ123" s="273"/>
      <c r="AR123" s="273"/>
      <c r="AS123" s="273"/>
      <c r="AT123" s="273"/>
      <c r="AU123" s="273"/>
      <c r="AV123" s="273"/>
      <c r="AW123" s="273"/>
      <c r="AX123" s="273"/>
      <c r="AY123" s="273"/>
      <c r="AZ123" s="273"/>
      <c r="BA123" s="273"/>
      <c r="BB123" s="273"/>
      <c r="BC123" s="273"/>
      <c r="BD123" s="273"/>
      <c r="BE123" s="273"/>
      <c r="BF123" s="273"/>
      <c r="BG123" s="273"/>
      <c r="BH123" s="273"/>
      <c r="BI123" s="273"/>
      <c r="BJ123" s="273"/>
      <c r="BK123" s="273"/>
      <c r="BL123" s="273"/>
      <c r="BM123" s="273"/>
      <c r="BN123" s="273"/>
      <c r="BO123" s="273"/>
      <c r="BP123" s="273"/>
      <c r="BQ123" s="273"/>
      <c r="BR123" s="273"/>
      <c r="BS123" s="273"/>
      <c r="BT123" s="273"/>
      <c r="BU123" s="273"/>
      <c r="BV123" s="273"/>
      <c r="BW123" s="273"/>
    </row>
    <row r="124">
      <c r="A124" s="276">
        <f>VLOOKUP($F124,UpdateHashtag!$V$3:$Y$32,COLUMN(B$15),0)</f>
        <v>4</v>
      </c>
      <c r="B124" s="259">
        <f>VLOOKUP($F124,UpdateHashtag!$V$3:$Y$32,COLUMN(C$13),0)</f>
        <v>3</v>
      </c>
      <c r="C124" s="259">
        <f>VLOOKUP($F124,UpdateHashtag!$V$3:$Y$32,COLUMN(D$13),0)</f>
        <v>4</v>
      </c>
      <c r="D124" s="277">
        <f t="shared" si="4"/>
        <v>11</v>
      </c>
      <c r="E124" s="21"/>
      <c r="F124" s="261" t="str">
        <f>VLOOKUP(J124,UpdateBBM!$C$2:E1015,3,0)</f>
        <v>SAC</v>
      </c>
      <c r="G124" s="248">
        <v>105.0</v>
      </c>
      <c r="H124" s="278">
        <f>IFERROR(__xludf.DUMMYFUNCTION("""COMPUTED_VALUE"""),105.0)</f>
        <v>105</v>
      </c>
      <c r="I124" s="278">
        <f>IFERROR(__xludf.DUMMYFUNCTION("""COMPUTED_VALUE"""),146.3)</f>
        <v>146.3</v>
      </c>
      <c r="J124" s="279" t="str">
        <f>IFERROR(__xludf.DUMMYFUNCTION("""COMPUTED_VALUE"""),"Keon Ellis")</f>
        <v>Keon Ellis</v>
      </c>
      <c r="K124" s="278">
        <f>IFERROR(__xludf.DUMMYFUNCTION("""COMPUTED_VALUE"""),43.0)</f>
        <v>43</v>
      </c>
      <c r="L124" s="280" t="str">
        <f>IFERROR(__xludf.DUMMYFUNCTION("""COMPUTED_VALUE"""),"SG,SF")</f>
        <v>SG,SF</v>
      </c>
      <c r="M124" s="281">
        <f>IFERROR(__xludf.DUMMYFUNCTION("""COMPUTED_VALUE"""),-0.46345991929425123)</f>
        <v>-0.4634599193</v>
      </c>
      <c r="N124" s="281">
        <f>IFERROR(__xludf.DUMMYFUNCTION("""COMPUTED_VALUE"""),-0.46345991929425123)</f>
        <v>-0.4634599193</v>
      </c>
      <c r="O124" s="282">
        <f>IFERROR(__xludf.DUMMYFUNCTION("""COMPUTED_VALUE"""),0.0)</f>
        <v>0</v>
      </c>
      <c r="P124" s="283">
        <f>IFERROR(__xludf.DUMMYFUNCTION("""COMPUTED_VALUE"""),8.4)</f>
        <v>8.4</v>
      </c>
      <c r="Q124" s="283">
        <f>IFERROR(__xludf.DUMMYFUNCTION("""COMPUTED_VALUE"""),1.9)</f>
        <v>1.9</v>
      </c>
      <c r="R124" s="283">
        <f>IFERROR(__xludf.DUMMYFUNCTION("""COMPUTED_VALUE"""),3.3)</f>
        <v>3.3</v>
      </c>
      <c r="S124" s="284">
        <f>IFERROR(__xludf.DUMMYFUNCTION("""COMPUTED_VALUE"""),2.3)</f>
        <v>2.3</v>
      </c>
      <c r="T124" s="283">
        <f>IFERROR(__xludf.DUMMYFUNCTION("""COMPUTED_VALUE"""),1.4)</f>
        <v>1.4</v>
      </c>
      <c r="U124" s="283">
        <f>IFERROR(__xludf.DUMMYFUNCTION("""COMPUTED_VALUE"""),0.8)</f>
        <v>0.8</v>
      </c>
      <c r="V124" s="280">
        <f>IFERROR(__xludf.DUMMYFUNCTION("""COMPUTED_VALUE"""),0.461)</f>
        <v>0.461</v>
      </c>
      <c r="W124" s="280">
        <f>IFERROR(__xludf.DUMMYFUNCTION("""COMPUTED_VALUE"""),0.735)</f>
        <v>0.735</v>
      </c>
      <c r="X124" s="280">
        <f>IFERROR(__xludf.DUMMYFUNCTION("""COMPUTED_VALUE"""),1.0)</f>
        <v>1</v>
      </c>
      <c r="Y124" s="283">
        <f>IFERROR(__xludf.DUMMYFUNCTION("""COMPUTED_VALUE"""),-1.637915256152831)</f>
        <v>-1.637915256</v>
      </c>
      <c r="Z124" s="281">
        <f>IFERROR(__xludf.DUMMYFUNCTION("""COMPUTED_VALUE"""),0.15027510052444681)</f>
        <v>0.1502751005</v>
      </c>
      <c r="AA124" s="281">
        <f>IFERROR(__xludf.DUMMYFUNCTION("""COMPUTED_VALUE"""),-1.0861288587649554)</f>
        <v>-1.086128859</v>
      </c>
      <c r="AB124" s="281">
        <f>IFERROR(__xludf.DUMMYFUNCTION("""COMPUTED_VALUE"""),-0.745281940017671)</f>
        <v>-0.74528194</v>
      </c>
      <c r="AC124" s="281">
        <f>IFERROR(__xludf.DUMMYFUNCTION("""COMPUTED_VALUE"""),1.4068669802785894)</f>
        <v>1.40686698</v>
      </c>
      <c r="AD124" s="281">
        <f>IFERROR(__xludf.DUMMYFUNCTION("""COMPUTED_VALUE"""),0.09805746536669153)</f>
        <v>0.09805746537</v>
      </c>
      <c r="AE124" s="281">
        <f>IFERROR(__xludf.DUMMYFUNCTION("""COMPUTED_VALUE"""),-0.2607244099708684)</f>
        <v>-0.26072441</v>
      </c>
      <c r="AF124" s="281">
        <f>IFERROR(__xludf.DUMMYFUNCTION("""COMPUTED_VALUE"""),-0.21218021493403777)</f>
        <v>-0.2121802149</v>
      </c>
      <c r="AG124" s="281">
        <f>IFERROR(__xludf.DUMMYFUNCTION("""COMPUTED_VALUE"""),0.18565595822355335)</f>
        <v>0.1856559582</v>
      </c>
      <c r="AH124" s="285"/>
      <c r="AI124" s="273"/>
      <c r="AJ124" s="340"/>
      <c r="AK124" s="341"/>
      <c r="AL124" s="273"/>
      <c r="AM124" s="273"/>
      <c r="AN124" s="273"/>
      <c r="AO124" s="273"/>
      <c r="AP124" s="273"/>
      <c r="AQ124" s="273"/>
      <c r="AR124" s="273"/>
      <c r="AS124" s="273"/>
      <c r="AT124" s="273"/>
      <c r="AU124" s="273"/>
      <c r="AV124" s="273"/>
      <c r="AW124" s="273"/>
      <c r="AX124" s="273"/>
      <c r="AY124" s="273"/>
      <c r="AZ124" s="273"/>
      <c r="BA124" s="273"/>
      <c r="BB124" s="273"/>
      <c r="BC124" s="273"/>
      <c r="BD124" s="273"/>
      <c r="BE124" s="273"/>
      <c r="BF124" s="273"/>
      <c r="BG124" s="273"/>
      <c r="BH124" s="273"/>
      <c r="BI124" s="273"/>
      <c r="BJ124" s="273"/>
      <c r="BK124" s="273"/>
      <c r="BL124" s="273"/>
      <c r="BM124" s="273"/>
      <c r="BN124" s="273"/>
      <c r="BO124" s="273"/>
      <c r="BP124" s="273"/>
      <c r="BQ124" s="273"/>
      <c r="BR124" s="273"/>
      <c r="BS124" s="273"/>
      <c r="BT124" s="273"/>
      <c r="BU124" s="273"/>
      <c r="BV124" s="273"/>
      <c r="BW124" s="273"/>
    </row>
    <row r="125">
      <c r="A125" s="276">
        <f>VLOOKUP($F125,UpdateHashtag!$V$3:$Y$32,COLUMN(B$15),0)</f>
        <v>4</v>
      </c>
      <c r="B125" s="259">
        <f>VLOOKUP($F125,UpdateHashtag!$V$3:$Y$32,COLUMN(C$13),0)</f>
        <v>4</v>
      </c>
      <c r="C125" s="259">
        <f>VLOOKUP($F125,UpdateHashtag!$V$3:$Y$32,COLUMN(D$13),0)</f>
        <v>4</v>
      </c>
      <c r="D125" s="277">
        <f t="shared" si="4"/>
        <v>12</v>
      </c>
      <c r="E125" s="21"/>
      <c r="F125" s="261" t="str">
        <f>VLOOKUP(J125,UpdateBBM!$C$2:E1015,3,0)</f>
        <v>MIA</v>
      </c>
      <c r="G125" s="248">
        <v>106.0</v>
      </c>
      <c r="H125" s="278">
        <f>IFERROR(__xludf.DUMMYFUNCTION("""COMPUTED_VALUE"""),106.0)</f>
        <v>106</v>
      </c>
      <c r="I125" s="278">
        <f>IFERROR(__xludf.DUMMYFUNCTION("""COMPUTED_VALUE"""),105.4)</f>
        <v>105.4</v>
      </c>
      <c r="J125" s="279" t="str">
        <f>IFERROR(__xludf.DUMMYFUNCTION("""COMPUTED_VALUE"""),"Terry Rozier")</f>
        <v>Terry Rozier</v>
      </c>
      <c r="K125" s="278">
        <f>IFERROR(__xludf.DUMMYFUNCTION("""COMPUTED_VALUE"""),66.0)</f>
        <v>66</v>
      </c>
      <c r="L125" s="280" t="str">
        <f>IFERROR(__xludf.DUMMYFUNCTION("""COMPUTED_VALUE"""),"PG")</f>
        <v>PG</v>
      </c>
      <c r="M125" s="281">
        <f>IFERROR(__xludf.DUMMYFUNCTION("""COMPUTED_VALUE"""),-0.478766583823764)</f>
        <v>-0.4787665838</v>
      </c>
      <c r="N125" s="281">
        <f>IFERROR(__xludf.DUMMYFUNCTION("""COMPUTED_VALUE"""),-0.478766583823764)</f>
        <v>-0.4787665838</v>
      </c>
      <c r="O125" s="282">
        <f>IFERROR(__xludf.DUMMYFUNCTION("""COMPUTED_VALUE"""),0.0)</f>
        <v>0</v>
      </c>
      <c r="P125" s="283">
        <f>IFERROR(__xludf.DUMMYFUNCTION("""COMPUTED_VALUE"""),17.7)</f>
        <v>17.7</v>
      </c>
      <c r="Q125" s="283">
        <f>IFERROR(__xludf.DUMMYFUNCTION("""COMPUTED_VALUE"""),2.2)</f>
        <v>2.2</v>
      </c>
      <c r="R125" s="283">
        <f>IFERROR(__xludf.DUMMYFUNCTION("""COMPUTED_VALUE"""),3.5)</f>
        <v>3.5</v>
      </c>
      <c r="S125" s="284">
        <f>IFERROR(__xludf.DUMMYFUNCTION("""COMPUTED_VALUE"""),4.5)</f>
        <v>4.5</v>
      </c>
      <c r="T125" s="283">
        <f>IFERROR(__xludf.DUMMYFUNCTION("""COMPUTED_VALUE"""),1.0)</f>
        <v>1</v>
      </c>
      <c r="U125" s="283">
        <f>IFERROR(__xludf.DUMMYFUNCTION("""COMPUTED_VALUE"""),0.3)</f>
        <v>0.3</v>
      </c>
      <c r="V125" s="280">
        <f>IFERROR(__xludf.DUMMYFUNCTION("""COMPUTED_VALUE"""),0.435)</f>
        <v>0.435</v>
      </c>
      <c r="W125" s="280">
        <f>IFERROR(__xludf.DUMMYFUNCTION("""COMPUTED_VALUE"""),0.842)</f>
        <v>0.842</v>
      </c>
      <c r="X125" s="280">
        <f>IFERROR(__xludf.DUMMYFUNCTION("""COMPUTED_VALUE"""),1.7)</f>
        <v>1.7</v>
      </c>
      <c r="Y125" s="283">
        <f>IFERROR(__xludf.DUMMYFUNCTION("""COMPUTED_VALUE"""),0.04211132643092882)</f>
        <v>0.04211132643</v>
      </c>
      <c r="Z125" s="281">
        <f>IFERROR(__xludf.DUMMYFUNCTION("""COMPUTED_VALUE"""),0.44884799761907157)</f>
        <v>0.4488479976</v>
      </c>
      <c r="AA125" s="281">
        <f>IFERROR(__xludf.DUMMYFUNCTION("""COMPUTED_VALUE"""),-1.007676116515011)</f>
        <v>-1.007676117</v>
      </c>
      <c r="AB125" s="281">
        <f>IFERROR(__xludf.DUMMYFUNCTION("""COMPUTED_VALUE"""),0.25707700926925386)</f>
        <v>0.2570770093</v>
      </c>
      <c r="AC125" s="281">
        <f>IFERROR(__xludf.DUMMYFUNCTION("""COMPUTED_VALUE"""),0.07913626764067216)</f>
        <v>0.07913626764</v>
      </c>
      <c r="AD125" s="281">
        <f>IFERROR(__xludf.DUMMYFUNCTION("""COMPUTED_VALUE"""),-0.7939110448965904)</f>
        <v>-0.7939110449</v>
      </c>
      <c r="AE125" s="281">
        <f>IFERROR(__xludf.DUMMYFUNCTION("""COMPUTED_VALUE"""),-1.087865219326168)</f>
        <v>-1.087865219</v>
      </c>
      <c r="AF125" s="281">
        <f>IFERROR(__xludf.DUMMYFUNCTION("""COMPUTED_VALUE"""),0.48357951273626404)</f>
        <v>0.4835795127</v>
      </c>
      <c r="AG125" s="281">
        <f>IFERROR(__xludf.DUMMYFUNCTION("""COMPUTED_VALUE"""),0.012068463891646777)</f>
        <v>0.01206846389</v>
      </c>
      <c r="AH125" s="285"/>
      <c r="AI125" s="273"/>
      <c r="AJ125" s="340"/>
      <c r="AK125" s="341"/>
      <c r="AL125" s="273"/>
      <c r="AM125" s="273"/>
      <c r="AN125" s="273"/>
      <c r="AO125" s="273"/>
      <c r="AP125" s="273"/>
      <c r="AQ125" s="273"/>
      <c r="AR125" s="273"/>
      <c r="AS125" s="273"/>
      <c r="AT125" s="273"/>
      <c r="AU125" s="273"/>
      <c r="AV125" s="273"/>
      <c r="AW125" s="273"/>
      <c r="AX125" s="273"/>
      <c r="AY125" s="273"/>
      <c r="AZ125" s="273"/>
      <c r="BA125" s="273"/>
      <c r="BB125" s="273"/>
      <c r="BC125" s="273"/>
      <c r="BD125" s="273"/>
      <c r="BE125" s="273"/>
      <c r="BF125" s="273"/>
      <c r="BG125" s="273"/>
      <c r="BH125" s="273"/>
      <c r="BI125" s="273"/>
      <c r="BJ125" s="273"/>
      <c r="BK125" s="273"/>
      <c r="BL125" s="273"/>
      <c r="BM125" s="273"/>
      <c r="BN125" s="273"/>
      <c r="BO125" s="273"/>
      <c r="BP125" s="273"/>
      <c r="BQ125" s="273"/>
      <c r="BR125" s="273"/>
      <c r="BS125" s="273"/>
      <c r="BT125" s="273"/>
      <c r="BU125" s="273"/>
      <c r="BV125" s="273"/>
      <c r="BW125" s="273"/>
    </row>
    <row r="126">
      <c r="A126" s="276">
        <f>VLOOKUP($F126,UpdateHashtag!$V$3:$Y$32,COLUMN(B$15),0)</f>
        <v>4</v>
      </c>
      <c r="B126" s="259">
        <f>VLOOKUP($F126,UpdateHashtag!$V$3:$Y$32,COLUMN(C$13),0)</f>
        <v>4</v>
      </c>
      <c r="C126" s="259">
        <f>VLOOKUP($F126,UpdateHashtag!$V$3:$Y$32,COLUMN(D$13),0)</f>
        <v>4</v>
      </c>
      <c r="D126" s="277">
        <f t="shared" si="4"/>
        <v>12</v>
      </c>
      <c r="E126" s="21"/>
      <c r="F126" s="261" t="str">
        <f>VLOOKUP(J126,UpdateBBM!$C$2:E1015,3,0)</f>
        <v>LAC</v>
      </c>
      <c r="G126" s="248">
        <v>107.0</v>
      </c>
      <c r="H126" s="278">
        <f>IFERROR(__xludf.DUMMYFUNCTION("""COMPUTED_VALUE"""),107.0)</f>
        <v>107</v>
      </c>
      <c r="I126" s="278">
        <f>IFERROR(__xludf.DUMMYFUNCTION("""COMPUTED_VALUE"""),76.9)</f>
        <v>76.9</v>
      </c>
      <c r="J126" s="279" t="str">
        <f>IFERROR(__xludf.DUMMYFUNCTION("""COMPUTED_VALUE"""),"Brook Lopez")</f>
        <v>Brook Lopez</v>
      </c>
      <c r="K126" s="278">
        <f>IFERROR(__xludf.DUMMYFUNCTION("""COMPUTED_VALUE"""),66.0)</f>
        <v>66</v>
      </c>
      <c r="L126" s="280" t="str">
        <f>IFERROR(__xludf.DUMMYFUNCTION("""COMPUTED_VALUE"""),"C")</f>
        <v>C</v>
      </c>
      <c r="M126" s="281">
        <f>IFERROR(__xludf.DUMMYFUNCTION("""COMPUTED_VALUE"""),-0.5469646132653434)</f>
        <v>-0.5469646133</v>
      </c>
      <c r="N126" s="281">
        <f>IFERROR(__xludf.DUMMYFUNCTION("""COMPUTED_VALUE"""),-0.5469646132653434)</f>
        <v>-0.5469646133</v>
      </c>
      <c r="O126" s="282">
        <f>IFERROR(__xludf.DUMMYFUNCTION("""COMPUTED_VALUE"""),0.0)</f>
        <v>0</v>
      </c>
      <c r="P126" s="283">
        <f>IFERROR(__xludf.DUMMYFUNCTION("""COMPUTED_VALUE"""),11.7)</f>
        <v>11.7</v>
      </c>
      <c r="Q126" s="283">
        <f>IFERROR(__xludf.DUMMYFUNCTION("""COMPUTED_VALUE"""),1.7)</f>
        <v>1.7</v>
      </c>
      <c r="R126" s="283">
        <f>IFERROR(__xludf.DUMMYFUNCTION("""COMPUTED_VALUE"""),4.9)</f>
        <v>4.9</v>
      </c>
      <c r="S126" s="284">
        <f>IFERROR(__xludf.DUMMYFUNCTION("""COMPUTED_VALUE"""),1.3)</f>
        <v>1.3</v>
      </c>
      <c r="T126" s="283">
        <f>IFERROR(__xludf.DUMMYFUNCTION("""COMPUTED_VALUE"""),0.5)</f>
        <v>0.5</v>
      </c>
      <c r="U126" s="283">
        <f>IFERROR(__xludf.DUMMYFUNCTION("""COMPUTED_VALUE"""),2.0)</f>
        <v>2</v>
      </c>
      <c r="V126" s="280">
        <f>IFERROR(__xludf.DUMMYFUNCTION("""COMPUTED_VALUE"""),0.471)</f>
        <v>0.471</v>
      </c>
      <c r="W126" s="280">
        <f>IFERROR(__xludf.DUMMYFUNCTION("""COMPUTED_VALUE"""),0.803)</f>
        <v>0.803</v>
      </c>
      <c r="X126" s="280">
        <f>IFERROR(__xludf.DUMMYFUNCTION("""COMPUTED_VALUE"""),1.0)</f>
        <v>1</v>
      </c>
      <c r="Y126" s="283">
        <f>IFERROR(__xludf.DUMMYFUNCTION("""COMPUTED_VALUE"""),-1.0417767913650453)</f>
        <v>-1.041776791</v>
      </c>
      <c r="Z126" s="281">
        <f>IFERROR(__xludf.DUMMYFUNCTION("""COMPUTED_VALUE"""),-0.04877349753863613)</f>
        <v>-0.04877349754</v>
      </c>
      <c r="AA126" s="281">
        <f>IFERROR(__xludf.DUMMYFUNCTION("""COMPUTED_VALUE"""),-0.4585069207654011)</f>
        <v>-0.4585069208</v>
      </c>
      <c r="AB126" s="281">
        <f>IFERROR(__xludf.DUMMYFUNCTION("""COMPUTED_VALUE"""),-1.2008996442390003)</f>
        <v>-1.200899644</v>
      </c>
      <c r="AC126" s="281">
        <f>IFERROR(__xludf.DUMMYFUNCTION("""COMPUTED_VALUE"""),-1.5805271231567248)</f>
        <v>-1.580527123</v>
      </c>
      <c r="AD126" s="281">
        <f>IFERROR(__xludf.DUMMYFUNCTION("""COMPUTED_VALUE"""),2.2387818899985676)</f>
        <v>2.23878189</v>
      </c>
      <c r="AE126" s="281">
        <f>IFERROR(__xludf.DUMMYFUNCTION("""COMPUTED_VALUE"""),-0.2729908354319355)</f>
        <v>-0.2729908354</v>
      </c>
      <c r="AF126" s="281">
        <f>IFERROR(__xludf.DUMMYFUNCTION("""COMPUTED_VALUE"""),0.051545227852553825)</f>
        <v>0.05154522785</v>
      </c>
      <c r="AG126" s="281">
        <f>IFERROR(__xludf.DUMMYFUNCTION("""COMPUTED_VALUE"""),0.18565595822355335)</f>
        <v>0.1856559582</v>
      </c>
      <c r="AH126" s="285"/>
      <c r="AI126" s="273"/>
      <c r="AJ126" s="340"/>
      <c r="AK126" s="341"/>
      <c r="AL126" s="273"/>
      <c r="AM126" s="273"/>
      <c r="AN126" s="273"/>
      <c r="AO126" s="273"/>
      <c r="AP126" s="273"/>
      <c r="AQ126" s="273"/>
      <c r="AR126" s="273"/>
      <c r="AS126" s="273"/>
      <c r="AT126" s="273"/>
      <c r="AU126" s="273"/>
      <c r="AV126" s="273"/>
      <c r="AW126" s="273"/>
      <c r="AX126" s="273"/>
      <c r="AY126" s="273"/>
      <c r="AZ126" s="273"/>
      <c r="BA126" s="273"/>
      <c r="BB126" s="273"/>
      <c r="BC126" s="273"/>
      <c r="BD126" s="273"/>
      <c r="BE126" s="273"/>
      <c r="BF126" s="273"/>
      <c r="BG126" s="273"/>
      <c r="BH126" s="273"/>
      <c r="BI126" s="273"/>
      <c r="BJ126" s="273"/>
      <c r="BK126" s="273"/>
      <c r="BL126" s="273"/>
      <c r="BM126" s="273"/>
      <c r="BN126" s="273"/>
      <c r="BO126" s="273"/>
      <c r="BP126" s="273"/>
      <c r="BQ126" s="273"/>
      <c r="BR126" s="273"/>
      <c r="BS126" s="273"/>
      <c r="BT126" s="273"/>
      <c r="BU126" s="273"/>
      <c r="BV126" s="273"/>
      <c r="BW126" s="273"/>
    </row>
    <row r="127">
      <c r="A127" s="276">
        <f>VLOOKUP($F127,UpdateHashtag!$V$3:$Y$32,COLUMN(B$15),0)</f>
        <v>4</v>
      </c>
      <c r="B127" s="259">
        <f>VLOOKUP($F127,UpdateHashtag!$V$3:$Y$32,COLUMN(C$13),0)</f>
        <v>4</v>
      </c>
      <c r="C127" s="259">
        <f>VLOOKUP($F127,UpdateHashtag!$V$3:$Y$32,COLUMN(D$13),0)</f>
        <v>4</v>
      </c>
      <c r="D127" s="277">
        <f t="shared" si="4"/>
        <v>12</v>
      </c>
      <c r="E127" s="21"/>
      <c r="F127" s="261" t="str">
        <f>VLOOKUP(J127,UpdateBBM!$C$2:E1015,3,0)</f>
        <v>LAC</v>
      </c>
      <c r="G127" s="248">
        <v>108.0</v>
      </c>
      <c r="H127" s="278">
        <f>IFERROR(__xludf.DUMMYFUNCTION("""COMPUTED_VALUE"""),108.0)</f>
        <v>108</v>
      </c>
      <c r="I127" s="278">
        <f>IFERROR(__xludf.DUMMYFUNCTION("""COMPUTED_VALUE"""),103.8)</f>
        <v>103.8</v>
      </c>
      <c r="J127" s="279" t="str">
        <f>IFERROR(__xludf.DUMMYFUNCTION("""COMPUTED_VALUE"""),"Chris Paul")</f>
        <v>Chris Paul</v>
      </c>
      <c r="K127" s="278">
        <f>IFERROR(__xludf.DUMMYFUNCTION("""COMPUTED_VALUE"""),66.0)</f>
        <v>66</v>
      </c>
      <c r="L127" s="280" t="str">
        <f>IFERROR(__xludf.DUMMYFUNCTION("""COMPUTED_VALUE"""),"PG")</f>
        <v>PG</v>
      </c>
      <c r="M127" s="281">
        <f>IFERROR(__xludf.DUMMYFUNCTION("""COMPUTED_VALUE"""),-0.5663615779958193)</f>
        <v>-0.566361578</v>
      </c>
      <c r="N127" s="281">
        <f>IFERROR(__xludf.DUMMYFUNCTION("""COMPUTED_VALUE"""),-0.5663615779958193)</f>
        <v>-0.566361578</v>
      </c>
      <c r="O127" s="282">
        <f>IFERROR(__xludf.DUMMYFUNCTION("""COMPUTED_VALUE"""),0.0)</f>
        <v>0</v>
      </c>
      <c r="P127" s="283">
        <f>IFERROR(__xludf.DUMMYFUNCTION("""COMPUTED_VALUE"""),10.2)</f>
        <v>10.2</v>
      </c>
      <c r="Q127" s="283">
        <f>IFERROR(__xludf.DUMMYFUNCTION("""COMPUTED_VALUE"""),1.3)</f>
        <v>1.3</v>
      </c>
      <c r="R127" s="283">
        <f>IFERROR(__xludf.DUMMYFUNCTION("""COMPUTED_VALUE"""),3.6)</f>
        <v>3.6</v>
      </c>
      <c r="S127" s="284">
        <f>IFERROR(__xludf.DUMMYFUNCTION("""COMPUTED_VALUE"""),6.9)</f>
        <v>6.9</v>
      </c>
      <c r="T127" s="283">
        <f>IFERROR(__xludf.DUMMYFUNCTION("""COMPUTED_VALUE"""),1.2)</f>
        <v>1.2</v>
      </c>
      <c r="U127" s="283">
        <f>IFERROR(__xludf.DUMMYFUNCTION("""COMPUTED_VALUE"""),0.2)</f>
        <v>0.2</v>
      </c>
      <c r="V127" s="280">
        <f>IFERROR(__xludf.DUMMYFUNCTION("""COMPUTED_VALUE"""),0.441)</f>
        <v>0.441</v>
      </c>
      <c r="W127" s="280">
        <f>IFERROR(__xludf.DUMMYFUNCTION("""COMPUTED_VALUE"""),0.831)</f>
        <v>0.831</v>
      </c>
      <c r="X127" s="280">
        <f>IFERROR(__xludf.DUMMYFUNCTION("""COMPUTED_VALUE"""),1.4)</f>
        <v>1.4</v>
      </c>
      <c r="Y127" s="283">
        <f>IFERROR(__xludf.DUMMYFUNCTION("""COMPUTED_VALUE"""),-1.3127488208140388)</f>
        <v>-1.312748821</v>
      </c>
      <c r="Z127" s="281">
        <f>IFERROR(__xludf.DUMMYFUNCTION("""COMPUTED_VALUE"""),-0.44687069366480203)</f>
        <v>-0.4468706937</v>
      </c>
      <c r="AA127" s="281">
        <f>IFERROR(__xludf.DUMMYFUNCTION("""COMPUTED_VALUE"""),-0.9684497453900388)</f>
        <v>-0.9684497454</v>
      </c>
      <c r="AB127" s="281">
        <f>IFERROR(__xludf.DUMMYFUNCTION("""COMPUTED_VALUE"""),1.3505594994004448)</f>
        <v>1.350559499</v>
      </c>
      <c r="AC127" s="281">
        <f>IFERROR(__xludf.DUMMYFUNCTION("""COMPUTED_VALUE"""),0.7430016239596308)</f>
        <v>0.743001624</v>
      </c>
      <c r="AD127" s="281">
        <f>IFERROR(__xludf.DUMMYFUNCTION("""COMPUTED_VALUE"""),-0.9723047469492465)</f>
        <v>-0.9723047469</v>
      </c>
      <c r="AE127" s="281">
        <f>IFERROR(__xludf.DUMMYFUNCTION("""COMPUTED_VALUE"""),-0.5632341452468476)</f>
        <v>-0.5632341452</v>
      </c>
      <c r="AF127" s="281">
        <f>IFERROR(__xludf.DUMMYFUNCTION("""COMPUTED_VALUE"""),0.20447352557543297)</f>
        <v>0.2044735256</v>
      </c>
      <c r="AG127" s="281">
        <f>IFERROR(__xludf.DUMMYFUNCTION("""COMPUTED_VALUE"""),0.08646310431960676)</f>
        <v>0.08646310432</v>
      </c>
      <c r="AH127" s="285"/>
      <c r="AI127" s="273"/>
      <c r="AJ127" s="340"/>
      <c r="AK127" s="341"/>
      <c r="AL127" s="273"/>
      <c r="AM127" s="273"/>
      <c r="AN127" s="273"/>
      <c r="AO127" s="273"/>
      <c r="AP127" s="273"/>
      <c r="AQ127" s="273"/>
      <c r="AR127" s="273"/>
      <c r="AS127" s="273"/>
      <c r="AT127" s="273"/>
      <c r="AU127" s="273"/>
      <c r="AV127" s="273"/>
      <c r="AW127" s="273"/>
      <c r="AX127" s="273"/>
      <c r="AY127" s="273"/>
      <c r="AZ127" s="273"/>
      <c r="BA127" s="273"/>
      <c r="BB127" s="273"/>
      <c r="BC127" s="273"/>
      <c r="BD127" s="273"/>
      <c r="BE127" s="273"/>
      <c r="BF127" s="273"/>
      <c r="BG127" s="273"/>
      <c r="BH127" s="273"/>
      <c r="BI127" s="273"/>
      <c r="BJ127" s="273"/>
      <c r="BK127" s="273"/>
      <c r="BL127" s="273"/>
      <c r="BM127" s="273"/>
      <c r="BN127" s="273"/>
      <c r="BO127" s="273"/>
      <c r="BP127" s="273"/>
      <c r="BQ127" s="273"/>
      <c r="BR127" s="273"/>
      <c r="BS127" s="273"/>
      <c r="BT127" s="273"/>
      <c r="BU127" s="273"/>
      <c r="BV127" s="273"/>
      <c r="BW127" s="273"/>
    </row>
    <row r="128">
      <c r="A128" s="276">
        <f>VLOOKUP($F128,UpdateHashtag!$V$3:$Y$32,COLUMN(B$15),0)</f>
        <v>4</v>
      </c>
      <c r="B128" s="259">
        <f>VLOOKUP($F128,UpdateHashtag!$V$3:$Y$32,COLUMN(C$13),0)</f>
        <v>3</v>
      </c>
      <c r="C128" s="259">
        <f>VLOOKUP($F128,UpdateHashtag!$V$3:$Y$32,COLUMN(D$13),0)</f>
        <v>3</v>
      </c>
      <c r="D128" s="277">
        <f t="shared" si="4"/>
        <v>10</v>
      </c>
      <c r="E128" s="21"/>
      <c r="F128" s="261" t="str">
        <f>VLOOKUP(J128,UpdateBBM!$C$2:E1015,3,0)</f>
        <v>MIN</v>
      </c>
      <c r="G128" s="248">
        <v>109.0</v>
      </c>
      <c r="H128" s="278">
        <f>IFERROR(__xludf.DUMMYFUNCTION("""COMPUTED_VALUE"""),109.0)</f>
        <v>109</v>
      </c>
      <c r="I128" s="278">
        <f>IFERROR(__xludf.DUMMYFUNCTION("""COMPUTED_VALUE"""),110.3)</f>
        <v>110.3</v>
      </c>
      <c r="J128" s="279" t="str">
        <f>IFERROR(__xludf.DUMMYFUNCTION("""COMPUTED_VALUE"""),"Donte DiVincenzo")</f>
        <v>Donte DiVincenzo</v>
      </c>
      <c r="K128" s="278">
        <f>IFERROR(__xludf.DUMMYFUNCTION("""COMPUTED_VALUE"""),53.0)</f>
        <v>53</v>
      </c>
      <c r="L128" s="280" t="str">
        <f>IFERROR(__xludf.DUMMYFUNCTION("""COMPUTED_VALUE"""),"SG,SF")</f>
        <v>SG,SF</v>
      </c>
      <c r="M128" s="281">
        <f>IFERROR(__xludf.DUMMYFUNCTION("""COMPUTED_VALUE"""),-0.6270068065687882)</f>
        <v>-0.6270068066</v>
      </c>
      <c r="N128" s="281">
        <f>IFERROR(__xludf.DUMMYFUNCTION("""COMPUTED_VALUE"""),-0.6270068065687882)</f>
        <v>-0.6270068066</v>
      </c>
      <c r="O128" s="282">
        <f>IFERROR(__xludf.DUMMYFUNCTION("""COMPUTED_VALUE"""),0.0)</f>
        <v>0</v>
      </c>
      <c r="P128" s="283">
        <f>IFERROR(__xludf.DUMMYFUNCTION("""COMPUTED_VALUE"""),12.7)</f>
        <v>12.7</v>
      </c>
      <c r="Q128" s="283">
        <f>IFERROR(__xludf.DUMMYFUNCTION("""COMPUTED_VALUE"""),2.7)</f>
        <v>2.7</v>
      </c>
      <c r="R128" s="283">
        <f>IFERROR(__xludf.DUMMYFUNCTION("""COMPUTED_VALUE"""),3.9)</f>
        <v>3.9</v>
      </c>
      <c r="S128" s="284">
        <f>IFERROR(__xludf.DUMMYFUNCTION("""COMPUTED_VALUE"""),3.0)</f>
        <v>3</v>
      </c>
      <c r="T128" s="283">
        <f>IFERROR(__xludf.DUMMYFUNCTION("""COMPUTED_VALUE"""),1.3)</f>
        <v>1.3</v>
      </c>
      <c r="U128" s="283">
        <f>IFERROR(__xludf.DUMMYFUNCTION("""COMPUTED_VALUE"""),0.3)</f>
        <v>0.3</v>
      </c>
      <c r="V128" s="280">
        <f>IFERROR(__xludf.DUMMYFUNCTION("""COMPUTED_VALUE"""),0.444)</f>
        <v>0.444</v>
      </c>
      <c r="W128" s="280">
        <f>IFERROR(__xludf.DUMMYFUNCTION("""COMPUTED_VALUE"""),0.786)</f>
        <v>0.786</v>
      </c>
      <c r="X128" s="280">
        <f>IFERROR(__xludf.DUMMYFUNCTION("""COMPUTED_VALUE"""),1.4)</f>
        <v>1.4</v>
      </c>
      <c r="Y128" s="283">
        <f>IFERROR(__xludf.DUMMYFUNCTION("""COMPUTED_VALUE"""),-0.861128771732383)</f>
        <v>-0.8611287717</v>
      </c>
      <c r="Z128" s="281">
        <f>IFERROR(__xludf.DUMMYFUNCTION("""COMPUTED_VALUE"""),0.946469492776779)</f>
        <v>0.9464694928</v>
      </c>
      <c r="AA128" s="281">
        <f>IFERROR(__xludf.DUMMYFUNCTION("""COMPUTED_VALUE"""),-0.8507706320151226)</f>
        <v>-0.850770632</v>
      </c>
      <c r="AB128" s="281">
        <f>IFERROR(__xludf.DUMMYFUNCTION("""COMPUTED_VALUE"""),-0.42634954706274036)</f>
        <v>-0.4263495471</v>
      </c>
      <c r="AC128" s="281">
        <f>IFERROR(__xludf.DUMMYFUNCTION("""COMPUTED_VALUE"""),1.0749343021191105)</f>
        <v>1.074934302</v>
      </c>
      <c r="AD128" s="281">
        <f>IFERROR(__xludf.DUMMYFUNCTION("""COMPUTED_VALUE"""),-0.7939110448965904)</f>
        <v>-0.7939110449</v>
      </c>
      <c r="AE128" s="281">
        <f>IFERROR(__xludf.DUMMYFUNCTION("""COMPUTED_VALUE"""),-0.6259610312558965)</f>
        <v>-0.6259610313</v>
      </c>
      <c r="AF128" s="281">
        <f>IFERROR(__xludf.DUMMYFUNCTION("""COMPUTED_VALUE"""),-0.037881450553934416)</f>
        <v>-0.03788145055</v>
      </c>
      <c r="AG128" s="281">
        <f>IFERROR(__xludf.DUMMYFUNCTION("""COMPUTED_VALUE"""),0.08646310431960676)</f>
        <v>0.08646310432</v>
      </c>
      <c r="AH128" s="285"/>
      <c r="AI128" s="273"/>
      <c r="AJ128" s="340"/>
      <c r="AK128" s="341"/>
      <c r="AL128" s="273"/>
      <c r="AM128" s="273"/>
      <c r="AN128" s="273"/>
      <c r="AO128" s="273"/>
      <c r="AP128" s="273"/>
      <c r="AQ128" s="273"/>
      <c r="AR128" s="273"/>
      <c r="AS128" s="273"/>
      <c r="AT128" s="273"/>
      <c r="AU128" s="273"/>
      <c r="AV128" s="273"/>
      <c r="AW128" s="273"/>
      <c r="AX128" s="273"/>
      <c r="AY128" s="273"/>
      <c r="AZ128" s="273"/>
      <c r="BA128" s="273"/>
      <c r="BB128" s="273"/>
      <c r="BC128" s="273"/>
      <c r="BD128" s="273"/>
      <c r="BE128" s="273"/>
      <c r="BF128" s="273"/>
      <c r="BG128" s="273"/>
      <c r="BH128" s="273"/>
      <c r="BI128" s="273"/>
      <c r="BJ128" s="273"/>
      <c r="BK128" s="273"/>
      <c r="BL128" s="273"/>
      <c r="BM128" s="273"/>
      <c r="BN128" s="273"/>
      <c r="BO128" s="273"/>
      <c r="BP128" s="273"/>
      <c r="BQ128" s="273"/>
      <c r="BR128" s="273"/>
      <c r="BS128" s="273"/>
      <c r="BT128" s="273"/>
      <c r="BU128" s="273"/>
      <c r="BV128" s="273"/>
      <c r="BW128" s="273"/>
    </row>
    <row r="129">
      <c r="A129" s="276">
        <f>VLOOKUP($F129,UpdateHashtag!$V$3:$Y$32,COLUMN(B$15),0)</f>
        <v>3</v>
      </c>
      <c r="B129" s="259">
        <f>VLOOKUP($F129,UpdateHashtag!$V$3:$Y$32,COLUMN(C$13),0)</f>
        <v>4</v>
      </c>
      <c r="C129" s="259">
        <f>VLOOKUP($F129,UpdateHashtag!$V$3:$Y$32,COLUMN(D$13),0)</f>
        <v>3</v>
      </c>
      <c r="D129" s="277">
        <f t="shared" si="4"/>
        <v>10</v>
      </c>
      <c r="E129" s="21"/>
      <c r="F129" s="261" t="str">
        <f>VLOOKUP(J129,UpdateBBM!$C$2:E1015,3,0)</f>
        <v>LAL</v>
      </c>
      <c r="G129" s="248">
        <v>110.0</v>
      </c>
      <c r="H129" s="278">
        <f>IFERROR(__xludf.DUMMYFUNCTION("""COMPUTED_VALUE"""),110.0)</f>
        <v>110</v>
      </c>
      <c r="I129" s="278">
        <f>IFERROR(__xludf.DUMMYFUNCTION("""COMPUTED_VALUE"""),130.7)</f>
        <v>130.7</v>
      </c>
      <c r="J129" s="279" t="str">
        <f>IFERROR(__xludf.DUMMYFUNCTION("""COMPUTED_VALUE"""),"Marcus Smart")</f>
        <v>Marcus Smart</v>
      </c>
      <c r="K129" s="278">
        <f>IFERROR(__xludf.DUMMYFUNCTION("""COMPUTED_VALUE"""),71.0)</f>
        <v>71</v>
      </c>
      <c r="L129" s="280" t="str">
        <f>IFERROR(__xludf.DUMMYFUNCTION("""COMPUTED_VALUE"""),"PG,SG")</f>
        <v>PG,SG</v>
      </c>
      <c r="M129" s="281">
        <f>IFERROR(__xludf.DUMMYFUNCTION("""COMPUTED_VALUE"""),-0.6351996026677842)</f>
        <v>-0.6351996027</v>
      </c>
      <c r="N129" s="281">
        <f>IFERROR(__xludf.DUMMYFUNCTION("""COMPUTED_VALUE"""),-0.6351996026677842)</f>
        <v>-0.6351996027</v>
      </c>
      <c r="O129" s="282">
        <f>IFERROR(__xludf.DUMMYFUNCTION("""COMPUTED_VALUE"""),0.0)</f>
        <v>0</v>
      </c>
      <c r="P129" s="283">
        <f>IFERROR(__xludf.DUMMYFUNCTION("""COMPUTED_VALUE"""),12.1)</f>
        <v>12.1</v>
      </c>
      <c r="Q129" s="283">
        <f>IFERROR(__xludf.DUMMYFUNCTION("""COMPUTED_VALUE"""),1.9)</f>
        <v>1.9</v>
      </c>
      <c r="R129" s="283">
        <f>IFERROR(__xludf.DUMMYFUNCTION("""COMPUTED_VALUE"""),3.0)</f>
        <v>3</v>
      </c>
      <c r="S129" s="284">
        <f>IFERROR(__xludf.DUMMYFUNCTION("""COMPUTED_VALUE"""),4.7)</f>
        <v>4.7</v>
      </c>
      <c r="T129" s="283">
        <f>IFERROR(__xludf.DUMMYFUNCTION("""COMPUTED_VALUE"""),1.6)</f>
        <v>1.6</v>
      </c>
      <c r="U129" s="283">
        <f>IFERROR(__xludf.DUMMYFUNCTION("""COMPUTED_VALUE"""),0.3)</f>
        <v>0.3</v>
      </c>
      <c r="V129" s="280">
        <f>IFERROR(__xludf.DUMMYFUNCTION("""COMPUTED_VALUE"""),0.42)</f>
        <v>0.42</v>
      </c>
      <c r="W129" s="280">
        <f>IFERROR(__xludf.DUMMYFUNCTION("""COMPUTED_VALUE"""),0.751)</f>
        <v>0.751</v>
      </c>
      <c r="X129" s="280">
        <f>IFERROR(__xludf.DUMMYFUNCTION("""COMPUTED_VALUE"""),2.5)</f>
        <v>2.5</v>
      </c>
      <c r="Y129" s="283">
        <f>IFERROR(__xludf.DUMMYFUNCTION("""COMPUTED_VALUE"""),-0.9695175835119804)</f>
        <v>-0.9695175835</v>
      </c>
      <c r="Z129" s="281">
        <f>IFERROR(__xludf.DUMMYFUNCTION("""COMPUTED_VALUE"""),0.15027510052444681)</f>
        <v>0.1502751005</v>
      </c>
      <c r="AA129" s="281">
        <f>IFERROR(__xludf.DUMMYFUNCTION("""COMPUTED_VALUE"""),-1.2038079721398716)</f>
        <v>-1.203807972</v>
      </c>
      <c r="AB129" s="281">
        <f>IFERROR(__xludf.DUMMYFUNCTION("""COMPUTED_VALUE"""),0.34820055011351986)</f>
        <v>0.3482005501</v>
      </c>
      <c r="AC129" s="281">
        <f>IFERROR(__xludf.DUMMYFUNCTION("""COMPUTED_VALUE"""),2.0707323365975485)</f>
        <v>2.070732337</v>
      </c>
      <c r="AD129" s="281">
        <f>IFERROR(__xludf.DUMMYFUNCTION("""COMPUTED_VALUE"""),-0.7939110448965904)</f>
        <v>-0.7939110449</v>
      </c>
      <c r="AE129" s="281">
        <f>IFERROR(__xludf.DUMMYFUNCTION("""COMPUTED_VALUE"""),-0.9280749251635424)</f>
        <v>-0.9280749252</v>
      </c>
      <c r="AF129" s="281">
        <f>IFERROR(__xludf.DUMMYFUNCTION("""COMPUTED_VALUE"""),-0.32658679241494)</f>
        <v>-0.3265867924</v>
      </c>
      <c r="AG129" s="281">
        <f>IFERROR(__xludf.DUMMYFUNCTION("""COMPUTED_VALUE"""),-0.1863172439162465)</f>
        <v>-0.1863172439</v>
      </c>
      <c r="AH129" s="285"/>
      <c r="AI129" s="273"/>
      <c r="AJ129" s="340"/>
      <c r="AK129" s="341"/>
      <c r="AL129" s="273"/>
      <c r="AM129" s="273"/>
      <c r="AN129" s="273"/>
      <c r="AO129" s="273"/>
      <c r="AP129" s="273"/>
      <c r="AQ129" s="273"/>
      <c r="AR129" s="273"/>
      <c r="AS129" s="273"/>
      <c r="AT129" s="273"/>
      <c r="AU129" s="273"/>
      <c r="AV129" s="273"/>
      <c r="AW129" s="273"/>
      <c r="AX129" s="273"/>
      <c r="AY129" s="273"/>
      <c r="AZ129" s="273"/>
      <c r="BA129" s="273"/>
      <c r="BB129" s="273"/>
      <c r="BC129" s="273"/>
      <c r="BD129" s="273"/>
      <c r="BE129" s="273"/>
      <c r="BF129" s="273"/>
      <c r="BG129" s="273"/>
      <c r="BH129" s="273"/>
      <c r="BI129" s="273"/>
      <c r="BJ129" s="273"/>
      <c r="BK129" s="273"/>
      <c r="BL129" s="273"/>
      <c r="BM129" s="273"/>
      <c r="BN129" s="273"/>
      <c r="BO129" s="273"/>
      <c r="BP129" s="273"/>
      <c r="BQ129" s="273"/>
      <c r="BR129" s="273"/>
      <c r="BS129" s="273"/>
      <c r="BT129" s="273"/>
      <c r="BU129" s="273"/>
      <c r="BV129" s="273"/>
      <c r="BW129" s="273"/>
    </row>
    <row r="130">
      <c r="A130" s="276">
        <f>VLOOKUP($F130,UpdateHashtag!$V$3:$Y$32,COLUMN(B$15),0)</f>
        <v>4</v>
      </c>
      <c r="B130" s="259">
        <f>VLOOKUP($F130,UpdateHashtag!$V$3:$Y$32,COLUMN(C$13),0)</f>
        <v>4</v>
      </c>
      <c r="C130" s="259">
        <f>VLOOKUP($F130,UpdateHashtag!$V$3:$Y$32,COLUMN(D$13),0)</f>
        <v>4</v>
      </c>
      <c r="D130" s="277">
        <f t="shared" si="4"/>
        <v>12</v>
      </c>
      <c r="E130" s="21"/>
      <c r="F130" s="261" t="str">
        <f>VLOOKUP(J130,UpdateBBM!$C$2:E1015,3,0)</f>
        <v>LAC</v>
      </c>
      <c r="G130" s="248">
        <v>111.0</v>
      </c>
      <c r="H130" s="278">
        <f>IFERROR(__xludf.DUMMYFUNCTION("""COMPUTED_VALUE"""),111.0)</f>
        <v>111</v>
      </c>
      <c r="I130" s="278">
        <f>IFERROR(__xludf.DUMMYFUNCTION("""COMPUTED_VALUE"""),91.6)</f>
        <v>91.6</v>
      </c>
      <c r="J130" s="279" t="str">
        <f>IFERROR(__xludf.DUMMYFUNCTION("""COMPUTED_VALUE"""),"Ivica Zubac")</f>
        <v>Ivica Zubac</v>
      </c>
      <c r="K130" s="278">
        <f>IFERROR(__xludf.DUMMYFUNCTION("""COMPUTED_VALUE"""),66.0)</f>
        <v>66</v>
      </c>
      <c r="L130" s="280" t="str">
        <f>IFERROR(__xludf.DUMMYFUNCTION("""COMPUTED_VALUE"""),"C")</f>
        <v>C</v>
      </c>
      <c r="M130" s="281">
        <f>IFERROR(__xludf.DUMMYFUNCTION("""COMPUTED_VALUE"""),-0.6631915037110361)</f>
        <v>-0.6631915037</v>
      </c>
      <c r="N130" s="281">
        <f>IFERROR(__xludf.DUMMYFUNCTION("""COMPUTED_VALUE"""),-0.6631915037110361)</f>
        <v>-0.6631915037</v>
      </c>
      <c r="O130" s="282">
        <f>IFERROR(__xludf.DUMMYFUNCTION("""COMPUTED_VALUE"""),0.0)</f>
        <v>0</v>
      </c>
      <c r="P130" s="283">
        <f>IFERROR(__xludf.DUMMYFUNCTION("""COMPUTED_VALUE"""),12.3)</f>
        <v>12.3</v>
      </c>
      <c r="Q130" s="283">
        <f>IFERROR(__xludf.DUMMYFUNCTION("""COMPUTED_VALUE"""),0.0)</f>
        <v>0</v>
      </c>
      <c r="R130" s="283">
        <f>IFERROR(__xludf.DUMMYFUNCTION("""COMPUTED_VALUE"""),10.1)</f>
        <v>10.1</v>
      </c>
      <c r="S130" s="284">
        <f>IFERROR(__xludf.DUMMYFUNCTION("""COMPUTED_VALUE"""),1.3)</f>
        <v>1.3</v>
      </c>
      <c r="T130" s="283">
        <f>IFERROR(__xludf.DUMMYFUNCTION("""COMPUTED_VALUE"""),0.4)</f>
        <v>0.4</v>
      </c>
      <c r="U130" s="283">
        <f>IFERROR(__xludf.DUMMYFUNCTION("""COMPUTED_VALUE"""),1.4)</f>
        <v>1.4</v>
      </c>
      <c r="V130" s="280">
        <f>IFERROR(__xludf.DUMMYFUNCTION("""COMPUTED_VALUE"""),0.642)</f>
        <v>0.642</v>
      </c>
      <c r="W130" s="280">
        <f>IFERROR(__xludf.DUMMYFUNCTION("""COMPUTED_VALUE"""),0.709)</f>
        <v>0.709</v>
      </c>
      <c r="X130" s="280">
        <f>IFERROR(__xludf.DUMMYFUNCTION("""COMPUTED_VALUE"""),1.5)</f>
        <v>1.5</v>
      </c>
      <c r="Y130" s="283">
        <f>IFERROR(__xludf.DUMMYFUNCTION("""COMPUTED_VALUE"""),-0.9333879795854476)</f>
        <v>-0.9333879796</v>
      </c>
      <c r="Z130" s="281">
        <f>IFERROR(__xludf.DUMMYFUNCTION("""COMPUTED_VALUE"""),-1.7406865810748415)</f>
        <v>-1.740686581</v>
      </c>
      <c r="AA130" s="281">
        <f>IFERROR(__xludf.DUMMYFUNCTION("""COMPUTED_VALUE"""),1.5812643777331492)</f>
        <v>1.581264378</v>
      </c>
      <c r="AB130" s="281">
        <f>IFERROR(__xludf.DUMMYFUNCTION("""COMPUTED_VALUE"""),-1.2008996442390003)</f>
        <v>-1.200899644</v>
      </c>
      <c r="AC130" s="281">
        <f>IFERROR(__xludf.DUMMYFUNCTION("""COMPUTED_VALUE"""),-1.912459801316204)</f>
        <v>-1.912459801</v>
      </c>
      <c r="AD130" s="281">
        <f>IFERROR(__xludf.DUMMYFUNCTION("""COMPUTED_VALUE"""),1.1684196776826294)</f>
        <v>1.168419678</v>
      </c>
      <c r="AE130" s="281">
        <f>IFERROR(__xludf.DUMMYFUNCTION("""COMPUTED_VALUE"""),1.3436307459592243)</f>
        <v>1.343630746</v>
      </c>
      <c r="AF130" s="281">
        <f>IFERROR(__xludf.DUMMYFUNCTION("""COMPUTED_VALUE"""),-0.9431969910303704)</f>
        <v>-0.943196991</v>
      </c>
      <c r="AG130" s="281">
        <f>IFERROR(__xludf.DUMMYFUNCTION("""COMPUTED_VALUE"""),0.06166489084362008)</f>
        <v>0.06166489084</v>
      </c>
      <c r="AH130" s="285"/>
      <c r="AI130" s="273"/>
      <c r="AJ130" s="340"/>
      <c r="AK130" s="341"/>
      <c r="AL130" s="273"/>
      <c r="AM130" s="273"/>
      <c r="AN130" s="273"/>
      <c r="AO130" s="273"/>
      <c r="AP130" s="273"/>
      <c r="AQ130" s="273"/>
      <c r="AR130" s="273"/>
      <c r="AS130" s="273"/>
      <c r="AT130" s="273"/>
      <c r="AU130" s="273"/>
      <c r="AV130" s="273"/>
      <c r="AW130" s="273"/>
      <c r="AX130" s="273"/>
      <c r="AY130" s="273"/>
      <c r="AZ130" s="273"/>
      <c r="BA130" s="273"/>
      <c r="BB130" s="273"/>
      <c r="BC130" s="273"/>
      <c r="BD130" s="273"/>
      <c r="BE130" s="273"/>
      <c r="BF130" s="273"/>
      <c r="BG130" s="273"/>
      <c r="BH130" s="273"/>
      <c r="BI130" s="273"/>
      <c r="BJ130" s="273"/>
      <c r="BK130" s="273"/>
      <c r="BL130" s="273"/>
      <c r="BM130" s="273"/>
      <c r="BN130" s="273"/>
      <c r="BO130" s="273"/>
      <c r="BP130" s="273"/>
      <c r="BQ130" s="273"/>
      <c r="BR130" s="273"/>
      <c r="BS130" s="273"/>
      <c r="BT130" s="273"/>
      <c r="BU130" s="273"/>
      <c r="BV130" s="273"/>
      <c r="BW130" s="273"/>
    </row>
    <row r="131">
      <c r="A131" s="276">
        <f>VLOOKUP($F131,UpdateHashtag!$V$3:$Y$32,COLUMN(B$15),0)</f>
        <v>4</v>
      </c>
      <c r="B131" s="259">
        <f>VLOOKUP($F131,UpdateHashtag!$V$3:$Y$32,COLUMN(C$13),0)</f>
        <v>4</v>
      </c>
      <c r="C131" s="259">
        <f>VLOOKUP($F131,UpdateHashtag!$V$3:$Y$32,COLUMN(D$13),0)</f>
        <v>2</v>
      </c>
      <c r="D131" s="277">
        <f t="shared" si="4"/>
        <v>10</v>
      </c>
      <c r="E131" s="21"/>
      <c r="F131" s="261" t="str">
        <f>VLOOKUP(J131,UpdateBBM!$C$2:E1015,3,0)</f>
        <v>DAL</v>
      </c>
      <c r="G131" s="248">
        <v>112.0</v>
      </c>
      <c r="H131" s="278">
        <f>IFERROR(__xludf.DUMMYFUNCTION("""COMPUTED_VALUE"""),112.0)</f>
        <v>112</v>
      </c>
      <c r="I131" s="278">
        <f>IFERROR(__xludf.DUMMYFUNCTION("""COMPUTED_VALUE"""),104.5)</f>
        <v>104.5</v>
      </c>
      <c r="J131" s="279" t="str">
        <f>IFERROR(__xludf.DUMMYFUNCTION("""COMPUTED_VALUE"""),"Daniel Gafford")</f>
        <v>Daniel Gafford</v>
      </c>
      <c r="K131" s="278">
        <f>IFERROR(__xludf.DUMMYFUNCTION("""COMPUTED_VALUE"""),66.0)</f>
        <v>66</v>
      </c>
      <c r="L131" s="280" t="str">
        <f>IFERROR(__xludf.DUMMYFUNCTION("""COMPUTED_VALUE"""),"PF,C")</f>
        <v>PF,C</v>
      </c>
      <c r="M131" s="281">
        <f>IFERROR(__xludf.DUMMYFUNCTION("""COMPUTED_VALUE"""),-0.6720351681593695)</f>
        <v>-0.6720351682</v>
      </c>
      <c r="N131" s="281">
        <f>IFERROR(__xludf.DUMMYFUNCTION("""COMPUTED_VALUE"""),-0.6720351681593695)</f>
        <v>-0.6720351682</v>
      </c>
      <c r="O131" s="282">
        <f>IFERROR(__xludf.DUMMYFUNCTION("""COMPUTED_VALUE"""),0.0)</f>
        <v>0</v>
      </c>
      <c r="P131" s="283">
        <f>IFERROR(__xludf.DUMMYFUNCTION("""COMPUTED_VALUE"""),10.3)</f>
        <v>10.3</v>
      </c>
      <c r="Q131" s="283">
        <f>IFERROR(__xludf.DUMMYFUNCTION("""COMPUTED_VALUE"""),0.0)</f>
        <v>0</v>
      </c>
      <c r="R131" s="283">
        <f>IFERROR(__xludf.DUMMYFUNCTION("""COMPUTED_VALUE"""),6.8)</f>
        <v>6.8</v>
      </c>
      <c r="S131" s="284">
        <f>IFERROR(__xludf.DUMMYFUNCTION("""COMPUTED_VALUE"""),1.4)</f>
        <v>1.4</v>
      </c>
      <c r="T131" s="283">
        <f>IFERROR(__xludf.DUMMYFUNCTION("""COMPUTED_VALUE"""),0.7)</f>
        <v>0.7</v>
      </c>
      <c r="U131" s="283">
        <f>IFERROR(__xludf.DUMMYFUNCTION("""COMPUTED_VALUE"""),1.7)</f>
        <v>1.7</v>
      </c>
      <c r="V131" s="280">
        <f>IFERROR(__xludf.DUMMYFUNCTION("""COMPUTED_VALUE"""),0.729)</f>
        <v>0.729</v>
      </c>
      <c r="W131" s="280">
        <f>IFERROR(__xludf.DUMMYFUNCTION("""COMPUTED_VALUE"""),0.675)</f>
        <v>0.675</v>
      </c>
      <c r="X131" s="280">
        <f>IFERROR(__xludf.DUMMYFUNCTION("""COMPUTED_VALUE"""),1.1)</f>
        <v>1.1</v>
      </c>
      <c r="Y131" s="283">
        <f>IFERROR(__xludf.DUMMYFUNCTION("""COMPUTED_VALUE"""),-1.2946840188507724)</f>
        <v>-1.294684019</v>
      </c>
      <c r="Z131" s="281">
        <f>IFERROR(__xludf.DUMMYFUNCTION("""COMPUTED_VALUE"""),-1.7406865810748415)</f>
        <v>-1.740686581</v>
      </c>
      <c r="AA131" s="281">
        <f>IFERROR(__xludf.DUMMYFUNCTION("""COMPUTED_VALUE"""),0.28679413060906905)</f>
        <v>0.2867941306</v>
      </c>
      <c r="AB131" s="281">
        <f>IFERROR(__xludf.DUMMYFUNCTION("""COMPUTED_VALUE"""),-1.1553378738168676)</f>
        <v>-1.155337874</v>
      </c>
      <c r="AC131" s="281">
        <f>IFERROR(__xludf.DUMMYFUNCTION("""COMPUTED_VALUE"""),-0.9166617668377661)</f>
        <v>-0.9166617668</v>
      </c>
      <c r="AD131" s="281">
        <f>IFERROR(__xludf.DUMMYFUNCTION("""COMPUTED_VALUE"""),1.7036007838405984)</f>
        <v>1.703600784</v>
      </c>
      <c r="AE131" s="281">
        <f>IFERROR(__xludf.DUMMYFUNCTION("""COMPUTED_VALUE"""),1.6050591326380894)</f>
        <v>1.605059133</v>
      </c>
      <c r="AF131" s="281">
        <f>IFERROR(__xludf.DUMMYFUNCTION("""COMPUTED_VALUE"""),-1.0616633004892868)</f>
        <v>-1.0616633</v>
      </c>
      <c r="AG131" s="281">
        <f>IFERROR(__xludf.DUMMYFUNCTION("""COMPUTED_VALUE"""),0.16085774474756667)</f>
        <v>0.1608577447</v>
      </c>
      <c r="AH131" s="285"/>
      <c r="AI131" s="273"/>
      <c r="AJ131" s="340"/>
      <c r="AK131" s="341"/>
      <c r="AL131" s="273"/>
      <c r="AM131" s="273"/>
      <c r="AN131" s="273"/>
      <c r="AO131" s="273"/>
      <c r="AP131" s="273"/>
      <c r="AQ131" s="273"/>
      <c r="AR131" s="273"/>
      <c r="AS131" s="273"/>
      <c r="AT131" s="273"/>
      <c r="AU131" s="273"/>
      <c r="AV131" s="273"/>
      <c r="AW131" s="273"/>
      <c r="AX131" s="273"/>
      <c r="AY131" s="273"/>
      <c r="AZ131" s="273"/>
      <c r="BA131" s="273"/>
      <c r="BB131" s="273"/>
      <c r="BC131" s="273"/>
      <c r="BD131" s="273"/>
      <c r="BE131" s="273"/>
      <c r="BF131" s="273"/>
      <c r="BG131" s="273"/>
      <c r="BH131" s="273"/>
      <c r="BI131" s="273"/>
      <c r="BJ131" s="273"/>
      <c r="BK131" s="273"/>
      <c r="BL131" s="273"/>
      <c r="BM131" s="273"/>
      <c r="BN131" s="273"/>
      <c r="BO131" s="273"/>
      <c r="BP131" s="273"/>
      <c r="BQ131" s="273"/>
      <c r="BR131" s="273"/>
      <c r="BS131" s="273"/>
      <c r="BT131" s="273"/>
      <c r="BU131" s="273"/>
      <c r="BV131" s="273"/>
      <c r="BW131" s="273"/>
    </row>
    <row r="132">
      <c r="A132" s="276">
        <f>VLOOKUP($F132,UpdateHashtag!$V$3:$Y$32,COLUMN(B$15),0)</f>
        <v>4</v>
      </c>
      <c r="B132" s="259">
        <f>VLOOKUP($F132,UpdateHashtag!$V$3:$Y$32,COLUMN(C$13),0)</f>
        <v>3</v>
      </c>
      <c r="C132" s="259">
        <f>VLOOKUP($F132,UpdateHashtag!$V$3:$Y$32,COLUMN(D$13),0)</f>
        <v>3</v>
      </c>
      <c r="D132" s="277">
        <f t="shared" si="4"/>
        <v>10</v>
      </c>
      <c r="E132" s="21"/>
      <c r="F132" s="261" t="str">
        <f>VLOOKUP(J132,UpdateBBM!$C$2:E1015,3,0)</f>
        <v>MIN</v>
      </c>
      <c r="G132" s="248">
        <v>113.0</v>
      </c>
      <c r="H132" s="278">
        <f>IFERROR(__xludf.DUMMYFUNCTION("""COMPUTED_VALUE"""),113.0)</f>
        <v>113</v>
      </c>
      <c r="I132" s="278">
        <f>IFERROR(__xludf.DUMMYFUNCTION("""COMPUTED_VALUE"""),63.6)</f>
        <v>63.6</v>
      </c>
      <c r="J132" s="279" t="str">
        <f>IFERROR(__xludf.DUMMYFUNCTION("""COMPUTED_VALUE"""),"Julius Randle")</f>
        <v>Julius Randle</v>
      </c>
      <c r="K132" s="278">
        <f>IFERROR(__xludf.DUMMYFUNCTION("""COMPUTED_VALUE"""),66.0)</f>
        <v>66</v>
      </c>
      <c r="L132" s="280" t="str">
        <f>IFERROR(__xludf.DUMMYFUNCTION("""COMPUTED_VALUE"""),"PF")</f>
        <v>PF</v>
      </c>
      <c r="M132" s="281">
        <f>IFERROR(__xludf.DUMMYFUNCTION("""COMPUTED_VALUE"""),-0.7233248156840717)</f>
        <v>-0.7233248157</v>
      </c>
      <c r="N132" s="281">
        <f>IFERROR(__xludf.DUMMYFUNCTION("""COMPUTED_VALUE"""),-0.7233248156840717)</f>
        <v>-0.7233248157</v>
      </c>
      <c r="O132" s="282">
        <f>IFERROR(__xludf.DUMMYFUNCTION("""COMPUTED_VALUE"""),0.0)</f>
        <v>0</v>
      </c>
      <c r="P132" s="283">
        <f>IFERROR(__xludf.DUMMYFUNCTION("""COMPUTED_VALUE"""),20.3)</f>
        <v>20.3</v>
      </c>
      <c r="Q132" s="283">
        <f>IFERROR(__xludf.DUMMYFUNCTION("""COMPUTED_VALUE"""),1.4)</f>
        <v>1.4</v>
      </c>
      <c r="R132" s="283">
        <f>IFERROR(__xludf.DUMMYFUNCTION("""COMPUTED_VALUE"""),8.5)</f>
        <v>8.5</v>
      </c>
      <c r="S132" s="284">
        <f>IFERROR(__xludf.DUMMYFUNCTION("""COMPUTED_VALUE"""),3.9)</f>
        <v>3.9</v>
      </c>
      <c r="T132" s="283">
        <f>IFERROR(__xludf.DUMMYFUNCTION("""COMPUTED_VALUE"""),0.5)</f>
        <v>0.5</v>
      </c>
      <c r="U132" s="283">
        <f>IFERROR(__xludf.DUMMYFUNCTION("""COMPUTED_VALUE"""),0.2)</f>
        <v>0.2</v>
      </c>
      <c r="V132" s="280">
        <f>IFERROR(__xludf.DUMMYFUNCTION("""COMPUTED_VALUE"""),0.477)</f>
        <v>0.477</v>
      </c>
      <c r="W132" s="280">
        <f>IFERROR(__xludf.DUMMYFUNCTION("""COMPUTED_VALUE"""),0.78)</f>
        <v>0.78</v>
      </c>
      <c r="X132" s="280">
        <f>IFERROR(__xludf.DUMMYFUNCTION("""COMPUTED_VALUE"""),2.6)</f>
        <v>2.6</v>
      </c>
      <c r="Y132" s="283">
        <f>IFERROR(__xludf.DUMMYFUNCTION("""COMPUTED_VALUE"""),0.5117961774758512)</f>
        <v>0.5117961775</v>
      </c>
      <c r="Z132" s="281">
        <f>IFERROR(__xludf.DUMMYFUNCTION("""COMPUTED_VALUE"""),-0.34734639463326067)</f>
        <v>-0.3473463946</v>
      </c>
      <c r="AA132" s="281">
        <f>IFERROR(__xludf.DUMMYFUNCTION("""COMPUTED_VALUE"""),0.9536424397335953)</f>
        <v>0.9536424397</v>
      </c>
      <c r="AB132" s="281">
        <f>IFERROR(__xludf.DUMMYFUNCTION("""COMPUTED_VALUE"""),-0.016293613263543852)</f>
        <v>-0.01629361326</v>
      </c>
      <c r="AC132" s="281">
        <f>IFERROR(__xludf.DUMMYFUNCTION("""COMPUTED_VALUE"""),-1.5805271231567248)</f>
        <v>-1.580527123</v>
      </c>
      <c r="AD132" s="281">
        <f>IFERROR(__xludf.DUMMYFUNCTION("""COMPUTED_VALUE"""),-0.9723047469492465)</f>
        <v>-0.9723047469</v>
      </c>
      <c r="AE132" s="281">
        <f>IFERROR(__xludf.DUMMYFUNCTION("""COMPUTED_VALUE"""),-0.3564947363212232)</f>
        <v>-0.3564947363</v>
      </c>
      <c r="AF132" s="281">
        <f>IFERROR(__xludf.DUMMYFUNCTION("""COMPUTED_VALUE"""),-0.2852084843340107)</f>
        <v>-0.2852084843</v>
      </c>
      <c r="AG132" s="281">
        <f>IFERROR(__xludf.DUMMYFUNCTION("""COMPUTED_VALUE"""),-0.21111545739223317)</f>
        <v>-0.2111154574</v>
      </c>
      <c r="AH132" s="285"/>
      <c r="AI132" s="273"/>
      <c r="AJ132" s="340"/>
      <c r="AK132" s="341"/>
      <c r="AL132" s="273"/>
      <c r="AM132" s="273"/>
      <c r="AN132" s="273"/>
      <c r="AO132" s="273"/>
      <c r="AP132" s="273"/>
      <c r="AQ132" s="273"/>
      <c r="AR132" s="273"/>
      <c r="AS132" s="273"/>
      <c r="AT132" s="273"/>
      <c r="AU132" s="273"/>
      <c r="AV132" s="273"/>
      <c r="AW132" s="273"/>
      <c r="AX132" s="273"/>
      <c r="AY132" s="273"/>
      <c r="AZ132" s="273"/>
      <c r="BA132" s="273"/>
      <c r="BB132" s="273"/>
      <c r="BC132" s="273"/>
      <c r="BD132" s="273"/>
      <c r="BE132" s="273"/>
      <c r="BF132" s="273"/>
      <c r="BG132" s="273"/>
      <c r="BH132" s="273"/>
      <c r="BI132" s="273"/>
      <c r="BJ132" s="273"/>
      <c r="BK132" s="273"/>
      <c r="BL132" s="273"/>
      <c r="BM132" s="273"/>
      <c r="BN132" s="273"/>
      <c r="BO132" s="273"/>
      <c r="BP132" s="273"/>
      <c r="BQ132" s="273"/>
      <c r="BR132" s="273"/>
      <c r="BS132" s="273"/>
      <c r="BT132" s="273"/>
      <c r="BU132" s="273"/>
      <c r="BV132" s="273"/>
      <c r="BW132" s="273"/>
    </row>
    <row r="133">
      <c r="A133" s="276">
        <f>VLOOKUP($F133,UpdateHashtag!$V$3:$Y$32,COLUMN(B$15),0)</f>
        <v>4</v>
      </c>
      <c r="B133" s="259">
        <f>VLOOKUP($F133,UpdateHashtag!$V$3:$Y$32,COLUMN(C$13),0)</f>
        <v>4</v>
      </c>
      <c r="C133" s="259">
        <f>VLOOKUP($F133,UpdateHashtag!$V$3:$Y$32,COLUMN(D$13),0)</f>
        <v>3</v>
      </c>
      <c r="D133" s="277">
        <f t="shared" si="4"/>
        <v>11</v>
      </c>
      <c r="E133" s="21"/>
      <c r="F133" s="261" t="str">
        <f>VLOOKUP(J133,UpdateBBM!$C$2:E1015,3,0)</f>
        <v>ATL</v>
      </c>
      <c r="G133" s="248">
        <v>114.0</v>
      </c>
      <c r="H133" s="278">
        <f>IFERROR(__xludf.DUMMYFUNCTION("""COMPUTED_VALUE"""),114.0)</f>
        <v>114</v>
      </c>
      <c r="I133" s="278">
        <f>IFERROR(__xludf.DUMMYFUNCTION("""COMPUTED_VALUE"""),117.6)</f>
        <v>117.6</v>
      </c>
      <c r="J133" s="279" t="str">
        <f>IFERROR(__xludf.DUMMYFUNCTION("""COMPUTED_VALUE"""),"Onyeka Okongwu")</f>
        <v>Onyeka Okongwu</v>
      </c>
      <c r="K133" s="278">
        <f>IFERROR(__xludf.DUMMYFUNCTION("""COMPUTED_VALUE"""),71.0)</f>
        <v>71</v>
      </c>
      <c r="L133" s="280" t="str">
        <f>IFERROR(__xludf.DUMMYFUNCTION("""COMPUTED_VALUE"""),"PF,C")</f>
        <v>PF,C</v>
      </c>
      <c r="M133" s="281">
        <f>IFERROR(__xludf.DUMMYFUNCTION("""COMPUTED_VALUE"""),-0.7686995666499936)</f>
        <v>-0.7686995666</v>
      </c>
      <c r="N133" s="281">
        <f>IFERROR(__xludf.DUMMYFUNCTION("""COMPUTED_VALUE"""),-0.7686995666499936)</f>
        <v>-0.7686995666</v>
      </c>
      <c r="O133" s="282">
        <f>IFERROR(__xludf.DUMMYFUNCTION("""COMPUTED_VALUE"""),0.0)</f>
        <v>0</v>
      </c>
      <c r="P133" s="283">
        <f>IFERROR(__xludf.DUMMYFUNCTION("""COMPUTED_VALUE"""),10.6)</f>
        <v>10.6</v>
      </c>
      <c r="Q133" s="283">
        <f>IFERROR(__xludf.DUMMYFUNCTION("""COMPUTED_VALUE"""),0.5)</f>
        <v>0.5</v>
      </c>
      <c r="R133" s="283">
        <f>IFERROR(__xludf.DUMMYFUNCTION("""COMPUTED_VALUE"""),7.6)</f>
        <v>7.6</v>
      </c>
      <c r="S133" s="284">
        <f>IFERROR(__xludf.DUMMYFUNCTION("""COMPUTED_VALUE"""),1.3)</f>
        <v>1.3</v>
      </c>
      <c r="T133" s="283">
        <f>IFERROR(__xludf.DUMMYFUNCTION("""COMPUTED_VALUE"""),0.7)</f>
        <v>0.7</v>
      </c>
      <c r="U133" s="283">
        <f>IFERROR(__xludf.DUMMYFUNCTION("""COMPUTED_VALUE"""),1.3)</f>
        <v>1.3</v>
      </c>
      <c r="V133" s="280">
        <f>IFERROR(__xludf.DUMMYFUNCTION("""COMPUTED_VALUE"""),0.617)</f>
        <v>0.617</v>
      </c>
      <c r="W133" s="280">
        <f>IFERROR(__xludf.DUMMYFUNCTION("""COMPUTED_VALUE"""),0.785)</f>
        <v>0.785</v>
      </c>
      <c r="X133" s="280">
        <f>IFERROR(__xludf.DUMMYFUNCTION("""COMPUTED_VALUE"""),1.1)</f>
        <v>1.1</v>
      </c>
      <c r="Y133" s="283">
        <f>IFERROR(__xludf.DUMMYFUNCTION("""COMPUTED_VALUE"""),-1.240489612960974)</f>
        <v>-1.240489613</v>
      </c>
      <c r="Z133" s="281">
        <f>IFERROR(__xludf.DUMMYFUNCTION("""COMPUTED_VALUE"""),-1.2430650859171342)</f>
        <v>-1.243065086</v>
      </c>
      <c r="AA133" s="281">
        <f>IFERROR(__xludf.DUMMYFUNCTION("""COMPUTED_VALUE"""),0.600605099608846)</f>
        <v>0.6006050996</v>
      </c>
      <c r="AB133" s="281">
        <f>IFERROR(__xludf.DUMMYFUNCTION("""COMPUTED_VALUE"""),-1.2008996442390003)</f>
        <v>-1.200899644</v>
      </c>
      <c r="AC133" s="281">
        <f>IFERROR(__xludf.DUMMYFUNCTION("""COMPUTED_VALUE"""),-0.9166617668377661)</f>
        <v>-0.9166617668</v>
      </c>
      <c r="AD133" s="281">
        <f>IFERROR(__xludf.DUMMYFUNCTION("""COMPUTED_VALUE"""),0.9900259756299733)</f>
        <v>0.9900259756</v>
      </c>
      <c r="AE133" s="281">
        <f>IFERROR(__xludf.DUMMYFUNCTION("""COMPUTED_VALUE"""),0.9291468014962244)</f>
        <v>0.9291468015</v>
      </c>
      <c r="AF133" s="281">
        <f>IFERROR(__xludf.DUMMYFUNCTION("""COMPUTED_VALUE"""),-0.09128416409486391)</f>
        <v>-0.09128416409</v>
      </c>
      <c r="AG133" s="281">
        <f>IFERROR(__xludf.DUMMYFUNCTION("""COMPUTED_VALUE"""),0.16085774474756667)</f>
        <v>0.1608577447</v>
      </c>
      <c r="AH133" s="285"/>
      <c r="AI133" s="273"/>
      <c r="AJ133" s="340"/>
      <c r="AK133" s="341"/>
      <c r="AL133" s="273"/>
      <c r="AM133" s="273"/>
      <c r="AN133" s="273"/>
      <c r="AO133" s="273"/>
      <c r="AP133" s="273"/>
      <c r="AQ133" s="273"/>
      <c r="AR133" s="273"/>
      <c r="AS133" s="273"/>
      <c r="AT133" s="273"/>
      <c r="AU133" s="273"/>
      <c r="AV133" s="273"/>
      <c r="AW133" s="273"/>
      <c r="AX133" s="273"/>
      <c r="AY133" s="273"/>
      <c r="AZ133" s="273"/>
      <c r="BA133" s="273"/>
      <c r="BB133" s="273"/>
      <c r="BC133" s="273"/>
      <c r="BD133" s="273"/>
      <c r="BE133" s="273"/>
      <c r="BF133" s="273"/>
      <c r="BG133" s="273"/>
      <c r="BH133" s="273"/>
      <c r="BI133" s="273"/>
      <c r="BJ133" s="273"/>
      <c r="BK133" s="273"/>
      <c r="BL133" s="273"/>
      <c r="BM133" s="273"/>
      <c r="BN133" s="273"/>
      <c r="BO133" s="273"/>
      <c r="BP133" s="273"/>
      <c r="BQ133" s="273"/>
      <c r="BR133" s="273"/>
      <c r="BS133" s="273"/>
      <c r="BT133" s="273"/>
      <c r="BU133" s="273"/>
      <c r="BV133" s="273"/>
      <c r="BW133" s="273"/>
    </row>
    <row r="134">
      <c r="A134" s="276">
        <f>VLOOKUP($F134,UpdateHashtag!$V$3:$Y$32,COLUMN(B$15),0)</f>
        <v>4</v>
      </c>
      <c r="B134" s="259">
        <f>VLOOKUP($F134,UpdateHashtag!$V$3:$Y$32,COLUMN(C$13),0)</f>
        <v>3</v>
      </c>
      <c r="C134" s="259">
        <f>VLOOKUP($F134,UpdateHashtag!$V$3:$Y$32,COLUMN(D$13),0)</f>
        <v>3</v>
      </c>
      <c r="D134" s="277">
        <f t="shared" si="4"/>
        <v>10</v>
      </c>
      <c r="E134" s="21"/>
      <c r="F134" s="261" t="str">
        <f>VLOOKUP(J134,UpdateBBM!$C$2:E1015,3,0)</f>
        <v>MIN</v>
      </c>
      <c r="G134" s="248">
        <v>115.0</v>
      </c>
      <c r="H134" s="278">
        <f>IFERROR(__xludf.DUMMYFUNCTION("""COMPUTED_VALUE"""),115.0)</f>
        <v>115</v>
      </c>
      <c r="I134" s="278">
        <f>IFERROR(__xludf.DUMMYFUNCTION("""COMPUTED_VALUE"""),96.4)</f>
        <v>96.4</v>
      </c>
      <c r="J134" s="279" t="str">
        <f>IFERROR(__xludf.DUMMYFUNCTION("""COMPUTED_VALUE"""),"Naz Reid")</f>
        <v>Naz Reid</v>
      </c>
      <c r="K134" s="278">
        <f>IFERROR(__xludf.DUMMYFUNCTION("""COMPUTED_VALUE"""),71.0)</f>
        <v>71</v>
      </c>
      <c r="L134" s="280" t="str">
        <f>IFERROR(__xludf.DUMMYFUNCTION("""COMPUTED_VALUE"""),"PF,C")</f>
        <v>PF,C</v>
      </c>
      <c r="M134" s="281">
        <f>IFERROR(__xludf.DUMMYFUNCTION("""COMPUTED_VALUE"""),-0.7924526544285861)</f>
        <v>-0.7924526544</v>
      </c>
      <c r="N134" s="281">
        <f>IFERROR(__xludf.DUMMYFUNCTION("""COMPUTED_VALUE"""),-0.7924526544285861)</f>
        <v>-0.7924526544</v>
      </c>
      <c r="O134" s="282">
        <f>IFERROR(__xludf.DUMMYFUNCTION("""COMPUTED_VALUE"""),0.0)</f>
        <v>0</v>
      </c>
      <c r="P134" s="283">
        <f>IFERROR(__xludf.DUMMYFUNCTION("""COMPUTED_VALUE"""),14.7)</f>
        <v>14.7</v>
      </c>
      <c r="Q134" s="283">
        <f>IFERROR(__xludf.DUMMYFUNCTION("""COMPUTED_VALUE"""),2.0)</f>
        <v>2</v>
      </c>
      <c r="R134" s="283">
        <f>IFERROR(__xludf.DUMMYFUNCTION("""COMPUTED_VALUE"""),6.2)</f>
        <v>6.2</v>
      </c>
      <c r="S134" s="284">
        <f>IFERROR(__xludf.DUMMYFUNCTION("""COMPUTED_VALUE"""),1.5)</f>
        <v>1.5</v>
      </c>
      <c r="T134" s="283">
        <f>IFERROR(__xludf.DUMMYFUNCTION("""COMPUTED_VALUE"""),0.9)</f>
        <v>0.9</v>
      </c>
      <c r="U134" s="283">
        <f>IFERROR(__xludf.DUMMYFUNCTION("""COMPUTED_VALUE"""),1.0)</f>
        <v>1</v>
      </c>
      <c r="V134" s="280">
        <f>IFERROR(__xludf.DUMMYFUNCTION("""COMPUTED_VALUE"""),0.472)</f>
        <v>0.472</v>
      </c>
      <c r="W134" s="280">
        <f>IFERROR(__xludf.DUMMYFUNCTION("""COMPUTED_VALUE"""),0.735)</f>
        <v>0.735</v>
      </c>
      <c r="X134" s="280">
        <f>IFERROR(__xludf.DUMMYFUNCTION("""COMPUTED_VALUE"""),1.7)</f>
        <v>1.7</v>
      </c>
      <c r="Y134" s="283">
        <f>IFERROR(__xludf.DUMMYFUNCTION("""COMPUTED_VALUE"""),-0.4998327324670583)</f>
        <v>-0.4998327325</v>
      </c>
      <c r="Z134" s="281">
        <f>IFERROR(__xludf.DUMMYFUNCTION("""COMPUTED_VALUE"""),0.2497993995559884)</f>
        <v>0.2497993996</v>
      </c>
      <c r="AA134" s="281">
        <f>IFERROR(__xludf.DUMMYFUNCTION("""COMPUTED_VALUE"""),0.05143590385923644)</f>
        <v>0.05143590386</v>
      </c>
      <c r="AB134" s="281">
        <f>IFERROR(__xludf.DUMMYFUNCTION("""COMPUTED_VALUE"""),-1.1097761033947346)</f>
        <v>-1.109776103</v>
      </c>
      <c r="AC134" s="281">
        <f>IFERROR(__xludf.DUMMYFUNCTION("""COMPUTED_VALUE"""),-0.25279641051880714)</f>
        <v>-0.2527964105</v>
      </c>
      <c r="AD134" s="281">
        <f>IFERROR(__xludf.DUMMYFUNCTION("""COMPUTED_VALUE"""),0.45484486947200414)</f>
        <v>0.4548448695</v>
      </c>
      <c r="AE134" s="281">
        <f>IFERROR(__xludf.DUMMYFUNCTION("""COMPUTED_VALUE"""),-0.3411756753667134)</f>
        <v>-0.3411756754</v>
      </c>
      <c r="AF134" s="281">
        <f>IFERROR(__xludf.DUMMYFUNCTION("""COMPUTED_VALUE"""),-0.4667964728548831)</f>
        <v>-0.4667964729</v>
      </c>
      <c r="AG134" s="281">
        <f>IFERROR(__xludf.DUMMYFUNCTION("""COMPUTED_VALUE"""),0.012068463891646777)</f>
        <v>0.01206846389</v>
      </c>
      <c r="AH134" s="285"/>
      <c r="AI134" s="273"/>
      <c r="AJ134" s="340"/>
      <c r="AK134" s="341"/>
      <c r="AL134" s="273"/>
      <c r="AM134" s="273"/>
      <c r="AN134" s="273"/>
      <c r="AO134" s="273"/>
      <c r="AP134" s="273"/>
      <c r="AQ134" s="273"/>
      <c r="AR134" s="273"/>
      <c r="AS134" s="273"/>
      <c r="AT134" s="273"/>
      <c r="AU134" s="273"/>
      <c r="AV134" s="273"/>
      <c r="AW134" s="273"/>
      <c r="AX134" s="273"/>
      <c r="AY134" s="273"/>
      <c r="AZ134" s="273"/>
      <c r="BA134" s="273"/>
      <c r="BB134" s="273"/>
      <c r="BC134" s="273"/>
      <c r="BD134" s="273"/>
      <c r="BE134" s="273"/>
      <c r="BF134" s="273"/>
      <c r="BG134" s="273"/>
      <c r="BH134" s="273"/>
      <c r="BI134" s="273"/>
      <c r="BJ134" s="273"/>
      <c r="BK134" s="273"/>
      <c r="BL134" s="273"/>
      <c r="BM134" s="273"/>
      <c r="BN134" s="273"/>
      <c r="BO134" s="273"/>
      <c r="BP134" s="273"/>
      <c r="BQ134" s="273"/>
      <c r="BR134" s="273"/>
      <c r="BS134" s="273"/>
      <c r="BT134" s="273"/>
      <c r="BU134" s="273"/>
      <c r="BV134" s="273"/>
      <c r="BW134" s="273"/>
    </row>
    <row r="135">
      <c r="A135" s="276">
        <f>VLOOKUP($F135,UpdateHashtag!$V$3:$Y$32,COLUMN(B$15),0)</f>
        <v>4</v>
      </c>
      <c r="B135" s="259">
        <f>VLOOKUP($F135,UpdateHashtag!$V$3:$Y$32,COLUMN(C$13),0)</f>
        <v>3</v>
      </c>
      <c r="C135" s="259">
        <f>VLOOKUP($F135,UpdateHashtag!$V$3:$Y$32,COLUMN(D$13),0)</f>
        <v>4</v>
      </c>
      <c r="D135" s="277">
        <f t="shared" si="4"/>
        <v>11</v>
      </c>
      <c r="E135" s="21"/>
      <c r="F135" s="261" t="str">
        <f>VLOOKUP(J135,UpdateBBM!$C$2:E1015,3,0)</f>
        <v>POR</v>
      </c>
      <c r="G135" s="248">
        <v>116.0</v>
      </c>
      <c r="H135" s="278">
        <f>IFERROR(__xludf.DUMMYFUNCTION("""COMPUTED_VALUE"""),116.0)</f>
        <v>116</v>
      </c>
      <c r="I135" s="278">
        <f>IFERROR(__xludf.DUMMYFUNCTION("""COMPUTED_VALUE"""),109.6)</f>
        <v>109.6</v>
      </c>
      <c r="J135" s="279" t="str">
        <f>IFERROR(__xludf.DUMMYFUNCTION("""COMPUTED_VALUE"""),"Jerami Grant")</f>
        <v>Jerami Grant</v>
      </c>
      <c r="K135" s="278">
        <f>IFERROR(__xludf.DUMMYFUNCTION("""COMPUTED_VALUE"""),66.0)</f>
        <v>66</v>
      </c>
      <c r="L135" s="280" t="str">
        <f>IFERROR(__xludf.DUMMYFUNCTION("""COMPUTED_VALUE"""),"SF,PF")</f>
        <v>SF,PF</v>
      </c>
      <c r="M135" s="281">
        <f>IFERROR(__xludf.DUMMYFUNCTION("""COMPUTED_VALUE"""),-0.813612879337897)</f>
        <v>-0.8136128793</v>
      </c>
      <c r="N135" s="281">
        <f>IFERROR(__xludf.DUMMYFUNCTION("""COMPUTED_VALUE"""),-0.813612879337897)</f>
        <v>-0.8136128793</v>
      </c>
      <c r="O135" s="282">
        <f>IFERROR(__xludf.DUMMYFUNCTION("""COMPUTED_VALUE"""),0.0)</f>
        <v>0</v>
      </c>
      <c r="P135" s="283">
        <f>IFERROR(__xludf.DUMMYFUNCTION("""COMPUTED_VALUE"""),19.7)</f>
        <v>19.7</v>
      </c>
      <c r="Q135" s="283">
        <f>IFERROR(__xludf.DUMMYFUNCTION("""COMPUTED_VALUE"""),2.1)</f>
        <v>2.1</v>
      </c>
      <c r="R135" s="283">
        <f>IFERROR(__xludf.DUMMYFUNCTION("""COMPUTED_VALUE"""),3.9)</f>
        <v>3.9</v>
      </c>
      <c r="S135" s="284">
        <f>IFERROR(__xludf.DUMMYFUNCTION("""COMPUTED_VALUE"""),2.5)</f>
        <v>2.5</v>
      </c>
      <c r="T135" s="283">
        <f>IFERROR(__xludf.DUMMYFUNCTION("""COMPUTED_VALUE"""),0.8)</f>
        <v>0.8</v>
      </c>
      <c r="U135" s="283">
        <f>IFERROR(__xludf.DUMMYFUNCTION("""COMPUTED_VALUE"""),0.7)</f>
        <v>0.7</v>
      </c>
      <c r="V135" s="280">
        <f>IFERROR(__xludf.DUMMYFUNCTION("""COMPUTED_VALUE"""),0.463)</f>
        <v>0.463</v>
      </c>
      <c r="W135" s="280">
        <f>IFERROR(__xludf.DUMMYFUNCTION("""COMPUTED_VALUE"""),0.814)</f>
        <v>0.814</v>
      </c>
      <c r="X135" s="280">
        <f>IFERROR(__xludf.DUMMYFUNCTION("""COMPUTED_VALUE"""),1.9)</f>
        <v>1.9</v>
      </c>
      <c r="Y135" s="283">
        <f>IFERROR(__xludf.DUMMYFUNCTION("""COMPUTED_VALUE"""),0.4034073656962535)</f>
        <v>0.4034073657</v>
      </c>
      <c r="Z135" s="281">
        <f>IFERROR(__xludf.DUMMYFUNCTION("""COMPUTED_VALUE"""),0.34932369858753)</f>
        <v>0.3493236986</v>
      </c>
      <c r="AA135" s="281">
        <f>IFERROR(__xludf.DUMMYFUNCTION("""COMPUTED_VALUE"""),-0.8507706320151226)</f>
        <v>-0.850770632</v>
      </c>
      <c r="AB135" s="281">
        <f>IFERROR(__xludf.DUMMYFUNCTION("""COMPUTED_VALUE"""),-0.6541583991734051)</f>
        <v>-0.6541583992</v>
      </c>
      <c r="AC135" s="281">
        <f>IFERROR(__xludf.DUMMYFUNCTION("""COMPUTED_VALUE"""),-0.5847290886782864)</f>
        <v>-0.5847290887</v>
      </c>
      <c r="AD135" s="281">
        <f>IFERROR(__xludf.DUMMYFUNCTION("""COMPUTED_VALUE"""),-0.08033623668596498)</f>
        <v>-0.08033623669</v>
      </c>
      <c r="AE135" s="281">
        <f>IFERROR(__xludf.DUMMYFUNCTION("""COMPUTED_VALUE"""),-0.5678290097577002)</f>
        <v>-0.5678290098</v>
      </c>
      <c r="AF135" s="281">
        <f>IFERROR(__xludf.DUMMYFUNCTION("""COMPUTED_VALUE"""),0.3582367537340028)</f>
        <v>0.3582367537</v>
      </c>
      <c r="AG135" s="281">
        <f>IFERROR(__xludf.DUMMYFUNCTION("""COMPUTED_VALUE"""),-0.037527963060326526)</f>
        <v>-0.03752796306</v>
      </c>
      <c r="AH135" s="285"/>
      <c r="AI135" s="273"/>
      <c r="AJ135" s="340"/>
      <c r="AK135" s="341"/>
      <c r="AL135" s="273"/>
      <c r="AM135" s="273"/>
      <c r="AN135" s="273"/>
      <c r="AO135" s="273"/>
      <c r="AP135" s="273"/>
      <c r="AQ135" s="273"/>
      <c r="AR135" s="273"/>
      <c r="AS135" s="273"/>
      <c r="AT135" s="273"/>
      <c r="AU135" s="273"/>
      <c r="AV135" s="273"/>
      <c r="AW135" s="273"/>
      <c r="AX135" s="273"/>
      <c r="AY135" s="273"/>
      <c r="AZ135" s="273"/>
      <c r="BA135" s="273"/>
      <c r="BB135" s="273"/>
      <c r="BC135" s="273"/>
      <c r="BD135" s="273"/>
      <c r="BE135" s="273"/>
      <c r="BF135" s="273"/>
      <c r="BG135" s="273"/>
      <c r="BH135" s="273"/>
      <c r="BI135" s="273"/>
      <c r="BJ135" s="273"/>
      <c r="BK135" s="273"/>
      <c r="BL135" s="273"/>
      <c r="BM135" s="273"/>
      <c r="BN135" s="273"/>
      <c r="BO135" s="273"/>
      <c r="BP135" s="273"/>
      <c r="BQ135" s="273"/>
      <c r="BR135" s="273"/>
      <c r="BS135" s="273"/>
      <c r="BT135" s="273"/>
      <c r="BU135" s="273"/>
      <c r="BV135" s="273"/>
      <c r="BW135" s="273"/>
    </row>
    <row r="136">
      <c r="A136" s="276">
        <f>VLOOKUP($F136,UpdateHashtag!$V$3:$Y$32,COLUMN(B$15),0)</f>
        <v>3</v>
      </c>
      <c r="B136" s="259">
        <f>VLOOKUP($F136,UpdateHashtag!$V$3:$Y$32,COLUMN(C$13),0)</f>
        <v>5</v>
      </c>
      <c r="C136" s="259">
        <f>VLOOKUP($F136,UpdateHashtag!$V$3:$Y$32,COLUMN(D$13),0)</f>
        <v>3</v>
      </c>
      <c r="D136" s="277">
        <f t="shared" si="4"/>
        <v>11</v>
      </c>
      <c r="E136" s="21"/>
      <c r="F136" s="261" t="str">
        <f>VLOOKUP(J136,UpdateBBM!$C$2:E1015,3,0)</f>
        <v>WAS</v>
      </c>
      <c r="G136" s="248">
        <v>117.0</v>
      </c>
      <c r="H136" s="278">
        <f>IFERROR(__xludf.DUMMYFUNCTION("""COMPUTED_VALUE"""),117.0)</f>
        <v>117</v>
      </c>
      <c r="I136" s="278">
        <f>IFERROR(__xludf.DUMMYFUNCTION("""COMPUTED_VALUE"""),111.1)</f>
        <v>111.1</v>
      </c>
      <c r="J136" s="279" t="str">
        <f>IFERROR(__xludf.DUMMYFUNCTION("""COMPUTED_VALUE"""),"Khris Middleton")</f>
        <v>Khris Middleton</v>
      </c>
      <c r="K136" s="278">
        <f>IFERROR(__xludf.DUMMYFUNCTION("""COMPUTED_VALUE"""),71.0)</f>
        <v>71</v>
      </c>
      <c r="L136" s="280" t="str">
        <f>IFERROR(__xludf.DUMMYFUNCTION("""COMPUTED_VALUE"""),"SF")</f>
        <v>SF</v>
      </c>
      <c r="M136" s="281">
        <f>IFERROR(__xludf.DUMMYFUNCTION("""COMPUTED_VALUE"""),-0.8554246331675088)</f>
        <v>-0.8554246332</v>
      </c>
      <c r="N136" s="281">
        <f>IFERROR(__xludf.DUMMYFUNCTION("""COMPUTED_VALUE"""),-0.8554246331675088)</f>
        <v>-0.8554246332</v>
      </c>
      <c r="O136" s="282">
        <f>IFERROR(__xludf.DUMMYFUNCTION("""COMPUTED_VALUE"""),0.0)</f>
        <v>0</v>
      </c>
      <c r="P136" s="283">
        <f>IFERROR(__xludf.DUMMYFUNCTION("""COMPUTED_VALUE"""),16.4)</f>
        <v>16.4</v>
      </c>
      <c r="Q136" s="283">
        <f>IFERROR(__xludf.DUMMYFUNCTION("""COMPUTED_VALUE"""),1.7)</f>
        <v>1.7</v>
      </c>
      <c r="R136" s="283">
        <f>IFERROR(__xludf.DUMMYFUNCTION("""COMPUTED_VALUE"""),4.4)</f>
        <v>4.4</v>
      </c>
      <c r="S136" s="284">
        <f>IFERROR(__xludf.DUMMYFUNCTION("""COMPUTED_VALUE"""),4.7)</f>
        <v>4.7</v>
      </c>
      <c r="T136" s="283">
        <f>IFERROR(__xludf.DUMMYFUNCTION("""COMPUTED_VALUE"""),0.8)</f>
        <v>0.8</v>
      </c>
      <c r="U136" s="283">
        <f>IFERROR(__xludf.DUMMYFUNCTION("""COMPUTED_VALUE"""),0.2)</f>
        <v>0.2</v>
      </c>
      <c r="V136" s="280">
        <f>IFERROR(__xludf.DUMMYFUNCTION("""COMPUTED_VALUE"""),0.482)</f>
        <v>0.482</v>
      </c>
      <c r="W136" s="280">
        <f>IFERROR(__xludf.DUMMYFUNCTION("""COMPUTED_VALUE"""),0.867)</f>
        <v>0.867</v>
      </c>
      <c r="X136" s="280">
        <f>IFERROR(__xludf.DUMMYFUNCTION("""COMPUTED_VALUE"""),2.4)</f>
        <v>2.4</v>
      </c>
      <c r="Y136" s="283">
        <f>IFERROR(__xludf.DUMMYFUNCTION("""COMPUTED_VALUE"""),-0.19273109909153238)</f>
        <v>-0.1927310991</v>
      </c>
      <c r="Z136" s="281">
        <f>IFERROR(__xludf.DUMMYFUNCTION("""COMPUTED_VALUE"""),-0.04877349753863613)</f>
        <v>-0.04877349754</v>
      </c>
      <c r="AA136" s="281">
        <f>IFERROR(__xludf.DUMMYFUNCTION("""COMPUTED_VALUE"""),-0.6546387763902618)</f>
        <v>-0.6546387764</v>
      </c>
      <c r="AB136" s="281">
        <f>IFERROR(__xludf.DUMMYFUNCTION("""COMPUTED_VALUE"""),0.34820055011351986)</f>
        <v>0.3482005501</v>
      </c>
      <c r="AC136" s="281">
        <f>IFERROR(__xludf.DUMMYFUNCTION("""COMPUTED_VALUE"""),-0.5847290886782864)</f>
        <v>-0.5847290887</v>
      </c>
      <c r="AD136" s="281">
        <f>IFERROR(__xludf.DUMMYFUNCTION("""COMPUTED_VALUE"""),-0.9723047469492465)</f>
        <v>-0.9723047469</v>
      </c>
      <c r="AE136" s="281">
        <f>IFERROR(__xludf.DUMMYFUNCTION("""COMPUTED_VALUE"""),-0.224979934410347)</f>
        <v>-0.2249799344</v>
      </c>
      <c r="AF136" s="281">
        <f>IFERROR(__xludf.DUMMYFUNCTION("""COMPUTED_VALUE"""),0.6637462432682952)</f>
        <v>0.6637462433</v>
      </c>
      <c r="AG136" s="281">
        <f>IFERROR(__xludf.DUMMYFUNCTION("""COMPUTED_VALUE"""),-0.1615190304402598)</f>
        <v>-0.1615190304</v>
      </c>
      <c r="AH136" s="285"/>
      <c r="AI136" s="273"/>
      <c r="AJ136" s="340"/>
      <c r="AK136" s="341"/>
      <c r="AL136" s="273"/>
      <c r="AM136" s="273"/>
      <c r="AN136" s="273"/>
      <c r="AO136" s="273"/>
      <c r="AP136" s="273"/>
      <c r="AQ136" s="273"/>
      <c r="AR136" s="273"/>
      <c r="AS136" s="273"/>
      <c r="AT136" s="273"/>
      <c r="AU136" s="273"/>
      <c r="AV136" s="273"/>
      <c r="AW136" s="273"/>
      <c r="AX136" s="273"/>
      <c r="AY136" s="273"/>
      <c r="AZ136" s="273"/>
      <c r="BA136" s="273"/>
      <c r="BB136" s="273"/>
      <c r="BC136" s="273"/>
      <c r="BD136" s="273"/>
      <c r="BE136" s="273"/>
      <c r="BF136" s="273"/>
      <c r="BG136" s="273"/>
      <c r="BH136" s="273"/>
      <c r="BI136" s="273"/>
      <c r="BJ136" s="273"/>
      <c r="BK136" s="273"/>
      <c r="BL136" s="273"/>
      <c r="BM136" s="273"/>
      <c r="BN136" s="273"/>
      <c r="BO136" s="273"/>
      <c r="BP136" s="273"/>
      <c r="BQ136" s="273"/>
      <c r="BR136" s="273"/>
      <c r="BS136" s="273"/>
      <c r="BT136" s="273"/>
      <c r="BU136" s="273"/>
      <c r="BV136" s="273"/>
      <c r="BW136" s="273"/>
    </row>
    <row r="137">
      <c r="A137" s="259" t="str">
        <f>VLOOKUP($F137,UpdateHashtag!$V$3:$Y$32,COLUMN(B$15),0)</f>
        <v>#N/A</v>
      </c>
      <c r="B137" s="259" t="str">
        <f>VLOOKUP($F137,UpdateHashtag!$V$3:$Y$32,COLUMN(C$13),0)</f>
        <v>#N/A</v>
      </c>
      <c r="C137" s="259" t="str">
        <f>VLOOKUP($F137,UpdateHashtag!$V$3:$Y$32,COLUMN(D$13),0)</f>
        <v>#N/A</v>
      </c>
      <c r="D137" s="329" t="str">
        <f t="shared" si="4"/>
        <v>#N/A</v>
      </c>
      <c r="E137" s="21"/>
      <c r="F137" s="261" t="str">
        <f>VLOOKUP(J137,UpdateBBM!$C$2:E1015,3,0)</f>
        <v>GSW</v>
      </c>
      <c r="G137" s="248">
        <v>118.0</v>
      </c>
      <c r="H137" s="278">
        <f>IFERROR(__xludf.DUMMYFUNCTION("""COMPUTED_VALUE"""),118.0)</f>
        <v>118</v>
      </c>
      <c r="I137" s="278">
        <f>IFERROR(__xludf.DUMMYFUNCTION("""COMPUTED_VALUE"""),125.6)</f>
        <v>125.6</v>
      </c>
      <c r="J137" s="279" t="str">
        <f>IFERROR(__xludf.DUMMYFUNCTION("""COMPUTED_VALUE"""),"Trayce Jackson-Davis")</f>
        <v>Trayce Jackson-Davis</v>
      </c>
      <c r="K137" s="278">
        <f>IFERROR(__xludf.DUMMYFUNCTION("""COMPUTED_VALUE"""),66.0)</f>
        <v>66</v>
      </c>
      <c r="L137" s="280" t="str">
        <f>IFERROR(__xludf.DUMMYFUNCTION("""COMPUTED_VALUE"""),"PF,C")</f>
        <v>PF,C</v>
      </c>
      <c r="M137" s="281">
        <f>IFERROR(__xludf.DUMMYFUNCTION("""COMPUTED_VALUE"""),-0.8575874376208708)</f>
        <v>-0.8575874376</v>
      </c>
      <c r="N137" s="281">
        <f>IFERROR(__xludf.DUMMYFUNCTION("""COMPUTED_VALUE"""),-0.8575874376208708)</f>
        <v>-0.8575874376</v>
      </c>
      <c r="O137" s="282">
        <f>IFERROR(__xludf.DUMMYFUNCTION("""COMPUTED_VALUE"""),0.0)</f>
        <v>0</v>
      </c>
      <c r="P137" s="283">
        <f>IFERROR(__xludf.DUMMYFUNCTION("""COMPUTED_VALUE"""),12.1)</f>
        <v>12.1</v>
      </c>
      <c r="Q137" s="283">
        <f>IFERROR(__xludf.DUMMYFUNCTION("""COMPUTED_VALUE"""),0.0)</f>
        <v>0</v>
      </c>
      <c r="R137" s="283">
        <f>IFERROR(__xludf.DUMMYFUNCTION("""COMPUTED_VALUE"""),7.6)</f>
        <v>7.6</v>
      </c>
      <c r="S137" s="284">
        <f>IFERROR(__xludf.DUMMYFUNCTION("""COMPUTED_VALUE"""),1.8)</f>
        <v>1.8</v>
      </c>
      <c r="T137" s="283">
        <f>IFERROR(__xludf.DUMMYFUNCTION("""COMPUTED_VALUE"""),0.6)</f>
        <v>0.6</v>
      </c>
      <c r="U137" s="283">
        <f>IFERROR(__xludf.DUMMYFUNCTION("""COMPUTED_VALUE"""),1.6)</f>
        <v>1.6</v>
      </c>
      <c r="V137" s="280">
        <f>IFERROR(__xludf.DUMMYFUNCTION("""COMPUTED_VALUE"""),0.703)</f>
        <v>0.703</v>
      </c>
      <c r="W137" s="280">
        <f>IFERROR(__xludf.DUMMYFUNCTION("""COMPUTED_VALUE"""),0.563)</f>
        <v>0.563</v>
      </c>
      <c r="X137" s="280">
        <f>IFERROR(__xludf.DUMMYFUNCTION("""COMPUTED_VALUE"""),1.1)</f>
        <v>1.1</v>
      </c>
      <c r="Y137" s="283">
        <f>IFERROR(__xludf.DUMMYFUNCTION("""COMPUTED_VALUE"""),-0.9695175835119804)</f>
        <v>-0.9695175835</v>
      </c>
      <c r="Z137" s="281">
        <f>IFERROR(__xludf.DUMMYFUNCTION("""COMPUTED_VALUE"""),-1.7406865810748415)</f>
        <v>-1.740686581</v>
      </c>
      <c r="AA137" s="281">
        <f>IFERROR(__xludf.DUMMYFUNCTION("""COMPUTED_VALUE"""),0.600605099608846)</f>
        <v>0.6006050996</v>
      </c>
      <c r="AB137" s="281">
        <f>IFERROR(__xludf.DUMMYFUNCTION("""COMPUTED_VALUE"""),-0.9730907921283356)</f>
        <v>-0.9730907921</v>
      </c>
      <c r="AC137" s="281">
        <f>IFERROR(__xludf.DUMMYFUNCTION("""COMPUTED_VALUE"""),-1.2485944449972455)</f>
        <v>-1.248594445</v>
      </c>
      <c r="AD137" s="281">
        <f>IFERROR(__xludf.DUMMYFUNCTION("""COMPUTED_VALUE"""),1.5252070817879424)</f>
        <v>1.525207082</v>
      </c>
      <c r="AE137" s="281">
        <f>IFERROR(__xludf.DUMMYFUNCTION("""COMPUTED_VALUE"""),1.7876320379471764)</f>
        <v>1.787632038</v>
      </c>
      <c r="AF137" s="281">
        <f>IFERROR(__xludf.DUMMYFUNCTION("""COMPUTED_VALUE"""),-2.4639125500525374)</f>
        <v>-2.46391255</v>
      </c>
      <c r="AG137" s="281">
        <f>IFERROR(__xludf.DUMMYFUNCTION("""COMPUTED_VALUE"""),0.16085774474756667)</f>
        <v>0.1608577447</v>
      </c>
      <c r="AH137" s="285"/>
      <c r="AI137" s="273"/>
      <c r="AJ137" s="340"/>
      <c r="AK137" s="341"/>
      <c r="AL137" s="273"/>
      <c r="AM137" s="273"/>
      <c r="AN137" s="273"/>
      <c r="AO137" s="273"/>
      <c r="AP137" s="273"/>
      <c r="AQ137" s="273"/>
      <c r="AR137" s="273"/>
      <c r="AS137" s="273"/>
      <c r="AT137" s="273"/>
      <c r="AU137" s="273"/>
      <c r="AV137" s="273"/>
      <c r="AW137" s="273"/>
      <c r="AX137" s="273"/>
      <c r="AY137" s="273"/>
      <c r="AZ137" s="273"/>
      <c r="BA137" s="273"/>
      <c r="BB137" s="273"/>
      <c r="BC137" s="273"/>
      <c r="BD137" s="273"/>
      <c r="BE137" s="273"/>
      <c r="BF137" s="273"/>
      <c r="BG137" s="273"/>
      <c r="BH137" s="273"/>
      <c r="BI137" s="273"/>
      <c r="BJ137" s="273"/>
      <c r="BK137" s="273"/>
      <c r="BL137" s="273"/>
      <c r="BM137" s="273"/>
      <c r="BN137" s="273"/>
      <c r="BO137" s="273"/>
      <c r="BP137" s="273"/>
      <c r="BQ137" s="273"/>
      <c r="BR137" s="273"/>
      <c r="BS137" s="273"/>
      <c r="BT137" s="273"/>
      <c r="BU137" s="273"/>
      <c r="BV137" s="273"/>
      <c r="BW137" s="273"/>
    </row>
    <row r="138">
      <c r="A138" s="259" t="str">
        <f>VLOOKUP($F138,UpdateHashtag!$V$3:$Y$32,COLUMN(B$15),0)</f>
        <v>#N/A</v>
      </c>
      <c r="B138" s="259" t="str">
        <f>VLOOKUP($F138,UpdateHashtag!$V$3:$Y$32,COLUMN(C$13),0)</f>
        <v>#N/A</v>
      </c>
      <c r="C138" s="259" t="str">
        <f>VLOOKUP($F138,UpdateHashtag!$V$3:$Y$32,COLUMN(D$13),0)</f>
        <v>#N/A</v>
      </c>
      <c r="D138" s="329" t="str">
        <f t="shared" si="4"/>
        <v>#N/A</v>
      </c>
      <c r="E138" s="21"/>
      <c r="F138" s="261" t="str">
        <f>VLOOKUP(J138,UpdateBBM!$C$2:E1015,3,0)</f>
        <v>GSW</v>
      </c>
      <c r="G138" s="248">
        <v>119.0</v>
      </c>
      <c r="H138" s="278">
        <f>IFERROR(__xludf.DUMMYFUNCTION("""COMPUTED_VALUE"""),119.0)</f>
        <v>119</v>
      </c>
      <c r="I138" s="278">
        <f>IFERROR(__xludf.DUMMYFUNCTION("""COMPUTED_VALUE"""),116.6)</f>
        <v>116.6</v>
      </c>
      <c r="J138" s="279" t="str">
        <f>IFERROR(__xludf.DUMMYFUNCTION("""COMPUTED_VALUE"""),"Brandin Podziemski")</f>
        <v>Brandin Podziemski</v>
      </c>
      <c r="K138" s="278">
        <f>IFERROR(__xludf.DUMMYFUNCTION("""COMPUTED_VALUE"""),71.0)</f>
        <v>71</v>
      </c>
      <c r="L138" s="280" t="str">
        <f>IFERROR(__xludf.DUMMYFUNCTION("""COMPUTED_VALUE"""),"SG")</f>
        <v>SG</v>
      </c>
      <c r="M138" s="281">
        <f>IFERROR(__xludf.DUMMYFUNCTION("""COMPUTED_VALUE"""),-0.8864779357307995)</f>
        <v>-0.8864779357</v>
      </c>
      <c r="N138" s="281">
        <f>IFERROR(__xludf.DUMMYFUNCTION("""COMPUTED_VALUE"""),-0.8864779357307995)</f>
        <v>-0.8864779357</v>
      </c>
      <c r="O138" s="282">
        <f>IFERROR(__xludf.DUMMYFUNCTION("""COMPUTED_VALUE"""),0.0)</f>
        <v>0</v>
      </c>
      <c r="P138" s="283">
        <f>IFERROR(__xludf.DUMMYFUNCTION("""COMPUTED_VALUE"""),11.2)</f>
        <v>11.2</v>
      </c>
      <c r="Q138" s="283">
        <f>IFERROR(__xludf.DUMMYFUNCTION("""COMPUTED_VALUE"""),1.5)</f>
        <v>1.5</v>
      </c>
      <c r="R138" s="283">
        <f>IFERROR(__xludf.DUMMYFUNCTION("""COMPUTED_VALUE"""),6.9)</f>
        <v>6.9</v>
      </c>
      <c r="S138" s="284">
        <f>IFERROR(__xludf.DUMMYFUNCTION("""COMPUTED_VALUE"""),4.4)</f>
        <v>4.4</v>
      </c>
      <c r="T138" s="283">
        <f>IFERROR(__xludf.DUMMYFUNCTION("""COMPUTED_VALUE"""),1.2)</f>
        <v>1.2</v>
      </c>
      <c r="U138" s="283">
        <f>IFERROR(__xludf.DUMMYFUNCTION("""COMPUTED_VALUE"""),0.2)</f>
        <v>0.2</v>
      </c>
      <c r="V138" s="280">
        <f>IFERROR(__xludf.DUMMYFUNCTION("""COMPUTED_VALUE"""),0.459)</f>
        <v>0.459</v>
      </c>
      <c r="W138" s="280">
        <f>IFERROR(__xludf.DUMMYFUNCTION("""COMPUTED_VALUE"""),0.664)</f>
        <v>0.664</v>
      </c>
      <c r="X138" s="280">
        <f>IFERROR(__xludf.DUMMYFUNCTION("""COMPUTED_VALUE"""),1.4)</f>
        <v>1.4</v>
      </c>
      <c r="Y138" s="283">
        <f>IFERROR(__xludf.DUMMYFUNCTION("""COMPUTED_VALUE"""),-1.1321008011813765)</f>
        <v>-1.132100801</v>
      </c>
      <c r="Z138" s="281">
        <f>IFERROR(__xludf.DUMMYFUNCTION("""COMPUTED_VALUE"""),-0.24782209560171908)</f>
        <v>-0.2478220956</v>
      </c>
      <c r="AA138" s="281">
        <f>IFERROR(__xludf.DUMMYFUNCTION("""COMPUTED_VALUE"""),0.3260205017340414)</f>
        <v>0.3260205017</v>
      </c>
      <c r="AB138" s="281">
        <f>IFERROR(__xludf.DUMMYFUNCTION("""COMPUTED_VALUE"""),0.2115152388471211)</f>
        <v>0.2115152388</v>
      </c>
      <c r="AC138" s="281">
        <f>IFERROR(__xludf.DUMMYFUNCTION("""COMPUTED_VALUE"""),0.7430016239596308)</f>
        <v>0.743001624</v>
      </c>
      <c r="AD138" s="281">
        <f>IFERROR(__xludf.DUMMYFUNCTION("""COMPUTED_VALUE"""),-0.9723047469492465)</f>
        <v>-0.9723047469</v>
      </c>
      <c r="AE138" s="281">
        <f>IFERROR(__xludf.DUMMYFUNCTION("""COMPUTED_VALUE"""),-0.43064436236510495)</f>
        <v>-0.4306443624</v>
      </c>
      <c r="AF138" s="281">
        <f>IFERROR(__xludf.DUMMYFUNCTION("""COMPUTED_VALUE"""),-0.602707199675129)</f>
        <v>-0.6027071997</v>
      </c>
      <c r="AG138" s="281">
        <f>IFERROR(__xludf.DUMMYFUNCTION("""COMPUTED_VALUE"""),0.08646310431960676)</f>
        <v>0.08646310432</v>
      </c>
      <c r="AH138" s="285"/>
      <c r="AI138" s="273"/>
      <c r="AJ138" s="340"/>
      <c r="AK138" s="341"/>
      <c r="AL138" s="273"/>
      <c r="AM138" s="273"/>
      <c r="AN138" s="273"/>
      <c r="AO138" s="273"/>
      <c r="AP138" s="273"/>
      <c r="AQ138" s="273"/>
      <c r="AR138" s="273"/>
      <c r="AS138" s="273"/>
      <c r="AT138" s="273"/>
      <c r="AU138" s="273"/>
      <c r="AV138" s="273"/>
      <c r="AW138" s="273"/>
      <c r="AX138" s="273"/>
      <c r="AY138" s="273"/>
      <c r="AZ138" s="273"/>
      <c r="BA138" s="273"/>
      <c r="BB138" s="273"/>
      <c r="BC138" s="273"/>
      <c r="BD138" s="273"/>
      <c r="BE138" s="273"/>
      <c r="BF138" s="273"/>
      <c r="BG138" s="273"/>
      <c r="BH138" s="273"/>
      <c r="BI138" s="273"/>
      <c r="BJ138" s="273"/>
      <c r="BK138" s="273"/>
      <c r="BL138" s="273"/>
      <c r="BM138" s="273"/>
      <c r="BN138" s="273"/>
      <c r="BO138" s="273"/>
      <c r="BP138" s="273"/>
      <c r="BQ138" s="273"/>
      <c r="BR138" s="273"/>
      <c r="BS138" s="273"/>
      <c r="BT138" s="273"/>
      <c r="BU138" s="273"/>
      <c r="BV138" s="273"/>
      <c r="BW138" s="273"/>
    </row>
    <row r="139">
      <c r="A139" s="276">
        <f>VLOOKUP($F139,UpdateHashtag!$V$3:$Y$32,COLUMN(B$15),0)</f>
        <v>4</v>
      </c>
      <c r="B139" s="259">
        <f>VLOOKUP($F139,UpdateHashtag!$V$3:$Y$32,COLUMN(C$13),0)</f>
        <v>4</v>
      </c>
      <c r="C139" s="259">
        <f>VLOOKUP($F139,UpdateHashtag!$V$3:$Y$32,COLUMN(D$13),0)</f>
        <v>4</v>
      </c>
      <c r="D139" s="277">
        <f t="shared" si="4"/>
        <v>12</v>
      </c>
      <c r="E139" s="21"/>
      <c r="F139" s="261" t="str">
        <f>VLOOKUP(J139,UpdateBBM!$C$2:E1015,3,0)</f>
        <v>MIA</v>
      </c>
      <c r="G139" s="248">
        <v>120.0</v>
      </c>
      <c r="H139" s="278">
        <f>IFERROR(__xludf.DUMMYFUNCTION("""COMPUTED_VALUE"""),120.0)</f>
        <v>120</v>
      </c>
      <c r="I139" s="278">
        <f>IFERROR(__xludf.DUMMYFUNCTION("""COMPUTED_VALUE"""),132.1)</f>
        <v>132.1</v>
      </c>
      <c r="J139" s="279" t="str">
        <f>IFERROR(__xludf.DUMMYFUNCTION("""COMPUTED_VALUE"""),"Norman Powell")</f>
        <v>Norman Powell</v>
      </c>
      <c r="K139" s="278">
        <f>IFERROR(__xludf.DUMMYFUNCTION("""COMPUTED_VALUE"""),66.0)</f>
        <v>66</v>
      </c>
      <c r="L139" s="280" t="str">
        <f>IFERROR(__xludf.DUMMYFUNCTION("""COMPUTED_VALUE"""),"SG,SF")</f>
        <v>SG,SF</v>
      </c>
      <c r="M139" s="281">
        <f>IFERROR(__xludf.DUMMYFUNCTION("""COMPUTED_VALUE"""),-0.9243995943389454)</f>
        <v>-0.9243995943</v>
      </c>
      <c r="N139" s="281">
        <f>IFERROR(__xludf.DUMMYFUNCTION("""COMPUTED_VALUE"""),-0.9243995943389454)</f>
        <v>-0.9243995943</v>
      </c>
      <c r="O139" s="282">
        <f>IFERROR(__xludf.DUMMYFUNCTION("""COMPUTED_VALUE"""),0.0)</f>
        <v>0</v>
      </c>
      <c r="P139" s="283">
        <f>IFERROR(__xludf.DUMMYFUNCTION("""COMPUTED_VALUE"""),18.8)</f>
        <v>18.8</v>
      </c>
      <c r="Q139" s="283">
        <f>IFERROR(__xludf.DUMMYFUNCTION("""COMPUTED_VALUE"""),2.6)</f>
        <v>2.6</v>
      </c>
      <c r="R139" s="283">
        <f>IFERROR(__xludf.DUMMYFUNCTION("""COMPUTED_VALUE"""),3.4)</f>
        <v>3.4</v>
      </c>
      <c r="S139" s="284">
        <f>IFERROR(__xludf.DUMMYFUNCTION("""COMPUTED_VALUE"""),1.7)</f>
        <v>1.7</v>
      </c>
      <c r="T139" s="283">
        <f>IFERROR(__xludf.DUMMYFUNCTION("""COMPUTED_VALUE"""),0.8)</f>
        <v>0.8</v>
      </c>
      <c r="U139" s="283">
        <f>IFERROR(__xludf.DUMMYFUNCTION("""COMPUTED_VALUE"""),0.4)</f>
        <v>0.4</v>
      </c>
      <c r="V139" s="280">
        <f>IFERROR(__xludf.DUMMYFUNCTION("""COMPUTED_VALUE"""),0.482)</f>
        <v>0.482</v>
      </c>
      <c r="W139" s="280">
        <f>IFERROR(__xludf.DUMMYFUNCTION("""COMPUTED_VALUE"""),0.821)</f>
        <v>0.821</v>
      </c>
      <c r="X139" s="280">
        <f>IFERROR(__xludf.DUMMYFUNCTION("""COMPUTED_VALUE"""),1.5)</f>
        <v>1.5</v>
      </c>
      <c r="Y139" s="283">
        <f>IFERROR(__xludf.DUMMYFUNCTION("""COMPUTED_VALUE"""),0.24082414802685767)</f>
        <v>0.240824148</v>
      </c>
      <c r="Z139" s="281">
        <f>IFERROR(__xludf.DUMMYFUNCTION("""COMPUTED_VALUE"""),0.8469451937452375)</f>
        <v>0.8469451937</v>
      </c>
      <c r="AA139" s="281">
        <f>IFERROR(__xludf.DUMMYFUNCTION("""COMPUTED_VALUE"""),-1.0469024876399833)</f>
        <v>-1.046902488</v>
      </c>
      <c r="AB139" s="281">
        <f>IFERROR(__xludf.DUMMYFUNCTION("""COMPUTED_VALUE"""),-1.0186525625504688)</f>
        <v>-1.018652563</v>
      </c>
      <c r="AC139" s="281">
        <f>IFERROR(__xludf.DUMMYFUNCTION("""COMPUTED_VALUE"""),-0.5847290886782864)</f>
        <v>-0.5847290887</v>
      </c>
      <c r="AD139" s="281">
        <f>IFERROR(__xludf.DUMMYFUNCTION("""COMPUTED_VALUE"""),-0.6155173428439339)</f>
        <v>-0.6155173428</v>
      </c>
      <c r="AE139" s="281">
        <f>IFERROR(__xludf.DUMMYFUNCTION("""COMPUTED_VALUE"""),-0.23370008690687208)</f>
        <v>-0.2337000869</v>
      </c>
      <c r="AF139" s="281">
        <f>IFERROR(__xludf.DUMMYFUNCTION("""COMPUTED_VALUE"""),0.37876525402490074)</f>
        <v>0.378765254</v>
      </c>
      <c r="AG139" s="281">
        <f>IFERROR(__xludf.DUMMYFUNCTION("""COMPUTED_VALUE"""),0.06166489084362008)</f>
        <v>0.06166489084</v>
      </c>
      <c r="AH139" s="285"/>
      <c r="AI139" s="273"/>
      <c r="AJ139" s="340"/>
      <c r="AK139" s="341"/>
      <c r="AL139" s="273"/>
      <c r="AM139" s="273"/>
      <c r="AN139" s="273"/>
      <c r="AO139" s="273"/>
      <c r="AP139" s="273"/>
      <c r="AQ139" s="273"/>
      <c r="AR139" s="273"/>
      <c r="AS139" s="273"/>
      <c r="AT139" s="273"/>
      <c r="AU139" s="273"/>
      <c r="AV139" s="273"/>
      <c r="AW139" s="273"/>
      <c r="AX139" s="273"/>
      <c r="AY139" s="273"/>
      <c r="AZ139" s="273"/>
      <c r="BA139" s="273"/>
      <c r="BB139" s="273"/>
      <c r="BC139" s="273"/>
      <c r="BD139" s="273"/>
      <c r="BE139" s="273"/>
      <c r="BF139" s="273"/>
      <c r="BG139" s="273"/>
      <c r="BH139" s="273"/>
      <c r="BI139" s="273"/>
      <c r="BJ139" s="273"/>
      <c r="BK139" s="273"/>
      <c r="BL139" s="273"/>
      <c r="BM139" s="273"/>
      <c r="BN139" s="273"/>
      <c r="BO139" s="273"/>
      <c r="BP139" s="273"/>
      <c r="BQ139" s="273"/>
      <c r="BR139" s="273"/>
      <c r="BS139" s="273"/>
      <c r="BT139" s="273"/>
      <c r="BU139" s="273"/>
      <c r="BV139" s="273"/>
      <c r="BW139" s="273"/>
    </row>
    <row r="140">
      <c r="A140" s="276">
        <f>VLOOKUP($F140,UpdateHashtag!$V$3:$Y$32,COLUMN(B$15),0)</f>
        <v>4</v>
      </c>
      <c r="B140" s="259">
        <f>VLOOKUP($F140,UpdateHashtag!$V$3:$Y$32,COLUMN(C$13),0)</f>
        <v>4</v>
      </c>
      <c r="C140" s="259">
        <f>VLOOKUP($F140,UpdateHashtag!$V$3:$Y$32,COLUMN(D$13),0)</f>
        <v>4</v>
      </c>
      <c r="D140" s="277">
        <f t="shared" si="4"/>
        <v>12</v>
      </c>
      <c r="E140" s="21"/>
      <c r="F140" s="261" t="str">
        <f>VLOOKUP(J140,UpdateBBM!$C$2:E1015,3,0)</f>
        <v>HOU</v>
      </c>
      <c r="G140" s="248">
        <v>121.0</v>
      </c>
      <c r="H140" s="278">
        <f>IFERROR(__xludf.DUMMYFUNCTION("""COMPUTED_VALUE"""),121.0)</f>
        <v>121</v>
      </c>
      <c r="I140" s="278">
        <f>IFERROR(__xludf.DUMMYFUNCTION("""COMPUTED_VALUE"""),102.7)</f>
        <v>102.7</v>
      </c>
      <c r="J140" s="279" t="str">
        <f>IFERROR(__xludf.DUMMYFUNCTION("""COMPUTED_VALUE"""),"Clint Capela")</f>
        <v>Clint Capela</v>
      </c>
      <c r="K140" s="278">
        <f>IFERROR(__xludf.DUMMYFUNCTION("""COMPUTED_VALUE"""),66.0)</f>
        <v>66</v>
      </c>
      <c r="L140" s="280" t="str">
        <f>IFERROR(__xludf.DUMMYFUNCTION("""COMPUTED_VALUE"""),"C")</f>
        <v>C</v>
      </c>
      <c r="M140" s="281">
        <f>IFERROR(__xludf.DUMMYFUNCTION("""COMPUTED_VALUE"""),-1.008937506224701)</f>
        <v>-1.008937506</v>
      </c>
      <c r="N140" s="281">
        <f>IFERROR(__xludf.DUMMYFUNCTION("""COMPUTED_VALUE"""),-1.008937506224701)</f>
        <v>-1.008937506</v>
      </c>
      <c r="O140" s="282">
        <f>IFERROR(__xludf.DUMMYFUNCTION("""COMPUTED_VALUE"""),0.0)</f>
        <v>0</v>
      </c>
      <c r="P140" s="283">
        <f>IFERROR(__xludf.DUMMYFUNCTION("""COMPUTED_VALUE"""),11.5)</f>
        <v>11.5</v>
      </c>
      <c r="Q140" s="283">
        <f>IFERROR(__xludf.DUMMYFUNCTION("""COMPUTED_VALUE"""),0.0)</f>
        <v>0</v>
      </c>
      <c r="R140" s="283">
        <f>IFERROR(__xludf.DUMMYFUNCTION("""COMPUTED_VALUE"""),10.7)</f>
        <v>10.7</v>
      </c>
      <c r="S140" s="284">
        <f>IFERROR(__xludf.DUMMYFUNCTION("""COMPUTED_VALUE"""),1.1)</f>
        <v>1.1</v>
      </c>
      <c r="T140" s="283">
        <f>IFERROR(__xludf.DUMMYFUNCTION("""COMPUTED_VALUE"""),0.6)</f>
        <v>0.6</v>
      </c>
      <c r="U140" s="283">
        <f>IFERROR(__xludf.DUMMYFUNCTION("""COMPUTED_VALUE"""),1.3)</f>
        <v>1.3</v>
      </c>
      <c r="V140" s="280">
        <f>IFERROR(__xludf.DUMMYFUNCTION("""COMPUTED_VALUE"""),0.597)</f>
        <v>0.597</v>
      </c>
      <c r="W140" s="280">
        <f>IFERROR(__xludf.DUMMYFUNCTION("""COMPUTED_VALUE"""),0.631)</f>
        <v>0.631</v>
      </c>
      <c r="X140" s="280">
        <f>IFERROR(__xludf.DUMMYFUNCTION("""COMPUTED_VALUE"""),0.9)</f>
        <v>0.9</v>
      </c>
      <c r="Y140" s="283">
        <f>IFERROR(__xludf.DUMMYFUNCTION("""COMPUTED_VALUE"""),-1.0779063952915777)</f>
        <v>-1.077906395</v>
      </c>
      <c r="Z140" s="281">
        <f>IFERROR(__xludf.DUMMYFUNCTION("""COMPUTED_VALUE"""),-1.7406865810748415)</f>
        <v>-1.740686581</v>
      </c>
      <c r="AA140" s="281">
        <f>IFERROR(__xludf.DUMMYFUNCTION("""COMPUTED_VALUE"""),1.8166226044829816)</f>
        <v>1.816622604</v>
      </c>
      <c r="AB140" s="281">
        <f>IFERROR(__xludf.DUMMYFUNCTION("""COMPUTED_VALUE"""),-1.2920231850832664)</f>
        <v>-1.292023185</v>
      </c>
      <c r="AC140" s="281">
        <f>IFERROR(__xludf.DUMMYFUNCTION("""COMPUTED_VALUE"""),-1.2485944449972455)</f>
        <v>-1.248594445</v>
      </c>
      <c r="AD140" s="281">
        <f>IFERROR(__xludf.DUMMYFUNCTION("""COMPUTED_VALUE"""),0.9900259756299733)</f>
        <v>0.9900259756</v>
      </c>
      <c r="AE140" s="281">
        <f>IFERROR(__xludf.DUMMYFUNCTION("""COMPUTED_VALUE"""),0.9856543210651613)</f>
        <v>0.9856543211</v>
      </c>
      <c r="AF140" s="281">
        <f>IFERROR(__xludf.DUMMYFUNCTION("""COMPUTED_VALUE"""),-1.3931705537302674)</f>
        <v>-1.393170554</v>
      </c>
      <c r="AG140" s="281">
        <f>IFERROR(__xludf.DUMMYFUNCTION("""COMPUTED_VALUE"""),0.21045417169954)</f>
        <v>0.2104541717</v>
      </c>
      <c r="AH140" s="285"/>
      <c r="AI140" s="273"/>
      <c r="AJ140" s="340"/>
      <c r="AK140" s="341"/>
      <c r="AL140" s="273"/>
      <c r="AM140" s="273"/>
      <c r="AN140" s="273"/>
      <c r="AO140" s="273"/>
      <c r="AP140" s="273"/>
      <c r="AQ140" s="273"/>
      <c r="AR140" s="273"/>
      <c r="AS140" s="273"/>
      <c r="AT140" s="273"/>
      <c r="AU140" s="273"/>
      <c r="AV140" s="273"/>
      <c r="AW140" s="273"/>
      <c r="AX140" s="273"/>
      <c r="AY140" s="273"/>
      <c r="AZ140" s="273"/>
      <c r="BA140" s="273"/>
      <c r="BB140" s="273"/>
      <c r="BC140" s="273"/>
      <c r="BD140" s="273"/>
      <c r="BE140" s="273"/>
      <c r="BF140" s="273"/>
      <c r="BG140" s="273"/>
      <c r="BH140" s="273"/>
      <c r="BI140" s="273"/>
      <c r="BJ140" s="273"/>
      <c r="BK140" s="273"/>
      <c r="BL140" s="273"/>
      <c r="BM140" s="273"/>
      <c r="BN140" s="273"/>
      <c r="BO140" s="273"/>
      <c r="BP140" s="273"/>
      <c r="BQ140" s="273"/>
      <c r="BR140" s="273"/>
      <c r="BS140" s="273"/>
      <c r="BT140" s="273"/>
      <c r="BU140" s="273"/>
      <c r="BV140" s="273"/>
      <c r="BW140" s="273"/>
    </row>
    <row r="141">
      <c r="A141" s="259" t="str">
        <f>VLOOKUP($F141,UpdateHashtag!$V$3:$Y$32,COLUMN(B$15),0)</f>
        <v>#N/A</v>
      </c>
      <c r="B141" s="259" t="str">
        <f>VLOOKUP($F141,UpdateHashtag!$V$3:$Y$32,COLUMN(C$13),0)</f>
        <v>#N/A</v>
      </c>
      <c r="C141" s="259" t="str">
        <f>VLOOKUP($F141,UpdateHashtag!$V$3:$Y$32,COLUMN(D$13),0)</f>
        <v>#N/A</v>
      </c>
      <c r="D141" s="329" t="str">
        <f t="shared" si="4"/>
        <v>#N/A</v>
      </c>
      <c r="E141" s="21"/>
      <c r="F141" s="261" t="str">
        <f>VLOOKUP(J141,UpdateBBM!$C$2:E1015,3,0)</f>
        <v>#N/A</v>
      </c>
      <c r="G141" s="248">
        <v>122.0</v>
      </c>
      <c r="H141" s="278">
        <f>IFERROR(__xludf.DUMMYFUNCTION("""COMPUTED_VALUE"""),122.0)</f>
        <v>122</v>
      </c>
      <c r="I141" s="278">
        <f>IFERROR(__xludf.DUMMYFUNCTION("""COMPUTED_VALUE"""),124.0)</f>
        <v>124</v>
      </c>
      <c r="J141" s="279" t="str">
        <f>IFERROR(__xludf.DUMMYFUNCTION("""COMPUTED_VALUE"""),"Cameron Johnson")</f>
        <v>Cameron Johnson</v>
      </c>
      <c r="K141" s="278">
        <f>IFERROR(__xludf.DUMMYFUNCTION("""COMPUTED_VALUE"""),66.0)</f>
        <v>66</v>
      </c>
      <c r="L141" s="280" t="str">
        <f>IFERROR(__xludf.DUMMYFUNCTION("""COMPUTED_VALUE"""),"SF,PF")</f>
        <v>SF,PF</v>
      </c>
      <c r="M141" s="281">
        <f>IFERROR(__xludf.DUMMYFUNCTION("""COMPUTED_VALUE"""),-1.2258233986178286)</f>
        <v>-1.225823399</v>
      </c>
      <c r="N141" s="281">
        <f>IFERROR(__xludf.DUMMYFUNCTION("""COMPUTED_VALUE"""),-1.2258233986178286)</f>
        <v>-1.225823399</v>
      </c>
      <c r="O141" s="282">
        <f>IFERROR(__xludf.DUMMYFUNCTION("""COMPUTED_VALUE"""),0.0)</f>
        <v>0</v>
      </c>
      <c r="P141" s="283">
        <f>IFERROR(__xludf.DUMMYFUNCTION("""COMPUTED_VALUE"""),14.7)</f>
        <v>14.7</v>
      </c>
      <c r="Q141" s="283">
        <f>IFERROR(__xludf.DUMMYFUNCTION("""COMPUTED_VALUE"""),2.5)</f>
        <v>2.5</v>
      </c>
      <c r="R141" s="283">
        <f>IFERROR(__xludf.DUMMYFUNCTION("""COMPUTED_VALUE"""),4.5)</f>
        <v>4.5</v>
      </c>
      <c r="S141" s="284">
        <f>IFERROR(__xludf.DUMMYFUNCTION("""COMPUTED_VALUE"""),2.2)</f>
        <v>2.2</v>
      </c>
      <c r="T141" s="283">
        <f>IFERROR(__xludf.DUMMYFUNCTION("""COMPUTED_VALUE"""),1.0)</f>
        <v>1</v>
      </c>
      <c r="U141" s="283">
        <f>IFERROR(__xludf.DUMMYFUNCTION("""COMPUTED_VALUE"""),0.3)</f>
        <v>0.3</v>
      </c>
      <c r="V141" s="280">
        <f>IFERROR(__xludf.DUMMYFUNCTION("""COMPUTED_VALUE"""),0.457)</f>
        <v>0.457</v>
      </c>
      <c r="W141" s="280">
        <f>IFERROR(__xludf.DUMMYFUNCTION("""COMPUTED_VALUE"""),0.818)</f>
        <v>0.818</v>
      </c>
      <c r="X141" s="280">
        <f>IFERROR(__xludf.DUMMYFUNCTION("""COMPUTED_VALUE"""),1.0)</f>
        <v>1</v>
      </c>
      <c r="Y141" s="283">
        <f>IFERROR(__xludf.DUMMYFUNCTION("""COMPUTED_VALUE"""),-0.4998327324670583)</f>
        <v>-0.4998327325</v>
      </c>
      <c r="Z141" s="281">
        <f>IFERROR(__xludf.DUMMYFUNCTION("""COMPUTED_VALUE"""),0.7474208947136959)</f>
        <v>0.7474208947</v>
      </c>
      <c r="AA141" s="281">
        <f>IFERROR(__xludf.DUMMYFUNCTION("""COMPUTED_VALUE"""),-0.6154124052652897)</f>
        <v>-0.6154124053</v>
      </c>
      <c r="AB141" s="281">
        <f>IFERROR(__xludf.DUMMYFUNCTION("""COMPUTED_VALUE"""),-0.7908437104398038)</f>
        <v>-0.7908437104</v>
      </c>
      <c r="AC141" s="281">
        <f>IFERROR(__xludf.DUMMYFUNCTION("""COMPUTED_VALUE"""),0.07913626764067216)</f>
        <v>0.07913626764</v>
      </c>
      <c r="AD141" s="281">
        <f>IFERROR(__xludf.DUMMYFUNCTION("""COMPUTED_VALUE"""),-0.7939110448965904)</f>
        <v>-0.7939110449</v>
      </c>
      <c r="AE141" s="281">
        <f>IFERROR(__xludf.DUMMYFUNCTION("""COMPUTED_VALUE"""),-0.5281657046506756)</f>
        <v>-0.5281657047</v>
      </c>
      <c r="AF141" s="281">
        <f>IFERROR(__xludf.DUMMYFUNCTION("""COMPUTED_VALUE"""),0.1962180336270772)</f>
        <v>0.1962180336</v>
      </c>
      <c r="AG141" s="281">
        <f>IFERROR(__xludf.DUMMYFUNCTION("""COMPUTED_VALUE"""),0.18565595822355335)</f>
        <v>0.1856559582</v>
      </c>
      <c r="AH141" s="285"/>
      <c r="AI141" s="273"/>
      <c r="AJ141" s="340"/>
      <c r="AK141" s="341"/>
      <c r="AL141" s="273"/>
      <c r="AM141" s="273"/>
      <c r="AN141" s="273"/>
      <c r="AO141" s="273"/>
      <c r="AP141" s="273"/>
      <c r="AQ141" s="273"/>
      <c r="AR141" s="273"/>
      <c r="AS141" s="273"/>
      <c r="AT141" s="273"/>
      <c r="AU141" s="273"/>
      <c r="AV141" s="273"/>
      <c r="AW141" s="273"/>
      <c r="AX141" s="273"/>
      <c r="AY141" s="273"/>
      <c r="AZ141" s="273"/>
      <c r="BA141" s="273"/>
      <c r="BB141" s="273"/>
      <c r="BC141" s="273"/>
      <c r="BD141" s="273"/>
      <c r="BE141" s="273"/>
      <c r="BF141" s="273"/>
      <c r="BG141" s="273"/>
      <c r="BH141" s="273"/>
      <c r="BI141" s="273"/>
      <c r="BJ141" s="273"/>
      <c r="BK141" s="273"/>
      <c r="BL141" s="273"/>
      <c r="BM141" s="273"/>
      <c r="BN141" s="273"/>
      <c r="BO141" s="273"/>
      <c r="BP141" s="273"/>
      <c r="BQ141" s="273"/>
      <c r="BR141" s="273"/>
      <c r="BS141" s="273"/>
      <c r="BT141" s="273"/>
      <c r="BU141" s="273"/>
      <c r="BV141" s="273"/>
      <c r="BW141" s="273"/>
    </row>
    <row r="142">
      <c r="A142" s="276">
        <f>VLOOKUP($F142,UpdateHashtag!$V$3:$Y$32,COLUMN(B$15),0)</f>
        <v>4</v>
      </c>
      <c r="B142" s="259">
        <f>VLOOKUP($F142,UpdateHashtag!$V$3:$Y$32,COLUMN(C$13),0)</f>
        <v>4</v>
      </c>
      <c r="C142" s="259">
        <f>VLOOKUP($F142,UpdateHashtag!$V$3:$Y$32,COLUMN(D$13),0)</f>
        <v>3</v>
      </c>
      <c r="D142" s="277">
        <f t="shared" si="4"/>
        <v>11</v>
      </c>
      <c r="E142" s="21"/>
      <c r="F142" s="261" t="str">
        <f>VLOOKUP(J142,UpdateBBM!$C$2:E1015,3,0)</f>
        <v>ATL</v>
      </c>
      <c r="G142" s="248">
        <v>123.0</v>
      </c>
      <c r="H142" s="278">
        <f>IFERROR(__xludf.DUMMYFUNCTION("""COMPUTED_VALUE"""),123.0)</f>
        <v>123</v>
      </c>
      <c r="I142" s="278">
        <f>IFERROR(__xludf.DUMMYFUNCTION("""COMPUTED_VALUE"""),144.4)</f>
        <v>144.4</v>
      </c>
      <c r="J142" s="279" t="str">
        <f>IFERROR(__xludf.DUMMYFUNCTION("""COMPUTED_VALUE"""),"Dyson Daniels")</f>
        <v>Dyson Daniels</v>
      </c>
      <c r="K142" s="278">
        <f>IFERROR(__xludf.DUMMYFUNCTION("""COMPUTED_VALUE"""),61.0)</f>
        <v>61</v>
      </c>
      <c r="L142" s="280" t="str">
        <f>IFERROR(__xludf.DUMMYFUNCTION("""COMPUTED_VALUE"""),"PG,SG")</f>
        <v>PG,SG</v>
      </c>
      <c r="M142" s="281">
        <f>IFERROR(__xludf.DUMMYFUNCTION("""COMPUTED_VALUE"""),-1.2269061341910616)</f>
        <v>-1.226906134</v>
      </c>
      <c r="N142" s="281">
        <f>IFERROR(__xludf.DUMMYFUNCTION("""COMPUTED_VALUE"""),-1.2269061341910616)</f>
        <v>-1.226906134</v>
      </c>
      <c r="O142" s="282">
        <f>IFERROR(__xludf.DUMMYFUNCTION("""COMPUTED_VALUE"""),0.0)</f>
        <v>0</v>
      </c>
      <c r="P142" s="283">
        <f>IFERROR(__xludf.DUMMYFUNCTION("""COMPUTED_VALUE"""),7.1)</f>
        <v>7.1</v>
      </c>
      <c r="Q142" s="283">
        <f>IFERROR(__xludf.DUMMYFUNCTION("""COMPUTED_VALUE"""),0.8)</f>
        <v>0.8</v>
      </c>
      <c r="R142" s="283">
        <f>IFERROR(__xludf.DUMMYFUNCTION("""COMPUTED_VALUE"""),5.0)</f>
        <v>5</v>
      </c>
      <c r="S142" s="284">
        <f>IFERROR(__xludf.DUMMYFUNCTION("""COMPUTED_VALUE"""),3.5)</f>
        <v>3.5</v>
      </c>
      <c r="T142" s="283">
        <f>IFERROR(__xludf.DUMMYFUNCTION("""COMPUTED_VALUE"""),1.5)</f>
        <v>1.5</v>
      </c>
      <c r="U142" s="283">
        <f>IFERROR(__xludf.DUMMYFUNCTION("""COMPUTED_VALUE"""),0.4)</f>
        <v>0.4</v>
      </c>
      <c r="V142" s="280">
        <f>IFERROR(__xludf.DUMMYFUNCTION("""COMPUTED_VALUE"""),0.453)</f>
        <v>0.453</v>
      </c>
      <c r="W142" s="280">
        <f>IFERROR(__xludf.DUMMYFUNCTION("""COMPUTED_VALUE"""),0.651)</f>
        <v>0.651</v>
      </c>
      <c r="X142" s="280">
        <f>IFERROR(__xludf.DUMMYFUNCTION("""COMPUTED_VALUE"""),1.4)</f>
        <v>1.4</v>
      </c>
      <c r="Y142" s="283">
        <f>IFERROR(__xludf.DUMMYFUNCTION("""COMPUTED_VALUE"""),-1.872757681675292)</f>
        <v>-1.872757682</v>
      </c>
      <c r="Z142" s="281">
        <f>IFERROR(__xludf.DUMMYFUNCTION("""COMPUTED_VALUE"""),-0.9444921888225095)</f>
        <v>-0.9444921888</v>
      </c>
      <c r="AA142" s="281">
        <f>IFERROR(__xludf.DUMMYFUNCTION("""COMPUTED_VALUE"""),-0.41928054964042916)</f>
        <v>-0.4192805496</v>
      </c>
      <c r="AB142" s="281">
        <f>IFERROR(__xludf.DUMMYFUNCTION("""COMPUTED_VALUE"""),-0.1985406949520756)</f>
        <v>-0.198540695</v>
      </c>
      <c r="AC142" s="281">
        <f>IFERROR(__xludf.DUMMYFUNCTION("""COMPUTED_VALUE"""),1.738799658438069)</f>
        <v>1.738799658</v>
      </c>
      <c r="AD142" s="281">
        <f>IFERROR(__xludf.DUMMYFUNCTION("""COMPUTED_VALUE"""),-0.6155173428439339)</f>
        <v>-0.6155173428</v>
      </c>
      <c r="AE142" s="281">
        <f>IFERROR(__xludf.DUMMYFUNCTION("""COMPUTED_VALUE"""),-0.3137128221593654)</f>
        <v>-0.3137128222</v>
      </c>
      <c r="AF142" s="281">
        <f>IFERROR(__xludf.DUMMYFUNCTION("""COMPUTED_VALUE"""),-0.5606252985304242)</f>
        <v>-0.5606252985</v>
      </c>
      <c r="AG142" s="281">
        <f>IFERROR(__xludf.DUMMYFUNCTION("""COMPUTED_VALUE"""),0.08646310431960676)</f>
        <v>0.08646310432</v>
      </c>
      <c r="AH142" s="285"/>
      <c r="AI142" s="273"/>
      <c r="AJ142" s="340"/>
      <c r="AK142" s="341"/>
      <c r="AL142" s="273"/>
      <c r="AM142" s="273"/>
      <c r="AN142" s="273"/>
      <c r="AO142" s="273"/>
      <c r="AP142" s="273"/>
      <c r="AQ142" s="273"/>
      <c r="AR142" s="273"/>
      <c r="AS142" s="273"/>
      <c r="AT142" s="273"/>
      <c r="AU142" s="273"/>
      <c r="AV142" s="273"/>
      <c r="AW142" s="273"/>
      <c r="AX142" s="273"/>
      <c r="AY142" s="273"/>
      <c r="AZ142" s="273"/>
      <c r="BA142" s="273"/>
      <c r="BB142" s="273"/>
      <c r="BC142" s="273"/>
      <c r="BD142" s="273"/>
      <c r="BE142" s="273"/>
      <c r="BF142" s="273"/>
      <c r="BG142" s="273"/>
      <c r="BH142" s="273"/>
      <c r="BI142" s="273"/>
      <c r="BJ142" s="273"/>
      <c r="BK142" s="273"/>
      <c r="BL142" s="273"/>
      <c r="BM142" s="273"/>
      <c r="BN142" s="273"/>
      <c r="BO142" s="273"/>
      <c r="BP142" s="273"/>
      <c r="BQ142" s="273"/>
      <c r="BR142" s="273"/>
      <c r="BS142" s="273"/>
      <c r="BT142" s="273"/>
      <c r="BU142" s="273"/>
      <c r="BV142" s="273"/>
      <c r="BW142" s="273"/>
    </row>
    <row r="143">
      <c r="A143" s="276">
        <f>VLOOKUP($F143,UpdateHashtag!$V$3:$Y$32,COLUMN(B$15),0)</f>
        <v>4</v>
      </c>
      <c r="B143" s="259">
        <f>VLOOKUP($F143,UpdateHashtag!$V$3:$Y$32,COLUMN(C$13),0)</f>
        <v>4</v>
      </c>
      <c r="C143" s="259">
        <f>VLOOKUP($F143,UpdateHashtag!$V$3:$Y$32,COLUMN(D$13),0)</f>
        <v>3</v>
      </c>
      <c r="D143" s="277">
        <f t="shared" si="4"/>
        <v>11</v>
      </c>
      <c r="E143" s="21"/>
      <c r="F143" s="261" t="str">
        <f>VLOOKUP(J143,UpdateBBM!$C$2:E1015,3,0)</f>
        <v>MEM</v>
      </c>
      <c r="G143" s="248">
        <v>124.0</v>
      </c>
      <c r="H143" s="278">
        <f>IFERROR(__xludf.DUMMYFUNCTION("""COMPUTED_VALUE"""),124.0)</f>
        <v>124</v>
      </c>
      <c r="I143" s="278">
        <f>IFERROR(__xludf.DUMMYFUNCTION("""COMPUTED_VALUE"""),140.4)</f>
        <v>140.4</v>
      </c>
      <c r="J143" s="279" t="str">
        <f>IFERROR(__xludf.DUMMYFUNCTION("""COMPUTED_VALUE"""),"Kentavious Caldwell-Pope")</f>
        <v>Kentavious Caldwell-Pope</v>
      </c>
      <c r="K143" s="278">
        <f>IFERROR(__xludf.DUMMYFUNCTION("""COMPUTED_VALUE"""),66.0)</f>
        <v>66</v>
      </c>
      <c r="L143" s="280" t="str">
        <f>IFERROR(__xludf.DUMMYFUNCTION("""COMPUTED_VALUE"""),"SG,SF")</f>
        <v>SG,SF</v>
      </c>
      <c r="M143" s="281">
        <f>IFERROR(__xludf.DUMMYFUNCTION("""COMPUTED_VALUE"""),-1.278352810282027)</f>
        <v>-1.27835281</v>
      </c>
      <c r="N143" s="281">
        <f>IFERROR(__xludf.DUMMYFUNCTION("""COMPUTED_VALUE"""),-1.278352810282027)</f>
        <v>-1.27835281</v>
      </c>
      <c r="O143" s="282">
        <f>IFERROR(__xludf.DUMMYFUNCTION("""COMPUTED_VALUE"""),0.0)</f>
        <v>0</v>
      </c>
      <c r="P143" s="283">
        <f>IFERROR(__xludf.DUMMYFUNCTION("""COMPUTED_VALUE"""),10.1)</f>
        <v>10.1</v>
      </c>
      <c r="Q143" s="283">
        <f>IFERROR(__xludf.DUMMYFUNCTION("""COMPUTED_VALUE"""),1.7)</f>
        <v>1.7</v>
      </c>
      <c r="R143" s="283">
        <f>IFERROR(__xludf.DUMMYFUNCTION("""COMPUTED_VALUE"""),2.5)</f>
        <v>2.5</v>
      </c>
      <c r="S143" s="284">
        <f>IFERROR(__xludf.DUMMYFUNCTION("""COMPUTED_VALUE"""),2.3)</f>
        <v>2.3</v>
      </c>
      <c r="T143" s="283">
        <f>IFERROR(__xludf.DUMMYFUNCTION("""COMPUTED_VALUE"""),1.3)</f>
        <v>1.3</v>
      </c>
      <c r="U143" s="283">
        <f>IFERROR(__xludf.DUMMYFUNCTION("""COMPUTED_VALUE"""),0.5)</f>
        <v>0.5</v>
      </c>
      <c r="V143" s="280">
        <f>IFERROR(__xludf.DUMMYFUNCTION("""COMPUTED_VALUE"""),0.461)</f>
        <v>0.461</v>
      </c>
      <c r="W143" s="280">
        <f>IFERROR(__xludf.DUMMYFUNCTION("""COMPUTED_VALUE"""),0.861)</f>
        <v>0.861</v>
      </c>
      <c r="X143" s="280">
        <f>IFERROR(__xludf.DUMMYFUNCTION("""COMPUTED_VALUE"""),1.0)</f>
        <v>1</v>
      </c>
      <c r="Y143" s="283">
        <f>IFERROR(__xludf.DUMMYFUNCTION("""COMPUTED_VALUE"""),-1.330813622777305)</f>
        <v>-1.330813623</v>
      </c>
      <c r="Z143" s="281">
        <f>IFERROR(__xludf.DUMMYFUNCTION("""COMPUTED_VALUE"""),-0.04877349753863613)</f>
        <v>-0.04877349754</v>
      </c>
      <c r="AA143" s="281">
        <f>IFERROR(__xludf.DUMMYFUNCTION("""COMPUTED_VALUE"""),-1.3999398277647324)</f>
        <v>-1.399939828</v>
      </c>
      <c r="AB143" s="281">
        <f>IFERROR(__xludf.DUMMYFUNCTION("""COMPUTED_VALUE"""),-0.745281940017671)</f>
        <v>-0.74528194</v>
      </c>
      <c r="AC143" s="281">
        <f>IFERROR(__xludf.DUMMYFUNCTION("""COMPUTED_VALUE"""),1.0749343021191105)</f>
        <v>1.074934302</v>
      </c>
      <c r="AD143" s="281">
        <f>IFERROR(__xludf.DUMMYFUNCTION("""COMPUTED_VALUE"""),-0.4371236407912776)</f>
        <v>-0.4371236408</v>
      </c>
      <c r="AE143" s="281">
        <f>IFERROR(__xludf.DUMMYFUNCTION("""COMPUTED_VALUE"""),-0.3280081286730279)</f>
        <v>-0.3280081287</v>
      </c>
      <c r="AF143" s="281">
        <f>IFERROR(__xludf.DUMMYFUNCTION("""COMPUTED_VALUE"""),0.35105775917322646)</f>
        <v>0.3510577592</v>
      </c>
      <c r="AG143" s="281">
        <f>IFERROR(__xludf.DUMMYFUNCTION("""COMPUTED_VALUE"""),0.18565595822355335)</f>
        <v>0.1856559582</v>
      </c>
      <c r="AH143" s="285"/>
      <c r="AI143" s="273"/>
      <c r="AJ143" s="340"/>
      <c r="AK143" s="341"/>
      <c r="AL143" s="273"/>
      <c r="AM143" s="273"/>
      <c r="AN143" s="273"/>
      <c r="AO143" s="273"/>
      <c r="AP143" s="273"/>
      <c r="AQ143" s="273"/>
      <c r="AR143" s="273"/>
      <c r="AS143" s="273"/>
      <c r="AT143" s="273"/>
      <c r="AU143" s="273"/>
      <c r="AV143" s="273"/>
      <c r="AW143" s="273"/>
      <c r="AX143" s="273"/>
      <c r="AY143" s="273"/>
      <c r="AZ143" s="273"/>
      <c r="BA143" s="273"/>
      <c r="BB143" s="273"/>
      <c r="BC143" s="273"/>
      <c r="BD143" s="273"/>
      <c r="BE143" s="273"/>
      <c r="BF143" s="273"/>
      <c r="BG143" s="273"/>
      <c r="BH143" s="273"/>
      <c r="BI143" s="273"/>
      <c r="BJ143" s="273"/>
      <c r="BK143" s="273"/>
      <c r="BL143" s="273"/>
      <c r="BM143" s="273"/>
      <c r="BN143" s="273"/>
      <c r="BO143" s="273"/>
      <c r="BP143" s="273"/>
      <c r="BQ143" s="273"/>
      <c r="BR143" s="273"/>
      <c r="BS143" s="273"/>
      <c r="BT143" s="273"/>
      <c r="BU143" s="273"/>
      <c r="BV143" s="273"/>
      <c r="BW143" s="273"/>
    </row>
    <row r="144">
      <c r="A144" s="259" t="str">
        <f>VLOOKUP($F144,UpdateHashtag!$V$3:$Y$32,COLUMN(B$15),0)</f>
        <v>#N/A</v>
      </c>
      <c r="B144" s="259" t="str">
        <f>VLOOKUP($F144,UpdateHashtag!$V$3:$Y$32,COLUMN(C$13),0)</f>
        <v>#N/A</v>
      </c>
      <c r="C144" s="259" t="str">
        <f>VLOOKUP($F144,UpdateHashtag!$V$3:$Y$32,COLUMN(D$13),0)</f>
        <v>#N/A</v>
      </c>
      <c r="D144" s="329" t="str">
        <f t="shared" si="4"/>
        <v>#N/A</v>
      </c>
      <c r="E144" s="21"/>
      <c r="F144" s="261" t="str">
        <f>VLOOKUP(J144,UpdateBBM!$C$2:E1015,3,0)</f>
        <v>NYK</v>
      </c>
      <c r="G144" s="248">
        <v>125.0</v>
      </c>
      <c r="H144" s="278">
        <f>IFERROR(__xludf.DUMMYFUNCTION("""COMPUTED_VALUE"""),125.0)</f>
        <v>125</v>
      </c>
      <c r="I144" s="278">
        <f>IFERROR(__xludf.DUMMYFUNCTION("""COMPUTED_VALUE"""),140.1)</f>
        <v>140.1</v>
      </c>
      <c r="J144" s="279" t="str">
        <f>IFERROR(__xludf.DUMMYFUNCTION("""COMPUTED_VALUE"""),"Mitchell Robinson")</f>
        <v>Mitchell Robinson</v>
      </c>
      <c r="K144" s="278">
        <f>IFERROR(__xludf.DUMMYFUNCTION("""COMPUTED_VALUE"""),75.0)</f>
        <v>75</v>
      </c>
      <c r="L144" s="280" t="str">
        <f>IFERROR(__xludf.DUMMYFUNCTION("""COMPUTED_VALUE"""),"C")</f>
        <v>C</v>
      </c>
      <c r="M144" s="281">
        <f>IFERROR(__xludf.DUMMYFUNCTION("""COMPUTED_VALUE"""),-1.288141272979836)</f>
        <v>-1.288141273</v>
      </c>
      <c r="N144" s="281">
        <f>IFERROR(__xludf.DUMMYFUNCTION("""COMPUTED_VALUE"""),-1.288141272979836)</f>
        <v>-1.288141273</v>
      </c>
      <c r="O144" s="282">
        <f>IFERROR(__xludf.DUMMYFUNCTION("""COMPUTED_VALUE"""),0.0)</f>
        <v>0</v>
      </c>
      <c r="P144" s="283">
        <f>IFERROR(__xludf.DUMMYFUNCTION("""COMPUTED_VALUE"""),6.8)</f>
        <v>6.8</v>
      </c>
      <c r="Q144" s="283">
        <f>IFERROR(__xludf.DUMMYFUNCTION("""COMPUTED_VALUE"""),0.0)</f>
        <v>0</v>
      </c>
      <c r="R144" s="283">
        <f>IFERROR(__xludf.DUMMYFUNCTION("""COMPUTED_VALUE"""),9.1)</f>
        <v>9.1</v>
      </c>
      <c r="S144" s="284">
        <f>IFERROR(__xludf.DUMMYFUNCTION("""COMPUTED_VALUE"""),0.8)</f>
        <v>0.8</v>
      </c>
      <c r="T144" s="283">
        <f>IFERROR(__xludf.DUMMYFUNCTION("""COMPUTED_VALUE"""),1.0)</f>
        <v>1</v>
      </c>
      <c r="U144" s="283">
        <f>IFERROR(__xludf.DUMMYFUNCTION("""COMPUTED_VALUE"""),1.6)</f>
        <v>1.6</v>
      </c>
      <c r="V144" s="280">
        <f>IFERROR(__xludf.DUMMYFUNCTION("""COMPUTED_VALUE"""),0.64)</f>
        <v>0.64</v>
      </c>
      <c r="W144" s="280">
        <f>IFERROR(__xludf.DUMMYFUNCTION("""COMPUTED_VALUE"""),0.459)</f>
        <v>0.459</v>
      </c>
      <c r="X144" s="280">
        <f>IFERROR(__xludf.DUMMYFUNCTION("""COMPUTED_VALUE"""),0.7)</f>
        <v>0.7</v>
      </c>
      <c r="Y144" s="283">
        <f>IFERROR(__xludf.DUMMYFUNCTION("""COMPUTED_VALUE"""),-1.9269520875650907)</f>
        <v>-1.926952088</v>
      </c>
      <c r="Z144" s="281">
        <f>IFERROR(__xludf.DUMMYFUNCTION("""COMPUTED_VALUE"""),-1.7406865810748415)</f>
        <v>-1.740686581</v>
      </c>
      <c r="AA144" s="281">
        <f>IFERROR(__xludf.DUMMYFUNCTION("""COMPUTED_VALUE"""),1.1890006664834278)</f>
        <v>1.189000666</v>
      </c>
      <c r="AB144" s="281">
        <f>IFERROR(__xludf.DUMMYFUNCTION("""COMPUTED_VALUE"""),-1.428708496349665)</f>
        <v>-1.428708496</v>
      </c>
      <c r="AC144" s="281">
        <f>IFERROR(__xludf.DUMMYFUNCTION("""COMPUTED_VALUE"""),0.07913626764067216)</f>
        <v>0.07913626764</v>
      </c>
      <c r="AD144" s="281">
        <f>IFERROR(__xludf.DUMMYFUNCTION("""COMPUTED_VALUE"""),1.5252070817879424)</f>
        <v>1.525207082</v>
      </c>
      <c r="AE144" s="281">
        <f>IFERROR(__xludf.DUMMYFUNCTION("""COMPUTED_VALUE"""),0.7548112774462045)</f>
        <v>0.7548112774</v>
      </c>
      <c r="AF144" s="281">
        <f>IFERROR(__xludf.DUMMYFUNCTION("""COMPUTED_VALUE"""),-2.4981845681892807)</f>
        <v>-2.498184568</v>
      </c>
      <c r="AG144" s="281">
        <f>IFERROR(__xludf.DUMMYFUNCTION("""COMPUTED_VALUE"""),0.26005059865151336)</f>
        <v>0.2600505987</v>
      </c>
      <c r="AH144" s="285"/>
      <c r="AI144" s="273"/>
      <c r="AJ144" s="340"/>
      <c r="AK144" s="341"/>
      <c r="AL144" s="273"/>
      <c r="AM144" s="273"/>
      <c r="AN144" s="273"/>
      <c r="AO144" s="273"/>
      <c r="AP144" s="273"/>
      <c r="AQ144" s="273"/>
      <c r="AR144" s="273"/>
      <c r="AS144" s="273"/>
      <c r="AT144" s="273"/>
      <c r="AU144" s="273"/>
      <c r="AV144" s="273"/>
      <c r="AW144" s="273"/>
      <c r="AX144" s="273"/>
      <c r="AY144" s="273"/>
      <c r="AZ144" s="273"/>
      <c r="BA144" s="273"/>
      <c r="BB144" s="273"/>
      <c r="BC144" s="273"/>
      <c r="BD144" s="273"/>
      <c r="BE144" s="273"/>
      <c r="BF144" s="273"/>
      <c r="BG144" s="273"/>
      <c r="BH144" s="273"/>
      <c r="BI144" s="273"/>
      <c r="BJ144" s="273"/>
      <c r="BK144" s="273"/>
      <c r="BL144" s="273"/>
      <c r="BM144" s="273"/>
      <c r="BN144" s="273"/>
      <c r="BO144" s="273"/>
      <c r="BP144" s="273"/>
      <c r="BQ144" s="273"/>
      <c r="BR144" s="273"/>
      <c r="BS144" s="273"/>
      <c r="BT144" s="273"/>
      <c r="BU144" s="273"/>
      <c r="BV144" s="273"/>
      <c r="BW144" s="273"/>
    </row>
    <row r="145">
      <c r="A145" s="276">
        <f>VLOOKUP($F145,UpdateHashtag!$V$3:$Y$32,COLUMN(B$15),0)</f>
        <v>3</v>
      </c>
      <c r="B145" s="259">
        <f>VLOOKUP($F145,UpdateHashtag!$V$3:$Y$32,COLUMN(C$13),0)</f>
        <v>4</v>
      </c>
      <c r="C145" s="259">
        <f>VLOOKUP($F145,UpdateHashtag!$V$3:$Y$32,COLUMN(D$13),0)</f>
        <v>4</v>
      </c>
      <c r="D145" s="277">
        <f t="shared" si="4"/>
        <v>11</v>
      </c>
      <c r="E145" s="21"/>
      <c r="F145" s="261" t="str">
        <f>VLOOKUP(J145,UpdateBBM!$C$2:E1015,3,0)</f>
        <v>DEN</v>
      </c>
      <c r="G145" s="248">
        <v>126.0</v>
      </c>
      <c r="H145" s="278">
        <f>IFERROR(__xludf.DUMMYFUNCTION("""COMPUTED_VALUE"""),126.0)</f>
        <v>126</v>
      </c>
      <c r="I145" s="278">
        <f>IFERROR(__xludf.DUMMYFUNCTION("""COMPUTED_VALUE"""),116.7)</f>
        <v>116.7</v>
      </c>
      <c r="J145" s="279" t="str">
        <f>IFERROR(__xludf.DUMMYFUNCTION("""COMPUTED_VALUE"""),"Aaron Gordon")</f>
        <v>Aaron Gordon</v>
      </c>
      <c r="K145" s="278">
        <f>IFERROR(__xludf.DUMMYFUNCTION("""COMPUTED_VALUE"""),64.0)</f>
        <v>64</v>
      </c>
      <c r="L145" s="280" t="str">
        <f>IFERROR(__xludf.DUMMYFUNCTION("""COMPUTED_VALUE"""),"PF,C")</f>
        <v>PF,C</v>
      </c>
      <c r="M145" s="281">
        <f>IFERROR(__xludf.DUMMYFUNCTION("""COMPUTED_VALUE"""),-1.3360405676596367)</f>
        <v>-1.336040568</v>
      </c>
      <c r="N145" s="281">
        <f>IFERROR(__xludf.DUMMYFUNCTION("""COMPUTED_VALUE"""),-1.3360405676596367)</f>
        <v>-1.336040568</v>
      </c>
      <c r="O145" s="282">
        <f>IFERROR(__xludf.DUMMYFUNCTION("""COMPUTED_VALUE"""),0.0)</f>
        <v>0</v>
      </c>
      <c r="P145" s="283">
        <f>IFERROR(__xludf.DUMMYFUNCTION("""COMPUTED_VALUE"""),15.3)</f>
        <v>15.3</v>
      </c>
      <c r="Q145" s="283">
        <f>IFERROR(__xludf.DUMMYFUNCTION("""COMPUTED_VALUE"""),0.7)</f>
        <v>0.7</v>
      </c>
      <c r="R145" s="283">
        <f>IFERROR(__xludf.DUMMYFUNCTION("""COMPUTED_VALUE"""),6.6)</f>
        <v>6.6</v>
      </c>
      <c r="S145" s="284">
        <f>IFERROR(__xludf.DUMMYFUNCTION("""COMPUTED_VALUE"""),3.3)</f>
        <v>3.3</v>
      </c>
      <c r="T145" s="283">
        <f>IFERROR(__xludf.DUMMYFUNCTION("""COMPUTED_VALUE"""),0.8)</f>
        <v>0.8</v>
      </c>
      <c r="U145" s="283">
        <f>IFERROR(__xludf.DUMMYFUNCTION("""COMPUTED_VALUE"""),0.7)</f>
        <v>0.7</v>
      </c>
      <c r="V145" s="280">
        <f>IFERROR(__xludf.DUMMYFUNCTION("""COMPUTED_VALUE"""),0.56)</f>
        <v>0.56</v>
      </c>
      <c r="W145" s="280">
        <f>IFERROR(__xludf.DUMMYFUNCTION("""COMPUTED_VALUE"""),0.632)</f>
        <v>0.632</v>
      </c>
      <c r="X145" s="280">
        <f>IFERROR(__xludf.DUMMYFUNCTION("""COMPUTED_VALUE"""),1.5)</f>
        <v>1.5</v>
      </c>
      <c r="Y145" s="283">
        <f>IFERROR(__xludf.DUMMYFUNCTION("""COMPUTED_VALUE"""),-0.3914439206874606)</f>
        <v>-0.3914439207</v>
      </c>
      <c r="Z145" s="281">
        <f>IFERROR(__xludf.DUMMYFUNCTION("""COMPUTED_VALUE"""),-1.0440164878540512)</f>
        <v>-1.044016488</v>
      </c>
      <c r="AA145" s="281">
        <f>IFERROR(__xludf.DUMMYFUNCTION("""COMPUTED_VALUE"""),0.20834138835912472)</f>
        <v>0.2083413884</v>
      </c>
      <c r="AB145" s="281">
        <f>IFERROR(__xludf.DUMMYFUNCTION("""COMPUTED_VALUE"""),-0.2896642357963416)</f>
        <v>-0.2896642358</v>
      </c>
      <c r="AC145" s="281">
        <f>IFERROR(__xludf.DUMMYFUNCTION("""COMPUTED_VALUE"""),-0.5847290886782864)</f>
        <v>-0.5847290887</v>
      </c>
      <c r="AD145" s="281">
        <f>IFERROR(__xludf.DUMMYFUNCTION("""COMPUTED_VALUE"""),-0.08033623668596498)</f>
        <v>-0.08033623669</v>
      </c>
      <c r="AE145" s="281">
        <f>IFERROR(__xludf.DUMMYFUNCTION("""COMPUTED_VALUE"""),0.7841431228397229)</f>
        <v>0.7841431228</v>
      </c>
      <c r="AF145" s="281">
        <f>IFERROR(__xludf.DUMMYFUNCTION("""COMPUTED_VALUE"""),-2.423174511659651)</f>
        <v>-2.423174512</v>
      </c>
      <c r="AG145" s="281">
        <f>IFERROR(__xludf.DUMMYFUNCTION("""COMPUTED_VALUE"""),0.06166489084362008)</f>
        <v>0.06166489084</v>
      </c>
      <c r="AH145" s="285"/>
      <c r="AI145" s="273"/>
      <c r="AJ145" s="340"/>
      <c r="AK145" s="341"/>
      <c r="AL145" s="273"/>
      <c r="AM145" s="273"/>
      <c r="AN145" s="273"/>
      <c r="AO145" s="273"/>
      <c r="AP145" s="273"/>
      <c r="AQ145" s="273"/>
      <c r="AR145" s="273"/>
      <c r="AS145" s="273"/>
      <c r="AT145" s="273"/>
      <c r="AU145" s="273"/>
      <c r="AV145" s="273"/>
      <c r="AW145" s="273"/>
      <c r="AX145" s="273"/>
      <c r="AY145" s="273"/>
      <c r="AZ145" s="273"/>
      <c r="BA145" s="273"/>
      <c r="BB145" s="273"/>
      <c r="BC145" s="273"/>
      <c r="BD145" s="273"/>
      <c r="BE145" s="273"/>
      <c r="BF145" s="273"/>
      <c r="BG145" s="273"/>
      <c r="BH145" s="273"/>
      <c r="BI145" s="273"/>
      <c r="BJ145" s="273"/>
      <c r="BK145" s="273"/>
      <c r="BL145" s="273"/>
      <c r="BM145" s="273"/>
      <c r="BN145" s="273"/>
      <c r="BO145" s="273"/>
      <c r="BP145" s="273"/>
      <c r="BQ145" s="273"/>
      <c r="BR145" s="273"/>
      <c r="BS145" s="273"/>
      <c r="BT145" s="273"/>
      <c r="BU145" s="273"/>
      <c r="BV145" s="273"/>
      <c r="BW145" s="273"/>
    </row>
    <row r="146">
      <c r="A146" s="259" t="str">
        <f>VLOOKUP($F146,UpdateHashtag!$V$3:$Y$32,COLUMN(B$15),0)</f>
        <v>#N/A</v>
      </c>
      <c r="B146" s="259" t="str">
        <f>VLOOKUP($F146,UpdateHashtag!$V$3:$Y$32,COLUMN(C$13),0)</f>
        <v>#N/A</v>
      </c>
      <c r="C146" s="259" t="str">
        <f>VLOOKUP($F146,UpdateHashtag!$V$3:$Y$32,COLUMN(D$13),0)</f>
        <v>#N/A</v>
      </c>
      <c r="D146" s="329" t="str">
        <f t="shared" si="4"/>
        <v>#N/A</v>
      </c>
      <c r="E146" s="21"/>
      <c r="F146" s="261" t="str">
        <f>VLOOKUP(J146,UpdateBBM!$C$2:E1015,3,0)</f>
        <v>#N/A</v>
      </c>
      <c r="G146" s="248">
        <v>127.0</v>
      </c>
      <c r="H146" s="278">
        <f>IFERROR(__xludf.DUMMYFUNCTION("""COMPUTED_VALUE"""),127.0)</f>
        <v>127</v>
      </c>
      <c r="I146" s="278">
        <f>IFERROR(__xludf.DUMMYFUNCTION("""COMPUTED_VALUE"""),142.5)</f>
        <v>142.5</v>
      </c>
      <c r="J146" s="279" t="str">
        <f>IFERROR(__xludf.DUMMYFUNCTION("""COMPUTED_VALUE"""),"Kelly Oubre Jr.")</f>
        <v>Kelly Oubre Jr.</v>
      </c>
      <c r="K146" s="278">
        <f>IFERROR(__xludf.DUMMYFUNCTION("""COMPUTED_VALUE"""),75.0)</f>
        <v>75</v>
      </c>
      <c r="L146" s="280" t="str">
        <f>IFERROR(__xludf.DUMMYFUNCTION("""COMPUTED_VALUE"""),"SG,SF")</f>
        <v>SG,SF</v>
      </c>
      <c r="M146" s="281">
        <f>IFERROR(__xludf.DUMMYFUNCTION("""COMPUTED_VALUE"""),-1.37258371145087)</f>
        <v>-1.372583711</v>
      </c>
      <c r="N146" s="281">
        <f>IFERROR(__xludf.DUMMYFUNCTION("""COMPUTED_VALUE"""),-1.37258371145087)</f>
        <v>-1.372583711</v>
      </c>
      <c r="O146" s="282">
        <f>IFERROR(__xludf.DUMMYFUNCTION("""COMPUTED_VALUE"""),0.0)</f>
        <v>0</v>
      </c>
      <c r="P146" s="283">
        <f>IFERROR(__xludf.DUMMYFUNCTION("""COMPUTED_VALUE"""),16.6)</f>
        <v>16.6</v>
      </c>
      <c r="Q146" s="283">
        <f>IFERROR(__xludf.DUMMYFUNCTION("""COMPUTED_VALUE"""),1.8)</f>
        <v>1.8</v>
      </c>
      <c r="R146" s="283">
        <f>IFERROR(__xludf.DUMMYFUNCTION("""COMPUTED_VALUE"""),5.0)</f>
        <v>5</v>
      </c>
      <c r="S146" s="284">
        <f>IFERROR(__xludf.DUMMYFUNCTION("""COMPUTED_VALUE"""),1.3)</f>
        <v>1.3</v>
      </c>
      <c r="T146" s="283">
        <f>IFERROR(__xludf.DUMMYFUNCTION("""COMPUTED_VALUE"""),1.2)</f>
        <v>1.2</v>
      </c>
      <c r="U146" s="283">
        <f>IFERROR(__xludf.DUMMYFUNCTION("""COMPUTED_VALUE"""),0.6)</f>
        <v>0.6</v>
      </c>
      <c r="V146" s="280">
        <f>IFERROR(__xludf.DUMMYFUNCTION("""COMPUTED_VALUE"""),0.435)</f>
        <v>0.435</v>
      </c>
      <c r="W146" s="280">
        <f>IFERROR(__xludf.DUMMYFUNCTION("""COMPUTED_VALUE"""),0.76)</f>
        <v>0.76</v>
      </c>
      <c r="X146" s="280">
        <f>IFERROR(__xludf.DUMMYFUNCTION("""COMPUTED_VALUE"""),1.3)</f>
        <v>1.3</v>
      </c>
      <c r="Y146" s="283">
        <f>IFERROR(__xludf.DUMMYFUNCTION("""COMPUTED_VALUE"""),-0.15660149516499938)</f>
        <v>-0.1566014952</v>
      </c>
      <c r="Z146" s="281">
        <f>IFERROR(__xludf.DUMMYFUNCTION("""COMPUTED_VALUE"""),0.05075080149290546)</f>
        <v>0.05075080149</v>
      </c>
      <c r="AA146" s="281">
        <f>IFERROR(__xludf.DUMMYFUNCTION("""COMPUTED_VALUE"""),-0.41928054964042916)</f>
        <v>-0.4192805496</v>
      </c>
      <c r="AB146" s="281">
        <f>IFERROR(__xludf.DUMMYFUNCTION("""COMPUTED_VALUE"""),-1.2008996442390003)</f>
        <v>-1.200899644</v>
      </c>
      <c r="AC146" s="281">
        <f>IFERROR(__xludf.DUMMYFUNCTION("""COMPUTED_VALUE"""),0.7430016239596308)</f>
        <v>0.743001624</v>
      </c>
      <c r="AD146" s="281">
        <f>IFERROR(__xludf.DUMMYFUNCTION("""COMPUTED_VALUE"""),-0.25872993873862127)</f>
        <v>-0.2587299387</v>
      </c>
      <c r="AE146" s="281">
        <f>IFERROR(__xludf.DUMMYFUNCTION("""COMPUTED_VALUE"""),-1.022593306166598)</f>
        <v>-1.022593306</v>
      </c>
      <c r="AF146" s="281">
        <f>IFERROR(__xludf.DUMMYFUNCTION("""COMPUTED_VALUE"""),-0.42039216498835213)</f>
        <v>-0.420392165</v>
      </c>
      <c r="AG146" s="281">
        <f>IFERROR(__xludf.DUMMYFUNCTION("""COMPUTED_VALUE"""),0.11126131779559338)</f>
        <v>0.1112613178</v>
      </c>
      <c r="AH146" s="285"/>
      <c r="AI146" s="273"/>
      <c r="AJ146" s="340"/>
      <c r="AK146" s="341"/>
      <c r="AL146" s="273"/>
      <c r="AM146" s="273"/>
      <c r="AN146" s="273"/>
      <c r="AO146" s="273"/>
      <c r="AP146" s="273"/>
      <c r="AQ146" s="273"/>
      <c r="AR146" s="273"/>
      <c r="AS146" s="273"/>
      <c r="AT146" s="273"/>
      <c r="AU146" s="273"/>
      <c r="AV146" s="273"/>
      <c r="AW146" s="273"/>
      <c r="AX146" s="273"/>
      <c r="AY146" s="273"/>
      <c r="AZ146" s="273"/>
      <c r="BA146" s="273"/>
      <c r="BB146" s="273"/>
      <c r="BC146" s="273"/>
      <c r="BD146" s="273"/>
      <c r="BE146" s="273"/>
      <c r="BF146" s="273"/>
      <c r="BG146" s="273"/>
      <c r="BH146" s="273"/>
      <c r="BI146" s="273"/>
      <c r="BJ146" s="273"/>
      <c r="BK146" s="273"/>
      <c r="BL146" s="273"/>
      <c r="BM146" s="273"/>
      <c r="BN146" s="273"/>
      <c r="BO146" s="273"/>
      <c r="BP146" s="273"/>
      <c r="BQ146" s="273"/>
      <c r="BR146" s="273"/>
      <c r="BS146" s="273"/>
      <c r="BT146" s="273"/>
      <c r="BU146" s="273"/>
      <c r="BV146" s="273"/>
      <c r="BW146" s="273"/>
    </row>
    <row r="147">
      <c r="A147" s="259" t="str">
        <f>VLOOKUP($F147,UpdateHashtag!$V$3:$Y$32,COLUMN(B$15),0)</f>
        <v>#N/A</v>
      </c>
      <c r="B147" s="259" t="str">
        <f>VLOOKUP($F147,UpdateHashtag!$V$3:$Y$32,COLUMN(C$13),0)</f>
        <v>#N/A</v>
      </c>
      <c r="C147" s="259" t="str">
        <f>VLOOKUP($F147,UpdateHashtag!$V$3:$Y$32,COLUMN(D$13),0)</f>
        <v>#N/A</v>
      </c>
      <c r="D147" s="329" t="str">
        <f t="shared" si="4"/>
        <v>#N/A</v>
      </c>
      <c r="E147" s="21"/>
      <c r="F147" s="261" t="str">
        <f>VLOOKUP(J147,UpdateBBM!$C$2:E1015,3,0)</f>
        <v>NYK</v>
      </c>
      <c r="G147" s="248">
        <v>128.0</v>
      </c>
      <c r="H147" s="278">
        <f>IFERROR(__xludf.DUMMYFUNCTION("""COMPUTED_VALUE"""),128.0)</f>
        <v>128</v>
      </c>
      <c r="I147" s="278">
        <f>IFERROR(__xludf.DUMMYFUNCTION("""COMPUTED_VALUE"""),116.3)</f>
        <v>116.3</v>
      </c>
      <c r="J147" s="279" t="str">
        <f>IFERROR(__xludf.DUMMYFUNCTION("""COMPUTED_VALUE"""),"Josh Hart")</f>
        <v>Josh Hart</v>
      </c>
      <c r="K147" s="278">
        <f>IFERROR(__xludf.DUMMYFUNCTION("""COMPUTED_VALUE"""),71.0)</f>
        <v>71</v>
      </c>
      <c r="L147" s="280" t="str">
        <f>IFERROR(__xludf.DUMMYFUNCTION("""COMPUTED_VALUE"""),"SF,PF")</f>
        <v>SF,PF</v>
      </c>
      <c r="M147" s="281">
        <f>IFERROR(__xludf.DUMMYFUNCTION("""COMPUTED_VALUE"""),-1.3869238544197227)</f>
        <v>-1.386923854</v>
      </c>
      <c r="N147" s="281">
        <f>IFERROR(__xludf.DUMMYFUNCTION("""COMPUTED_VALUE"""),-1.3869238544197227)</f>
        <v>-1.386923854</v>
      </c>
      <c r="O147" s="282">
        <f>IFERROR(__xludf.DUMMYFUNCTION("""COMPUTED_VALUE"""),0.0)</f>
        <v>0</v>
      </c>
      <c r="P147" s="283">
        <f>IFERROR(__xludf.DUMMYFUNCTION("""COMPUTED_VALUE"""),9.1)</f>
        <v>9.1</v>
      </c>
      <c r="Q147" s="283">
        <f>IFERROR(__xludf.DUMMYFUNCTION("""COMPUTED_VALUE"""),0.9)</f>
        <v>0.9</v>
      </c>
      <c r="R147" s="283">
        <f>IFERROR(__xludf.DUMMYFUNCTION("""COMPUTED_VALUE"""),7.9)</f>
        <v>7.9</v>
      </c>
      <c r="S147" s="284">
        <f>IFERROR(__xludf.DUMMYFUNCTION("""COMPUTED_VALUE"""),3.9)</f>
        <v>3.9</v>
      </c>
      <c r="T147" s="283">
        <f>IFERROR(__xludf.DUMMYFUNCTION("""COMPUTED_VALUE"""),1.0)</f>
        <v>1</v>
      </c>
      <c r="U147" s="283">
        <f>IFERROR(__xludf.DUMMYFUNCTION("""COMPUTED_VALUE"""),0.3)</f>
        <v>0.3</v>
      </c>
      <c r="V147" s="280">
        <f>IFERROR(__xludf.DUMMYFUNCTION("""COMPUTED_VALUE"""),0.457)</f>
        <v>0.457</v>
      </c>
      <c r="W147" s="280">
        <f>IFERROR(__xludf.DUMMYFUNCTION("""COMPUTED_VALUE"""),0.765)</f>
        <v>0.765</v>
      </c>
      <c r="X147" s="280">
        <f>IFERROR(__xludf.DUMMYFUNCTION("""COMPUTED_VALUE"""),1.7)</f>
        <v>1.7</v>
      </c>
      <c r="Y147" s="283">
        <f>IFERROR(__xludf.DUMMYFUNCTION("""COMPUTED_VALUE"""),-1.5114616424099674)</f>
        <v>-1.511461642</v>
      </c>
      <c r="Z147" s="281">
        <f>IFERROR(__xludf.DUMMYFUNCTION("""COMPUTED_VALUE"""),-0.844967889790968)</f>
        <v>-0.8449678898</v>
      </c>
      <c r="AA147" s="281">
        <f>IFERROR(__xludf.DUMMYFUNCTION("""COMPUTED_VALUE"""),0.7182842129837627)</f>
        <v>0.718284213</v>
      </c>
      <c r="AB147" s="281">
        <f>IFERROR(__xludf.DUMMYFUNCTION("""COMPUTED_VALUE"""),-0.016293613263543852)</f>
        <v>-0.01629361326</v>
      </c>
      <c r="AC147" s="281">
        <f>IFERROR(__xludf.DUMMYFUNCTION("""COMPUTED_VALUE"""),0.07913626764067216)</f>
        <v>0.07913626764</v>
      </c>
      <c r="AD147" s="281">
        <f>IFERROR(__xludf.DUMMYFUNCTION("""COMPUTED_VALUE"""),-0.7939110448965904)</f>
        <v>-0.7939110449</v>
      </c>
      <c r="AE147" s="281">
        <f>IFERROR(__xludf.DUMMYFUNCTION("""COMPUTED_VALUE"""),-0.3505524588389439)</f>
        <v>-0.3505524588</v>
      </c>
      <c r="AF147" s="281">
        <f>IFERROR(__xludf.DUMMYFUNCTION("""COMPUTED_VALUE"""),-0.19068779214575837)</f>
        <v>-0.1906877921</v>
      </c>
      <c r="AG147" s="281">
        <f>IFERROR(__xludf.DUMMYFUNCTION("""COMPUTED_VALUE"""),0.012068463891646777)</f>
        <v>0.01206846389</v>
      </c>
      <c r="AH147" s="285"/>
      <c r="AI147" s="273"/>
      <c r="AJ147" s="340"/>
      <c r="AK147" s="341"/>
      <c r="AL147" s="273"/>
      <c r="AM147" s="273"/>
      <c r="AN147" s="273"/>
      <c r="AO147" s="273"/>
      <c r="AP147" s="273"/>
      <c r="AQ147" s="273"/>
      <c r="AR147" s="273"/>
      <c r="AS147" s="273"/>
      <c r="AT147" s="273"/>
      <c r="AU147" s="273"/>
      <c r="AV147" s="273"/>
      <c r="AW147" s="273"/>
      <c r="AX147" s="273"/>
      <c r="AY147" s="273"/>
      <c r="AZ147" s="273"/>
      <c r="BA147" s="273"/>
      <c r="BB147" s="273"/>
      <c r="BC147" s="273"/>
      <c r="BD147" s="273"/>
      <c r="BE147" s="273"/>
      <c r="BF147" s="273"/>
      <c r="BG147" s="273"/>
      <c r="BH147" s="273"/>
      <c r="BI147" s="273"/>
      <c r="BJ147" s="273"/>
      <c r="BK147" s="273"/>
      <c r="BL147" s="273"/>
      <c r="BM147" s="273"/>
      <c r="BN147" s="273"/>
      <c r="BO147" s="273"/>
      <c r="BP147" s="273"/>
      <c r="BQ147" s="273"/>
      <c r="BR147" s="273"/>
      <c r="BS147" s="273"/>
      <c r="BT147" s="273"/>
      <c r="BU147" s="273"/>
      <c r="BV147" s="273"/>
      <c r="BW147" s="273"/>
    </row>
    <row r="148">
      <c r="A148" s="276">
        <f>VLOOKUP($F148,UpdateHashtag!$V$3:$Y$32,COLUMN(B$15),0)</f>
        <v>4</v>
      </c>
      <c r="B148" s="259">
        <f>VLOOKUP($F148,UpdateHashtag!$V$3:$Y$32,COLUMN(C$13),0)</f>
        <v>4</v>
      </c>
      <c r="C148" s="259">
        <f>VLOOKUP($F148,UpdateHashtag!$V$3:$Y$32,COLUMN(D$13),0)</f>
        <v>4</v>
      </c>
      <c r="D148" s="277">
        <f t="shared" si="4"/>
        <v>12</v>
      </c>
      <c r="E148" s="21"/>
      <c r="F148" s="261" t="str">
        <f>VLOOKUP(J148,UpdateBBM!$C$2:E1015,3,0)</f>
        <v>LAC</v>
      </c>
      <c r="G148" s="248">
        <v>129.0</v>
      </c>
      <c r="H148" s="278">
        <f>IFERROR(__xludf.DUMMYFUNCTION("""COMPUTED_VALUE"""),129.0)</f>
        <v>129</v>
      </c>
      <c r="I148" s="278">
        <f>IFERROR(__xludf.DUMMYFUNCTION("""COMPUTED_VALUE"""),106.7)</f>
        <v>106.7</v>
      </c>
      <c r="J148" s="279" t="str">
        <f>IFERROR(__xludf.DUMMYFUNCTION("""COMPUTED_VALUE"""),"John Collins")</f>
        <v>John Collins</v>
      </c>
      <c r="K148" s="278">
        <f>IFERROR(__xludf.DUMMYFUNCTION("""COMPUTED_VALUE"""),71.0)</f>
        <v>71</v>
      </c>
      <c r="L148" s="280" t="str">
        <f>IFERROR(__xludf.DUMMYFUNCTION("""COMPUTED_VALUE"""),"PF,C")</f>
        <v>PF,C</v>
      </c>
      <c r="M148" s="281">
        <f>IFERROR(__xludf.DUMMYFUNCTION("""COMPUTED_VALUE"""),-1.3931809577829535)</f>
        <v>-1.393180958</v>
      </c>
      <c r="N148" s="281">
        <f>IFERROR(__xludf.DUMMYFUNCTION("""COMPUTED_VALUE"""),-1.3931809577829535)</f>
        <v>-1.393180958</v>
      </c>
      <c r="O148" s="282">
        <f>IFERROR(__xludf.DUMMYFUNCTION("""COMPUTED_VALUE"""),0.0)</f>
        <v>0</v>
      </c>
      <c r="P148" s="283">
        <f>IFERROR(__xludf.DUMMYFUNCTION("""COMPUTED_VALUE"""),13.7)</f>
        <v>13.7</v>
      </c>
      <c r="Q148" s="283">
        <f>IFERROR(__xludf.DUMMYFUNCTION("""COMPUTED_VALUE"""),1.1)</f>
        <v>1.1</v>
      </c>
      <c r="R148" s="283">
        <f>IFERROR(__xludf.DUMMYFUNCTION("""COMPUTED_VALUE"""),7.3)</f>
        <v>7.3</v>
      </c>
      <c r="S148" s="284">
        <f>IFERROR(__xludf.DUMMYFUNCTION("""COMPUTED_VALUE"""),1.1)</f>
        <v>1.1</v>
      </c>
      <c r="T148" s="283">
        <f>IFERROR(__xludf.DUMMYFUNCTION("""COMPUTED_VALUE"""),0.6)</f>
        <v>0.6</v>
      </c>
      <c r="U148" s="283">
        <f>IFERROR(__xludf.DUMMYFUNCTION("""COMPUTED_VALUE"""),0.9)</f>
        <v>0.9</v>
      </c>
      <c r="V148" s="280">
        <f>IFERROR(__xludf.DUMMYFUNCTION("""COMPUTED_VALUE"""),0.52)</f>
        <v>0.52</v>
      </c>
      <c r="W148" s="280">
        <f>IFERROR(__xludf.DUMMYFUNCTION("""COMPUTED_VALUE"""),0.796)</f>
        <v>0.796</v>
      </c>
      <c r="X148" s="280">
        <f>IFERROR(__xludf.DUMMYFUNCTION("""COMPUTED_VALUE"""),1.2)</f>
        <v>1.2</v>
      </c>
      <c r="Y148" s="283">
        <f>IFERROR(__xludf.DUMMYFUNCTION("""COMPUTED_VALUE"""),-0.6804807520997206)</f>
        <v>-0.6804807521</v>
      </c>
      <c r="Z148" s="281">
        <f>IFERROR(__xludf.DUMMYFUNCTION("""COMPUTED_VALUE"""),-0.645919291727885)</f>
        <v>-0.6459192917</v>
      </c>
      <c r="AA148" s="281">
        <f>IFERROR(__xludf.DUMMYFUNCTION("""COMPUTED_VALUE"""),0.4829259862339297)</f>
        <v>0.4829259862</v>
      </c>
      <c r="AB148" s="281">
        <f>IFERROR(__xludf.DUMMYFUNCTION("""COMPUTED_VALUE"""),-1.2920231850832664)</f>
        <v>-1.292023185</v>
      </c>
      <c r="AC148" s="281">
        <f>IFERROR(__xludf.DUMMYFUNCTION("""COMPUTED_VALUE"""),-1.2485944449972455)</f>
        <v>-1.248594445</v>
      </c>
      <c r="AD148" s="281">
        <f>IFERROR(__xludf.DUMMYFUNCTION("""COMPUTED_VALUE"""),0.27645116741934783)</f>
        <v>0.2764511674</v>
      </c>
      <c r="AE148" s="281">
        <f>IFERROR(__xludf.DUMMYFUNCTION("""COMPUTED_VALUE"""),0.2763764433705047)</f>
        <v>0.2763764434</v>
      </c>
      <c r="AF148" s="281">
        <f>IFERROR(__xludf.DUMMYFUNCTION("""COMPUTED_VALUE"""),0.010000402746535613)</f>
        <v>0.01000040275</v>
      </c>
      <c r="AG148" s="281">
        <f>IFERROR(__xludf.DUMMYFUNCTION("""COMPUTED_VALUE"""),0.13605953127158005)</f>
        <v>0.1360595313</v>
      </c>
      <c r="AH148" s="285"/>
      <c r="AI148" s="273"/>
      <c r="AJ148" s="340"/>
      <c r="AK148" s="341"/>
      <c r="AL148" s="273"/>
      <c r="AM148" s="273"/>
      <c r="AN148" s="273"/>
      <c r="AO148" s="273"/>
      <c r="AP148" s="273"/>
      <c r="AQ148" s="273"/>
      <c r="AR148" s="273"/>
      <c r="AS148" s="273"/>
      <c r="AT148" s="273"/>
      <c r="AU148" s="273"/>
      <c r="AV148" s="273"/>
      <c r="AW148" s="273"/>
      <c r="AX148" s="273"/>
      <c r="AY148" s="273"/>
      <c r="AZ148" s="273"/>
      <c r="BA148" s="273"/>
      <c r="BB148" s="273"/>
      <c r="BC148" s="273"/>
      <c r="BD148" s="273"/>
      <c r="BE148" s="273"/>
      <c r="BF148" s="273"/>
      <c r="BG148" s="273"/>
      <c r="BH148" s="273"/>
      <c r="BI148" s="273"/>
      <c r="BJ148" s="273"/>
      <c r="BK148" s="273"/>
      <c r="BL148" s="273"/>
      <c r="BM148" s="273"/>
      <c r="BN148" s="273"/>
      <c r="BO148" s="273"/>
      <c r="BP148" s="273"/>
      <c r="BQ148" s="273"/>
      <c r="BR148" s="273"/>
      <c r="BS148" s="273"/>
      <c r="BT148" s="273"/>
      <c r="BU148" s="273"/>
      <c r="BV148" s="273"/>
      <c r="BW148" s="273"/>
    </row>
    <row r="149">
      <c r="A149" s="276">
        <f>VLOOKUP($F149,UpdateHashtag!$V$3:$Y$32,COLUMN(B$15),0)</f>
        <v>4</v>
      </c>
      <c r="B149" s="259">
        <f>VLOOKUP($F149,UpdateHashtag!$V$3:$Y$32,COLUMN(C$13),0)</f>
        <v>4</v>
      </c>
      <c r="C149" s="259">
        <f>VLOOKUP($F149,UpdateHashtag!$V$3:$Y$32,COLUMN(D$13),0)</f>
        <v>2</v>
      </c>
      <c r="D149" s="277">
        <f t="shared" si="4"/>
        <v>10</v>
      </c>
      <c r="E149" s="21"/>
      <c r="F149" s="261" t="str">
        <f>VLOOKUP(J149,UpdateBBM!$C$2:E1015,3,0)</f>
        <v>DAL</v>
      </c>
      <c r="G149" s="248">
        <v>130.0</v>
      </c>
      <c r="H149" s="278">
        <f>IFERROR(__xludf.DUMMYFUNCTION("""COMPUTED_VALUE"""),130.0)</f>
        <v>130</v>
      </c>
      <c r="I149" s="278">
        <f>IFERROR(__xludf.DUMMYFUNCTION("""COMPUTED_VALUE"""),106.5)</f>
        <v>106.5</v>
      </c>
      <c r="J149" s="279" t="str">
        <f>IFERROR(__xludf.DUMMYFUNCTION("""COMPUTED_VALUE"""),"Klay Thompson")</f>
        <v>Klay Thompson</v>
      </c>
      <c r="K149" s="278">
        <f>IFERROR(__xludf.DUMMYFUNCTION("""COMPUTED_VALUE"""),51.0)</f>
        <v>51</v>
      </c>
      <c r="L149" s="280" t="str">
        <f>IFERROR(__xludf.DUMMYFUNCTION("""COMPUTED_VALUE"""),"SG,SF")</f>
        <v>SG,SF</v>
      </c>
      <c r="M149" s="281">
        <f>IFERROR(__xludf.DUMMYFUNCTION("""COMPUTED_VALUE"""),-1.3941952171846328)</f>
        <v>-1.394195217</v>
      </c>
      <c r="N149" s="281">
        <f>IFERROR(__xludf.DUMMYFUNCTION("""COMPUTED_VALUE"""),-1.3941952171846328)</f>
        <v>-1.394195217</v>
      </c>
      <c r="O149" s="282">
        <f>IFERROR(__xludf.DUMMYFUNCTION("""COMPUTED_VALUE"""),0.0)</f>
        <v>0</v>
      </c>
      <c r="P149" s="283">
        <f>IFERROR(__xludf.DUMMYFUNCTION("""COMPUTED_VALUE"""),17.2)</f>
        <v>17.2</v>
      </c>
      <c r="Q149" s="283">
        <f>IFERROR(__xludf.DUMMYFUNCTION("""COMPUTED_VALUE"""),3.4)</f>
        <v>3.4</v>
      </c>
      <c r="R149" s="283">
        <f>IFERROR(__xludf.DUMMYFUNCTION("""COMPUTED_VALUE"""),3.2)</f>
        <v>3.2</v>
      </c>
      <c r="S149" s="284">
        <f>IFERROR(__xludf.DUMMYFUNCTION("""COMPUTED_VALUE"""),2.0)</f>
        <v>2</v>
      </c>
      <c r="T149" s="283">
        <f>IFERROR(__xludf.DUMMYFUNCTION("""COMPUTED_VALUE"""),0.6)</f>
        <v>0.6</v>
      </c>
      <c r="U149" s="283">
        <f>IFERROR(__xludf.DUMMYFUNCTION("""COMPUTED_VALUE"""),0.4)</f>
        <v>0.4</v>
      </c>
      <c r="V149" s="280">
        <f>IFERROR(__xludf.DUMMYFUNCTION("""COMPUTED_VALUE"""),0.434)</f>
        <v>0.434</v>
      </c>
      <c r="W149" s="280">
        <f>IFERROR(__xludf.DUMMYFUNCTION("""COMPUTED_VALUE"""),0.901)</f>
        <v>0.901</v>
      </c>
      <c r="X149" s="280">
        <f>IFERROR(__xludf.DUMMYFUNCTION("""COMPUTED_VALUE"""),1.4)</f>
        <v>1.4</v>
      </c>
      <c r="Y149" s="283">
        <f>IFERROR(__xludf.DUMMYFUNCTION("""COMPUTED_VALUE"""),-0.04821268338540236)</f>
        <v>-0.04821268339</v>
      </c>
      <c r="Z149" s="281">
        <f>IFERROR(__xludf.DUMMYFUNCTION("""COMPUTED_VALUE"""),1.6431395859975693)</f>
        <v>1.643139586</v>
      </c>
      <c r="AA149" s="281">
        <f>IFERROR(__xludf.DUMMYFUNCTION("""COMPUTED_VALUE"""),-1.1253552298899274)</f>
        <v>-1.12535523</v>
      </c>
      <c r="AB149" s="281">
        <f>IFERROR(__xludf.DUMMYFUNCTION("""COMPUTED_VALUE"""),-0.8819672512840698)</f>
        <v>-0.8819672513</v>
      </c>
      <c r="AC149" s="281">
        <f>IFERROR(__xludf.DUMMYFUNCTION("""COMPUTED_VALUE"""),-1.2485944449972455)</f>
        <v>-1.248594445</v>
      </c>
      <c r="AD149" s="281">
        <f>IFERROR(__xludf.DUMMYFUNCTION("""COMPUTED_VALUE"""),-0.6155173428439339)</f>
        <v>-0.6155173428</v>
      </c>
      <c r="AE149" s="281">
        <f>IFERROR(__xludf.DUMMYFUNCTION("""COMPUTED_VALUE"""),-1.053857788829039)</f>
        <v>-1.053857789</v>
      </c>
      <c r="AF149" s="281">
        <f>IFERROR(__xludf.DUMMYFUNCTION("""COMPUTED_VALUE"""),0.6011123887305639)</f>
        <v>0.6011123887</v>
      </c>
      <c r="AG149" s="281">
        <f>IFERROR(__xludf.DUMMYFUNCTION("""COMPUTED_VALUE"""),0.08646310431960676)</f>
        <v>0.08646310432</v>
      </c>
      <c r="AH149" s="285"/>
      <c r="AI149" s="273"/>
      <c r="AJ149" s="340"/>
      <c r="AK149" s="341"/>
      <c r="AL149" s="273"/>
      <c r="AM149" s="273"/>
      <c r="AN149" s="273"/>
      <c r="AO149" s="273"/>
      <c r="AP149" s="273"/>
      <c r="AQ149" s="273"/>
      <c r="AR149" s="273"/>
      <c r="AS149" s="273"/>
      <c r="AT149" s="273"/>
      <c r="AU149" s="273"/>
      <c r="AV149" s="273"/>
      <c r="AW149" s="273"/>
      <c r="AX149" s="273"/>
      <c r="AY149" s="273"/>
      <c r="AZ149" s="273"/>
      <c r="BA149" s="273"/>
      <c r="BB149" s="273"/>
      <c r="BC149" s="273"/>
      <c r="BD149" s="273"/>
      <c r="BE149" s="273"/>
      <c r="BF149" s="273"/>
      <c r="BG149" s="273"/>
      <c r="BH149" s="273"/>
      <c r="BI149" s="273"/>
      <c r="BJ149" s="273"/>
      <c r="BK149" s="273"/>
      <c r="BL149" s="273"/>
      <c r="BM149" s="273"/>
      <c r="BN149" s="273"/>
      <c r="BO149" s="273"/>
      <c r="BP149" s="273"/>
      <c r="BQ149" s="273"/>
      <c r="BR149" s="273"/>
      <c r="BS149" s="273"/>
      <c r="BT149" s="273"/>
      <c r="BU149" s="273"/>
      <c r="BV149" s="273"/>
      <c r="BW149" s="273"/>
    </row>
    <row r="150">
      <c r="A150" s="259" t="str">
        <f>VLOOKUP($F150,UpdateHashtag!$V$3:$Y$32,COLUMN(B$15),0)</f>
        <v>#N/A</v>
      </c>
      <c r="B150" s="259" t="str">
        <f>VLOOKUP($F150,UpdateHashtag!$V$3:$Y$32,COLUMN(C$13),0)</f>
        <v>#N/A</v>
      </c>
      <c r="C150" s="259" t="str">
        <f>VLOOKUP($F150,UpdateHashtag!$V$3:$Y$32,COLUMN(D$13),0)</f>
        <v>#N/A</v>
      </c>
      <c r="D150" s="329" t="str">
        <f t="shared" si="4"/>
        <v>#N/A</v>
      </c>
      <c r="E150" s="21"/>
      <c r="F150" s="261" t="str">
        <f>VLOOKUP(J150,UpdateBBM!$C$2:E1015,3,0)</f>
        <v>#N/A</v>
      </c>
      <c r="G150" s="248">
        <v>131.0</v>
      </c>
      <c r="H150" s="278">
        <f>IFERROR(__xludf.DUMMYFUNCTION("""COMPUTED_VALUE"""),131.0)</f>
        <v>131</v>
      </c>
      <c r="I150" s="278">
        <f>IFERROR(__xludf.DUMMYFUNCTION("""COMPUTED_VALUE"""),139.0)</f>
        <v>139</v>
      </c>
      <c r="J150" s="279" t="str">
        <f>IFERROR(__xludf.DUMMYFUNCTION("""COMPUTED_VALUE"""),"Dennis Schröder")</f>
        <v>Dennis Schröder</v>
      </c>
      <c r="K150" s="278">
        <f>IFERROR(__xludf.DUMMYFUNCTION("""COMPUTED_VALUE"""),71.0)</f>
        <v>71</v>
      </c>
      <c r="L150" s="280" t="str">
        <f>IFERROR(__xludf.DUMMYFUNCTION("""COMPUTED_VALUE"""),"PG")</f>
        <v>PG</v>
      </c>
      <c r="M150" s="281">
        <f>IFERROR(__xludf.DUMMYFUNCTION("""COMPUTED_VALUE"""),-1.4254521458244693)</f>
        <v>-1.425452146</v>
      </c>
      <c r="N150" s="281">
        <f>IFERROR(__xludf.DUMMYFUNCTION("""COMPUTED_VALUE"""),-1.4254521458244693)</f>
        <v>-1.425452146</v>
      </c>
      <c r="O150" s="282">
        <f>IFERROR(__xludf.DUMMYFUNCTION("""COMPUTED_VALUE"""),0.0)</f>
        <v>0</v>
      </c>
      <c r="P150" s="283">
        <f>IFERROR(__xludf.DUMMYFUNCTION("""COMPUTED_VALUE"""),15.1)</f>
        <v>15.1</v>
      </c>
      <c r="Q150" s="283">
        <f>IFERROR(__xludf.DUMMYFUNCTION("""COMPUTED_VALUE"""),1.7)</f>
        <v>1.7</v>
      </c>
      <c r="R150" s="283">
        <f>IFERROR(__xludf.DUMMYFUNCTION("""COMPUTED_VALUE"""),3.0)</f>
        <v>3</v>
      </c>
      <c r="S150" s="284">
        <f>IFERROR(__xludf.DUMMYFUNCTION("""COMPUTED_VALUE"""),5.9)</f>
        <v>5.9</v>
      </c>
      <c r="T150" s="283">
        <f>IFERROR(__xludf.DUMMYFUNCTION("""COMPUTED_VALUE"""),0.8)</f>
        <v>0.8</v>
      </c>
      <c r="U150" s="283">
        <f>IFERROR(__xludf.DUMMYFUNCTION("""COMPUTED_VALUE"""),0.2)</f>
        <v>0.2</v>
      </c>
      <c r="V150" s="280">
        <f>IFERROR(__xludf.DUMMYFUNCTION("""COMPUTED_VALUE"""),0.435)</f>
        <v>0.435</v>
      </c>
      <c r="W150" s="280">
        <f>IFERROR(__xludf.DUMMYFUNCTION("""COMPUTED_VALUE"""),0.847)</f>
        <v>0.847</v>
      </c>
      <c r="X150" s="280">
        <f>IFERROR(__xludf.DUMMYFUNCTION("""COMPUTED_VALUE"""),2.0)</f>
        <v>2</v>
      </c>
      <c r="Y150" s="283">
        <f>IFERROR(__xludf.DUMMYFUNCTION("""COMPUTED_VALUE"""),-0.4275735246139932)</f>
        <v>-0.4275735246</v>
      </c>
      <c r="Z150" s="281">
        <f>IFERROR(__xludf.DUMMYFUNCTION("""COMPUTED_VALUE"""),-0.04877349753863613)</f>
        <v>-0.04877349754</v>
      </c>
      <c r="AA150" s="281">
        <f>IFERROR(__xludf.DUMMYFUNCTION("""COMPUTED_VALUE"""),-1.2038079721398716)</f>
        <v>-1.203807972</v>
      </c>
      <c r="AB150" s="281">
        <f>IFERROR(__xludf.DUMMYFUNCTION("""COMPUTED_VALUE"""),0.8949417951791153)</f>
        <v>0.8949417952</v>
      </c>
      <c r="AC150" s="281">
        <f>IFERROR(__xludf.DUMMYFUNCTION("""COMPUTED_VALUE"""),-0.5847290886782864)</f>
        <v>-0.5847290887</v>
      </c>
      <c r="AD150" s="281">
        <f>IFERROR(__xludf.DUMMYFUNCTION("""COMPUTED_VALUE"""),-0.9723047469492465)</f>
        <v>-0.9723047469</v>
      </c>
      <c r="AE150" s="281">
        <f>IFERROR(__xludf.DUMMYFUNCTION("""COMPUTED_VALUE"""),-0.8702921754609344)</f>
        <v>-0.8702921755</v>
      </c>
      <c r="AF150" s="281">
        <f>IFERROR(__xludf.DUMMYFUNCTION("""COMPUTED_VALUE"""),0.6456052687738252)</f>
        <v>0.6456052688</v>
      </c>
      <c r="AG150" s="281">
        <f>IFERROR(__xludf.DUMMYFUNCTION("""COMPUTED_VALUE"""),-0.062326176536313206)</f>
        <v>-0.06232617654</v>
      </c>
      <c r="AH150" s="285"/>
      <c r="AI150" s="273"/>
      <c r="AJ150" s="340"/>
      <c r="AK150" s="341"/>
      <c r="AL150" s="273"/>
      <c r="AM150" s="273"/>
      <c r="AN150" s="273"/>
      <c r="AO150" s="273"/>
      <c r="AP150" s="273"/>
      <c r="AQ150" s="273"/>
      <c r="AR150" s="273"/>
      <c r="AS150" s="273"/>
      <c r="AT150" s="273"/>
      <c r="AU150" s="273"/>
      <c r="AV150" s="273"/>
      <c r="AW150" s="273"/>
      <c r="AX150" s="273"/>
      <c r="AY150" s="273"/>
      <c r="AZ150" s="273"/>
      <c r="BA150" s="273"/>
      <c r="BB150" s="273"/>
      <c r="BC150" s="273"/>
      <c r="BD150" s="273"/>
      <c r="BE150" s="273"/>
      <c r="BF150" s="273"/>
      <c r="BG150" s="273"/>
      <c r="BH150" s="273"/>
      <c r="BI150" s="273"/>
      <c r="BJ150" s="273"/>
      <c r="BK150" s="273"/>
      <c r="BL150" s="273"/>
      <c r="BM150" s="273"/>
      <c r="BN150" s="273"/>
      <c r="BO150" s="273"/>
      <c r="BP150" s="273"/>
      <c r="BQ150" s="273"/>
      <c r="BR150" s="273"/>
      <c r="BS150" s="273"/>
      <c r="BT150" s="273"/>
      <c r="BU150" s="273"/>
      <c r="BV150" s="273"/>
      <c r="BW150" s="273"/>
    </row>
    <row r="151">
      <c r="A151" s="276">
        <f>VLOOKUP($F151,UpdateHashtag!$V$3:$Y$32,COLUMN(B$15),0)</f>
        <v>4</v>
      </c>
      <c r="B151" s="259">
        <f>VLOOKUP($F151,UpdateHashtag!$V$3:$Y$32,COLUMN(C$13),0)</f>
        <v>4</v>
      </c>
      <c r="C151" s="259">
        <f>VLOOKUP($F151,UpdateHashtag!$V$3:$Y$32,COLUMN(D$13),0)</f>
        <v>4</v>
      </c>
      <c r="D151" s="277">
        <f t="shared" si="4"/>
        <v>12</v>
      </c>
      <c r="E151" s="21"/>
      <c r="F151" s="261" t="str">
        <f>VLOOKUP(J151,UpdateBBM!$C$2:E1015,3,0)</f>
        <v>HOU</v>
      </c>
      <c r="G151" s="248">
        <v>132.0</v>
      </c>
      <c r="H151" s="278">
        <f>IFERROR(__xludf.DUMMYFUNCTION("""COMPUTED_VALUE"""),132.0)</f>
        <v>132</v>
      </c>
      <c r="I151" s="278">
        <f>IFERROR(__xludf.DUMMYFUNCTION("""COMPUTED_VALUE"""),144.0)</f>
        <v>144</v>
      </c>
      <c r="J151" s="279" t="str">
        <f>IFERROR(__xludf.DUMMYFUNCTION("""COMPUTED_VALUE"""),"Tari Eason")</f>
        <v>Tari Eason</v>
      </c>
      <c r="K151" s="278">
        <f>IFERROR(__xludf.DUMMYFUNCTION("""COMPUTED_VALUE"""),66.0)</f>
        <v>66</v>
      </c>
      <c r="L151" s="280" t="str">
        <f>IFERROR(__xludf.DUMMYFUNCTION("""COMPUTED_VALUE"""),"SF,PF")</f>
        <v>SF,PF</v>
      </c>
      <c r="M151" s="281">
        <f>IFERROR(__xludf.DUMMYFUNCTION("""COMPUTED_VALUE"""),-1.4541635958338877)</f>
        <v>-1.454163596</v>
      </c>
      <c r="N151" s="281">
        <f>IFERROR(__xludf.DUMMYFUNCTION("""COMPUTED_VALUE"""),-1.4541635958338877)</f>
        <v>-1.454163596</v>
      </c>
      <c r="O151" s="282">
        <f>IFERROR(__xludf.DUMMYFUNCTION("""COMPUTED_VALUE"""),0.0)</f>
        <v>0</v>
      </c>
      <c r="P151" s="283">
        <f>IFERROR(__xludf.DUMMYFUNCTION("""COMPUTED_VALUE"""),9.8)</f>
        <v>9.8</v>
      </c>
      <c r="Q151" s="283">
        <f>IFERROR(__xludf.DUMMYFUNCTION("""COMPUTED_VALUE"""),0.8)</f>
        <v>0.8</v>
      </c>
      <c r="R151" s="283">
        <f>IFERROR(__xludf.DUMMYFUNCTION("""COMPUTED_VALUE"""),7.1)</f>
        <v>7.1</v>
      </c>
      <c r="S151" s="284">
        <f>IFERROR(__xludf.DUMMYFUNCTION("""COMPUTED_VALUE"""),1.2)</f>
        <v>1.2</v>
      </c>
      <c r="T151" s="283">
        <f>IFERROR(__xludf.DUMMYFUNCTION("""COMPUTED_VALUE"""),1.3)</f>
        <v>1.3</v>
      </c>
      <c r="U151" s="283">
        <f>IFERROR(__xludf.DUMMYFUNCTION("""COMPUTED_VALUE"""),0.7)</f>
        <v>0.7</v>
      </c>
      <c r="V151" s="280">
        <f>IFERROR(__xludf.DUMMYFUNCTION("""COMPUTED_VALUE"""),0.457)</f>
        <v>0.457</v>
      </c>
      <c r="W151" s="280">
        <f>IFERROR(__xludf.DUMMYFUNCTION("""COMPUTED_VALUE"""),0.732)</f>
        <v>0.732</v>
      </c>
      <c r="X151" s="280">
        <f>IFERROR(__xludf.DUMMYFUNCTION("""COMPUTED_VALUE"""),1.2)</f>
        <v>1.2</v>
      </c>
      <c r="Y151" s="283">
        <f>IFERROR(__xludf.DUMMYFUNCTION("""COMPUTED_VALUE"""),-1.3850080286671036)</f>
        <v>-1.385008029</v>
      </c>
      <c r="Z151" s="281">
        <f>IFERROR(__xludf.DUMMYFUNCTION("""COMPUTED_VALUE"""),-0.9444921888225095)</f>
        <v>-0.9444921888</v>
      </c>
      <c r="AA151" s="281">
        <f>IFERROR(__xludf.DUMMYFUNCTION("""COMPUTED_VALUE"""),0.4044732439839854)</f>
        <v>0.404473244</v>
      </c>
      <c r="AB151" s="281">
        <f>IFERROR(__xludf.DUMMYFUNCTION("""COMPUTED_VALUE"""),-1.2464614146611335)</f>
        <v>-1.246461415</v>
      </c>
      <c r="AC151" s="281">
        <f>IFERROR(__xludf.DUMMYFUNCTION("""COMPUTED_VALUE"""),1.0749343021191105)</f>
        <v>1.074934302</v>
      </c>
      <c r="AD151" s="281">
        <f>IFERROR(__xludf.DUMMYFUNCTION("""COMPUTED_VALUE"""),-0.08033623668596498)</f>
        <v>-0.08033623669</v>
      </c>
      <c r="AE151" s="281">
        <f>IFERROR(__xludf.DUMMYFUNCTION("""COMPUTED_VALUE"""),-0.3972927866841364)</f>
        <v>-0.3972927867</v>
      </c>
      <c r="AF151" s="281">
        <f>IFERROR(__xludf.DUMMYFUNCTION("""COMPUTED_VALUE"""),-0.40104804635481894)</f>
        <v>-0.4010480464</v>
      </c>
      <c r="AG151" s="281">
        <f>IFERROR(__xludf.DUMMYFUNCTION("""COMPUTED_VALUE"""),0.13605953127158005)</f>
        <v>0.1360595313</v>
      </c>
      <c r="AH151" s="285"/>
      <c r="AI151" s="273"/>
      <c r="AJ151" s="340"/>
      <c r="AK151" s="341"/>
      <c r="AL151" s="273"/>
      <c r="AM151" s="273"/>
      <c r="AN151" s="273"/>
      <c r="AO151" s="273"/>
      <c r="AP151" s="273"/>
      <c r="AQ151" s="273"/>
      <c r="AR151" s="273"/>
      <c r="AS151" s="273"/>
      <c r="AT151" s="273"/>
      <c r="AU151" s="273"/>
      <c r="AV151" s="273"/>
      <c r="AW151" s="273"/>
      <c r="AX151" s="273"/>
      <c r="AY151" s="273"/>
      <c r="AZ151" s="273"/>
      <c r="BA151" s="273"/>
      <c r="BB151" s="273"/>
      <c r="BC151" s="273"/>
      <c r="BD151" s="273"/>
      <c r="BE151" s="273"/>
      <c r="BF151" s="273"/>
      <c r="BG151" s="273"/>
      <c r="BH151" s="273"/>
      <c r="BI151" s="273"/>
      <c r="BJ151" s="273"/>
      <c r="BK151" s="273"/>
      <c r="BL151" s="273"/>
      <c r="BM151" s="273"/>
      <c r="BN151" s="273"/>
      <c r="BO151" s="273"/>
      <c r="BP151" s="273"/>
      <c r="BQ151" s="273"/>
      <c r="BR151" s="273"/>
      <c r="BS151" s="273"/>
      <c r="BT151" s="273"/>
      <c r="BU151" s="273"/>
      <c r="BV151" s="273"/>
      <c r="BW151" s="273"/>
    </row>
    <row r="152">
      <c r="A152" s="276">
        <f>VLOOKUP($F152,UpdateHashtag!$V$3:$Y$32,COLUMN(B$15),0)</f>
        <v>4</v>
      </c>
      <c r="B152" s="259">
        <f>VLOOKUP($F152,UpdateHashtag!$V$3:$Y$32,COLUMN(C$13),0)</f>
        <v>3</v>
      </c>
      <c r="C152" s="259">
        <f>VLOOKUP($F152,UpdateHashtag!$V$3:$Y$32,COLUMN(D$13),0)</f>
        <v>4</v>
      </c>
      <c r="D152" s="277">
        <f t="shared" si="4"/>
        <v>11</v>
      </c>
      <c r="E152" s="21"/>
      <c r="F152" s="261" t="str">
        <f>VLOOKUP(J152,UpdateBBM!$C$2:E1015,3,0)</f>
        <v>DET</v>
      </c>
      <c r="G152" s="248">
        <v>133.0</v>
      </c>
      <c r="H152" s="278">
        <f>IFERROR(__xludf.DUMMYFUNCTION("""COMPUTED_VALUE"""),133.0)</f>
        <v>133</v>
      </c>
      <c r="I152" s="278">
        <f>IFERROR(__xludf.DUMMYFUNCTION("""COMPUTED_VALUE"""),138.1)</f>
        <v>138.1</v>
      </c>
      <c r="J152" s="279" t="str">
        <f>IFERROR(__xludf.DUMMYFUNCTION("""COMPUTED_VALUE"""),"Ausar Thompson")</f>
        <v>Ausar Thompson</v>
      </c>
      <c r="K152" s="278">
        <f>IFERROR(__xludf.DUMMYFUNCTION("""COMPUTED_VALUE"""),66.0)</f>
        <v>66</v>
      </c>
      <c r="L152" s="280" t="str">
        <f>IFERROR(__xludf.DUMMYFUNCTION("""COMPUTED_VALUE"""),"SF,PF")</f>
        <v>SF,PF</v>
      </c>
      <c r="M152" s="281">
        <f>IFERROR(__xludf.DUMMYFUNCTION("""COMPUTED_VALUE"""),-1.4617463617099717)</f>
        <v>-1.461746362</v>
      </c>
      <c r="N152" s="281">
        <f>IFERROR(__xludf.DUMMYFUNCTION("""COMPUTED_VALUE"""),-1.4617463617099717)</f>
        <v>-1.461746362</v>
      </c>
      <c r="O152" s="282">
        <f>IFERROR(__xludf.DUMMYFUNCTION("""COMPUTED_VALUE"""),0.0)</f>
        <v>0</v>
      </c>
      <c r="P152" s="283">
        <f>IFERROR(__xludf.DUMMYFUNCTION("""COMPUTED_VALUE"""),10.6)</f>
        <v>10.6</v>
      </c>
      <c r="Q152" s="283">
        <f>IFERROR(__xludf.DUMMYFUNCTION("""COMPUTED_VALUE"""),0.4)</f>
        <v>0.4</v>
      </c>
      <c r="R152" s="283">
        <f>IFERROR(__xludf.DUMMYFUNCTION("""COMPUTED_VALUE"""),7.2)</f>
        <v>7.2</v>
      </c>
      <c r="S152" s="284">
        <f>IFERROR(__xludf.DUMMYFUNCTION("""COMPUTED_VALUE"""),2.2)</f>
        <v>2.2</v>
      </c>
      <c r="T152" s="283">
        <f>IFERROR(__xludf.DUMMYFUNCTION("""COMPUTED_VALUE"""),1.2)</f>
        <v>1.2</v>
      </c>
      <c r="U152" s="283">
        <f>IFERROR(__xludf.DUMMYFUNCTION("""COMPUTED_VALUE"""),1.1)</f>
        <v>1.1</v>
      </c>
      <c r="V152" s="280">
        <f>IFERROR(__xludf.DUMMYFUNCTION("""COMPUTED_VALUE"""),0.493)</f>
        <v>0.493</v>
      </c>
      <c r="W152" s="280">
        <f>IFERROR(__xludf.DUMMYFUNCTION("""COMPUTED_VALUE"""),0.624)</f>
        <v>0.624</v>
      </c>
      <c r="X152" s="280">
        <f>IFERROR(__xludf.DUMMYFUNCTION("""COMPUTED_VALUE"""),1.5)</f>
        <v>1.5</v>
      </c>
      <c r="Y152" s="283">
        <f>IFERROR(__xludf.DUMMYFUNCTION("""COMPUTED_VALUE"""),-1.240489612960974)</f>
        <v>-1.240489613</v>
      </c>
      <c r="Z152" s="281">
        <f>IFERROR(__xludf.DUMMYFUNCTION("""COMPUTED_VALUE"""),-1.3425893849486756)</f>
        <v>-1.342589385</v>
      </c>
      <c r="AA152" s="281">
        <f>IFERROR(__xludf.DUMMYFUNCTION("""COMPUTED_VALUE"""),0.44369961510895767)</f>
        <v>0.4436996151</v>
      </c>
      <c r="AB152" s="281">
        <f>IFERROR(__xludf.DUMMYFUNCTION("""COMPUTED_VALUE"""),-0.7908437104398038)</f>
        <v>-0.7908437104</v>
      </c>
      <c r="AC152" s="281">
        <f>IFERROR(__xludf.DUMMYFUNCTION("""COMPUTED_VALUE"""),0.7430016239596308)</f>
        <v>0.743001624</v>
      </c>
      <c r="AD152" s="281">
        <f>IFERROR(__xludf.DUMMYFUNCTION("""COMPUTED_VALUE"""),0.6332385715246607)</f>
        <v>0.6332385715</v>
      </c>
      <c r="AE152" s="281">
        <f>IFERROR(__xludf.DUMMYFUNCTION("""COMPUTED_VALUE"""),-0.04093465444296735)</f>
        <v>-0.04093465444</v>
      </c>
      <c r="AF152" s="281">
        <f>IFERROR(__xludf.DUMMYFUNCTION("""COMPUTED_VALUE"""),-1.2710830853030952)</f>
        <v>-1.271083085</v>
      </c>
      <c r="AG152" s="281">
        <f>IFERROR(__xludf.DUMMYFUNCTION("""COMPUTED_VALUE"""),0.06166489084362008)</f>
        <v>0.06166489084</v>
      </c>
      <c r="AH152" s="285"/>
      <c r="AI152" s="273"/>
      <c r="AJ152" s="340"/>
      <c r="AK152" s="341"/>
      <c r="AL152" s="273"/>
      <c r="AM152" s="273"/>
      <c r="AN152" s="273"/>
      <c r="AO152" s="273"/>
      <c r="AP152" s="273"/>
      <c r="AQ152" s="273"/>
      <c r="AR152" s="273"/>
      <c r="AS152" s="273"/>
      <c r="AT152" s="273"/>
      <c r="AU152" s="273"/>
      <c r="AV152" s="273"/>
      <c r="AW152" s="273"/>
      <c r="AX152" s="273"/>
      <c r="AY152" s="273"/>
      <c r="AZ152" s="273"/>
      <c r="BA152" s="273"/>
      <c r="BB152" s="273"/>
      <c r="BC152" s="273"/>
      <c r="BD152" s="273"/>
      <c r="BE152" s="273"/>
      <c r="BF152" s="273"/>
      <c r="BG152" s="273"/>
      <c r="BH152" s="273"/>
      <c r="BI152" s="273"/>
      <c r="BJ152" s="273"/>
      <c r="BK152" s="273"/>
      <c r="BL152" s="273"/>
      <c r="BM152" s="273"/>
      <c r="BN152" s="273"/>
      <c r="BO152" s="273"/>
      <c r="BP152" s="273"/>
      <c r="BQ152" s="273"/>
      <c r="BR152" s="273"/>
      <c r="BS152" s="273"/>
      <c r="BT152" s="273"/>
      <c r="BU152" s="273"/>
      <c r="BV152" s="273"/>
      <c r="BW152" s="273"/>
    </row>
    <row r="153">
      <c r="A153" s="276">
        <f>VLOOKUP($F153,UpdateHashtag!$V$3:$Y$32,COLUMN(B$15),0)</f>
        <v>2</v>
      </c>
      <c r="B153" s="259">
        <f>VLOOKUP($F153,UpdateHashtag!$V$3:$Y$32,COLUMN(C$13),0)</f>
        <v>4</v>
      </c>
      <c r="C153" s="259">
        <f>VLOOKUP($F153,UpdateHashtag!$V$3:$Y$32,COLUMN(D$13),0)</f>
        <v>4</v>
      </c>
      <c r="D153" s="277">
        <f t="shared" si="4"/>
        <v>10</v>
      </c>
      <c r="E153" s="21"/>
      <c r="F153" s="261" t="str">
        <f>VLOOKUP(J153,UpdateBBM!$C$2:E1015,3,0)</f>
        <v>CHI</v>
      </c>
      <c r="G153" s="248">
        <v>134.0</v>
      </c>
      <c r="H153" s="278">
        <f>IFERROR(__xludf.DUMMYFUNCTION("""COMPUTED_VALUE"""),134.0)</f>
        <v>134</v>
      </c>
      <c r="I153" s="278">
        <f>IFERROR(__xludf.DUMMYFUNCTION("""COMPUTED_VALUE"""),144.3)</f>
        <v>144.3</v>
      </c>
      <c r="J153" s="279" t="str">
        <f>IFERROR(__xludf.DUMMYFUNCTION("""COMPUTED_VALUE"""),"Jalen Smith")</f>
        <v>Jalen Smith</v>
      </c>
      <c r="K153" s="278">
        <f>IFERROR(__xludf.DUMMYFUNCTION("""COMPUTED_VALUE"""),71.0)</f>
        <v>71</v>
      </c>
      <c r="L153" s="280" t="str">
        <f>IFERROR(__xludf.DUMMYFUNCTION("""COMPUTED_VALUE"""),"PF,C")</f>
        <v>PF,C</v>
      </c>
      <c r="M153" s="281">
        <f>IFERROR(__xludf.DUMMYFUNCTION("""COMPUTED_VALUE"""),-1.5618965656588222)</f>
        <v>-1.561896566</v>
      </c>
      <c r="N153" s="281">
        <f>IFERROR(__xludf.DUMMYFUNCTION("""COMPUTED_VALUE"""),-1.5618965656588222)</f>
        <v>-1.561896566</v>
      </c>
      <c r="O153" s="282">
        <f>IFERROR(__xludf.DUMMYFUNCTION("""COMPUTED_VALUE"""),0.0)</f>
        <v>0</v>
      </c>
      <c r="P153" s="283">
        <f>IFERROR(__xludf.DUMMYFUNCTION("""COMPUTED_VALUE"""),12.9)</f>
        <v>12.9</v>
      </c>
      <c r="Q153" s="283">
        <f>IFERROR(__xludf.DUMMYFUNCTION("""COMPUTED_VALUE"""),1.3)</f>
        <v>1.3</v>
      </c>
      <c r="R153" s="283">
        <f>IFERROR(__xludf.DUMMYFUNCTION("""COMPUTED_VALUE"""),7.6)</f>
        <v>7.6</v>
      </c>
      <c r="S153" s="284">
        <f>IFERROR(__xludf.DUMMYFUNCTION("""COMPUTED_VALUE"""),1.3)</f>
        <v>1.3</v>
      </c>
      <c r="T153" s="283">
        <f>IFERROR(__xludf.DUMMYFUNCTION("""COMPUTED_VALUE"""),0.4)</f>
        <v>0.4</v>
      </c>
      <c r="U153" s="283">
        <f>IFERROR(__xludf.DUMMYFUNCTION("""COMPUTED_VALUE"""),1.0)</f>
        <v>1</v>
      </c>
      <c r="V153" s="280">
        <f>IFERROR(__xludf.DUMMYFUNCTION("""COMPUTED_VALUE"""),0.537)</f>
        <v>0.537</v>
      </c>
      <c r="W153" s="280">
        <f>IFERROR(__xludf.DUMMYFUNCTION("""COMPUTED_VALUE"""),0.711)</f>
        <v>0.711</v>
      </c>
      <c r="X153" s="280">
        <f>IFERROR(__xludf.DUMMYFUNCTION("""COMPUTED_VALUE"""),1.2)</f>
        <v>1.2</v>
      </c>
      <c r="Y153" s="283">
        <f>IFERROR(__xludf.DUMMYFUNCTION("""COMPUTED_VALUE"""),-0.8249991678058503)</f>
        <v>-0.8249991678</v>
      </c>
      <c r="Z153" s="281">
        <f>IFERROR(__xludf.DUMMYFUNCTION("""COMPUTED_VALUE"""),-0.44687069366480203)</f>
        <v>-0.4468706937</v>
      </c>
      <c r="AA153" s="281">
        <f>IFERROR(__xludf.DUMMYFUNCTION("""COMPUTED_VALUE"""),0.600605099608846)</f>
        <v>0.6006050996</v>
      </c>
      <c r="AB153" s="281">
        <f>IFERROR(__xludf.DUMMYFUNCTION("""COMPUTED_VALUE"""),-1.2008996442390003)</f>
        <v>-1.200899644</v>
      </c>
      <c r="AC153" s="281">
        <f>IFERROR(__xludf.DUMMYFUNCTION("""COMPUTED_VALUE"""),-1.912459801316204)</f>
        <v>-1.912459801</v>
      </c>
      <c r="AD153" s="281">
        <f>IFERROR(__xludf.DUMMYFUNCTION("""COMPUTED_VALUE"""),0.45484486947200414)</f>
        <v>0.4548448695</v>
      </c>
      <c r="AE153" s="281">
        <f>IFERROR(__xludf.DUMMYFUNCTION("""COMPUTED_VALUE"""),0.43258165659130143)</f>
        <v>0.4325816566</v>
      </c>
      <c r="AF153" s="281">
        <f>IFERROR(__xludf.DUMMYFUNCTION("""COMPUTED_VALUE"""),-0.7132182168929008)</f>
        <v>-0.7132182169</v>
      </c>
      <c r="AG153" s="281">
        <f>IFERROR(__xludf.DUMMYFUNCTION("""COMPUTED_VALUE"""),0.13605953127158005)</f>
        <v>0.1360595313</v>
      </c>
      <c r="AH153" s="285"/>
      <c r="AI153" s="273"/>
      <c r="AJ153" s="340"/>
      <c r="AK153" s="341"/>
      <c r="AL153" s="273"/>
      <c r="AM153" s="273"/>
      <c r="AN153" s="273"/>
      <c r="AO153" s="273"/>
      <c r="AP153" s="273"/>
      <c r="AQ153" s="273"/>
      <c r="AR153" s="273"/>
      <c r="AS153" s="273"/>
      <c r="AT153" s="273"/>
      <c r="AU153" s="273"/>
      <c r="AV153" s="273"/>
      <c r="AW153" s="273"/>
      <c r="AX153" s="273"/>
      <c r="AY153" s="273"/>
      <c r="AZ153" s="273"/>
      <c r="BA153" s="273"/>
      <c r="BB153" s="273"/>
      <c r="BC153" s="273"/>
      <c r="BD153" s="273"/>
      <c r="BE153" s="273"/>
      <c r="BF153" s="273"/>
      <c r="BG153" s="273"/>
      <c r="BH153" s="273"/>
      <c r="BI153" s="273"/>
      <c r="BJ153" s="273"/>
      <c r="BK153" s="273"/>
      <c r="BL153" s="273"/>
      <c r="BM153" s="273"/>
      <c r="BN153" s="273"/>
      <c r="BO153" s="273"/>
      <c r="BP153" s="273"/>
      <c r="BQ153" s="273"/>
      <c r="BR153" s="273"/>
      <c r="BS153" s="273"/>
      <c r="BT153" s="273"/>
      <c r="BU153" s="273"/>
      <c r="BV153" s="273"/>
      <c r="BW153" s="273"/>
    </row>
    <row r="154">
      <c r="A154" s="276">
        <f>VLOOKUP($F154,UpdateHashtag!$V$3:$Y$32,COLUMN(B$15),0)</f>
        <v>4</v>
      </c>
      <c r="B154" s="259">
        <f>VLOOKUP($F154,UpdateHashtag!$V$3:$Y$32,COLUMN(C$13),0)</f>
        <v>3</v>
      </c>
      <c r="C154" s="259">
        <f>VLOOKUP($F154,UpdateHashtag!$V$3:$Y$32,COLUMN(D$13),0)</f>
        <v>4</v>
      </c>
      <c r="D154" s="277">
        <f t="shared" si="4"/>
        <v>11</v>
      </c>
      <c r="E154" s="21"/>
      <c r="F154" s="261" t="str">
        <f>VLOOKUP(J154,UpdateBBM!$C$2:E1015,3,0)</f>
        <v>POR</v>
      </c>
      <c r="G154" s="248">
        <v>135.0</v>
      </c>
      <c r="H154" s="278">
        <f>IFERROR(__xludf.DUMMYFUNCTION("""COMPUTED_VALUE"""),135.0)</f>
        <v>135</v>
      </c>
      <c r="I154" s="278">
        <f>IFERROR(__xludf.DUMMYFUNCTION("""COMPUTED_VALUE"""),130.8)</f>
        <v>130.8</v>
      </c>
      <c r="J154" s="279" t="str">
        <f>IFERROR(__xludf.DUMMYFUNCTION("""COMPUTED_VALUE"""),"Scoot Henderson")</f>
        <v>Scoot Henderson</v>
      </c>
      <c r="K154" s="278">
        <f>IFERROR(__xludf.DUMMYFUNCTION("""COMPUTED_VALUE"""),66.0)</f>
        <v>66</v>
      </c>
      <c r="L154" s="280" t="str">
        <f>IFERROR(__xludf.DUMMYFUNCTION("""COMPUTED_VALUE"""),"PG")</f>
        <v>PG</v>
      </c>
      <c r="M154" s="281">
        <f>IFERROR(__xludf.DUMMYFUNCTION("""COMPUTED_VALUE"""),-1.579897178963865)</f>
        <v>-1.579897179</v>
      </c>
      <c r="N154" s="281">
        <f>IFERROR(__xludf.DUMMYFUNCTION("""COMPUTED_VALUE"""),-1.579897178963865)</f>
        <v>-1.579897179</v>
      </c>
      <c r="O154" s="282">
        <f>IFERROR(__xludf.DUMMYFUNCTION("""COMPUTED_VALUE"""),0.0)</f>
        <v>0</v>
      </c>
      <c r="P154" s="283">
        <f>IFERROR(__xludf.DUMMYFUNCTION("""COMPUTED_VALUE"""),15.7)</f>
        <v>15.7</v>
      </c>
      <c r="Q154" s="283">
        <f>IFERROR(__xludf.DUMMYFUNCTION("""COMPUTED_VALUE"""),1.5)</f>
        <v>1.5</v>
      </c>
      <c r="R154" s="283">
        <f>IFERROR(__xludf.DUMMYFUNCTION("""COMPUTED_VALUE"""),3.3)</f>
        <v>3.3</v>
      </c>
      <c r="S154" s="284">
        <f>IFERROR(__xludf.DUMMYFUNCTION("""COMPUTED_VALUE"""),5.8)</f>
        <v>5.8</v>
      </c>
      <c r="T154" s="283">
        <f>IFERROR(__xludf.DUMMYFUNCTION("""COMPUTED_VALUE"""),1.0)</f>
        <v>1</v>
      </c>
      <c r="U154" s="283">
        <f>IFERROR(__xludf.DUMMYFUNCTION("""COMPUTED_VALUE"""),0.3)</f>
        <v>0.3</v>
      </c>
      <c r="V154" s="280">
        <f>IFERROR(__xludf.DUMMYFUNCTION("""COMPUTED_VALUE"""),0.409)</f>
        <v>0.409</v>
      </c>
      <c r="W154" s="280">
        <f>IFERROR(__xludf.DUMMYFUNCTION("""COMPUTED_VALUE"""),0.821)</f>
        <v>0.821</v>
      </c>
      <c r="X154" s="280">
        <f>IFERROR(__xludf.DUMMYFUNCTION("""COMPUTED_VALUE"""),3.3)</f>
        <v>3.3</v>
      </c>
      <c r="Y154" s="283">
        <f>IFERROR(__xludf.DUMMYFUNCTION("""COMPUTED_VALUE"""),-0.3191847128343959)</f>
        <v>-0.3191847128</v>
      </c>
      <c r="Z154" s="281">
        <f>IFERROR(__xludf.DUMMYFUNCTION("""COMPUTED_VALUE"""),-0.24782209560171908)</f>
        <v>-0.2478220956</v>
      </c>
      <c r="AA154" s="281">
        <f>IFERROR(__xludf.DUMMYFUNCTION("""COMPUTED_VALUE"""),-1.0861288587649554)</f>
        <v>-1.086128859</v>
      </c>
      <c r="AB154" s="281">
        <f>IFERROR(__xludf.DUMMYFUNCTION("""COMPUTED_VALUE"""),0.8493800247569822)</f>
        <v>0.8493800248</v>
      </c>
      <c r="AC154" s="281">
        <f>IFERROR(__xludf.DUMMYFUNCTION("""COMPUTED_VALUE"""),0.07913626764067216)</f>
        <v>0.07913626764</v>
      </c>
      <c r="AD154" s="281">
        <f>IFERROR(__xludf.DUMMYFUNCTION("""COMPUTED_VALUE"""),-0.7939110448965904)</f>
        <v>-0.7939110449</v>
      </c>
      <c r="AE154" s="281">
        <f>IFERROR(__xludf.DUMMYFUNCTION("""COMPUTED_VALUE"""),-1.4213499297540229)</f>
        <v>-1.42134993</v>
      </c>
      <c r="AF154" s="281">
        <f>IFERROR(__xludf.DUMMYFUNCTION("""COMPUTED_VALUE"""),0.32333619246028117)</f>
        <v>0.3233361925</v>
      </c>
      <c r="AG154" s="281">
        <f>IFERROR(__xludf.DUMMYFUNCTION("""COMPUTED_VALUE"""),-0.3847029517241397)</f>
        <v>-0.3847029517</v>
      </c>
      <c r="AH154" s="285"/>
      <c r="AI154" s="273"/>
      <c r="AJ154" s="340"/>
      <c r="AK154" s="341"/>
      <c r="AL154" s="273"/>
      <c r="AM154" s="273"/>
      <c r="AN154" s="273"/>
      <c r="AO154" s="273"/>
      <c r="AP154" s="273"/>
      <c r="AQ154" s="273"/>
      <c r="AR154" s="273"/>
      <c r="AS154" s="273"/>
      <c r="AT154" s="273"/>
      <c r="AU154" s="273"/>
      <c r="AV154" s="273"/>
      <c r="AW154" s="273"/>
      <c r="AX154" s="273"/>
      <c r="AY154" s="273"/>
      <c r="AZ154" s="273"/>
      <c r="BA154" s="273"/>
      <c r="BB154" s="273"/>
      <c r="BC154" s="273"/>
      <c r="BD154" s="273"/>
      <c r="BE154" s="273"/>
      <c r="BF154" s="273"/>
      <c r="BG154" s="273"/>
      <c r="BH154" s="273"/>
      <c r="BI154" s="273"/>
      <c r="BJ154" s="273"/>
      <c r="BK154" s="273"/>
      <c r="BL154" s="273"/>
      <c r="BM154" s="273"/>
      <c r="BN154" s="273"/>
      <c r="BO154" s="273"/>
      <c r="BP154" s="273"/>
      <c r="BQ154" s="273"/>
      <c r="BR154" s="273"/>
      <c r="BS154" s="273"/>
      <c r="BT154" s="273"/>
      <c r="BU154" s="273"/>
      <c r="BV154" s="273"/>
      <c r="BW154" s="273"/>
    </row>
    <row r="155">
      <c r="A155" s="259" t="str">
        <f>VLOOKUP($F155,UpdateHashtag!$V$3:$Y$32,COLUMN(B$15),0)</f>
        <v>#N/A</v>
      </c>
      <c r="B155" s="259" t="str">
        <f>VLOOKUP($F155,UpdateHashtag!$V$3:$Y$32,COLUMN(C$13),0)</f>
        <v>#N/A</v>
      </c>
      <c r="C155" s="259" t="str">
        <f>VLOOKUP($F155,UpdateHashtag!$V$3:$Y$32,COLUMN(D$13),0)</f>
        <v>#N/A</v>
      </c>
      <c r="D155" s="329" t="str">
        <f t="shared" si="4"/>
        <v>#N/A</v>
      </c>
      <c r="E155" s="21"/>
      <c r="F155" s="261" t="str">
        <f>VLOOKUP(J155,UpdateBBM!$C$2:E1015,3,0)</f>
        <v>#N/A</v>
      </c>
      <c r="G155" s="248">
        <v>136.0</v>
      </c>
      <c r="H155" s="278">
        <f>IFERROR(__xludf.DUMMYFUNCTION("""COMPUTED_VALUE"""),136.0)</f>
        <v>136</v>
      </c>
      <c r="I155" s="278">
        <f>IFERROR(__xludf.DUMMYFUNCTION("""COMPUTED_VALUE"""),134.2)</f>
        <v>134.2</v>
      </c>
      <c r="J155" s="279" t="str">
        <f>IFERROR(__xludf.DUMMYFUNCTION("""COMPUTED_VALUE"""),"P.J. Washington")</f>
        <v>P.J. Washington</v>
      </c>
      <c r="K155" s="278">
        <f>IFERROR(__xludf.DUMMYFUNCTION("""COMPUTED_VALUE"""),68.0)</f>
        <v>68</v>
      </c>
      <c r="L155" s="280" t="str">
        <f>IFERROR(__xludf.DUMMYFUNCTION("""COMPUTED_VALUE"""),"PF")</f>
        <v>PF</v>
      </c>
      <c r="M155" s="281">
        <f>IFERROR(__xludf.DUMMYFUNCTION("""COMPUTED_VALUE"""),-1.6072763819359503)</f>
        <v>-1.607276382</v>
      </c>
      <c r="N155" s="281">
        <f>IFERROR(__xludf.DUMMYFUNCTION("""COMPUTED_VALUE"""),-1.6072763819359503)</f>
        <v>-1.607276382</v>
      </c>
      <c r="O155" s="282">
        <f>IFERROR(__xludf.DUMMYFUNCTION("""COMPUTED_VALUE"""),0.0)</f>
        <v>0</v>
      </c>
      <c r="P155" s="283">
        <f>IFERROR(__xludf.DUMMYFUNCTION("""COMPUTED_VALUE"""),12.4)</f>
        <v>12.4</v>
      </c>
      <c r="Q155" s="283">
        <f>IFERROR(__xludf.DUMMYFUNCTION("""COMPUTED_VALUE"""),1.9)</f>
        <v>1.9</v>
      </c>
      <c r="R155" s="283">
        <f>IFERROR(__xludf.DUMMYFUNCTION("""COMPUTED_VALUE"""),5.5)</f>
        <v>5.5</v>
      </c>
      <c r="S155" s="284">
        <f>IFERROR(__xludf.DUMMYFUNCTION("""COMPUTED_VALUE"""),2.1)</f>
        <v>2.1</v>
      </c>
      <c r="T155" s="283">
        <f>IFERROR(__xludf.DUMMYFUNCTION("""COMPUTED_VALUE"""),1.1)</f>
        <v>1.1</v>
      </c>
      <c r="U155" s="283">
        <f>IFERROR(__xludf.DUMMYFUNCTION("""COMPUTED_VALUE"""),0.9)</f>
        <v>0.9</v>
      </c>
      <c r="V155" s="280">
        <f>IFERROR(__xludf.DUMMYFUNCTION("""COMPUTED_VALUE"""),0.431)</f>
        <v>0.431</v>
      </c>
      <c r="W155" s="280">
        <f>IFERROR(__xludf.DUMMYFUNCTION("""COMPUTED_VALUE"""),0.706)</f>
        <v>0.706</v>
      </c>
      <c r="X155" s="280">
        <f>IFERROR(__xludf.DUMMYFUNCTION("""COMPUTED_VALUE"""),1.4)</f>
        <v>1.4</v>
      </c>
      <c r="Y155" s="283">
        <f>IFERROR(__xludf.DUMMYFUNCTION("""COMPUTED_VALUE"""),-0.9153231776221815)</f>
        <v>-0.9153231776</v>
      </c>
      <c r="Z155" s="281">
        <f>IFERROR(__xludf.DUMMYFUNCTION("""COMPUTED_VALUE"""),0.15027510052444681)</f>
        <v>0.1502751005</v>
      </c>
      <c r="AA155" s="281">
        <f>IFERROR(__xludf.DUMMYFUNCTION("""COMPUTED_VALUE"""),-0.2231486940155685)</f>
        <v>-0.223148694</v>
      </c>
      <c r="AB155" s="281">
        <f>IFERROR(__xludf.DUMMYFUNCTION("""COMPUTED_VALUE"""),-0.8364054808619368)</f>
        <v>-0.8364054809</v>
      </c>
      <c r="AC155" s="281">
        <f>IFERROR(__xludf.DUMMYFUNCTION("""COMPUTED_VALUE"""),0.41106894580015185)</f>
        <v>0.4110689458</v>
      </c>
      <c r="AD155" s="281">
        <f>IFERROR(__xludf.DUMMYFUNCTION("""COMPUTED_VALUE"""),0.27645116741934783)</f>
        <v>0.2764511674</v>
      </c>
      <c r="AE155" s="281">
        <f>IFERROR(__xludf.DUMMYFUNCTION("""COMPUTED_VALUE"""),-0.8107296919199168)</f>
        <v>-0.8107296919</v>
      </c>
      <c r="AF155" s="281">
        <f>IFERROR(__xludf.DUMMYFUNCTION("""COMPUTED_VALUE"""),-0.6612508332020818)</f>
        <v>-0.6612508332</v>
      </c>
      <c r="AG155" s="281">
        <f>IFERROR(__xludf.DUMMYFUNCTION("""COMPUTED_VALUE"""),0.08646310431960676)</f>
        <v>0.08646310432</v>
      </c>
      <c r="AH155" s="285"/>
      <c r="AI155" s="273"/>
      <c r="AJ155" s="340"/>
      <c r="AK155" s="341"/>
      <c r="AL155" s="273"/>
      <c r="AM155" s="273"/>
      <c r="AN155" s="273"/>
      <c r="AO155" s="273"/>
      <c r="AP155" s="273"/>
      <c r="AQ155" s="273"/>
      <c r="AR155" s="273"/>
      <c r="AS155" s="273"/>
      <c r="AT155" s="273"/>
      <c r="AU155" s="273"/>
      <c r="AV155" s="273"/>
      <c r="AW155" s="273"/>
      <c r="AX155" s="273"/>
      <c r="AY155" s="273"/>
      <c r="AZ155" s="273"/>
      <c r="BA155" s="273"/>
      <c r="BB155" s="273"/>
      <c r="BC155" s="273"/>
      <c r="BD155" s="273"/>
      <c r="BE155" s="273"/>
      <c r="BF155" s="273"/>
      <c r="BG155" s="273"/>
      <c r="BH155" s="273"/>
      <c r="BI155" s="273"/>
      <c r="BJ155" s="273"/>
      <c r="BK155" s="273"/>
      <c r="BL155" s="273"/>
      <c r="BM155" s="273"/>
      <c r="BN155" s="273"/>
      <c r="BO155" s="273"/>
      <c r="BP155" s="273"/>
      <c r="BQ155" s="273"/>
      <c r="BR155" s="273"/>
      <c r="BS155" s="273"/>
      <c r="BT155" s="273"/>
      <c r="BU155" s="273"/>
      <c r="BV155" s="273"/>
      <c r="BW155" s="273"/>
    </row>
    <row r="156">
      <c r="A156" s="259" t="str">
        <f>VLOOKUP($F156,UpdateHashtag!$V$3:$Y$32,COLUMN(B$15),0)</f>
        <v>#N/A</v>
      </c>
      <c r="B156" s="259" t="str">
        <f>VLOOKUP($F156,UpdateHashtag!$V$3:$Y$32,COLUMN(C$13),0)</f>
        <v>#N/A</v>
      </c>
      <c r="C156" s="259" t="str">
        <f>VLOOKUP($F156,UpdateHashtag!$V$3:$Y$32,COLUMN(D$13),0)</f>
        <v>#N/A</v>
      </c>
      <c r="D156" s="329" t="str">
        <f t="shared" si="4"/>
        <v>#N/A</v>
      </c>
      <c r="E156" s="21"/>
      <c r="F156" s="261" t="str">
        <f>VLOOKUP(J156,UpdateBBM!$C$2:E1015,3,0)</f>
        <v>#N/A</v>
      </c>
      <c r="G156" s="248">
        <v>137.0</v>
      </c>
      <c r="H156" s="278">
        <f>IFERROR(__xludf.DUMMYFUNCTION("""COMPUTED_VALUE"""),137.0)</f>
        <v>137</v>
      </c>
      <c r="I156" s="278">
        <f>IFERROR(__xludf.DUMMYFUNCTION("""COMPUTED_VALUE"""),139.1)</f>
        <v>139.1</v>
      </c>
      <c r="J156" s="279" t="str">
        <f>IFERROR(__xludf.DUMMYFUNCTION("""COMPUTED_VALUE"""),"Russell Westbrook")</f>
        <v>Russell Westbrook</v>
      </c>
      <c r="K156" s="278">
        <f>IFERROR(__xludf.DUMMYFUNCTION("""COMPUTED_VALUE"""),71.0)</f>
        <v>71</v>
      </c>
      <c r="L156" s="280" t="str">
        <f>IFERROR(__xludf.DUMMYFUNCTION("""COMPUTED_VALUE"""),"PG")</f>
        <v>PG</v>
      </c>
      <c r="M156" s="281">
        <f>IFERROR(__xludf.DUMMYFUNCTION("""COMPUTED_VALUE"""),-1.6272411798892419)</f>
        <v>-1.62724118</v>
      </c>
      <c r="N156" s="281">
        <f>IFERROR(__xludf.DUMMYFUNCTION("""COMPUTED_VALUE"""),-1.6272411798892419)</f>
        <v>-1.62724118</v>
      </c>
      <c r="O156" s="282">
        <f>IFERROR(__xludf.DUMMYFUNCTION("""COMPUTED_VALUE"""),0.0)</f>
        <v>0</v>
      </c>
      <c r="P156" s="283">
        <f>IFERROR(__xludf.DUMMYFUNCTION("""COMPUTED_VALUE"""),14.8)</f>
        <v>14.8</v>
      </c>
      <c r="Q156" s="283">
        <f>IFERROR(__xludf.DUMMYFUNCTION("""COMPUTED_VALUE"""),1.0)</f>
        <v>1</v>
      </c>
      <c r="R156" s="283">
        <f>IFERROR(__xludf.DUMMYFUNCTION("""COMPUTED_VALUE"""),5.9)</f>
        <v>5.9</v>
      </c>
      <c r="S156" s="284">
        <f>IFERROR(__xludf.DUMMYFUNCTION("""COMPUTED_VALUE"""),5.4)</f>
        <v>5.4</v>
      </c>
      <c r="T156" s="283">
        <f>IFERROR(__xludf.DUMMYFUNCTION("""COMPUTED_VALUE"""),1.2)</f>
        <v>1.2</v>
      </c>
      <c r="U156" s="283">
        <f>IFERROR(__xludf.DUMMYFUNCTION("""COMPUTED_VALUE"""),0.4)</f>
        <v>0.4</v>
      </c>
      <c r="V156" s="280">
        <f>IFERROR(__xludf.DUMMYFUNCTION("""COMPUTED_VALUE"""),0.444)</f>
        <v>0.444</v>
      </c>
      <c r="W156" s="280">
        <f>IFERROR(__xludf.DUMMYFUNCTION("""COMPUTED_VALUE"""),0.668)</f>
        <v>0.668</v>
      </c>
      <c r="X156" s="280">
        <f>IFERROR(__xludf.DUMMYFUNCTION("""COMPUTED_VALUE"""),3.1)</f>
        <v>3.1</v>
      </c>
      <c r="Y156" s="283">
        <f>IFERROR(__xludf.DUMMYFUNCTION("""COMPUTED_VALUE"""),-0.48176793050379174)</f>
        <v>-0.4817679305</v>
      </c>
      <c r="Z156" s="281">
        <f>IFERROR(__xludf.DUMMYFUNCTION("""COMPUTED_VALUE"""),-0.7454435907594266)</f>
        <v>-0.7454435908</v>
      </c>
      <c r="AA156" s="281">
        <f>IFERROR(__xludf.DUMMYFUNCTION("""COMPUTED_VALUE"""),-0.06624320951567987)</f>
        <v>-0.06624320952</v>
      </c>
      <c r="AB156" s="281">
        <f>IFERROR(__xludf.DUMMYFUNCTION("""COMPUTED_VALUE"""),0.6671329430684506)</f>
        <v>0.6671329431</v>
      </c>
      <c r="AC156" s="281">
        <f>IFERROR(__xludf.DUMMYFUNCTION("""COMPUTED_VALUE"""),0.7430016239596308)</f>
        <v>0.743001624</v>
      </c>
      <c r="AD156" s="281">
        <f>IFERROR(__xludf.DUMMYFUNCTION("""COMPUTED_VALUE"""),-0.6155173428439339)</f>
        <v>-0.6155173428</v>
      </c>
      <c r="AE156" s="281">
        <f>IFERROR(__xludf.DUMMYFUNCTION("""COMPUTED_VALUE"""),-0.7932971485223245)</f>
        <v>-0.7932971485</v>
      </c>
      <c r="AF156" s="281">
        <f>IFERROR(__xludf.DUMMYFUNCTION("""COMPUTED_VALUE"""),-1.6629844218287686)</f>
        <v>-1.662984422</v>
      </c>
      <c r="AG156" s="281">
        <f>IFERROR(__xludf.DUMMYFUNCTION("""COMPUTED_VALUE"""),-0.33510652477216646)</f>
        <v>-0.3351065248</v>
      </c>
      <c r="AH156" s="285"/>
      <c r="AI156" s="273"/>
      <c r="AJ156" s="340"/>
      <c r="AK156" s="341"/>
      <c r="AL156" s="273"/>
      <c r="AM156" s="273"/>
      <c r="AN156" s="273"/>
      <c r="AO156" s="273"/>
      <c r="AP156" s="273"/>
      <c r="AQ156" s="273"/>
      <c r="AR156" s="273"/>
      <c r="AS156" s="273"/>
      <c r="AT156" s="273"/>
      <c r="AU156" s="273"/>
      <c r="AV156" s="273"/>
      <c r="AW156" s="273"/>
      <c r="AX156" s="273"/>
      <c r="AY156" s="273"/>
      <c r="AZ156" s="273"/>
      <c r="BA156" s="273"/>
      <c r="BB156" s="273"/>
      <c r="BC156" s="273"/>
      <c r="BD156" s="273"/>
      <c r="BE156" s="273"/>
      <c r="BF156" s="273"/>
      <c r="BG156" s="273"/>
      <c r="BH156" s="273"/>
      <c r="BI156" s="273"/>
      <c r="BJ156" s="273"/>
      <c r="BK156" s="273"/>
      <c r="BL156" s="273"/>
      <c r="BM156" s="273"/>
      <c r="BN156" s="273"/>
      <c r="BO156" s="273"/>
      <c r="BP156" s="273"/>
      <c r="BQ156" s="273"/>
      <c r="BR156" s="273"/>
      <c r="BS156" s="273"/>
      <c r="BT156" s="273"/>
      <c r="BU156" s="273"/>
      <c r="BV156" s="273"/>
      <c r="BW156" s="273"/>
    </row>
    <row r="157">
      <c r="A157" s="276">
        <f>VLOOKUP($F157,UpdateHashtag!$V$3:$Y$32,COLUMN(B$15),0)</f>
        <v>4</v>
      </c>
      <c r="B157" s="259">
        <f>VLOOKUP($F157,UpdateHashtag!$V$3:$Y$32,COLUMN(C$13),0)</f>
        <v>3</v>
      </c>
      <c r="C157" s="259">
        <f>VLOOKUP($F157,UpdateHashtag!$V$3:$Y$32,COLUMN(D$13),0)</f>
        <v>4</v>
      </c>
      <c r="D157" s="277">
        <f t="shared" si="4"/>
        <v>11</v>
      </c>
      <c r="E157" s="21"/>
      <c r="F157" s="261" t="str">
        <f>VLOOKUP(J157,UpdateBBM!$C$2:E1015,3,0)</f>
        <v>DET</v>
      </c>
      <c r="G157" s="248">
        <v>138.0</v>
      </c>
      <c r="H157" s="278">
        <f>IFERROR(__xludf.DUMMYFUNCTION("""COMPUTED_VALUE"""),138.0)</f>
        <v>138</v>
      </c>
      <c r="I157" s="278">
        <f>IFERROR(__xludf.DUMMYFUNCTION("""COMPUTED_VALUE"""),132.1)</f>
        <v>132.1</v>
      </c>
      <c r="J157" s="279" t="str">
        <f>IFERROR(__xludf.DUMMYFUNCTION("""COMPUTED_VALUE"""),"Jaden Ivey")</f>
        <v>Jaden Ivey</v>
      </c>
      <c r="K157" s="278">
        <f>IFERROR(__xludf.DUMMYFUNCTION("""COMPUTED_VALUE"""),59.0)</f>
        <v>59</v>
      </c>
      <c r="L157" s="280" t="str">
        <f>IFERROR(__xludf.DUMMYFUNCTION("""COMPUTED_VALUE"""),"PG,SG")</f>
        <v>PG,SG</v>
      </c>
      <c r="M157" s="281">
        <f>IFERROR(__xludf.DUMMYFUNCTION("""COMPUTED_VALUE"""),-1.6481635155151575)</f>
        <v>-1.648163516</v>
      </c>
      <c r="N157" s="281">
        <f>IFERROR(__xludf.DUMMYFUNCTION("""COMPUTED_VALUE"""),-1.6481635155151575)</f>
        <v>-1.648163516</v>
      </c>
      <c r="O157" s="282">
        <f>IFERROR(__xludf.DUMMYFUNCTION("""COMPUTED_VALUE"""),0.0)</f>
        <v>0</v>
      </c>
      <c r="P157" s="283">
        <f>IFERROR(__xludf.DUMMYFUNCTION("""COMPUTED_VALUE"""),18.4)</f>
        <v>18.4</v>
      </c>
      <c r="Q157" s="283">
        <f>IFERROR(__xludf.DUMMYFUNCTION("""COMPUTED_VALUE"""),2.2)</f>
        <v>2.2</v>
      </c>
      <c r="R157" s="283">
        <f>IFERROR(__xludf.DUMMYFUNCTION("""COMPUTED_VALUE"""),3.7)</f>
        <v>3.7</v>
      </c>
      <c r="S157" s="284">
        <f>IFERROR(__xludf.DUMMYFUNCTION("""COMPUTED_VALUE"""),4.6)</f>
        <v>4.6</v>
      </c>
      <c r="T157" s="283">
        <f>IFERROR(__xludf.DUMMYFUNCTION("""COMPUTED_VALUE"""),0.8)</f>
        <v>0.8</v>
      </c>
      <c r="U157" s="283">
        <f>IFERROR(__xludf.DUMMYFUNCTION("""COMPUTED_VALUE"""),0.6)</f>
        <v>0.6</v>
      </c>
      <c r="V157" s="280">
        <f>IFERROR(__xludf.DUMMYFUNCTION("""COMPUTED_VALUE"""),0.435)</f>
        <v>0.435</v>
      </c>
      <c r="W157" s="280">
        <f>IFERROR(__xludf.DUMMYFUNCTION("""COMPUTED_VALUE"""),0.759)</f>
        <v>0.759</v>
      </c>
      <c r="X157" s="280">
        <f>IFERROR(__xludf.DUMMYFUNCTION("""COMPUTED_VALUE"""),2.7)</f>
        <v>2.7</v>
      </c>
      <c r="Y157" s="283">
        <f>IFERROR(__xludf.DUMMYFUNCTION("""COMPUTED_VALUE"""),0.16856494017379234)</f>
        <v>0.1685649402</v>
      </c>
      <c r="Z157" s="281">
        <f>IFERROR(__xludf.DUMMYFUNCTION("""COMPUTED_VALUE"""),0.44884799761907157)</f>
        <v>0.4488479976</v>
      </c>
      <c r="AA157" s="281">
        <f>IFERROR(__xludf.DUMMYFUNCTION("""COMPUTED_VALUE"""),-0.9292233742650667)</f>
        <v>-0.9292233743</v>
      </c>
      <c r="AB157" s="281">
        <f>IFERROR(__xludf.DUMMYFUNCTION("""COMPUTED_VALUE"""),0.30263877969138664)</f>
        <v>0.3026387797</v>
      </c>
      <c r="AC157" s="281">
        <f>IFERROR(__xludf.DUMMYFUNCTION("""COMPUTED_VALUE"""),-0.5847290886782864)</f>
        <v>-0.5847290887</v>
      </c>
      <c r="AD157" s="281">
        <f>IFERROR(__xludf.DUMMYFUNCTION("""COMPUTED_VALUE"""),-0.25872993873862127)</f>
        <v>-0.2587299387</v>
      </c>
      <c r="AE157" s="281">
        <f>IFERROR(__xludf.DUMMYFUNCTION("""COMPUTED_VALUE"""),-1.0733603497351525)</f>
        <v>-1.07336035</v>
      </c>
      <c r="AF157" s="281">
        <f>IFERROR(__xludf.DUMMYFUNCTION("""COMPUTED_VALUE"""),-0.559619160449214)</f>
        <v>-0.5596191604</v>
      </c>
      <c r="AG157" s="281">
        <f>IFERROR(__xludf.DUMMYFUNCTION("""COMPUTED_VALUE"""),-0.23591367086821985)</f>
        <v>-0.2359136709</v>
      </c>
      <c r="AH157" s="285"/>
      <c r="AI157" s="273"/>
      <c r="AJ157" s="340"/>
      <c r="AK157" s="341"/>
      <c r="AL157" s="273"/>
      <c r="AM157" s="273"/>
      <c r="AN157" s="273"/>
      <c r="AO157" s="273"/>
      <c r="AP157" s="273"/>
      <c r="AQ157" s="273"/>
      <c r="AR157" s="273"/>
      <c r="AS157" s="273"/>
      <c r="AT157" s="273"/>
      <c r="AU157" s="273"/>
      <c r="AV157" s="273"/>
      <c r="AW157" s="273"/>
      <c r="AX157" s="273"/>
      <c r="AY157" s="273"/>
      <c r="AZ157" s="273"/>
      <c r="BA157" s="273"/>
      <c r="BB157" s="273"/>
      <c r="BC157" s="273"/>
      <c r="BD157" s="273"/>
      <c r="BE157" s="273"/>
      <c r="BF157" s="273"/>
      <c r="BG157" s="273"/>
      <c r="BH157" s="273"/>
      <c r="BI157" s="273"/>
      <c r="BJ157" s="273"/>
      <c r="BK157" s="273"/>
      <c r="BL157" s="273"/>
      <c r="BM157" s="273"/>
      <c r="BN157" s="273"/>
      <c r="BO157" s="273"/>
      <c r="BP157" s="273"/>
      <c r="BQ157" s="273"/>
      <c r="BR157" s="273"/>
      <c r="BS157" s="273"/>
      <c r="BT157" s="273"/>
      <c r="BU157" s="273"/>
      <c r="BV157" s="273"/>
      <c r="BW157" s="273"/>
    </row>
    <row r="158">
      <c r="A158" s="276">
        <f>VLOOKUP($F158,UpdateHashtag!$V$3:$Y$32,COLUMN(B$15),0)</f>
        <v>3</v>
      </c>
      <c r="B158" s="259">
        <f>VLOOKUP($F158,UpdateHashtag!$V$3:$Y$32,COLUMN(C$13),0)</f>
        <v>5</v>
      </c>
      <c r="C158" s="259">
        <f>VLOOKUP($F158,UpdateHashtag!$V$3:$Y$32,COLUMN(D$13),0)</f>
        <v>3</v>
      </c>
      <c r="D158" s="277">
        <f t="shared" si="4"/>
        <v>11</v>
      </c>
      <c r="E158" s="21"/>
      <c r="F158" s="261" t="str">
        <f>VLOOKUP(J158,UpdateBBM!$C$2:E1015,3,0)</f>
        <v>WAS</v>
      </c>
      <c r="G158" s="248">
        <v>139.0</v>
      </c>
      <c r="H158" s="278">
        <f>IFERROR(__xludf.DUMMYFUNCTION("""COMPUTED_VALUE"""),139.0)</f>
        <v>139</v>
      </c>
      <c r="I158" s="278">
        <f>IFERROR(__xludf.DUMMYFUNCTION("""COMPUTED_VALUE"""),133.4)</f>
        <v>133.4</v>
      </c>
      <c r="J158" s="279" t="str">
        <f>IFERROR(__xludf.DUMMYFUNCTION("""COMPUTED_VALUE"""),"Alexandre Sarr")</f>
        <v>Alexandre Sarr</v>
      </c>
      <c r="K158" s="278">
        <f>IFERROR(__xludf.DUMMYFUNCTION("""COMPUTED_VALUE"""),75.0)</f>
        <v>75</v>
      </c>
      <c r="L158" s="280" t="str">
        <f>IFERROR(__xludf.DUMMYFUNCTION("""COMPUTED_VALUE"""),"PF")</f>
        <v>PF</v>
      </c>
      <c r="M158" s="281">
        <f>IFERROR(__xludf.DUMMYFUNCTION("""COMPUTED_VALUE"""),-1.662887442818531)</f>
        <v>-1.662887443</v>
      </c>
      <c r="N158" s="281">
        <f>IFERROR(__xludf.DUMMYFUNCTION("""COMPUTED_VALUE"""),-1.662887442818531)</f>
        <v>-1.662887443</v>
      </c>
      <c r="O158" s="282">
        <f>IFERROR(__xludf.DUMMYFUNCTION("""COMPUTED_VALUE"""),0.0)</f>
        <v>0</v>
      </c>
      <c r="P158" s="283">
        <f>IFERROR(__xludf.DUMMYFUNCTION("""COMPUTED_VALUE"""),12.2)</f>
        <v>12.2</v>
      </c>
      <c r="Q158" s="283">
        <f>IFERROR(__xludf.DUMMYFUNCTION("""COMPUTED_VALUE"""),0.9)</f>
        <v>0.9</v>
      </c>
      <c r="R158" s="283">
        <f>IFERROR(__xludf.DUMMYFUNCTION("""COMPUTED_VALUE"""),6.4)</f>
        <v>6.4</v>
      </c>
      <c r="S158" s="284">
        <f>IFERROR(__xludf.DUMMYFUNCTION("""COMPUTED_VALUE"""),1.3)</f>
        <v>1.3</v>
      </c>
      <c r="T158" s="283">
        <f>IFERROR(__xludf.DUMMYFUNCTION("""COMPUTED_VALUE"""),0.8)</f>
        <v>0.8</v>
      </c>
      <c r="U158" s="283">
        <f>IFERROR(__xludf.DUMMYFUNCTION("""COMPUTED_VALUE"""),1.9)</f>
        <v>1.9</v>
      </c>
      <c r="V158" s="280">
        <f>IFERROR(__xludf.DUMMYFUNCTION("""COMPUTED_VALUE"""),0.448)</f>
        <v>0.448</v>
      </c>
      <c r="W158" s="280">
        <f>IFERROR(__xludf.DUMMYFUNCTION("""COMPUTED_VALUE"""),0.711)</f>
        <v>0.711</v>
      </c>
      <c r="X158" s="280">
        <f>IFERROR(__xludf.DUMMYFUNCTION("""COMPUTED_VALUE"""),1.3)</f>
        <v>1.3</v>
      </c>
      <c r="Y158" s="283">
        <f>IFERROR(__xludf.DUMMYFUNCTION("""COMPUTED_VALUE"""),-0.9514527815487142)</f>
        <v>-0.9514527815</v>
      </c>
      <c r="Z158" s="281">
        <f>IFERROR(__xludf.DUMMYFUNCTION("""COMPUTED_VALUE"""),-0.844967889790968)</f>
        <v>-0.8449678898</v>
      </c>
      <c r="AA158" s="281">
        <f>IFERROR(__xludf.DUMMYFUNCTION("""COMPUTED_VALUE"""),0.12988864610918074)</f>
        <v>0.1298886461</v>
      </c>
      <c r="AB158" s="281">
        <f>IFERROR(__xludf.DUMMYFUNCTION("""COMPUTED_VALUE"""),-1.2008996442390003)</f>
        <v>-1.200899644</v>
      </c>
      <c r="AC158" s="281">
        <f>IFERROR(__xludf.DUMMYFUNCTION("""COMPUTED_VALUE"""),-0.5847290886782864)</f>
        <v>-0.5847290887</v>
      </c>
      <c r="AD158" s="281">
        <f>IFERROR(__xludf.DUMMYFUNCTION("""COMPUTED_VALUE"""),2.0603881879459114)</f>
        <v>2.060388188</v>
      </c>
      <c r="AE158" s="281">
        <f>IFERROR(__xludf.DUMMYFUNCTION("""COMPUTED_VALUE"""),-0.572883360719638)</f>
        <v>-0.5728833607</v>
      </c>
      <c r="AF158" s="281">
        <f>IFERROR(__xludf.DUMMYFUNCTION("""COMPUTED_VALUE"""),-1.0103924739316095)</f>
        <v>-1.010392474</v>
      </c>
      <c r="AG158" s="281">
        <f>IFERROR(__xludf.DUMMYFUNCTION("""COMPUTED_VALUE"""),0.11126131779559338)</f>
        <v>0.1112613178</v>
      </c>
      <c r="AH158" s="285"/>
      <c r="AI158" s="273"/>
      <c r="AJ158" s="340"/>
      <c r="AK158" s="341"/>
      <c r="AL158" s="273"/>
      <c r="AM158" s="273"/>
      <c r="AN158" s="273"/>
      <c r="AO158" s="273"/>
      <c r="AP158" s="273"/>
      <c r="AQ158" s="273"/>
      <c r="AR158" s="273"/>
      <c r="AS158" s="273"/>
      <c r="AT158" s="273"/>
      <c r="AU158" s="273"/>
      <c r="AV158" s="273"/>
      <c r="AW158" s="273"/>
      <c r="AX158" s="273"/>
      <c r="AY158" s="273"/>
      <c r="AZ158" s="273"/>
      <c r="BA158" s="273"/>
      <c r="BB158" s="273"/>
      <c r="BC158" s="273"/>
      <c r="BD158" s="273"/>
      <c r="BE158" s="273"/>
      <c r="BF158" s="273"/>
      <c r="BG158" s="273"/>
      <c r="BH158" s="273"/>
      <c r="BI158" s="273"/>
      <c r="BJ158" s="273"/>
      <c r="BK158" s="273"/>
      <c r="BL158" s="273"/>
      <c r="BM158" s="273"/>
      <c r="BN158" s="273"/>
      <c r="BO158" s="273"/>
      <c r="BP158" s="273"/>
      <c r="BQ158" s="273"/>
      <c r="BR158" s="273"/>
      <c r="BS158" s="273"/>
      <c r="BT158" s="273"/>
      <c r="BU158" s="273"/>
      <c r="BV158" s="273"/>
      <c r="BW158" s="273"/>
    </row>
    <row r="159">
      <c r="A159" s="259" t="str">
        <f>VLOOKUP($F159,UpdateHashtag!$V$3:$Y$32,COLUMN(B$15),0)</f>
        <v>#N/A</v>
      </c>
      <c r="B159" s="259" t="str">
        <f>VLOOKUP($F159,UpdateHashtag!$V$3:$Y$32,COLUMN(C$13),0)</f>
        <v>#N/A</v>
      </c>
      <c r="C159" s="259" t="str">
        <f>VLOOKUP($F159,UpdateHashtag!$V$3:$Y$32,COLUMN(D$13),0)</f>
        <v>#N/A</v>
      </c>
      <c r="D159" s="329" t="str">
        <f t="shared" si="4"/>
        <v>#N/A</v>
      </c>
      <c r="E159" s="21"/>
      <c r="F159" s="261" t="str">
        <f>VLOOKUP(J159,UpdateBBM!$C$2:E1015,3,0)</f>
        <v>GSW</v>
      </c>
      <c r="G159" s="248">
        <v>140.0</v>
      </c>
      <c r="H159" s="278">
        <f>IFERROR(__xludf.DUMMYFUNCTION("""COMPUTED_VALUE"""),140.0)</f>
        <v>140</v>
      </c>
      <c r="I159" s="278">
        <f>IFERROR(__xludf.DUMMYFUNCTION("""COMPUTED_VALUE"""),126.5)</f>
        <v>126.5</v>
      </c>
      <c r="J159" s="279" t="str">
        <f>IFERROR(__xludf.DUMMYFUNCTION("""COMPUTED_VALUE"""),"Buddy Hield")</f>
        <v>Buddy Hield</v>
      </c>
      <c r="K159" s="278">
        <f>IFERROR(__xludf.DUMMYFUNCTION("""COMPUTED_VALUE"""),66.0)</f>
        <v>66</v>
      </c>
      <c r="L159" s="280" t="str">
        <f>IFERROR(__xludf.DUMMYFUNCTION("""COMPUTED_VALUE"""),"SG,SF")</f>
        <v>SG,SF</v>
      </c>
      <c r="M159" s="281">
        <f>IFERROR(__xludf.DUMMYFUNCTION("""COMPUTED_VALUE"""),-1.6636694119380766)</f>
        <v>-1.663669412</v>
      </c>
      <c r="N159" s="281">
        <f>IFERROR(__xludf.DUMMYFUNCTION("""COMPUTED_VALUE"""),-1.6636694119380766)</f>
        <v>-1.663669412</v>
      </c>
      <c r="O159" s="282">
        <f>IFERROR(__xludf.DUMMYFUNCTION("""COMPUTED_VALUE"""),0.0)</f>
        <v>0</v>
      </c>
      <c r="P159" s="283">
        <f>IFERROR(__xludf.DUMMYFUNCTION("""COMPUTED_VALUE"""),13.2)</f>
        <v>13.2</v>
      </c>
      <c r="Q159" s="283">
        <f>IFERROR(__xludf.DUMMYFUNCTION("""COMPUTED_VALUE"""),2.7)</f>
        <v>2.7</v>
      </c>
      <c r="R159" s="283">
        <f>IFERROR(__xludf.DUMMYFUNCTION("""COMPUTED_VALUE"""),3.8)</f>
        <v>3.8</v>
      </c>
      <c r="S159" s="284">
        <f>IFERROR(__xludf.DUMMYFUNCTION("""COMPUTED_VALUE"""),2.7)</f>
        <v>2.7</v>
      </c>
      <c r="T159" s="283">
        <f>IFERROR(__xludf.DUMMYFUNCTION("""COMPUTED_VALUE"""),0.9)</f>
        <v>0.9</v>
      </c>
      <c r="U159" s="283">
        <f>IFERROR(__xludf.DUMMYFUNCTION("""COMPUTED_VALUE"""),0.4)</f>
        <v>0.4</v>
      </c>
      <c r="V159" s="280">
        <f>IFERROR(__xludf.DUMMYFUNCTION("""COMPUTED_VALUE"""),0.445)</f>
        <v>0.445</v>
      </c>
      <c r="W159" s="280">
        <f>IFERROR(__xludf.DUMMYFUNCTION("""COMPUTED_VALUE"""),0.835)</f>
        <v>0.835</v>
      </c>
      <c r="X159" s="280">
        <f>IFERROR(__xludf.DUMMYFUNCTION("""COMPUTED_VALUE"""),1.4)</f>
        <v>1.4</v>
      </c>
      <c r="Y159" s="283">
        <f>IFERROR(__xludf.DUMMYFUNCTION("""COMPUTED_VALUE"""),-0.7708047619160517)</f>
        <v>-0.7708047619</v>
      </c>
      <c r="Z159" s="281">
        <f>IFERROR(__xludf.DUMMYFUNCTION("""COMPUTED_VALUE"""),0.946469492776779)</f>
        <v>0.9464694928</v>
      </c>
      <c r="AA159" s="281">
        <f>IFERROR(__xludf.DUMMYFUNCTION("""COMPUTED_VALUE"""),-0.8899970031400947)</f>
        <v>-0.8899970031</v>
      </c>
      <c r="AB159" s="281">
        <f>IFERROR(__xludf.DUMMYFUNCTION("""COMPUTED_VALUE"""),-0.5630348583291391)</f>
        <v>-0.5630348583</v>
      </c>
      <c r="AC159" s="281">
        <f>IFERROR(__xludf.DUMMYFUNCTION("""COMPUTED_VALUE"""),-0.25279641051880714)</f>
        <v>-0.2527964105</v>
      </c>
      <c r="AD159" s="281">
        <f>IFERROR(__xludf.DUMMYFUNCTION("""COMPUTED_VALUE"""),-0.6155173428439339)</f>
        <v>-0.6155173428</v>
      </c>
      <c r="AE159" s="281">
        <f>IFERROR(__xludf.DUMMYFUNCTION("""COMPUTED_VALUE"""),-0.6506064253121635)</f>
        <v>-0.6506064253</v>
      </c>
      <c r="AF159" s="281">
        <f>IFERROR(__xludf.DUMMYFUNCTION("""COMPUTED_VALUE"""),0.15615778988563317)</f>
        <v>0.1561577899</v>
      </c>
      <c r="AG159" s="281">
        <f>IFERROR(__xludf.DUMMYFUNCTION("""COMPUTED_VALUE"""),0.08646310431960676)</f>
        <v>0.08646310432</v>
      </c>
      <c r="AH159" s="285"/>
      <c r="AI159" s="273"/>
      <c r="AJ159" s="340"/>
      <c r="AK159" s="341"/>
      <c r="AL159" s="273"/>
      <c r="AM159" s="273"/>
      <c r="AN159" s="273"/>
      <c r="AO159" s="273"/>
      <c r="AP159" s="273"/>
      <c r="AQ159" s="273"/>
      <c r="AR159" s="273"/>
      <c r="AS159" s="273"/>
      <c r="AT159" s="273"/>
      <c r="AU159" s="273"/>
      <c r="AV159" s="273"/>
      <c r="AW159" s="273"/>
      <c r="AX159" s="273"/>
      <c r="AY159" s="273"/>
      <c r="AZ159" s="273"/>
      <c r="BA159" s="273"/>
      <c r="BB159" s="273"/>
      <c r="BC159" s="273"/>
      <c r="BD159" s="273"/>
      <c r="BE159" s="273"/>
      <c r="BF159" s="273"/>
      <c r="BG159" s="273"/>
      <c r="BH159" s="273"/>
      <c r="BI159" s="273"/>
      <c r="BJ159" s="273"/>
      <c r="BK159" s="273"/>
      <c r="BL159" s="273"/>
      <c r="BM159" s="273"/>
      <c r="BN159" s="273"/>
      <c r="BO159" s="273"/>
      <c r="BP159" s="273"/>
      <c r="BQ159" s="273"/>
      <c r="BR159" s="273"/>
      <c r="BS159" s="273"/>
      <c r="BT159" s="273"/>
      <c r="BU159" s="273"/>
      <c r="BV159" s="273"/>
      <c r="BW159" s="273"/>
    </row>
    <row r="160">
      <c r="A160" s="259" t="str">
        <f>VLOOKUP($F160,UpdateHashtag!$V$3:$Y$32,COLUMN(B$15),0)</f>
        <v>#N/A</v>
      </c>
      <c r="B160" s="259" t="str">
        <f>VLOOKUP($F160,UpdateHashtag!$V$3:$Y$32,COLUMN(C$13),0)</f>
        <v>#N/A</v>
      </c>
      <c r="C160" s="259" t="str">
        <f>VLOOKUP($F160,UpdateHashtag!$V$3:$Y$32,COLUMN(D$13),0)</f>
        <v>#N/A</v>
      </c>
      <c r="D160" s="329" t="str">
        <f t="shared" si="4"/>
        <v>#N/A</v>
      </c>
      <c r="E160" s="21"/>
      <c r="F160" s="261" t="str">
        <f>VLOOKUP(J160,UpdateBBM!$C$2:E1015,3,0)</f>
        <v>#N/A</v>
      </c>
      <c r="G160" s="248">
        <v>141.0</v>
      </c>
      <c r="H160" s="278">
        <f>IFERROR(__xludf.DUMMYFUNCTION("""COMPUTED_VALUE"""),141.0)</f>
        <v>141</v>
      </c>
      <c r="I160" s="278">
        <f>IFERROR(__xludf.DUMMYFUNCTION("""COMPUTED_VALUE"""),138.5)</f>
        <v>138.5</v>
      </c>
      <c r="J160" s="279" t="str">
        <f>IFERROR(__xludf.DUMMYFUNCTION("""COMPUTED_VALUE"""),"Ben Simmons")</f>
        <v>Ben Simmons</v>
      </c>
      <c r="K160" s="278">
        <f>IFERROR(__xludf.DUMMYFUNCTION("""COMPUTED_VALUE"""),71.0)</f>
        <v>71</v>
      </c>
      <c r="L160" s="280" t="str">
        <f>IFERROR(__xludf.DUMMYFUNCTION("""COMPUTED_VALUE"""),"PG")</f>
        <v>PG</v>
      </c>
      <c r="M160" s="281">
        <f>IFERROR(__xludf.DUMMYFUNCTION("""COMPUTED_VALUE"""),-1.6877372817983987)</f>
        <v>-1.687737282</v>
      </c>
      <c r="N160" s="281">
        <f>IFERROR(__xludf.DUMMYFUNCTION("""COMPUTED_VALUE"""),-1.6877372817983987)</f>
        <v>-1.687737282</v>
      </c>
      <c r="O160" s="282">
        <f>IFERROR(__xludf.DUMMYFUNCTION("""COMPUTED_VALUE"""),0.0)</f>
        <v>0</v>
      </c>
      <c r="P160" s="283">
        <f>IFERROR(__xludf.DUMMYFUNCTION("""COMPUTED_VALUE"""),6.6)</f>
        <v>6.6</v>
      </c>
      <c r="Q160" s="283">
        <f>IFERROR(__xludf.DUMMYFUNCTION("""COMPUTED_VALUE"""),0.0)</f>
        <v>0</v>
      </c>
      <c r="R160" s="283">
        <f>IFERROR(__xludf.DUMMYFUNCTION("""COMPUTED_VALUE"""),6.6)</f>
        <v>6.6</v>
      </c>
      <c r="S160" s="284">
        <f>IFERROR(__xludf.DUMMYFUNCTION("""COMPUTED_VALUE"""),5.9)</f>
        <v>5.9</v>
      </c>
      <c r="T160" s="283">
        <f>IFERROR(__xludf.DUMMYFUNCTION("""COMPUTED_VALUE"""),1.1)</f>
        <v>1.1</v>
      </c>
      <c r="U160" s="283">
        <f>IFERROR(__xludf.DUMMYFUNCTION("""COMPUTED_VALUE"""),0.6)</f>
        <v>0.6</v>
      </c>
      <c r="V160" s="280">
        <f>IFERROR(__xludf.DUMMYFUNCTION("""COMPUTED_VALUE"""),0.569)</f>
        <v>0.569</v>
      </c>
      <c r="W160" s="280">
        <f>IFERROR(__xludf.DUMMYFUNCTION("""COMPUTED_VALUE"""),0.427)</f>
        <v>0.427</v>
      </c>
      <c r="X160" s="280">
        <f>IFERROR(__xludf.DUMMYFUNCTION("""COMPUTED_VALUE"""),2.1)</f>
        <v>2.1</v>
      </c>
      <c r="Y160" s="283">
        <f>IFERROR(__xludf.DUMMYFUNCTION("""COMPUTED_VALUE"""),-1.9630816914916234)</f>
        <v>-1.963081691</v>
      </c>
      <c r="Z160" s="281">
        <f>IFERROR(__xludf.DUMMYFUNCTION("""COMPUTED_VALUE"""),-1.7406865810748415)</f>
        <v>-1.740686581</v>
      </c>
      <c r="AA160" s="281">
        <f>IFERROR(__xludf.DUMMYFUNCTION("""COMPUTED_VALUE"""),0.20834138835912472)</f>
        <v>0.2083413884</v>
      </c>
      <c r="AB160" s="281">
        <f>IFERROR(__xludf.DUMMYFUNCTION("""COMPUTED_VALUE"""),0.8949417951791153)</f>
        <v>0.8949417952</v>
      </c>
      <c r="AC160" s="281">
        <f>IFERROR(__xludf.DUMMYFUNCTION("""COMPUTED_VALUE"""),0.41106894580015185)</f>
        <v>0.4110689458</v>
      </c>
      <c r="AD160" s="281">
        <f>IFERROR(__xludf.DUMMYFUNCTION("""COMPUTED_VALUE"""),-0.25872993873862127)</f>
        <v>-0.2587299387</v>
      </c>
      <c r="AE160" s="281">
        <f>IFERROR(__xludf.DUMMYFUNCTION("""COMPUTED_VALUE"""),0.44797600502174856)</f>
        <v>0.447976005</v>
      </c>
      <c r="AF160" s="281">
        <f>IFERROR(__xludf.DUMMYFUNCTION("""COMPUTED_VALUE"""),-1.5635245063327765)</f>
        <v>-1.563524506</v>
      </c>
      <c r="AG160" s="281">
        <f>IFERROR(__xludf.DUMMYFUNCTION("""COMPUTED_VALUE"""),-0.08712439001229988)</f>
        <v>-0.08712439001</v>
      </c>
      <c r="AH160" s="285"/>
      <c r="AI160" s="273"/>
      <c r="AJ160" s="340"/>
      <c r="AK160" s="341"/>
      <c r="AL160" s="273"/>
      <c r="AM160" s="273"/>
      <c r="AN160" s="273"/>
      <c r="AO160" s="273"/>
      <c r="AP160" s="273"/>
      <c r="AQ160" s="273"/>
      <c r="AR160" s="273"/>
      <c r="AS160" s="273"/>
      <c r="AT160" s="273"/>
      <c r="AU160" s="273"/>
      <c r="AV160" s="273"/>
      <c r="AW160" s="273"/>
      <c r="AX160" s="273"/>
      <c r="AY160" s="273"/>
      <c r="AZ160" s="273"/>
      <c r="BA160" s="273"/>
      <c r="BB160" s="273"/>
      <c r="BC160" s="273"/>
      <c r="BD160" s="273"/>
      <c r="BE160" s="273"/>
      <c r="BF160" s="273"/>
      <c r="BG160" s="273"/>
      <c r="BH160" s="273"/>
      <c r="BI160" s="273"/>
      <c r="BJ160" s="273"/>
      <c r="BK160" s="273"/>
      <c r="BL160" s="273"/>
      <c r="BM160" s="273"/>
      <c r="BN160" s="273"/>
      <c r="BO160" s="273"/>
      <c r="BP160" s="273"/>
      <c r="BQ160" s="273"/>
      <c r="BR160" s="273"/>
      <c r="BS160" s="273"/>
      <c r="BT160" s="273"/>
      <c r="BU160" s="273"/>
      <c r="BV160" s="273"/>
      <c r="BW160" s="273"/>
    </row>
    <row r="161">
      <c r="A161" s="259" t="str">
        <f>VLOOKUP($F161,UpdateHashtag!$V$3:$Y$32,COLUMN(B$15),0)</f>
        <v>#N/A</v>
      </c>
      <c r="B161" s="259" t="str">
        <f>VLOOKUP($F161,UpdateHashtag!$V$3:$Y$32,COLUMN(C$13),0)</f>
        <v>#N/A</v>
      </c>
      <c r="C161" s="259" t="str">
        <f>VLOOKUP($F161,UpdateHashtag!$V$3:$Y$32,COLUMN(D$13),0)</f>
        <v>#N/A</v>
      </c>
      <c r="D161" s="329" t="str">
        <f t="shared" si="4"/>
        <v>#N/A</v>
      </c>
      <c r="E161" s="21"/>
      <c r="F161" s="261" t="str">
        <f>VLOOKUP(J161,UpdateBBM!$C$2:E1015,3,0)</f>
        <v>#N/A</v>
      </c>
      <c r="G161" s="248">
        <v>142.0</v>
      </c>
      <c r="H161" s="278">
        <f>IFERROR(__xludf.DUMMYFUNCTION("""COMPUTED_VALUE"""),142.0)</f>
        <v>142</v>
      </c>
      <c r="I161" s="278">
        <f>IFERROR(__xludf.DUMMYFUNCTION("""COMPUTED_VALUE"""),107.7)</f>
        <v>107.7</v>
      </c>
      <c r="J161" s="279" t="str">
        <f>IFERROR(__xludf.DUMMYFUNCTION("""COMPUTED_VALUE"""),"RJ Barrett")</f>
        <v>RJ Barrett</v>
      </c>
      <c r="K161" s="278">
        <f>IFERROR(__xludf.DUMMYFUNCTION("""COMPUTED_VALUE"""),66.0)</f>
        <v>66</v>
      </c>
      <c r="L161" s="280" t="str">
        <f>IFERROR(__xludf.DUMMYFUNCTION("""COMPUTED_VALUE"""),"SF,PF")</f>
        <v>SF,PF</v>
      </c>
      <c r="M161" s="281">
        <f>IFERROR(__xludf.DUMMYFUNCTION("""COMPUTED_VALUE"""),-1.6909947151935965)</f>
        <v>-1.690994715</v>
      </c>
      <c r="N161" s="281">
        <f>IFERROR(__xludf.DUMMYFUNCTION("""COMPUTED_VALUE"""),-1.6909947151935965)</f>
        <v>-1.690994715</v>
      </c>
      <c r="O161" s="282">
        <f>IFERROR(__xludf.DUMMYFUNCTION("""COMPUTED_VALUE"""),0.0)</f>
        <v>0</v>
      </c>
      <c r="P161" s="283">
        <f>IFERROR(__xludf.DUMMYFUNCTION("""COMPUTED_VALUE"""),21.2)</f>
        <v>21.2</v>
      </c>
      <c r="Q161" s="283">
        <f>IFERROR(__xludf.DUMMYFUNCTION("""COMPUTED_VALUE"""),1.6)</f>
        <v>1.6</v>
      </c>
      <c r="R161" s="283">
        <f>IFERROR(__xludf.DUMMYFUNCTION("""COMPUTED_VALUE"""),6.4)</f>
        <v>6.4</v>
      </c>
      <c r="S161" s="284">
        <f>IFERROR(__xludf.DUMMYFUNCTION("""COMPUTED_VALUE"""),3.8)</f>
        <v>3.8</v>
      </c>
      <c r="T161" s="283">
        <f>IFERROR(__xludf.DUMMYFUNCTION("""COMPUTED_VALUE"""),0.6)</f>
        <v>0.6</v>
      </c>
      <c r="U161" s="283">
        <f>IFERROR(__xludf.DUMMYFUNCTION("""COMPUTED_VALUE"""),0.4)</f>
        <v>0.4</v>
      </c>
      <c r="V161" s="280">
        <f>IFERROR(__xludf.DUMMYFUNCTION("""COMPUTED_VALUE"""),0.482)</f>
        <v>0.482</v>
      </c>
      <c r="W161" s="280">
        <f>IFERROR(__xludf.DUMMYFUNCTION("""COMPUTED_VALUE"""),0.726)</f>
        <v>0.726</v>
      </c>
      <c r="X161" s="280">
        <f>IFERROR(__xludf.DUMMYFUNCTION("""COMPUTED_VALUE"""),2.3)</f>
        <v>2.3</v>
      </c>
      <c r="Y161" s="283">
        <f>IFERROR(__xludf.DUMMYFUNCTION("""COMPUTED_VALUE"""),0.674379395145247)</f>
        <v>0.6743793951</v>
      </c>
      <c r="Z161" s="281">
        <f>IFERROR(__xludf.DUMMYFUNCTION("""COMPUTED_VALUE"""),-0.1482977965701775)</f>
        <v>-0.1482977966</v>
      </c>
      <c r="AA161" s="281">
        <f>IFERROR(__xludf.DUMMYFUNCTION("""COMPUTED_VALUE"""),0.12988864610918074)</f>
        <v>0.1298886461</v>
      </c>
      <c r="AB161" s="281">
        <f>IFERROR(__xludf.DUMMYFUNCTION("""COMPUTED_VALUE"""),-0.06185538368567684)</f>
        <v>-0.06185538369</v>
      </c>
      <c r="AC161" s="281">
        <f>IFERROR(__xludf.DUMMYFUNCTION("""COMPUTED_VALUE"""),-1.2485944449972455)</f>
        <v>-1.248594445</v>
      </c>
      <c r="AD161" s="281">
        <f>IFERROR(__xludf.DUMMYFUNCTION("""COMPUTED_VALUE"""),-0.6155173428439339)</f>
        <v>-0.6155173428</v>
      </c>
      <c r="AE161" s="281">
        <f>IFERROR(__xludf.DUMMYFUNCTION("""COMPUTED_VALUE"""),-0.28427697138671754)</f>
        <v>-0.2842769714</v>
      </c>
      <c r="AF161" s="281">
        <f>IFERROR(__xludf.DUMMYFUNCTION("""COMPUTED_VALUE"""),-1.3178860959057628)</f>
        <v>-1.317886096</v>
      </c>
      <c r="AG161" s="281">
        <f>IFERROR(__xludf.DUMMYFUNCTION("""COMPUTED_VALUE"""),-0.13672081696427313)</f>
        <v>-0.136720817</v>
      </c>
      <c r="AH161" s="285"/>
      <c r="AI161" s="273"/>
      <c r="AJ161" s="340"/>
      <c r="AK161" s="341"/>
      <c r="AL161" s="273"/>
      <c r="AM161" s="273"/>
      <c r="AN161" s="273"/>
      <c r="AO161" s="273"/>
      <c r="AP161" s="273"/>
      <c r="AQ161" s="273"/>
      <c r="AR161" s="273"/>
      <c r="AS161" s="273"/>
      <c r="AT161" s="273"/>
      <c r="AU161" s="273"/>
      <c r="AV161" s="273"/>
      <c r="AW161" s="273"/>
      <c r="AX161" s="273"/>
      <c r="AY161" s="273"/>
      <c r="AZ161" s="273"/>
      <c r="BA161" s="273"/>
      <c r="BB161" s="273"/>
      <c r="BC161" s="273"/>
      <c r="BD161" s="273"/>
      <c r="BE161" s="273"/>
      <c r="BF161" s="273"/>
      <c r="BG161" s="273"/>
      <c r="BH161" s="273"/>
      <c r="BI161" s="273"/>
      <c r="BJ161" s="273"/>
      <c r="BK161" s="273"/>
      <c r="BL161" s="273"/>
      <c r="BM161" s="273"/>
      <c r="BN161" s="273"/>
      <c r="BO161" s="273"/>
      <c r="BP161" s="273"/>
      <c r="BQ161" s="273"/>
      <c r="BR161" s="273"/>
      <c r="BS161" s="273"/>
      <c r="BT161" s="273"/>
      <c r="BU161" s="273"/>
      <c r="BV161" s="273"/>
      <c r="BW161" s="273"/>
    </row>
    <row r="162">
      <c r="A162" s="276">
        <f>VLOOKUP($F162,UpdateHashtag!$V$3:$Y$32,COLUMN(B$15),0)</f>
        <v>4</v>
      </c>
      <c r="B162" s="259">
        <f>VLOOKUP($F162,UpdateHashtag!$V$3:$Y$32,COLUMN(C$13),0)</f>
        <v>4</v>
      </c>
      <c r="C162" s="259">
        <f>VLOOKUP($F162,UpdateHashtag!$V$3:$Y$32,COLUMN(D$13),0)</f>
        <v>4</v>
      </c>
      <c r="D162" s="277">
        <f t="shared" si="4"/>
        <v>12</v>
      </c>
      <c r="E162" s="21"/>
      <c r="F162" s="261" t="str">
        <f>VLOOKUP(J162,UpdateBBM!$C$2:E1015,3,0)</f>
        <v>UTA</v>
      </c>
      <c r="G162" s="248">
        <v>143.0</v>
      </c>
      <c r="H162" s="278">
        <f>IFERROR(__xludf.DUMMYFUNCTION("""COMPUTED_VALUE"""),143.0)</f>
        <v>143</v>
      </c>
      <c r="I162" s="278">
        <f>IFERROR(__xludf.DUMMYFUNCTION("""COMPUTED_VALUE"""),118.7)</f>
        <v>118.7</v>
      </c>
      <c r="J162" s="279" t="str">
        <f>IFERROR(__xludf.DUMMYFUNCTION("""COMPUTED_VALUE"""),"Keyonte George")</f>
        <v>Keyonte George</v>
      </c>
      <c r="K162" s="278">
        <f>IFERROR(__xludf.DUMMYFUNCTION("""COMPUTED_VALUE"""),71.0)</f>
        <v>71</v>
      </c>
      <c r="L162" s="280" t="str">
        <f>IFERROR(__xludf.DUMMYFUNCTION("""COMPUTED_VALUE"""),"PG,SG")</f>
        <v>PG,SG</v>
      </c>
      <c r="M162" s="281">
        <f>IFERROR(__xludf.DUMMYFUNCTION("""COMPUTED_VALUE"""),-1.6933624814993538)</f>
        <v>-1.693362481</v>
      </c>
      <c r="N162" s="281">
        <f>IFERROR(__xludf.DUMMYFUNCTION("""COMPUTED_VALUE"""),-1.6933624814993538)</f>
        <v>-1.693362481</v>
      </c>
      <c r="O162" s="282">
        <f>IFERROR(__xludf.DUMMYFUNCTION("""COMPUTED_VALUE"""),0.0)</f>
        <v>0</v>
      </c>
      <c r="P162" s="283">
        <f>IFERROR(__xludf.DUMMYFUNCTION("""COMPUTED_VALUE"""),16.3)</f>
        <v>16.3</v>
      </c>
      <c r="Q162" s="283">
        <f>IFERROR(__xludf.DUMMYFUNCTION("""COMPUTED_VALUE"""),2.4)</f>
        <v>2.4</v>
      </c>
      <c r="R162" s="283">
        <f>IFERROR(__xludf.DUMMYFUNCTION("""COMPUTED_VALUE"""),3.3)</f>
        <v>3.3</v>
      </c>
      <c r="S162" s="284">
        <f>IFERROR(__xludf.DUMMYFUNCTION("""COMPUTED_VALUE"""),5.2)</f>
        <v>5.2</v>
      </c>
      <c r="T162" s="283">
        <f>IFERROR(__xludf.DUMMYFUNCTION("""COMPUTED_VALUE"""),0.6)</f>
        <v>0.6</v>
      </c>
      <c r="U162" s="283">
        <f>IFERROR(__xludf.DUMMYFUNCTION("""COMPUTED_VALUE"""),0.2)</f>
        <v>0.2</v>
      </c>
      <c r="V162" s="280">
        <f>IFERROR(__xludf.DUMMYFUNCTION("""COMPUTED_VALUE"""),0.422)</f>
        <v>0.422</v>
      </c>
      <c r="W162" s="280">
        <f>IFERROR(__xludf.DUMMYFUNCTION("""COMPUTED_VALUE"""),0.851)</f>
        <v>0.851</v>
      </c>
      <c r="X162" s="280">
        <f>IFERROR(__xludf.DUMMYFUNCTION("""COMPUTED_VALUE"""),2.6)</f>
        <v>2.6</v>
      </c>
      <c r="Y162" s="283">
        <f>IFERROR(__xludf.DUMMYFUNCTION("""COMPUTED_VALUE"""),-0.21079590105479823)</f>
        <v>-0.2107959011</v>
      </c>
      <c r="Z162" s="281">
        <f>IFERROR(__xludf.DUMMYFUNCTION("""COMPUTED_VALUE"""),0.6478965956821543)</f>
        <v>0.6478965957</v>
      </c>
      <c r="AA162" s="281">
        <f>IFERROR(__xludf.DUMMYFUNCTION("""COMPUTED_VALUE"""),-1.0861288587649554)</f>
        <v>-1.086128859</v>
      </c>
      <c r="AB162" s="281">
        <f>IFERROR(__xludf.DUMMYFUNCTION("""COMPUTED_VALUE"""),0.5760094022241846)</f>
        <v>0.5760094022</v>
      </c>
      <c r="AC162" s="281">
        <f>IFERROR(__xludf.DUMMYFUNCTION("""COMPUTED_VALUE"""),-1.2485944449972455)</f>
        <v>-1.248594445</v>
      </c>
      <c r="AD162" s="281">
        <f>IFERROR(__xludf.DUMMYFUNCTION("""COMPUTED_VALUE"""),-0.9723047469492465)</f>
        <v>-0.9723047469</v>
      </c>
      <c r="AE162" s="281">
        <f>IFERROR(__xludf.DUMMYFUNCTION("""COMPUTED_VALUE"""),-1.1321086419126758)</f>
        <v>-1.132108642</v>
      </c>
      <c r="AF162" s="281">
        <f>IFERROR(__xludf.DUMMYFUNCTION("""COMPUTED_VALUE"""),0.6951851266682165)</f>
        <v>0.6951851267</v>
      </c>
      <c r="AG162" s="281">
        <f>IFERROR(__xludf.DUMMYFUNCTION("""COMPUTED_VALUE"""),-0.21111545739223317)</f>
        <v>-0.2111154574</v>
      </c>
      <c r="AH162" s="285"/>
      <c r="AI162" s="273"/>
      <c r="AJ162" s="340"/>
      <c r="AK162" s="341"/>
      <c r="AL162" s="273"/>
      <c r="AM162" s="273"/>
      <c r="AN162" s="273"/>
      <c r="AO162" s="273"/>
      <c r="AP162" s="273"/>
      <c r="AQ162" s="273"/>
      <c r="AR162" s="273"/>
      <c r="AS162" s="273"/>
      <c r="AT162" s="273"/>
      <c r="AU162" s="273"/>
      <c r="AV162" s="273"/>
      <c r="AW162" s="273"/>
      <c r="AX162" s="273"/>
      <c r="AY162" s="273"/>
      <c r="AZ162" s="273"/>
      <c r="BA162" s="273"/>
      <c r="BB162" s="273"/>
      <c r="BC162" s="273"/>
      <c r="BD162" s="273"/>
      <c r="BE162" s="273"/>
      <c r="BF162" s="273"/>
      <c r="BG162" s="273"/>
      <c r="BH162" s="273"/>
      <c r="BI162" s="273"/>
      <c r="BJ162" s="273"/>
      <c r="BK162" s="273"/>
      <c r="BL162" s="273"/>
      <c r="BM162" s="273"/>
      <c r="BN162" s="273"/>
      <c r="BO162" s="273"/>
      <c r="BP162" s="273"/>
      <c r="BQ162" s="273"/>
      <c r="BR162" s="273"/>
      <c r="BS162" s="273"/>
      <c r="BT162" s="273"/>
      <c r="BU162" s="273"/>
      <c r="BV162" s="273"/>
      <c r="BW162" s="273"/>
    </row>
    <row r="163">
      <c r="A163" s="276">
        <f>VLOOKUP($F163,UpdateHashtag!$V$3:$Y$32,COLUMN(B$15),0)</f>
        <v>3</v>
      </c>
      <c r="B163" s="259">
        <f>VLOOKUP($F163,UpdateHashtag!$V$3:$Y$32,COLUMN(C$13),0)</f>
        <v>5</v>
      </c>
      <c r="C163" s="259">
        <f>VLOOKUP($F163,UpdateHashtag!$V$3:$Y$32,COLUMN(D$13),0)</f>
        <v>3</v>
      </c>
      <c r="D163" s="277">
        <f t="shared" si="4"/>
        <v>11</v>
      </c>
      <c r="E163" s="21"/>
      <c r="F163" s="261" t="str">
        <f>VLOOKUP(J163,UpdateBBM!$C$2:E1015,3,0)</f>
        <v>WAS</v>
      </c>
      <c r="G163" s="248">
        <v>144.0</v>
      </c>
      <c r="H163" s="278">
        <f>IFERROR(__xludf.DUMMYFUNCTION("""COMPUTED_VALUE"""),144.0)</f>
        <v>144</v>
      </c>
      <c r="I163" s="278">
        <f>IFERROR(__xludf.DUMMYFUNCTION("""COMPUTED_VALUE"""),144.6)</f>
        <v>144.6</v>
      </c>
      <c r="J163" s="279" t="str">
        <f>IFERROR(__xludf.DUMMYFUNCTION("""COMPUTED_VALUE"""),"Bilal Coulibaly")</f>
        <v>Bilal Coulibaly</v>
      </c>
      <c r="K163" s="278">
        <f>IFERROR(__xludf.DUMMYFUNCTION("""COMPUTED_VALUE"""),66.0)</f>
        <v>66</v>
      </c>
      <c r="L163" s="280" t="str">
        <f>IFERROR(__xludf.DUMMYFUNCTION("""COMPUTED_VALUE"""),"SG,SF")</f>
        <v>SG,SF</v>
      </c>
      <c r="M163" s="281">
        <f>IFERROR(__xludf.DUMMYFUNCTION("""COMPUTED_VALUE"""),-1.7482480510241551)</f>
        <v>-1.748248051</v>
      </c>
      <c r="N163" s="281">
        <f>IFERROR(__xludf.DUMMYFUNCTION("""COMPUTED_VALUE"""),-1.7482480510241551)</f>
        <v>-1.748248051</v>
      </c>
      <c r="O163" s="282">
        <f>IFERROR(__xludf.DUMMYFUNCTION("""COMPUTED_VALUE"""),0.0)</f>
        <v>0</v>
      </c>
      <c r="P163" s="283">
        <f>IFERROR(__xludf.DUMMYFUNCTION("""COMPUTED_VALUE"""),11.2)</f>
        <v>11.2</v>
      </c>
      <c r="Q163" s="283">
        <f>IFERROR(__xludf.DUMMYFUNCTION("""COMPUTED_VALUE"""),1.3)</f>
        <v>1.3</v>
      </c>
      <c r="R163" s="283">
        <f>IFERROR(__xludf.DUMMYFUNCTION("""COMPUTED_VALUE"""),5.3)</f>
        <v>5.3</v>
      </c>
      <c r="S163" s="284">
        <f>IFERROR(__xludf.DUMMYFUNCTION("""COMPUTED_VALUE"""),2.3)</f>
        <v>2.3</v>
      </c>
      <c r="T163" s="283">
        <f>IFERROR(__xludf.DUMMYFUNCTION("""COMPUTED_VALUE"""),1.2)</f>
        <v>1.2</v>
      </c>
      <c r="U163" s="283">
        <f>IFERROR(__xludf.DUMMYFUNCTION("""COMPUTED_VALUE"""),1.0)</f>
        <v>1</v>
      </c>
      <c r="V163" s="280">
        <f>IFERROR(__xludf.DUMMYFUNCTION("""COMPUTED_VALUE"""),0.441)</f>
        <v>0.441</v>
      </c>
      <c r="W163" s="280">
        <f>IFERROR(__xludf.DUMMYFUNCTION("""COMPUTED_VALUE"""),0.706)</f>
        <v>0.706</v>
      </c>
      <c r="X163" s="280">
        <f>IFERROR(__xludf.DUMMYFUNCTION("""COMPUTED_VALUE"""),1.8)</f>
        <v>1.8</v>
      </c>
      <c r="Y163" s="283">
        <f>IFERROR(__xludf.DUMMYFUNCTION("""COMPUTED_VALUE"""),-1.1321008011813765)</f>
        <v>-1.132100801</v>
      </c>
      <c r="Z163" s="281">
        <f>IFERROR(__xludf.DUMMYFUNCTION("""COMPUTED_VALUE"""),-0.44687069366480203)</f>
        <v>-0.4468706937</v>
      </c>
      <c r="AA163" s="281">
        <f>IFERROR(__xludf.DUMMYFUNCTION("""COMPUTED_VALUE"""),-0.30160143626551283)</f>
        <v>-0.3016014363</v>
      </c>
      <c r="AB163" s="281">
        <f>IFERROR(__xludf.DUMMYFUNCTION("""COMPUTED_VALUE"""),-0.745281940017671)</f>
        <v>-0.74528194</v>
      </c>
      <c r="AC163" s="281">
        <f>IFERROR(__xludf.DUMMYFUNCTION("""COMPUTED_VALUE"""),0.7430016239596308)</f>
        <v>0.743001624</v>
      </c>
      <c r="AD163" s="281">
        <f>IFERROR(__xludf.DUMMYFUNCTION("""COMPUTED_VALUE"""),0.45484486947200414)</f>
        <v>0.4548448695</v>
      </c>
      <c r="AE163" s="281">
        <f>IFERROR(__xludf.DUMMYFUNCTION("""COMPUTED_VALUE"""),-0.5894310822350731)</f>
        <v>-0.5894310822</v>
      </c>
      <c r="AF163" s="281">
        <f>IFERROR(__xludf.DUMMYFUNCTION("""COMPUTED_VALUE"""),-0.850179642688391)</f>
        <v>-0.8501796427</v>
      </c>
      <c r="AG163" s="281">
        <f>IFERROR(__xludf.DUMMYFUNCTION("""COMPUTED_VALUE"""),-0.012729749584339901)</f>
        <v>-0.01272974958</v>
      </c>
      <c r="AH163" s="285"/>
      <c r="AI163" s="273"/>
      <c r="AJ163" s="340"/>
      <c r="AK163" s="341"/>
      <c r="AL163" s="273"/>
      <c r="AM163" s="273"/>
      <c r="AN163" s="273"/>
      <c r="AO163" s="273"/>
      <c r="AP163" s="273"/>
      <c r="AQ163" s="273"/>
      <c r="AR163" s="273"/>
      <c r="AS163" s="273"/>
      <c r="AT163" s="273"/>
      <c r="AU163" s="273"/>
      <c r="AV163" s="273"/>
      <c r="AW163" s="273"/>
      <c r="AX163" s="273"/>
      <c r="AY163" s="273"/>
      <c r="AZ163" s="273"/>
      <c r="BA163" s="273"/>
      <c r="BB163" s="273"/>
      <c r="BC163" s="273"/>
      <c r="BD163" s="273"/>
      <c r="BE163" s="273"/>
      <c r="BF163" s="273"/>
      <c r="BG163" s="273"/>
      <c r="BH163" s="273"/>
      <c r="BI163" s="273"/>
      <c r="BJ163" s="273"/>
      <c r="BK163" s="273"/>
      <c r="BL163" s="273"/>
      <c r="BM163" s="273"/>
      <c r="BN163" s="273"/>
      <c r="BO163" s="273"/>
      <c r="BP163" s="273"/>
      <c r="BQ163" s="273"/>
      <c r="BR163" s="273"/>
      <c r="BS163" s="273"/>
      <c r="BT163" s="273"/>
      <c r="BU163" s="273"/>
      <c r="BV163" s="273"/>
      <c r="BW163" s="273"/>
    </row>
    <row r="164">
      <c r="A164" s="259" t="str">
        <f>VLOOKUP($F164,UpdateHashtag!$V$3:$Y$32,COLUMN(B$15),0)</f>
        <v>#N/A</v>
      </c>
      <c r="B164" s="259" t="str">
        <f>VLOOKUP($F164,UpdateHashtag!$V$3:$Y$32,COLUMN(C$13),0)</f>
        <v>#N/A</v>
      </c>
      <c r="C164" s="259" t="str">
        <f>VLOOKUP($F164,UpdateHashtag!$V$3:$Y$32,COLUMN(D$13),0)</f>
        <v>#N/A</v>
      </c>
      <c r="D164" s="329" t="str">
        <f t="shared" si="4"/>
        <v>#N/A</v>
      </c>
      <c r="E164" s="21"/>
      <c r="F164" s="261" t="str">
        <f>VLOOKUP(J164,UpdateBBM!$C$2:E1015,3,0)</f>
        <v>NYK</v>
      </c>
      <c r="G164" s="248">
        <v>145.0</v>
      </c>
      <c r="H164" s="278">
        <f>IFERROR(__xludf.DUMMYFUNCTION("""COMPUTED_VALUE"""),145.0)</f>
        <v>145</v>
      </c>
      <c r="I164" s="278"/>
      <c r="J164" s="279" t="str">
        <f>IFERROR(__xludf.DUMMYFUNCTION("""COMPUTED_VALUE"""),"Miles McBride")</f>
        <v>Miles McBride</v>
      </c>
      <c r="K164" s="278">
        <f>IFERROR(__xludf.DUMMYFUNCTION("""COMPUTED_VALUE"""),71.0)</f>
        <v>71</v>
      </c>
      <c r="L164" s="280" t="str">
        <f>IFERROR(__xludf.DUMMYFUNCTION("""COMPUTED_VALUE"""),"PG,SG")</f>
        <v>PG,SG</v>
      </c>
      <c r="M164" s="281">
        <f>IFERROR(__xludf.DUMMYFUNCTION("""COMPUTED_VALUE"""),-1.7636340430886046)</f>
        <v>-1.763634043</v>
      </c>
      <c r="N164" s="281">
        <f>IFERROR(__xludf.DUMMYFUNCTION("""COMPUTED_VALUE"""),-1.7636340430886046)</f>
        <v>-1.763634043</v>
      </c>
      <c r="O164" s="282">
        <f>IFERROR(__xludf.DUMMYFUNCTION("""COMPUTED_VALUE"""),0.0)</f>
        <v>0</v>
      </c>
      <c r="P164" s="283">
        <f>IFERROR(__xludf.DUMMYFUNCTION("""COMPUTED_VALUE"""),10.8)</f>
        <v>10.8</v>
      </c>
      <c r="Q164" s="283">
        <f>IFERROR(__xludf.DUMMYFUNCTION("""COMPUTED_VALUE"""),2.1)</f>
        <v>2.1</v>
      </c>
      <c r="R164" s="283">
        <f>IFERROR(__xludf.DUMMYFUNCTION("""COMPUTED_VALUE"""),2.1)</f>
        <v>2.1</v>
      </c>
      <c r="S164" s="284">
        <f>IFERROR(__xludf.DUMMYFUNCTION("""COMPUTED_VALUE"""),2.6)</f>
        <v>2.6</v>
      </c>
      <c r="T164" s="283">
        <f>IFERROR(__xludf.DUMMYFUNCTION("""COMPUTED_VALUE"""),1.2)</f>
        <v>1.2</v>
      </c>
      <c r="U164" s="283">
        <f>IFERROR(__xludf.DUMMYFUNCTION("""COMPUTED_VALUE"""),0.2)</f>
        <v>0.2</v>
      </c>
      <c r="V164" s="280">
        <f>IFERROR(__xludf.DUMMYFUNCTION("""COMPUTED_VALUE"""),0.446)</f>
        <v>0.446</v>
      </c>
      <c r="W164" s="280">
        <f>IFERROR(__xludf.DUMMYFUNCTION("""COMPUTED_VALUE"""),0.845)</f>
        <v>0.845</v>
      </c>
      <c r="X164" s="280">
        <f>IFERROR(__xludf.DUMMYFUNCTION("""COMPUTED_VALUE"""),0.8)</f>
        <v>0.8</v>
      </c>
      <c r="Y164" s="283">
        <f>IFERROR(__xludf.DUMMYFUNCTION("""COMPUTED_VALUE"""),-1.2043600090344413)</f>
        <v>-1.204360009</v>
      </c>
      <c r="Z164" s="281">
        <f>IFERROR(__xludf.DUMMYFUNCTION("""COMPUTED_VALUE"""),0.34932369858753)</f>
        <v>0.3493236986</v>
      </c>
      <c r="AA164" s="281">
        <f>IFERROR(__xludf.DUMMYFUNCTION("""COMPUTED_VALUE"""),-1.5568453122646206)</f>
        <v>-1.556845312</v>
      </c>
      <c r="AB164" s="281">
        <f>IFERROR(__xludf.DUMMYFUNCTION("""COMPUTED_VALUE"""),-0.6085966287512721)</f>
        <v>-0.6085966288</v>
      </c>
      <c r="AC164" s="281">
        <f>IFERROR(__xludf.DUMMYFUNCTION("""COMPUTED_VALUE"""),0.7430016239596308)</f>
        <v>0.743001624</v>
      </c>
      <c r="AD164" s="281">
        <f>IFERROR(__xludf.DUMMYFUNCTION("""COMPUTED_VALUE"""),-0.9723047469492465)</f>
        <v>-0.9723047469</v>
      </c>
      <c r="AE164" s="281">
        <f>IFERROR(__xludf.DUMMYFUNCTION("""COMPUTED_VALUE"""),-0.5188013397311761)</f>
        <v>-0.5188013397</v>
      </c>
      <c r="AF164" s="281">
        <f>IFERROR(__xludf.DUMMYFUNCTION("""COMPUTED_VALUE"""),0.2128509736548444)</f>
        <v>0.2128509737</v>
      </c>
      <c r="AG164" s="281">
        <f>IFERROR(__xludf.DUMMYFUNCTION("""COMPUTED_VALUE"""),0.23525238517552666)</f>
        <v>0.2352523852</v>
      </c>
      <c r="AH164" s="285"/>
      <c r="AI164" s="273"/>
      <c r="AJ164" s="340"/>
      <c r="AK164" s="341"/>
      <c r="AL164" s="273"/>
      <c r="AM164" s="273"/>
      <c r="AN164" s="273"/>
      <c r="AO164" s="273"/>
      <c r="AP164" s="273"/>
      <c r="AQ164" s="273"/>
      <c r="AR164" s="273"/>
      <c r="AS164" s="273"/>
      <c r="AT164" s="273"/>
      <c r="AU164" s="273"/>
      <c r="AV164" s="273"/>
      <c r="AW164" s="273"/>
      <c r="AX164" s="273"/>
      <c r="AY164" s="273"/>
      <c r="AZ164" s="273"/>
      <c r="BA164" s="273"/>
      <c r="BB164" s="273"/>
      <c r="BC164" s="273"/>
      <c r="BD164" s="273"/>
      <c r="BE164" s="273"/>
      <c r="BF164" s="273"/>
      <c r="BG164" s="273"/>
      <c r="BH164" s="273"/>
      <c r="BI164" s="273"/>
      <c r="BJ164" s="273"/>
      <c r="BK164" s="273"/>
      <c r="BL164" s="273"/>
      <c r="BM164" s="273"/>
      <c r="BN164" s="273"/>
      <c r="BO164" s="273"/>
      <c r="BP164" s="273"/>
      <c r="BQ164" s="273"/>
      <c r="BR164" s="273"/>
      <c r="BS164" s="273"/>
      <c r="BT164" s="273"/>
      <c r="BU164" s="273"/>
      <c r="BV164" s="273"/>
      <c r="BW164" s="273"/>
    </row>
    <row r="165">
      <c r="A165" s="276">
        <f>VLOOKUP($F165,UpdateHashtag!$V$3:$Y$32,COLUMN(B$15),0)</f>
        <v>4</v>
      </c>
      <c r="B165" s="259">
        <f>VLOOKUP($F165,UpdateHashtag!$V$3:$Y$32,COLUMN(C$13),0)</f>
        <v>4</v>
      </c>
      <c r="C165" s="259">
        <f>VLOOKUP($F165,UpdateHashtag!$V$3:$Y$32,COLUMN(D$13),0)</f>
        <v>3</v>
      </c>
      <c r="D165" s="277">
        <f t="shared" si="4"/>
        <v>11</v>
      </c>
      <c r="E165" s="21"/>
      <c r="F165" s="261" t="str">
        <f>VLOOKUP(J165,UpdateBBM!$C$2:E1015,3,0)</f>
        <v>MIL</v>
      </c>
      <c r="G165" s="248">
        <v>146.0</v>
      </c>
      <c r="H165" s="278">
        <f>IFERROR(__xludf.DUMMYFUNCTION("""COMPUTED_VALUE"""),146.0)</f>
        <v>146</v>
      </c>
      <c r="I165" s="278">
        <f>IFERROR(__xludf.DUMMYFUNCTION("""COMPUTED_VALUE"""),115.9)</f>
        <v>115.9</v>
      </c>
      <c r="J165" s="279" t="str">
        <f>IFERROR(__xludf.DUMMYFUNCTION("""COMPUTED_VALUE"""),"Bobby Portis")</f>
        <v>Bobby Portis</v>
      </c>
      <c r="K165" s="278">
        <f>IFERROR(__xludf.DUMMYFUNCTION("""COMPUTED_VALUE"""),66.0)</f>
        <v>66</v>
      </c>
      <c r="L165" s="280" t="str">
        <f>IFERROR(__xludf.DUMMYFUNCTION("""COMPUTED_VALUE"""),"PF,C")</f>
        <v>PF,C</v>
      </c>
      <c r="M165" s="281">
        <f>IFERROR(__xludf.DUMMYFUNCTION("""COMPUTED_VALUE"""),-1.7684699947214306)</f>
        <v>-1.768469995</v>
      </c>
      <c r="N165" s="281">
        <f>IFERROR(__xludf.DUMMYFUNCTION("""COMPUTED_VALUE"""),-1.7684699947214306)</f>
        <v>-1.768469995</v>
      </c>
      <c r="O165" s="282">
        <f>IFERROR(__xludf.DUMMYFUNCTION("""COMPUTED_VALUE"""),0.0)</f>
        <v>0</v>
      </c>
      <c r="P165" s="283">
        <f>IFERROR(__xludf.DUMMYFUNCTION("""COMPUTED_VALUE"""),14.1)</f>
        <v>14.1</v>
      </c>
      <c r="Q165" s="283">
        <f>IFERROR(__xludf.DUMMYFUNCTION("""COMPUTED_VALUE"""),1.3)</f>
        <v>1.3</v>
      </c>
      <c r="R165" s="283">
        <f>IFERROR(__xludf.DUMMYFUNCTION("""COMPUTED_VALUE"""),8.3)</f>
        <v>8.3</v>
      </c>
      <c r="S165" s="284">
        <f>IFERROR(__xludf.DUMMYFUNCTION("""COMPUTED_VALUE"""),1.4)</f>
        <v>1.4</v>
      </c>
      <c r="T165" s="283">
        <f>IFERROR(__xludf.DUMMYFUNCTION("""COMPUTED_VALUE"""),0.7)</f>
        <v>0.7</v>
      </c>
      <c r="U165" s="283">
        <f>IFERROR(__xludf.DUMMYFUNCTION("""COMPUTED_VALUE"""),0.3)</f>
        <v>0.3</v>
      </c>
      <c r="V165" s="280">
        <f>IFERROR(__xludf.DUMMYFUNCTION("""COMPUTED_VALUE"""),0.502)</f>
        <v>0.502</v>
      </c>
      <c r="W165" s="280">
        <f>IFERROR(__xludf.DUMMYFUNCTION("""COMPUTED_VALUE"""),0.777)</f>
        <v>0.777</v>
      </c>
      <c r="X165" s="280">
        <f>IFERROR(__xludf.DUMMYFUNCTION("""COMPUTED_VALUE"""),1.1)</f>
        <v>1.1</v>
      </c>
      <c r="Y165" s="283">
        <f>IFERROR(__xludf.DUMMYFUNCTION("""COMPUTED_VALUE"""),-0.6082215442466556)</f>
        <v>-0.6082215442</v>
      </c>
      <c r="Z165" s="281">
        <f>IFERROR(__xludf.DUMMYFUNCTION("""COMPUTED_VALUE"""),-0.44687069366480203)</f>
        <v>-0.4468706937</v>
      </c>
      <c r="AA165" s="281">
        <f>IFERROR(__xludf.DUMMYFUNCTION("""COMPUTED_VALUE"""),0.8751896974836513)</f>
        <v>0.8751896975</v>
      </c>
      <c r="AB165" s="281">
        <f>IFERROR(__xludf.DUMMYFUNCTION("""COMPUTED_VALUE"""),-1.1553378738168676)</f>
        <v>-1.155337874</v>
      </c>
      <c r="AC165" s="281">
        <f>IFERROR(__xludf.DUMMYFUNCTION("""COMPUTED_VALUE"""),-0.9166617668377661)</f>
        <v>-0.9166617668</v>
      </c>
      <c r="AD165" s="281">
        <f>IFERROR(__xludf.DUMMYFUNCTION("""COMPUTED_VALUE"""),-0.7939110448965904)</f>
        <v>-0.7939110449</v>
      </c>
      <c r="AE165" s="281">
        <f>IFERROR(__xludf.DUMMYFUNCTION("""COMPUTED_VALUE"""),0.06899670281963362)</f>
        <v>0.06899670282</v>
      </c>
      <c r="AF165" s="281">
        <f>IFERROR(__xludf.DUMMYFUNCTION("""COMPUTED_VALUE"""),-0.10784909012646815)</f>
        <v>-0.1078490901</v>
      </c>
      <c r="AG165" s="281">
        <f>IFERROR(__xludf.DUMMYFUNCTION("""COMPUTED_VALUE"""),0.16085774474756667)</f>
        <v>0.1608577447</v>
      </c>
      <c r="AH165" s="285"/>
      <c r="AI165" s="273"/>
      <c r="AJ165" s="340"/>
      <c r="AK165" s="341"/>
      <c r="AL165" s="273"/>
      <c r="AM165" s="273"/>
      <c r="AN165" s="273"/>
      <c r="AO165" s="273"/>
      <c r="AP165" s="273"/>
      <c r="AQ165" s="273"/>
      <c r="AR165" s="273"/>
      <c r="AS165" s="273"/>
      <c r="AT165" s="273"/>
      <c r="AU165" s="273"/>
      <c r="AV165" s="273"/>
      <c r="AW165" s="273"/>
      <c r="AX165" s="273"/>
      <c r="AY165" s="273"/>
      <c r="AZ165" s="273"/>
      <c r="BA165" s="273"/>
      <c r="BB165" s="273"/>
      <c r="BC165" s="273"/>
      <c r="BD165" s="273"/>
      <c r="BE165" s="273"/>
      <c r="BF165" s="273"/>
      <c r="BG165" s="273"/>
      <c r="BH165" s="273"/>
      <c r="BI165" s="273"/>
      <c r="BJ165" s="273"/>
      <c r="BK165" s="273"/>
      <c r="BL165" s="273"/>
      <c r="BM165" s="273"/>
      <c r="BN165" s="273"/>
      <c r="BO165" s="273"/>
      <c r="BP165" s="273"/>
      <c r="BQ165" s="273"/>
      <c r="BR165" s="273"/>
      <c r="BS165" s="273"/>
      <c r="BT165" s="273"/>
      <c r="BU165" s="273"/>
      <c r="BV165" s="273"/>
      <c r="BW165" s="273"/>
    </row>
    <row r="166">
      <c r="A166" s="276">
        <f>VLOOKUP($F166,UpdateHashtag!$V$3:$Y$32,COLUMN(B$15),0)</f>
        <v>4</v>
      </c>
      <c r="B166" s="259">
        <f>VLOOKUP($F166,UpdateHashtag!$V$3:$Y$32,COLUMN(C$13),0)</f>
        <v>4</v>
      </c>
      <c r="C166" s="259">
        <f>VLOOKUP($F166,UpdateHashtag!$V$3:$Y$32,COLUMN(D$13),0)</f>
        <v>3</v>
      </c>
      <c r="D166" s="277">
        <f t="shared" si="4"/>
        <v>11</v>
      </c>
      <c r="E166" s="21"/>
      <c r="F166" s="261" t="str">
        <f>VLOOKUP(J166,UpdateBBM!$C$2:E1015,3,0)</f>
        <v>OKC</v>
      </c>
      <c r="G166" s="248">
        <v>147.0</v>
      </c>
      <c r="H166" s="278">
        <f>IFERROR(__xludf.DUMMYFUNCTION("""COMPUTED_VALUE"""),147.0)</f>
        <v>147</v>
      </c>
      <c r="I166" s="278">
        <f>IFERROR(__xludf.DUMMYFUNCTION("""COMPUTED_VALUE"""),139.5)</f>
        <v>139.5</v>
      </c>
      <c r="J166" s="279" t="str">
        <f>IFERROR(__xludf.DUMMYFUNCTION("""COMPUTED_VALUE"""),"Luguentz Dort")</f>
        <v>Luguentz Dort</v>
      </c>
      <c r="K166" s="278">
        <f>IFERROR(__xludf.DUMMYFUNCTION("""COMPUTED_VALUE"""),71.0)</f>
        <v>71</v>
      </c>
      <c r="L166" s="280" t="str">
        <f>IFERROR(__xludf.DUMMYFUNCTION("""COMPUTED_VALUE"""),"SG,SF")</f>
        <v>SG,SF</v>
      </c>
      <c r="M166" s="281">
        <f>IFERROR(__xludf.DUMMYFUNCTION("""COMPUTED_VALUE"""),-1.8066354768791526)</f>
        <v>-1.806635477</v>
      </c>
      <c r="N166" s="281">
        <f>IFERROR(__xludf.DUMMYFUNCTION("""COMPUTED_VALUE"""),-1.8066354768791526)</f>
        <v>-1.806635477</v>
      </c>
      <c r="O166" s="282">
        <f>IFERROR(__xludf.DUMMYFUNCTION("""COMPUTED_VALUE"""),0.0)</f>
        <v>0</v>
      </c>
      <c r="P166" s="283">
        <f>IFERROR(__xludf.DUMMYFUNCTION("""COMPUTED_VALUE"""),12.0)</f>
        <v>12</v>
      </c>
      <c r="Q166" s="283">
        <f>IFERROR(__xludf.DUMMYFUNCTION("""COMPUTED_VALUE"""),2.0)</f>
        <v>2</v>
      </c>
      <c r="R166" s="283">
        <f>IFERROR(__xludf.DUMMYFUNCTION("""COMPUTED_VALUE"""),4.2)</f>
        <v>4.2</v>
      </c>
      <c r="S166" s="284">
        <f>IFERROR(__xludf.DUMMYFUNCTION("""COMPUTED_VALUE"""),1.8)</f>
        <v>1.8</v>
      </c>
      <c r="T166" s="283">
        <f>IFERROR(__xludf.DUMMYFUNCTION("""COMPUTED_VALUE"""),1.0)</f>
        <v>1</v>
      </c>
      <c r="U166" s="283">
        <f>IFERROR(__xludf.DUMMYFUNCTION("""COMPUTED_VALUE"""),0.7)</f>
        <v>0.7</v>
      </c>
      <c r="V166" s="280">
        <f>IFERROR(__xludf.DUMMYFUNCTION("""COMPUTED_VALUE"""),0.433)</f>
        <v>0.433</v>
      </c>
      <c r="W166" s="280">
        <f>IFERROR(__xludf.DUMMYFUNCTION("""COMPUTED_VALUE"""),0.824)</f>
        <v>0.824</v>
      </c>
      <c r="X166" s="280">
        <f>IFERROR(__xludf.DUMMYFUNCTION("""COMPUTED_VALUE"""),1.1)</f>
        <v>1.1</v>
      </c>
      <c r="Y166" s="283">
        <f>IFERROR(__xludf.DUMMYFUNCTION("""COMPUTED_VALUE"""),-0.9875823854752465)</f>
        <v>-0.9875823855</v>
      </c>
      <c r="Z166" s="281">
        <f>IFERROR(__xludf.DUMMYFUNCTION("""COMPUTED_VALUE"""),0.2497993995559884)</f>
        <v>0.2497993996</v>
      </c>
      <c r="AA166" s="281">
        <f>IFERROR(__xludf.DUMMYFUNCTION("""COMPUTED_VALUE"""),-0.733091518640206)</f>
        <v>-0.7330915186</v>
      </c>
      <c r="AB166" s="281">
        <f>IFERROR(__xludf.DUMMYFUNCTION("""COMPUTED_VALUE"""),-0.9730907921283356)</f>
        <v>-0.9730907921</v>
      </c>
      <c r="AC166" s="281">
        <f>IFERROR(__xludf.DUMMYFUNCTION("""COMPUTED_VALUE"""),0.07913626764067216)</f>
        <v>0.07913626764</v>
      </c>
      <c r="AD166" s="281">
        <f>IFERROR(__xludf.DUMMYFUNCTION("""COMPUTED_VALUE"""),-0.08033623668596498)</f>
        <v>-0.08033623669</v>
      </c>
      <c r="AE166" s="281">
        <f>IFERROR(__xludf.DUMMYFUNCTION("""COMPUTED_VALUE"""),-0.7262229928975177)</f>
        <v>-0.7262229929</v>
      </c>
      <c r="AF166" s="281">
        <f>IFERROR(__xludf.DUMMYFUNCTION("""COMPUTED_VALUE"""),0.21631265152864484)</f>
        <v>0.2163126515</v>
      </c>
      <c r="AG166" s="281">
        <f>IFERROR(__xludf.DUMMYFUNCTION("""COMPUTED_VALUE"""),0.16085774474756667)</f>
        <v>0.1608577447</v>
      </c>
      <c r="AH166" s="285"/>
      <c r="AI166" s="273"/>
      <c r="AJ166" s="340"/>
      <c r="AK166" s="341"/>
      <c r="AL166" s="273"/>
      <c r="AM166" s="273"/>
      <c r="AN166" s="273"/>
      <c r="AO166" s="273"/>
      <c r="AP166" s="273"/>
      <c r="AQ166" s="273"/>
      <c r="AR166" s="273"/>
      <c r="AS166" s="273"/>
      <c r="AT166" s="273"/>
      <c r="AU166" s="273"/>
      <c r="AV166" s="273"/>
      <c r="AW166" s="273"/>
      <c r="AX166" s="273"/>
      <c r="AY166" s="273"/>
      <c r="AZ166" s="273"/>
      <c r="BA166" s="273"/>
      <c r="BB166" s="273"/>
      <c r="BC166" s="273"/>
      <c r="BD166" s="273"/>
      <c r="BE166" s="273"/>
      <c r="BF166" s="273"/>
      <c r="BG166" s="273"/>
      <c r="BH166" s="273"/>
      <c r="BI166" s="273"/>
      <c r="BJ166" s="273"/>
      <c r="BK166" s="273"/>
      <c r="BL166" s="273"/>
      <c r="BM166" s="273"/>
      <c r="BN166" s="273"/>
      <c r="BO166" s="273"/>
      <c r="BP166" s="273"/>
      <c r="BQ166" s="273"/>
      <c r="BR166" s="273"/>
      <c r="BS166" s="273"/>
      <c r="BT166" s="273"/>
      <c r="BU166" s="273"/>
      <c r="BV166" s="273"/>
      <c r="BW166" s="273"/>
    </row>
    <row r="167">
      <c r="A167" s="276">
        <f>VLOOKUP($F167,UpdateHashtag!$V$3:$Y$32,COLUMN(B$15),0)</f>
        <v>4</v>
      </c>
      <c r="B167" s="259">
        <f>VLOOKUP($F167,UpdateHashtag!$V$3:$Y$32,COLUMN(C$13),0)</f>
        <v>3</v>
      </c>
      <c r="C167" s="259">
        <f>VLOOKUP($F167,UpdateHashtag!$V$3:$Y$32,COLUMN(D$13),0)</f>
        <v>4</v>
      </c>
      <c r="D167" s="277">
        <f t="shared" si="4"/>
        <v>11</v>
      </c>
      <c r="E167" s="21"/>
      <c r="F167" s="261" t="str">
        <f>VLOOKUP(J167,UpdateBBM!$C$2:E1015,3,0)</f>
        <v>CLE</v>
      </c>
      <c r="G167" s="248">
        <v>148.0</v>
      </c>
      <c r="H167" s="278">
        <f>IFERROR(__xludf.DUMMYFUNCTION("""COMPUTED_VALUE"""),148.0)</f>
        <v>148</v>
      </c>
      <c r="I167" s="278"/>
      <c r="J167" s="279" t="str">
        <f>IFERROR(__xludf.DUMMYFUNCTION("""COMPUTED_VALUE"""),"Lonzo Ball")</f>
        <v>Lonzo Ball</v>
      </c>
      <c r="K167" s="278">
        <f>IFERROR(__xludf.DUMMYFUNCTION("""COMPUTED_VALUE"""),52.0)</f>
        <v>52</v>
      </c>
      <c r="L167" s="280" t="str">
        <f>IFERROR(__xludf.DUMMYFUNCTION("""COMPUTED_VALUE"""),"PG")</f>
        <v>PG</v>
      </c>
      <c r="M167" s="281">
        <f>IFERROR(__xludf.DUMMYFUNCTION("""COMPUTED_VALUE"""),-1.8269538791285516)</f>
        <v>-1.826953879</v>
      </c>
      <c r="N167" s="281">
        <f>IFERROR(__xludf.DUMMYFUNCTION("""COMPUTED_VALUE"""),-1.8269538791285516)</f>
        <v>-1.826953879</v>
      </c>
      <c r="O167" s="282">
        <f>IFERROR(__xludf.DUMMYFUNCTION("""COMPUTED_VALUE"""),0.0)</f>
        <v>0</v>
      </c>
      <c r="P167" s="283">
        <f>IFERROR(__xludf.DUMMYFUNCTION("""COMPUTED_VALUE"""),7.6)</f>
        <v>7.6</v>
      </c>
      <c r="Q167" s="283">
        <f>IFERROR(__xludf.DUMMYFUNCTION("""COMPUTED_VALUE"""),1.8)</f>
        <v>1.8</v>
      </c>
      <c r="R167" s="283">
        <f>IFERROR(__xludf.DUMMYFUNCTION("""COMPUTED_VALUE"""),3.2)</f>
        <v>3.2</v>
      </c>
      <c r="S167" s="284">
        <f>IFERROR(__xludf.DUMMYFUNCTION("""COMPUTED_VALUE"""),3.5)</f>
        <v>3.5</v>
      </c>
      <c r="T167" s="283">
        <f>IFERROR(__xludf.DUMMYFUNCTION("""COMPUTED_VALUE"""),1.1)</f>
        <v>1.1</v>
      </c>
      <c r="U167" s="283">
        <f>IFERROR(__xludf.DUMMYFUNCTION("""COMPUTED_VALUE"""),0.5)</f>
        <v>0.5</v>
      </c>
      <c r="V167" s="280">
        <f>IFERROR(__xludf.DUMMYFUNCTION("""COMPUTED_VALUE"""),0.423)</f>
        <v>0.423</v>
      </c>
      <c r="W167" s="280">
        <f>IFERROR(__xludf.DUMMYFUNCTION("""COMPUTED_VALUE"""),0.761)</f>
        <v>0.761</v>
      </c>
      <c r="X167" s="280">
        <f>IFERROR(__xludf.DUMMYFUNCTION("""COMPUTED_VALUE"""),1.4)</f>
        <v>1.4</v>
      </c>
      <c r="Y167" s="283">
        <f>IFERROR(__xludf.DUMMYFUNCTION("""COMPUTED_VALUE"""),-1.7824336718589608)</f>
        <v>-1.782433672</v>
      </c>
      <c r="Z167" s="281">
        <f>IFERROR(__xludf.DUMMYFUNCTION("""COMPUTED_VALUE"""),0.05075080149290546)</f>
        <v>0.05075080149</v>
      </c>
      <c r="AA167" s="281">
        <f>IFERROR(__xludf.DUMMYFUNCTION("""COMPUTED_VALUE"""),-1.1253552298899274)</f>
        <v>-1.12535523</v>
      </c>
      <c r="AB167" s="281">
        <f>IFERROR(__xludf.DUMMYFUNCTION("""COMPUTED_VALUE"""),-0.1985406949520756)</f>
        <v>-0.198540695</v>
      </c>
      <c r="AC167" s="281">
        <f>IFERROR(__xludf.DUMMYFUNCTION("""COMPUTED_VALUE"""),0.41106894580015185)</f>
        <v>0.4110689458</v>
      </c>
      <c r="AD167" s="281">
        <f>IFERROR(__xludf.DUMMYFUNCTION("""COMPUTED_VALUE"""),-0.4371236407912776)</f>
        <v>-0.4371236408</v>
      </c>
      <c r="AE167" s="281">
        <f>IFERROR(__xludf.DUMMYFUNCTION("""COMPUTED_VALUE"""),-0.5541654971142799)</f>
        <v>-0.5541654971</v>
      </c>
      <c r="AF167" s="281">
        <f>IFERROR(__xludf.DUMMYFUNCTION("""COMPUTED_VALUE"""),-0.06005166799365545)</f>
        <v>-0.06005166799</v>
      </c>
      <c r="AG167" s="281">
        <f>IFERROR(__xludf.DUMMYFUNCTION("""COMPUTED_VALUE"""),0.08646310431960676)</f>
        <v>0.08646310432</v>
      </c>
      <c r="AH167" s="285"/>
      <c r="AI167" s="273"/>
      <c r="AJ167" s="340"/>
      <c r="AK167" s="341"/>
      <c r="AL167" s="273"/>
      <c r="AM167" s="273"/>
      <c r="AN167" s="273"/>
      <c r="AO167" s="273"/>
      <c r="AP167" s="273"/>
      <c r="AQ167" s="273"/>
      <c r="AR167" s="273"/>
      <c r="AS167" s="273"/>
      <c r="AT167" s="273"/>
      <c r="AU167" s="273"/>
      <c r="AV167" s="273"/>
      <c r="AW167" s="273"/>
      <c r="AX167" s="273"/>
      <c r="AY167" s="273"/>
      <c r="AZ167" s="273"/>
      <c r="BA167" s="273"/>
      <c r="BB167" s="273"/>
      <c r="BC167" s="273"/>
      <c r="BD167" s="273"/>
      <c r="BE167" s="273"/>
      <c r="BF167" s="273"/>
      <c r="BG167" s="273"/>
      <c r="BH167" s="273"/>
      <c r="BI167" s="273"/>
      <c r="BJ167" s="273"/>
      <c r="BK167" s="273"/>
      <c r="BL167" s="273"/>
      <c r="BM167" s="273"/>
      <c r="BN167" s="273"/>
      <c r="BO167" s="273"/>
      <c r="BP167" s="273"/>
      <c r="BQ167" s="273"/>
      <c r="BR167" s="273"/>
      <c r="BS167" s="273"/>
      <c r="BT167" s="273"/>
      <c r="BU167" s="273"/>
      <c r="BV167" s="273"/>
      <c r="BW167" s="273"/>
    </row>
    <row r="168">
      <c r="A168" s="276">
        <f>VLOOKUP($F168,UpdateHashtag!$V$3:$Y$32,COLUMN(B$15),0)</f>
        <v>4</v>
      </c>
      <c r="B168" s="259">
        <f>VLOOKUP($F168,UpdateHashtag!$V$3:$Y$32,COLUMN(C$13),0)</f>
        <v>4</v>
      </c>
      <c r="C168" s="259">
        <f>VLOOKUP($F168,UpdateHashtag!$V$3:$Y$32,COLUMN(D$13),0)</f>
        <v>4</v>
      </c>
      <c r="D168" s="277">
        <f t="shared" si="4"/>
        <v>12</v>
      </c>
      <c r="E168" s="21"/>
      <c r="F168" s="261" t="str">
        <f>VLOOKUP(J168,UpdateBBM!$C$2:E1015,3,0)</f>
        <v>PHI</v>
      </c>
      <c r="G168" s="248">
        <v>149.0</v>
      </c>
      <c r="H168" s="278">
        <f>IFERROR(__xludf.DUMMYFUNCTION("""COMPUTED_VALUE"""),149.0)</f>
        <v>149</v>
      </c>
      <c r="I168" s="278">
        <f>IFERROR(__xludf.DUMMYFUNCTION("""COMPUTED_VALUE"""),139.1)</f>
        <v>139.1</v>
      </c>
      <c r="J168" s="279" t="str">
        <f>IFERROR(__xludf.DUMMYFUNCTION("""COMPUTED_VALUE"""),"Andre Drummond")</f>
        <v>Andre Drummond</v>
      </c>
      <c r="K168" s="278">
        <f>IFERROR(__xludf.DUMMYFUNCTION("""COMPUTED_VALUE"""),71.0)</f>
        <v>71</v>
      </c>
      <c r="L168" s="280" t="str">
        <f>IFERROR(__xludf.DUMMYFUNCTION("""COMPUTED_VALUE"""),"C")</f>
        <v>C</v>
      </c>
      <c r="M168" s="281">
        <f>IFERROR(__xludf.DUMMYFUNCTION("""COMPUTED_VALUE"""),-1.8272865243345193)</f>
        <v>-1.827286524</v>
      </c>
      <c r="N168" s="281">
        <f>IFERROR(__xludf.DUMMYFUNCTION("""COMPUTED_VALUE"""),-1.8272865243345193)</f>
        <v>-1.827286524</v>
      </c>
      <c r="O168" s="282">
        <f>IFERROR(__xludf.DUMMYFUNCTION("""COMPUTED_VALUE"""),0.0)</f>
        <v>0</v>
      </c>
      <c r="P168" s="283">
        <f>IFERROR(__xludf.DUMMYFUNCTION("""COMPUTED_VALUE"""),9.8)</f>
        <v>9.8</v>
      </c>
      <c r="Q168" s="283">
        <f>IFERROR(__xludf.DUMMYFUNCTION("""COMPUTED_VALUE"""),0.0)</f>
        <v>0</v>
      </c>
      <c r="R168" s="283">
        <f>IFERROR(__xludf.DUMMYFUNCTION("""COMPUTED_VALUE"""),10.6)</f>
        <v>10.6</v>
      </c>
      <c r="S168" s="284">
        <f>IFERROR(__xludf.DUMMYFUNCTION("""COMPUTED_VALUE"""),0.6)</f>
        <v>0.6</v>
      </c>
      <c r="T168" s="283">
        <f>IFERROR(__xludf.DUMMYFUNCTION("""COMPUTED_VALUE"""),1.1)</f>
        <v>1.1</v>
      </c>
      <c r="U168" s="283">
        <f>IFERROR(__xludf.DUMMYFUNCTION("""COMPUTED_VALUE"""),0.7)</f>
        <v>0.7</v>
      </c>
      <c r="V168" s="280">
        <f>IFERROR(__xludf.DUMMYFUNCTION("""COMPUTED_VALUE"""),0.574)</f>
        <v>0.574</v>
      </c>
      <c r="W168" s="280">
        <f>IFERROR(__xludf.DUMMYFUNCTION("""COMPUTED_VALUE"""),0.604)</f>
        <v>0.604</v>
      </c>
      <c r="X168" s="280">
        <f>IFERROR(__xludf.DUMMYFUNCTION("""COMPUTED_VALUE"""),1.4)</f>
        <v>1.4</v>
      </c>
      <c r="Y168" s="283">
        <f>IFERROR(__xludf.DUMMYFUNCTION("""COMPUTED_VALUE"""),-1.3850080286671036)</f>
        <v>-1.385008029</v>
      </c>
      <c r="Z168" s="281">
        <f>IFERROR(__xludf.DUMMYFUNCTION("""COMPUTED_VALUE"""),-1.7406865810748415)</f>
        <v>-1.740686581</v>
      </c>
      <c r="AA168" s="281">
        <f>IFERROR(__xludf.DUMMYFUNCTION("""COMPUTED_VALUE"""),1.7773962333580098)</f>
        <v>1.777396233</v>
      </c>
      <c r="AB168" s="281">
        <f>IFERROR(__xludf.DUMMYFUNCTION("""COMPUTED_VALUE"""),-1.5198320371939311)</f>
        <v>-1.519832037</v>
      </c>
      <c r="AC168" s="281">
        <f>IFERROR(__xludf.DUMMYFUNCTION("""COMPUTED_VALUE"""),0.41106894580015185)</f>
        <v>0.4110689458</v>
      </c>
      <c r="AD168" s="281">
        <f>IFERROR(__xludf.DUMMYFUNCTION("""COMPUTED_VALUE"""),-0.08033623668596498)</f>
        <v>-0.08033623669</v>
      </c>
      <c r="AE168" s="281">
        <f>IFERROR(__xludf.DUMMYFUNCTION("""COMPUTED_VALUE"""),0.6236480758095537)</f>
        <v>0.6236480758</v>
      </c>
      <c r="AF168" s="281">
        <f>IFERROR(__xludf.DUMMYFUNCTION("""COMPUTED_VALUE"""),-2.0283180842660986)</f>
        <v>-2.028318084</v>
      </c>
      <c r="AG168" s="281">
        <f>IFERROR(__xludf.DUMMYFUNCTION("""COMPUTED_VALUE"""),0.08646310431960676)</f>
        <v>0.08646310432</v>
      </c>
      <c r="AH168" s="285"/>
      <c r="AI168" s="273"/>
      <c r="AJ168" s="340"/>
      <c r="AK168" s="341"/>
      <c r="AL168" s="273"/>
      <c r="AM168" s="273"/>
      <c r="AN168" s="273"/>
      <c r="AO168" s="273"/>
      <c r="AP168" s="273"/>
      <c r="AQ168" s="273"/>
      <c r="AR168" s="273"/>
      <c r="AS168" s="273"/>
      <c r="AT168" s="273"/>
      <c r="AU168" s="273"/>
      <c r="AV168" s="273"/>
      <c r="AW168" s="273"/>
      <c r="AX168" s="273"/>
      <c r="AY168" s="273"/>
      <c r="AZ168" s="273"/>
      <c r="BA168" s="273"/>
      <c r="BB168" s="273"/>
      <c r="BC168" s="273"/>
      <c r="BD168" s="273"/>
      <c r="BE168" s="273"/>
      <c r="BF168" s="273"/>
      <c r="BG168" s="273"/>
      <c r="BH168" s="273"/>
      <c r="BI168" s="273"/>
      <c r="BJ168" s="273"/>
      <c r="BK168" s="273"/>
      <c r="BL168" s="273"/>
      <c r="BM168" s="273"/>
      <c r="BN168" s="273"/>
      <c r="BO168" s="273"/>
      <c r="BP168" s="273"/>
      <c r="BQ168" s="273"/>
      <c r="BR168" s="273"/>
      <c r="BS168" s="273"/>
      <c r="BT168" s="273"/>
      <c r="BU168" s="273"/>
      <c r="BV168" s="273"/>
      <c r="BW168" s="273"/>
    </row>
    <row r="169">
      <c r="A169" s="276">
        <f>VLOOKUP($F169,UpdateHashtag!$V$3:$Y$32,COLUMN(B$15),0)</f>
        <v>4</v>
      </c>
      <c r="B169" s="259">
        <f>VLOOKUP($F169,UpdateHashtag!$V$3:$Y$32,COLUMN(C$13),0)</f>
        <v>4</v>
      </c>
      <c r="C169" s="259">
        <f>VLOOKUP($F169,UpdateHashtag!$V$3:$Y$32,COLUMN(D$13),0)</f>
        <v>4</v>
      </c>
      <c r="D169" s="277">
        <f t="shared" si="4"/>
        <v>12</v>
      </c>
      <c r="E169" s="21"/>
      <c r="F169" s="261" t="str">
        <f>VLOOKUP(J169,UpdateBBM!$C$2:E1015,3,0)</f>
        <v>PHI</v>
      </c>
      <c r="G169" s="248">
        <v>150.0</v>
      </c>
      <c r="H169" s="278">
        <f>IFERROR(__xludf.DUMMYFUNCTION("""COMPUTED_VALUE"""),150.0)</f>
        <v>150</v>
      </c>
      <c r="I169" s="278">
        <f>IFERROR(__xludf.DUMMYFUNCTION("""COMPUTED_VALUE"""),140.2)</f>
        <v>140.2</v>
      </c>
      <c r="J169" s="279" t="str">
        <f>IFERROR(__xludf.DUMMYFUNCTION("""COMPUTED_VALUE"""),"Kyle Lowry")</f>
        <v>Kyle Lowry</v>
      </c>
      <c r="K169" s="278">
        <f>IFERROR(__xludf.DUMMYFUNCTION("""COMPUTED_VALUE"""),71.0)</f>
        <v>71</v>
      </c>
      <c r="L169" s="280" t="str">
        <f>IFERROR(__xludf.DUMMYFUNCTION("""COMPUTED_VALUE"""),"PG")</f>
        <v>PG</v>
      </c>
      <c r="M169" s="281">
        <f>IFERROR(__xludf.DUMMYFUNCTION("""COMPUTED_VALUE"""),-1.8402322275431635)</f>
        <v>-1.840232228</v>
      </c>
      <c r="N169" s="281">
        <f>IFERROR(__xludf.DUMMYFUNCTION("""COMPUTED_VALUE"""),-1.8402322275431635)</f>
        <v>-1.840232228</v>
      </c>
      <c r="O169" s="282">
        <f>IFERROR(__xludf.DUMMYFUNCTION("""COMPUTED_VALUE"""),0.0)</f>
        <v>0</v>
      </c>
      <c r="P169" s="283">
        <f>IFERROR(__xludf.DUMMYFUNCTION("""COMPUTED_VALUE"""),9.1)</f>
        <v>9.1</v>
      </c>
      <c r="Q169" s="283">
        <f>IFERROR(__xludf.DUMMYFUNCTION("""COMPUTED_VALUE"""),1.7)</f>
        <v>1.7</v>
      </c>
      <c r="R169" s="283">
        <f>IFERROR(__xludf.DUMMYFUNCTION("""COMPUTED_VALUE"""),3.4)</f>
        <v>3.4</v>
      </c>
      <c r="S169" s="284">
        <f>IFERROR(__xludf.DUMMYFUNCTION("""COMPUTED_VALUE"""),4.4)</f>
        <v>4.4</v>
      </c>
      <c r="T169" s="283">
        <f>IFERROR(__xludf.DUMMYFUNCTION("""COMPUTED_VALUE"""),1.0)</f>
        <v>1</v>
      </c>
      <c r="U169" s="283">
        <f>IFERROR(__xludf.DUMMYFUNCTION("""COMPUTED_VALUE"""),0.3)</f>
        <v>0.3</v>
      </c>
      <c r="V169" s="280">
        <f>IFERROR(__xludf.DUMMYFUNCTION("""COMPUTED_VALUE"""),0.417)</f>
        <v>0.417</v>
      </c>
      <c r="W169" s="280">
        <f>IFERROR(__xludf.DUMMYFUNCTION("""COMPUTED_VALUE"""),0.855)</f>
        <v>0.855</v>
      </c>
      <c r="X169" s="280">
        <f>IFERROR(__xludf.DUMMYFUNCTION("""COMPUTED_VALUE"""),1.5)</f>
        <v>1.5</v>
      </c>
      <c r="Y169" s="283">
        <f>IFERROR(__xludf.DUMMYFUNCTION("""COMPUTED_VALUE"""),-1.5114616424099674)</f>
        <v>-1.511461642</v>
      </c>
      <c r="Z169" s="281">
        <f>IFERROR(__xludf.DUMMYFUNCTION("""COMPUTED_VALUE"""),-0.04877349753863613)</f>
        <v>-0.04877349754</v>
      </c>
      <c r="AA169" s="281">
        <f>IFERROR(__xludf.DUMMYFUNCTION("""COMPUTED_VALUE"""),-1.0469024876399833)</f>
        <v>-1.046902488</v>
      </c>
      <c r="AB169" s="281">
        <f>IFERROR(__xludf.DUMMYFUNCTION("""COMPUTED_VALUE"""),0.2115152388471211)</f>
        <v>0.2115152388</v>
      </c>
      <c r="AC169" s="281">
        <f>IFERROR(__xludf.DUMMYFUNCTION("""COMPUTED_VALUE"""),0.07913626764067216)</f>
        <v>0.07913626764</v>
      </c>
      <c r="AD169" s="281">
        <f>IFERROR(__xludf.DUMMYFUNCTION("""COMPUTED_VALUE"""),-0.7939110448965904)</f>
        <v>-0.7939110449</v>
      </c>
      <c r="AE169" s="281">
        <f>IFERROR(__xludf.DUMMYFUNCTION("""COMPUTED_VALUE"""),-0.664704587301205)</f>
        <v>-0.6647045873</v>
      </c>
      <c r="AF169" s="281">
        <f>IFERROR(__xludf.DUMMYFUNCTION("""COMPUTED_VALUE"""),0.3617429925018381)</f>
        <v>0.3617429925</v>
      </c>
      <c r="AG169" s="281">
        <f>IFERROR(__xludf.DUMMYFUNCTION("""COMPUTED_VALUE"""),0.06166489084362008)</f>
        <v>0.06166489084</v>
      </c>
      <c r="AH169" s="285"/>
      <c r="AI169" s="273"/>
      <c r="AJ169" s="340"/>
      <c r="AK169" s="341"/>
      <c r="AL169" s="273"/>
      <c r="AM169" s="273"/>
      <c r="AN169" s="273"/>
      <c r="AO169" s="273"/>
      <c r="AP169" s="273"/>
      <c r="AQ169" s="273"/>
      <c r="AR169" s="273"/>
      <c r="AS169" s="273"/>
      <c r="AT169" s="273"/>
      <c r="AU169" s="273"/>
      <c r="AV169" s="273"/>
      <c r="AW169" s="273"/>
      <c r="AX169" s="273"/>
      <c r="AY169" s="273"/>
      <c r="AZ169" s="273"/>
      <c r="BA169" s="273"/>
      <c r="BB169" s="273"/>
      <c r="BC169" s="273"/>
      <c r="BD169" s="273"/>
      <c r="BE169" s="273"/>
      <c r="BF169" s="273"/>
      <c r="BG169" s="273"/>
      <c r="BH169" s="273"/>
      <c r="BI169" s="273"/>
      <c r="BJ169" s="273"/>
      <c r="BK169" s="273"/>
      <c r="BL169" s="273"/>
      <c r="BM169" s="273"/>
      <c r="BN169" s="273"/>
      <c r="BO169" s="273"/>
      <c r="BP169" s="273"/>
      <c r="BQ169" s="273"/>
      <c r="BR169" s="273"/>
      <c r="BS169" s="273"/>
      <c r="BT169" s="273"/>
      <c r="BU169" s="273"/>
      <c r="BV169" s="273"/>
      <c r="BW169" s="273"/>
    </row>
    <row r="170">
      <c r="A170" s="276">
        <f>VLOOKUP($F170,UpdateHashtag!$V$3:$Y$32,COLUMN(B$15),0)</f>
        <v>3</v>
      </c>
      <c r="B170" s="259">
        <f>VLOOKUP($F170,UpdateHashtag!$V$3:$Y$32,COLUMN(C$13),0)</f>
        <v>4</v>
      </c>
      <c r="C170" s="259">
        <f>VLOOKUP($F170,UpdateHashtag!$V$3:$Y$32,COLUMN(D$13),0)</f>
        <v>3</v>
      </c>
      <c r="D170" s="277">
        <f t="shared" si="4"/>
        <v>10</v>
      </c>
      <c r="E170" s="21"/>
      <c r="F170" s="261" t="str">
        <f>VLOOKUP(J170,UpdateBBM!$C$2:E1015,3,0)</f>
        <v>PHO</v>
      </c>
      <c r="G170" s="248">
        <v>151.0</v>
      </c>
      <c r="H170" s="278">
        <f>IFERROR(__xludf.DUMMYFUNCTION("""COMPUTED_VALUE"""),151.0)</f>
        <v>151</v>
      </c>
      <c r="I170" s="278">
        <f>IFERROR(__xludf.DUMMYFUNCTION("""COMPUTED_VALUE"""),138.2)</f>
        <v>138.2</v>
      </c>
      <c r="J170" s="279" t="str">
        <f>IFERROR(__xludf.DUMMYFUNCTION("""COMPUTED_VALUE"""),"Grayson Allen")</f>
        <v>Grayson Allen</v>
      </c>
      <c r="K170" s="278">
        <f>IFERROR(__xludf.DUMMYFUNCTION("""COMPUTED_VALUE"""),71.0)</f>
        <v>71</v>
      </c>
      <c r="L170" s="280" t="str">
        <f>IFERROR(__xludf.DUMMYFUNCTION("""COMPUTED_VALUE"""),"PG,SG")</f>
        <v>PG,SG</v>
      </c>
      <c r="M170" s="281">
        <f>IFERROR(__xludf.DUMMYFUNCTION("""COMPUTED_VALUE"""),-1.8724672995461888)</f>
        <v>-1.8724673</v>
      </c>
      <c r="N170" s="281">
        <f>IFERROR(__xludf.DUMMYFUNCTION("""COMPUTED_VALUE"""),-1.8724672995461888)</f>
        <v>-1.8724673</v>
      </c>
      <c r="O170" s="282">
        <f>IFERROR(__xludf.DUMMYFUNCTION("""COMPUTED_VALUE"""),0.0)</f>
        <v>0</v>
      </c>
      <c r="P170" s="283">
        <f>IFERROR(__xludf.DUMMYFUNCTION("""COMPUTED_VALUE"""),11.4)</f>
        <v>11.4</v>
      </c>
      <c r="Q170" s="283">
        <f>IFERROR(__xludf.DUMMYFUNCTION("""COMPUTED_VALUE"""),2.2)</f>
        <v>2.2</v>
      </c>
      <c r="R170" s="283">
        <f>IFERROR(__xludf.DUMMYFUNCTION("""COMPUTED_VALUE"""),3.3)</f>
        <v>3.3</v>
      </c>
      <c r="S170" s="284">
        <f>IFERROR(__xludf.DUMMYFUNCTION("""COMPUTED_VALUE"""),2.4)</f>
        <v>2.4</v>
      </c>
      <c r="T170" s="283">
        <f>IFERROR(__xludf.DUMMYFUNCTION("""COMPUTED_VALUE"""),0.8)</f>
        <v>0.8</v>
      </c>
      <c r="U170" s="283">
        <f>IFERROR(__xludf.DUMMYFUNCTION("""COMPUTED_VALUE"""),0.4)</f>
        <v>0.4</v>
      </c>
      <c r="V170" s="280">
        <f>IFERROR(__xludf.DUMMYFUNCTION("""COMPUTED_VALUE"""),0.485)</f>
        <v>0.485</v>
      </c>
      <c r="W170" s="280">
        <f>IFERROR(__xludf.DUMMYFUNCTION("""COMPUTED_VALUE"""),0.893)</f>
        <v>0.893</v>
      </c>
      <c r="X170" s="280">
        <f>IFERROR(__xludf.DUMMYFUNCTION("""COMPUTED_VALUE"""),1.0)</f>
        <v>1</v>
      </c>
      <c r="Y170" s="283">
        <f>IFERROR(__xludf.DUMMYFUNCTION("""COMPUTED_VALUE"""),-1.0959711972548438)</f>
        <v>-1.095971197</v>
      </c>
      <c r="Z170" s="281">
        <f>IFERROR(__xludf.DUMMYFUNCTION("""COMPUTED_VALUE"""),0.44884799761907157)</f>
        <v>0.4488479976</v>
      </c>
      <c r="AA170" s="281">
        <f>IFERROR(__xludf.DUMMYFUNCTION("""COMPUTED_VALUE"""),-1.0861288587649554)</f>
        <v>-1.086128859</v>
      </c>
      <c r="AB170" s="281">
        <f>IFERROR(__xludf.DUMMYFUNCTION("""COMPUTED_VALUE"""),-0.6997201695955381)</f>
        <v>-0.6997201696</v>
      </c>
      <c r="AC170" s="281">
        <f>IFERROR(__xludf.DUMMYFUNCTION("""COMPUTED_VALUE"""),-0.5847290886782864)</f>
        <v>-0.5847290887</v>
      </c>
      <c r="AD170" s="281">
        <f>IFERROR(__xludf.DUMMYFUNCTION("""COMPUTED_VALUE"""),-0.6155173428439339)</f>
        <v>-0.6155173428</v>
      </c>
      <c r="AE170" s="281">
        <f>IFERROR(__xludf.DUMMYFUNCTION("""COMPUTED_VALUE"""),-0.11139441800634449)</f>
        <v>-0.111394418</v>
      </c>
      <c r="AF170" s="281">
        <f>IFERROR(__xludf.DUMMYFUNCTION("""COMPUTED_VALUE"""),0.590518622500244)</f>
        <v>0.5905186225</v>
      </c>
      <c r="AG170" s="281">
        <f>IFERROR(__xludf.DUMMYFUNCTION("""COMPUTED_VALUE"""),0.18565595822355335)</f>
        <v>0.1856559582</v>
      </c>
      <c r="AH170" s="285"/>
      <c r="AI170" s="273"/>
      <c r="AJ170" s="340"/>
      <c r="AK170" s="341"/>
      <c r="AL170" s="273"/>
      <c r="AM170" s="273"/>
      <c r="AN170" s="273"/>
      <c r="AO170" s="273"/>
      <c r="AP170" s="273"/>
      <c r="AQ170" s="273"/>
      <c r="AR170" s="273"/>
      <c r="AS170" s="273"/>
      <c r="AT170" s="273"/>
      <c r="AU170" s="273"/>
      <c r="AV170" s="273"/>
      <c r="AW170" s="273"/>
      <c r="AX170" s="273"/>
      <c r="AY170" s="273"/>
      <c r="AZ170" s="273"/>
      <c r="BA170" s="273"/>
      <c r="BB170" s="273"/>
      <c r="BC170" s="273"/>
      <c r="BD170" s="273"/>
      <c r="BE170" s="273"/>
      <c r="BF170" s="273"/>
      <c r="BG170" s="273"/>
      <c r="BH170" s="273"/>
      <c r="BI170" s="273"/>
      <c r="BJ170" s="273"/>
      <c r="BK170" s="273"/>
      <c r="BL170" s="273"/>
      <c r="BM170" s="273"/>
      <c r="BN170" s="273"/>
      <c r="BO170" s="273"/>
      <c r="BP170" s="273"/>
      <c r="BQ170" s="273"/>
      <c r="BR170" s="273"/>
      <c r="BS170" s="273"/>
      <c r="BT170" s="273"/>
      <c r="BU170" s="273"/>
      <c r="BV170" s="273"/>
      <c r="BW170" s="273"/>
    </row>
    <row r="171">
      <c r="A171" s="259" t="str">
        <f>VLOOKUP($F171,UpdateHashtag!$V$3:$Y$32,COLUMN(B$15),0)</f>
        <v>#N/A</v>
      </c>
      <c r="B171" s="259" t="str">
        <f>VLOOKUP($F171,UpdateHashtag!$V$3:$Y$32,COLUMN(C$13),0)</f>
        <v>#N/A</v>
      </c>
      <c r="C171" s="259" t="str">
        <f>VLOOKUP($F171,UpdateHashtag!$V$3:$Y$32,COLUMN(D$13),0)</f>
        <v>#N/A</v>
      </c>
      <c r="D171" s="329" t="str">
        <f t="shared" si="4"/>
        <v>#N/A</v>
      </c>
      <c r="E171" s="21"/>
      <c r="F171" s="261" t="str">
        <f>VLOOKUP(J171,UpdateBBM!$C$2:E1015,3,0)</f>
        <v>SAS</v>
      </c>
      <c r="G171" s="248">
        <v>152.0</v>
      </c>
      <c r="H171" s="278">
        <f>IFERROR(__xludf.DUMMYFUNCTION("""COMPUTED_VALUE"""),152.0)</f>
        <v>152</v>
      </c>
      <c r="I171" s="278">
        <f>IFERROR(__xludf.DUMMYFUNCTION("""COMPUTED_VALUE"""),141.7)</f>
        <v>141.7</v>
      </c>
      <c r="J171" s="279" t="str">
        <f>IFERROR(__xludf.DUMMYFUNCTION("""COMPUTED_VALUE"""),"Jeremy Sochan")</f>
        <v>Jeremy Sochan</v>
      </c>
      <c r="K171" s="278">
        <f>IFERROR(__xludf.DUMMYFUNCTION("""COMPUTED_VALUE"""),25.0)</f>
        <v>25</v>
      </c>
      <c r="L171" s="280" t="str">
        <f>IFERROR(__xludf.DUMMYFUNCTION("""COMPUTED_VALUE"""),"SF,PF")</f>
        <v>SF,PF</v>
      </c>
      <c r="M171" s="281">
        <f>IFERROR(__xludf.DUMMYFUNCTION("""COMPUTED_VALUE"""),-1.9116423054501974)</f>
        <v>-1.911642305</v>
      </c>
      <c r="N171" s="281">
        <f>IFERROR(__xludf.DUMMYFUNCTION("""COMPUTED_VALUE"""),-1.9116423054501974)</f>
        <v>-1.911642305</v>
      </c>
      <c r="O171" s="282">
        <f>IFERROR(__xludf.DUMMYFUNCTION("""COMPUTED_VALUE"""),0.0)</f>
        <v>0</v>
      </c>
      <c r="P171" s="283">
        <f>IFERROR(__xludf.DUMMYFUNCTION("""COMPUTED_VALUE"""),12.4)</f>
        <v>12.4</v>
      </c>
      <c r="Q171" s="283">
        <f>IFERROR(__xludf.DUMMYFUNCTION("""COMPUTED_VALUE"""),1.0)</f>
        <v>1</v>
      </c>
      <c r="R171" s="283">
        <f>IFERROR(__xludf.DUMMYFUNCTION("""COMPUTED_VALUE"""),6.8)</f>
        <v>6.8</v>
      </c>
      <c r="S171" s="284">
        <f>IFERROR(__xludf.DUMMYFUNCTION("""COMPUTED_VALUE"""),3.2)</f>
        <v>3.2</v>
      </c>
      <c r="T171" s="283">
        <f>IFERROR(__xludf.DUMMYFUNCTION("""COMPUTED_VALUE"""),1.0)</f>
        <v>1</v>
      </c>
      <c r="U171" s="283">
        <f>IFERROR(__xludf.DUMMYFUNCTION("""COMPUTED_VALUE"""),0.6)</f>
        <v>0.6</v>
      </c>
      <c r="V171" s="280">
        <f>IFERROR(__xludf.DUMMYFUNCTION("""COMPUTED_VALUE"""),0.444)</f>
        <v>0.444</v>
      </c>
      <c r="W171" s="280">
        <f>IFERROR(__xludf.DUMMYFUNCTION("""COMPUTED_VALUE"""),0.77)</f>
        <v>0.77</v>
      </c>
      <c r="X171" s="280">
        <f>IFERROR(__xludf.DUMMYFUNCTION("""COMPUTED_VALUE"""),2.0)</f>
        <v>2</v>
      </c>
      <c r="Y171" s="283">
        <f>IFERROR(__xludf.DUMMYFUNCTION("""COMPUTED_VALUE"""),-0.9153231776221815)</f>
        <v>-0.9153231776</v>
      </c>
      <c r="Z171" s="281">
        <f>IFERROR(__xludf.DUMMYFUNCTION("""COMPUTED_VALUE"""),-0.7454435907594266)</f>
        <v>-0.7454435908</v>
      </c>
      <c r="AA171" s="281">
        <f>IFERROR(__xludf.DUMMYFUNCTION("""COMPUTED_VALUE"""),0.28679413060906905)</f>
        <v>0.2867941306</v>
      </c>
      <c r="AB171" s="281">
        <f>IFERROR(__xludf.DUMMYFUNCTION("""COMPUTED_VALUE"""),-0.33522600621847437)</f>
        <v>-0.3352260062</v>
      </c>
      <c r="AC171" s="281">
        <f>IFERROR(__xludf.DUMMYFUNCTION("""COMPUTED_VALUE"""),0.07913626764067216)</f>
        <v>0.07913626764</v>
      </c>
      <c r="AD171" s="281">
        <f>IFERROR(__xludf.DUMMYFUNCTION("""COMPUTED_VALUE"""),-0.25872993873862127)</f>
        <v>-0.2587299387</v>
      </c>
      <c r="AE171" s="281">
        <f>IFERROR(__xludf.DUMMYFUNCTION("""COMPUTED_VALUE"""),-0.6817397370113726)</f>
        <v>-0.681739737</v>
      </c>
      <c r="AF171" s="281">
        <f>IFERROR(__xludf.DUMMYFUNCTION("""COMPUTED_VALUE"""),-0.1941072544357305)</f>
        <v>-0.1941072544</v>
      </c>
      <c r="AG171" s="281">
        <f>IFERROR(__xludf.DUMMYFUNCTION("""COMPUTED_VALUE"""),-0.062326176536313206)</f>
        <v>-0.06232617654</v>
      </c>
      <c r="AH171" s="285"/>
      <c r="AI171" s="273"/>
      <c r="AJ171" s="340"/>
      <c r="AK171" s="341"/>
      <c r="AL171" s="273"/>
      <c r="AM171" s="273"/>
      <c r="AN171" s="273"/>
      <c r="AO171" s="273"/>
      <c r="AP171" s="273"/>
      <c r="AQ171" s="273"/>
      <c r="AR171" s="273"/>
      <c r="AS171" s="273"/>
      <c r="AT171" s="273"/>
      <c r="AU171" s="273"/>
      <c r="AV171" s="273"/>
      <c r="AW171" s="273"/>
      <c r="AX171" s="273"/>
      <c r="AY171" s="273"/>
      <c r="AZ171" s="273"/>
      <c r="BA171" s="273"/>
      <c r="BB171" s="273"/>
      <c r="BC171" s="273"/>
      <c r="BD171" s="273"/>
      <c r="BE171" s="273"/>
      <c r="BF171" s="273"/>
      <c r="BG171" s="273"/>
      <c r="BH171" s="273"/>
      <c r="BI171" s="273"/>
      <c r="BJ171" s="273"/>
      <c r="BK171" s="273"/>
      <c r="BL171" s="273"/>
      <c r="BM171" s="273"/>
      <c r="BN171" s="273"/>
      <c r="BO171" s="273"/>
      <c r="BP171" s="273"/>
      <c r="BQ171" s="273"/>
      <c r="BR171" s="273"/>
      <c r="BS171" s="273"/>
      <c r="BT171" s="273"/>
      <c r="BU171" s="273"/>
      <c r="BV171" s="273"/>
      <c r="BW171" s="273"/>
    </row>
    <row r="172">
      <c r="A172" s="276">
        <f>VLOOKUP($F172,UpdateHashtag!$V$3:$Y$32,COLUMN(B$15),0)</f>
        <v>3</v>
      </c>
      <c r="B172" s="259">
        <f>VLOOKUP($F172,UpdateHashtag!$V$3:$Y$32,COLUMN(C$13),0)</f>
        <v>5</v>
      </c>
      <c r="C172" s="259">
        <f>VLOOKUP($F172,UpdateHashtag!$V$3:$Y$32,COLUMN(D$13),0)</f>
        <v>3</v>
      </c>
      <c r="D172" s="277">
        <f t="shared" si="4"/>
        <v>11</v>
      </c>
      <c r="E172" s="21"/>
      <c r="F172" s="261" t="str">
        <f>VLOOKUP(J172,UpdateBBM!$C$2:E1015,3,0)</f>
        <v>WAS</v>
      </c>
      <c r="G172" s="248">
        <v>153.0</v>
      </c>
      <c r="H172" s="278">
        <f>IFERROR(__xludf.DUMMYFUNCTION("""COMPUTED_VALUE"""),153.0)</f>
        <v>153</v>
      </c>
      <c r="I172" s="278">
        <f>IFERROR(__xludf.DUMMYFUNCTION("""COMPUTED_VALUE"""),145.4)</f>
        <v>145.4</v>
      </c>
      <c r="J172" s="279" t="str">
        <f>IFERROR(__xludf.DUMMYFUNCTION("""COMPUTED_VALUE"""),"Corey Kispert")</f>
        <v>Corey Kispert</v>
      </c>
      <c r="K172" s="278">
        <f>IFERROR(__xludf.DUMMYFUNCTION("""COMPUTED_VALUE"""),58.0)</f>
        <v>58</v>
      </c>
      <c r="L172" s="280" t="str">
        <f>IFERROR(__xludf.DUMMYFUNCTION("""COMPUTED_VALUE"""),"SG,SF")</f>
        <v>SG,SF</v>
      </c>
      <c r="M172" s="281">
        <f>IFERROR(__xludf.DUMMYFUNCTION("""COMPUTED_VALUE"""),-1.916536610529607)</f>
        <v>-1.916536611</v>
      </c>
      <c r="N172" s="281">
        <f>IFERROR(__xludf.DUMMYFUNCTION("""COMPUTED_VALUE"""),-1.916536610529607)</f>
        <v>-1.916536611</v>
      </c>
      <c r="O172" s="282">
        <f>IFERROR(__xludf.DUMMYFUNCTION("""COMPUTED_VALUE"""),0.0)</f>
        <v>0</v>
      </c>
      <c r="P172" s="283">
        <f>IFERROR(__xludf.DUMMYFUNCTION("""COMPUTED_VALUE"""),15.1)</f>
        <v>15.1</v>
      </c>
      <c r="Q172" s="283">
        <f>IFERROR(__xludf.DUMMYFUNCTION("""COMPUTED_VALUE"""),2.7)</f>
        <v>2.7</v>
      </c>
      <c r="R172" s="283">
        <f>IFERROR(__xludf.DUMMYFUNCTION("""COMPUTED_VALUE"""),3.4)</f>
        <v>3.4</v>
      </c>
      <c r="S172" s="284">
        <f>IFERROR(__xludf.DUMMYFUNCTION("""COMPUTED_VALUE"""),2.4)</f>
        <v>2.4</v>
      </c>
      <c r="T172" s="283">
        <f>IFERROR(__xludf.DUMMYFUNCTION("""COMPUTED_VALUE"""),0.7)</f>
        <v>0.7</v>
      </c>
      <c r="U172" s="283">
        <f>IFERROR(__xludf.DUMMYFUNCTION("""COMPUTED_VALUE"""),0.2)</f>
        <v>0.2</v>
      </c>
      <c r="V172" s="280">
        <f>IFERROR(__xludf.DUMMYFUNCTION("""COMPUTED_VALUE"""),0.484)</f>
        <v>0.484</v>
      </c>
      <c r="W172" s="280">
        <f>IFERROR(__xludf.DUMMYFUNCTION("""COMPUTED_VALUE"""),0.821)</f>
        <v>0.821</v>
      </c>
      <c r="X172" s="280">
        <f>IFERROR(__xludf.DUMMYFUNCTION("""COMPUTED_VALUE"""),1.2)</f>
        <v>1.2</v>
      </c>
      <c r="Y172" s="283">
        <f>IFERROR(__xludf.DUMMYFUNCTION("""COMPUTED_VALUE"""),-0.4275735246139932)</f>
        <v>-0.4275735246</v>
      </c>
      <c r="Z172" s="281">
        <f>IFERROR(__xludf.DUMMYFUNCTION("""COMPUTED_VALUE"""),0.946469492776779)</f>
        <v>0.9464694928</v>
      </c>
      <c r="AA172" s="281">
        <f>IFERROR(__xludf.DUMMYFUNCTION("""COMPUTED_VALUE"""),-1.0469024876399833)</f>
        <v>-1.046902488</v>
      </c>
      <c r="AB172" s="281">
        <f>IFERROR(__xludf.DUMMYFUNCTION("""COMPUTED_VALUE"""),-0.6997201695955381)</f>
        <v>-0.6997201696</v>
      </c>
      <c r="AC172" s="281">
        <f>IFERROR(__xludf.DUMMYFUNCTION("""COMPUTED_VALUE"""),-0.9166617668377661)</f>
        <v>-0.9166617668</v>
      </c>
      <c r="AD172" s="281">
        <f>IFERROR(__xludf.DUMMYFUNCTION("""COMPUTED_VALUE"""),-0.9723047469492465)</f>
        <v>-0.9723047469</v>
      </c>
      <c r="AE172" s="281">
        <f>IFERROR(__xludf.DUMMYFUNCTION("""COMPUTED_VALUE"""),-0.1675689651301542)</f>
        <v>-0.1675689651</v>
      </c>
      <c r="AF172" s="281">
        <f>IFERROR(__xludf.DUMMYFUNCTION("""COMPUTED_VALUE"""),0.1847635385487321)</f>
        <v>0.1847635385</v>
      </c>
      <c r="AG172" s="281">
        <f>IFERROR(__xludf.DUMMYFUNCTION("""COMPUTED_VALUE"""),0.13605953127158005)</f>
        <v>0.1360595313</v>
      </c>
      <c r="AH172" s="285"/>
      <c r="AI172" s="273"/>
      <c r="AJ172" s="340"/>
      <c r="AK172" s="341"/>
      <c r="AL172" s="273"/>
      <c r="AM172" s="273"/>
      <c r="AN172" s="273"/>
      <c r="AO172" s="273"/>
      <c r="AP172" s="273"/>
      <c r="AQ172" s="273"/>
      <c r="AR172" s="273"/>
      <c r="AS172" s="273"/>
      <c r="AT172" s="273"/>
      <c r="AU172" s="273"/>
      <c r="AV172" s="273"/>
      <c r="AW172" s="273"/>
      <c r="AX172" s="273"/>
      <c r="AY172" s="273"/>
      <c r="AZ172" s="273"/>
      <c r="BA172" s="273"/>
      <c r="BB172" s="273"/>
      <c r="BC172" s="273"/>
      <c r="BD172" s="273"/>
      <c r="BE172" s="273"/>
      <c r="BF172" s="273"/>
      <c r="BG172" s="273"/>
      <c r="BH172" s="273"/>
      <c r="BI172" s="273"/>
      <c r="BJ172" s="273"/>
      <c r="BK172" s="273"/>
      <c r="BL172" s="273"/>
      <c r="BM172" s="273"/>
      <c r="BN172" s="273"/>
      <c r="BO172" s="273"/>
      <c r="BP172" s="273"/>
      <c r="BQ172" s="273"/>
      <c r="BR172" s="273"/>
      <c r="BS172" s="273"/>
      <c r="BT172" s="273"/>
      <c r="BU172" s="273"/>
      <c r="BV172" s="273"/>
      <c r="BW172" s="273"/>
    </row>
    <row r="173">
      <c r="A173" s="259" t="str">
        <f>VLOOKUP($F173,UpdateHashtag!$V$3:$Y$32,COLUMN(B$15),0)</f>
        <v>#N/A</v>
      </c>
      <c r="B173" s="259" t="str">
        <f>VLOOKUP($F173,UpdateHashtag!$V$3:$Y$32,COLUMN(C$13),0)</f>
        <v>#N/A</v>
      </c>
      <c r="C173" s="259" t="str">
        <f>VLOOKUP($F173,UpdateHashtag!$V$3:$Y$32,COLUMN(D$13),0)</f>
        <v>#N/A</v>
      </c>
      <c r="D173" s="329" t="str">
        <f t="shared" si="4"/>
        <v>#N/A</v>
      </c>
      <c r="E173" s="21"/>
      <c r="F173" s="261" t="str">
        <f>VLOOKUP(J173,UpdateBBM!$C$2:E1015,3,0)</f>
        <v>#N/A</v>
      </c>
      <c r="G173" s="248">
        <v>154.0</v>
      </c>
      <c r="H173" s="278">
        <f>IFERROR(__xludf.DUMMYFUNCTION("""COMPUTED_VALUE"""),154.0)</f>
        <v>154</v>
      </c>
      <c r="I173" s="278">
        <f>IFERROR(__xludf.DUMMYFUNCTION("""COMPUTED_VALUE"""),143.9)</f>
        <v>143.9</v>
      </c>
      <c r="J173" s="279" t="str">
        <f>IFERROR(__xludf.DUMMYFUNCTION("""COMPUTED_VALUE"""),"Gary Trent Jr.")</f>
        <v>Gary Trent Jr.</v>
      </c>
      <c r="K173" s="278">
        <f>IFERROR(__xludf.DUMMYFUNCTION("""COMPUTED_VALUE"""),66.0)</f>
        <v>66</v>
      </c>
      <c r="L173" s="280" t="str">
        <f>IFERROR(__xludf.DUMMYFUNCTION("""COMPUTED_VALUE"""),"PG,SG")</f>
        <v>PG,SG</v>
      </c>
      <c r="M173" s="281">
        <f>IFERROR(__xludf.DUMMYFUNCTION("""COMPUTED_VALUE"""),-1.9217464116935556)</f>
        <v>-1.921746412</v>
      </c>
      <c r="N173" s="281">
        <f>IFERROR(__xludf.DUMMYFUNCTION("""COMPUTED_VALUE"""),-1.9217464116935556)</f>
        <v>-1.921746412</v>
      </c>
      <c r="O173" s="282">
        <f>IFERROR(__xludf.DUMMYFUNCTION("""COMPUTED_VALUE"""),0.0)</f>
        <v>0</v>
      </c>
      <c r="P173" s="283">
        <f>IFERROR(__xludf.DUMMYFUNCTION("""COMPUTED_VALUE"""),14.5)</f>
        <v>14.5</v>
      </c>
      <c r="Q173" s="283">
        <f>IFERROR(__xludf.DUMMYFUNCTION("""COMPUTED_VALUE"""),2.4)</f>
        <v>2.4</v>
      </c>
      <c r="R173" s="283">
        <f>IFERROR(__xludf.DUMMYFUNCTION("""COMPUTED_VALUE"""),2.5)</f>
        <v>2.5</v>
      </c>
      <c r="S173" s="284">
        <f>IFERROR(__xludf.DUMMYFUNCTION("""COMPUTED_VALUE"""),1.6)</f>
        <v>1.6</v>
      </c>
      <c r="T173" s="283">
        <f>IFERROR(__xludf.DUMMYFUNCTION("""COMPUTED_VALUE"""),1.2)</f>
        <v>1.2</v>
      </c>
      <c r="U173" s="283">
        <f>IFERROR(__xludf.DUMMYFUNCTION("""COMPUTED_VALUE"""),0.2)</f>
        <v>0.2</v>
      </c>
      <c r="V173" s="280">
        <f>IFERROR(__xludf.DUMMYFUNCTION("""COMPUTED_VALUE"""),0.429)</f>
        <v>0.429</v>
      </c>
      <c r="W173" s="280">
        <f>IFERROR(__xludf.DUMMYFUNCTION("""COMPUTED_VALUE"""),0.792)</f>
        <v>0.792</v>
      </c>
      <c r="X173" s="280">
        <f>IFERROR(__xludf.DUMMYFUNCTION("""COMPUTED_VALUE"""),0.7)</f>
        <v>0.7</v>
      </c>
      <c r="Y173" s="283">
        <f>IFERROR(__xludf.DUMMYFUNCTION("""COMPUTED_VALUE"""),-0.5359623363935906)</f>
        <v>-0.5359623364</v>
      </c>
      <c r="Z173" s="281">
        <f>IFERROR(__xludf.DUMMYFUNCTION("""COMPUTED_VALUE"""),0.6478965956821543)</f>
        <v>0.6478965957</v>
      </c>
      <c r="AA173" s="281">
        <f>IFERROR(__xludf.DUMMYFUNCTION("""COMPUTED_VALUE"""),-1.3999398277647324)</f>
        <v>-1.399939828</v>
      </c>
      <c r="AB173" s="281">
        <f>IFERROR(__xludf.DUMMYFUNCTION("""COMPUTED_VALUE"""),-1.0642143329726015)</f>
        <v>-1.064214333</v>
      </c>
      <c r="AC173" s="281">
        <f>IFERROR(__xludf.DUMMYFUNCTION("""COMPUTED_VALUE"""),0.7430016239596308)</f>
        <v>0.743001624</v>
      </c>
      <c r="AD173" s="281">
        <f>IFERROR(__xludf.DUMMYFUNCTION("""COMPUTED_VALUE"""),-0.9723047469492465)</f>
        <v>-0.9723047469</v>
      </c>
      <c r="AE173" s="281">
        <f>IFERROR(__xludf.DUMMYFUNCTION("""COMPUTED_VALUE"""),-0.9785431473069823)</f>
        <v>-0.9785431473</v>
      </c>
      <c r="AF173" s="281">
        <f>IFERROR(__xludf.DUMMYFUNCTION("""COMPUTED_VALUE"""),-0.02167066636443299)</f>
        <v>-0.02167066636</v>
      </c>
      <c r="AG173" s="281">
        <f>IFERROR(__xludf.DUMMYFUNCTION("""COMPUTED_VALUE"""),0.26005059865151336)</f>
        <v>0.2600505987</v>
      </c>
      <c r="AH173" s="285"/>
      <c r="AI173" s="273"/>
      <c r="AJ173" s="340"/>
      <c r="AK173" s="341"/>
      <c r="AL173" s="273"/>
      <c r="AM173" s="273"/>
      <c r="AN173" s="273"/>
      <c r="AO173" s="273"/>
      <c r="AP173" s="273"/>
      <c r="AQ173" s="273"/>
      <c r="AR173" s="273"/>
      <c r="AS173" s="273"/>
      <c r="AT173" s="273"/>
      <c r="AU173" s="273"/>
      <c r="AV173" s="273"/>
      <c r="AW173" s="273"/>
      <c r="AX173" s="273"/>
      <c r="AY173" s="273"/>
      <c r="AZ173" s="273"/>
      <c r="BA173" s="273"/>
      <c r="BB173" s="273"/>
      <c r="BC173" s="273"/>
      <c r="BD173" s="273"/>
      <c r="BE173" s="273"/>
      <c r="BF173" s="273"/>
      <c r="BG173" s="273"/>
      <c r="BH173" s="273"/>
      <c r="BI173" s="273"/>
      <c r="BJ173" s="273"/>
      <c r="BK173" s="273"/>
      <c r="BL173" s="273"/>
      <c r="BM173" s="273"/>
      <c r="BN173" s="273"/>
      <c r="BO173" s="273"/>
      <c r="BP173" s="273"/>
      <c r="BQ173" s="273"/>
      <c r="BR173" s="273"/>
      <c r="BS173" s="273"/>
      <c r="BT173" s="273"/>
      <c r="BU173" s="273"/>
      <c r="BV173" s="273"/>
      <c r="BW173" s="273"/>
    </row>
    <row r="174">
      <c r="A174" s="276">
        <f>VLOOKUP($F174,UpdateHashtag!$V$3:$Y$32,COLUMN(B$15),0)</f>
        <v>4</v>
      </c>
      <c r="B174" s="259">
        <f>VLOOKUP($F174,UpdateHashtag!$V$3:$Y$32,COLUMN(C$13),0)</f>
        <v>4</v>
      </c>
      <c r="C174" s="259">
        <f>VLOOKUP($F174,UpdateHashtag!$V$3:$Y$32,COLUMN(D$13),0)</f>
        <v>4</v>
      </c>
      <c r="D174" s="277">
        <f t="shared" si="4"/>
        <v>12</v>
      </c>
      <c r="E174" s="21"/>
      <c r="F174" s="261" t="str">
        <f>VLOOKUP(J174,UpdateBBM!$C$2:E1015,3,0)</f>
        <v>HOU</v>
      </c>
      <c r="G174" s="248">
        <v>155.0</v>
      </c>
      <c r="H174" s="278">
        <f>IFERROR(__xludf.DUMMYFUNCTION("""COMPUTED_VALUE"""),155.0)</f>
        <v>155</v>
      </c>
      <c r="I174" s="278">
        <f>IFERROR(__xludf.DUMMYFUNCTION("""COMPUTED_VALUE"""),140.9)</f>
        <v>140.9</v>
      </c>
      <c r="J174" s="279" t="str">
        <f>IFERROR(__xludf.DUMMYFUNCTION("""COMPUTED_VALUE"""),"Reed Sheppard")</f>
        <v>Reed Sheppard</v>
      </c>
      <c r="K174" s="278">
        <f>IFERROR(__xludf.DUMMYFUNCTION("""COMPUTED_VALUE"""),71.0)</f>
        <v>71</v>
      </c>
      <c r="L174" s="280" t="str">
        <f>IFERROR(__xludf.DUMMYFUNCTION("""COMPUTED_VALUE"""),"SG")</f>
        <v>SG</v>
      </c>
      <c r="M174" s="281">
        <f>IFERROR(__xludf.DUMMYFUNCTION("""COMPUTED_VALUE"""),-1.9242638676763257)</f>
        <v>-1.924263868</v>
      </c>
      <c r="N174" s="281">
        <f>IFERROR(__xludf.DUMMYFUNCTION("""COMPUTED_VALUE"""),-1.9242638676763257)</f>
        <v>-1.924263868</v>
      </c>
      <c r="O174" s="282">
        <f>IFERROR(__xludf.DUMMYFUNCTION("""COMPUTED_VALUE"""),0.0)</f>
        <v>0</v>
      </c>
      <c r="P174" s="283">
        <f>IFERROR(__xludf.DUMMYFUNCTION("""COMPUTED_VALUE"""),6.7)</f>
        <v>6.7</v>
      </c>
      <c r="Q174" s="283">
        <f>IFERROR(__xludf.DUMMYFUNCTION("""COMPUTED_VALUE"""),1.3)</f>
        <v>1.3</v>
      </c>
      <c r="R174" s="283">
        <f>IFERROR(__xludf.DUMMYFUNCTION("""COMPUTED_VALUE"""),2.5)</f>
        <v>2.5</v>
      </c>
      <c r="S174" s="284">
        <f>IFERROR(__xludf.DUMMYFUNCTION("""COMPUTED_VALUE"""),2.4)</f>
        <v>2.4</v>
      </c>
      <c r="T174" s="283">
        <f>IFERROR(__xludf.DUMMYFUNCTION("""COMPUTED_VALUE"""),1.3)</f>
        <v>1.3</v>
      </c>
      <c r="U174" s="283">
        <f>IFERROR(__xludf.DUMMYFUNCTION("""COMPUTED_VALUE"""),0.4)</f>
        <v>0.4</v>
      </c>
      <c r="V174" s="280">
        <f>IFERROR(__xludf.DUMMYFUNCTION("""COMPUTED_VALUE"""),0.472)</f>
        <v>0.472</v>
      </c>
      <c r="W174" s="280">
        <f>IFERROR(__xludf.DUMMYFUNCTION("""COMPUTED_VALUE"""),0.835)</f>
        <v>0.835</v>
      </c>
      <c r="X174" s="280">
        <f>IFERROR(__xludf.DUMMYFUNCTION("""COMPUTED_VALUE"""),1.1)</f>
        <v>1.1</v>
      </c>
      <c r="Y174" s="283">
        <f>IFERROR(__xludf.DUMMYFUNCTION("""COMPUTED_VALUE"""),-1.945016889528357)</f>
        <v>-1.94501689</v>
      </c>
      <c r="Z174" s="281">
        <f>IFERROR(__xludf.DUMMYFUNCTION("""COMPUTED_VALUE"""),-0.44687069366480203)</f>
        <v>-0.4468706937</v>
      </c>
      <c r="AA174" s="281">
        <f>IFERROR(__xludf.DUMMYFUNCTION("""COMPUTED_VALUE"""),-1.3999398277647324)</f>
        <v>-1.399939828</v>
      </c>
      <c r="AB174" s="281">
        <f>IFERROR(__xludf.DUMMYFUNCTION("""COMPUTED_VALUE"""),-0.6997201695955381)</f>
        <v>-0.6997201696</v>
      </c>
      <c r="AC174" s="281">
        <f>IFERROR(__xludf.DUMMYFUNCTION("""COMPUTED_VALUE"""),1.0749343021191105)</f>
        <v>1.074934302</v>
      </c>
      <c r="AD174" s="281">
        <f>IFERROR(__xludf.DUMMYFUNCTION("""COMPUTED_VALUE"""),-0.6155173428439339)</f>
        <v>-0.6155173428</v>
      </c>
      <c r="AE174" s="281">
        <f>IFERROR(__xludf.DUMMYFUNCTION("""COMPUTED_VALUE"""),-0.1399695078427542)</f>
        <v>-0.1399695078</v>
      </c>
      <c r="AF174" s="281">
        <f>IFERROR(__xludf.DUMMYFUNCTION("""COMPUTED_VALUE"""),0.14196162716875743)</f>
        <v>0.1419616272</v>
      </c>
      <c r="AG174" s="281">
        <f>IFERROR(__xludf.DUMMYFUNCTION("""COMPUTED_VALUE"""),0.16085774474756667)</f>
        <v>0.1608577447</v>
      </c>
      <c r="AH174" s="285"/>
      <c r="AI174" s="273"/>
      <c r="AJ174" s="340"/>
      <c r="AK174" s="341"/>
      <c r="AL174" s="273"/>
      <c r="AM174" s="273"/>
      <c r="AN174" s="273"/>
      <c r="AO174" s="273"/>
      <c r="AP174" s="273"/>
      <c r="AQ174" s="273"/>
      <c r="AR174" s="273"/>
      <c r="AS174" s="273"/>
      <c r="AT174" s="273"/>
      <c r="AU174" s="273"/>
      <c r="AV174" s="273"/>
      <c r="AW174" s="273"/>
      <c r="AX174" s="273"/>
      <c r="AY174" s="273"/>
      <c r="AZ174" s="273"/>
      <c r="BA174" s="273"/>
      <c r="BB174" s="273"/>
      <c r="BC174" s="273"/>
      <c r="BD174" s="273"/>
      <c r="BE174" s="273"/>
      <c r="BF174" s="273"/>
      <c r="BG174" s="273"/>
      <c r="BH174" s="273"/>
      <c r="BI174" s="273"/>
      <c r="BJ174" s="273"/>
      <c r="BK174" s="273"/>
      <c r="BL174" s="273"/>
      <c r="BM174" s="273"/>
      <c r="BN174" s="273"/>
      <c r="BO174" s="273"/>
      <c r="BP174" s="273"/>
      <c r="BQ174" s="273"/>
      <c r="BR174" s="273"/>
      <c r="BS174" s="273"/>
      <c r="BT174" s="273"/>
      <c r="BU174" s="273"/>
      <c r="BV174" s="273"/>
      <c r="BW174" s="273"/>
    </row>
    <row r="175">
      <c r="A175" s="276">
        <f>VLOOKUP($F175,UpdateHashtag!$V$3:$Y$32,COLUMN(B$15),0)</f>
        <v>4</v>
      </c>
      <c r="B175" s="259">
        <f>VLOOKUP($F175,UpdateHashtag!$V$3:$Y$32,COLUMN(C$13),0)</f>
        <v>3</v>
      </c>
      <c r="C175" s="259">
        <f>VLOOKUP($F175,UpdateHashtag!$V$3:$Y$32,COLUMN(D$13),0)</f>
        <v>4</v>
      </c>
      <c r="D175" s="277">
        <f t="shared" si="4"/>
        <v>11</v>
      </c>
      <c r="E175" s="21"/>
      <c r="F175" s="261" t="str">
        <f>VLOOKUP(J175,UpdateBBM!$C$2:E1015,3,0)</f>
        <v>SAC</v>
      </c>
      <c r="G175" s="248">
        <v>156.0</v>
      </c>
      <c r="H175" s="278">
        <f>IFERROR(__xludf.DUMMYFUNCTION("""COMPUTED_VALUE"""),156.0)</f>
        <v>156</v>
      </c>
      <c r="I175" s="278">
        <f>IFERROR(__xludf.DUMMYFUNCTION("""COMPUTED_VALUE"""),129.5)</f>
        <v>129.5</v>
      </c>
      <c r="J175" s="279" t="str">
        <f>IFERROR(__xludf.DUMMYFUNCTION("""COMPUTED_VALUE"""),"Malik Monk")</f>
        <v>Malik Monk</v>
      </c>
      <c r="K175" s="278">
        <f>IFERROR(__xludf.DUMMYFUNCTION("""COMPUTED_VALUE"""),48.0)</f>
        <v>48</v>
      </c>
      <c r="L175" s="280" t="str">
        <f>IFERROR(__xludf.DUMMYFUNCTION("""COMPUTED_VALUE"""),"SG,SF")</f>
        <v>SG,SF</v>
      </c>
      <c r="M175" s="281">
        <f>IFERROR(__xludf.DUMMYFUNCTION("""COMPUTED_VALUE"""),-1.9899406984629044)</f>
        <v>-1.989940698</v>
      </c>
      <c r="N175" s="281">
        <f>IFERROR(__xludf.DUMMYFUNCTION("""COMPUTED_VALUE"""),-1.9899406984629044)</f>
        <v>-1.989940698</v>
      </c>
      <c r="O175" s="282">
        <f>IFERROR(__xludf.DUMMYFUNCTION("""COMPUTED_VALUE"""),0.0)</f>
        <v>0</v>
      </c>
      <c r="P175" s="283">
        <f>IFERROR(__xludf.DUMMYFUNCTION("""COMPUTED_VALUE"""),14.5)</f>
        <v>14.5</v>
      </c>
      <c r="Q175" s="283">
        <f>IFERROR(__xludf.DUMMYFUNCTION("""COMPUTED_VALUE"""),2.0)</f>
        <v>2</v>
      </c>
      <c r="R175" s="283">
        <f>IFERROR(__xludf.DUMMYFUNCTION("""COMPUTED_VALUE"""),2.8)</f>
        <v>2.8</v>
      </c>
      <c r="S175" s="284">
        <f>IFERROR(__xludf.DUMMYFUNCTION("""COMPUTED_VALUE"""),4.5)</f>
        <v>4.5</v>
      </c>
      <c r="T175" s="283">
        <f>IFERROR(__xludf.DUMMYFUNCTION("""COMPUTED_VALUE"""),0.6)</f>
        <v>0.6</v>
      </c>
      <c r="U175" s="283">
        <f>IFERROR(__xludf.DUMMYFUNCTION("""COMPUTED_VALUE"""),0.4)</f>
        <v>0.4</v>
      </c>
      <c r="V175" s="280">
        <f>IFERROR(__xludf.DUMMYFUNCTION("""COMPUTED_VALUE"""),0.446)</f>
        <v>0.446</v>
      </c>
      <c r="W175" s="280">
        <f>IFERROR(__xludf.DUMMYFUNCTION("""COMPUTED_VALUE"""),0.86)</f>
        <v>0.86</v>
      </c>
      <c r="X175" s="280">
        <f>IFERROR(__xludf.DUMMYFUNCTION("""COMPUTED_VALUE"""),2.0)</f>
        <v>2</v>
      </c>
      <c r="Y175" s="283">
        <f>IFERROR(__xludf.DUMMYFUNCTION("""COMPUTED_VALUE"""),-0.5359623363935906)</f>
        <v>-0.5359623364</v>
      </c>
      <c r="Z175" s="281">
        <f>IFERROR(__xludf.DUMMYFUNCTION("""COMPUTED_VALUE"""),0.2497993995559884)</f>
        <v>0.2497993996</v>
      </c>
      <c r="AA175" s="281">
        <f>IFERROR(__xludf.DUMMYFUNCTION("""COMPUTED_VALUE"""),-1.282260714389816)</f>
        <v>-1.282260714</v>
      </c>
      <c r="AB175" s="281">
        <f>IFERROR(__xludf.DUMMYFUNCTION("""COMPUTED_VALUE"""),0.25707700926925386)</f>
        <v>0.2570770093</v>
      </c>
      <c r="AC175" s="281">
        <f>IFERROR(__xludf.DUMMYFUNCTION("""COMPUTED_VALUE"""),-1.2485944449972455)</f>
        <v>-1.248594445</v>
      </c>
      <c r="AD175" s="281">
        <f>IFERROR(__xludf.DUMMYFUNCTION("""COMPUTED_VALUE"""),-0.6155173428439339)</f>
        <v>-0.6155173428</v>
      </c>
      <c r="AE175" s="281">
        <f>IFERROR(__xludf.DUMMYFUNCTION("""COMPUTED_VALUE"""),-0.6798086520615412)</f>
        <v>-0.6798086521</v>
      </c>
      <c r="AF175" s="281">
        <f>IFERROR(__xludf.DUMMYFUNCTION("""COMPUTED_VALUE"""),0.6453918455444777)</f>
        <v>0.6453918455</v>
      </c>
      <c r="AG175" s="281">
        <f>IFERROR(__xludf.DUMMYFUNCTION("""COMPUTED_VALUE"""),-0.062326176536313206)</f>
        <v>-0.06232617654</v>
      </c>
      <c r="AH175" s="285"/>
      <c r="AI175" s="273"/>
      <c r="AJ175" s="340"/>
      <c r="AK175" s="341"/>
      <c r="AL175" s="273"/>
      <c r="AM175" s="273"/>
      <c r="AN175" s="273"/>
      <c r="AO175" s="273"/>
      <c r="AP175" s="273"/>
      <c r="AQ175" s="273"/>
      <c r="AR175" s="273"/>
      <c r="AS175" s="273"/>
      <c r="AT175" s="273"/>
      <c r="AU175" s="273"/>
      <c r="AV175" s="273"/>
      <c r="AW175" s="273"/>
      <c r="AX175" s="273"/>
      <c r="AY175" s="273"/>
      <c r="AZ175" s="273"/>
      <c r="BA175" s="273"/>
      <c r="BB175" s="273"/>
      <c r="BC175" s="273"/>
      <c r="BD175" s="273"/>
      <c r="BE175" s="273"/>
      <c r="BF175" s="273"/>
      <c r="BG175" s="273"/>
      <c r="BH175" s="273"/>
      <c r="BI175" s="273"/>
      <c r="BJ175" s="273"/>
      <c r="BK175" s="273"/>
      <c r="BL175" s="273"/>
      <c r="BM175" s="273"/>
      <c r="BN175" s="273"/>
      <c r="BO175" s="273"/>
      <c r="BP175" s="273"/>
      <c r="BQ175" s="273"/>
      <c r="BR175" s="273"/>
      <c r="BS175" s="273"/>
      <c r="BT175" s="273"/>
      <c r="BU175" s="273"/>
      <c r="BV175" s="273"/>
      <c r="BW175" s="273"/>
    </row>
    <row r="176">
      <c r="A176" s="259" t="str">
        <f>VLOOKUP($F176,UpdateHashtag!$V$3:$Y$32,COLUMN(B$15),0)</f>
        <v>#N/A</v>
      </c>
      <c r="B176" s="259" t="str">
        <f>VLOOKUP($F176,UpdateHashtag!$V$3:$Y$32,COLUMN(C$13),0)</f>
        <v>#N/A</v>
      </c>
      <c r="C176" s="259" t="str">
        <f>VLOOKUP($F176,UpdateHashtag!$V$3:$Y$32,COLUMN(D$13),0)</f>
        <v>#N/A</v>
      </c>
      <c r="D176" s="329" t="str">
        <f t="shared" si="4"/>
        <v>#N/A</v>
      </c>
      <c r="E176" s="21"/>
      <c r="F176" s="261" t="str">
        <f>VLOOKUP(J176,UpdateBBM!$C$2:E1015,3,0)</f>
        <v>#N/A</v>
      </c>
      <c r="G176" s="248">
        <v>157.0</v>
      </c>
      <c r="H176" s="278"/>
      <c r="I176" s="278"/>
      <c r="J176" s="279"/>
      <c r="K176" s="278"/>
      <c r="L176" s="280"/>
      <c r="M176" s="281"/>
      <c r="N176" s="281"/>
      <c r="O176" s="282"/>
      <c r="P176" s="283"/>
      <c r="Q176" s="283"/>
      <c r="R176" s="283"/>
      <c r="S176" s="284"/>
      <c r="T176" s="283"/>
      <c r="U176" s="283"/>
      <c r="V176" s="280"/>
      <c r="W176" s="280"/>
      <c r="X176" s="280"/>
      <c r="Y176" s="283"/>
      <c r="Z176" s="351"/>
      <c r="AA176" s="351"/>
      <c r="AB176" s="351"/>
      <c r="AC176" s="351"/>
      <c r="AD176" s="351"/>
      <c r="AE176" s="351"/>
      <c r="AF176" s="351"/>
      <c r="AG176" s="351"/>
      <c r="AH176" s="285"/>
      <c r="AI176" s="273"/>
      <c r="AJ176" s="340"/>
      <c r="AK176" s="341"/>
      <c r="AL176" s="273"/>
      <c r="AM176" s="273"/>
      <c r="AN176" s="273"/>
      <c r="AO176" s="273"/>
      <c r="AP176" s="273"/>
      <c r="AQ176" s="273"/>
      <c r="AR176" s="273"/>
      <c r="AS176" s="273"/>
      <c r="AT176" s="273"/>
      <c r="AU176" s="273"/>
      <c r="AV176" s="273"/>
      <c r="AW176" s="273"/>
      <c r="AX176" s="273"/>
      <c r="AY176" s="273"/>
      <c r="AZ176" s="273"/>
      <c r="BA176" s="273"/>
      <c r="BB176" s="273"/>
      <c r="BC176" s="273"/>
      <c r="BD176" s="273"/>
      <c r="BE176" s="273"/>
      <c r="BF176" s="273"/>
      <c r="BG176" s="273"/>
      <c r="BH176" s="273"/>
      <c r="BI176" s="273"/>
      <c r="BJ176" s="273"/>
      <c r="BK176" s="273"/>
      <c r="BL176" s="273"/>
      <c r="BM176" s="273"/>
      <c r="BN176" s="273"/>
      <c r="BO176" s="273"/>
      <c r="BP176" s="273"/>
      <c r="BQ176" s="273"/>
      <c r="BR176" s="273"/>
      <c r="BS176" s="273"/>
      <c r="BT176" s="273"/>
      <c r="BU176" s="273"/>
      <c r="BV176" s="273"/>
      <c r="BW176" s="273"/>
    </row>
    <row r="177">
      <c r="A177" s="259" t="str">
        <f>VLOOKUP($F177,UpdateHashtag!$V$3:$Y$32,COLUMN(B$15),0)</f>
        <v>#N/A</v>
      </c>
      <c r="B177" s="259" t="str">
        <f>VLOOKUP($F177,UpdateHashtag!$V$3:$Y$32,COLUMN(C$13),0)</f>
        <v>#N/A</v>
      </c>
      <c r="C177" s="259" t="str">
        <f>VLOOKUP($F177,UpdateHashtag!$V$3:$Y$32,COLUMN(D$13),0)</f>
        <v>#N/A</v>
      </c>
      <c r="D177" s="329" t="str">
        <f t="shared" si="4"/>
        <v>#N/A</v>
      </c>
      <c r="E177" s="21"/>
      <c r="F177" s="261" t="str">
        <f>VLOOKUP(J177,UpdateBBM!$C$2:E1015,3,0)</f>
        <v>#N/A</v>
      </c>
      <c r="G177" s="248">
        <v>158.0</v>
      </c>
      <c r="H177" s="278"/>
      <c r="I177" s="278"/>
      <c r="J177" s="279"/>
      <c r="K177" s="278"/>
      <c r="L177" s="280"/>
      <c r="M177" s="281"/>
      <c r="N177" s="281"/>
      <c r="O177" s="282"/>
      <c r="P177" s="283"/>
      <c r="Q177" s="283"/>
      <c r="R177" s="283"/>
      <c r="S177" s="284"/>
      <c r="T177" s="283"/>
      <c r="U177" s="283"/>
      <c r="V177" s="280"/>
      <c r="W177" s="280"/>
      <c r="X177" s="280"/>
      <c r="Y177" s="283"/>
      <c r="Z177" s="351"/>
      <c r="AA177" s="351"/>
      <c r="AB177" s="351"/>
      <c r="AC177" s="351"/>
      <c r="AD177" s="351"/>
      <c r="AE177" s="351"/>
      <c r="AF177" s="351"/>
      <c r="AG177" s="351"/>
      <c r="AH177" s="285"/>
      <c r="AI177" s="273"/>
      <c r="AJ177" s="340"/>
      <c r="AK177" s="341"/>
      <c r="AL177" s="273"/>
      <c r="AM177" s="273"/>
      <c r="AN177" s="273"/>
      <c r="AO177" s="273"/>
      <c r="AP177" s="273"/>
      <c r="AQ177" s="273"/>
      <c r="AR177" s="273"/>
      <c r="AS177" s="273"/>
      <c r="AT177" s="273"/>
      <c r="AU177" s="273"/>
      <c r="AV177" s="273"/>
      <c r="AW177" s="273"/>
      <c r="AX177" s="273"/>
      <c r="AY177" s="273"/>
      <c r="AZ177" s="273"/>
      <c r="BA177" s="273"/>
      <c r="BB177" s="273"/>
      <c r="BC177" s="273"/>
      <c r="BD177" s="273"/>
      <c r="BE177" s="273"/>
      <c r="BF177" s="273"/>
      <c r="BG177" s="273"/>
      <c r="BH177" s="273"/>
      <c r="BI177" s="273"/>
      <c r="BJ177" s="273"/>
      <c r="BK177" s="273"/>
      <c r="BL177" s="273"/>
      <c r="BM177" s="273"/>
      <c r="BN177" s="273"/>
      <c r="BO177" s="273"/>
      <c r="BP177" s="273"/>
      <c r="BQ177" s="273"/>
      <c r="BR177" s="273"/>
      <c r="BS177" s="273"/>
      <c r="BT177" s="273"/>
      <c r="BU177" s="273"/>
      <c r="BV177" s="273"/>
      <c r="BW177" s="273"/>
    </row>
    <row r="178">
      <c r="A178" s="259" t="str">
        <f>VLOOKUP($F178,UpdateHashtag!$V$3:$Y$32,COLUMN(B$15),0)</f>
        <v>#N/A</v>
      </c>
      <c r="B178" s="259" t="str">
        <f>VLOOKUP($F178,UpdateHashtag!$V$3:$Y$32,COLUMN(C$13),0)</f>
        <v>#N/A</v>
      </c>
      <c r="C178" s="259" t="str">
        <f>VLOOKUP($F178,UpdateHashtag!$V$3:$Y$32,COLUMN(D$13),0)</f>
        <v>#N/A</v>
      </c>
      <c r="D178" s="329" t="str">
        <f t="shared" si="4"/>
        <v>#N/A</v>
      </c>
      <c r="E178" s="21"/>
      <c r="F178" s="261" t="str">
        <f>VLOOKUP(J178,UpdateBBM!$C$2:E1015,3,0)</f>
        <v>#N/A</v>
      </c>
      <c r="G178" s="248">
        <v>159.0</v>
      </c>
      <c r="H178" s="278"/>
      <c r="I178" s="278"/>
      <c r="J178" s="279"/>
      <c r="K178" s="278"/>
      <c r="L178" s="280"/>
      <c r="M178" s="281"/>
      <c r="N178" s="281"/>
      <c r="O178" s="282"/>
      <c r="P178" s="283"/>
      <c r="Q178" s="283"/>
      <c r="R178" s="283"/>
      <c r="S178" s="284"/>
      <c r="T178" s="283"/>
      <c r="U178" s="283"/>
      <c r="V178" s="280"/>
      <c r="W178" s="280"/>
      <c r="X178" s="280"/>
      <c r="Y178" s="283"/>
      <c r="Z178" s="351"/>
      <c r="AA178" s="351"/>
      <c r="AB178" s="351"/>
      <c r="AC178" s="351"/>
      <c r="AD178" s="351"/>
      <c r="AE178" s="351"/>
      <c r="AF178" s="351"/>
      <c r="AG178" s="351"/>
      <c r="AH178" s="285"/>
      <c r="AI178" s="273"/>
      <c r="AJ178" s="340"/>
      <c r="AK178" s="341"/>
      <c r="AL178" s="273"/>
      <c r="AM178" s="273"/>
      <c r="AN178" s="273"/>
      <c r="AO178" s="273"/>
      <c r="AP178" s="273"/>
      <c r="AQ178" s="273"/>
      <c r="AR178" s="273"/>
      <c r="AS178" s="273"/>
      <c r="AT178" s="273"/>
      <c r="AU178" s="273"/>
      <c r="AV178" s="273"/>
      <c r="AW178" s="273"/>
      <c r="AX178" s="273"/>
      <c r="AY178" s="273"/>
      <c r="AZ178" s="273"/>
      <c r="BA178" s="273"/>
      <c r="BB178" s="273"/>
      <c r="BC178" s="273"/>
      <c r="BD178" s="273"/>
      <c r="BE178" s="273"/>
      <c r="BF178" s="273"/>
      <c r="BG178" s="273"/>
      <c r="BH178" s="273"/>
      <c r="BI178" s="273"/>
      <c r="BJ178" s="273"/>
      <c r="BK178" s="273"/>
      <c r="BL178" s="273"/>
      <c r="BM178" s="273"/>
      <c r="BN178" s="273"/>
      <c r="BO178" s="273"/>
      <c r="BP178" s="273"/>
      <c r="BQ178" s="273"/>
      <c r="BR178" s="273"/>
      <c r="BS178" s="273"/>
      <c r="BT178" s="273"/>
      <c r="BU178" s="273"/>
      <c r="BV178" s="273"/>
      <c r="BW178" s="273"/>
    </row>
    <row r="179">
      <c r="A179" s="259" t="str">
        <f>VLOOKUP($F179,UpdateHashtag!$V$3:$Y$32,COLUMN(B$15),0)</f>
        <v>#N/A</v>
      </c>
      <c r="B179" s="259" t="str">
        <f>VLOOKUP($F179,UpdateHashtag!$V$3:$Y$32,COLUMN(C$13),0)</f>
        <v>#N/A</v>
      </c>
      <c r="C179" s="259" t="str">
        <f>VLOOKUP($F179,UpdateHashtag!$V$3:$Y$32,COLUMN(D$13),0)</f>
        <v>#N/A</v>
      </c>
      <c r="D179" s="329" t="str">
        <f t="shared" si="4"/>
        <v>#N/A</v>
      </c>
      <c r="E179" s="21"/>
      <c r="F179" s="261" t="str">
        <f>VLOOKUP(J179,UpdateBBM!$C$2:E1015,3,0)</f>
        <v>#N/A</v>
      </c>
      <c r="G179" s="248">
        <v>160.0</v>
      </c>
      <c r="H179" s="278"/>
      <c r="I179" s="278"/>
      <c r="J179" s="279"/>
      <c r="K179" s="278"/>
      <c r="L179" s="280"/>
      <c r="M179" s="281"/>
      <c r="N179" s="281"/>
      <c r="O179" s="282"/>
      <c r="P179" s="283"/>
      <c r="Q179" s="283"/>
      <c r="R179" s="283"/>
      <c r="S179" s="284"/>
      <c r="T179" s="283"/>
      <c r="U179" s="283"/>
      <c r="V179" s="280"/>
      <c r="W179" s="280"/>
      <c r="X179" s="280"/>
      <c r="Y179" s="283"/>
      <c r="Z179" s="351"/>
      <c r="AA179" s="351"/>
      <c r="AB179" s="351"/>
      <c r="AC179" s="351"/>
      <c r="AD179" s="351"/>
      <c r="AE179" s="351"/>
      <c r="AF179" s="351"/>
      <c r="AG179" s="351"/>
      <c r="AH179" s="285"/>
      <c r="AI179" s="273"/>
      <c r="AJ179" s="340"/>
      <c r="AK179" s="341"/>
      <c r="AL179" s="273"/>
      <c r="AM179" s="273"/>
      <c r="AN179" s="273"/>
      <c r="AO179" s="273"/>
      <c r="AP179" s="273"/>
      <c r="AQ179" s="273"/>
      <c r="AR179" s="273"/>
      <c r="AS179" s="273"/>
      <c r="AT179" s="273"/>
      <c r="AU179" s="273"/>
      <c r="AV179" s="273"/>
      <c r="AW179" s="273"/>
      <c r="AX179" s="273"/>
      <c r="AY179" s="273"/>
      <c r="AZ179" s="273"/>
      <c r="BA179" s="273"/>
      <c r="BB179" s="273"/>
      <c r="BC179" s="273"/>
      <c r="BD179" s="273"/>
      <c r="BE179" s="273"/>
      <c r="BF179" s="273"/>
      <c r="BG179" s="273"/>
      <c r="BH179" s="273"/>
      <c r="BI179" s="273"/>
      <c r="BJ179" s="273"/>
      <c r="BK179" s="273"/>
      <c r="BL179" s="273"/>
      <c r="BM179" s="273"/>
      <c r="BN179" s="273"/>
      <c r="BO179" s="273"/>
      <c r="BP179" s="273"/>
      <c r="BQ179" s="273"/>
      <c r="BR179" s="273"/>
      <c r="BS179" s="273"/>
      <c r="BT179" s="273"/>
      <c r="BU179" s="273"/>
      <c r="BV179" s="273"/>
      <c r="BW179" s="273"/>
    </row>
    <row r="180">
      <c r="A180" s="259" t="str">
        <f>VLOOKUP($F180,UpdateHashtag!$V$3:$Y$32,COLUMN(B$15),0)</f>
        <v>#N/A</v>
      </c>
      <c r="B180" s="259" t="str">
        <f>VLOOKUP($F180,UpdateHashtag!$V$3:$Y$32,COLUMN(C$13),0)</f>
        <v>#N/A</v>
      </c>
      <c r="C180" s="259" t="str">
        <f>VLOOKUP($F180,UpdateHashtag!$V$3:$Y$32,COLUMN(D$13),0)</f>
        <v>#N/A</v>
      </c>
      <c r="D180" s="329" t="str">
        <f t="shared" si="4"/>
        <v>#N/A</v>
      </c>
      <c r="E180" s="21"/>
      <c r="F180" s="261" t="str">
        <f>VLOOKUP(J180,UpdateBBM!$C$2:E1015,3,0)</f>
        <v>#N/A</v>
      </c>
      <c r="G180" s="248">
        <v>161.0</v>
      </c>
      <c r="H180" s="278"/>
      <c r="I180" s="278"/>
      <c r="J180" s="279"/>
      <c r="K180" s="278"/>
      <c r="L180" s="280"/>
      <c r="M180" s="281"/>
      <c r="N180" s="281"/>
      <c r="O180" s="282"/>
      <c r="P180" s="283"/>
      <c r="Q180" s="283"/>
      <c r="R180" s="283"/>
      <c r="S180" s="284"/>
      <c r="T180" s="283"/>
      <c r="U180" s="283"/>
      <c r="V180" s="280"/>
      <c r="W180" s="280"/>
      <c r="X180" s="280"/>
      <c r="Y180" s="283"/>
      <c r="Z180" s="351"/>
      <c r="AA180" s="351"/>
      <c r="AB180" s="351"/>
      <c r="AC180" s="351"/>
      <c r="AD180" s="351"/>
      <c r="AE180" s="351"/>
      <c r="AF180" s="351"/>
      <c r="AG180" s="351"/>
      <c r="AH180" s="285"/>
      <c r="AI180" s="273"/>
      <c r="AJ180" s="340"/>
      <c r="AK180" s="341"/>
      <c r="AL180" s="273"/>
      <c r="AM180" s="273"/>
      <c r="AN180" s="273"/>
      <c r="AO180" s="273"/>
      <c r="AP180" s="273"/>
      <c r="AQ180" s="273"/>
      <c r="AR180" s="273"/>
      <c r="AS180" s="273"/>
      <c r="AT180" s="273"/>
      <c r="AU180" s="273"/>
      <c r="AV180" s="273"/>
      <c r="AW180" s="273"/>
      <c r="AX180" s="273"/>
      <c r="AY180" s="273"/>
      <c r="AZ180" s="273"/>
      <c r="BA180" s="273"/>
      <c r="BB180" s="273"/>
      <c r="BC180" s="273"/>
      <c r="BD180" s="273"/>
      <c r="BE180" s="273"/>
      <c r="BF180" s="273"/>
      <c r="BG180" s="273"/>
      <c r="BH180" s="273"/>
      <c r="BI180" s="273"/>
      <c r="BJ180" s="273"/>
      <c r="BK180" s="273"/>
      <c r="BL180" s="273"/>
      <c r="BM180" s="273"/>
      <c r="BN180" s="273"/>
      <c r="BO180" s="273"/>
      <c r="BP180" s="273"/>
      <c r="BQ180" s="273"/>
      <c r="BR180" s="273"/>
      <c r="BS180" s="273"/>
      <c r="BT180" s="273"/>
      <c r="BU180" s="273"/>
      <c r="BV180" s="273"/>
      <c r="BW180" s="273"/>
    </row>
    <row r="181">
      <c r="A181" s="259" t="str">
        <f>VLOOKUP($F181,UpdateHashtag!$V$3:$Y$32,COLUMN(B$15),0)</f>
        <v>#N/A</v>
      </c>
      <c r="B181" s="259" t="str">
        <f>VLOOKUP($F181,UpdateHashtag!$V$3:$Y$32,COLUMN(C$13),0)</f>
        <v>#N/A</v>
      </c>
      <c r="C181" s="259" t="str">
        <f>VLOOKUP($F181,UpdateHashtag!$V$3:$Y$32,COLUMN(D$13),0)</f>
        <v>#N/A</v>
      </c>
      <c r="D181" s="329" t="str">
        <f t="shared" si="4"/>
        <v>#N/A</v>
      </c>
      <c r="E181" s="21"/>
      <c r="F181" s="261" t="str">
        <f>VLOOKUP(J181,UpdateBBM!$C$2:E1015,3,0)</f>
        <v>#N/A</v>
      </c>
      <c r="G181" s="248">
        <v>162.0</v>
      </c>
      <c r="H181" s="278"/>
      <c r="I181" s="278"/>
      <c r="J181" s="279"/>
      <c r="K181" s="278"/>
      <c r="L181" s="280"/>
      <c r="M181" s="281"/>
      <c r="N181" s="281"/>
      <c r="O181" s="282"/>
      <c r="P181" s="283"/>
      <c r="Q181" s="283"/>
      <c r="R181" s="283"/>
      <c r="S181" s="284"/>
      <c r="T181" s="283"/>
      <c r="U181" s="283"/>
      <c r="V181" s="280"/>
      <c r="W181" s="280"/>
      <c r="X181" s="280"/>
      <c r="Y181" s="283"/>
      <c r="Z181" s="351"/>
      <c r="AA181" s="351"/>
      <c r="AB181" s="351"/>
      <c r="AC181" s="351"/>
      <c r="AD181" s="351"/>
      <c r="AE181" s="351"/>
      <c r="AF181" s="351"/>
      <c r="AG181" s="351"/>
      <c r="AH181" s="285"/>
      <c r="AI181" s="273"/>
      <c r="AJ181" s="340"/>
      <c r="AK181" s="341"/>
      <c r="AL181" s="273"/>
      <c r="AM181" s="273"/>
      <c r="AN181" s="273"/>
      <c r="AO181" s="273"/>
      <c r="AP181" s="273"/>
      <c r="AQ181" s="273"/>
      <c r="AR181" s="273"/>
      <c r="AS181" s="273"/>
      <c r="AT181" s="273"/>
      <c r="AU181" s="273"/>
      <c r="AV181" s="273"/>
      <c r="AW181" s="273"/>
      <c r="AX181" s="273"/>
      <c r="AY181" s="273"/>
      <c r="AZ181" s="273"/>
      <c r="BA181" s="273"/>
      <c r="BB181" s="273"/>
      <c r="BC181" s="273"/>
      <c r="BD181" s="273"/>
      <c r="BE181" s="273"/>
      <c r="BF181" s="273"/>
      <c r="BG181" s="273"/>
      <c r="BH181" s="273"/>
      <c r="BI181" s="273"/>
      <c r="BJ181" s="273"/>
      <c r="BK181" s="273"/>
      <c r="BL181" s="273"/>
      <c r="BM181" s="273"/>
      <c r="BN181" s="273"/>
      <c r="BO181" s="273"/>
      <c r="BP181" s="273"/>
      <c r="BQ181" s="273"/>
      <c r="BR181" s="273"/>
      <c r="BS181" s="273"/>
      <c r="BT181" s="273"/>
      <c r="BU181" s="273"/>
      <c r="BV181" s="273"/>
      <c r="BW181" s="273"/>
    </row>
    <row r="182">
      <c r="A182" s="259" t="str">
        <f>VLOOKUP($F182,UpdateHashtag!$V$3:$Y$32,COLUMN(B$15),0)</f>
        <v>#N/A</v>
      </c>
      <c r="B182" s="259" t="str">
        <f>VLOOKUP($F182,UpdateHashtag!$V$3:$Y$32,COLUMN(C$13),0)</f>
        <v>#N/A</v>
      </c>
      <c r="C182" s="259" t="str">
        <f>VLOOKUP($F182,UpdateHashtag!$V$3:$Y$32,COLUMN(D$13),0)</f>
        <v>#N/A</v>
      </c>
      <c r="D182" s="329" t="str">
        <f t="shared" si="4"/>
        <v>#N/A</v>
      </c>
      <c r="E182" s="21"/>
      <c r="F182" s="261" t="str">
        <f>VLOOKUP(J182,UpdateBBM!$C$2:E1015,3,0)</f>
        <v>#N/A</v>
      </c>
      <c r="G182" s="248">
        <v>163.0</v>
      </c>
      <c r="H182" s="278"/>
      <c r="I182" s="278"/>
      <c r="J182" s="279"/>
      <c r="K182" s="278"/>
      <c r="L182" s="280"/>
      <c r="M182" s="281"/>
      <c r="N182" s="281"/>
      <c r="O182" s="282"/>
      <c r="P182" s="283"/>
      <c r="Q182" s="283"/>
      <c r="R182" s="283"/>
      <c r="S182" s="284"/>
      <c r="T182" s="283"/>
      <c r="U182" s="283"/>
      <c r="V182" s="280"/>
      <c r="W182" s="280"/>
      <c r="X182" s="280"/>
      <c r="Y182" s="283"/>
      <c r="Z182" s="351"/>
      <c r="AA182" s="351"/>
      <c r="AB182" s="351"/>
      <c r="AC182" s="351"/>
      <c r="AD182" s="351"/>
      <c r="AE182" s="351"/>
      <c r="AF182" s="351"/>
      <c r="AG182" s="351"/>
      <c r="AH182" s="285"/>
      <c r="AI182" s="273"/>
      <c r="AJ182" s="340"/>
      <c r="AK182" s="341"/>
      <c r="AL182" s="273"/>
      <c r="AM182" s="273"/>
      <c r="AN182" s="273"/>
      <c r="AO182" s="273"/>
      <c r="AP182" s="273"/>
      <c r="AQ182" s="273"/>
      <c r="AR182" s="273"/>
      <c r="AS182" s="273"/>
      <c r="AT182" s="273"/>
      <c r="AU182" s="273"/>
      <c r="AV182" s="273"/>
      <c r="AW182" s="273"/>
      <c r="AX182" s="273"/>
      <c r="AY182" s="273"/>
      <c r="AZ182" s="273"/>
      <c r="BA182" s="273"/>
      <c r="BB182" s="273"/>
      <c r="BC182" s="273"/>
      <c r="BD182" s="273"/>
      <c r="BE182" s="273"/>
      <c r="BF182" s="273"/>
      <c r="BG182" s="273"/>
      <c r="BH182" s="273"/>
      <c r="BI182" s="273"/>
      <c r="BJ182" s="273"/>
      <c r="BK182" s="273"/>
      <c r="BL182" s="273"/>
      <c r="BM182" s="273"/>
      <c r="BN182" s="273"/>
      <c r="BO182" s="273"/>
      <c r="BP182" s="273"/>
      <c r="BQ182" s="273"/>
      <c r="BR182" s="273"/>
      <c r="BS182" s="273"/>
      <c r="BT182" s="273"/>
      <c r="BU182" s="273"/>
      <c r="BV182" s="273"/>
      <c r="BW182" s="273"/>
    </row>
    <row r="183">
      <c r="A183" s="259" t="str">
        <f>VLOOKUP($F183,UpdateHashtag!$V$3:$Y$32,COLUMN(B$15),0)</f>
        <v>#N/A</v>
      </c>
      <c r="B183" s="259" t="str">
        <f>VLOOKUP($F183,UpdateHashtag!$V$3:$Y$32,COLUMN(C$13),0)</f>
        <v>#N/A</v>
      </c>
      <c r="C183" s="259" t="str">
        <f>VLOOKUP($F183,UpdateHashtag!$V$3:$Y$32,COLUMN(D$13),0)</f>
        <v>#N/A</v>
      </c>
      <c r="D183" s="329" t="str">
        <f t="shared" si="4"/>
        <v>#N/A</v>
      </c>
      <c r="E183" s="21"/>
      <c r="F183" s="261" t="str">
        <f>VLOOKUP(J183,UpdateBBM!$C$2:E1015,3,0)</f>
        <v>#N/A</v>
      </c>
      <c r="G183" s="248">
        <v>164.0</v>
      </c>
      <c r="H183" s="278"/>
      <c r="I183" s="278"/>
      <c r="J183" s="279"/>
      <c r="K183" s="278"/>
      <c r="L183" s="280"/>
      <c r="M183" s="281"/>
      <c r="N183" s="281"/>
      <c r="O183" s="282"/>
      <c r="P183" s="283"/>
      <c r="Q183" s="283"/>
      <c r="R183" s="283"/>
      <c r="S183" s="284"/>
      <c r="T183" s="283"/>
      <c r="U183" s="283"/>
      <c r="V183" s="280"/>
      <c r="W183" s="280"/>
      <c r="X183" s="280"/>
      <c r="Y183" s="283"/>
      <c r="Z183" s="351"/>
      <c r="AA183" s="351"/>
      <c r="AB183" s="351"/>
      <c r="AC183" s="351"/>
      <c r="AD183" s="351"/>
      <c r="AE183" s="351"/>
      <c r="AF183" s="351"/>
      <c r="AG183" s="351"/>
      <c r="AH183" s="285"/>
      <c r="AI183" s="273"/>
      <c r="AJ183" s="340"/>
      <c r="AK183" s="341"/>
      <c r="AL183" s="273"/>
      <c r="AM183" s="273"/>
      <c r="AN183" s="273"/>
      <c r="AO183" s="273"/>
      <c r="AP183" s="273"/>
      <c r="AQ183" s="273"/>
      <c r="AR183" s="273"/>
      <c r="AS183" s="273"/>
      <c r="AT183" s="273"/>
      <c r="AU183" s="273"/>
      <c r="AV183" s="273"/>
      <c r="AW183" s="273"/>
      <c r="AX183" s="273"/>
      <c r="AY183" s="273"/>
      <c r="AZ183" s="273"/>
      <c r="BA183" s="273"/>
      <c r="BB183" s="273"/>
      <c r="BC183" s="273"/>
      <c r="BD183" s="273"/>
      <c r="BE183" s="273"/>
      <c r="BF183" s="273"/>
      <c r="BG183" s="273"/>
      <c r="BH183" s="273"/>
      <c r="BI183" s="273"/>
      <c r="BJ183" s="273"/>
      <c r="BK183" s="273"/>
      <c r="BL183" s="273"/>
      <c r="BM183" s="273"/>
      <c r="BN183" s="273"/>
      <c r="BO183" s="273"/>
      <c r="BP183" s="273"/>
      <c r="BQ183" s="273"/>
      <c r="BR183" s="273"/>
      <c r="BS183" s="273"/>
      <c r="BT183" s="273"/>
      <c r="BU183" s="273"/>
      <c r="BV183" s="273"/>
      <c r="BW183" s="273"/>
    </row>
    <row r="184">
      <c r="A184" s="259" t="str">
        <f>VLOOKUP($F184,UpdateHashtag!$V$3:$Y$32,COLUMN(B$15),0)</f>
        <v>#N/A</v>
      </c>
      <c r="B184" s="259" t="str">
        <f>VLOOKUP($F184,UpdateHashtag!$V$3:$Y$32,COLUMN(C$13),0)</f>
        <v>#N/A</v>
      </c>
      <c r="C184" s="259" t="str">
        <f>VLOOKUP($F184,UpdateHashtag!$V$3:$Y$32,COLUMN(D$13),0)</f>
        <v>#N/A</v>
      </c>
      <c r="D184" s="329" t="str">
        <f t="shared" si="4"/>
        <v>#N/A</v>
      </c>
      <c r="E184" s="21"/>
      <c r="F184" s="261" t="str">
        <f>VLOOKUP(J184,UpdateBBM!$C$2:E1015,3,0)</f>
        <v>#N/A</v>
      </c>
      <c r="G184" s="248">
        <v>165.0</v>
      </c>
      <c r="H184" s="278"/>
      <c r="I184" s="278"/>
      <c r="J184" s="279"/>
      <c r="K184" s="278"/>
      <c r="L184" s="280"/>
      <c r="M184" s="281"/>
      <c r="N184" s="281"/>
      <c r="O184" s="282"/>
      <c r="P184" s="283"/>
      <c r="Q184" s="283"/>
      <c r="R184" s="283"/>
      <c r="S184" s="284"/>
      <c r="T184" s="283"/>
      <c r="U184" s="283"/>
      <c r="V184" s="280"/>
      <c r="W184" s="280"/>
      <c r="X184" s="280"/>
      <c r="Y184" s="283"/>
      <c r="Z184" s="351"/>
      <c r="AA184" s="351"/>
      <c r="AB184" s="351"/>
      <c r="AC184" s="351"/>
      <c r="AD184" s="351"/>
      <c r="AE184" s="351"/>
      <c r="AF184" s="351"/>
      <c r="AG184" s="351"/>
      <c r="AH184" s="285"/>
      <c r="AI184" s="273"/>
      <c r="AJ184" s="340"/>
      <c r="AK184" s="341"/>
      <c r="AL184" s="273"/>
      <c r="AM184" s="273"/>
      <c r="AN184" s="273"/>
      <c r="AO184" s="273"/>
      <c r="AP184" s="273"/>
      <c r="AQ184" s="273"/>
      <c r="AR184" s="273"/>
      <c r="AS184" s="273"/>
      <c r="AT184" s="273"/>
      <c r="AU184" s="273"/>
      <c r="AV184" s="273"/>
      <c r="AW184" s="273"/>
      <c r="AX184" s="273"/>
      <c r="AY184" s="273"/>
      <c r="AZ184" s="273"/>
      <c r="BA184" s="273"/>
      <c r="BB184" s="273"/>
      <c r="BC184" s="273"/>
      <c r="BD184" s="273"/>
      <c r="BE184" s="273"/>
      <c r="BF184" s="273"/>
      <c r="BG184" s="273"/>
      <c r="BH184" s="273"/>
      <c r="BI184" s="273"/>
      <c r="BJ184" s="273"/>
      <c r="BK184" s="273"/>
      <c r="BL184" s="273"/>
      <c r="BM184" s="273"/>
      <c r="BN184" s="273"/>
      <c r="BO184" s="273"/>
      <c r="BP184" s="273"/>
      <c r="BQ184" s="273"/>
      <c r="BR184" s="273"/>
      <c r="BS184" s="273"/>
      <c r="BT184" s="273"/>
      <c r="BU184" s="273"/>
      <c r="BV184" s="273"/>
      <c r="BW184" s="273"/>
    </row>
    <row r="185">
      <c r="A185" s="259" t="str">
        <f>VLOOKUP($F185,UpdateHashtag!$V$3:$Y$32,COLUMN(B$15),0)</f>
        <v>#N/A</v>
      </c>
      <c r="B185" s="259" t="str">
        <f>VLOOKUP($F185,UpdateHashtag!$V$3:$Y$32,COLUMN(C$13),0)</f>
        <v>#N/A</v>
      </c>
      <c r="C185" s="259" t="str">
        <f>VLOOKUP($F185,UpdateHashtag!$V$3:$Y$32,COLUMN(D$13),0)</f>
        <v>#N/A</v>
      </c>
      <c r="D185" s="329" t="str">
        <f t="shared" si="4"/>
        <v>#N/A</v>
      </c>
      <c r="E185" s="21"/>
      <c r="F185" s="261" t="str">
        <f>VLOOKUP(J185,UpdateBBM!$C$2:E1015,3,0)</f>
        <v>#N/A</v>
      </c>
      <c r="G185" s="248">
        <v>166.0</v>
      </c>
      <c r="H185" s="278"/>
      <c r="I185" s="278"/>
      <c r="J185" s="279"/>
      <c r="K185" s="278"/>
      <c r="L185" s="280"/>
      <c r="M185" s="281"/>
      <c r="N185" s="281"/>
      <c r="O185" s="282"/>
      <c r="P185" s="283"/>
      <c r="Q185" s="283"/>
      <c r="R185" s="283"/>
      <c r="S185" s="284"/>
      <c r="T185" s="283"/>
      <c r="U185" s="283"/>
      <c r="V185" s="280"/>
      <c r="W185" s="280"/>
      <c r="X185" s="280"/>
      <c r="Y185" s="283"/>
      <c r="Z185" s="351"/>
      <c r="AA185" s="351"/>
      <c r="AB185" s="351"/>
      <c r="AC185" s="351"/>
      <c r="AD185" s="351"/>
      <c r="AE185" s="351"/>
      <c r="AF185" s="351"/>
      <c r="AG185" s="351"/>
      <c r="AH185" s="285"/>
      <c r="AI185" s="273"/>
      <c r="AJ185" s="340"/>
      <c r="AK185" s="341"/>
      <c r="AL185" s="273"/>
      <c r="AM185" s="273"/>
      <c r="AN185" s="273"/>
      <c r="AO185" s="273"/>
      <c r="AP185" s="273"/>
      <c r="AQ185" s="273"/>
      <c r="AR185" s="273"/>
      <c r="AS185" s="273"/>
      <c r="AT185" s="273"/>
      <c r="AU185" s="273"/>
      <c r="AV185" s="273"/>
      <c r="AW185" s="273"/>
      <c r="AX185" s="273"/>
      <c r="AY185" s="273"/>
      <c r="AZ185" s="273"/>
      <c r="BA185" s="273"/>
      <c r="BB185" s="273"/>
      <c r="BC185" s="273"/>
      <c r="BD185" s="273"/>
      <c r="BE185" s="273"/>
      <c r="BF185" s="273"/>
      <c r="BG185" s="273"/>
      <c r="BH185" s="273"/>
      <c r="BI185" s="273"/>
      <c r="BJ185" s="273"/>
      <c r="BK185" s="273"/>
      <c r="BL185" s="273"/>
      <c r="BM185" s="273"/>
      <c r="BN185" s="273"/>
      <c r="BO185" s="273"/>
      <c r="BP185" s="273"/>
      <c r="BQ185" s="273"/>
      <c r="BR185" s="273"/>
      <c r="BS185" s="273"/>
      <c r="BT185" s="273"/>
      <c r="BU185" s="273"/>
      <c r="BV185" s="273"/>
      <c r="BW185" s="273"/>
    </row>
    <row r="186">
      <c r="A186" s="259" t="str">
        <f>VLOOKUP($F186,UpdateHashtag!$V$3:$Y$32,COLUMN(B$15),0)</f>
        <v>#N/A</v>
      </c>
      <c r="B186" s="259" t="str">
        <f>VLOOKUP($F186,UpdateHashtag!$V$3:$Y$32,COLUMN(C$13),0)</f>
        <v>#N/A</v>
      </c>
      <c r="C186" s="259" t="str">
        <f>VLOOKUP($F186,UpdateHashtag!$V$3:$Y$32,COLUMN(D$13),0)</f>
        <v>#N/A</v>
      </c>
      <c r="D186" s="329" t="str">
        <f t="shared" si="4"/>
        <v>#N/A</v>
      </c>
      <c r="E186" s="21"/>
      <c r="F186" s="261" t="str">
        <f>VLOOKUP(J186,UpdateBBM!$C$2:E1015,3,0)</f>
        <v>#N/A</v>
      </c>
      <c r="G186" s="248">
        <v>167.0</v>
      </c>
      <c r="H186" s="278"/>
      <c r="I186" s="278"/>
      <c r="J186" s="279"/>
      <c r="K186" s="278"/>
      <c r="L186" s="280"/>
      <c r="M186" s="281"/>
      <c r="N186" s="281"/>
      <c r="O186" s="282"/>
      <c r="P186" s="283"/>
      <c r="Q186" s="283"/>
      <c r="R186" s="283"/>
      <c r="S186" s="284"/>
      <c r="T186" s="283"/>
      <c r="U186" s="283"/>
      <c r="V186" s="280"/>
      <c r="W186" s="280"/>
      <c r="X186" s="280"/>
      <c r="Y186" s="283"/>
      <c r="Z186" s="351"/>
      <c r="AA186" s="351"/>
      <c r="AB186" s="351"/>
      <c r="AC186" s="351"/>
      <c r="AD186" s="351"/>
      <c r="AE186" s="351"/>
      <c r="AF186" s="351"/>
      <c r="AG186" s="351"/>
      <c r="AH186" s="285"/>
      <c r="AI186" s="273"/>
      <c r="AJ186" s="340"/>
      <c r="AK186" s="341"/>
      <c r="AL186" s="273"/>
      <c r="AM186" s="273"/>
      <c r="AN186" s="273"/>
      <c r="AO186" s="273"/>
      <c r="AP186" s="273"/>
      <c r="AQ186" s="273"/>
      <c r="AR186" s="273"/>
      <c r="AS186" s="273"/>
      <c r="AT186" s="273"/>
      <c r="AU186" s="273"/>
      <c r="AV186" s="273"/>
      <c r="AW186" s="273"/>
      <c r="AX186" s="273"/>
      <c r="AY186" s="273"/>
      <c r="AZ186" s="273"/>
      <c r="BA186" s="273"/>
      <c r="BB186" s="273"/>
      <c r="BC186" s="273"/>
      <c r="BD186" s="273"/>
      <c r="BE186" s="273"/>
      <c r="BF186" s="273"/>
      <c r="BG186" s="273"/>
      <c r="BH186" s="273"/>
      <c r="BI186" s="273"/>
      <c r="BJ186" s="273"/>
      <c r="BK186" s="273"/>
      <c r="BL186" s="273"/>
      <c r="BM186" s="273"/>
      <c r="BN186" s="273"/>
      <c r="BO186" s="273"/>
      <c r="BP186" s="273"/>
      <c r="BQ186" s="273"/>
      <c r="BR186" s="273"/>
      <c r="BS186" s="273"/>
      <c r="BT186" s="273"/>
      <c r="BU186" s="273"/>
      <c r="BV186" s="273"/>
      <c r="BW186" s="273"/>
    </row>
    <row r="187">
      <c r="A187" s="259" t="str">
        <f>VLOOKUP($F187,UpdateHashtag!$V$3:$Y$32,COLUMN(B$15),0)</f>
        <v>#N/A</v>
      </c>
      <c r="B187" s="259" t="str">
        <f>VLOOKUP($F187,UpdateHashtag!$V$3:$Y$32,COLUMN(C$13),0)</f>
        <v>#N/A</v>
      </c>
      <c r="C187" s="259" t="str">
        <f>VLOOKUP($F187,UpdateHashtag!$V$3:$Y$32,COLUMN(D$13),0)</f>
        <v>#N/A</v>
      </c>
      <c r="D187" s="329" t="str">
        <f t="shared" si="4"/>
        <v>#N/A</v>
      </c>
      <c r="E187" s="21"/>
      <c r="F187" s="261" t="str">
        <f>VLOOKUP(J187,UpdateBBM!$C$2:E1015,3,0)</f>
        <v>#N/A</v>
      </c>
      <c r="G187" s="248">
        <v>168.0</v>
      </c>
      <c r="H187" s="278"/>
      <c r="I187" s="278"/>
      <c r="J187" s="279"/>
      <c r="K187" s="278"/>
      <c r="L187" s="280"/>
      <c r="M187" s="281"/>
      <c r="N187" s="281"/>
      <c r="O187" s="282"/>
      <c r="P187" s="283"/>
      <c r="Q187" s="283"/>
      <c r="R187" s="283"/>
      <c r="S187" s="284"/>
      <c r="T187" s="283"/>
      <c r="U187" s="283"/>
      <c r="V187" s="280"/>
      <c r="W187" s="280"/>
      <c r="X187" s="280"/>
      <c r="Y187" s="283"/>
      <c r="Z187" s="351"/>
      <c r="AA187" s="351"/>
      <c r="AB187" s="351"/>
      <c r="AC187" s="351"/>
      <c r="AD187" s="351"/>
      <c r="AE187" s="351"/>
      <c r="AF187" s="351"/>
      <c r="AG187" s="351"/>
      <c r="AH187" s="285"/>
      <c r="AI187" s="273"/>
      <c r="AJ187" s="340"/>
      <c r="AK187" s="341"/>
      <c r="AL187" s="273"/>
      <c r="AM187" s="273"/>
      <c r="AN187" s="273"/>
      <c r="AO187" s="273"/>
      <c r="AP187" s="273"/>
      <c r="AQ187" s="273"/>
      <c r="AR187" s="273"/>
      <c r="AS187" s="273"/>
      <c r="AT187" s="273"/>
      <c r="AU187" s="273"/>
      <c r="AV187" s="273"/>
      <c r="AW187" s="273"/>
      <c r="AX187" s="273"/>
      <c r="AY187" s="273"/>
      <c r="AZ187" s="273"/>
      <c r="BA187" s="273"/>
      <c r="BB187" s="273"/>
      <c r="BC187" s="273"/>
      <c r="BD187" s="273"/>
      <c r="BE187" s="273"/>
      <c r="BF187" s="273"/>
      <c r="BG187" s="273"/>
      <c r="BH187" s="273"/>
      <c r="BI187" s="273"/>
      <c r="BJ187" s="273"/>
      <c r="BK187" s="273"/>
      <c r="BL187" s="273"/>
      <c r="BM187" s="273"/>
      <c r="BN187" s="273"/>
      <c r="BO187" s="273"/>
      <c r="BP187" s="273"/>
      <c r="BQ187" s="273"/>
      <c r="BR187" s="273"/>
      <c r="BS187" s="273"/>
      <c r="BT187" s="273"/>
      <c r="BU187" s="273"/>
      <c r="BV187" s="273"/>
      <c r="BW187" s="273"/>
    </row>
    <row r="188">
      <c r="A188" s="259" t="str">
        <f>VLOOKUP($F188,UpdateHashtag!$V$3:$Y$32,COLUMN(B$15),0)</f>
        <v>#N/A</v>
      </c>
      <c r="B188" s="259" t="str">
        <f>VLOOKUP($F188,UpdateHashtag!$V$3:$Y$32,COLUMN(C$13),0)</f>
        <v>#N/A</v>
      </c>
      <c r="C188" s="259" t="str">
        <f>VLOOKUP($F188,UpdateHashtag!$V$3:$Y$32,COLUMN(D$13),0)</f>
        <v>#N/A</v>
      </c>
      <c r="D188" s="329" t="str">
        <f t="shared" si="4"/>
        <v>#N/A</v>
      </c>
      <c r="E188" s="21"/>
      <c r="F188" s="261" t="str">
        <f>VLOOKUP(J188,UpdateBBM!$C$2:E1015,3,0)</f>
        <v>#N/A</v>
      </c>
      <c r="G188" s="248">
        <v>169.0</v>
      </c>
      <c r="H188" s="278"/>
      <c r="I188" s="278"/>
      <c r="J188" s="279"/>
      <c r="K188" s="278"/>
      <c r="L188" s="280"/>
      <c r="M188" s="281"/>
      <c r="N188" s="282"/>
      <c r="O188" s="282"/>
      <c r="P188" s="283"/>
      <c r="Q188" s="283"/>
      <c r="R188" s="283"/>
      <c r="S188" s="284"/>
      <c r="T188" s="283"/>
      <c r="U188" s="283"/>
      <c r="V188" s="280"/>
      <c r="W188" s="280"/>
      <c r="X188" s="280"/>
      <c r="Y188" s="283"/>
      <c r="Z188" s="351"/>
      <c r="AA188" s="351"/>
      <c r="AB188" s="351"/>
      <c r="AC188" s="351"/>
      <c r="AD188" s="351"/>
      <c r="AE188" s="351"/>
      <c r="AF188" s="351"/>
      <c r="AG188" s="351"/>
      <c r="AH188" s="285"/>
      <c r="AI188" s="273"/>
      <c r="AJ188" s="340"/>
      <c r="AK188" s="341"/>
      <c r="AL188" s="273"/>
      <c r="AM188" s="273"/>
      <c r="AN188" s="273"/>
      <c r="AO188" s="273"/>
      <c r="AP188" s="273"/>
      <c r="AQ188" s="273"/>
      <c r="AR188" s="273"/>
      <c r="AS188" s="273"/>
      <c r="AT188" s="273"/>
      <c r="AU188" s="273"/>
      <c r="AV188" s="273"/>
      <c r="AW188" s="273"/>
      <c r="AX188" s="273"/>
      <c r="AY188" s="273"/>
      <c r="AZ188" s="273"/>
      <c r="BA188" s="273"/>
      <c r="BB188" s="273"/>
      <c r="BC188" s="273"/>
      <c r="BD188" s="273"/>
      <c r="BE188" s="273"/>
      <c r="BF188" s="273"/>
      <c r="BG188" s="273"/>
      <c r="BH188" s="273"/>
      <c r="BI188" s="273"/>
      <c r="BJ188" s="273"/>
      <c r="BK188" s="273"/>
      <c r="BL188" s="273"/>
      <c r="BM188" s="273"/>
      <c r="BN188" s="273"/>
      <c r="BO188" s="273"/>
      <c r="BP188" s="273"/>
      <c r="BQ188" s="273"/>
      <c r="BR188" s="273"/>
      <c r="BS188" s="273"/>
      <c r="BT188" s="273"/>
      <c r="BU188" s="273"/>
      <c r="BV188" s="273"/>
      <c r="BW188" s="273"/>
    </row>
    <row r="189">
      <c r="A189" s="259" t="str">
        <f>VLOOKUP($F189,UpdateHashtag!$V$3:$Y$32,COLUMN(B$15),0)</f>
        <v>#N/A</v>
      </c>
      <c r="B189" s="259" t="str">
        <f>VLOOKUP($F189,UpdateHashtag!$V$3:$Y$32,COLUMN(C$13),0)</f>
        <v>#N/A</v>
      </c>
      <c r="C189" s="259" t="str">
        <f>VLOOKUP($F189,UpdateHashtag!$V$3:$Y$32,COLUMN(D$13),0)</f>
        <v>#N/A</v>
      </c>
      <c r="D189" s="329" t="str">
        <f t="shared" si="4"/>
        <v>#N/A</v>
      </c>
      <c r="E189" s="21"/>
      <c r="F189" s="261" t="str">
        <f>VLOOKUP(J189,UpdateBBM!$C$2:E1015,3,0)</f>
        <v>#N/A</v>
      </c>
      <c r="G189" s="248">
        <v>170.0</v>
      </c>
      <c r="H189" s="278"/>
      <c r="I189" s="278"/>
      <c r="J189" s="279"/>
      <c r="K189" s="278"/>
      <c r="L189" s="280"/>
      <c r="M189" s="281"/>
      <c r="N189" s="282"/>
      <c r="O189" s="282"/>
      <c r="P189" s="283"/>
      <c r="Q189" s="283"/>
      <c r="R189" s="283"/>
      <c r="S189" s="284"/>
      <c r="T189" s="283"/>
      <c r="U189" s="283"/>
      <c r="V189" s="280"/>
      <c r="W189" s="280"/>
      <c r="X189" s="280"/>
      <c r="Y189" s="283"/>
      <c r="Z189" s="351"/>
      <c r="AA189" s="351"/>
      <c r="AB189" s="351"/>
      <c r="AC189" s="351"/>
      <c r="AD189" s="351"/>
      <c r="AE189" s="351"/>
      <c r="AF189" s="351"/>
      <c r="AG189" s="351"/>
      <c r="AH189" s="285"/>
      <c r="AI189" s="273"/>
      <c r="AJ189" s="340"/>
      <c r="AK189" s="341"/>
      <c r="AL189" s="273"/>
      <c r="AM189" s="273"/>
      <c r="AN189" s="273"/>
      <c r="AO189" s="273"/>
      <c r="AP189" s="273"/>
      <c r="AQ189" s="273"/>
      <c r="AR189" s="273"/>
      <c r="AS189" s="273"/>
      <c r="AT189" s="273"/>
      <c r="AU189" s="273"/>
      <c r="AV189" s="273"/>
      <c r="AW189" s="273"/>
      <c r="AX189" s="273"/>
      <c r="AY189" s="273"/>
      <c r="AZ189" s="273"/>
      <c r="BA189" s="273"/>
      <c r="BB189" s="273"/>
      <c r="BC189" s="273"/>
      <c r="BD189" s="273"/>
      <c r="BE189" s="273"/>
      <c r="BF189" s="273"/>
      <c r="BG189" s="273"/>
      <c r="BH189" s="273"/>
      <c r="BI189" s="273"/>
      <c r="BJ189" s="273"/>
      <c r="BK189" s="273"/>
      <c r="BL189" s="273"/>
      <c r="BM189" s="273"/>
      <c r="BN189" s="273"/>
      <c r="BO189" s="273"/>
      <c r="BP189" s="273"/>
      <c r="BQ189" s="273"/>
      <c r="BR189" s="273"/>
      <c r="BS189" s="273"/>
      <c r="BT189" s="273"/>
      <c r="BU189" s="273"/>
      <c r="BV189" s="273"/>
      <c r="BW189" s="273"/>
    </row>
    <row r="190">
      <c r="A190" s="259" t="str">
        <f>VLOOKUP($F190,UpdateHashtag!$V$3:$Y$32,COLUMN(B$15),0)</f>
        <v>#N/A</v>
      </c>
      <c r="B190" s="259" t="str">
        <f>VLOOKUP($F190,UpdateHashtag!$V$3:$Y$32,COLUMN(C$13),0)</f>
        <v>#N/A</v>
      </c>
      <c r="C190" s="259" t="str">
        <f>VLOOKUP($F190,UpdateHashtag!$V$3:$Y$32,COLUMN(D$13),0)</f>
        <v>#N/A</v>
      </c>
      <c r="D190" s="329" t="str">
        <f t="shared" si="4"/>
        <v>#N/A</v>
      </c>
      <c r="E190" s="21"/>
      <c r="F190" s="261" t="str">
        <f>VLOOKUP(J190,UpdateBBM!$C$2:E1015,3,0)</f>
        <v>#N/A</v>
      </c>
      <c r="G190" s="248">
        <v>171.0</v>
      </c>
      <c r="H190" s="278"/>
      <c r="I190" s="278"/>
      <c r="J190" s="279"/>
      <c r="K190" s="278"/>
      <c r="L190" s="280"/>
      <c r="M190" s="281"/>
      <c r="N190" s="282"/>
      <c r="O190" s="282"/>
      <c r="P190" s="283"/>
      <c r="Q190" s="283"/>
      <c r="R190" s="283"/>
      <c r="S190" s="284"/>
      <c r="T190" s="283"/>
      <c r="U190" s="283"/>
      <c r="V190" s="280"/>
      <c r="W190" s="280"/>
      <c r="X190" s="280"/>
      <c r="Y190" s="283"/>
      <c r="Z190" s="351"/>
      <c r="AA190" s="351"/>
      <c r="AB190" s="351"/>
      <c r="AC190" s="351"/>
      <c r="AD190" s="351"/>
      <c r="AE190" s="351"/>
      <c r="AF190" s="351"/>
      <c r="AG190" s="351"/>
      <c r="AH190" s="285"/>
      <c r="AI190" s="273"/>
      <c r="AJ190" s="340"/>
      <c r="AK190" s="341"/>
      <c r="AL190" s="273"/>
      <c r="AM190" s="273"/>
      <c r="AN190" s="273"/>
      <c r="AO190" s="273"/>
      <c r="AP190" s="273"/>
      <c r="AQ190" s="273"/>
      <c r="AR190" s="273"/>
      <c r="AS190" s="273"/>
      <c r="AT190" s="273"/>
      <c r="AU190" s="273"/>
      <c r="AV190" s="273"/>
      <c r="AW190" s="273"/>
      <c r="AX190" s="273"/>
      <c r="AY190" s="273"/>
      <c r="AZ190" s="273"/>
      <c r="BA190" s="273"/>
      <c r="BB190" s="273"/>
      <c r="BC190" s="273"/>
      <c r="BD190" s="273"/>
      <c r="BE190" s="273"/>
      <c r="BF190" s="273"/>
      <c r="BG190" s="273"/>
      <c r="BH190" s="273"/>
      <c r="BI190" s="273"/>
      <c r="BJ190" s="273"/>
      <c r="BK190" s="273"/>
      <c r="BL190" s="273"/>
      <c r="BM190" s="273"/>
      <c r="BN190" s="273"/>
      <c r="BO190" s="273"/>
      <c r="BP190" s="273"/>
      <c r="BQ190" s="273"/>
      <c r="BR190" s="273"/>
      <c r="BS190" s="273"/>
      <c r="BT190" s="273"/>
      <c r="BU190" s="273"/>
      <c r="BV190" s="273"/>
      <c r="BW190" s="273"/>
    </row>
    <row r="191">
      <c r="A191" s="259" t="str">
        <f>VLOOKUP($F191,UpdateHashtag!$V$3:$Y$32,COLUMN(B$15),0)</f>
        <v>#N/A</v>
      </c>
      <c r="B191" s="259" t="str">
        <f>VLOOKUP($F191,UpdateHashtag!$V$3:$Y$32,COLUMN(C$13),0)</f>
        <v>#N/A</v>
      </c>
      <c r="C191" s="259" t="str">
        <f>VLOOKUP($F191,UpdateHashtag!$V$3:$Y$32,COLUMN(D$13),0)</f>
        <v>#N/A</v>
      </c>
      <c r="D191" s="329" t="str">
        <f t="shared" si="4"/>
        <v>#N/A</v>
      </c>
      <c r="E191" s="21"/>
      <c r="F191" s="261" t="str">
        <f>VLOOKUP(J191,UpdateBBM!$C$2:E1015,3,0)</f>
        <v>#N/A</v>
      </c>
      <c r="G191" s="248">
        <v>172.0</v>
      </c>
      <c r="H191" s="278"/>
      <c r="I191" s="278"/>
      <c r="J191" s="279"/>
      <c r="K191" s="278"/>
      <c r="L191" s="280"/>
      <c r="M191" s="281"/>
      <c r="N191" s="282"/>
      <c r="O191" s="282"/>
      <c r="P191" s="283"/>
      <c r="Q191" s="283"/>
      <c r="R191" s="283"/>
      <c r="S191" s="284"/>
      <c r="T191" s="283"/>
      <c r="U191" s="283"/>
      <c r="V191" s="280"/>
      <c r="W191" s="280"/>
      <c r="X191" s="280"/>
      <c r="Y191" s="283"/>
      <c r="Z191" s="351"/>
      <c r="AA191" s="351"/>
      <c r="AB191" s="351"/>
      <c r="AC191" s="351"/>
      <c r="AD191" s="351"/>
      <c r="AE191" s="351"/>
      <c r="AF191" s="351"/>
      <c r="AG191" s="351"/>
      <c r="AH191" s="285"/>
      <c r="AI191" s="273"/>
      <c r="AJ191" s="340"/>
      <c r="AK191" s="341"/>
      <c r="AL191" s="273"/>
      <c r="AM191" s="273"/>
      <c r="AN191" s="273"/>
      <c r="AO191" s="273"/>
      <c r="AP191" s="273"/>
      <c r="AQ191" s="273"/>
      <c r="AR191" s="273"/>
      <c r="AS191" s="273"/>
      <c r="AT191" s="273"/>
      <c r="AU191" s="273"/>
      <c r="AV191" s="273"/>
      <c r="AW191" s="273"/>
      <c r="AX191" s="273"/>
      <c r="AY191" s="273"/>
      <c r="AZ191" s="273"/>
      <c r="BA191" s="273"/>
      <c r="BB191" s="273"/>
      <c r="BC191" s="273"/>
      <c r="BD191" s="273"/>
      <c r="BE191" s="273"/>
      <c r="BF191" s="273"/>
      <c r="BG191" s="273"/>
      <c r="BH191" s="273"/>
      <c r="BI191" s="273"/>
      <c r="BJ191" s="273"/>
      <c r="BK191" s="273"/>
      <c r="BL191" s="273"/>
      <c r="BM191" s="273"/>
      <c r="BN191" s="273"/>
      <c r="BO191" s="273"/>
      <c r="BP191" s="273"/>
      <c r="BQ191" s="273"/>
      <c r="BR191" s="273"/>
      <c r="BS191" s="273"/>
      <c r="BT191" s="273"/>
      <c r="BU191" s="273"/>
      <c r="BV191" s="273"/>
      <c r="BW191" s="273"/>
    </row>
    <row r="192">
      <c r="A192" s="259" t="str">
        <f>VLOOKUP($F192,UpdateHashtag!$V$3:$Y$32,COLUMN(B$15),0)</f>
        <v>#N/A</v>
      </c>
      <c r="B192" s="259" t="str">
        <f>VLOOKUP($F192,UpdateHashtag!$V$3:$Y$32,COLUMN(C$13),0)</f>
        <v>#N/A</v>
      </c>
      <c r="C192" s="259" t="str">
        <f>VLOOKUP($F192,UpdateHashtag!$V$3:$Y$32,COLUMN(D$13),0)</f>
        <v>#N/A</v>
      </c>
      <c r="D192" s="329" t="str">
        <f t="shared" si="4"/>
        <v>#N/A</v>
      </c>
      <c r="E192" s="21"/>
      <c r="F192" s="261" t="str">
        <f>VLOOKUP(J192,UpdateBBM!$C$2:E1015,3,0)</f>
        <v>#N/A</v>
      </c>
      <c r="G192" s="248">
        <v>173.0</v>
      </c>
      <c r="H192" s="278"/>
      <c r="I192" s="278"/>
      <c r="J192" s="279"/>
      <c r="K192" s="278"/>
      <c r="L192" s="280"/>
      <c r="M192" s="281"/>
      <c r="N192" s="282"/>
      <c r="O192" s="282"/>
      <c r="P192" s="283"/>
      <c r="Q192" s="283"/>
      <c r="R192" s="283"/>
      <c r="S192" s="284"/>
      <c r="T192" s="283"/>
      <c r="U192" s="283"/>
      <c r="V192" s="280"/>
      <c r="W192" s="280"/>
      <c r="X192" s="280"/>
      <c r="Y192" s="283"/>
      <c r="Z192" s="351"/>
      <c r="AA192" s="351"/>
      <c r="AB192" s="351"/>
      <c r="AC192" s="351"/>
      <c r="AD192" s="351"/>
      <c r="AE192" s="351"/>
      <c r="AF192" s="351"/>
      <c r="AG192" s="351"/>
      <c r="AH192" s="285"/>
      <c r="AI192" s="273"/>
      <c r="AJ192" s="340"/>
      <c r="AK192" s="341"/>
      <c r="AL192" s="273"/>
      <c r="AM192" s="273"/>
      <c r="AN192" s="273"/>
      <c r="AO192" s="273"/>
      <c r="AP192" s="273"/>
      <c r="AQ192" s="273"/>
      <c r="AR192" s="273"/>
      <c r="AS192" s="273"/>
      <c r="AT192" s="273"/>
      <c r="AU192" s="273"/>
      <c r="AV192" s="273"/>
      <c r="AW192" s="273"/>
      <c r="AX192" s="273"/>
      <c r="AY192" s="273"/>
      <c r="AZ192" s="273"/>
      <c r="BA192" s="273"/>
      <c r="BB192" s="273"/>
      <c r="BC192" s="273"/>
      <c r="BD192" s="273"/>
      <c r="BE192" s="273"/>
      <c r="BF192" s="273"/>
      <c r="BG192" s="273"/>
      <c r="BH192" s="273"/>
      <c r="BI192" s="273"/>
      <c r="BJ192" s="273"/>
      <c r="BK192" s="273"/>
      <c r="BL192" s="273"/>
      <c r="BM192" s="273"/>
      <c r="BN192" s="273"/>
      <c r="BO192" s="273"/>
      <c r="BP192" s="273"/>
      <c r="BQ192" s="273"/>
      <c r="BR192" s="273"/>
      <c r="BS192" s="273"/>
      <c r="BT192" s="273"/>
      <c r="BU192" s="273"/>
      <c r="BV192" s="273"/>
      <c r="BW192" s="273"/>
    </row>
    <row r="193">
      <c r="A193" s="259" t="str">
        <f>VLOOKUP($F193,UpdateHashtag!$V$3:$Y$32,COLUMN(B$15),0)</f>
        <v>#N/A</v>
      </c>
      <c r="B193" s="259" t="str">
        <f>VLOOKUP($F193,UpdateHashtag!$V$3:$Y$32,COLUMN(C$13),0)</f>
        <v>#N/A</v>
      </c>
      <c r="C193" s="259" t="str">
        <f>VLOOKUP($F193,UpdateHashtag!$V$3:$Y$32,COLUMN(D$13),0)</f>
        <v>#N/A</v>
      </c>
      <c r="D193" s="329" t="str">
        <f t="shared" si="4"/>
        <v>#N/A</v>
      </c>
      <c r="E193" s="21"/>
      <c r="F193" s="261" t="str">
        <f>VLOOKUP(J193,UpdateBBM!$C$2:E1015,3,0)</f>
        <v>#N/A</v>
      </c>
      <c r="G193" s="248">
        <v>174.0</v>
      </c>
      <c r="H193" s="278"/>
      <c r="I193" s="278"/>
      <c r="J193" s="279"/>
      <c r="K193" s="278"/>
      <c r="L193" s="280"/>
      <c r="M193" s="281"/>
      <c r="N193" s="282"/>
      <c r="O193" s="282"/>
      <c r="P193" s="283"/>
      <c r="Q193" s="283"/>
      <c r="R193" s="283"/>
      <c r="S193" s="284"/>
      <c r="T193" s="283"/>
      <c r="U193" s="283"/>
      <c r="V193" s="280"/>
      <c r="W193" s="280"/>
      <c r="X193" s="280"/>
      <c r="Y193" s="283"/>
      <c r="Z193" s="351"/>
      <c r="AA193" s="351"/>
      <c r="AB193" s="351"/>
      <c r="AC193" s="351"/>
      <c r="AD193" s="351"/>
      <c r="AE193" s="351"/>
      <c r="AF193" s="351"/>
      <c r="AG193" s="351"/>
      <c r="AH193" s="285"/>
      <c r="AI193" s="273"/>
      <c r="AJ193" s="340"/>
      <c r="AK193" s="341"/>
      <c r="AL193" s="273"/>
      <c r="AM193" s="273"/>
      <c r="AN193" s="273"/>
      <c r="AO193" s="273"/>
      <c r="AP193" s="273"/>
      <c r="AQ193" s="273"/>
      <c r="AR193" s="273"/>
      <c r="AS193" s="273"/>
      <c r="AT193" s="273"/>
      <c r="AU193" s="273"/>
      <c r="AV193" s="273"/>
      <c r="AW193" s="273"/>
      <c r="AX193" s="273"/>
      <c r="AY193" s="273"/>
      <c r="AZ193" s="273"/>
      <c r="BA193" s="273"/>
      <c r="BB193" s="273"/>
      <c r="BC193" s="273"/>
      <c r="BD193" s="273"/>
      <c r="BE193" s="273"/>
      <c r="BF193" s="273"/>
      <c r="BG193" s="273"/>
      <c r="BH193" s="273"/>
      <c r="BI193" s="273"/>
      <c r="BJ193" s="273"/>
      <c r="BK193" s="273"/>
      <c r="BL193" s="273"/>
      <c r="BM193" s="273"/>
      <c r="BN193" s="273"/>
      <c r="BO193" s="273"/>
      <c r="BP193" s="273"/>
      <c r="BQ193" s="273"/>
      <c r="BR193" s="273"/>
      <c r="BS193" s="273"/>
      <c r="BT193" s="273"/>
      <c r="BU193" s="273"/>
      <c r="BV193" s="273"/>
      <c r="BW193" s="273"/>
    </row>
    <row r="194">
      <c r="A194" s="259" t="str">
        <f>VLOOKUP($F194,UpdateHashtag!$V$3:$Y$32,COLUMN(B$15),0)</f>
        <v>#N/A</v>
      </c>
      <c r="B194" s="259" t="str">
        <f>VLOOKUP($F194,UpdateHashtag!$V$3:$Y$32,COLUMN(C$13),0)</f>
        <v>#N/A</v>
      </c>
      <c r="C194" s="259" t="str">
        <f>VLOOKUP($F194,UpdateHashtag!$V$3:$Y$32,COLUMN(D$13),0)</f>
        <v>#N/A</v>
      </c>
      <c r="D194" s="329" t="str">
        <f t="shared" si="4"/>
        <v>#N/A</v>
      </c>
      <c r="E194" s="21"/>
      <c r="F194" s="261" t="str">
        <f>VLOOKUP(J194,UpdateBBM!$C$2:E1015,3,0)</f>
        <v>#N/A</v>
      </c>
      <c r="G194" s="248">
        <v>175.0</v>
      </c>
      <c r="H194" s="278"/>
      <c r="I194" s="278"/>
      <c r="J194" s="279"/>
      <c r="K194" s="278"/>
      <c r="L194" s="280"/>
      <c r="M194" s="281"/>
      <c r="N194" s="282"/>
      <c r="O194" s="282"/>
      <c r="P194" s="283"/>
      <c r="Q194" s="283"/>
      <c r="R194" s="283"/>
      <c r="S194" s="284"/>
      <c r="T194" s="283"/>
      <c r="U194" s="283"/>
      <c r="V194" s="280"/>
      <c r="W194" s="280"/>
      <c r="X194" s="280"/>
      <c r="Y194" s="283"/>
      <c r="Z194" s="351"/>
      <c r="AA194" s="351"/>
      <c r="AB194" s="351"/>
      <c r="AC194" s="351"/>
      <c r="AD194" s="351"/>
      <c r="AE194" s="351"/>
      <c r="AF194" s="351"/>
      <c r="AG194" s="351"/>
      <c r="AH194" s="285"/>
      <c r="AI194" s="273"/>
      <c r="AJ194" s="340"/>
      <c r="AK194" s="341"/>
      <c r="AL194" s="273"/>
      <c r="AM194" s="273"/>
      <c r="AN194" s="273"/>
      <c r="AO194" s="273"/>
      <c r="AP194" s="273"/>
      <c r="AQ194" s="273"/>
      <c r="AR194" s="273"/>
      <c r="AS194" s="273"/>
      <c r="AT194" s="273"/>
      <c r="AU194" s="273"/>
      <c r="AV194" s="273"/>
      <c r="AW194" s="273"/>
      <c r="AX194" s="273"/>
      <c r="AY194" s="273"/>
      <c r="AZ194" s="273"/>
      <c r="BA194" s="273"/>
      <c r="BB194" s="273"/>
      <c r="BC194" s="273"/>
      <c r="BD194" s="273"/>
      <c r="BE194" s="273"/>
      <c r="BF194" s="273"/>
      <c r="BG194" s="273"/>
      <c r="BH194" s="273"/>
      <c r="BI194" s="273"/>
      <c r="BJ194" s="273"/>
      <c r="BK194" s="273"/>
      <c r="BL194" s="273"/>
      <c r="BM194" s="273"/>
      <c r="BN194" s="273"/>
      <c r="BO194" s="273"/>
      <c r="BP194" s="273"/>
      <c r="BQ194" s="273"/>
      <c r="BR194" s="273"/>
      <c r="BS194" s="273"/>
      <c r="BT194" s="273"/>
      <c r="BU194" s="273"/>
      <c r="BV194" s="273"/>
      <c r="BW194" s="273"/>
    </row>
    <row r="195">
      <c r="A195" s="259" t="str">
        <f>VLOOKUP($F195,UpdateHashtag!$V$3:$Y$32,COLUMN(B$15),0)</f>
        <v>#N/A</v>
      </c>
      <c r="B195" s="259" t="str">
        <f>VLOOKUP($F195,UpdateHashtag!$V$3:$Y$32,COLUMN(C$13),0)</f>
        <v>#N/A</v>
      </c>
      <c r="C195" s="259" t="str">
        <f>VLOOKUP($F195,UpdateHashtag!$V$3:$Y$32,COLUMN(D$13),0)</f>
        <v>#N/A</v>
      </c>
      <c r="D195" s="329" t="str">
        <f t="shared" si="4"/>
        <v>#N/A</v>
      </c>
      <c r="E195" s="21"/>
      <c r="F195" s="261" t="str">
        <f>VLOOKUP(J195,UpdateBBM!$C$2:E1015,3,0)</f>
        <v>#N/A</v>
      </c>
      <c r="G195" s="248">
        <v>176.0</v>
      </c>
      <c r="H195" s="278"/>
      <c r="I195" s="278"/>
      <c r="J195" s="279"/>
      <c r="K195" s="278"/>
      <c r="L195" s="280"/>
      <c r="M195" s="281"/>
      <c r="N195" s="282"/>
      <c r="O195" s="282"/>
      <c r="P195" s="283"/>
      <c r="Q195" s="283"/>
      <c r="R195" s="283"/>
      <c r="S195" s="284"/>
      <c r="T195" s="283"/>
      <c r="U195" s="283"/>
      <c r="V195" s="280"/>
      <c r="W195" s="280"/>
      <c r="X195" s="280"/>
      <c r="Y195" s="283"/>
      <c r="Z195" s="351"/>
      <c r="AA195" s="351"/>
      <c r="AB195" s="351"/>
      <c r="AC195" s="351"/>
      <c r="AD195" s="351"/>
      <c r="AE195" s="351"/>
      <c r="AF195" s="351"/>
      <c r="AG195" s="351"/>
      <c r="AH195" s="285"/>
      <c r="AI195" s="273"/>
      <c r="AJ195" s="340"/>
      <c r="AK195" s="341"/>
      <c r="AL195" s="273"/>
      <c r="AM195" s="273"/>
      <c r="AN195" s="273"/>
      <c r="AO195" s="273"/>
      <c r="AP195" s="273"/>
      <c r="AQ195" s="273"/>
      <c r="AR195" s="273"/>
      <c r="AS195" s="273"/>
      <c r="AT195" s="273"/>
      <c r="AU195" s="273"/>
      <c r="AV195" s="273"/>
      <c r="AW195" s="273"/>
      <c r="AX195" s="273"/>
      <c r="AY195" s="273"/>
      <c r="AZ195" s="273"/>
      <c r="BA195" s="273"/>
      <c r="BB195" s="273"/>
      <c r="BC195" s="273"/>
      <c r="BD195" s="273"/>
      <c r="BE195" s="273"/>
      <c r="BF195" s="273"/>
      <c r="BG195" s="273"/>
      <c r="BH195" s="273"/>
      <c r="BI195" s="273"/>
      <c r="BJ195" s="273"/>
      <c r="BK195" s="273"/>
      <c r="BL195" s="273"/>
      <c r="BM195" s="273"/>
      <c r="BN195" s="273"/>
      <c r="BO195" s="273"/>
      <c r="BP195" s="273"/>
      <c r="BQ195" s="273"/>
      <c r="BR195" s="273"/>
      <c r="BS195" s="273"/>
      <c r="BT195" s="273"/>
      <c r="BU195" s="273"/>
      <c r="BV195" s="273"/>
      <c r="BW195" s="273"/>
    </row>
    <row r="196">
      <c r="A196" s="259" t="str">
        <f>VLOOKUP($F196,UpdateHashtag!$V$3:$Y$32,COLUMN(B$15),0)</f>
        <v>#N/A</v>
      </c>
      <c r="B196" s="259" t="str">
        <f>VLOOKUP($F196,UpdateHashtag!$V$3:$Y$32,COLUMN(C$13),0)</f>
        <v>#N/A</v>
      </c>
      <c r="C196" s="259" t="str">
        <f>VLOOKUP($F196,UpdateHashtag!$V$3:$Y$32,COLUMN(D$13),0)</f>
        <v>#N/A</v>
      </c>
      <c r="D196" s="329" t="str">
        <f t="shared" si="4"/>
        <v>#N/A</v>
      </c>
      <c r="E196" s="21"/>
      <c r="F196" s="261" t="str">
        <f>VLOOKUP(J196,UpdateBBM!$C$2:E1015,3,0)</f>
        <v>#N/A</v>
      </c>
      <c r="G196" s="248">
        <v>177.0</v>
      </c>
      <c r="H196" s="278"/>
      <c r="I196" s="278"/>
      <c r="J196" s="279"/>
      <c r="K196" s="278"/>
      <c r="L196" s="280"/>
      <c r="M196" s="281"/>
      <c r="N196" s="282"/>
      <c r="O196" s="282"/>
      <c r="P196" s="283"/>
      <c r="Q196" s="283"/>
      <c r="R196" s="283"/>
      <c r="S196" s="284"/>
      <c r="T196" s="283"/>
      <c r="U196" s="283"/>
      <c r="V196" s="280"/>
      <c r="W196" s="280"/>
      <c r="X196" s="280"/>
      <c r="Y196" s="283"/>
      <c r="Z196" s="351"/>
      <c r="AA196" s="351"/>
      <c r="AB196" s="351"/>
      <c r="AC196" s="351"/>
      <c r="AD196" s="351"/>
      <c r="AE196" s="351"/>
      <c r="AF196" s="351"/>
      <c r="AG196" s="351"/>
      <c r="AH196" s="285"/>
      <c r="AI196" s="273"/>
      <c r="AJ196" s="340"/>
      <c r="AK196" s="341"/>
      <c r="AL196" s="273"/>
      <c r="AM196" s="273"/>
      <c r="AN196" s="273"/>
      <c r="AO196" s="273"/>
      <c r="AP196" s="273"/>
      <c r="AQ196" s="273"/>
      <c r="AR196" s="273"/>
      <c r="AS196" s="273"/>
      <c r="AT196" s="273"/>
      <c r="AU196" s="273"/>
      <c r="AV196" s="273"/>
      <c r="AW196" s="273"/>
      <c r="AX196" s="273"/>
      <c r="AY196" s="273"/>
      <c r="AZ196" s="273"/>
      <c r="BA196" s="273"/>
      <c r="BB196" s="273"/>
      <c r="BC196" s="273"/>
      <c r="BD196" s="273"/>
      <c r="BE196" s="273"/>
      <c r="BF196" s="273"/>
      <c r="BG196" s="273"/>
      <c r="BH196" s="273"/>
      <c r="BI196" s="273"/>
      <c r="BJ196" s="273"/>
      <c r="BK196" s="273"/>
      <c r="BL196" s="273"/>
      <c r="BM196" s="273"/>
      <c r="BN196" s="273"/>
      <c r="BO196" s="273"/>
      <c r="BP196" s="273"/>
      <c r="BQ196" s="273"/>
      <c r="BR196" s="273"/>
      <c r="BS196" s="273"/>
      <c r="BT196" s="273"/>
      <c r="BU196" s="273"/>
      <c r="BV196" s="273"/>
      <c r="BW196" s="273"/>
    </row>
    <row r="197">
      <c r="A197" s="259" t="str">
        <f>VLOOKUP($F197,UpdateHashtag!$V$3:$Y$32,COLUMN(B$15),0)</f>
        <v>#N/A</v>
      </c>
      <c r="B197" s="259" t="str">
        <f>VLOOKUP($F197,UpdateHashtag!$V$3:$Y$32,COLUMN(C$13),0)</f>
        <v>#N/A</v>
      </c>
      <c r="C197" s="259" t="str">
        <f>VLOOKUP($F197,UpdateHashtag!$V$3:$Y$32,COLUMN(D$13),0)</f>
        <v>#N/A</v>
      </c>
      <c r="D197" s="329" t="str">
        <f t="shared" si="4"/>
        <v>#N/A</v>
      </c>
      <c r="E197" s="21"/>
      <c r="F197" s="261" t="str">
        <f>VLOOKUP(J197,UpdateBBM!$C$2:E1015,3,0)</f>
        <v>#N/A</v>
      </c>
      <c r="G197" s="248">
        <v>178.0</v>
      </c>
      <c r="H197" s="278"/>
      <c r="I197" s="278"/>
      <c r="J197" s="279"/>
      <c r="K197" s="278"/>
      <c r="L197" s="280"/>
      <c r="M197" s="281"/>
      <c r="N197" s="282"/>
      <c r="O197" s="282"/>
      <c r="P197" s="283"/>
      <c r="Q197" s="283"/>
      <c r="R197" s="283"/>
      <c r="S197" s="284"/>
      <c r="T197" s="283"/>
      <c r="U197" s="283"/>
      <c r="V197" s="280"/>
      <c r="W197" s="280"/>
      <c r="X197" s="280"/>
      <c r="Y197" s="283"/>
      <c r="Z197" s="351"/>
      <c r="AA197" s="351"/>
      <c r="AB197" s="351"/>
      <c r="AC197" s="351"/>
      <c r="AD197" s="351"/>
      <c r="AE197" s="351"/>
      <c r="AF197" s="351"/>
      <c r="AG197" s="351"/>
      <c r="AH197" s="285"/>
      <c r="AI197" s="273"/>
      <c r="AJ197" s="340"/>
      <c r="AK197" s="341"/>
      <c r="AL197" s="273"/>
      <c r="AM197" s="273"/>
      <c r="AN197" s="273"/>
      <c r="AO197" s="273"/>
      <c r="AP197" s="273"/>
      <c r="AQ197" s="273"/>
      <c r="AR197" s="273"/>
      <c r="AS197" s="273"/>
      <c r="AT197" s="273"/>
      <c r="AU197" s="273"/>
      <c r="AV197" s="273"/>
      <c r="AW197" s="273"/>
      <c r="AX197" s="273"/>
      <c r="AY197" s="273"/>
      <c r="AZ197" s="273"/>
      <c r="BA197" s="273"/>
      <c r="BB197" s="273"/>
      <c r="BC197" s="273"/>
      <c r="BD197" s="273"/>
      <c r="BE197" s="273"/>
      <c r="BF197" s="273"/>
      <c r="BG197" s="273"/>
      <c r="BH197" s="273"/>
      <c r="BI197" s="273"/>
      <c r="BJ197" s="273"/>
      <c r="BK197" s="273"/>
      <c r="BL197" s="273"/>
      <c r="BM197" s="273"/>
      <c r="BN197" s="273"/>
      <c r="BO197" s="273"/>
      <c r="BP197" s="273"/>
      <c r="BQ197" s="273"/>
      <c r="BR197" s="273"/>
      <c r="BS197" s="273"/>
      <c r="BT197" s="273"/>
      <c r="BU197" s="273"/>
      <c r="BV197" s="273"/>
      <c r="BW197" s="273"/>
    </row>
    <row r="198">
      <c r="A198" s="259" t="str">
        <f>VLOOKUP($F198,UpdateHashtag!$V$3:$Y$32,COLUMN(B$15),0)</f>
        <v>#N/A</v>
      </c>
      <c r="B198" s="259" t="str">
        <f>VLOOKUP($F198,UpdateHashtag!$V$3:$Y$32,COLUMN(C$13),0)</f>
        <v>#N/A</v>
      </c>
      <c r="C198" s="259" t="str">
        <f>VLOOKUP($F198,UpdateHashtag!$V$3:$Y$32,COLUMN(D$13),0)</f>
        <v>#N/A</v>
      </c>
      <c r="D198" s="329" t="str">
        <f t="shared" si="4"/>
        <v>#N/A</v>
      </c>
      <c r="E198" s="21"/>
      <c r="F198" s="261" t="str">
        <f>VLOOKUP(J198,UpdateBBM!$C$2:E1015,3,0)</f>
        <v>#N/A</v>
      </c>
      <c r="G198" s="248">
        <v>179.0</v>
      </c>
      <c r="H198" s="278"/>
      <c r="I198" s="278"/>
      <c r="J198" s="279"/>
      <c r="K198" s="278"/>
      <c r="L198" s="280"/>
      <c r="M198" s="281"/>
      <c r="N198" s="282"/>
      <c r="O198" s="282"/>
      <c r="P198" s="283"/>
      <c r="Q198" s="283"/>
      <c r="R198" s="283"/>
      <c r="S198" s="284"/>
      <c r="T198" s="283"/>
      <c r="U198" s="283"/>
      <c r="V198" s="280"/>
      <c r="W198" s="280"/>
      <c r="X198" s="280"/>
      <c r="Y198" s="283"/>
      <c r="Z198" s="351"/>
      <c r="AA198" s="351"/>
      <c r="AB198" s="351"/>
      <c r="AC198" s="351"/>
      <c r="AD198" s="351"/>
      <c r="AE198" s="351"/>
      <c r="AF198" s="351"/>
      <c r="AG198" s="351"/>
      <c r="AH198" s="285"/>
      <c r="AI198" s="273"/>
      <c r="AJ198" s="340"/>
      <c r="AK198" s="341"/>
      <c r="AL198" s="273"/>
      <c r="AM198" s="273"/>
      <c r="AN198" s="273"/>
      <c r="AO198" s="273"/>
      <c r="AP198" s="273"/>
      <c r="AQ198" s="273"/>
      <c r="AR198" s="273"/>
      <c r="AS198" s="273"/>
      <c r="AT198" s="273"/>
      <c r="AU198" s="273"/>
      <c r="AV198" s="273"/>
      <c r="AW198" s="273"/>
      <c r="AX198" s="273"/>
      <c r="AY198" s="273"/>
      <c r="AZ198" s="273"/>
      <c r="BA198" s="273"/>
      <c r="BB198" s="273"/>
      <c r="BC198" s="273"/>
      <c r="BD198" s="273"/>
      <c r="BE198" s="273"/>
      <c r="BF198" s="273"/>
      <c r="BG198" s="273"/>
      <c r="BH198" s="273"/>
      <c r="BI198" s="273"/>
      <c r="BJ198" s="273"/>
      <c r="BK198" s="273"/>
      <c r="BL198" s="273"/>
      <c r="BM198" s="273"/>
      <c r="BN198" s="273"/>
      <c r="BO198" s="273"/>
      <c r="BP198" s="273"/>
      <c r="BQ198" s="273"/>
      <c r="BR198" s="273"/>
      <c r="BS198" s="273"/>
      <c r="BT198" s="273"/>
      <c r="BU198" s="273"/>
      <c r="BV198" s="273"/>
      <c r="BW198" s="273"/>
    </row>
    <row r="199">
      <c r="A199" s="259" t="str">
        <f>VLOOKUP($F199,UpdateHashtag!$V$3:$Y$32,COLUMN(B$15),0)</f>
        <v>#N/A</v>
      </c>
      <c r="B199" s="259" t="str">
        <f>VLOOKUP($F199,UpdateHashtag!$V$3:$Y$32,COLUMN(C$13),0)</f>
        <v>#N/A</v>
      </c>
      <c r="C199" s="259" t="str">
        <f>VLOOKUP($F199,UpdateHashtag!$V$3:$Y$32,COLUMN(D$13),0)</f>
        <v>#N/A</v>
      </c>
      <c r="D199" s="329" t="str">
        <f t="shared" si="4"/>
        <v>#N/A</v>
      </c>
      <c r="E199" s="21"/>
      <c r="F199" s="261" t="str">
        <f>VLOOKUP(J199,UpdateBBM!$C$2:E1015,3,0)</f>
        <v>#N/A</v>
      </c>
      <c r="G199" s="248">
        <v>180.0</v>
      </c>
      <c r="H199" s="278"/>
      <c r="I199" s="278"/>
      <c r="J199" s="279"/>
      <c r="K199" s="278"/>
      <c r="L199" s="280"/>
      <c r="M199" s="281"/>
      <c r="N199" s="282"/>
      <c r="O199" s="282"/>
      <c r="P199" s="283"/>
      <c r="Q199" s="283"/>
      <c r="R199" s="283"/>
      <c r="S199" s="284"/>
      <c r="T199" s="283"/>
      <c r="U199" s="283"/>
      <c r="V199" s="280"/>
      <c r="W199" s="280"/>
      <c r="X199" s="280"/>
      <c r="Y199" s="283"/>
      <c r="Z199" s="351"/>
      <c r="AA199" s="351"/>
      <c r="AB199" s="351"/>
      <c r="AC199" s="351"/>
      <c r="AD199" s="351"/>
      <c r="AE199" s="351"/>
      <c r="AF199" s="351"/>
      <c r="AG199" s="351"/>
      <c r="AH199" s="285"/>
      <c r="AI199" s="273"/>
      <c r="AJ199" s="340"/>
      <c r="AK199" s="341"/>
      <c r="AL199" s="273"/>
      <c r="AM199" s="273"/>
      <c r="AN199" s="273"/>
      <c r="AO199" s="273"/>
      <c r="AP199" s="273"/>
      <c r="AQ199" s="273"/>
      <c r="AR199" s="273"/>
      <c r="AS199" s="273"/>
      <c r="AT199" s="273"/>
      <c r="AU199" s="273"/>
      <c r="AV199" s="273"/>
      <c r="AW199" s="273"/>
      <c r="AX199" s="273"/>
      <c r="AY199" s="273"/>
      <c r="AZ199" s="273"/>
      <c r="BA199" s="273"/>
      <c r="BB199" s="273"/>
      <c r="BC199" s="273"/>
      <c r="BD199" s="273"/>
      <c r="BE199" s="273"/>
      <c r="BF199" s="273"/>
      <c r="BG199" s="273"/>
      <c r="BH199" s="273"/>
      <c r="BI199" s="273"/>
      <c r="BJ199" s="273"/>
      <c r="BK199" s="273"/>
      <c r="BL199" s="273"/>
      <c r="BM199" s="273"/>
      <c r="BN199" s="273"/>
      <c r="BO199" s="273"/>
      <c r="BP199" s="273"/>
      <c r="BQ199" s="273"/>
      <c r="BR199" s="273"/>
      <c r="BS199" s="273"/>
      <c r="BT199" s="273"/>
      <c r="BU199" s="273"/>
      <c r="BV199" s="273"/>
      <c r="BW199" s="273"/>
    </row>
    <row r="200">
      <c r="A200" s="259" t="str">
        <f>VLOOKUP($F200,UpdateHashtag!$V$3:$Y$32,COLUMN(B$15),0)</f>
        <v>#N/A</v>
      </c>
      <c r="B200" s="259" t="str">
        <f>VLOOKUP($F200,UpdateHashtag!$V$3:$Y$32,COLUMN(C$13),0)</f>
        <v>#N/A</v>
      </c>
      <c r="C200" s="259" t="str">
        <f>VLOOKUP($F200,UpdateHashtag!$V$3:$Y$32,COLUMN(D$13),0)</f>
        <v>#N/A</v>
      </c>
      <c r="D200" s="329" t="str">
        <f t="shared" si="4"/>
        <v>#N/A</v>
      </c>
      <c r="E200" s="21"/>
      <c r="F200" s="261" t="str">
        <f>VLOOKUP(J200,UpdateBBM!$C$2:E1015,3,0)</f>
        <v>#N/A</v>
      </c>
      <c r="G200" s="248">
        <v>181.0</v>
      </c>
      <c r="H200" s="278"/>
      <c r="I200" s="278"/>
      <c r="J200" s="279"/>
      <c r="K200" s="278"/>
      <c r="L200" s="280"/>
      <c r="M200" s="281"/>
      <c r="N200" s="282"/>
      <c r="O200" s="282"/>
      <c r="P200" s="283"/>
      <c r="Q200" s="283"/>
      <c r="R200" s="283"/>
      <c r="S200" s="284"/>
      <c r="T200" s="283"/>
      <c r="U200" s="283"/>
      <c r="V200" s="280"/>
      <c r="W200" s="280"/>
      <c r="X200" s="280"/>
      <c r="Y200" s="283"/>
      <c r="Z200" s="351"/>
      <c r="AA200" s="351"/>
      <c r="AB200" s="351"/>
      <c r="AC200" s="351"/>
      <c r="AD200" s="351"/>
      <c r="AE200" s="351"/>
      <c r="AF200" s="351"/>
      <c r="AG200" s="351"/>
      <c r="AH200" s="285"/>
      <c r="AI200" s="273"/>
      <c r="AJ200" s="340"/>
      <c r="AK200" s="341"/>
      <c r="AL200" s="273"/>
      <c r="AM200" s="273"/>
      <c r="AN200" s="273"/>
      <c r="AO200" s="273"/>
      <c r="AP200" s="273"/>
      <c r="AQ200" s="273"/>
      <c r="AR200" s="273"/>
      <c r="AS200" s="273"/>
      <c r="AT200" s="273"/>
      <c r="AU200" s="273"/>
      <c r="AV200" s="273"/>
      <c r="AW200" s="273"/>
      <c r="AX200" s="273"/>
      <c r="AY200" s="273"/>
      <c r="AZ200" s="273"/>
      <c r="BA200" s="273"/>
      <c r="BB200" s="273"/>
      <c r="BC200" s="273"/>
      <c r="BD200" s="273"/>
      <c r="BE200" s="273"/>
      <c r="BF200" s="273"/>
      <c r="BG200" s="273"/>
      <c r="BH200" s="273"/>
      <c r="BI200" s="273"/>
      <c r="BJ200" s="273"/>
      <c r="BK200" s="273"/>
      <c r="BL200" s="273"/>
      <c r="BM200" s="273"/>
      <c r="BN200" s="273"/>
      <c r="BO200" s="273"/>
      <c r="BP200" s="273"/>
      <c r="BQ200" s="273"/>
      <c r="BR200" s="273"/>
      <c r="BS200" s="273"/>
      <c r="BT200" s="273"/>
      <c r="BU200" s="273"/>
      <c r="BV200" s="273"/>
      <c r="BW200" s="273"/>
    </row>
    <row r="201">
      <c r="A201" s="259" t="str">
        <f>VLOOKUP($F201,UpdateHashtag!$V$3:$Y$32,COLUMN(B$15),0)</f>
        <v>#N/A</v>
      </c>
      <c r="B201" s="259" t="str">
        <f>VLOOKUP($F201,UpdateHashtag!$V$3:$Y$32,COLUMN(C$13),0)</f>
        <v>#N/A</v>
      </c>
      <c r="C201" s="259" t="str">
        <f>VLOOKUP($F201,UpdateHashtag!$V$3:$Y$32,COLUMN(D$13),0)</f>
        <v>#N/A</v>
      </c>
      <c r="D201" s="329" t="str">
        <f t="shared" si="4"/>
        <v>#N/A</v>
      </c>
      <c r="E201" s="21"/>
      <c r="F201" s="261" t="str">
        <f>VLOOKUP(J201,UpdateBBM!$C$2:E1015,3,0)</f>
        <v>#N/A</v>
      </c>
      <c r="G201" s="248">
        <v>182.0</v>
      </c>
      <c r="H201" s="278"/>
      <c r="I201" s="278"/>
      <c r="J201" s="279"/>
      <c r="K201" s="278"/>
      <c r="L201" s="280"/>
      <c r="M201" s="281"/>
      <c r="N201" s="282"/>
      <c r="O201" s="282"/>
      <c r="P201" s="283"/>
      <c r="Q201" s="283"/>
      <c r="R201" s="283"/>
      <c r="S201" s="284"/>
      <c r="T201" s="283"/>
      <c r="U201" s="283"/>
      <c r="V201" s="280"/>
      <c r="W201" s="280"/>
      <c r="X201" s="280"/>
      <c r="Y201" s="283"/>
      <c r="Z201" s="351"/>
      <c r="AA201" s="351"/>
      <c r="AB201" s="351"/>
      <c r="AC201" s="351"/>
      <c r="AD201" s="351"/>
      <c r="AE201" s="351"/>
      <c r="AF201" s="351"/>
      <c r="AG201" s="351"/>
      <c r="AH201" s="285"/>
      <c r="AI201" s="273"/>
      <c r="AJ201" s="340"/>
      <c r="AK201" s="341"/>
      <c r="AL201" s="273"/>
      <c r="AM201" s="273"/>
      <c r="AN201" s="273"/>
      <c r="AO201" s="273"/>
      <c r="AP201" s="273"/>
      <c r="AQ201" s="273"/>
      <c r="AR201" s="273"/>
      <c r="AS201" s="273"/>
      <c r="AT201" s="273"/>
      <c r="AU201" s="273"/>
      <c r="AV201" s="273"/>
      <c r="AW201" s="273"/>
      <c r="AX201" s="273"/>
      <c r="AY201" s="273"/>
      <c r="AZ201" s="273"/>
      <c r="BA201" s="273"/>
      <c r="BB201" s="273"/>
      <c r="BC201" s="273"/>
      <c r="BD201" s="273"/>
      <c r="BE201" s="273"/>
      <c r="BF201" s="273"/>
      <c r="BG201" s="273"/>
      <c r="BH201" s="273"/>
      <c r="BI201" s="273"/>
      <c r="BJ201" s="273"/>
      <c r="BK201" s="273"/>
      <c r="BL201" s="273"/>
      <c r="BM201" s="273"/>
      <c r="BN201" s="273"/>
      <c r="BO201" s="273"/>
      <c r="BP201" s="273"/>
      <c r="BQ201" s="273"/>
      <c r="BR201" s="273"/>
      <c r="BS201" s="273"/>
      <c r="BT201" s="273"/>
      <c r="BU201" s="273"/>
      <c r="BV201" s="273"/>
      <c r="BW201" s="273"/>
    </row>
    <row r="202">
      <c r="A202" s="259" t="str">
        <f>VLOOKUP($F202,UpdateHashtag!$V$3:$Y$32,COLUMN(B$15),0)</f>
        <v>#N/A</v>
      </c>
      <c r="B202" s="259" t="str">
        <f>VLOOKUP($F202,UpdateHashtag!$V$3:$Y$32,COLUMN(C$13),0)</f>
        <v>#N/A</v>
      </c>
      <c r="C202" s="259" t="str">
        <f>VLOOKUP($F202,UpdateHashtag!$V$3:$Y$32,COLUMN(D$13),0)</f>
        <v>#N/A</v>
      </c>
      <c r="D202" s="329" t="str">
        <f t="shared" si="4"/>
        <v>#N/A</v>
      </c>
      <c r="E202" s="21"/>
      <c r="F202" s="261" t="str">
        <f>VLOOKUP(J202,UpdateBBM!$C$2:E1015,3,0)</f>
        <v>#N/A</v>
      </c>
      <c r="G202" s="248">
        <v>183.0</v>
      </c>
      <c r="H202" s="278"/>
      <c r="I202" s="278"/>
      <c r="J202" s="279"/>
      <c r="K202" s="278"/>
      <c r="L202" s="280"/>
      <c r="M202" s="281"/>
      <c r="N202" s="282"/>
      <c r="O202" s="282"/>
      <c r="P202" s="283"/>
      <c r="Q202" s="283"/>
      <c r="R202" s="283"/>
      <c r="S202" s="284"/>
      <c r="T202" s="283"/>
      <c r="U202" s="283"/>
      <c r="V202" s="280"/>
      <c r="W202" s="280"/>
      <c r="X202" s="280"/>
      <c r="Y202" s="283"/>
      <c r="Z202" s="351"/>
      <c r="AA202" s="351"/>
      <c r="AB202" s="351"/>
      <c r="AC202" s="351"/>
      <c r="AD202" s="351"/>
      <c r="AE202" s="351"/>
      <c r="AF202" s="351"/>
      <c r="AG202" s="351"/>
      <c r="AH202" s="285"/>
      <c r="AI202" s="273"/>
      <c r="AJ202" s="340"/>
      <c r="AK202" s="341"/>
      <c r="AL202" s="273"/>
      <c r="AM202" s="273"/>
      <c r="AN202" s="273"/>
      <c r="AO202" s="273"/>
      <c r="AP202" s="273"/>
      <c r="AQ202" s="273"/>
      <c r="AR202" s="273"/>
      <c r="AS202" s="273"/>
      <c r="AT202" s="273"/>
      <c r="AU202" s="273"/>
      <c r="AV202" s="273"/>
      <c r="AW202" s="273"/>
      <c r="AX202" s="273"/>
      <c r="AY202" s="273"/>
      <c r="AZ202" s="273"/>
      <c r="BA202" s="273"/>
      <c r="BB202" s="273"/>
      <c r="BC202" s="273"/>
      <c r="BD202" s="273"/>
      <c r="BE202" s="273"/>
      <c r="BF202" s="273"/>
      <c r="BG202" s="273"/>
      <c r="BH202" s="273"/>
      <c r="BI202" s="273"/>
      <c r="BJ202" s="273"/>
      <c r="BK202" s="273"/>
      <c r="BL202" s="273"/>
      <c r="BM202" s="273"/>
      <c r="BN202" s="273"/>
      <c r="BO202" s="273"/>
      <c r="BP202" s="273"/>
      <c r="BQ202" s="273"/>
      <c r="BR202" s="273"/>
      <c r="BS202" s="273"/>
      <c r="BT202" s="273"/>
      <c r="BU202" s="273"/>
      <c r="BV202" s="273"/>
      <c r="BW202" s="273"/>
    </row>
    <row r="203">
      <c r="A203" s="259" t="str">
        <f>VLOOKUP($F203,UpdateHashtag!$V$3:$Y$32,COLUMN(B$15),0)</f>
        <v>#N/A</v>
      </c>
      <c r="B203" s="259" t="str">
        <f>VLOOKUP($F203,UpdateHashtag!$V$3:$Y$32,COLUMN(C$13),0)</f>
        <v>#N/A</v>
      </c>
      <c r="C203" s="259" t="str">
        <f>VLOOKUP($F203,UpdateHashtag!$V$3:$Y$32,COLUMN(D$13),0)</f>
        <v>#N/A</v>
      </c>
      <c r="D203" s="329" t="str">
        <f t="shared" si="4"/>
        <v>#N/A</v>
      </c>
      <c r="E203" s="21"/>
      <c r="F203" s="261" t="str">
        <f>VLOOKUP(J203,UpdateBBM!$C$2:E1015,3,0)</f>
        <v>#N/A</v>
      </c>
      <c r="G203" s="248">
        <v>184.0</v>
      </c>
      <c r="H203" s="278"/>
      <c r="I203" s="278"/>
      <c r="J203" s="279"/>
      <c r="K203" s="278"/>
      <c r="L203" s="280"/>
      <c r="M203" s="281"/>
      <c r="N203" s="282"/>
      <c r="O203" s="282"/>
      <c r="P203" s="283"/>
      <c r="Q203" s="283"/>
      <c r="R203" s="283"/>
      <c r="S203" s="284"/>
      <c r="T203" s="283"/>
      <c r="U203" s="283"/>
      <c r="V203" s="280"/>
      <c r="W203" s="280"/>
      <c r="X203" s="280"/>
      <c r="Y203" s="283"/>
      <c r="Z203" s="351"/>
      <c r="AA203" s="351"/>
      <c r="AB203" s="351"/>
      <c r="AC203" s="351"/>
      <c r="AD203" s="351"/>
      <c r="AE203" s="351"/>
      <c r="AF203" s="351"/>
      <c r="AG203" s="351"/>
      <c r="AH203" s="285"/>
      <c r="AI203" s="273"/>
      <c r="AJ203" s="340"/>
      <c r="AK203" s="341"/>
      <c r="AL203" s="273"/>
      <c r="AM203" s="273"/>
      <c r="AN203" s="273"/>
      <c r="AO203" s="273"/>
      <c r="AP203" s="273"/>
      <c r="AQ203" s="273"/>
      <c r="AR203" s="273"/>
      <c r="AS203" s="273"/>
      <c r="AT203" s="273"/>
      <c r="AU203" s="273"/>
      <c r="AV203" s="273"/>
      <c r="AW203" s="273"/>
      <c r="AX203" s="273"/>
      <c r="AY203" s="273"/>
      <c r="AZ203" s="273"/>
      <c r="BA203" s="273"/>
      <c r="BB203" s="273"/>
      <c r="BC203" s="273"/>
      <c r="BD203" s="273"/>
      <c r="BE203" s="273"/>
      <c r="BF203" s="273"/>
      <c r="BG203" s="273"/>
      <c r="BH203" s="273"/>
      <c r="BI203" s="273"/>
      <c r="BJ203" s="273"/>
      <c r="BK203" s="273"/>
      <c r="BL203" s="273"/>
      <c r="BM203" s="273"/>
      <c r="BN203" s="273"/>
      <c r="BO203" s="273"/>
      <c r="BP203" s="273"/>
      <c r="BQ203" s="273"/>
      <c r="BR203" s="273"/>
      <c r="BS203" s="273"/>
      <c r="BT203" s="273"/>
      <c r="BU203" s="273"/>
      <c r="BV203" s="273"/>
      <c r="BW203" s="273"/>
    </row>
    <row r="204">
      <c r="A204" s="259" t="str">
        <f>VLOOKUP($F204,UpdateHashtag!$V$3:$Y$32,COLUMN(B$15),0)</f>
        <v>#N/A</v>
      </c>
      <c r="B204" s="259" t="str">
        <f>VLOOKUP($F204,UpdateHashtag!$V$3:$Y$32,COLUMN(C$13),0)</f>
        <v>#N/A</v>
      </c>
      <c r="C204" s="259" t="str">
        <f>VLOOKUP($F204,UpdateHashtag!$V$3:$Y$32,COLUMN(D$13),0)</f>
        <v>#N/A</v>
      </c>
      <c r="D204" s="329" t="str">
        <f t="shared" si="4"/>
        <v>#N/A</v>
      </c>
      <c r="E204" s="21"/>
      <c r="F204" s="261" t="str">
        <f>VLOOKUP(J204,UpdateBBM!$C$2:E1015,3,0)</f>
        <v>#N/A</v>
      </c>
      <c r="G204" s="248">
        <v>185.0</v>
      </c>
      <c r="H204" s="278"/>
      <c r="I204" s="278"/>
      <c r="J204" s="279"/>
      <c r="K204" s="278"/>
      <c r="L204" s="280"/>
      <c r="M204" s="281"/>
      <c r="N204" s="282"/>
      <c r="O204" s="282"/>
      <c r="P204" s="283"/>
      <c r="Q204" s="283"/>
      <c r="R204" s="283"/>
      <c r="S204" s="284"/>
      <c r="T204" s="283"/>
      <c r="U204" s="283"/>
      <c r="V204" s="280"/>
      <c r="W204" s="280"/>
      <c r="X204" s="280"/>
      <c r="Y204" s="283"/>
      <c r="Z204" s="351"/>
      <c r="AA204" s="351"/>
      <c r="AB204" s="351"/>
      <c r="AC204" s="351"/>
      <c r="AD204" s="351"/>
      <c r="AE204" s="351"/>
      <c r="AF204" s="351"/>
      <c r="AG204" s="351"/>
      <c r="AH204" s="285"/>
      <c r="AI204" s="273"/>
      <c r="AJ204" s="340"/>
      <c r="AK204" s="341"/>
      <c r="AL204" s="273"/>
      <c r="AM204" s="273"/>
      <c r="AN204" s="273"/>
      <c r="AO204" s="273"/>
      <c r="AP204" s="273"/>
      <c r="AQ204" s="273"/>
      <c r="AR204" s="273"/>
      <c r="AS204" s="273"/>
      <c r="AT204" s="273"/>
      <c r="AU204" s="273"/>
      <c r="AV204" s="273"/>
      <c r="AW204" s="273"/>
      <c r="AX204" s="273"/>
      <c r="AY204" s="273"/>
      <c r="AZ204" s="273"/>
      <c r="BA204" s="273"/>
      <c r="BB204" s="273"/>
      <c r="BC204" s="273"/>
      <c r="BD204" s="273"/>
      <c r="BE204" s="273"/>
      <c r="BF204" s="273"/>
      <c r="BG204" s="273"/>
      <c r="BH204" s="273"/>
      <c r="BI204" s="273"/>
      <c r="BJ204" s="273"/>
      <c r="BK204" s="273"/>
      <c r="BL204" s="273"/>
      <c r="BM204" s="273"/>
      <c r="BN204" s="273"/>
      <c r="BO204" s="273"/>
      <c r="BP204" s="273"/>
      <c r="BQ204" s="273"/>
      <c r="BR204" s="273"/>
      <c r="BS204" s="273"/>
      <c r="BT204" s="273"/>
      <c r="BU204" s="273"/>
      <c r="BV204" s="273"/>
      <c r="BW204" s="273"/>
    </row>
    <row r="205">
      <c r="A205" s="259" t="str">
        <f>VLOOKUP($F205,UpdateHashtag!$V$3:$Y$32,COLUMN(B$15),0)</f>
        <v>#N/A</v>
      </c>
      <c r="B205" s="259" t="str">
        <f>VLOOKUP($F205,UpdateHashtag!$V$3:$Y$32,COLUMN(C$13),0)</f>
        <v>#N/A</v>
      </c>
      <c r="C205" s="259" t="str">
        <f>VLOOKUP($F205,UpdateHashtag!$V$3:$Y$32,COLUMN(D$13),0)</f>
        <v>#N/A</v>
      </c>
      <c r="D205" s="329" t="str">
        <f t="shared" si="4"/>
        <v>#N/A</v>
      </c>
      <c r="E205" s="21"/>
      <c r="F205" s="261" t="str">
        <f>VLOOKUP(J205,UpdateBBM!$C$2:E1015,3,0)</f>
        <v>#N/A</v>
      </c>
      <c r="G205" s="248">
        <v>186.0</v>
      </c>
      <c r="H205" s="278"/>
      <c r="I205" s="278"/>
      <c r="J205" s="279"/>
      <c r="K205" s="278"/>
      <c r="L205" s="280"/>
      <c r="M205" s="281"/>
      <c r="N205" s="282"/>
      <c r="O205" s="282"/>
      <c r="P205" s="283"/>
      <c r="Q205" s="283"/>
      <c r="R205" s="283"/>
      <c r="S205" s="284"/>
      <c r="T205" s="283"/>
      <c r="U205" s="283"/>
      <c r="V205" s="280"/>
      <c r="W205" s="280"/>
      <c r="X205" s="280"/>
      <c r="Y205" s="283"/>
      <c r="Z205" s="351"/>
      <c r="AA205" s="351"/>
      <c r="AB205" s="351"/>
      <c r="AC205" s="351"/>
      <c r="AD205" s="351"/>
      <c r="AE205" s="351"/>
      <c r="AF205" s="351"/>
      <c r="AG205" s="351"/>
      <c r="AH205" s="285"/>
      <c r="AI205" s="273"/>
      <c r="AJ205" s="340"/>
      <c r="AK205" s="341"/>
      <c r="AL205" s="273"/>
      <c r="AM205" s="273"/>
      <c r="AN205" s="273"/>
      <c r="AO205" s="273"/>
      <c r="AP205" s="273"/>
      <c r="AQ205" s="273"/>
      <c r="AR205" s="273"/>
      <c r="AS205" s="273"/>
      <c r="AT205" s="273"/>
      <c r="AU205" s="273"/>
      <c r="AV205" s="273"/>
      <c r="AW205" s="273"/>
      <c r="AX205" s="273"/>
      <c r="AY205" s="273"/>
      <c r="AZ205" s="273"/>
      <c r="BA205" s="273"/>
      <c r="BB205" s="273"/>
      <c r="BC205" s="273"/>
      <c r="BD205" s="273"/>
      <c r="BE205" s="273"/>
      <c r="BF205" s="273"/>
      <c r="BG205" s="273"/>
      <c r="BH205" s="273"/>
      <c r="BI205" s="273"/>
      <c r="BJ205" s="273"/>
      <c r="BK205" s="273"/>
      <c r="BL205" s="273"/>
      <c r="BM205" s="273"/>
      <c r="BN205" s="273"/>
      <c r="BO205" s="273"/>
      <c r="BP205" s="273"/>
      <c r="BQ205" s="273"/>
      <c r="BR205" s="273"/>
      <c r="BS205" s="273"/>
      <c r="BT205" s="273"/>
      <c r="BU205" s="273"/>
      <c r="BV205" s="273"/>
      <c r="BW205" s="273"/>
    </row>
    <row r="206">
      <c r="A206" s="259" t="str">
        <f>VLOOKUP($F206,UpdateHashtag!$V$3:$Y$32,COLUMN(B$15),0)</f>
        <v>#N/A</v>
      </c>
      <c r="B206" s="259" t="str">
        <f>VLOOKUP($F206,UpdateHashtag!$V$3:$Y$32,COLUMN(C$13),0)</f>
        <v>#N/A</v>
      </c>
      <c r="C206" s="259" t="str">
        <f>VLOOKUP($F206,UpdateHashtag!$V$3:$Y$32,COLUMN(D$13),0)</f>
        <v>#N/A</v>
      </c>
      <c r="D206" s="329" t="str">
        <f t="shared" si="4"/>
        <v>#N/A</v>
      </c>
      <c r="E206" s="21"/>
      <c r="F206" s="261" t="str">
        <f>VLOOKUP(J206,UpdateBBM!$C$2:E1015,3,0)</f>
        <v>#N/A</v>
      </c>
      <c r="G206" s="248">
        <v>187.0</v>
      </c>
      <c r="H206" s="278"/>
      <c r="I206" s="278"/>
      <c r="J206" s="279"/>
      <c r="K206" s="278"/>
      <c r="L206" s="280"/>
      <c r="M206" s="281"/>
      <c r="N206" s="282"/>
      <c r="O206" s="282"/>
      <c r="P206" s="283"/>
      <c r="Q206" s="283"/>
      <c r="R206" s="283"/>
      <c r="S206" s="284"/>
      <c r="T206" s="283"/>
      <c r="U206" s="283"/>
      <c r="V206" s="280"/>
      <c r="W206" s="280"/>
      <c r="X206" s="280"/>
      <c r="Y206" s="283"/>
      <c r="Z206" s="351"/>
      <c r="AA206" s="351"/>
      <c r="AB206" s="351"/>
      <c r="AC206" s="351"/>
      <c r="AD206" s="351"/>
      <c r="AE206" s="351"/>
      <c r="AF206" s="351"/>
      <c r="AG206" s="351"/>
      <c r="AH206" s="285"/>
      <c r="AI206" s="273"/>
      <c r="AJ206" s="340"/>
      <c r="AK206" s="341"/>
      <c r="AL206" s="273"/>
      <c r="AM206" s="273"/>
      <c r="AN206" s="273"/>
      <c r="AO206" s="273"/>
      <c r="AP206" s="273"/>
      <c r="AQ206" s="273"/>
      <c r="AR206" s="273"/>
      <c r="AS206" s="273"/>
      <c r="AT206" s="273"/>
      <c r="AU206" s="273"/>
      <c r="AV206" s="273"/>
      <c r="AW206" s="273"/>
      <c r="AX206" s="273"/>
      <c r="AY206" s="273"/>
      <c r="AZ206" s="273"/>
      <c r="BA206" s="273"/>
      <c r="BB206" s="273"/>
      <c r="BC206" s="273"/>
      <c r="BD206" s="273"/>
      <c r="BE206" s="273"/>
      <c r="BF206" s="273"/>
      <c r="BG206" s="273"/>
      <c r="BH206" s="273"/>
      <c r="BI206" s="273"/>
      <c r="BJ206" s="273"/>
      <c r="BK206" s="273"/>
      <c r="BL206" s="273"/>
      <c r="BM206" s="273"/>
      <c r="BN206" s="273"/>
      <c r="BO206" s="273"/>
      <c r="BP206" s="273"/>
      <c r="BQ206" s="273"/>
      <c r="BR206" s="273"/>
      <c r="BS206" s="273"/>
      <c r="BT206" s="273"/>
      <c r="BU206" s="273"/>
      <c r="BV206" s="273"/>
      <c r="BW206" s="273"/>
    </row>
    <row r="207">
      <c r="A207" s="259" t="str">
        <f>VLOOKUP($F207,UpdateHashtag!$V$3:$Y$32,COLUMN(B$15),0)</f>
        <v>#N/A</v>
      </c>
      <c r="B207" s="259" t="str">
        <f>VLOOKUP($F207,UpdateHashtag!$V$3:$Y$32,COLUMN(C$13),0)</f>
        <v>#N/A</v>
      </c>
      <c r="C207" s="259" t="str">
        <f>VLOOKUP($F207,UpdateHashtag!$V$3:$Y$32,COLUMN(D$13),0)</f>
        <v>#N/A</v>
      </c>
      <c r="D207" s="329" t="str">
        <f t="shared" si="4"/>
        <v>#N/A</v>
      </c>
      <c r="E207" s="21"/>
      <c r="F207" s="261" t="str">
        <f>VLOOKUP(J207,UpdateBBM!$C$2:E1015,3,0)</f>
        <v>#N/A</v>
      </c>
      <c r="G207" s="248">
        <v>188.0</v>
      </c>
      <c r="H207" s="278"/>
      <c r="I207" s="278"/>
      <c r="J207" s="279"/>
      <c r="K207" s="278"/>
      <c r="L207" s="280"/>
      <c r="M207" s="281"/>
      <c r="N207" s="282"/>
      <c r="O207" s="282"/>
      <c r="P207" s="283"/>
      <c r="Q207" s="283"/>
      <c r="R207" s="283"/>
      <c r="S207" s="284"/>
      <c r="T207" s="283"/>
      <c r="U207" s="283"/>
      <c r="V207" s="280"/>
      <c r="W207" s="280"/>
      <c r="X207" s="280"/>
      <c r="Y207" s="283"/>
      <c r="Z207" s="351"/>
      <c r="AA207" s="351"/>
      <c r="AB207" s="351"/>
      <c r="AC207" s="351"/>
      <c r="AD207" s="351"/>
      <c r="AE207" s="351"/>
      <c r="AF207" s="351"/>
      <c r="AG207" s="351"/>
      <c r="AH207" s="285"/>
      <c r="AI207" s="273"/>
      <c r="AJ207" s="340"/>
      <c r="AK207" s="341"/>
      <c r="AL207" s="273"/>
      <c r="AM207" s="273"/>
      <c r="AN207" s="273"/>
      <c r="AO207" s="273"/>
      <c r="AP207" s="273"/>
      <c r="AQ207" s="273"/>
      <c r="AR207" s="273"/>
      <c r="AS207" s="273"/>
      <c r="AT207" s="273"/>
      <c r="AU207" s="273"/>
      <c r="AV207" s="273"/>
      <c r="AW207" s="273"/>
      <c r="AX207" s="273"/>
      <c r="AY207" s="273"/>
      <c r="AZ207" s="273"/>
      <c r="BA207" s="273"/>
      <c r="BB207" s="273"/>
      <c r="BC207" s="273"/>
      <c r="BD207" s="273"/>
      <c r="BE207" s="273"/>
      <c r="BF207" s="273"/>
      <c r="BG207" s="273"/>
      <c r="BH207" s="273"/>
      <c r="BI207" s="273"/>
      <c r="BJ207" s="273"/>
      <c r="BK207" s="273"/>
      <c r="BL207" s="273"/>
      <c r="BM207" s="273"/>
      <c r="BN207" s="273"/>
      <c r="BO207" s="273"/>
      <c r="BP207" s="273"/>
      <c r="BQ207" s="273"/>
      <c r="BR207" s="273"/>
      <c r="BS207" s="273"/>
      <c r="BT207" s="273"/>
      <c r="BU207" s="273"/>
      <c r="BV207" s="273"/>
      <c r="BW207" s="273"/>
    </row>
    <row r="208">
      <c r="A208" s="259" t="str">
        <f>VLOOKUP($F208,UpdateHashtag!$V$3:$Y$32,COLUMN(B$15),0)</f>
        <v>#N/A</v>
      </c>
      <c r="B208" s="259" t="str">
        <f>VLOOKUP($F208,UpdateHashtag!$V$3:$Y$32,COLUMN(C$13),0)</f>
        <v>#N/A</v>
      </c>
      <c r="C208" s="259" t="str">
        <f>VLOOKUP($F208,UpdateHashtag!$V$3:$Y$32,COLUMN(D$13),0)</f>
        <v>#N/A</v>
      </c>
      <c r="D208" s="329" t="str">
        <f t="shared" si="4"/>
        <v>#N/A</v>
      </c>
      <c r="E208" s="21"/>
      <c r="F208" s="261" t="str">
        <f>VLOOKUP(J208,UpdateBBM!$C$2:E1015,3,0)</f>
        <v>#N/A</v>
      </c>
      <c r="G208" s="248">
        <v>189.0</v>
      </c>
      <c r="H208" s="278"/>
      <c r="I208" s="278"/>
      <c r="J208" s="279"/>
      <c r="K208" s="278"/>
      <c r="L208" s="280"/>
      <c r="M208" s="281"/>
      <c r="N208" s="282"/>
      <c r="O208" s="282"/>
      <c r="P208" s="283"/>
      <c r="Q208" s="283"/>
      <c r="R208" s="283"/>
      <c r="S208" s="284"/>
      <c r="T208" s="283"/>
      <c r="U208" s="283"/>
      <c r="V208" s="280"/>
      <c r="W208" s="280"/>
      <c r="X208" s="280"/>
      <c r="Y208" s="283"/>
      <c r="Z208" s="351"/>
      <c r="AA208" s="351"/>
      <c r="AB208" s="351"/>
      <c r="AC208" s="351"/>
      <c r="AD208" s="351"/>
      <c r="AE208" s="351"/>
      <c r="AF208" s="351"/>
      <c r="AG208" s="351"/>
      <c r="AH208" s="285"/>
      <c r="AI208" s="273"/>
      <c r="AJ208" s="340"/>
      <c r="AK208" s="341"/>
      <c r="AL208" s="273"/>
      <c r="AM208" s="273"/>
      <c r="AN208" s="273"/>
      <c r="AO208" s="273"/>
      <c r="AP208" s="273"/>
      <c r="AQ208" s="273"/>
      <c r="AR208" s="273"/>
      <c r="AS208" s="273"/>
      <c r="AT208" s="273"/>
      <c r="AU208" s="273"/>
      <c r="AV208" s="273"/>
      <c r="AW208" s="273"/>
      <c r="AX208" s="273"/>
      <c r="AY208" s="273"/>
      <c r="AZ208" s="273"/>
      <c r="BA208" s="273"/>
      <c r="BB208" s="273"/>
      <c r="BC208" s="273"/>
      <c r="BD208" s="273"/>
      <c r="BE208" s="273"/>
      <c r="BF208" s="273"/>
      <c r="BG208" s="273"/>
      <c r="BH208" s="273"/>
      <c r="BI208" s="273"/>
      <c r="BJ208" s="273"/>
      <c r="BK208" s="273"/>
      <c r="BL208" s="273"/>
      <c r="BM208" s="273"/>
      <c r="BN208" s="273"/>
      <c r="BO208" s="273"/>
      <c r="BP208" s="273"/>
      <c r="BQ208" s="273"/>
      <c r="BR208" s="273"/>
      <c r="BS208" s="273"/>
      <c r="BT208" s="273"/>
      <c r="BU208" s="273"/>
      <c r="BV208" s="273"/>
      <c r="BW208" s="273"/>
    </row>
    <row r="209">
      <c r="A209" s="259" t="str">
        <f>VLOOKUP($F209,UpdateHashtag!$V$3:$Y$32,COLUMN(B$15),0)</f>
        <v>#N/A</v>
      </c>
      <c r="B209" s="259" t="str">
        <f>VLOOKUP($F209,UpdateHashtag!$V$3:$Y$32,COLUMN(C$13),0)</f>
        <v>#N/A</v>
      </c>
      <c r="C209" s="259" t="str">
        <f>VLOOKUP($F209,UpdateHashtag!$V$3:$Y$32,COLUMN(D$13),0)</f>
        <v>#N/A</v>
      </c>
      <c r="D209" s="329" t="str">
        <f t="shared" si="4"/>
        <v>#N/A</v>
      </c>
      <c r="E209" s="21"/>
      <c r="F209" s="261" t="str">
        <f>VLOOKUP(J209,UpdateBBM!$C$2:E1015,3,0)</f>
        <v>#N/A</v>
      </c>
      <c r="G209" s="248">
        <v>190.0</v>
      </c>
      <c r="H209" s="278"/>
      <c r="I209" s="278"/>
      <c r="J209" s="279"/>
      <c r="K209" s="278"/>
      <c r="L209" s="280"/>
      <c r="M209" s="281"/>
      <c r="N209" s="282"/>
      <c r="O209" s="282"/>
      <c r="P209" s="283"/>
      <c r="Q209" s="283"/>
      <c r="R209" s="283"/>
      <c r="S209" s="284"/>
      <c r="T209" s="283"/>
      <c r="U209" s="283"/>
      <c r="V209" s="280"/>
      <c r="W209" s="280"/>
      <c r="X209" s="280"/>
      <c r="Y209" s="283"/>
      <c r="Z209" s="351"/>
      <c r="AA209" s="351"/>
      <c r="AB209" s="351"/>
      <c r="AC209" s="351"/>
      <c r="AD209" s="351"/>
      <c r="AE209" s="351"/>
      <c r="AF209" s="351"/>
      <c r="AG209" s="351"/>
      <c r="AH209" s="285"/>
      <c r="AI209" s="273"/>
      <c r="AJ209" s="340"/>
      <c r="AK209" s="341"/>
      <c r="AL209" s="273"/>
      <c r="AM209" s="273"/>
      <c r="AN209" s="273"/>
      <c r="AO209" s="273"/>
      <c r="AP209" s="273"/>
      <c r="AQ209" s="273"/>
      <c r="AR209" s="273"/>
      <c r="AS209" s="273"/>
      <c r="AT209" s="273"/>
      <c r="AU209" s="273"/>
      <c r="AV209" s="273"/>
      <c r="AW209" s="273"/>
      <c r="AX209" s="273"/>
      <c r="AY209" s="273"/>
      <c r="AZ209" s="273"/>
      <c r="BA209" s="273"/>
      <c r="BB209" s="273"/>
      <c r="BC209" s="273"/>
      <c r="BD209" s="273"/>
      <c r="BE209" s="273"/>
      <c r="BF209" s="273"/>
      <c r="BG209" s="273"/>
      <c r="BH209" s="273"/>
      <c r="BI209" s="273"/>
      <c r="BJ209" s="273"/>
      <c r="BK209" s="273"/>
      <c r="BL209" s="273"/>
      <c r="BM209" s="273"/>
      <c r="BN209" s="273"/>
      <c r="BO209" s="273"/>
      <c r="BP209" s="273"/>
      <c r="BQ209" s="273"/>
      <c r="BR209" s="273"/>
      <c r="BS209" s="273"/>
      <c r="BT209" s="273"/>
      <c r="BU209" s="273"/>
      <c r="BV209" s="273"/>
      <c r="BW209" s="273"/>
    </row>
    <row r="210">
      <c r="A210" s="259" t="str">
        <f>VLOOKUP($F210,UpdateHashtag!$V$3:$Y$32,COLUMN(B$15),0)</f>
        <v>#N/A</v>
      </c>
      <c r="B210" s="259" t="str">
        <f>VLOOKUP($F210,UpdateHashtag!$V$3:$Y$32,COLUMN(C$13),0)</f>
        <v>#N/A</v>
      </c>
      <c r="C210" s="259" t="str">
        <f>VLOOKUP($F210,UpdateHashtag!$V$3:$Y$32,COLUMN(D$13),0)</f>
        <v>#N/A</v>
      </c>
      <c r="D210" s="329" t="str">
        <f t="shared" si="4"/>
        <v>#N/A</v>
      </c>
      <c r="E210" s="21"/>
      <c r="F210" s="261" t="str">
        <f>VLOOKUP(J210,UpdateBBM!$C$2:E1015,3,0)</f>
        <v>#N/A</v>
      </c>
      <c r="G210" s="248">
        <v>191.0</v>
      </c>
      <c r="H210" s="278"/>
      <c r="I210" s="278"/>
      <c r="J210" s="279"/>
      <c r="K210" s="278"/>
      <c r="L210" s="280"/>
      <c r="M210" s="281"/>
      <c r="N210" s="282"/>
      <c r="O210" s="282"/>
      <c r="P210" s="283"/>
      <c r="Q210" s="283"/>
      <c r="R210" s="283"/>
      <c r="S210" s="284"/>
      <c r="T210" s="283"/>
      <c r="U210" s="283"/>
      <c r="V210" s="280"/>
      <c r="W210" s="280"/>
      <c r="X210" s="280"/>
      <c r="Y210" s="283"/>
      <c r="Z210" s="351"/>
      <c r="AA210" s="351"/>
      <c r="AB210" s="351"/>
      <c r="AC210" s="351"/>
      <c r="AD210" s="351"/>
      <c r="AE210" s="351"/>
      <c r="AF210" s="351"/>
      <c r="AG210" s="351"/>
      <c r="AH210" s="285"/>
      <c r="AI210" s="273"/>
      <c r="AJ210" s="340"/>
      <c r="AK210" s="341"/>
      <c r="AL210" s="273"/>
      <c r="AM210" s="273"/>
      <c r="AN210" s="273"/>
      <c r="AO210" s="273"/>
      <c r="AP210" s="273"/>
      <c r="AQ210" s="273"/>
      <c r="AR210" s="273"/>
      <c r="AS210" s="273"/>
      <c r="AT210" s="273"/>
      <c r="AU210" s="273"/>
      <c r="AV210" s="273"/>
      <c r="AW210" s="273"/>
      <c r="AX210" s="273"/>
      <c r="AY210" s="273"/>
      <c r="AZ210" s="273"/>
      <c r="BA210" s="273"/>
      <c r="BB210" s="273"/>
      <c r="BC210" s="273"/>
      <c r="BD210" s="273"/>
      <c r="BE210" s="273"/>
      <c r="BF210" s="273"/>
      <c r="BG210" s="273"/>
      <c r="BH210" s="273"/>
      <c r="BI210" s="273"/>
      <c r="BJ210" s="273"/>
      <c r="BK210" s="273"/>
      <c r="BL210" s="273"/>
      <c r="BM210" s="273"/>
      <c r="BN210" s="273"/>
      <c r="BO210" s="273"/>
      <c r="BP210" s="273"/>
      <c r="BQ210" s="273"/>
      <c r="BR210" s="273"/>
      <c r="BS210" s="273"/>
      <c r="BT210" s="273"/>
      <c r="BU210" s="273"/>
      <c r="BV210" s="273"/>
      <c r="BW210" s="273"/>
    </row>
    <row r="211">
      <c r="A211" s="259" t="str">
        <f>VLOOKUP($F211,UpdateHashtag!$V$3:$Y$32,COLUMN(B$15),0)</f>
        <v>#N/A</v>
      </c>
      <c r="B211" s="259" t="str">
        <f>VLOOKUP($F211,UpdateHashtag!$V$3:$Y$32,COLUMN(C$13),0)</f>
        <v>#N/A</v>
      </c>
      <c r="C211" s="259" t="str">
        <f>VLOOKUP($F211,UpdateHashtag!$V$3:$Y$32,COLUMN(D$13),0)</f>
        <v>#N/A</v>
      </c>
      <c r="D211" s="329" t="str">
        <f t="shared" si="4"/>
        <v>#N/A</v>
      </c>
      <c r="E211" s="21"/>
      <c r="F211" s="261" t="str">
        <f>VLOOKUP(J211,UpdateBBM!$C$2:E1015,3,0)</f>
        <v>#N/A</v>
      </c>
      <c r="G211" s="248">
        <v>192.0</v>
      </c>
      <c r="H211" s="278"/>
      <c r="I211" s="278"/>
      <c r="J211" s="279"/>
      <c r="K211" s="278"/>
      <c r="L211" s="280"/>
      <c r="M211" s="281"/>
      <c r="N211" s="282"/>
      <c r="O211" s="282"/>
      <c r="P211" s="283"/>
      <c r="Q211" s="283"/>
      <c r="R211" s="283"/>
      <c r="S211" s="284"/>
      <c r="T211" s="283"/>
      <c r="U211" s="283"/>
      <c r="V211" s="280"/>
      <c r="W211" s="280"/>
      <c r="X211" s="280"/>
      <c r="Y211" s="283"/>
      <c r="Z211" s="351"/>
      <c r="AA211" s="351"/>
      <c r="AB211" s="351"/>
      <c r="AC211" s="351"/>
      <c r="AD211" s="351"/>
      <c r="AE211" s="351"/>
      <c r="AF211" s="351"/>
      <c r="AG211" s="351"/>
      <c r="AH211" s="285"/>
      <c r="AI211" s="273"/>
      <c r="AJ211" s="340"/>
      <c r="AK211" s="341"/>
      <c r="AL211" s="273"/>
      <c r="AM211" s="273"/>
      <c r="AN211" s="273"/>
      <c r="AO211" s="273"/>
      <c r="AP211" s="273"/>
      <c r="AQ211" s="273"/>
      <c r="AR211" s="273"/>
      <c r="AS211" s="273"/>
      <c r="AT211" s="273"/>
      <c r="AU211" s="273"/>
      <c r="AV211" s="273"/>
      <c r="AW211" s="273"/>
      <c r="AX211" s="273"/>
      <c r="AY211" s="273"/>
      <c r="AZ211" s="273"/>
      <c r="BA211" s="273"/>
      <c r="BB211" s="273"/>
      <c r="BC211" s="273"/>
      <c r="BD211" s="273"/>
      <c r="BE211" s="273"/>
      <c r="BF211" s="273"/>
      <c r="BG211" s="273"/>
      <c r="BH211" s="273"/>
      <c r="BI211" s="273"/>
      <c r="BJ211" s="273"/>
      <c r="BK211" s="273"/>
      <c r="BL211" s="273"/>
      <c r="BM211" s="273"/>
      <c r="BN211" s="273"/>
      <c r="BO211" s="273"/>
      <c r="BP211" s="273"/>
      <c r="BQ211" s="273"/>
      <c r="BR211" s="273"/>
      <c r="BS211" s="273"/>
      <c r="BT211" s="273"/>
      <c r="BU211" s="273"/>
      <c r="BV211" s="273"/>
      <c r="BW211" s="273"/>
    </row>
    <row r="212">
      <c r="A212" s="259" t="str">
        <f>VLOOKUP($F212,UpdateHashtag!$V$3:$Y$32,COLUMN(B$15),0)</f>
        <v>#N/A</v>
      </c>
      <c r="B212" s="259" t="str">
        <f>VLOOKUP($F212,UpdateHashtag!$V$3:$Y$32,COLUMN(C$13),0)</f>
        <v>#N/A</v>
      </c>
      <c r="C212" s="259" t="str">
        <f>VLOOKUP($F212,UpdateHashtag!$V$3:$Y$32,COLUMN(D$13),0)</f>
        <v>#N/A</v>
      </c>
      <c r="D212" s="329" t="str">
        <f t="shared" si="4"/>
        <v>#N/A</v>
      </c>
      <c r="E212" s="21"/>
      <c r="F212" s="261" t="str">
        <f>VLOOKUP(J212,UpdateBBM!$C$2:E1015,3,0)</f>
        <v>#N/A</v>
      </c>
      <c r="G212" s="248">
        <v>193.0</v>
      </c>
      <c r="H212" s="278"/>
      <c r="I212" s="278"/>
      <c r="J212" s="279"/>
      <c r="K212" s="278"/>
      <c r="L212" s="280"/>
      <c r="M212" s="281"/>
      <c r="N212" s="282"/>
      <c r="O212" s="282"/>
      <c r="P212" s="283"/>
      <c r="Q212" s="283"/>
      <c r="R212" s="283"/>
      <c r="S212" s="284"/>
      <c r="T212" s="283"/>
      <c r="U212" s="283"/>
      <c r="V212" s="280"/>
      <c r="W212" s="280"/>
      <c r="X212" s="280"/>
      <c r="Y212" s="283"/>
      <c r="Z212" s="351"/>
      <c r="AA212" s="351"/>
      <c r="AB212" s="351"/>
      <c r="AC212" s="351"/>
      <c r="AD212" s="351"/>
      <c r="AE212" s="351"/>
      <c r="AF212" s="351"/>
      <c r="AG212" s="351"/>
      <c r="AH212" s="285"/>
      <c r="AI212" s="273"/>
      <c r="AJ212" s="340"/>
      <c r="AK212" s="341"/>
      <c r="AL212" s="273"/>
      <c r="AM212" s="273"/>
      <c r="AN212" s="273"/>
      <c r="AO212" s="273"/>
      <c r="AP212" s="273"/>
      <c r="AQ212" s="273"/>
      <c r="AR212" s="273"/>
      <c r="AS212" s="273"/>
      <c r="AT212" s="273"/>
      <c r="AU212" s="273"/>
      <c r="AV212" s="273"/>
      <c r="AW212" s="273"/>
      <c r="AX212" s="273"/>
      <c r="AY212" s="273"/>
      <c r="AZ212" s="273"/>
      <c r="BA212" s="273"/>
      <c r="BB212" s="273"/>
      <c r="BC212" s="273"/>
      <c r="BD212" s="273"/>
      <c r="BE212" s="273"/>
      <c r="BF212" s="273"/>
      <c r="BG212" s="273"/>
      <c r="BH212" s="273"/>
      <c r="BI212" s="273"/>
      <c r="BJ212" s="273"/>
      <c r="BK212" s="273"/>
      <c r="BL212" s="273"/>
      <c r="BM212" s="273"/>
      <c r="BN212" s="273"/>
      <c r="BO212" s="273"/>
      <c r="BP212" s="273"/>
      <c r="BQ212" s="273"/>
      <c r="BR212" s="273"/>
      <c r="BS212" s="273"/>
      <c r="BT212" s="273"/>
      <c r="BU212" s="273"/>
      <c r="BV212" s="273"/>
      <c r="BW212" s="273"/>
    </row>
    <row r="213">
      <c r="A213" s="259" t="str">
        <f>VLOOKUP($F213,UpdateHashtag!$V$3:$Y$32,COLUMN(B$15),0)</f>
        <v>#N/A</v>
      </c>
      <c r="B213" s="259" t="str">
        <f>VLOOKUP($F213,UpdateHashtag!$V$3:$Y$32,COLUMN(C$13),0)</f>
        <v>#N/A</v>
      </c>
      <c r="C213" s="259" t="str">
        <f>VLOOKUP($F213,UpdateHashtag!$V$3:$Y$32,COLUMN(D$13),0)</f>
        <v>#N/A</v>
      </c>
      <c r="D213" s="329" t="str">
        <f t="shared" si="4"/>
        <v>#N/A</v>
      </c>
      <c r="E213" s="21"/>
      <c r="F213" s="261" t="str">
        <f>VLOOKUP(J213,UpdateBBM!$C$2:E1015,3,0)</f>
        <v>#N/A</v>
      </c>
      <c r="G213" s="248">
        <v>194.0</v>
      </c>
      <c r="H213" s="278"/>
      <c r="I213" s="278"/>
      <c r="J213" s="279"/>
      <c r="K213" s="278"/>
      <c r="L213" s="280"/>
      <c r="M213" s="281"/>
      <c r="N213" s="282"/>
      <c r="O213" s="282"/>
      <c r="P213" s="283"/>
      <c r="Q213" s="283"/>
      <c r="R213" s="283"/>
      <c r="S213" s="284"/>
      <c r="T213" s="283"/>
      <c r="U213" s="283"/>
      <c r="V213" s="280"/>
      <c r="W213" s="280"/>
      <c r="X213" s="280"/>
      <c r="Y213" s="283"/>
      <c r="Z213" s="351"/>
      <c r="AA213" s="351"/>
      <c r="AB213" s="351"/>
      <c r="AC213" s="351"/>
      <c r="AD213" s="351"/>
      <c r="AE213" s="351"/>
      <c r="AF213" s="351"/>
      <c r="AG213" s="351"/>
      <c r="AH213" s="285"/>
      <c r="AI213" s="273"/>
      <c r="AJ213" s="340"/>
      <c r="AK213" s="341"/>
      <c r="AL213" s="273"/>
      <c r="AM213" s="273"/>
      <c r="AN213" s="273"/>
      <c r="AO213" s="273"/>
      <c r="AP213" s="273"/>
      <c r="AQ213" s="273"/>
      <c r="AR213" s="273"/>
      <c r="AS213" s="273"/>
      <c r="AT213" s="273"/>
      <c r="AU213" s="273"/>
      <c r="AV213" s="273"/>
      <c r="AW213" s="273"/>
      <c r="AX213" s="273"/>
      <c r="AY213" s="273"/>
      <c r="AZ213" s="273"/>
      <c r="BA213" s="273"/>
      <c r="BB213" s="273"/>
      <c r="BC213" s="273"/>
      <c r="BD213" s="273"/>
      <c r="BE213" s="273"/>
      <c r="BF213" s="273"/>
      <c r="BG213" s="273"/>
      <c r="BH213" s="273"/>
      <c r="BI213" s="273"/>
      <c r="BJ213" s="273"/>
      <c r="BK213" s="273"/>
      <c r="BL213" s="273"/>
      <c r="BM213" s="273"/>
      <c r="BN213" s="273"/>
      <c r="BO213" s="273"/>
      <c r="BP213" s="273"/>
      <c r="BQ213" s="273"/>
      <c r="BR213" s="273"/>
      <c r="BS213" s="273"/>
      <c r="BT213" s="273"/>
      <c r="BU213" s="273"/>
      <c r="BV213" s="273"/>
      <c r="BW213" s="273"/>
    </row>
    <row r="214">
      <c r="A214" s="259" t="str">
        <f>VLOOKUP($F214,UpdateHashtag!$V$3:$Y$32,COLUMN(B$15),0)</f>
        <v>#N/A</v>
      </c>
      <c r="B214" s="259" t="str">
        <f>VLOOKUP($F214,UpdateHashtag!$V$3:$Y$32,COLUMN(C$13),0)</f>
        <v>#N/A</v>
      </c>
      <c r="C214" s="259" t="str">
        <f>VLOOKUP($F214,UpdateHashtag!$V$3:$Y$32,COLUMN(D$13),0)</f>
        <v>#N/A</v>
      </c>
      <c r="D214" s="329" t="str">
        <f t="shared" si="4"/>
        <v>#N/A</v>
      </c>
      <c r="E214" s="21"/>
      <c r="F214" s="261" t="str">
        <f>VLOOKUP(J214,UpdateBBM!$C$2:E1015,3,0)</f>
        <v>#N/A</v>
      </c>
      <c r="G214" s="248">
        <v>195.0</v>
      </c>
      <c r="H214" s="278"/>
      <c r="I214" s="278"/>
      <c r="J214" s="279"/>
      <c r="K214" s="278"/>
      <c r="L214" s="280"/>
      <c r="M214" s="281"/>
      <c r="N214" s="282"/>
      <c r="O214" s="282"/>
      <c r="P214" s="283"/>
      <c r="Q214" s="283"/>
      <c r="R214" s="283"/>
      <c r="S214" s="284"/>
      <c r="T214" s="283"/>
      <c r="U214" s="283"/>
      <c r="V214" s="280"/>
      <c r="W214" s="280"/>
      <c r="X214" s="280"/>
      <c r="Y214" s="283"/>
      <c r="Z214" s="351"/>
      <c r="AA214" s="351"/>
      <c r="AB214" s="351"/>
      <c r="AC214" s="351"/>
      <c r="AD214" s="351"/>
      <c r="AE214" s="351"/>
      <c r="AF214" s="351"/>
      <c r="AG214" s="351"/>
      <c r="AH214" s="285"/>
      <c r="AI214" s="273"/>
      <c r="AJ214" s="340"/>
      <c r="AK214" s="341"/>
      <c r="AL214" s="273"/>
      <c r="AM214" s="273"/>
      <c r="AN214" s="273"/>
      <c r="AO214" s="273"/>
      <c r="AP214" s="273"/>
      <c r="AQ214" s="273"/>
      <c r="AR214" s="273"/>
      <c r="AS214" s="273"/>
      <c r="AT214" s="273"/>
      <c r="AU214" s="273"/>
      <c r="AV214" s="273"/>
      <c r="AW214" s="273"/>
      <c r="AX214" s="273"/>
      <c r="AY214" s="273"/>
      <c r="AZ214" s="273"/>
      <c r="BA214" s="273"/>
      <c r="BB214" s="273"/>
      <c r="BC214" s="273"/>
      <c r="BD214" s="273"/>
      <c r="BE214" s="273"/>
      <c r="BF214" s="273"/>
      <c r="BG214" s="273"/>
      <c r="BH214" s="273"/>
      <c r="BI214" s="273"/>
      <c r="BJ214" s="273"/>
      <c r="BK214" s="273"/>
      <c r="BL214" s="273"/>
      <c r="BM214" s="273"/>
      <c r="BN214" s="273"/>
      <c r="BO214" s="273"/>
      <c r="BP214" s="273"/>
      <c r="BQ214" s="273"/>
      <c r="BR214" s="273"/>
      <c r="BS214" s="273"/>
      <c r="BT214" s="273"/>
      <c r="BU214" s="273"/>
      <c r="BV214" s="273"/>
      <c r="BW214" s="273"/>
    </row>
    <row r="215">
      <c r="A215" s="259" t="str">
        <f>VLOOKUP($F215,UpdateHashtag!$V$3:$Y$32,COLUMN(B$15),0)</f>
        <v>#N/A</v>
      </c>
      <c r="B215" s="259" t="str">
        <f>VLOOKUP($F215,UpdateHashtag!$V$3:$Y$32,COLUMN(C$13),0)</f>
        <v>#N/A</v>
      </c>
      <c r="C215" s="259" t="str">
        <f>VLOOKUP($F215,UpdateHashtag!$V$3:$Y$32,COLUMN(D$13),0)</f>
        <v>#N/A</v>
      </c>
      <c r="D215" s="329" t="str">
        <f t="shared" si="4"/>
        <v>#N/A</v>
      </c>
      <c r="E215" s="21"/>
      <c r="F215" s="261" t="str">
        <f>VLOOKUP(J215,UpdateBBM!$C$2:E1015,3,0)</f>
        <v>#N/A</v>
      </c>
      <c r="G215" s="248">
        <v>196.0</v>
      </c>
      <c r="H215" s="278"/>
      <c r="I215" s="278"/>
      <c r="J215" s="279"/>
      <c r="K215" s="278"/>
      <c r="L215" s="280"/>
      <c r="M215" s="281"/>
      <c r="N215" s="282"/>
      <c r="O215" s="282"/>
      <c r="P215" s="283"/>
      <c r="Q215" s="283"/>
      <c r="R215" s="283"/>
      <c r="S215" s="284"/>
      <c r="T215" s="283"/>
      <c r="U215" s="283"/>
      <c r="V215" s="280"/>
      <c r="W215" s="280"/>
      <c r="X215" s="280"/>
      <c r="Y215" s="283"/>
      <c r="Z215" s="351"/>
      <c r="AA215" s="351"/>
      <c r="AB215" s="351"/>
      <c r="AC215" s="351"/>
      <c r="AD215" s="351"/>
      <c r="AE215" s="351"/>
      <c r="AF215" s="351"/>
      <c r="AG215" s="351"/>
      <c r="AH215" s="285"/>
      <c r="AI215" s="273"/>
      <c r="AJ215" s="340"/>
      <c r="AK215" s="341"/>
      <c r="AL215" s="273"/>
      <c r="AM215" s="273"/>
      <c r="AN215" s="273"/>
      <c r="AO215" s="273"/>
      <c r="AP215" s="273"/>
      <c r="AQ215" s="273"/>
      <c r="AR215" s="273"/>
      <c r="AS215" s="273"/>
      <c r="AT215" s="273"/>
      <c r="AU215" s="273"/>
      <c r="AV215" s="273"/>
      <c r="AW215" s="273"/>
      <c r="AX215" s="273"/>
      <c r="AY215" s="273"/>
      <c r="AZ215" s="273"/>
      <c r="BA215" s="273"/>
      <c r="BB215" s="273"/>
      <c r="BC215" s="273"/>
      <c r="BD215" s="273"/>
      <c r="BE215" s="273"/>
      <c r="BF215" s="273"/>
      <c r="BG215" s="273"/>
      <c r="BH215" s="273"/>
      <c r="BI215" s="273"/>
      <c r="BJ215" s="273"/>
      <c r="BK215" s="273"/>
      <c r="BL215" s="273"/>
      <c r="BM215" s="273"/>
      <c r="BN215" s="273"/>
      <c r="BO215" s="273"/>
      <c r="BP215" s="273"/>
      <c r="BQ215" s="273"/>
      <c r="BR215" s="273"/>
      <c r="BS215" s="273"/>
      <c r="BT215" s="273"/>
      <c r="BU215" s="273"/>
      <c r="BV215" s="273"/>
      <c r="BW215" s="273"/>
    </row>
    <row r="216">
      <c r="A216" s="259" t="str">
        <f>VLOOKUP($F216,UpdateHashtag!$V$3:$Y$32,COLUMN(B$15),0)</f>
        <v>#N/A</v>
      </c>
      <c r="B216" s="259" t="str">
        <f>VLOOKUP($F216,UpdateHashtag!$V$3:$Y$32,COLUMN(C$13),0)</f>
        <v>#N/A</v>
      </c>
      <c r="C216" s="259" t="str">
        <f>VLOOKUP($F216,UpdateHashtag!$V$3:$Y$32,COLUMN(D$13),0)</f>
        <v>#N/A</v>
      </c>
      <c r="D216" s="329" t="str">
        <f t="shared" si="4"/>
        <v>#N/A</v>
      </c>
      <c r="E216" s="21"/>
      <c r="F216" s="261" t="str">
        <f>VLOOKUP(J216,UpdateBBM!$C$2:E1015,3,0)</f>
        <v>#N/A</v>
      </c>
      <c r="G216" s="248">
        <v>197.0</v>
      </c>
      <c r="H216" s="278"/>
      <c r="I216" s="278"/>
      <c r="J216" s="279"/>
      <c r="K216" s="278"/>
      <c r="L216" s="280"/>
      <c r="M216" s="281"/>
      <c r="N216" s="282"/>
      <c r="O216" s="282"/>
      <c r="P216" s="283"/>
      <c r="Q216" s="283"/>
      <c r="R216" s="283"/>
      <c r="S216" s="284"/>
      <c r="T216" s="283"/>
      <c r="U216" s="283"/>
      <c r="V216" s="280"/>
      <c r="W216" s="280"/>
      <c r="X216" s="280"/>
      <c r="Y216" s="283"/>
      <c r="Z216" s="351"/>
      <c r="AA216" s="351"/>
      <c r="AB216" s="351"/>
      <c r="AC216" s="351"/>
      <c r="AD216" s="351"/>
      <c r="AE216" s="351"/>
      <c r="AF216" s="351"/>
      <c r="AG216" s="351"/>
      <c r="AH216" s="285"/>
      <c r="AI216" s="273"/>
      <c r="AJ216" s="340"/>
      <c r="AK216" s="341"/>
      <c r="AL216" s="273"/>
      <c r="AM216" s="273"/>
      <c r="AN216" s="273"/>
      <c r="AO216" s="273"/>
      <c r="AP216" s="273"/>
      <c r="AQ216" s="273"/>
      <c r="AR216" s="273"/>
      <c r="AS216" s="273"/>
      <c r="AT216" s="273"/>
      <c r="AU216" s="273"/>
      <c r="AV216" s="273"/>
      <c r="AW216" s="273"/>
      <c r="AX216" s="273"/>
      <c r="AY216" s="273"/>
      <c r="AZ216" s="273"/>
      <c r="BA216" s="273"/>
      <c r="BB216" s="273"/>
      <c r="BC216" s="273"/>
      <c r="BD216" s="273"/>
      <c r="BE216" s="273"/>
      <c r="BF216" s="273"/>
      <c r="BG216" s="273"/>
      <c r="BH216" s="273"/>
      <c r="BI216" s="273"/>
      <c r="BJ216" s="273"/>
      <c r="BK216" s="273"/>
      <c r="BL216" s="273"/>
      <c r="BM216" s="273"/>
      <c r="BN216" s="273"/>
      <c r="BO216" s="273"/>
      <c r="BP216" s="273"/>
      <c r="BQ216" s="273"/>
      <c r="BR216" s="273"/>
      <c r="BS216" s="273"/>
      <c r="BT216" s="273"/>
      <c r="BU216" s="273"/>
      <c r="BV216" s="273"/>
      <c r="BW216" s="273"/>
    </row>
    <row r="217">
      <c r="A217" s="259" t="str">
        <f>VLOOKUP($F217,UpdateHashtag!$V$3:$Y$32,COLUMN(B$15),0)</f>
        <v>#N/A</v>
      </c>
      <c r="B217" s="259" t="str">
        <f>VLOOKUP($F217,UpdateHashtag!$V$3:$Y$32,COLUMN(C$13),0)</f>
        <v>#N/A</v>
      </c>
      <c r="C217" s="259" t="str">
        <f>VLOOKUP($F217,UpdateHashtag!$V$3:$Y$32,COLUMN(D$13),0)</f>
        <v>#N/A</v>
      </c>
      <c r="D217" s="329" t="str">
        <f t="shared" si="4"/>
        <v>#N/A</v>
      </c>
      <c r="E217" s="21"/>
      <c r="F217" s="261" t="str">
        <f>VLOOKUP(J217,UpdateBBM!$C$2:E1015,3,0)</f>
        <v>#N/A</v>
      </c>
      <c r="G217" s="248">
        <v>198.0</v>
      </c>
      <c r="H217" s="278"/>
      <c r="I217" s="278"/>
      <c r="J217" s="279"/>
      <c r="K217" s="278"/>
      <c r="L217" s="280"/>
      <c r="M217" s="281"/>
      <c r="N217" s="282"/>
      <c r="O217" s="282"/>
      <c r="P217" s="283"/>
      <c r="Q217" s="283"/>
      <c r="R217" s="283"/>
      <c r="S217" s="284"/>
      <c r="T217" s="283"/>
      <c r="U217" s="283"/>
      <c r="V217" s="280"/>
      <c r="W217" s="280"/>
      <c r="X217" s="280"/>
      <c r="Y217" s="283"/>
      <c r="Z217" s="351"/>
      <c r="AA217" s="351"/>
      <c r="AB217" s="351"/>
      <c r="AC217" s="351"/>
      <c r="AD217" s="351"/>
      <c r="AE217" s="351"/>
      <c r="AF217" s="351"/>
      <c r="AG217" s="351"/>
      <c r="AH217" s="285"/>
      <c r="AI217" s="273"/>
      <c r="AJ217" s="340"/>
      <c r="AK217" s="341"/>
      <c r="AL217" s="273"/>
      <c r="AM217" s="273"/>
      <c r="AN217" s="273"/>
      <c r="AO217" s="273"/>
      <c r="AP217" s="273"/>
      <c r="AQ217" s="273"/>
      <c r="AR217" s="273"/>
      <c r="AS217" s="273"/>
      <c r="AT217" s="273"/>
      <c r="AU217" s="273"/>
      <c r="AV217" s="273"/>
      <c r="AW217" s="273"/>
      <c r="AX217" s="273"/>
      <c r="AY217" s="273"/>
      <c r="AZ217" s="273"/>
      <c r="BA217" s="273"/>
      <c r="BB217" s="273"/>
      <c r="BC217" s="273"/>
      <c r="BD217" s="273"/>
      <c r="BE217" s="273"/>
      <c r="BF217" s="273"/>
      <c r="BG217" s="273"/>
      <c r="BH217" s="273"/>
      <c r="BI217" s="273"/>
      <c r="BJ217" s="273"/>
      <c r="BK217" s="273"/>
      <c r="BL217" s="273"/>
      <c r="BM217" s="273"/>
      <c r="BN217" s="273"/>
      <c r="BO217" s="273"/>
      <c r="BP217" s="273"/>
      <c r="BQ217" s="273"/>
      <c r="BR217" s="273"/>
      <c r="BS217" s="273"/>
      <c r="BT217" s="273"/>
      <c r="BU217" s="273"/>
      <c r="BV217" s="273"/>
      <c r="BW217" s="273"/>
    </row>
    <row r="218">
      <c r="A218" s="259" t="str">
        <f>VLOOKUP($F218,UpdateHashtag!$V$3:$Y$32,COLUMN(B$15),0)</f>
        <v>#N/A</v>
      </c>
      <c r="B218" s="259" t="str">
        <f>VLOOKUP($F218,UpdateHashtag!$V$3:$Y$32,COLUMN(C$13),0)</f>
        <v>#N/A</v>
      </c>
      <c r="C218" s="259" t="str">
        <f>VLOOKUP($F218,UpdateHashtag!$V$3:$Y$32,COLUMN(D$13),0)</f>
        <v>#N/A</v>
      </c>
      <c r="D218" s="329" t="str">
        <f t="shared" si="4"/>
        <v>#N/A</v>
      </c>
      <c r="E218" s="21"/>
      <c r="F218" s="261" t="str">
        <f>VLOOKUP(J218,UpdateBBM!$C$2:E1015,3,0)</f>
        <v>#N/A</v>
      </c>
      <c r="G218" s="248">
        <v>199.0</v>
      </c>
      <c r="H218" s="278"/>
      <c r="I218" s="278"/>
      <c r="J218" s="279"/>
      <c r="K218" s="278"/>
      <c r="L218" s="280"/>
      <c r="M218" s="281"/>
      <c r="N218" s="282"/>
      <c r="O218" s="282"/>
      <c r="P218" s="283"/>
      <c r="Q218" s="283"/>
      <c r="R218" s="283"/>
      <c r="S218" s="284"/>
      <c r="T218" s="283"/>
      <c r="U218" s="283"/>
      <c r="V218" s="280"/>
      <c r="W218" s="280"/>
      <c r="X218" s="280"/>
      <c r="Y218" s="283"/>
      <c r="Z218" s="351"/>
      <c r="AA218" s="351"/>
      <c r="AB218" s="351"/>
      <c r="AC218" s="351"/>
      <c r="AD218" s="351"/>
      <c r="AE218" s="351"/>
      <c r="AF218" s="351"/>
      <c r="AG218" s="351"/>
      <c r="AH218" s="285"/>
      <c r="AI218" s="273"/>
      <c r="AJ218" s="340"/>
      <c r="AK218" s="341"/>
      <c r="AL218" s="273"/>
      <c r="AM218" s="273"/>
      <c r="AN218" s="273"/>
      <c r="AO218" s="273"/>
      <c r="AP218" s="273"/>
      <c r="AQ218" s="273"/>
      <c r="AR218" s="273"/>
      <c r="AS218" s="273"/>
      <c r="AT218" s="273"/>
      <c r="AU218" s="273"/>
      <c r="AV218" s="273"/>
      <c r="AW218" s="273"/>
      <c r="AX218" s="273"/>
      <c r="AY218" s="273"/>
      <c r="AZ218" s="273"/>
      <c r="BA218" s="273"/>
      <c r="BB218" s="273"/>
      <c r="BC218" s="273"/>
      <c r="BD218" s="273"/>
      <c r="BE218" s="273"/>
      <c r="BF218" s="273"/>
      <c r="BG218" s="273"/>
      <c r="BH218" s="273"/>
      <c r="BI218" s="273"/>
      <c r="BJ218" s="273"/>
      <c r="BK218" s="273"/>
      <c r="BL218" s="273"/>
      <c r="BM218" s="273"/>
      <c r="BN218" s="273"/>
      <c r="BO218" s="273"/>
      <c r="BP218" s="273"/>
      <c r="BQ218" s="273"/>
      <c r="BR218" s="273"/>
      <c r="BS218" s="273"/>
      <c r="BT218" s="273"/>
      <c r="BU218" s="273"/>
      <c r="BV218" s="273"/>
      <c r="BW218" s="273"/>
    </row>
    <row r="219">
      <c r="A219" s="259" t="str">
        <f>VLOOKUP($F219,UpdateHashtag!$V$3:$Y$32,COLUMN(B$15),0)</f>
        <v>#N/A</v>
      </c>
      <c r="B219" s="259" t="str">
        <f>VLOOKUP($F219,UpdateHashtag!$V$3:$Y$32,COLUMN(C$13),0)</f>
        <v>#N/A</v>
      </c>
      <c r="C219" s="259" t="str">
        <f>VLOOKUP($F219,UpdateHashtag!$V$3:$Y$32,COLUMN(D$13),0)</f>
        <v>#N/A</v>
      </c>
      <c r="D219" s="329" t="str">
        <f t="shared" si="4"/>
        <v>#N/A</v>
      </c>
      <c r="E219" s="21"/>
      <c r="F219" s="261" t="str">
        <f>VLOOKUP(J219,UpdateBBM!$C$2:E1015,3,0)</f>
        <v>#N/A</v>
      </c>
      <c r="G219" s="248">
        <v>200.0</v>
      </c>
      <c r="H219" s="278"/>
      <c r="I219" s="278"/>
      <c r="J219" s="279"/>
      <c r="K219" s="278"/>
      <c r="L219" s="280"/>
      <c r="M219" s="281"/>
      <c r="N219" s="282"/>
      <c r="O219" s="282"/>
      <c r="P219" s="283"/>
      <c r="Q219" s="283"/>
      <c r="R219" s="283"/>
      <c r="S219" s="284"/>
      <c r="T219" s="283"/>
      <c r="U219" s="283"/>
      <c r="V219" s="280"/>
      <c r="W219" s="280"/>
      <c r="X219" s="280"/>
      <c r="Y219" s="283"/>
      <c r="Z219" s="351"/>
      <c r="AA219" s="351"/>
      <c r="AB219" s="351"/>
      <c r="AC219" s="351"/>
      <c r="AD219" s="351"/>
      <c r="AE219" s="351"/>
      <c r="AF219" s="351"/>
      <c r="AG219" s="351"/>
      <c r="AH219" s="285"/>
      <c r="AI219" s="273"/>
      <c r="AJ219" s="340"/>
      <c r="AK219" s="341"/>
      <c r="AL219" s="273"/>
      <c r="AM219" s="273"/>
      <c r="AN219" s="273"/>
      <c r="AO219" s="273"/>
      <c r="AP219" s="273"/>
      <c r="AQ219" s="273"/>
      <c r="AR219" s="273"/>
      <c r="AS219" s="273"/>
      <c r="AT219" s="273"/>
      <c r="AU219" s="273"/>
      <c r="AV219" s="273"/>
      <c r="AW219" s="273"/>
      <c r="AX219" s="273"/>
      <c r="AY219" s="273"/>
      <c r="AZ219" s="273"/>
      <c r="BA219" s="273"/>
      <c r="BB219" s="273"/>
      <c r="BC219" s="273"/>
      <c r="BD219" s="273"/>
      <c r="BE219" s="273"/>
      <c r="BF219" s="273"/>
      <c r="BG219" s="273"/>
      <c r="BH219" s="273"/>
      <c r="BI219" s="273"/>
      <c r="BJ219" s="273"/>
      <c r="BK219" s="273"/>
      <c r="BL219" s="273"/>
      <c r="BM219" s="273"/>
      <c r="BN219" s="273"/>
      <c r="BO219" s="273"/>
      <c r="BP219" s="273"/>
      <c r="BQ219" s="273"/>
      <c r="BR219" s="273"/>
      <c r="BS219" s="273"/>
      <c r="BT219" s="273"/>
      <c r="BU219" s="273"/>
      <c r="BV219" s="273"/>
      <c r="BW219" s="273"/>
    </row>
    <row r="220">
      <c r="A220" s="259" t="str">
        <f>VLOOKUP($F220,UpdateHashtag!$V$3:$Y$32,COLUMN(B$15),0)</f>
        <v>#N/A</v>
      </c>
      <c r="B220" s="259" t="str">
        <f>VLOOKUP($F220,UpdateHashtag!$V$3:$Y$32,COLUMN(C$13),0)</f>
        <v>#N/A</v>
      </c>
      <c r="C220" s="259" t="str">
        <f>VLOOKUP($F220,UpdateHashtag!$V$3:$Y$32,COLUMN(D$13),0)</f>
        <v>#N/A</v>
      </c>
      <c r="D220" s="329" t="str">
        <f t="shared" si="4"/>
        <v>#N/A</v>
      </c>
      <c r="E220" s="21"/>
      <c r="F220" s="261" t="str">
        <f>VLOOKUP(J220,UpdateBBM!$C$2:E1015,3,0)</f>
        <v>#N/A</v>
      </c>
      <c r="G220" s="248"/>
      <c r="H220" s="278"/>
      <c r="I220" s="278"/>
      <c r="J220" s="279"/>
      <c r="K220" s="278"/>
      <c r="L220" s="280"/>
      <c r="M220" s="281"/>
      <c r="N220" s="282"/>
      <c r="O220" s="282"/>
      <c r="P220" s="283"/>
      <c r="Q220" s="283"/>
      <c r="R220" s="283"/>
      <c r="S220" s="284"/>
      <c r="T220" s="283"/>
      <c r="U220" s="283"/>
      <c r="V220" s="280"/>
      <c r="W220" s="280"/>
      <c r="X220" s="280"/>
      <c r="Y220" s="283"/>
      <c r="Z220" s="351"/>
      <c r="AA220" s="351"/>
      <c r="AB220" s="351"/>
      <c r="AC220" s="351"/>
      <c r="AD220" s="351"/>
      <c r="AE220" s="351"/>
      <c r="AF220" s="351"/>
      <c r="AG220" s="351"/>
      <c r="AH220" s="285"/>
      <c r="AI220" s="273"/>
      <c r="AJ220" s="340"/>
      <c r="AK220" s="341"/>
      <c r="AL220" s="273"/>
      <c r="AM220" s="273"/>
      <c r="AN220" s="273"/>
      <c r="AO220" s="273"/>
      <c r="AP220" s="273"/>
      <c r="AQ220" s="273"/>
      <c r="AR220" s="273"/>
      <c r="AS220" s="273"/>
      <c r="AT220" s="273"/>
      <c r="AU220" s="273"/>
      <c r="AV220" s="273"/>
      <c r="AW220" s="273"/>
      <c r="AX220" s="273"/>
      <c r="AY220" s="273"/>
      <c r="AZ220" s="273"/>
      <c r="BA220" s="273"/>
      <c r="BB220" s="273"/>
      <c r="BC220" s="273"/>
      <c r="BD220" s="273"/>
      <c r="BE220" s="273"/>
      <c r="BF220" s="273"/>
      <c r="BG220" s="273"/>
      <c r="BH220" s="273"/>
      <c r="BI220" s="273"/>
      <c r="BJ220" s="273"/>
      <c r="BK220" s="273"/>
      <c r="BL220" s="273"/>
      <c r="BM220" s="273"/>
      <c r="BN220" s="273"/>
      <c r="BO220" s="273"/>
      <c r="BP220" s="273"/>
      <c r="BQ220" s="273"/>
      <c r="BR220" s="273"/>
      <c r="BS220" s="273"/>
      <c r="BT220" s="273"/>
      <c r="BU220" s="273"/>
      <c r="BV220" s="273"/>
      <c r="BW220" s="273"/>
    </row>
    <row r="221">
      <c r="A221" s="259" t="str">
        <f>VLOOKUP($F221,UpdateHashtag!$V$3:$Y$32,COLUMN(B$15),0)</f>
        <v>#N/A</v>
      </c>
      <c r="B221" s="259" t="str">
        <f>VLOOKUP($F221,UpdateHashtag!$V$3:$Y$32,COLUMN(C$13),0)</f>
        <v>#N/A</v>
      </c>
      <c r="C221" s="259" t="str">
        <f>VLOOKUP($F221,UpdateHashtag!$V$3:$Y$32,COLUMN(D$13),0)</f>
        <v>#N/A</v>
      </c>
      <c r="D221" s="329" t="str">
        <f t="shared" si="4"/>
        <v>#N/A</v>
      </c>
      <c r="E221" s="21"/>
      <c r="F221" s="261" t="str">
        <f>VLOOKUP(J221,UpdateBBM!$C$2:E1015,3,0)</f>
        <v>#N/A</v>
      </c>
      <c r="G221" s="31">
        <v>201.0</v>
      </c>
      <c r="H221" s="278"/>
      <c r="I221" s="278"/>
      <c r="J221" s="279"/>
      <c r="K221" s="278"/>
      <c r="L221" s="280"/>
      <c r="M221" s="281"/>
      <c r="N221" s="282"/>
      <c r="O221" s="282"/>
      <c r="P221" s="283"/>
      <c r="Q221" s="283"/>
      <c r="R221" s="283"/>
      <c r="S221" s="284"/>
      <c r="T221" s="283"/>
      <c r="U221" s="283"/>
      <c r="V221" s="280"/>
      <c r="W221" s="280"/>
      <c r="X221" s="280"/>
      <c r="Y221" s="283"/>
      <c r="Z221" s="351"/>
      <c r="AA221" s="351"/>
      <c r="AB221" s="351"/>
      <c r="AC221" s="351"/>
      <c r="AD221" s="351"/>
      <c r="AE221" s="351"/>
      <c r="AF221" s="351"/>
      <c r="AG221" s="351"/>
      <c r="AH221" s="285"/>
      <c r="AI221" s="273"/>
      <c r="AJ221" s="340"/>
      <c r="AK221" s="341"/>
      <c r="AL221" s="273"/>
      <c r="AM221" s="273"/>
      <c r="AN221" s="273"/>
      <c r="AO221" s="273"/>
      <c r="AP221" s="273"/>
      <c r="AQ221" s="273"/>
      <c r="AR221" s="273"/>
      <c r="AS221" s="273"/>
      <c r="AT221" s="273"/>
      <c r="AU221" s="273"/>
      <c r="AV221" s="273"/>
      <c r="AW221" s="273"/>
      <c r="AX221" s="273"/>
      <c r="AY221" s="273"/>
      <c r="AZ221" s="273"/>
      <c r="BA221" s="273"/>
      <c r="BB221" s="273"/>
      <c r="BC221" s="273"/>
      <c r="BD221" s="273"/>
      <c r="BE221" s="273"/>
      <c r="BF221" s="273"/>
      <c r="BG221" s="273"/>
      <c r="BH221" s="273"/>
      <c r="BI221" s="273"/>
      <c r="BJ221" s="273"/>
      <c r="BK221" s="273"/>
      <c r="BL221" s="273"/>
      <c r="BM221" s="273"/>
      <c r="BN221" s="273"/>
      <c r="BO221" s="273"/>
      <c r="BP221" s="273"/>
      <c r="BQ221" s="273"/>
      <c r="BR221" s="273"/>
      <c r="BS221" s="273"/>
      <c r="BT221" s="273"/>
      <c r="BU221" s="273"/>
      <c r="BV221" s="273"/>
      <c r="BW221" s="273"/>
    </row>
    <row r="222">
      <c r="A222" s="259" t="str">
        <f>VLOOKUP($F222,UpdateHashtag!$V$3:$Y$32,COLUMN(B$15),0)</f>
        <v>#N/A</v>
      </c>
      <c r="B222" s="259" t="str">
        <f>VLOOKUP($F222,UpdateHashtag!$V$3:$Y$32,COLUMN(C$13),0)</f>
        <v>#N/A</v>
      </c>
      <c r="C222" s="259" t="str">
        <f>VLOOKUP($F222,UpdateHashtag!$V$3:$Y$32,COLUMN(D$13),0)</f>
        <v>#N/A</v>
      </c>
      <c r="D222" s="329" t="str">
        <f t="shared" si="4"/>
        <v>#N/A</v>
      </c>
      <c r="E222" s="21"/>
      <c r="F222" s="261" t="str">
        <f>VLOOKUP(J222,UpdateBBM!$C$2:E1015,3,0)</f>
        <v>#N/A</v>
      </c>
      <c r="G222" s="31">
        <v>202.0</v>
      </c>
      <c r="H222" s="278"/>
      <c r="I222" s="278"/>
      <c r="J222" s="279"/>
      <c r="K222" s="278"/>
      <c r="L222" s="280"/>
      <c r="M222" s="281"/>
      <c r="N222" s="282"/>
      <c r="O222" s="282"/>
      <c r="P222" s="283"/>
      <c r="Q222" s="283"/>
      <c r="R222" s="283"/>
      <c r="S222" s="284"/>
      <c r="T222" s="283"/>
      <c r="U222" s="283"/>
      <c r="V222" s="280"/>
      <c r="W222" s="280"/>
      <c r="X222" s="280"/>
      <c r="Y222" s="283"/>
      <c r="Z222" s="351"/>
      <c r="AA222" s="351"/>
      <c r="AB222" s="351"/>
      <c r="AC222" s="351"/>
      <c r="AD222" s="351"/>
      <c r="AE222" s="351"/>
      <c r="AF222" s="351"/>
      <c r="AG222" s="351"/>
      <c r="AH222" s="285"/>
      <c r="AI222" s="273"/>
      <c r="AJ222" s="340"/>
      <c r="AK222" s="341"/>
      <c r="AL222" s="273"/>
      <c r="AM222" s="273"/>
      <c r="AN222" s="273"/>
      <c r="AO222" s="273"/>
      <c r="AP222" s="273"/>
      <c r="AQ222" s="273"/>
      <c r="AR222" s="273"/>
      <c r="AS222" s="273"/>
      <c r="AT222" s="273"/>
      <c r="AU222" s="273"/>
      <c r="AV222" s="273"/>
      <c r="AW222" s="273"/>
      <c r="AX222" s="273"/>
      <c r="AY222" s="273"/>
      <c r="AZ222" s="273"/>
      <c r="BA222" s="273"/>
      <c r="BB222" s="273"/>
      <c r="BC222" s="273"/>
      <c r="BD222" s="273"/>
      <c r="BE222" s="273"/>
      <c r="BF222" s="273"/>
      <c r="BG222" s="273"/>
      <c r="BH222" s="273"/>
      <c r="BI222" s="273"/>
      <c r="BJ222" s="273"/>
      <c r="BK222" s="273"/>
      <c r="BL222" s="273"/>
      <c r="BM222" s="273"/>
      <c r="BN222" s="273"/>
      <c r="BO222" s="273"/>
      <c r="BP222" s="273"/>
      <c r="BQ222" s="273"/>
      <c r="BR222" s="273"/>
      <c r="BS222" s="273"/>
      <c r="BT222" s="273"/>
      <c r="BU222" s="273"/>
      <c r="BV222" s="273"/>
      <c r="BW222" s="273"/>
    </row>
    <row r="223">
      <c r="A223" s="259" t="str">
        <f>VLOOKUP($F223,UpdateHashtag!$V$3:$Y$32,COLUMN(B$15),0)</f>
        <v>#N/A</v>
      </c>
      <c r="B223" s="259" t="str">
        <f>VLOOKUP($F223,UpdateHashtag!$V$3:$Y$32,COLUMN(C$13),0)</f>
        <v>#N/A</v>
      </c>
      <c r="C223" s="259" t="str">
        <f>VLOOKUP($F223,UpdateHashtag!$V$3:$Y$32,COLUMN(D$13),0)</f>
        <v>#N/A</v>
      </c>
      <c r="D223" s="329" t="str">
        <f t="shared" si="4"/>
        <v>#N/A</v>
      </c>
      <c r="E223" s="21"/>
      <c r="F223" s="261" t="str">
        <f>VLOOKUP(J223,UpdateBBM!$C$2:E1015,3,0)</f>
        <v>#N/A</v>
      </c>
      <c r="G223" s="31">
        <v>203.0</v>
      </c>
      <c r="H223" s="278"/>
      <c r="I223" s="278"/>
      <c r="J223" s="279"/>
      <c r="K223" s="278"/>
      <c r="L223" s="280"/>
      <c r="M223" s="281"/>
      <c r="N223" s="282"/>
      <c r="O223" s="282"/>
      <c r="P223" s="283"/>
      <c r="Q223" s="283"/>
      <c r="R223" s="283"/>
      <c r="S223" s="284"/>
      <c r="T223" s="283"/>
      <c r="U223" s="283"/>
      <c r="V223" s="280"/>
      <c r="W223" s="280"/>
      <c r="X223" s="280"/>
      <c r="Y223" s="283"/>
      <c r="Z223" s="351"/>
      <c r="AA223" s="351"/>
      <c r="AB223" s="351"/>
      <c r="AC223" s="351"/>
      <c r="AD223" s="351"/>
      <c r="AE223" s="351"/>
      <c r="AF223" s="351"/>
      <c r="AG223" s="351"/>
      <c r="AH223" s="285"/>
      <c r="AI223" s="273"/>
      <c r="AJ223" s="340"/>
      <c r="AK223" s="341"/>
      <c r="AL223" s="273"/>
      <c r="AM223" s="273"/>
      <c r="AN223" s="273"/>
      <c r="AO223" s="273"/>
      <c r="AP223" s="273"/>
      <c r="AQ223" s="273"/>
      <c r="AR223" s="273"/>
      <c r="AS223" s="273"/>
      <c r="AT223" s="273"/>
      <c r="AU223" s="273"/>
      <c r="AV223" s="273"/>
      <c r="AW223" s="273"/>
      <c r="AX223" s="273"/>
      <c r="AY223" s="273"/>
      <c r="AZ223" s="273"/>
      <c r="BA223" s="273"/>
      <c r="BB223" s="273"/>
      <c r="BC223" s="273"/>
      <c r="BD223" s="273"/>
      <c r="BE223" s="273"/>
      <c r="BF223" s="273"/>
      <c r="BG223" s="273"/>
      <c r="BH223" s="273"/>
      <c r="BI223" s="273"/>
      <c r="BJ223" s="273"/>
      <c r="BK223" s="273"/>
      <c r="BL223" s="273"/>
      <c r="BM223" s="273"/>
      <c r="BN223" s="273"/>
      <c r="BO223" s="273"/>
      <c r="BP223" s="273"/>
      <c r="BQ223" s="273"/>
      <c r="BR223" s="273"/>
      <c r="BS223" s="273"/>
      <c r="BT223" s="273"/>
      <c r="BU223" s="273"/>
      <c r="BV223" s="273"/>
      <c r="BW223" s="273"/>
    </row>
    <row r="224">
      <c r="A224" s="259" t="str">
        <f>VLOOKUP($F224,UpdateHashtag!$V$3:$Y$32,COLUMN(B$15),0)</f>
        <v>#N/A</v>
      </c>
      <c r="B224" s="259" t="str">
        <f>VLOOKUP($F224,UpdateHashtag!$V$3:$Y$32,COLUMN(C$13),0)</f>
        <v>#N/A</v>
      </c>
      <c r="C224" s="259" t="str">
        <f>VLOOKUP($F224,UpdateHashtag!$V$3:$Y$32,COLUMN(D$13),0)</f>
        <v>#N/A</v>
      </c>
      <c r="D224" s="329" t="str">
        <f t="shared" si="4"/>
        <v>#N/A</v>
      </c>
      <c r="E224" s="21"/>
      <c r="F224" s="261" t="str">
        <f>VLOOKUP(J224,UpdateBBM!$C$2:E1015,3,0)</f>
        <v>#N/A</v>
      </c>
      <c r="G224" s="31">
        <v>204.0</v>
      </c>
      <c r="H224" s="278"/>
      <c r="I224" s="278"/>
      <c r="J224" s="279"/>
      <c r="K224" s="278"/>
      <c r="L224" s="280"/>
      <c r="M224" s="281"/>
      <c r="N224" s="282"/>
      <c r="O224" s="282"/>
      <c r="P224" s="283"/>
      <c r="Q224" s="283"/>
      <c r="R224" s="283"/>
      <c r="S224" s="284"/>
      <c r="T224" s="283"/>
      <c r="U224" s="283"/>
      <c r="V224" s="280"/>
      <c r="W224" s="280"/>
      <c r="X224" s="280"/>
      <c r="Y224" s="283"/>
      <c r="Z224" s="351"/>
      <c r="AA224" s="351"/>
      <c r="AB224" s="351"/>
      <c r="AC224" s="351"/>
      <c r="AD224" s="351"/>
      <c r="AE224" s="351"/>
      <c r="AF224" s="351"/>
      <c r="AG224" s="351"/>
      <c r="AH224" s="285"/>
      <c r="AI224" s="273"/>
      <c r="AJ224" s="340"/>
      <c r="AK224" s="341"/>
      <c r="AL224" s="273"/>
      <c r="AM224" s="273"/>
      <c r="AN224" s="273"/>
      <c r="AO224" s="273"/>
      <c r="AP224" s="273"/>
      <c r="AQ224" s="273"/>
      <c r="AR224" s="273"/>
      <c r="AS224" s="273"/>
      <c r="AT224" s="273"/>
      <c r="AU224" s="273"/>
      <c r="AV224" s="273"/>
      <c r="AW224" s="273"/>
      <c r="AX224" s="273"/>
      <c r="AY224" s="273"/>
      <c r="AZ224" s="273"/>
      <c r="BA224" s="273"/>
      <c r="BB224" s="273"/>
      <c r="BC224" s="273"/>
      <c r="BD224" s="273"/>
      <c r="BE224" s="273"/>
      <c r="BF224" s="273"/>
      <c r="BG224" s="273"/>
      <c r="BH224" s="273"/>
      <c r="BI224" s="273"/>
      <c r="BJ224" s="273"/>
      <c r="BK224" s="273"/>
      <c r="BL224" s="273"/>
      <c r="BM224" s="273"/>
      <c r="BN224" s="273"/>
      <c r="BO224" s="273"/>
      <c r="BP224" s="273"/>
      <c r="BQ224" s="273"/>
      <c r="BR224" s="273"/>
      <c r="BS224" s="273"/>
      <c r="BT224" s="273"/>
      <c r="BU224" s="273"/>
      <c r="BV224" s="273"/>
      <c r="BW224" s="273"/>
    </row>
    <row r="225">
      <c r="A225" s="259" t="str">
        <f>VLOOKUP($F225,UpdateHashtag!$V$3:$Y$32,COLUMN(B$15),0)</f>
        <v>#N/A</v>
      </c>
      <c r="B225" s="259" t="str">
        <f>VLOOKUP($F225,UpdateHashtag!$V$3:$Y$32,COLUMN(C$13),0)</f>
        <v>#N/A</v>
      </c>
      <c r="C225" s="259" t="str">
        <f>VLOOKUP($F225,UpdateHashtag!$V$3:$Y$32,COLUMN(D$13),0)</f>
        <v>#N/A</v>
      </c>
      <c r="D225" s="329" t="str">
        <f t="shared" si="4"/>
        <v>#N/A</v>
      </c>
      <c r="E225" s="21"/>
      <c r="F225" s="261" t="str">
        <f>VLOOKUP(J225,UpdateBBM!$C$2:E1015,3,0)</f>
        <v>#N/A</v>
      </c>
      <c r="G225" s="31">
        <v>205.0</v>
      </c>
      <c r="H225" s="278"/>
      <c r="I225" s="278"/>
      <c r="J225" s="279"/>
      <c r="K225" s="278"/>
      <c r="L225" s="280"/>
      <c r="M225" s="281"/>
      <c r="N225" s="282"/>
      <c r="O225" s="282"/>
      <c r="P225" s="283"/>
      <c r="Q225" s="283"/>
      <c r="R225" s="283"/>
      <c r="S225" s="284"/>
      <c r="T225" s="283"/>
      <c r="U225" s="283"/>
      <c r="V225" s="280"/>
      <c r="W225" s="280"/>
      <c r="X225" s="280"/>
      <c r="Y225" s="283"/>
      <c r="Z225" s="351"/>
      <c r="AA225" s="351"/>
      <c r="AB225" s="351"/>
      <c r="AC225" s="351"/>
      <c r="AD225" s="351"/>
      <c r="AE225" s="351"/>
      <c r="AF225" s="351"/>
      <c r="AG225" s="351"/>
      <c r="AH225" s="285"/>
      <c r="AI225" s="273"/>
      <c r="AJ225" s="340"/>
      <c r="AK225" s="341"/>
      <c r="AL225" s="273"/>
      <c r="AM225" s="273"/>
      <c r="AN225" s="273"/>
      <c r="AO225" s="273"/>
      <c r="AP225" s="273"/>
      <c r="AQ225" s="273"/>
      <c r="AR225" s="273"/>
      <c r="AS225" s="273"/>
      <c r="AT225" s="273"/>
      <c r="AU225" s="273"/>
      <c r="AV225" s="273"/>
      <c r="AW225" s="273"/>
      <c r="AX225" s="273"/>
      <c r="AY225" s="273"/>
      <c r="AZ225" s="273"/>
      <c r="BA225" s="273"/>
      <c r="BB225" s="273"/>
      <c r="BC225" s="273"/>
      <c r="BD225" s="273"/>
      <c r="BE225" s="273"/>
      <c r="BF225" s="273"/>
      <c r="BG225" s="273"/>
      <c r="BH225" s="273"/>
      <c r="BI225" s="273"/>
      <c r="BJ225" s="273"/>
      <c r="BK225" s="273"/>
      <c r="BL225" s="273"/>
      <c r="BM225" s="273"/>
      <c r="BN225" s="273"/>
      <c r="BO225" s="273"/>
      <c r="BP225" s="273"/>
      <c r="BQ225" s="273"/>
      <c r="BR225" s="273"/>
      <c r="BS225" s="273"/>
      <c r="BT225" s="273"/>
      <c r="BU225" s="273"/>
      <c r="BV225" s="273"/>
      <c r="BW225" s="273"/>
    </row>
    <row r="226">
      <c r="A226" s="259" t="str">
        <f>VLOOKUP($F226,UpdateHashtag!$V$3:$Y$32,COLUMN(B$15),0)</f>
        <v>#N/A</v>
      </c>
      <c r="B226" s="259" t="str">
        <f>VLOOKUP($F226,UpdateHashtag!$V$3:$Y$32,COLUMN(C$13),0)</f>
        <v>#N/A</v>
      </c>
      <c r="C226" s="259" t="str">
        <f>VLOOKUP($F226,UpdateHashtag!$V$3:$Y$32,COLUMN(D$13),0)</f>
        <v>#N/A</v>
      </c>
      <c r="D226" s="329" t="str">
        <f t="shared" si="4"/>
        <v>#N/A</v>
      </c>
      <c r="E226" s="21"/>
      <c r="F226" s="261" t="str">
        <f>VLOOKUP(J226,UpdateBBM!$C$2:E1015,3,0)</f>
        <v>#N/A</v>
      </c>
      <c r="G226" s="31">
        <v>206.0</v>
      </c>
      <c r="H226" s="278"/>
      <c r="I226" s="278"/>
      <c r="J226" s="279"/>
      <c r="K226" s="278"/>
      <c r="L226" s="280"/>
      <c r="M226" s="281"/>
      <c r="N226" s="282"/>
      <c r="O226" s="282"/>
      <c r="P226" s="283"/>
      <c r="Q226" s="283"/>
      <c r="R226" s="283"/>
      <c r="S226" s="284"/>
      <c r="T226" s="283"/>
      <c r="U226" s="283"/>
      <c r="V226" s="280"/>
      <c r="W226" s="280"/>
      <c r="X226" s="280"/>
      <c r="Y226" s="283"/>
      <c r="Z226" s="351"/>
      <c r="AA226" s="351"/>
      <c r="AB226" s="351"/>
      <c r="AC226" s="351"/>
      <c r="AD226" s="351"/>
      <c r="AE226" s="351"/>
      <c r="AF226" s="351"/>
      <c r="AG226" s="351"/>
      <c r="AH226" s="285"/>
      <c r="AI226" s="273"/>
      <c r="AJ226" s="340"/>
      <c r="AK226" s="341"/>
      <c r="AL226" s="273"/>
      <c r="AM226" s="273"/>
      <c r="AN226" s="273"/>
      <c r="AO226" s="273"/>
      <c r="AP226" s="273"/>
      <c r="AQ226" s="273"/>
      <c r="AR226" s="273"/>
      <c r="AS226" s="273"/>
      <c r="AT226" s="273"/>
      <c r="AU226" s="273"/>
      <c r="AV226" s="273"/>
      <c r="AW226" s="273"/>
      <c r="AX226" s="273"/>
      <c r="AY226" s="273"/>
      <c r="AZ226" s="273"/>
      <c r="BA226" s="273"/>
      <c r="BB226" s="273"/>
      <c r="BC226" s="273"/>
      <c r="BD226" s="273"/>
      <c r="BE226" s="273"/>
      <c r="BF226" s="273"/>
      <c r="BG226" s="273"/>
      <c r="BH226" s="273"/>
      <c r="BI226" s="273"/>
      <c r="BJ226" s="273"/>
      <c r="BK226" s="273"/>
      <c r="BL226" s="273"/>
      <c r="BM226" s="273"/>
      <c r="BN226" s="273"/>
      <c r="BO226" s="273"/>
      <c r="BP226" s="273"/>
      <c r="BQ226" s="273"/>
      <c r="BR226" s="273"/>
      <c r="BS226" s="273"/>
      <c r="BT226" s="273"/>
      <c r="BU226" s="273"/>
      <c r="BV226" s="273"/>
      <c r="BW226" s="273"/>
    </row>
    <row r="227">
      <c r="A227" s="259" t="str">
        <f>VLOOKUP($F227,UpdateHashtag!$V$3:$Y$32,COLUMN(B$15),0)</f>
        <v>#N/A</v>
      </c>
      <c r="B227" s="259" t="str">
        <f>VLOOKUP($F227,UpdateHashtag!$V$3:$Y$32,COLUMN(C$13),0)</f>
        <v>#N/A</v>
      </c>
      <c r="C227" s="259" t="str">
        <f>VLOOKUP($F227,UpdateHashtag!$V$3:$Y$32,COLUMN(D$13),0)</f>
        <v>#N/A</v>
      </c>
      <c r="D227" s="329" t="str">
        <f t="shared" si="4"/>
        <v>#N/A</v>
      </c>
      <c r="E227" s="21"/>
      <c r="F227" s="261" t="str">
        <f>VLOOKUP(J227,UpdateBBM!$C$2:E1015,3,0)</f>
        <v>#N/A</v>
      </c>
      <c r="G227" s="31">
        <v>207.0</v>
      </c>
      <c r="H227" s="278"/>
      <c r="I227" s="278"/>
      <c r="J227" s="279"/>
      <c r="K227" s="278"/>
      <c r="L227" s="280"/>
      <c r="M227" s="281"/>
      <c r="N227" s="282"/>
      <c r="O227" s="282"/>
      <c r="P227" s="283"/>
      <c r="Q227" s="283"/>
      <c r="R227" s="283"/>
      <c r="S227" s="284"/>
      <c r="T227" s="283"/>
      <c r="U227" s="283"/>
      <c r="V227" s="280"/>
      <c r="W227" s="280"/>
      <c r="X227" s="280"/>
      <c r="Y227" s="283"/>
      <c r="Z227" s="351"/>
      <c r="AA227" s="351"/>
      <c r="AB227" s="351"/>
      <c r="AC227" s="351"/>
      <c r="AD227" s="351"/>
      <c r="AE227" s="351"/>
      <c r="AF227" s="351"/>
      <c r="AG227" s="351"/>
      <c r="AH227" s="285"/>
      <c r="AI227" s="273"/>
      <c r="AJ227" s="340"/>
      <c r="AK227" s="341"/>
      <c r="AL227" s="273"/>
      <c r="AM227" s="273"/>
      <c r="AN227" s="273"/>
      <c r="AO227" s="273"/>
      <c r="AP227" s="273"/>
      <c r="AQ227" s="273"/>
      <c r="AR227" s="273"/>
      <c r="AS227" s="273"/>
      <c r="AT227" s="273"/>
      <c r="AU227" s="273"/>
      <c r="AV227" s="273"/>
      <c r="AW227" s="273"/>
      <c r="AX227" s="273"/>
      <c r="AY227" s="273"/>
      <c r="AZ227" s="273"/>
      <c r="BA227" s="273"/>
      <c r="BB227" s="273"/>
      <c r="BC227" s="273"/>
      <c r="BD227" s="273"/>
      <c r="BE227" s="273"/>
      <c r="BF227" s="273"/>
      <c r="BG227" s="273"/>
      <c r="BH227" s="273"/>
      <c r="BI227" s="273"/>
      <c r="BJ227" s="273"/>
      <c r="BK227" s="273"/>
      <c r="BL227" s="273"/>
      <c r="BM227" s="273"/>
      <c r="BN227" s="273"/>
      <c r="BO227" s="273"/>
      <c r="BP227" s="273"/>
      <c r="BQ227" s="273"/>
      <c r="BR227" s="273"/>
      <c r="BS227" s="273"/>
      <c r="BT227" s="273"/>
      <c r="BU227" s="273"/>
      <c r="BV227" s="273"/>
      <c r="BW227" s="273"/>
    </row>
    <row r="228">
      <c r="A228" s="259" t="str">
        <f>VLOOKUP($F228,UpdateHashtag!$V$3:$Y$32,COLUMN(B$15),0)</f>
        <v>#N/A</v>
      </c>
      <c r="B228" s="259" t="str">
        <f>VLOOKUP($F228,UpdateHashtag!$V$3:$Y$32,COLUMN(C$13),0)</f>
        <v>#N/A</v>
      </c>
      <c r="C228" s="259" t="str">
        <f>VLOOKUP($F228,UpdateHashtag!$V$3:$Y$32,COLUMN(D$13),0)</f>
        <v>#N/A</v>
      </c>
      <c r="D228" s="329" t="str">
        <f t="shared" si="4"/>
        <v>#N/A</v>
      </c>
      <c r="E228" s="21"/>
      <c r="F228" s="261" t="str">
        <f>VLOOKUP(J228,UpdateBBM!$C$2:E1015,3,0)</f>
        <v>#N/A</v>
      </c>
      <c r="G228" s="31">
        <v>208.0</v>
      </c>
      <c r="H228" s="278"/>
      <c r="I228" s="278"/>
      <c r="J228" s="279"/>
      <c r="K228" s="278"/>
      <c r="L228" s="280"/>
      <c r="M228" s="281"/>
      <c r="N228" s="282"/>
      <c r="O228" s="282"/>
      <c r="P228" s="283"/>
      <c r="Q228" s="283"/>
      <c r="R228" s="283"/>
      <c r="S228" s="284"/>
      <c r="T228" s="283"/>
      <c r="U228" s="283"/>
      <c r="V228" s="280"/>
      <c r="W228" s="280"/>
      <c r="X228" s="280"/>
      <c r="Y228" s="283"/>
      <c r="Z228" s="351"/>
      <c r="AA228" s="351"/>
      <c r="AB228" s="351"/>
      <c r="AC228" s="351"/>
      <c r="AD228" s="351"/>
      <c r="AE228" s="351"/>
      <c r="AF228" s="351"/>
      <c r="AG228" s="351"/>
      <c r="AH228" s="285"/>
      <c r="AI228" s="273"/>
      <c r="AJ228" s="340"/>
      <c r="AK228" s="341"/>
      <c r="AL228" s="273"/>
      <c r="AM228" s="273"/>
      <c r="AN228" s="273"/>
      <c r="AO228" s="273"/>
      <c r="AP228" s="273"/>
      <c r="AQ228" s="273"/>
      <c r="AR228" s="273"/>
      <c r="AS228" s="273"/>
      <c r="AT228" s="273"/>
      <c r="AU228" s="273"/>
      <c r="AV228" s="273"/>
      <c r="AW228" s="273"/>
      <c r="AX228" s="273"/>
      <c r="AY228" s="273"/>
      <c r="AZ228" s="273"/>
      <c r="BA228" s="273"/>
      <c r="BB228" s="273"/>
      <c r="BC228" s="273"/>
      <c r="BD228" s="273"/>
      <c r="BE228" s="273"/>
      <c r="BF228" s="273"/>
      <c r="BG228" s="273"/>
      <c r="BH228" s="273"/>
      <c r="BI228" s="273"/>
      <c r="BJ228" s="273"/>
      <c r="BK228" s="273"/>
      <c r="BL228" s="273"/>
      <c r="BM228" s="273"/>
      <c r="BN228" s="273"/>
      <c r="BO228" s="273"/>
      <c r="BP228" s="273"/>
      <c r="BQ228" s="273"/>
      <c r="BR228" s="273"/>
      <c r="BS228" s="273"/>
      <c r="BT228" s="273"/>
      <c r="BU228" s="273"/>
      <c r="BV228" s="273"/>
      <c r="BW228" s="273"/>
    </row>
    <row r="229">
      <c r="A229" s="259" t="str">
        <f>VLOOKUP($F229,UpdateHashtag!$V$3:$Y$32,COLUMN(B$15),0)</f>
        <v>#N/A</v>
      </c>
      <c r="B229" s="259" t="str">
        <f>VLOOKUP($F229,UpdateHashtag!$V$3:$Y$32,COLUMN(C$13),0)</f>
        <v>#N/A</v>
      </c>
      <c r="C229" s="259" t="str">
        <f>VLOOKUP($F229,UpdateHashtag!$V$3:$Y$32,COLUMN(D$13),0)</f>
        <v>#N/A</v>
      </c>
      <c r="D229" s="329" t="str">
        <f t="shared" si="4"/>
        <v>#N/A</v>
      </c>
      <c r="E229" s="21"/>
      <c r="F229" s="261" t="str">
        <f>VLOOKUP(J229,UpdateBBM!$C$2:E1015,3,0)</f>
        <v>#N/A</v>
      </c>
      <c r="G229" s="31">
        <v>209.0</v>
      </c>
      <c r="H229" s="278"/>
      <c r="I229" s="278"/>
      <c r="J229" s="279"/>
      <c r="K229" s="278"/>
      <c r="L229" s="280"/>
      <c r="M229" s="281"/>
      <c r="N229" s="282"/>
      <c r="O229" s="282"/>
      <c r="P229" s="283"/>
      <c r="Q229" s="283"/>
      <c r="R229" s="283"/>
      <c r="S229" s="284"/>
      <c r="T229" s="283"/>
      <c r="U229" s="283"/>
      <c r="V229" s="280"/>
      <c r="W229" s="280"/>
      <c r="X229" s="280"/>
      <c r="Y229" s="283"/>
      <c r="Z229" s="351"/>
      <c r="AA229" s="351"/>
      <c r="AB229" s="351"/>
      <c r="AC229" s="351"/>
      <c r="AD229" s="351"/>
      <c r="AE229" s="351"/>
      <c r="AF229" s="351"/>
      <c r="AG229" s="351"/>
      <c r="AH229" s="285"/>
      <c r="AI229" s="273"/>
      <c r="AJ229" s="340"/>
      <c r="AK229" s="341"/>
      <c r="AL229" s="273"/>
      <c r="AM229" s="273"/>
      <c r="AN229" s="273"/>
      <c r="AO229" s="273"/>
      <c r="AP229" s="273"/>
      <c r="AQ229" s="273"/>
      <c r="AR229" s="273"/>
      <c r="AS229" s="273"/>
      <c r="AT229" s="273"/>
      <c r="AU229" s="273"/>
      <c r="AV229" s="273"/>
      <c r="AW229" s="273"/>
      <c r="AX229" s="273"/>
      <c r="AY229" s="273"/>
      <c r="AZ229" s="273"/>
      <c r="BA229" s="273"/>
      <c r="BB229" s="273"/>
      <c r="BC229" s="273"/>
      <c r="BD229" s="273"/>
      <c r="BE229" s="273"/>
      <c r="BF229" s="273"/>
      <c r="BG229" s="273"/>
      <c r="BH229" s="273"/>
      <c r="BI229" s="273"/>
      <c r="BJ229" s="273"/>
      <c r="BK229" s="273"/>
      <c r="BL229" s="273"/>
      <c r="BM229" s="273"/>
      <c r="BN229" s="273"/>
      <c r="BO229" s="273"/>
      <c r="BP229" s="273"/>
      <c r="BQ229" s="273"/>
      <c r="BR229" s="273"/>
      <c r="BS229" s="273"/>
      <c r="BT229" s="273"/>
      <c r="BU229" s="273"/>
      <c r="BV229" s="273"/>
      <c r="BW229" s="273"/>
    </row>
    <row r="230">
      <c r="A230" s="259" t="str">
        <f>VLOOKUP($F230,UpdateHashtag!$V$3:$Y$32,COLUMN(B$15),0)</f>
        <v>#N/A</v>
      </c>
      <c r="B230" s="259" t="str">
        <f>VLOOKUP($F230,UpdateHashtag!$V$3:$Y$32,COLUMN(C$13),0)</f>
        <v>#N/A</v>
      </c>
      <c r="C230" s="259" t="str">
        <f>VLOOKUP($F230,UpdateHashtag!$V$3:$Y$32,COLUMN(D$13),0)</f>
        <v>#N/A</v>
      </c>
      <c r="D230" s="329" t="str">
        <f t="shared" si="4"/>
        <v>#N/A</v>
      </c>
      <c r="E230" s="21"/>
      <c r="F230" s="261" t="str">
        <f>VLOOKUP(J230,UpdateBBM!$C$2:E1015,3,0)</f>
        <v>#N/A</v>
      </c>
      <c r="G230" s="31">
        <v>210.0</v>
      </c>
      <c r="H230" s="278"/>
      <c r="I230" s="278"/>
      <c r="J230" s="279"/>
      <c r="K230" s="278"/>
      <c r="L230" s="280"/>
      <c r="M230" s="281"/>
      <c r="N230" s="282"/>
      <c r="O230" s="282"/>
      <c r="P230" s="283"/>
      <c r="Q230" s="283"/>
      <c r="R230" s="283"/>
      <c r="S230" s="284"/>
      <c r="T230" s="283"/>
      <c r="U230" s="283"/>
      <c r="V230" s="280"/>
      <c r="W230" s="280"/>
      <c r="X230" s="280"/>
      <c r="Y230" s="283"/>
      <c r="Z230" s="351"/>
      <c r="AA230" s="351"/>
      <c r="AB230" s="351"/>
      <c r="AC230" s="351"/>
      <c r="AD230" s="351"/>
      <c r="AE230" s="351"/>
      <c r="AF230" s="351"/>
      <c r="AG230" s="351"/>
      <c r="AH230" s="285"/>
      <c r="AI230" s="273"/>
      <c r="AJ230" s="340"/>
      <c r="AK230" s="341"/>
      <c r="AL230" s="273"/>
      <c r="AM230" s="273"/>
      <c r="AN230" s="273"/>
      <c r="AO230" s="273"/>
      <c r="AP230" s="273"/>
      <c r="AQ230" s="273"/>
      <c r="AR230" s="273"/>
      <c r="AS230" s="273"/>
      <c r="AT230" s="273"/>
      <c r="AU230" s="273"/>
      <c r="AV230" s="273"/>
      <c r="AW230" s="273"/>
      <c r="AX230" s="273"/>
      <c r="AY230" s="273"/>
      <c r="AZ230" s="273"/>
      <c r="BA230" s="273"/>
      <c r="BB230" s="273"/>
      <c r="BC230" s="273"/>
      <c r="BD230" s="273"/>
      <c r="BE230" s="273"/>
      <c r="BF230" s="273"/>
      <c r="BG230" s="273"/>
      <c r="BH230" s="273"/>
      <c r="BI230" s="273"/>
      <c r="BJ230" s="273"/>
      <c r="BK230" s="273"/>
      <c r="BL230" s="273"/>
      <c r="BM230" s="273"/>
      <c r="BN230" s="273"/>
      <c r="BO230" s="273"/>
      <c r="BP230" s="273"/>
      <c r="BQ230" s="273"/>
      <c r="BR230" s="273"/>
      <c r="BS230" s="273"/>
      <c r="BT230" s="273"/>
      <c r="BU230" s="273"/>
      <c r="BV230" s="273"/>
      <c r="BW230" s="273"/>
    </row>
    <row r="231">
      <c r="A231" s="259" t="str">
        <f>VLOOKUP($F231,UpdateHashtag!$V$3:$Y$32,COLUMN(B$15),0)</f>
        <v>#N/A</v>
      </c>
      <c r="B231" s="259" t="str">
        <f>VLOOKUP($F231,UpdateHashtag!$V$3:$Y$32,COLUMN(C$13),0)</f>
        <v>#N/A</v>
      </c>
      <c r="C231" s="259" t="str">
        <f>VLOOKUP($F231,UpdateHashtag!$V$3:$Y$32,COLUMN(D$13),0)</f>
        <v>#N/A</v>
      </c>
      <c r="D231" s="329" t="str">
        <f t="shared" si="4"/>
        <v>#N/A</v>
      </c>
      <c r="E231" s="21"/>
      <c r="F231" s="261" t="str">
        <f>VLOOKUP(J231,UpdateBBM!$C$2:E1015,3,0)</f>
        <v>#N/A</v>
      </c>
      <c r="G231" s="31">
        <v>211.0</v>
      </c>
      <c r="H231" s="278"/>
      <c r="I231" s="278"/>
      <c r="J231" s="279"/>
      <c r="K231" s="278"/>
      <c r="L231" s="280"/>
      <c r="M231" s="281"/>
      <c r="N231" s="282"/>
      <c r="O231" s="282"/>
      <c r="P231" s="283"/>
      <c r="Q231" s="283"/>
      <c r="R231" s="283"/>
      <c r="S231" s="284"/>
      <c r="T231" s="283"/>
      <c r="U231" s="283"/>
      <c r="V231" s="280"/>
      <c r="W231" s="280"/>
      <c r="X231" s="280"/>
      <c r="Y231" s="283"/>
      <c r="Z231" s="351"/>
      <c r="AA231" s="351"/>
      <c r="AB231" s="351"/>
      <c r="AC231" s="351"/>
      <c r="AD231" s="351"/>
      <c r="AE231" s="351"/>
      <c r="AF231" s="351"/>
      <c r="AG231" s="351"/>
      <c r="AH231" s="285"/>
      <c r="AI231" s="273"/>
      <c r="AJ231" s="340"/>
      <c r="AK231" s="341"/>
      <c r="AL231" s="273"/>
      <c r="AM231" s="273"/>
      <c r="AN231" s="273"/>
      <c r="AO231" s="273"/>
      <c r="AP231" s="273"/>
      <c r="AQ231" s="273"/>
      <c r="AR231" s="273"/>
      <c r="AS231" s="273"/>
      <c r="AT231" s="273"/>
      <c r="AU231" s="273"/>
      <c r="AV231" s="273"/>
      <c r="AW231" s="273"/>
      <c r="AX231" s="273"/>
      <c r="AY231" s="273"/>
      <c r="AZ231" s="273"/>
      <c r="BA231" s="273"/>
      <c r="BB231" s="273"/>
      <c r="BC231" s="273"/>
      <c r="BD231" s="273"/>
      <c r="BE231" s="273"/>
      <c r="BF231" s="273"/>
      <c r="BG231" s="273"/>
      <c r="BH231" s="273"/>
      <c r="BI231" s="273"/>
      <c r="BJ231" s="273"/>
      <c r="BK231" s="273"/>
      <c r="BL231" s="273"/>
      <c r="BM231" s="273"/>
      <c r="BN231" s="273"/>
      <c r="BO231" s="273"/>
      <c r="BP231" s="273"/>
      <c r="BQ231" s="273"/>
      <c r="BR231" s="273"/>
      <c r="BS231" s="273"/>
      <c r="BT231" s="273"/>
      <c r="BU231" s="273"/>
      <c r="BV231" s="273"/>
      <c r="BW231" s="273"/>
    </row>
    <row r="232">
      <c r="A232" s="259" t="str">
        <f>VLOOKUP($F232,UpdateHashtag!$V$3:$Y$32,COLUMN(B$15),0)</f>
        <v>#N/A</v>
      </c>
      <c r="B232" s="259" t="str">
        <f>VLOOKUP($F232,UpdateHashtag!$V$3:$Y$32,COLUMN(C$13),0)</f>
        <v>#N/A</v>
      </c>
      <c r="C232" s="259" t="str">
        <f>VLOOKUP($F232,UpdateHashtag!$V$3:$Y$32,COLUMN(D$13),0)</f>
        <v>#N/A</v>
      </c>
      <c r="D232" s="329" t="str">
        <f t="shared" si="4"/>
        <v>#N/A</v>
      </c>
      <c r="E232" s="21"/>
      <c r="F232" s="261" t="str">
        <f>VLOOKUP(J232,UpdateBBM!$C$2:E1015,3,0)</f>
        <v>#N/A</v>
      </c>
      <c r="G232" s="31">
        <v>212.0</v>
      </c>
      <c r="H232" s="278"/>
      <c r="I232" s="278"/>
      <c r="J232" s="279"/>
      <c r="K232" s="278"/>
      <c r="L232" s="280"/>
      <c r="M232" s="281"/>
      <c r="N232" s="282"/>
      <c r="O232" s="282"/>
      <c r="P232" s="283"/>
      <c r="Q232" s="283"/>
      <c r="R232" s="283"/>
      <c r="S232" s="284"/>
      <c r="T232" s="283"/>
      <c r="U232" s="283"/>
      <c r="V232" s="280"/>
      <c r="W232" s="280"/>
      <c r="X232" s="280"/>
      <c r="Y232" s="283"/>
      <c r="Z232" s="351"/>
      <c r="AA232" s="351"/>
      <c r="AB232" s="351"/>
      <c r="AC232" s="351"/>
      <c r="AD232" s="351"/>
      <c r="AE232" s="351"/>
      <c r="AF232" s="351"/>
      <c r="AG232" s="351"/>
      <c r="AH232" s="285"/>
      <c r="AI232" s="273"/>
      <c r="AJ232" s="340"/>
      <c r="AK232" s="341"/>
      <c r="AL232" s="273"/>
      <c r="AM232" s="273"/>
      <c r="AN232" s="273"/>
      <c r="AO232" s="273"/>
      <c r="AP232" s="273"/>
      <c r="AQ232" s="273"/>
      <c r="AR232" s="273"/>
      <c r="AS232" s="273"/>
      <c r="AT232" s="273"/>
      <c r="AU232" s="273"/>
      <c r="AV232" s="273"/>
      <c r="AW232" s="273"/>
      <c r="AX232" s="273"/>
      <c r="AY232" s="273"/>
      <c r="AZ232" s="273"/>
      <c r="BA232" s="273"/>
      <c r="BB232" s="273"/>
      <c r="BC232" s="273"/>
      <c r="BD232" s="273"/>
      <c r="BE232" s="273"/>
      <c r="BF232" s="273"/>
      <c r="BG232" s="273"/>
      <c r="BH232" s="273"/>
      <c r="BI232" s="273"/>
      <c r="BJ232" s="273"/>
      <c r="BK232" s="273"/>
      <c r="BL232" s="273"/>
      <c r="BM232" s="273"/>
      <c r="BN232" s="273"/>
      <c r="BO232" s="273"/>
      <c r="BP232" s="273"/>
      <c r="BQ232" s="273"/>
      <c r="BR232" s="273"/>
      <c r="BS232" s="273"/>
      <c r="BT232" s="273"/>
      <c r="BU232" s="273"/>
      <c r="BV232" s="273"/>
      <c r="BW232" s="273"/>
    </row>
    <row r="233">
      <c r="A233" s="259" t="str">
        <f>VLOOKUP($F233,UpdateHashtag!$V$3:$Y$32,COLUMN(B$15),0)</f>
        <v>#N/A</v>
      </c>
      <c r="B233" s="259" t="str">
        <f>VLOOKUP($F233,UpdateHashtag!$V$3:$Y$32,COLUMN(C$13),0)</f>
        <v>#N/A</v>
      </c>
      <c r="C233" s="259" t="str">
        <f>VLOOKUP($F233,UpdateHashtag!$V$3:$Y$32,COLUMN(D$13),0)</f>
        <v>#N/A</v>
      </c>
      <c r="D233" s="329" t="str">
        <f t="shared" si="4"/>
        <v>#N/A</v>
      </c>
      <c r="E233" s="21"/>
      <c r="F233" s="261" t="str">
        <f>VLOOKUP(J233,UpdateBBM!$C$2:E1015,3,0)</f>
        <v>#N/A</v>
      </c>
      <c r="G233" s="31">
        <v>213.0</v>
      </c>
      <c r="H233" s="278"/>
      <c r="I233" s="278"/>
      <c r="J233" s="279"/>
      <c r="K233" s="278"/>
      <c r="L233" s="280"/>
      <c r="M233" s="281"/>
      <c r="N233" s="282"/>
      <c r="O233" s="282"/>
      <c r="P233" s="283"/>
      <c r="Q233" s="283"/>
      <c r="R233" s="283"/>
      <c r="S233" s="284"/>
      <c r="T233" s="283"/>
      <c r="U233" s="283"/>
      <c r="V233" s="280"/>
      <c r="W233" s="280"/>
      <c r="X233" s="280"/>
      <c r="Y233" s="283"/>
      <c r="Z233" s="351"/>
      <c r="AA233" s="351"/>
      <c r="AB233" s="351"/>
      <c r="AC233" s="351"/>
      <c r="AD233" s="351"/>
      <c r="AE233" s="351"/>
      <c r="AF233" s="351"/>
      <c r="AG233" s="351"/>
      <c r="AH233" s="285"/>
      <c r="AI233" s="273"/>
      <c r="AJ233" s="340"/>
      <c r="AK233" s="341"/>
      <c r="AL233" s="273"/>
      <c r="AM233" s="273"/>
      <c r="AN233" s="273"/>
      <c r="AO233" s="273"/>
      <c r="AP233" s="273"/>
      <c r="AQ233" s="273"/>
      <c r="AR233" s="273"/>
      <c r="AS233" s="273"/>
      <c r="AT233" s="273"/>
      <c r="AU233" s="273"/>
      <c r="AV233" s="273"/>
      <c r="AW233" s="273"/>
      <c r="AX233" s="273"/>
      <c r="AY233" s="273"/>
      <c r="AZ233" s="273"/>
      <c r="BA233" s="273"/>
      <c r="BB233" s="273"/>
      <c r="BC233" s="273"/>
      <c r="BD233" s="273"/>
      <c r="BE233" s="273"/>
      <c r="BF233" s="273"/>
      <c r="BG233" s="273"/>
      <c r="BH233" s="273"/>
      <c r="BI233" s="273"/>
      <c r="BJ233" s="273"/>
      <c r="BK233" s="273"/>
      <c r="BL233" s="273"/>
      <c r="BM233" s="273"/>
      <c r="BN233" s="273"/>
      <c r="BO233" s="273"/>
      <c r="BP233" s="273"/>
      <c r="BQ233" s="273"/>
      <c r="BR233" s="273"/>
      <c r="BS233" s="273"/>
      <c r="BT233" s="273"/>
      <c r="BU233" s="273"/>
      <c r="BV233" s="273"/>
      <c r="BW233" s="273"/>
    </row>
    <row r="234">
      <c r="A234" s="259" t="str">
        <f>VLOOKUP($F234,UpdateHashtag!$V$3:$Y$32,COLUMN(B$15),0)</f>
        <v>#N/A</v>
      </c>
      <c r="B234" s="259" t="str">
        <f>VLOOKUP($F234,UpdateHashtag!$V$3:$Y$32,COLUMN(C$13),0)</f>
        <v>#N/A</v>
      </c>
      <c r="C234" s="259" t="str">
        <f>VLOOKUP($F234,UpdateHashtag!$V$3:$Y$32,COLUMN(D$13),0)</f>
        <v>#N/A</v>
      </c>
      <c r="D234" s="329" t="str">
        <f t="shared" si="4"/>
        <v>#N/A</v>
      </c>
      <c r="E234" s="21"/>
      <c r="F234" s="261" t="str">
        <f>VLOOKUP(J234,UpdateBBM!$C$2:E1015,3,0)</f>
        <v>#N/A</v>
      </c>
      <c r="G234" s="31">
        <v>214.0</v>
      </c>
      <c r="H234" s="278"/>
      <c r="I234" s="278"/>
      <c r="J234" s="279"/>
      <c r="K234" s="278"/>
      <c r="L234" s="280"/>
      <c r="M234" s="281"/>
      <c r="N234" s="282"/>
      <c r="O234" s="282"/>
      <c r="P234" s="283"/>
      <c r="Q234" s="283"/>
      <c r="R234" s="283"/>
      <c r="S234" s="284"/>
      <c r="T234" s="283"/>
      <c r="U234" s="283"/>
      <c r="V234" s="280"/>
      <c r="W234" s="280"/>
      <c r="X234" s="280"/>
      <c r="Y234" s="283"/>
      <c r="Z234" s="351"/>
      <c r="AA234" s="351"/>
      <c r="AB234" s="351"/>
      <c r="AC234" s="351"/>
      <c r="AD234" s="351"/>
      <c r="AE234" s="351"/>
      <c r="AF234" s="351"/>
      <c r="AG234" s="351"/>
      <c r="AH234" s="285"/>
      <c r="AI234" s="273"/>
      <c r="AJ234" s="340"/>
      <c r="AK234" s="341"/>
      <c r="AL234" s="273"/>
      <c r="AM234" s="273"/>
      <c r="AN234" s="273"/>
      <c r="AO234" s="273"/>
      <c r="AP234" s="273"/>
      <c r="AQ234" s="273"/>
      <c r="AR234" s="273"/>
      <c r="AS234" s="273"/>
      <c r="AT234" s="273"/>
      <c r="AU234" s="273"/>
      <c r="AV234" s="273"/>
      <c r="AW234" s="273"/>
      <c r="AX234" s="273"/>
      <c r="AY234" s="273"/>
      <c r="AZ234" s="273"/>
      <c r="BA234" s="273"/>
      <c r="BB234" s="273"/>
      <c r="BC234" s="273"/>
      <c r="BD234" s="273"/>
      <c r="BE234" s="273"/>
      <c r="BF234" s="273"/>
      <c r="BG234" s="273"/>
      <c r="BH234" s="273"/>
      <c r="BI234" s="273"/>
      <c r="BJ234" s="273"/>
      <c r="BK234" s="273"/>
      <c r="BL234" s="273"/>
      <c r="BM234" s="273"/>
      <c r="BN234" s="273"/>
      <c r="BO234" s="273"/>
      <c r="BP234" s="273"/>
      <c r="BQ234" s="273"/>
      <c r="BR234" s="273"/>
      <c r="BS234" s="273"/>
      <c r="BT234" s="273"/>
      <c r="BU234" s="273"/>
      <c r="BV234" s="273"/>
      <c r="BW234" s="273"/>
    </row>
    <row r="235">
      <c r="A235" s="259" t="str">
        <f>VLOOKUP($F235,UpdateHashtag!$V$3:$Y$32,COLUMN(B$15),0)</f>
        <v>#N/A</v>
      </c>
      <c r="B235" s="259" t="str">
        <f>VLOOKUP($F235,UpdateHashtag!$V$3:$Y$32,COLUMN(C$13),0)</f>
        <v>#N/A</v>
      </c>
      <c r="C235" s="259" t="str">
        <f>VLOOKUP($F235,UpdateHashtag!$V$3:$Y$32,COLUMN(D$13),0)</f>
        <v>#N/A</v>
      </c>
      <c r="D235" s="329" t="str">
        <f t="shared" si="4"/>
        <v>#N/A</v>
      </c>
      <c r="E235" s="21"/>
      <c r="F235" s="261" t="str">
        <f>VLOOKUP(J235,UpdateBBM!$C$2:E1015,3,0)</f>
        <v>#N/A</v>
      </c>
      <c r="G235" s="31">
        <v>215.0</v>
      </c>
      <c r="H235" s="278"/>
      <c r="I235" s="278"/>
      <c r="J235" s="279"/>
      <c r="K235" s="278"/>
      <c r="L235" s="280"/>
      <c r="M235" s="281"/>
      <c r="N235" s="282"/>
      <c r="O235" s="282"/>
      <c r="P235" s="283"/>
      <c r="Q235" s="283"/>
      <c r="R235" s="283"/>
      <c r="S235" s="284"/>
      <c r="T235" s="283"/>
      <c r="U235" s="283"/>
      <c r="V235" s="280"/>
      <c r="W235" s="280"/>
      <c r="X235" s="280"/>
      <c r="Y235" s="283"/>
      <c r="Z235" s="351"/>
      <c r="AA235" s="351"/>
      <c r="AB235" s="351"/>
      <c r="AC235" s="351"/>
      <c r="AD235" s="351"/>
      <c r="AE235" s="351"/>
      <c r="AF235" s="351"/>
      <c r="AG235" s="351"/>
      <c r="AH235" s="285"/>
      <c r="AI235" s="273"/>
      <c r="AJ235" s="340"/>
      <c r="AK235" s="341"/>
      <c r="AL235" s="273"/>
      <c r="AM235" s="273"/>
      <c r="AN235" s="273"/>
      <c r="AO235" s="273"/>
      <c r="AP235" s="273"/>
      <c r="AQ235" s="273"/>
      <c r="AR235" s="273"/>
      <c r="AS235" s="273"/>
      <c r="AT235" s="273"/>
      <c r="AU235" s="273"/>
      <c r="AV235" s="273"/>
      <c r="AW235" s="273"/>
      <c r="AX235" s="273"/>
      <c r="AY235" s="273"/>
      <c r="AZ235" s="273"/>
      <c r="BA235" s="273"/>
      <c r="BB235" s="273"/>
      <c r="BC235" s="273"/>
      <c r="BD235" s="273"/>
      <c r="BE235" s="273"/>
      <c r="BF235" s="273"/>
      <c r="BG235" s="273"/>
      <c r="BH235" s="273"/>
      <c r="BI235" s="273"/>
      <c r="BJ235" s="273"/>
      <c r="BK235" s="273"/>
      <c r="BL235" s="273"/>
      <c r="BM235" s="273"/>
      <c r="BN235" s="273"/>
      <c r="BO235" s="273"/>
      <c r="BP235" s="273"/>
      <c r="BQ235" s="273"/>
      <c r="BR235" s="273"/>
      <c r="BS235" s="273"/>
      <c r="BT235" s="273"/>
      <c r="BU235" s="273"/>
      <c r="BV235" s="273"/>
      <c r="BW235" s="273"/>
    </row>
    <row r="236">
      <c r="A236" s="259" t="str">
        <f>VLOOKUP($F236,UpdateHashtag!$V$3:$Y$32,COLUMN(B$15),0)</f>
        <v>#N/A</v>
      </c>
      <c r="B236" s="259" t="str">
        <f>VLOOKUP($F236,UpdateHashtag!$V$3:$Y$32,COLUMN(C$13),0)</f>
        <v>#N/A</v>
      </c>
      <c r="C236" s="259" t="str">
        <f>VLOOKUP($F236,UpdateHashtag!$V$3:$Y$32,COLUMN(D$13),0)</f>
        <v>#N/A</v>
      </c>
      <c r="D236" s="329" t="str">
        <f t="shared" si="4"/>
        <v>#N/A</v>
      </c>
      <c r="E236" s="21"/>
      <c r="F236" s="261" t="str">
        <f>VLOOKUP(J236,UpdateBBM!$C$2:E1015,3,0)</f>
        <v>#N/A</v>
      </c>
      <c r="G236" s="31">
        <v>216.0</v>
      </c>
      <c r="H236" s="278"/>
      <c r="I236" s="278"/>
      <c r="J236" s="279"/>
      <c r="K236" s="278"/>
      <c r="L236" s="280"/>
      <c r="M236" s="281"/>
      <c r="N236" s="282"/>
      <c r="O236" s="282"/>
      <c r="P236" s="283"/>
      <c r="Q236" s="283"/>
      <c r="R236" s="283"/>
      <c r="S236" s="284"/>
      <c r="T236" s="283"/>
      <c r="U236" s="283"/>
      <c r="V236" s="280"/>
      <c r="W236" s="280"/>
      <c r="X236" s="280"/>
      <c r="Y236" s="283"/>
      <c r="Z236" s="351"/>
      <c r="AA236" s="351"/>
      <c r="AB236" s="351"/>
      <c r="AC236" s="351"/>
      <c r="AD236" s="351"/>
      <c r="AE236" s="351"/>
      <c r="AF236" s="351"/>
      <c r="AG236" s="351"/>
      <c r="AH236" s="285"/>
      <c r="AI236" s="273"/>
      <c r="AJ236" s="340"/>
      <c r="AK236" s="341"/>
      <c r="AL236" s="273"/>
      <c r="AM236" s="273"/>
      <c r="AN236" s="273"/>
      <c r="AO236" s="273"/>
      <c r="AP236" s="273"/>
      <c r="AQ236" s="273"/>
      <c r="AR236" s="273"/>
      <c r="AS236" s="273"/>
      <c r="AT236" s="273"/>
      <c r="AU236" s="273"/>
      <c r="AV236" s="273"/>
      <c r="AW236" s="273"/>
      <c r="AX236" s="273"/>
      <c r="AY236" s="273"/>
      <c r="AZ236" s="273"/>
      <c r="BA236" s="273"/>
      <c r="BB236" s="273"/>
      <c r="BC236" s="273"/>
      <c r="BD236" s="273"/>
      <c r="BE236" s="273"/>
      <c r="BF236" s="273"/>
      <c r="BG236" s="273"/>
      <c r="BH236" s="273"/>
      <c r="BI236" s="273"/>
      <c r="BJ236" s="273"/>
      <c r="BK236" s="273"/>
      <c r="BL236" s="273"/>
      <c r="BM236" s="273"/>
      <c r="BN236" s="273"/>
      <c r="BO236" s="273"/>
      <c r="BP236" s="273"/>
      <c r="BQ236" s="273"/>
      <c r="BR236" s="273"/>
      <c r="BS236" s="273"/>
      <c r="BT236" s="273"/>
      <c r="BU236" s="273"/>
      <c r="BV236" s="273"/>
      <c r="BW236" s="273"/>
    </row>
    <row r="237">
      <c r="A237" s="259" t="str">
        <f>VLOOKUP($F237,UpdateHashtag!$V$3:$Y$32,COLUMN(B$15),0)</f>
        <v>#N/A</v>
      </c>
      <c r="B237" s="259" t="str">
        <f>VLOOKUP($F237,UpdateHashtag!$V$3:$Y$32,COLUMN(C$13),0)</f>
        <v>#N/A</v>
      </c>
      <c r="C237" s="259" t="str">
        <f>VLOOKUP($F237,UpdateHashtag!$V$3:$Y$32,COLUMN(D$13),0)</f>
        <v>#N/A</v>
      </c>
      <c r="D237" s="329" t="str">
        <f t="shared" si="4"/>
        <v>#N/A</v>
      </c>
      <c r="E237" s="21"/>
      <c r="F237" s="261" t="str">
        <f>VLOOKUP(J237,UpdateBBM!$C$2:E1015,3,0)</f>
        <v>#N/A</v>
      </c>
      <c r="G237" s="31">
        <v>217.0</v>
      </c>
      <c r="H237" s="278"/>
      <c r="I237" s="278"/>
      <c r="J237" s="279"/>
      <c r="K237" s="278"/>
      <c r="L237" s="280"/>
      <c r="M237" s="281"/>
      <c r="N237" s="282"/>
      <c r="O237" s="282"/>
      <c r="P237" s="283"/>
      <c r="Q237" s="283"/>
      <c r="R237" s="283"/>
      <c r="S237" s="284"/>
      <c r="T237" s="283"/>
      <c r="U237" s="283"/>
      <c r="V237" s="280"/>
      <c r="W237" s="280"/>
      <c r="X237" s="280"/>
      <c r="Y237" s="283"/>
      <c r="Z237" s="351"/>
      <c r="AA237" s="351"/>
      <c r="AB237" s="351"/>
      <c r="AC237" s="351"/>
      <c r="AD237" s="351"/>
      <c r="AE237" s="351"/>
      <c r="AF237" s="351"/>
      <c r="AG237" s="351"/>
      <c r="AH237" s="285"/>
      <c r="AI237" s="273"/>
      <c r="AJ237" s="340"/>
      <c r="AK237" s="341"/>
      <c r="AL237" s="273"/>
      <c r="AM237" s="273"/>
      <c r="AN237" s="273"/>
      <c r="AO237" s="273"/>
      <c r="AP237" s="273"/>
      <c r="AQ237" s="273"/>
      <c r="AR237" s="273"/>
      <c r="AS237" s="273"/>
      <c r="AT237" s="273"/>
      <c r="AU237" s="273"/>
      <c r="AV237" s="273"/>
      <c r="AW237" s="273"/>
      <c r="AX237" s="273"/>
      <c r="AY237" s="273"/>
      <c r="AZ237" s="273"/>
      <c r="BA237" s="273"/>
      <c r="BB237" s="273"/>
      <c r="BC237" s="273"/>
      <c r="BD237" s="273"/>
      <c r="BE237" s="273"/>
      <c r="BF237" s="273"/>
      <c r="BG237" s="273"/>
      <c r="BH237" s="273"/>
      <c r="BI237" s="273"/>
      <c r="BJ237" s="273"/>
      <c r="BK237" s="273"/>
      <c r="BL237" s="273"/>
      <c r="BM237" s="273"/>
      <c r="BN237" s="273"/>
      <c r="BO237" s="273"/>
      <c r="BP237" s="273"/>
      <c r="BQ237" s="273"/>
      <c r="BR237" s="273"/>
      <c r="BS237" s="273"/>
      <c r="BT237" s="273"/>
      <c r="BU237" s="273"/>
      <c r="BV237" s="273"/>
      <c r="BW237" s="273"/>
    </row>
    <row r="238">
      <c r="A238" s="259" t="str">
        <f>VLOOKUP($F238,UpdateHashtag!$V$3:$Y$32,COLUMN(B$15),0)</f>
        <v>#N/A</v>
      </c>
      <c r="B238" s="259" t="str">
        <f>VLOOKUP($F238,UpdateHashtag!$V$3:$Y$32,COLUMN(C$13),0)</f>
        <v>#N/A</v>
      </c>
      <c r="C238" s="259" t="str">
        <f>VLOOKUP($F238,UpdateHashtag!$V$3:$Y$32,COLUMN(D$13),0)</f>
        <v>#N/A</v>
      </c>
      <c r="D238" s="329" t="str">
        <f t="shared" si="4"/>
        <v>#N/A</v>
      </c>
      <c r="E238" s="21"/>
      <c r="F238" s="261" t="str">
        <f>VLOOKUP(J238,UpdateBBM!$C$2:E1015,3,0)</f>
        <v>#N/A</v>
      </c>
      <c r="G238" s="31">
        <v>218.0</v>
      </c>
      <c r="H238" s="278"/>
      <c r="I238" s="278"/>
      <c r="J238" s="279"/>
      <c r="K238" s="278"/>
      <c r="L238" s="280"/>
      <c r="M238" s="281"/>
      <c r="N238" s="282"/>
      <c r="O238" s="282"/>
      <c r="P238" s="283"/>
      <c r="Q238" s="283"/>
      <c r="R238" s="283"/>
      <c r="S238" s="284"/>
      <c r="T238" s="283"/>
      <c r="U238" s="283"/>
      <c r="V238" s="280"/>
      <c r="W238" s="280"/>
      <c r="X238" s="280"/>
      <c r="Y238" s="283"/>
      <c r="Z238" s="351"/>
      <c r="AA238" s="351"/>
      <c r="AB238" s="351"/>
      <c r="AC238" s="351"/>
      <c r="AD238" s="351"/>
      <c r="AE238" s="351"/>
      <c r="AF238" s="351"/>
      <c r="AG238" s="351"/>
      <c r="AH238" s="285"/>
      <c r="AI238" s="273"/>
      <c r="AJ238" s="340"/>
      <c r="AK238" s="341"/>
      <c r="AL238" s="273"/>
      <c r="AM238" s="273"/>
      <c r="AN238" s="273"/>
      <c r="AO238" s="273"/>
      <c r="AP238" s="273"/>
      <c r="AQ238" s="273"/>
      <c r="AR238" s="273"/>
      <c r="AS238" s="273"/>
      <c r="AT238" s="273"/>
      <c r="AU238" s="273"/>
      <c r="AV238" s="273"/>
      <c r="AW238" s="273"/>
      <c r="AX238" s="273"/>
      <c r="AY238" s="273"/>
      <c r="AZ238" s="273"/>
      <c r="BA238" s="273"/>
      <c r="BB238" s="273"/>
      <c r="BC238" s="273"/>
      <c r="BD238" s="273"/>
      <c r="BE238" s="273"/>
      <c r="BF238" s="273"/>
      <c r="BG238" s="273"/>
      <c r="BH238" s="273"/>
      <c r="BI238" s="273"/>
      <c r="BJ238" s="273"/>
      <c r="BK238" s="273"/>
      <c r="BL238" s="273"/>
      <c r="BM238" s="273"/>
      <c r="BN238" s="273"/>
      <c r="BO238" s="273"/>
      <c r="BP238" s="273"/>
      <c r="BQ238" s="273"/>
      <c r="BR238" s="273"/>
      <c r="BS238" s="273"/>
      <c r="BT238" s="273"/>
      <c r="BU238" s="273"/>
      <c r="BV238" s="273"/>
      <c r="BW238" s="273"/>
    </row>
    <row r="239">
      <c r="A239" s="259" t="str">
        <f>VLOOKUP($F239,UpdateHashtag!$V$3:$Y$32,COLUMN(B$15),0)</f>
        <v>#N/A</v>
      </c>
      <c r="B239" s="259" t="str">
        <f>VLOOKUP($F239,UpdateHashtag!$V$3:$Y$32,COLUMN(C$13),0)</f>
        <v>#N/A</v>
      </c>
      <c r="C239" s="259" t="str">
        <f>VLOOKUP($F239,UpdateHashtag!$V$3:$Y$32,COLUMN(D$13),0)</f>
        <v>#N/A</v>
      </c>
      <c r="D239" s="329" t="str">
        <f t="shared" si="4"/>
        <v>#N/A</v>
      </c>
      <c r="E239" s="21"/>
      <c r="F239" s="261" t="str">
        <f>VLOOKUP(J239,UpdateBBM!$C$2:E1015,3,0)</f>
        <v>#N/A</v>
      </c>
      <c r="G239" s="31">
        <v>219.0</v>
      </c>
      <c r="H239" s="278"/>
      <c r="I239" s="278"/>
      <c r="J239" s="279"/>
      <c r="K239" s="278"/>
      <c r="L239" s="280"/>
      <c r="M239" s="281"/>
      <c r="N239" s="282"/>
      <c r="O239" s="282"/>
      <c r="P239" s="283"/>
      <c r="Q239" s="283"/>
      <c r="R239" s="283"/>
      <c r="S239" s="284"/>
      <c r="T239" s="283"/>
      <c r="U239" s="283"/>
      <c r="V239" s="280"/>
      <c r="W239" s="280"/>
      <c r="X239" s="280"/>
      <c r="Y239" s="283"/>
      <c r="Z239" s="351"/>
      <c r="AA239" s="351"/>
      <c r="AB239" s="351"/>
      <c r="AC239" s="351"/>
      <c r="AD239" s="351"/>
      <c r="AE239" s="351"/>
      <c r="AF239" s="351"/>
      <c r="AG239" s="351"/>
      <c r="AH239" s="285"/>
      <c r="AI239" s="273"/>
      <c r="AJ239" s="340"/>
      <c r="AK239" s="341"/>
      <c r="AL239" s="273"/>
      <c r="AM239" s="273"/>
      <c r="AN239" s="273"/>
      <c r="AO239" s="273"/>
      <c r="AP239" s="273"/>
      <c r="AQ239" s="273"/>
      <c r="AR239" s="273"/>
      <c r="AS239" s="273"/>
      <c r="AT239" s="273"/>
      <c r="AU239" s="273"/>
      <c r="AV239" s="273"/>
      <c r="AW239" s="273"/>
      <c r="AX239" s="273"/>
      <c r="AY239" s="273"/>
      <c r="AZ239" s="273"/>
      <c r="BA239" s="273"/>
      <c r="BB239" s="273"/>
      <c r="BC239" s="273"/>
      <c r="BD239" s="273"/>
      <c r="BE239" s="273"/>
      <c r="BF239" s="273"/>
      <c r="BG239" s="273"/>
      <c r="BH239" s="273"/>
      <c r="BI239" s="273"/>
      <c r="BJ239" s="273"/>
      <c r="BK239" s="273"/>
      <c r="BL239" s="273"/>
      <c r="BM239" s="273"/>
      <c r="BN239" s="273"/>
      <c r="BO239" s="273"/>
      <c r="BP239" s="273"/>
      <c r="BQ239" s="273"/>
      <c r="BR239" s="273"/>
      <c r="BS239" s="273"/>
      <c r="BT239" s="273"/>
      <c r="BU239" s="273"/>
      <c r="BV239" s="273"/>
      <c r="BW239" s="273"/>
    </row>
    <row r="240">
      <c r="A240" s="259" t="str">
        <f>VLOOKUP($F240,UpdateHashtag!$V$3:$Y$32,COLUMN(B$15),0)</f>
        <v>#N/A</v>
      </c>
      <c r="B240" s="259" t="str">
        <f>VLOOKUP($F240,UpdateHashtag!$V$3:$Y$32,COLUMN(C$13),0)</f>
        <v>#N/A</v>
      </c>
      <c r="C240" s="259" t="str">
        <f>VLOOKUP($F240,UpdateHashtag!$V$3:$Y$32,COLUMN(D$13),0)</f>
        <v>#N/A</v>
      </c>
      <c r="D240" s="329" t="str">
        <f t="shared" si="4"/>
        <v>#N/A</v>
      </c>
      <c r="E240" s="21"/>
      <c r="F240" s="261" t="str">
        <f>VLOOKUP(J240,UpdateBBM!$C$2:E1015,3,0)</f>
        <v>#N/A</v>
      </c>
      <c r="G240" s="31">
        <v>220.0</v>
      </c>
      <c r="H240" s="278"/>
      <c r="I240" s="278"/>
      <c r="J240" s="279"/>
      <c r="K240" s="278"/>
      <c r="L240" s="280"/>
      <c r="M240" s="281"/>
      <c r="N240" s="282"/>
      <c r="O240" s="282"/>
      <c r="P240" s="283"/>
      <c r="Q240" s="283"/>
      <c r="R240" s="283"/>
      <c r="S240" s="284"/>
      <c r="T240" s="283"/>
      <c r="U240" s="283"/>
      <c r="V240" s="280"/>
      <c r="W240" s="280"/>
      <c r="X240" s="280"/>
      <c r="Y240" s="283"/>
      <c r="Z240" s="351"/>
      <c r="AA240" s="351"/>
      <c r="AB240" s="351"/>
      <c r="AC240" s="351"/>
      <c r="AD240" s="351"/>
      <c r="AE240" s="351"/>
      <c r="AF240" s="351"/>
      <c r="AG240" s="351"/>
      <c r="AH240" s="285"/>
      <c r="AI240" s="273"/>
      <c r="AJ240" s="340"/>
      <c r="AK240" s="341"/>
      <c r="AL240" s="273"/>
      <c r="AM240" s="273"/>
      <c r="AN240" s="273"/>
      <c r="AO240" s="273"/>
      <c r="AP240" s="273"/>
      <c r="AQ240" s="273"/>
      <c r="AR240" s="273"/>
      <c r="AS240" s="273"/>
      <c r="AT240" s="273"/>
      <c r="AU240" s="273"/>
      <c r="AV240" s="273"/>
      <c r="AW240" s="273"/>
      <c r="AX240" s="273"/>
      <c r="AY240" s="273"/>
      <c r="AZ240" s="273"/>
      <c r="BA240" s="273"/>
      <c r="BB240" s="273"/>
      <c r="BC240" s="273"/>
      <c r="BD240" s="273"/>
      <c r="BE240" s="273"/>
      <c r="BF240" s="273"/>
      <c r="BG240" s="273"/>
      <c r="BH240" s="273"/>
      <c r="BI240" s="273"/>
      <c r="BJ240" s="273"/>
      <c r="BK240" s="273"/>
      <c r="BL240" s="273"/>
      <c r="BM240" s="273"/>
      <c r="BN240" s="273"/>
      <c r="BO240" s="273"/>
      <c r="BP240" s="273"/>
      <c r="BQ240" s="273"/>
      <c r="BR240" s="273"/>
      <c r="BS240" s="273"/>
      <c r="BT240" s="273"/>
      <c r="BU240" s="273"/>
      <c r="BV240" s="273"/>
      <c r="BW240" s="273"/>
    </row>
    <row r="241">
      <c r="A241" s="259" t="str">
        <f>VLOOKUP($F241,UpdateHashtag!$V$3:$Y$32,COLUMN(B$15),0)</f>
        <v>#N/A</v>
      </c>
      <c r="B241" s="259" t="str">
        <f>VLOOKUP($F241,UpdateHashtag!$V$3:$Y$32,COLUMN(C$13),0)</f>
        <v>#N/A</v>
      </c>
      <c r="C241" s="259" t="str">
        <f>VLOOKUP($F241,UpdateHashtag!$V$3:$Y$32,COLUMN(D$13),0)</f>
        <v>#N/A</v>
      </c>
      <c r="D241" s="329" t="str">
        <f t="shared" si="4"/>
        <v>#N/A</v>
      </c>
      <c r="E241" s="21"/>
      <c r="F241" s="261" t="str">
        <f>VLOOKUP(J241,UpdateBBM!$C$2:E1015,3,0)</f>
        <v>#N/A</v>
      </c>
      <c r="G241" s="31">
        <v>221.0</v>
      </c>
      <c r="H241" s="278"/>
      <c r="I241" s="278"/>
      <c r="J241" s="279"/>
      <c r="K241" s="278"/>
      <c r="L241" s="280"/>
      <c r="M241" s="281"/>
      <c r="N241" s="282"/>
      <c r="O241" s="282"/>
      <c r="P241" s="283"/>
      <c r="Q241" s="283"/>
      <c r="R241" s="283"/>
      <c r="S241" s="284"/>
      <c r="T241" s="283"/>
      <c r="U241" s="283"/>
      <c r="V241" s="280"/>
      <c r="W241" s="280"/>
      <c r="X241" s="280"/>
      <c r="Y241" s="283"/>
      <c r="Z241" s="351"/>
      <c r="AA241" s="351"/>
      <c r="AB241" s="351"/>
      <c r="AC241" s="351"/>
      <c r="AD241" s="351"/>
      <c r="AE241" s="351"/>
      <c r="AF241" s="351"/>
      <c r="AG241" s="351"/>
      <c r="AH241" s="285"/>
      <c r="AI241" s="273"/>
      <c r="AJ241" s="340"/>
      <c r="AK241" s="341"/>
      <c r="AL241" s="273"/>
      <c r="AM241" s="273"/>
      <c r="AN241" s="273"/>
      <c r="AO241" s="273"/>
      <c r="AP241" s="273"/>
      <c r="AQ241" s="273"/>
      <c r="AR241" s="273"/>
      <c r="AS241" s="273"/>
      <c r="AT241" s="273"/>
      <c r="AU241" s="273"/>
      <c r="AV241" s="273"/>
      <c r="AW241" s="273"/>
      <c r="AX241" s="273"/>
      <c r="AY241" s="273"/>
      <c r="AZ241" s="273"/>
      <c r="BA241" s="273"/>
      <c r="BB241" s="273"/>
      <c r="BC241" s="273"/>
      <c r="BD241" s="273"/>
      <c r="BE241" s="273"/>
      <c r="BF241" s="273"/>
      <c r="BG241" s="273"/>
      <c r="BH241" s="273"/>
      <c r="BI241" s="273"/>
      <c r="BJ241" s="273"/>
      <c r="BK241" s="273"/>
      <c r="BL241" s="273"/>
      <c r="BM241" s="273"/>
      <c r="BN241" s="273"/>
      <c r="BO241" s="273"/>
      <c r="BP241" s="273"/>
      <c r="BQ241" s="273"/>
      <c r="BR241" s="273"/>
      <c r="BS241" s="273"/>
      <c r="BT241" s="273"/>
      <c r="BU241" s="273"/>
      <c r="BV241" s="273"/>
      <c r="BW241" s="273"/>
    </row>
    <row r="242">
      <c r="A242" s="259" t="str">
        <f>VLOOKUP($F242,UpdateHashtag!$V$3:$Y$32,COLUMN(B$15),0)</f>
        <v>#N/A</v>
      </c>
      <c r="B242" s="259" t="str">
        <f>VLOOKUP($F242,UpdateHashtag!$V$3:$Y$32,COLUMN(C$13),0)</f>
        <v>#N/A</v>
      </c>
      <c r="C242" s="259" t="str">
        <f>VLOOKUP($F242,UpdateHashtag!$V$3:$Y$32,COLUMN(D$13),0)</f>
        <v>#N/A</v>
      </c>
      <c r="D242" s="329" t="str">
        <f t="shared" si="4"/>
        <v>#N/A</v>
      </c>
      <c r="E242" s="21"/>
      <c r="F242" s="261" t="str">
        <f>VLOOKUP(J242,UpdateBBM!$C$2:E1015,3,0)</f>
        <v>#N/A</v>
      </c>
      <c r="G242" s="31">
        <v>222.0</v>
      </c>
      <c r="H242" s="278"/>
      <c r="I242" s="278"/>
      <c r="J242" s="279"/>
      <c r="K242" s="278"/>
      <c r="L242" s="280"/>
      <c r="M242" s="281"/>
      <c r="N242" s="282"/>
      <c r="O242" s="282"/>
      <c r="P242" s="283"/>
      <c r="Q242" s="283"/>
      <c r="R242" s="283"/>
      <c r="S242" s="284"/>
      <c r="T242" s="283"/>
      <c r="U242" s="283"/>
      <c r="V242" s="280"/>
      <c r="W242" s="280"/>
      <c r="X242" s="280"/>
      <c r="Y242" s="283"/>
      <c r="Z242" s="351"/>
      <c r="AA242" s="351"/>
      <c r="AB242" s="351"/>
      <c r="AC242" s="351"/>
      <c r="AD242" s="351"/>
      <c r="AE242" s="351"/>
      <c r="AF242" s="351"/>
      <c r="AG242" s="351"/>
      <c r="AH242" s="285"/>
      <c r="AI242" s="273"/>
      <c r="AJ242" s="340"/>
      <c r="AK242" s="341"/>
      <c r="AL242" s="273"/>
      <c r="AM242" s="273"/>
      <c r="AN242" s="273"/>
      <c r="AO242" s="273"/>
      <c r="AP242" s="273"/>
      <c r="AQ242" s="273"/>
      <c r="AR242" s="273"/>
      <c r="AS242" s="273"/>
      <c r="AT242" s="273"/>
      <c r="AU242" s="273"/>
      <c r="AV242" s="273"/>
      <c r="AW242" s="273"/>
      <c r="AX242" s="273"/>
      <c r="AY242" s="273"/>
      <c r="AZ242" s="273"/>
      <c r="BA242" s="273"/>
      <c r="BB242" s="273"/>
      <c r="BC242" s="273"/>
      <c r="BD242" s="273"/>
      <c r="BE242" s="273"/>
      <c r="BF242" s="273"/>
      <c r="BG242" s="273"/>
      <c r="BH242" s="273"/>
      <c r="BI242" s="273"/>
      <c r="BJ242" s="273"/>
      <c r="BK242" s="273"/>
      <c r="BL242" s="273"/>
      <c r="BM242" s="273"/>
      <c r="BN242" s="273"/>
      <c r="BO242" s="273"/>
      <c r="BP242" s="273"/>
      <c r="BQ242" s="273"/>
      <c r="BR242" s="273"/>
      <c r="BS242" s="273"/>
      <c r="BT242" s="273"/>
      <c r="BU242" s="273"/>
      <c r="BV242" s="273"/>
      <c r="BW242" s="273"/>
    </row>
    <row r="243">
      <c r="A243" s="259" t="str">
        <f>VLOOKUP($F243,UpdateHashtag!$V$3:$Y$32,COLUMN(B$15),0)</f>
        <v>#N/A</v>
      </c>
      <c r="B243" s="259" t="str">
        <f>VLOOKUP($F243,UpdateHashtag!$V$3:$Y$32,COLUMN(C$13),0)</f>
        <v>#N/A</v>
      </c>
      <c r="C243" s="259" t="str">
        <f>VLOOKUP($F243,UpdateHashtag!$V$3:$Y$32,COLUMN(D$13),0)</f>
        <v>#N/A</v>
      </c>
      <c r="D243" s="329" t="str">
        <f t="shared" si="4"/>
        <v>#N/A</v>
      </c>
      <c r="E243" s="21"/>
      <c r="F243" s="261" t="str">
        <f>VLOOKUP(J243,UpdateBBM!$C$2:E1015,3,0)</f>
        <v>#N/A</v>
      </c>
      <c r="G243" s="31">
        <v>223.0</v>
      </c>
      <c r="H243" s="278"/>
      <c r="I243" s="278"/>
      <c r="J243" s="279"/>
      <c r="K243" s="278"/>
      <c r="L243" s="280"/>
      <c r="M243" s="281"/>
      <c r="N243" s="282"/>
      <c r="O243" s="282"/>
      <c r="P243" s="283"/>
      <c r="Q243" s="283"/>
      <c r="R243" s="283"/>
      <c r="S243" s="284"/>
      <c r="T243" s="283"/>
      <c r="U243" s="283"/>
      <c r="V243" s="280"/>
      <c r="W243" s="280"/>
      <c r="X243" s="280"/>
      <c r="Y243" s="283"/>
      <c r="Z243" s="351"/>
      <c r="AA243" s="351"/>
      <c r="AB243" s="351"/>
      <c r="AC243" s="351"/>
      <c r="AD243" s="351"/>
      <c r="AE243" s="351"/>
      <c r="AF243" s="351"/>
      <c r="AG243" s="351"/>
      <c r="AH243" s="285"/>
      <c r="AI243" s="273"/>
      <c r="AJ243" s="340"/>
      <c r="AK243" s="341"/>
      <c r="AL243" s="273"/>
      <c r="AM243" s="273"/>
      <c r="AN243" s="273"/>
      <c r="AO243" s="273"/>
      <c r="AP243" s="273"/>
      <c r="AQ243" s="273"/>
      <c r="AR243" s="273"/>
      <c r="AS243" s="273"/>
      <c r="AT243" s="273"/>
      <c r="AU243" s="273"/>
      <c r="AV243" s="273"/>
      <c r="AW243" s="273"/>
      <c r="AX243" s="273"/>
      <c r="AY243" s="273"/>
      <c r="AZ243" s="273"/>
      <c r="BA243" s="273"/>
      <c r="BB243" s="273"/>
      <c r="BC243" s="273"/>
      <c r="BD243" s="273"/>
      <c r="BE243" s="273"/>
      <c r="BF243" s="273"/>
      <c r="BG243" s="273"/>
      <c r="BH243" s="273"/>
      <c r="BI243" s="273"/>
      <c r="BJ243" s="273"/>
      <c r="BK243" s="273"/>
      <c r="BL243" s="273"/>
      <c r="BM243" s="273"/>
      <c r="BN243" s="273"/>
      <c r="BO243" s="273"/>
      <c r="BP243" s="273"/>
      <c r="BQ243" s="273"/>
      <c r="BR243" s="273"/>
      <c r="BS243" s="273"/>
      <c r="BT243" s="273"/>
      <c r="BU243" s="273"/>
      <c r="BV243" s="273"/>
      <c r="BW243" s="273"/>
    </row>
    <row r="244">
      <c r="A244" s="259" t="str">
        <f>VLOOKUP($F244,UpdateHashtag!$V$3:$Y$32,COLUMN(B$15),0)</f>
        <v>#N/A</v>
      </c>
      <c r="B244" s="259" t="str">
        <f>VLOOKUP($F244,UpdateHashtag!$V$3:$Y$32,COLUMN(C$13),0)</f>
        <v>#N/A</v>
      </c>
      <c r="C244" s="259" t="str">
        <f>VLOOKUP($F244,UpdateHashtag!$V$3:$Y$32,COLUMN(D$13),0)</f>
        <v>#N/A</v>
      </c>
      <c r="D244" s="329" t="str">
        <f t="shared" si="4"/>
        <v>#N/A</v>
      </c>
      <c r="E244" s="21"/>
      <c r="F244" s="261" t="str">
        <f>VLOOKUP(J244,UpdateBBM!$C$2:E1015,3,0)</f>
        <v>#N/A</v>
      </c>
      <c r="G244" s="31">
        <v>224.0</v>
      </c>
      <c r="H244" s="278"/>
      <c r="I244" s="278"/>
      <c r="J244" s="279"/>
      <c r="K244" s="278"/>
      <c r="L244" s="280"/>
      <c r="M244" s="281"/>
      <c r="N244" s="282"/>
      <c r="O244" s="282"/>
      <c r="P244" s="283"/>
      <c r="Q244" s="283"/>
      <c r="R244" s="283"/>
      <c r="S244" s="284"/>
      <c r="T244" s="283"/>
      <c r="U244" s="283"/>
      <c r="V244" s="280"/>
      <c r="W244" s="280"/>
      <c r="X244" s="280"/>
      <c r="Y244" s="283"/>
      <c r="Z244" s="351"/>
      <c r="AA244" s="351"/>
      <c r="AB244" s="351"/>
      <c r="AC244" s="351"/>
      <c r="AD244" s="351"/>
      <c r="AE244" s="351"/>
      <c r="AF244" s="351"/>
      <c r="AG244" s="351"/>
      <c r="AH244" s="285"/>
      <c r="AI244" s="273"/>
      <c r="AJ244" s="340"/>
      <c r="AK244" s="341"/>
      <c r="AL244" s="273"/>
      <c r="AM244" s="273"/>
      <c r="AN244" s="273"/>
      <c r="AO244" s="273"/>
      <c r="AP244" s="273"/>
      <c r="AQ244" s="273"/>
      <c r="AR244" s="273"/>
      <c r="AS244" s="273"/>
      <c r="AT244" s="273"/>
      <c r="AU244" s="273"/>
      <c r="AV244" s="273"/>
      <c r="AW244" s="273"/>
      <c r="AX244" s="273"/>
      <c r="AY244" s="273"/>
      <c r="AZ244" s="273"/>
      <c r="BA244" s="273"/>
      <c r="BB244" s="273"/>
      <c r="BC244" s="273"/>
      <c r="BD244" s="273"/>
      <c r="BE244" s="273"/>
      <c r="BF244" s="273"/>
      <c r="BG244" s="273"/>
      <c r="BH244" s="273"/>
      <c r="BI244" s="273"/>
      <c r="BJ244" s="273"/>
      <c r="BK244" s="273"/>
      <c r="BL244" s="273"/>
      <c r="BM244" s="273"/>
      <c r="BN244" s="273"/>
      <c r="BO244" s="273"/>
      <c r="BP244" s="273"/>
      <c r="BQ244" s="273"/>
      <c r="BR244" s="273"/>
      <c r="BS244" s="273"/>
      <c r="BT244" s="273"/>
      <c r="BU244" s="273"/>
      <c r="BV244" s="273"/>
      <c r="BW244" s="273"/>
    </row>
    <row r="245">
      <c r="A245" s="259" t="str">
        <f>VLOOKUP($F245,UpdateHashtag!$V$3:$Y$32,COLUMN(B$15),0)</f>
        <v>#N/A</v>
      </c>
      <c r="B245" s="259" t="str">
        <f>VLOOKUP($F245,UpdateHashtag!$V$3:$Y$32,COLUMN(C$13),0)</f>
        <v>#N/A</v>
      </c>
      <c r="C245" s="259" t="str">
        <f>VLOOKUP($F245,UpdateHashtag!$V$3:$Y$32,COLUMN(D$13),0)</f>
        <v>#N/A</v>
      </c>
      <c r="D245" s="329" t="str">
        <f t="shared" si="4"/>
        <v>#N/A</v>
      </c>
      <c r="E245" s="21"/>
      <c r="F245" s="261" t="str">
        <f>VLOOKUP(J245,UpdateBBM!$C$2:E1015,3,0)</f>
        <v>#N/A</v>
      </c>
      <c r="G245" s="31">
        <v>225.0</v>
      </c>
      <c r="H245" s="278"/>
      <c r="I245" s="278"/>
      <c r="J245" s="279"/>
      <c r="K245" s="278"/>
      <c r="L245" s="280"/>
      <c r="M245" s="281"/>
      <c r="N245" s="282"/>
      <c r="O245" s="282"/>
      <c r="P245" s="283"/>
      <c r="Q245" s="283"/>
      <c r="R245" s="283"/>
      <c r="S245" s="284"/>
      <c r="T245" s="283"/>
      <c r="U245" s="283"/>
      <c r="V245" s="280"/>
      <c r="W245" s="280"/>
      <c r="X245" s="280"/>
      <c r="Y245" s="283"/>
      <c r="Z245" s="351"/>
      <c r="AA245" s="351"/>
      <c r="AB245" s="351"/>
      <c r="AC245" s="351"/>
      <c r="AD245" s="351"/>
      <c r="AE245" s="351"/>
      <c r="AF245" s="351"/>
      <c r="AG245" s="351"/>
      <c r="AH245" s="285"/>
      <c r="AI245" s="273"/>
      <c r="AJ245" s="340"/>
      <c r="AK245" s="341"/>
      <c r="AL245" s="273"/>
      <c r="AM245" s="273"/>
      <c r="AN245" s="273"/>
      <c r="AO245" s="273"/>
      <c r="AP245" s="273"/>
      <c r="AQ245" s="273"/>
      <c r="AR245" s="273"/>
      <c r="AS245" s="273"/>
      <c r="AT245" s="273"/>
      <c r="AU245" s="273"/>
      <c r="AV245" s="273"/>
      <c r="AW245" s="273"/>
      <c r="AX245" s="273"/>
      <c r="AY245" s="273"/>
      <c r="AZ245" s="273"/>
      <c r="BA245" s="273"/>
      <c r="BB245" s="273"/>
      <c r="BC245" s="273"/>
      <c r="BD245" s="273"/>
      <c r="BE245" s="273"/>
      <c r="BF245" s="273"/>
      <c r="BG245" s="273"/>
      <c r="BH245" s="273"/>
      <c r="BI245" s="273"/>
      <c r="BJ245" s="273"/>
      <c r="BK245" s="273"/>
      <c r="BL245" s="273"/>
      <c r="BM245" s="273"/>
      <c r="BN245" s="273"/>
      <c r="BO245" s="273"/>
      <c r="BP245" s="273"/>
      <c r="BQ245" s="273"/>
      <c r="BR245" s="273"/>
      <c r="BS245" s="273"/>
      <c r="BT245" s="273"/>
      <c r="BU245" s="273"/>
      <c r="BV245" s="273"/>
      <c r="BW245" s="273"/>
    </row>
    <row r="246">
      <c r="A246" s="259" t="str">
        <f>VLOOKUP($F246,UpdateHashtag!$V$3:$Y$32,COLUMN(B$15),0)</f>
        <v>#N/A</v>
      </c>
      <c r="B246" s="259" t="str">
        <f>VLOOKUP($F246,UpdateHashtag!$V$3:$Y$32,COLUMN(C$13),0)</f>
        <v>#N/A</v>
      </c>
      <c r="C246" s="259" t="str">
        <f>VLOOKUP($F246,UpdateHashtag!$V$3:$Y$32,COLUMN(D$13),0)</f>
        <v>#N/A</v>
      </c>
      <c r="D246" s="329" t="str">
        <f t="shared" si="4"/>
        <v>#N/A</v>
      </c>
      <c r="E246" s="21"/>
      <c r="F246" s="261" t="str">
        <f>VLOOKUP(J246,UpdateBBM!$C$2:E1015,3,0)</f>
        <v>#N/A</v>
      </c>
      <c r="G246" s="31">
        <v>226.0</v>
      </c>
      <c r="H246" s="278"/>
      <c r="I246" s="278"/>
      <c r="J246" s="279"/>
      <c r="K246" s="278"/>
      <c r="L246" s="280"/>
      <c r="M246" s="281"/>
      <c r="N246" s="282"/>
      <c r="O246" s="282"/>
      <c r="P246" s="283"/>
      <c r="Q246" s="283"/>
      <c r="R246" s="283"/>
      <c r="S246" s="284"/>
      <c r="T246" s="283"/>
      <c r="U246" s="283"/>
      <c r="V246" s="280"/>
      <c r="W246" s="280"/>
      <c r="X246" s="280"/>
      <c r="Y246" s="283"/>
      <c r="Z246" s="351"/>
      <c r="AA246" s="351"/>
      <c r="AB246" s="351"/>
      <c r="AC246" s="351"/>
      <c r="AD246" s="351"/>
      <c r="AE246" s="351"/>
      <c r="AF246" s="351"/>
      <c r="AG246" s="351"/>
      <c r="AH246" s="285"/>
      <c r="AI246" s="273"/>
      <c r="AJ246" s="340"/>
      <c r="AK246" s="341"/>
      <c r="AL246" s="273"/>
      <c r="AM246" s="273"/>
      <c r="AN246" s="273"/>
      <c r="AO246" s="273"/>
      <c r="AP246" s="273"/>
      <c r="AQ246" s="273"/>
      <c r="AR246" s="273"/>
      <c r="AS246" s="273"/>
      <c r="AT246" s="273"/>
      <c r="AU246" s="273"/>
      <c r="AV246" s="273"/>
      <c r="AW246" s="273"/>
      <c r="AX246" s="273"/>
      <c r="AY246" s="273"/>
      <c r="AZ246" s="273"/>
      <c r="BA246" s="273"/>
      <c r="BB246" s="273"/>
      <c r="BC246" s="273"/>
      <c r="BD246" s="273"/>
      <c r="BE246" s="273"/>
      <c r="BF246" s="273"/>
      <c r="BG246" s="273"/>
      <c r="BH246" s="273"/>
      <c r="BI246" s="273"/>
      <c r="BJ246" s="273"/>
      <c r="BK246" s="273"/>
      <c r="BL246" s="273"/>
      <c r="BM246" s="273"/>
      <c r="BN246" s="273"/>
      <c r="BO246" s="273"/>
      <c r="BP246" s="273"/>
      <c r="BQ246" s="273"/>
      <c r="BR246" s="273"/>
      <c r="BS246" s="273"/>
      <c r="BT246" s="273"/>
      <c r="BU246" s="273"/>
      <c r="BV246" s="273"/>
      <c r="BW246" s="273"/>
    </row>
    <row r="247">
      <c r="A247" s="259" t="str">
        <f>VLOOKUP($F247,UpdateHashtag!$V$3:$Y$32,COLUMN(B$15),0)</f>
        <v>#N/A</v>
      </c>
      <c r="B247" s="259" t="str">
        <f>VLOOKUP($F247,UpdateHashtag!$V$3:$Y$32,COLUMN(C$13),0)</f>
        <v>#N/A</v>
      </c>
      <c r="C247" s="259" t="str">
        <f>VLOOKUP($F247,UpdateHashtag!$V$3:$Y$32,COLUMN(D$13),0)</f>
        <v>#N/A</v>
      </c>
      <c r="D247" s="329" t="str">
        <f t="shared" si="4"/>
        <v>#N/A</v>
      </c>
      <c r="E247" s="21"/>
      <c r="F247" s="261" t="str">
        <f>VLOOKUP(J247,UpdateBBM!$C$2:E1015,3,0)</f>
        <v>#N/A</v>
      </c>
      <c r="G247" s="31">
        <v>227.0</v>
      </c>
      <c r="H247" s="278"/>
      <c r="I247" s="278"/>
      <c r="J247" s="279"/>
      <c r="K247" s="278"/>
      <c r="L247" s="280"/>
      <c r="M247" s="281"/>
      <c r="N247" s="282"/>
      <c r="O247" s="282"/>
      <c r="P247" s="283"/>
      <c r="Q247" s="283"/>
      <c r="R247" s="283"/>
      <c r="S247" s="284"/>
      <c r="T247" s="283"/>
      <c r="U247" s="283"/>
      <c r="V247" s="280"/>
      <c r="W247" s="280"/>
      <c r="X247" s="280"/>
      <c r="Y247" s="283"/>
      <c r="Z247" s="351"/>
      <c r="AA247" s="351"/>
      <c r="AB247" s="351"/>
      <c r="AC247" s="351"/>
      <c r="AD247" s="351"/>
      <c r="AE247" s="351"/>
      <c r="AF247" s="351"/>
      <c r="AG247" s="351"/>
      <c r="AH247" s="285"/>
      <c r="AI247" s="273"/>
      <c r="AJ247" s="340"/>
      <c r="AK247" s="341"/>
      <c r="AL247" s="273"/>
      <c r="AM247" s="273"/>
      <c r="AN247" s="273"/>
      <c r="AO247" s="273"/>
      <c r="AP247" s="273"/>
      <c r="AQ247" s="273"/>
      <c r="AR247" s="273"/>
      <c r="AS247" s="273"/>
      <c r="AT247" s="273"/>
      <c r="AU247" s="273"/>
      <c r="AV247" s="273"/>
      <c r="AW247" s="273"/>
      <c r="AX247" s="273"/>
      <c r="AY247" s="273"/>
      <c r="AZ247" s="273"/>
      <c r="BA247" s="273"/>
      <c r="BB247" s="273"/>
      <c r="BC247" s="273"/>
      <c r="BD247" s="273"/>
      <c r="BE247" s="273"/>
      <c r="BF247" s="273"/>
      <c r="BG247" s="273"/>
      <c r="BH247" s="273"/>
      <c r="BI247" s="273"/>
      <c r="BJ247" s="273"/>
      <c r="BK247" s="273"/>
      <c r="BL247" s="273"/>
      <c r="BM247" s="273"/>
      <c r="BN247" s="273"/>
      <c r="BO247" s="273"/>
      <c r="BP247" s="273"/>
      <c r="BQ247" s="273"/>
      <c r="BR247" s="273"/>
      <c r="BS247" s="273"/>
      <c r="BT247" s="273"/>
      <c r="BU247" s="273"/>
      <c r="BV247" s="273"/>
      <c r="BW247" s="273"/>
    </row>
    <row r="248">
      <c r="A248" s="259" t="str">
        <f>VLOOKUP($F248,UpdateHashtag!$V$3:$Y$32,COLUMN(B$15),0)</f>
        <v>#N/A</v>
      </c>
      <c r="B248" s="259" t="str">
        <f>VLOOKUP($F248,UpdateHashtag!$V$3:$Y$32,COLUMN(C$13),0)</f>
        <v>#N/A</v>
      </c>
      <c r="C248" s="259" t="str">
        <f>VLOOKUP($F248,UpdateHashtag!$V$3:$Y$32,COLUMN(D$13),0)</f>
        <v>#N/A</v>
      </c>
      <c r="D248" s="329" t="str">
        <f t="shared" si="4"/>
        <v>#N/A</v>
      </c>
      <c r="E248" s="21"/>
      <c r="F248" s="261" t="str">
        <f>VLOOKUP(J248,UpdateBBM!$C$2:E1015,3,0)</f>
        <v>#N/A</v>
      </c>
      <c r="G248" s="31">
        <v>228.0</v>
      </c>
      <c r="H248" s="278"/>
      <c r="I248" s="278"/>
      <c r="J248" s="279"/>
      <c r="K248" s="278"/>
      <c r="L248" s="280"/>
      <c r="M248" s="281"/>
      <c r="N248" s="282"/>
      <c r="O248" s="282"/>
      <c r="P248" s="283"/>
      <c r="Q248" s="283"/>
      <c r="R248" s="283"/>
      <c r="S248" s="284"/>
      <c r="T248" s="283"/>
      <c r="U248" s="283"/>
      <c r="V248" s="280"/>
      <c r="W248" s="280"/>
      <c r="X248" s="280"/>
      <c r="Y248" s="283"/>
      <c r="Z248" s="351"/>
      <c r="AA248" s="351"/>
      <c r="AB248" s="351"/>
      <c r="AC248" s="351"/>
      <c r="AD248" s="351"/>
      <c r="AE248" s="351"/>
      <c r="AF248" s="351"/>
      <c r="AG248" s="351"/>
      <c r="AH248" s="285"/>
      <c r="AI248" s="273"/>
      <c r="AJ248" s="340"/>
      <c r="AK248" s="341"/>
      <c r="AL248" s="273"/>
      <c r="AM248" s="273"/>
      <c r="AN248" s="273"/>
      <c r="AO248" s="273"/>
      <c r="AP248" s="273"/>
      <c r="AQ248" s="273"/>
      <c r="AR248" s="273"/>
      <c r="AS248" s="273"/>
      <c r="AT248" s="273"/>
      <c r="AU248" s="273"/>
      <c r="AV248" s="273"/>
      <c r="AW248" s="273"/>
      <c r="AX248" s="273"/>
      <c r="AY248" s="273"/>
      <c r="AZ248" s="273"/>
      <c r="BA248" s="273"/>
      <c r="BB248" s="273"/>
      <c r="BC248" s="273"/>
      <c r="BD248" s="273"/>
      <c r="BE248" s="273"/>
      <c r="BF248" s="273"/>
      <c r="BG248" s="273"/>
      <c r="BH248" s="273"/>
      <c r="BI248" s="273"/>
      <c r="BJ248" s="273"/>
      <c r="BK248" s="273"/>
      <c r="BL248" s="273"/>
      <c r="BM248" s="273"/>
      <c r="BN248" s="273"/>
      <c r="BO248" s="273"/>
      <c r="BP248" s="273"/>
      <c r="BQ248" s="273"/>
      <c r="BR248" s="273"/>
      <c r="BS248" s="273"/>
      <c r="BT248" s="273"/>
      <c r="BU248" s="273"/>
      <c r="BV248" s="273"/>
      <c r="BW248" s="273"/>
    </row>
    <row r="249">
      <c r="A249" s="259" t="str">
        <f>VLOOKUP($F249,UpdateHashtag!$V$3:$Y$32,COLUMN(B$15),0)</f>
        <v>#N/A</v>
      </c>
      <c r="B249" s="259" t="str">
        <f>VLOOKUP($F249,UpdateHashtag!$V$3:$Y$32,COLUMN(C$13),0)</f>
        <v>#N/A</v>
      </c>
      <c r="C249" s="259" t="str">
        <f>VLOOKUP($F249,UpdateHashtag!$V$3:$Y$32,COLUMN(D$13),0)</f>
        <v>#N/A</v>
      </c>
      <c r="D249" s="329" t="str">
        <f t="shared" si="4"/>
        <v>#N/A</v>
      </c>
      <c r="E249" s="21"/>
      <c r="F249" s="261" t="str">
        <f>VLOOKUP(J249,UpdateBBM!$C$2:E1015,3,0)</f>
        <v>#N/A</v>
      </c>
      <c r="G249" s="31">
        <v>229.0</v>
      </c>
      <c r="H249" s="278"/>
      <c r="I249" s="278"/>
      <c r="J249" s="279"/>
      <c r="K249" s="278"/>
      <c r="L249" s="280"/>
      <c r="M249" s="281"/>
      <c r="N249" s="282"/>
      <c r="O249" s="282"/>
      <c r="P249" s="283"/>
      <c r="Q249" s="283"/>
      <c r="R249" s="283"/>
      <c r="S249" s="284"/>
      <c r="T249" s="283"/>
      <c r="U249" s="283"/>
      <c r="V249" s="280"/>
      <c r="W249" s="280"/>
      <c r="X249" s="280"/>
      <c r="Y249" s="283"/>
      <c r="Z249" s="351"/>
      <c r="AA249" s="351"/>
      <c r="AB249" s="351"/>
      <c r="AC249" s="351"/>
      <c r="AD249" s="351"/>
      <c r="AE249" s="351"/>
      <c r="AF249" s="351"/>
      <c r="AG249" s="351"/>
      <c r="AH249" s="285"/>
      <c r="AI249" s="273"/>
      <c r="AJ249" s="340"/>
      <c r="AK249" s="341"/>
      <c r="AL249" s="273"/>
      <c r="AM249" s="273"/>
      <c r="AN249" s="273"/>
      <c r="AO249" s="273"/>
      <c r="AP249" s="273"/>
      <c r="AQ249" s="273"/>
      <c r="AR249" s="273"/>
      <c r="AS249" s="273"/>
      <c r="AT249" s="273"/>
      <c r="AU249" s="273"/>
      <c r="AV249" s="273"/>
      <c r="AW249" s="273"/>
      <c r="AX249" s="273"/>
      <c r="AY249" s="273"/>
      <c r="AZ249" s="273"/>
      <c r="BA249" s="273"/>
      <c r="BB249" s="273"/>
      <c r="BC249" s="273"/>
      <c r="BD249" s="273"/>
      <c r="BE249" s="273"/>
      <c r="BF249" s="273"/>
      <c r="BG249" s="273"/>
      <c r="BH249" s="273"/>
      <c r="BI249" s="273"/>
      <c r="BJ249" s="273"/>
      <c r="BK249" s="273"/>
      <c r="BL249" s="273"/>
      <c r="BM249" s="273"/>
      <c r="BN249" s="273"/>
      <c r="BO249" s="273"/>
      <c r="BP249" s="273"/>
      <c r="BQ249" s="273"/>
      <c r="BR249" s="273"/>
      <c r="BS249" s="273"/>
      <c r="BT249" s="273"/>
      <c r="BU249" s="273"/>
      <c r="BV249" s="273"/>
      <c r="BW249" s="273"/>
    </row>
    <row r="250">
      <c r="A250" s="259" t="str">
        <f>VLOOKUP($F250,UpdateHashtag!$V$3:$Y$32,COLUMN(B$15),0)</f>
        <v>#N/A</v>
      </c>
      <c r="B250" s="259" t="str">
        <f>VLOOKUP($F250,UpdateHashtag!$V$3:$Y$32,COLUMN(C$13),0)</f>
        <v>#N/A</v>
      </c>
      <c r="C250" s="259" t="str">
        <f>VLOOKUP($F250,UpdateHashtag!$V$3:$Y$32,COLUMN(D$13),0)</f>
        <v>#N/A</v>
      </c>
      <c r="D250" s="329" t="str">
        <f t="shared" si="4"/>
        <v>#N/A</v>
      </c>
      <c r="E250" s="21"/>
      <c r="F250" s="261" t="str">
        <f>VLOOKUP(J250,UpdateBBM!$C$2:E1015,3,0)</f>
        <v>#N/A</v>
      </c>
      <c r="G250" s="31">
        <v>230.0</v>
      </c>
      <c r="H250" s="278"/>
      <c r="I250" s="278"/>
      <c r="J250" s="279"/>
      <c r="K250" s="278"/>
      <c r="L250" s="280"/>
      <c r="M250" s="281"/>
      <c r="N250" s="282"/>
      <c r="O250" s="282"/>
      <c r="P250" s="283"/>
      <c r="Q250" s="283"/>
      <c r="R250" s="283"/>
      <c r="S250" s="284"/>
      <c r="T250" s="283"/>
      <c r="U250" s="283"/>
      <c r="V250" s="280"/>
      <c r="W250" s="280"/>
      <c r="X250" s="280"/>
      <c r="Y250" s="283"/>
      <c r="Z250" s="351"/>
      <c r="AA250" s="351"/>
      <c r="AB250" s="351"/>
      <c r="AC250" s="351"/>
      <c r="AD250" s="351"/>
      <c r="AE250" s="351"/>
      <c r="AF250" s="351"/>
      <c r="AG250" s="351"/>
      <c r="AH250" s="285"/>
      <c r="AI250" s="273"/>
      <c r="AJ250" s="340"/>
      <c r="AK250" s="341"/>
      <c r="AL250" s="273"/>
      <c r="AM250" s="273"/>
      <c r="AN250" s="273"/>
      <c r="AO250" s="273"/>
      <c r="AP250" s="273"/>
      <c r="AQ250" s="273"/>
      <c r="AR250" s="273"/>
      <c r="AS250" s="273"/>
      <c r="AT250" s="273"/>
      <c r="AU250" s="273"/>
      <c r="AV250" s="273"/>
      <c r="AW250" s="273"/>
      <c r="AX250" s="273"/>
      <c r="AY250" s="273"/>
      <c r="AZ250" s="273"/>
      <c r="BA250" s="273"/>
      <c r="BB250" s="273"/>
      <c r="BC250" s="273"/>
      <c r="BD250" s="273"/>
      <c r="BE250" s="273"/>
      <c r="BF250" s="273"/>
      <c r="BG250" s="273"/>
      <c r="BH250" s="273"/>
      <c r="BI250" s="273"/>
      <c r="BJ250" s="273"/>
      <c r="BK250" s="273"/>
      <c r="BL250" s="273"/>
      <c r="BM250" s="273"/>
      <c r="BN250" s="273"/>
      <c r="BO250" s="273"/>
      <c r="BP250" s="273"/>
      <c r="BQ250" s="273"/>
      <c r="BR250" s="273"/>
      <c r="BS250" s="273"/>
      <c r="BT250" s="273"/>
      <c r="BU250" s="273"/>
      <c r="BV250" s="273"/>
      <c r="BW250" s="273"/>
    </row>
    <row r="251">
      <c r="A251" s="259" t="str">
        <f>VLOOKUP($F251,UpdateHashtag!$V$3:$Y$32,COLUMN(B$15),0)</f>
        <v>#N/A</v>
      </c>
      <c r="B251" s="259" t="str">
        <f>VLOOKUP($F251,UpdateHashtag!$V$3:$Y$32,COLUMN(C$13),0)</f>
        <v>#N/A</v>
      </c>
      <c r="C251" s="259" t="str">
        <f>VLOOKUP($F251,UpdateHashtag!$V$3:$Y$32,COLUMN(D$13),0)</f>
        <v>#N/A</v>
      </c>
      <c r="D251" s="329" t="str">
        <f t="shared" si="4"/>
        <v>#N/A</v>
      </c>
      <c r="E251" s="21"/>
      <c r="F251" s="261" t="str">
        <f>VLOOKUP(J251,UpdateBBM!$C$2:E1015,3,0)</f>
        <v>#N/A</v>
      </c>
      <c r="G251" s="31">
        <v>231.0</v>
      </c>
      <c r="H251" s="278"/>
      <c r="I251" s="278"/>
      <c r="J251" s="279"/>
      <c r="K251" s="278"/>
      <c r="L251" s="280"/>
      <c r="M251" s="281"/>
      <c r="N251" s="282"/>
      <c r="O251" s="282"/>
      <c r="P251" s="283"/>
      <c r="Q251" s="283"/>
      <c r="R251" s="283"/>
      <c r="S251" s="284"/>
      <c r="T251" s="283"/>
      <c r="U251" s="283"/>
      <c r="V251" s="280"/>
      <c r="W251" s="280"/>
      <c r="X251" s="280"/>
      <c r="Y251" s="283"/>
      <c r="Z251" s="351"/>
      <c r="AA251" s="351"/>
      <c r="AB251" s="351"/>
      <c r="AC251" s="351"/>
      <c r="AD251" s="351"/>
      <c r="AE251" s="351"/>
      <c r="AF251" s="351"/>
      <c r="AG251" s="351"/>
      <c r="AH251" s="285"/>
      <c r="AI251" s="273"/>
      <c r="AJ251" s="340"/>
      <c r="AK251" s="341"/>
      <c r="AL251" s="273"/>
      <c r="AM251" s="273"/>
      <c r="AN251" s="273"/>
      <c r="AO251" s="273"/>
      <c r="AP251" s="273"/>
      <c r="AQ251" s="273"/>
      <c r="AR251" s="273"/>
      <c r="AS251" s="273"/>
      <c r="AT251" s="273"/>
      <c r="AU251" s="273"/>
      <c r="AV251" s="273"/>
      <c r="AW251" s="273"/>
      <c r="AX251" s="273"/>
      <c r="AY251" s="273"/>
      <c r="AZ251" s="273"/>
      <c r="BA251" s="273"/>
      <c r="BB251" s="273"/>
      <c r="BC251" s="273"/>
      <c r="BD251" s="273"/>
      <c r="BE251" s="273"/>
      <c r="BF251" s="273"/>
      <c r="BG251" s="273"/>
      <c r="BH251" s="273"/>
      <c r="BI251" s="273"/>
      <c r="BJ251" s="273"/>
      <c r="BK251" s="273"/>
      <c r="BL251" s="273"/>
      <c r="BM251" s="273"/>
      <c r="BN251" s="273"/>
      <c r="BO251" s="273"/>
      <c r="BP251" s="273"/>
      <c r="BQ251" s="273"/>
      <c r="BR251" s="273"/>
      <c r="BS251" s="273"/>
      <c r="BT251" s="273"/>
      <c r="BU251" s="273"/>
      <c r="BV251" s="273"/>
      <c r="BW251" s="273"/>
    </row>
    <row r="252">
      <c r="A252" s="259" t="str">
        <f>VLOOKUP($F252,UpdateHashtag!$V$3:$Y$32,COLUMN(B$15),0)</f>
        <v>#N/A</v>
      </c>
      <c r="B252" s="259" t="str">
        <f>VLOOKUP($F252,UpdateHashtag!$V$3:$Y$32,COLUMN(C$13),0)</f>
        <v>#N/A</v>
      </c>
      <c r="C252" s="259" t="str">
        <f>VLOOKUP($F252,UpdateHashtag!$V$3:$Y$32,COLUMN(D$13),0)</f>
        <v>#N/A</v>
      </c>
      <c r="D252" s="329" t="str">
        <f t="shared" si="4"/>
        <v>#N/A</v>
      </c>
      <c r="E252" s="21"/>
      <c r="F252" s="261" t="str">
        <f>VLOOKUP(J252,UpdateBBM!$C$2:E1015,3,0)</f>
        <v>#N/A</v>
      </c>
      <c r="G252" s="31">
        <v>232.0</v>
      </c>
      <c r="H252" s="278"/>
      <c r="I252" s="278"/>
      <c r="J252" s="279"/>
      <c r="K252" s="278"/>
      <c r="L252" s="280"/>
      <c r="M252" s="281"/>
      <c r="N252" s="282"/>
      <c r="O252" s="282"/>
      <c r="P252" s="283"/>
      <c r="Q252" s="283"/>
      <c r="R252" s="283"/>
      <c r="S252" s="284"/>
      <c r="T252" s="283"/>
      <c r="U252" s="283"/>
      <c r="V252" s="280"/>
      <c r="W252" s="280"/>
      <c r="X252" s="280"/>
      <c r="Y252" s="283"/>
      <c r="Z252" s="351"/>
      <c r="AA252" s="351"/>
      <c r="AB252" s="351"/>
      <c r="AC252" s="351"/>
      <c r="AD252" s="351"/>
      <c r="AE252" s="351"/>
      <c r="AF252" s="351"/>
      <c r="AG252" s="351"/>
      <c r="AH252" s="285"/>
      <c r="AI252" s="273"/>
      <c r="AJ252" s="340"/>
      <c r="AK252" s="341"/>
      <c r="AL252" s="273"/>
      <c r="AM252" s="273"/>
      <c r="AN252" s="273"/>
      <c r="AO252" s="273"/>
      <c r="AP252" s="273"/>
      <c r="AQ252" s="273"/>
      <c r="AR252" s="273"/>
      <c r="AS252" s="273"/>
      <c r="AT252" s="273"/>
      <c r="AU252" s="273"/>
      <c r="AV252" s="273"/>
      <c r="AW252" s="273"/>
      <c r="AX252" s="273"/>
      <c r="AY252" s="273"/>
      <c r="AZ252" s="273"/>
      <c r="BA252" s="273"/>
      <c r="BB252" s="273"/>
      <c r="BC252" s="273"/>
      <c r="BD252" s="273"/>
      <c r="BE252" s="273"/>
      <c r="BF252" s="273"/>
      <c r="BG252" s="273"/>
      <c r="BH252" s="273"/>
      <c r="BI252" s="273"/>
      <c r="BJ252" s="273"/>
      <c r="BK252" s="273"/>
      <c r="BL252" s="273"/>
      <c r="BM252" s="273"/>
      <c r="BN252" s="273"/>
      <c r="BO252" s="273"/>
      <c r="BP252" s="273"/>
      <c r="BQ252" s="273"/>
      <c r="BR252" s="273"/>
      <c r="BS252" s="273"/>
      <c r="BT252" s="273"/>
      <c r="BU252" s="273"/>
      <c r="BV252" s="273"/>
      <c r="BW252" s="273"/>
    </row>
    <row r="253">
      <c r="A253" s="259" t="str">
        <f>VLOOKUP($F253,UpdateHashtag!$V$3:$Y$32,COLUMN(B$15),0)</f>
        <v>#N/A</v>
      </c>
      <c r="B253" s="259" t="str">
        <f>VLOOKUP($F253,UpdateHashtag!$V$3:$Y$32,COLUMN(C$13),0)</f>
        <v>#N/A</v>
      </c>
      <c r="C253" s="259" t="str">
        <f>VLOOKUP($F253,UpdateHashtag!$V$3:$Y$32,COLUMN(D$13),0)</f>
        <v>#N/A</v>
      </c>
      <c r="D253" s="329" t="str">
        <f t="shared" si="4"/>
        <v>#N/A</v>
      </c>
      <c r="E253" s="21"/>
      <c r="F253" s="261" t="str">
        <f>VLOOKUP(J253,UpdateBBM!$C$2:E1015,3,0)</f>
        <v>#N/A</v>
      </c>
      <c r="G253" s="31">
        <v>233.0</v>
      </c>
      <c r="H253" s="278"/>
      <c r="I253" s="278"/>
      <c r="J253" s="279"/>
      <c r="K253" s="278"/>
      <c r="L253" s="280"/>
      <c r="M253" s="281"/>
      <c r="N253" s="282"/>
      <c r="O253" s="282"/>
      <c r="P253" s="283"/>
      <c r="Q253" s="283"/>
      <c r="R253" s="283"/>
      <c r="S253" s="284"/>
      <c r="T253" s="283"/>
      <c r="U253" s="283"/>
      <c r="V253" s="280"/>
      <c r="W253" s="280"/>
      <c r="X253" s="280"/>
      <c r="Y253" s="283"/>
      <c r="Z253" s="351"/>
      <c r="AA253" s="351"/>
      <c r="AB253" s="351"/>
      <c r="AC253" s="351"/>
      <c r="AD253" s="351"/>
      <c r="AE253" s="351"/>
      <c r="AF253" s="351"/>
      <c r="AG253" s="351"/>
      <c r="AH253" s="285"/>
      <c r="AI253" s="273"/>
      <c r="AJ253" s="340"/>
      <c r="AK253" s="341"/>
      <c r="AL253" s="273"/>
      <c r="AM253" s="273"/>
      <c r="AN253" s="273"/>
      <c r="AO253" s="273"/>
      <c r="AP253" s="273"/>
      <c r="AQ253" s="273"/>
      <c r="AR253" s="273"/>
      <c r="AS253" s="273"/>
      <c r="AT253" s="273"/>
      <c r="AU253" s="273"/>
      <c r="AV253" s="273"/>
      <c r="AW253" s="273"/>
      <c r="AX253" s="273"/>
      <c r="AY253" s="273"/>
      <c r="AZ253" s="273"/>
      <c r="BA253" s="273"/>
      <c r="BB253" s="273"/>
      <c r="BC253" s="273"/>
      <c r="BD253" s="273"/>
      <c r="BE253" s="273"/>
      <c r="BF253" s="273"/>
      <c r="BG253" s="273"/>
      <c r="BH253" s="273"/>
      <c r="BI253" s="273"/>
      <c r="BJ253" s="273"/>
      <c r="BK253" s="273"/>
      <c r="BL253" s="273"/>
      <c r="BM253" s="273"/>
      <c r="BN253" s="273"/>
      <c r="BO253" s="273"/>
      <c r="BP253" s="273"/>
      <c r="BQ253" s="273"/>
      <c r="BR253" s="273"/>
      <c r="BS253" s="273"/>
      <c r="BT253" s="273"/>
      <c r="BU253" s="273"/>
      <c r="BV253" s="273"/>
      <c r="BW253" s="273"/>
    </row>
    <row r="254">
      <c r="A254" s="259" t="str">
        <f>VLOOKUP($F254,UpdateHashtag!$V$3:$Y$32,COLUMN(B$15),0)</f>
        <v>#N/A</v>
      </c>
      <c r="B254" s="259" t="str">
        <f>VLOOKUP($F254,UpdateHashtag!$V$3:$Y$32,COLUMN(C$13),0)</f>
        <v>#N/A</v>
      </c>
      <c r="C254" s="259" t="str">
        <f>VLOOKUP($F254,UpdateHashtag!$V$3:$Y$32,COLUMN(D$13),0)</f>
        <v>#N/A</v>
      </c>
      <c r="D254" s="329" t="str">
        <f t="shared" si="4"/>
        <v>#N/A</v>
      </c>
      <c r="E254" s="21"/>
      <c r="F254" s="261" t="str">
        <f>VLOOKUP(J254,UpdateBBM!$C$2:E1015,3,0)</f>
        <v>#N/A</v>
      </c>
      <c r="G254" s="31">
        <v>234.0</v>
      </c>
      <c r="H254" s="278"/>
      <c r="I254" s="278"/>
      <c r="J254" s="279"/>
      <c r="K254" s="278"/>
      <c r="L254" s="280"/>
      <c r="M254" s="281"/>
      <c r="N254" s="282"/>
      <c r="O254" s="282"/>
      <c r="P254" s="283"/>
      <c r="Q254" s="283"/>
      <c r="R254" s="283"/>
      <c r="S254" s="284"/>
      <c r="T254" s="283"/>
      <c r="U254" s="283"/>
      <c r="V254" s="280"/>
      <c r="W254" s="280"/>
      <c r="X254" s="280"/>
      <c r="Y254" s="283"/>
      <c r="Z254" s="351"/>
      <c r="AA254" s="351"/>
      <c r="AB254" s="351"/>
      <c r="AC254" s="351"/>
      <c r="AD254" s="351"/>
      <c r="AE254" s="351"/>
      <c r="AF254" s="351"/>
      <c r="AG254" s="351"/>
      <c r="AH254" s="285"/>
      <c r="AI254" s="273"/>
      <c r="AJ254" s="340"/>
      <c r="AK254" s="341"/>
      <c r="AL254" s="273"/>
      <c r="AM254" s="273"/>
      <c r="AN254" s="273"/>
      <c r="AO254" s="273"/>
      <c r="AP254" s="273"/>
      <c r="AQ254" s="273"/>
      <c r="AR254" s="273"/>
      <c r="AS254" s="273"/>
      <c r="AT254" s="273"/>
      <c r="AU254" s="273"/>
      <c r="AV254" s="273"/>
      <c r="AW254" s="273"/>
      <c r="AX254" s="273"/>
      <c r="AY254" s="273"/>
      <c r="AZ254" s="273"/>
      <c r="BA254" s="273"/>
      <c r="BB254" s="273"/>
      <c r="BC254" s="273"/>
      <c r="BD254" s="273"/>
      <c r="BE254" s="273"/>
      <c r="BF254" s="273"/>
      <c r="BG254" s="273"/>
      <c r="BH254" s="273"/>
      <c r="BI254" s="273"/>
      <c r="BJ254" s="273"/>
      <c r="BK254" s="273"/>
      <c r="BL254" s="273"/>
      <c r="BM254" s="273"/>
      <c r="BN254" s="273"/>
      <c r="BO254" s="273"/>
      <c r="BP254" s="273"/>
      <c r="BQ254" s="273"/>
      <c r="BR254" s="273"/>
      <c r="BS254" s="273"/>
      <c r="BT254" s="273"/>
      <c r="BU254" s="273"/>
      <c r="BV254" s="273"/>
      <c r="BW254" s="273"/>
    </row>
    <row r="255">
      <c r="A255" s="259" t="str">
        <f>VLOOKUP($F255,UpdateHashtag!$V$3:$Y$32,COLUMN(B$15),0)</f>
        <v>#N/A</v>
      </c>
      <c r="B255" s="259" t="str">
        <f>VLOOKUP($F255,UpdateHashtag!$V$3:$Y$32,COLUMN(C$13),0)</f>
        <v>#N/A</v>
      </c>
      <c r="C255" s="259" t="str">
        <f>VLOOKUP($F255,UpdateHashtag!$V$3:$Y$32,COLUMN(D$13),0)</f>
        <v>#N/A</v>
      </c>
      <c r="D255" s="329" t="str">
        <f t="shared" si="4"/>
        <v>#N/A</v>
      </c>
      <c r="E255" s="21"/>
      <c r="F255" s="261" t="str">
        <f>VLOOKUP(J255,UpdateBBM!$C$2:E1015,3,0)</f>
        <v>#N/A</v>
      </c>
      <c r="G255" s="31">
        <v>235.0</v>
      </c>
      <c r="H255" s="278"/>
      <c r="I255" s="278"/>
      <c r="J255" s="279"/>
      <c r="K255" s="278"/>
      <c r="L255" s="280"/>
      <c r="M255" s="281"/>
      <c r="N255" s="282"/>
      <c r="O255" s="282"/>
      <c r="P255" s="283"/>
      <c r="Q255" s="283"/>
      <c r="R255" s="283"/>
      <c r="S255" s="284"/>
      <c r="T255" s="283"/>
      <c r="U255" s="283"/>
      <c r="V255" s="280"/>
      <c r="W255" s="280"/>
      <c r="X255" s="280"/>
      <c r="Y255" s="283"/>
      <c r="Z255" s="351"/>
      <c r="AA255" s="351"/>
      <c r="AB255" s="351"/>
      <c r="AC255" s="351"/>
      <c r="AD255" s="351"/>
      <c r="AE255" s="351"/>
      <c r="AF255" s="351"/>
      <c r="AG255" s="351"/>
      <c r="AH255" s="285"/>
      <c r="AI255" s="273"/>
      <c r="AJ255" s="340"/>
      <c r="AK255" s="341"/>
      <c r="AL255" s="273"/>
      <c r="AM255" s="273"/>
      <c r="AN255" s="273"/>
      <c r="AO255" s="273"/>
      <c r="AP255" s="273"/>
      <c r="AQ255" s="273"/>
      <c r="AR255" s="273"/>
      <c r="AS255" s="273"/>
      <c r="AT255" s="273"/>
      <c r="AU255" s="273"/>
      <c r="AV255" s="273"/>
      <c r="AW255" s="273"/>
      <c r="AX255" s="273"/>
      <c r="AY255" s="273"/>
      <c r="AZ255" s="273"/>
      <c r="BA255" s="273"/>
      <c r="BB255" s="273"/>
      <c r="BC255" s="273"/>
      <c r="BD255" s="273"/>
      <c r="BE255" s="273"/>
      <c r="BF255" s="273"/>
      <c r="BG255" s="273"/>
      <c r="BH255" s="273"/>
      <c r="BI255" s="273"/>
      <c r="BJ255" s="273"/>
      <c r="BK255" s="273"/>
      <c r="BL255" s="273"/>
      <c r="BM255" s="273"/>
      <c r="BN255" s="273"/>
      <c r="BO255" s="273"/>
      <c r="BP255" s="273"/>
      <c r="BQ255" s="273"/>
      <c r="BR255" s="273"/>
      <c r="BS255" s="273"/>
      <c r="BT255" s="273"/>
      <c r="BU255" s="273"/>
      <c r="BV255" s="273"/>
      <c r="BW255" s="273"/>
    </row>
    <row r="256">
      <c r="A256" s="259" t="str">
        <f>VLOOKUP($F256,UpdateHashtag!$V$3:$Y$32,COLUMN(B$15),0)</f>
        <v>#N/A</v>
      </c>
      <c r="B256" s="259" t="str">
        <f>VLOOKUP($F256,UpdateHashtag!$V$3:$Y$32,COLUMN(C$13),0)</f>
        <v>#N/A</v>
      </c>
      <c r="C256" s="259" t="str">
        <f>VLOOKUP($F256,UpdateHashtag!$V$3:$Y$32,COLUMN(D$13),0)</f>
        <v>#N/A</v>
      </c>
      <c r="D256" s="329" t="str">
        <f t="shared" si="4"/>
        <v>#N/A</v>
      </c>
      <c r="E256" s="21"/>
      <c r="F256" s="261" t="str">
        <f>VLOOKUP(J256,UpdateBBM!$C$2:E1015,3,0)</f>
        <v>#N/A</v>
      </c>
      <c r="G256" s="31">
        <v>236.0</v>
      </c>
      <c r="H256" s="278"/>
      <c r="I256" s="278"/>
      <c r="J256" s="279"/>
      <c r="K256" s="278"/>
      <c r="L256" s="280"/>
      <c r="M256" s="281"/>
      <c r="N256" s="282"/>
      <c r="O256" s="282"/>
      <c r="P256" s="283"/>
      <c r="Q256" s="283"/>
      <c r="R256" s="283"/>
      <c r="S256" s="284"/>
      <c r="T256" s="283"/>
      <c r="U256" s="283"/>
      <c r="V256" s="280"/>
      <c r="W256" s="280"/>
      <c r="X256" s="280"/>
      <c r="Y256" s="283"/>
      <c r="Z256" s="351"/>
      <c r="AA256" s="351"/>
      <c r="AB256" s="351"/>
      <c r="AC256" s="351"/>
      <c r="AD256" s="351"/>
      <c r="AE256" s="351"/>
      <c r="AF256" s="351"/>
      <c r="AG256" s="351"/>
      <c r="AH256" s="285"/>
      <c r="AI256" s="273"/>
      <c r="AJ256" s="340"/>
      <c r="AK256" s="341"/>
      <c r="AL256" s="273"/>
      <c r="AM256" s="273"/>
      <c r="AN256" s="273"/>
      <c r="AO256" s="273"/>
      <c r="AP256" s="273"/>
      <c r="AQ256" s="273"/>
      <c r="AR256" s="273"/>
      <c r="AS256" s="273"/>
      <c r="AT256" s="273"/>
      <c r="AU256" s="273"/>
      <c r="AV256" s="273"/>
      <c r="AW256" s="273"/>
      <c r="AX256" s="273"/>
      <c r="AY256" s="273"/>
      <c r="AZ256" s="273"/>
      <c r="BA256" s="273"/>
      <c r="BB256" s="273"/>
      <c r="BC256" s="273"/>
      <c r="BD256" s="273"/>
      <c r="BE256" s="273"/>
      <c r="BF256" s="273"/>
      <c r="BG256" s="273"/>
      <c r="BH256" s="273"/>
      <c r="BI256" s="273"/>
      <c r="BJ256" s="273"/>
      <c r="BK256" s="273"/>
      <c r="BL256" s="273"/>
      <c r="BM256" s="273"/>
      <c r="BN256" s="273"/>
      <c r="BO256" s="273"/>
      <c r="BP256" s="273"/>
      <c r="BQ256" s="273"/>
      <c r="BR256" s="273"/>
      <c r="BS256" s="273"/>
      <c r="BT256" s="273"/>
      <c r="BU256" s="273"/>
      <c r="BV256" s="273"/>
      <c r="BW256" s="273"/>
    </row>
    <row r="257">
      <c r="A257" s="259" t="str">
        <f>VLOOKUP($F257,UpdateHashtag!$V$3:$Y$32,COLUMN(B$15),0)</f>
        <v>#N/A</v>
      </c>
      <c r="B257" s="259" t="str">
        <f>VLOOKUP($F257,UpdateHashtag!$V$3:$Y$32,COLUMN(C$13),0)</f>
        <v>#N/A</v>
      </c>
      <c r="C257" s="259" t="str">
        <f>VLOOKUP($F257,UpdateHashtag!$V$3:$Y$32,COLUMN(D$13),0)</f>
        <v>#N/A</v>
      </c>
      <c r="D257" s="329" t="str">
        <f t="shared" si="4"/>
        <v>#N/A</v>
      </c>
      <c r="E257" s="21"/>
      <c r="F257" s="261" t="str">
        <f>VLOOKUP(J257,UpdateBBM!$C$2:E1015,3,0)</f>
        <v>#N/A</v>
      </c>
      <c r="G257" s="31">
        <v>237.0</v>
      </c>
      <c r="H257" s="278"/>
      <c r="I257" s="278"/>
      <c r="J257" s="279"/>
      <c r="K257" s="278"/>
      <c r="L257" s="280"/>
      <c r="M257" s="281"/>
      <c r="N257" s="282"/>
      <c r="O257" s="282"/>
      <c r="P257" s="283"/>
      <c r="Q257" s="283"/>
      <c r="R257" s="283"/>
      <c r="S257" s="284"/>
      <c r="T257" s="283"/>
      <c r="U257" s="283"/>
      <c r="V257" s="280"/>
      <c r="W257" s="280"/>
      <c r="X257" s="280"/>
      <c r="Y257" s="283"/>
      <c r="Z257" s="351"/>
      <c r="AA257" s="351"/>
      <c r="AB257" s="351"/>
      <c r="AC257" s="351"/>
      <c r="AD257" s="351"/>
      <c r="AE257" s="351"/>
      <c r="AF257" s="351"/>
      <c r="AG257" s="351"/>
      <c r="AH257" s="285"/>
      <c r="AI257" s="273"/>
      <c r="AJ257" s="340"/>
      <c r="AK257" s="341"/>
      <c r="AL257" s="273"/>
      <c r="AM257" s="273"/>
      <c r="AN257" s="273"/>
      <c r="AO257" s="273"/>
      <c r="AP257" s="273"/>
      <c r="AQ257" s="273"/>
      <c r="AR257" s="273"/>
      <c r="AS257" s="273"/>
      <c r="AT257" s="273"/>
      <c r="AU257" s="273"/>
      <c r="AV257" s="273"/>
      <c r="AW257" s="273"/>
      <c r="AX257" s="273"/>
      <c r="AY257" s="273"/>
      <c r="AZ257" s="273"/>
      <c r="BA257" s="273"/>
      <c r="BB257" s="273"/>
      <c r="BC257" s="273"/>
      <c r="BD257" s="273"/>
      <c r="BE257" s="273"/>
      <c r="BF257" s="273"/>
      <c r="BG257" s="273"/>
      <c r="BH257" s="273"/>
      <c r="BI257" s="273"/>
      <c r="BJ257" s="273"/>
      <c r="BK257" s="273"/>
      <c r="BL257" s="273"/>
      <c r="BM257" s="273"/>
      <c r="BN257" s="273"/>
      <c r="BO257" s="273"/>
      <c r="BP257" s="273"/>
      <c r="BQ257" s="273"/>
      <c r="BR257" s="273"/>
      <c r="BS257" s="273"/>
      <c r="BT257" s="273"/>
      <c r="BU257" s="273"/>
      <c r="BV257" s="273"/>
      <c r="BW257" s="273"/>
    </row>
    <row r="258">
      <c r="A258" s="259" t="str">
        <f>VLOOKUP($F258,UpdateHashtag!$V$3:$Y$32,COLUMN(B$15),0)</f>
        <v>#N/A</v>
      </c>
      <c r="B258" s="259" t="str">
        <f>VLOOKUP($F258,UpdateHashtag!$V$3:$Y$32,COLUMN(C$13),0)</f>
        <v>#N/A</v>
      </c>
      <c r="C258" s="259" t="str">
        <f>VLOOKUP($F258,UpdateHashtag!$V$3:$Y$32,COLUMN(D$13),0)</f>
        <v>#N/A</v>
      </c>
      <c r="D258" s="329" t="str">
        <f t="shared" si="4"/>
        <v>#N/A</v>
      </c>
      <c r="E258" s="21"/>
      <c r="F258" s="261" t="str">
        <f>VLOOKUP(J258,UpdateBBM!$C$2:E1015,3,0)</f>
        <v>#N/A</v>
      </c>
      <c r="G258" s="31">
        <v>238.0</v>
      </c>
      <c r="H258" s="278"/>
      <c r="I258" s="278"/>
      <c r="J258" s="279"/>
      <c r="K258" s="278"/>
      <c r="L258" s="280"/>
      <c r="M258" s="281"/>
      <c r="N258" s="282"/>
      <c r="O258" s="282"/>
      <c r="P258" s="283"/>
      <c r="Q258" s="283"/>
      <c r="R258" s="283"/>
      <c r="S258" s="284"/>
      <c r="T258" s="283"/>
      <c r="U258" s="283"/>
      <c r="V258" s="280"/>
      <c r="W258" s="280"/>
      <c r="X258" s="280"/>
      <c r="Y258" s="283"/>
      <c r="Z258" s="351"/>
      <c r="AA258" s="351"/>
      <c r="AB258" s="351"/>
      <c r="AC258" s="351"/>
      <c r="AD258" s="351"/>
      <c r="AE258" s="351"/>
      <c r="AF258" s="351"/>
      <c r="AG258" s="351"/>
      <c r="AH258" s="285"/>
      <c r="AI258" s="273"/>
      <c r="AJ258" s="340"/>
      <c r="AK258" s="341"/>
      <c r="AL258" s="273"/>
      <c r="AM258" s="273"/>
      <c r="AN258" s="273"/>
      <c r="AO258" s="273"/>
      <c r="AP258" s="273"/>
      <c r="AQ258" s="273"/>
      <c r="AR258" s="273"/>
      <c r="AS258" s="273"/>
      <c r="AT258" s="273"/>
      <c r="AU258" s="273"/>
      <c r="AV258" s="273"/>
      <c r="AW258" s="273"/>
      <c r="AX258" s="273"/>
      <c r="AY258" s="273"/>
      <c r="AZ258" s="273"/>
      <c r="BA258" s="273"/>
      <c r="BB258" s="273"/>
      <c r="BC258" s="273"/>
      <c r="BD258" s="273"/>
      <c r="BE258" s="273"/>
      <c r="BF258" s="273"/>
      <c r="BG258" s="273"/>
      <c r="BH258" s="273"/>
      <c r="BI258" s="273"/>
      <c r="BJ258" s="273"/>
      <c r="BK258" s="273"/>
      <c r="BL258" s="273"/>
      <c r="BM258" s="273"/>
      <c r="BN258" s="273"/>
      <c r="BO258" s="273"/>
      <c r="BP258" s="273"/>
      <c r="BQ258" s="273"/>
      <c r="BR258" s="273"/>
      <c r="BS258" s="273"/>
      <c r="BT258" s="273"/>
      <c r="BU258" s="273"/>
      <c r="BV258" s="273"/>
      <c r="BW258" s="273"/>
    </row>
    <row r="259">
      <c r="A259" s="259" t="str">
        <f>VLOOKUP($F259,UpdateHashtag!$V$3:$Y$32,COLUMN(B$15),0)</f>
        <v>#N/A</v>
      </c>
      <c r="B259" s="259" t="str">
        <f>VLOOKUP($F259,UpdateHashtag!$V$3:$Y$32,COLUMN(C$13),0)</f>
        <v>#N/A</v>
      </c>
      <c r="C259" s="259" t="str">
        <f>VLOOKUP($F259,UpdateHashtag!$V$3:$Y$32,COLUMN(D$13),0)</f>
        <v>#N/A</v>
      </c>
      <c r="D259" s="329" t="str">
        <f t="shared" si="4"/>
        <v>#N/A</v>
      </c>
      <c r="E259" s="21"/>
      <c r="F259" s="261" t="str">
        <f>VLOOKUP(J259,UpdateBBM!$C$2:E1015,3,0)</f>
        <v>#N/A</v>
      </c>
      <c r="G259" s="31">
        <v>239.0</v>
      </c>
      <c r="H259" s="278"/>
      <c r="I259" s="278"/>
      <c r="J259" s="279"/>
      <c r="K259" s="278"/>
      <c r="L259" s="280"/>
      <c r="M259" s="281"/>
      <c r="N259" s="282"/>
      <c r="O259" s="282"/>
      <c r="P259" s="283"/>
      <c r="Q259" s="283"/>
      <c r="R259" s="283"/>
      <c r="S259" s="284"/>
      <c r="T259" s="283"/>
      <c r="U259" s="283"/>
      <c r="V259" s="280"/>
      <c r="W259" s="280"/>
      <c r="X259" s="280"/>
      <c r="Y259" s="283"/>
      <c r="Z259" s="351"/>
      <c r="AA259" s="351"/>
      <c r="AB259" s="351"/>
      <c r="AC259" s="351"/>
      <c r="AD259" s="351"/>
      <c r="AE259" s="351"/>
      <c r="AF259" s="351"/>
      <c r="AG259" s="351"/>
      <c r="AH259" s="285"/>
      <c r="AI259" s="273"/>
      <c r="AJ259" s="340"/>
      <c r="AK259" s="341"/>
      <c r="AL259" s="273"/>
      <c r="AM259" s="273"/>
      <c r="AN259" s="273"/>
      <c r="AO259" s="273"/>
      <c r="AP259" s="273"/>
      <c r="AQ259" s="273"/>
      <c r="AR259" s="273"/>
      <c r="AS259" s="273"/>
      <c r="AT259" s="273"/>
      <c r="AU259" s="273"/>
      <c r="AV259" s="273"/>
      <c r="AW259" s="273"/>
      <c r="AX259" s="273"/>
      <c r="AY259" s="273"/>
      <c r="AZ259" s="273"/>
      <c r="BA259" s="273"/>
      <c r="BB259" s="273"/>
      <c r="BC259" s="273"/>
      <c r="BD259" s="273"/>
      <c r="BE259" s="273"/>
      <c r="BF259" s="273"/>
      <c r="BG259" s="273"/>
      <c r="BH259" s="273"/>
      <c r="BI259" s="273"/>
      <c r="BJ259" s="273"/>
      <c r="BK259" s="273"/>
      <c r="BL259" s="273"/>
      <c r="BM259" s="273"/>
      <c r="BN259" s="273"/>
      <c r="BO259" s="273"/>
      <c r="BP259" s="273"/>
      <c r="BQ259" s="273"/>
      <c r="BR259" s="273"/>
      <c r="BS259" s="273"/>
      <c r="BT259" s="273"/>
      <c r="BU259" s="273"/>
      <c r="BV259" s="273"/>
      <c r="BW259" s="273"/>
    </row>
    <row r="260">
      <c r="A260" s="259" t="str">
        <f>VLOOKUP($F260,UpdateHashtag!$V$3:$Y$32,COLUMN(B$15),0)</f>
        <v>#N/A</v>
      </c>
      <c r="B260" s="259" t="str">
        <f>VLOOKUP($F260,UpdateHashtag!$V$3:$Y$32,COLUMN(C$13),0)</f>
        <v>#N/A</v>
      </c>
      <c r="C260" s="259" t="str">
        <f>VLOOKUP($F260,UpdateHashtag!$V$3:$Y$32,COLUMN(D$13),0)</f>
        <v>#N/A</v>
      </c>
      <c r="D260" s="329" t="str">
        <f t="shared" si="4"/>
        <v>#N/A</v>
      </c>
      <c r="E260" s="21"/>
      <c r="F260" s="261" t="str">
        <f>VLOOKUP(J260,UpdateBBM!$C$2:E1015,3,0)</f>
        <v>#N/A</v>
      </c>
      <c r="G260" s="31">
        <v>240.0</v>
      </c>
      <c r="H260" s="278"/>
      <c r="I260" s="278"/>
      <c r="J260" s="279"/>
      <c r="K260" s="278"/>
      <c r="L260" s="280"/>
      <c r="M260" s="281"/>
      <c r="N260" s="282"/>
      <c r="O260" s="282"/>
      <c r="P260" s="283"/>
      <c r="Q260" s="283"/>
      <c r="R260" s="283"/>
      <c r="S260" s="284"/>
      <c r="T260" s="283"/>
      <c r="U260" s="283"/>
      <c r="V260" s="280"/>
      <c r="W260" s="280"/>
      <c r="X260" s="280"/>
      <c r="Y260" s="283"/>
      <c r="Z260" s="351"/>
      <c r="AA260" s="351"/>
      <c r="AB260" s="351"/>
      <c r="AC260" s="351"/>
      <c r="AD260" s="351"/>
      <c r="AE260" s="351"/>
      <c r="AF260" s="351"/>
      <c r="AG260" s="351"/>
      <c r="AH260" s="285"/>
      <c r="AI260" s="273"/>
      <c r="AJ260" s="340"/>
      <c r="AK260" s="341"/>
      <c r="AL260" s="273"/>
      <c r="AM260" s="273"/>
      <c r="AN260" s="273"/>
      <c r="AO260" s="273"/>
      <c r="AP260" s="273"/>
      <c r="AQ260" s="273"/>
      <c r="AR260" s="273"/>
      <c r="AS260" s="273"/>
      <c r="AT260" s="273"/>
      <c r="AU260" s="273"/>
      <c r="AV260" s="273"/>
      <c r="AW260" s="273"/>
      <c r="AX260" s="273"/>
      <c r="AY260" s="273"/>
      <c r="AZ260" s="273"/>
      <c r="BA260" s="273"/>
      <c r="BB260" s="273"/>
      <c r="BC260" s="273"/>
      <c r="BD260" s="273"/>
      <c r="BE260" s="273"/>
      <c r="BF260" s="273"/>
      <c r="BG260" s="273"/>
      <c r="BH260" s="273"/>
      <c r="BI260" s="273"/>
      <c r="BJ260" s="273"/>
      <c r="BK260" s="273"/>
      <c r="BL260" s="273"/>
      <c r="BM260" s="273"/>
      <c r="BN260" s="273"/>
      <c r="BO260" s="273"/>
      <c r="BP260" s="273"/>
      <c r="BQ260" s="273"/>
      <c r="BR260" s="273"/>
      <c r="BS260" s="273"/>
      <c r="BT260" s="273"/>
      <c r="BU260" s="273"/>
      <c r="BV260" s="273"/>
      <c r="BW260" s="273"/>
    </row>
    <row r="261">
      <c r="A261" s="259" t="str">
        <f>VLOOKUP($F261,UpdateHashtag!$V$3:$Y$32,COLUMN(B$15),0)</f>
        <v>#N/A</v>
      </c>
      <c r="B261" s="259" t="str">
        <f>VLOOKUP($F261,UpdateHashtag!$V$3:$Y$32,COLUMN(C$13),0)</f>
        <v>#N/A</v>
      </c>
      <c r="C261" s="259" t="str">
        <f>VLOOKUP($F261,UpdateHashtag!$V$3:$Y$32,COLUMN(D$13),0)</f>
        <v>#N/A</v>
      </c>
      <c r="D261" s="329" t="str">
        <f t="shared" si="4"/>
        <v>#N/A</v>
      </c>
      <c r="E261" s="21"/>
      <c r="F261" s="261" t="str">
        <f>VLOOKUP(J261,UpdateBBM!$C$2:E1015,3,0)</f>
        <v>#N/A</v>
      </c>
      <c r="G261" s="31">
        <v>241.0</v>
      </c>
      <c r="H261" s="278"/>
      <c r="I261" s="278"/>
      <c r="J261" s="279"/>
      <c r="K261" s="278"/>
      <c r="L261" s="280"/>
      <c r="M261" s="281"/>
      <c r="N261" s="282"/>
      <c r="O261" s="282"/>
      <c r="P261" s="283"/>
      <c r="Q261" s="283"/>
      <c r="R261" s="283"/>
      <c r="S261" s="284"/>
      <c r="T261" s="283"/>
      <c r="U261" s="283"/>
      <c r="V261" s="280"/>
      <c r="W261" s="280"/>
      <c r="X261" s="280"/>
      <c r="Y261" s="283"/>
      <c r="Z261" s="351"/>
      <c r="AA261" s="351"/>
      <c r="AB261" s="351"/>
      <c r="AC261" s="351"/>
      <c r="AD261" s="351"/>
      <c r="AE261" s="351"/>
      <c r="AF261" s="351"/>
      <c r="AG261" s="351"/>
      <c r="AH261" s="285"/>
      <c r="AI261" s="273"/>
      <c r="AJ261" s="340"/>
      <c r="AK261" s="341"/>
      <c r="AL261" s="273"/>
      <c r="AM261" s="273"/>
      <c r="AN261" s="273"/>
      <c r="AO261" s="273"/>
      <c r="AP261" s="273"/>
      <c r="AQ261" s="273"/>
      <c r="AR261" s="273"/>
      <c r="AS261" s="273"/>
      <c r="AT261" s="273"/>
      <c r="AU261" s="273"/>
      <c r="AV261" s="273"/>
      <c r="AW261" s="273"/>
      <c r="AX261" s="273"/>
      <c r="AY261" s="273"/>
      <c r="AZ261" s="273"/>
      <c r="BA261" s="273"/>
      <c r="BB261" s="273"/>
      <c r="BC261" s="273"/>
      <c r="BD261" s="273"/>
      <c r="BE261" s="273"/>
      <c r="BF261" s="273"/>
      <c r="BG261" s="273"/>
      <c r="BH261" s="273"/>
      <c r="BI261" s="273"/>
      <c r="BJ261" s="273"/>
      <c r="BK261" s="273"/>
      <c r="BL261" s="273"/>
      <c r="BM261" s="273"/>
      <c r="BN261" s="273"/>
      <c r="BO261" s="273"/>
      <c r="BP261" s="273"/>
      <c r="BQ261" s="273"/>
      <c r="BR261" s="273"/>
      <c r="BS261" s="273"/>
      <c r="BT261" s="273"/>
      <c r="BU261" s="273"/>
      <c r="BV261" s="273"/>
      <c r="BW261" s="273"/>
    </row>
    <row r="262">
      <c r="A262" s="259" t="str">
        <f>VLOOKUP($F262,UpdateHashtag!$V$3:$Y$32,COLUMN(B$15),0)</f>
        <v>#N/A</v>
      </c>
      <c r="B262" s="259" t="str">
        <f>VLOOKUP($F262,UpdateHashtag!$V$3:$Y$32,COLUMN(C$13),0)</f>
        <v>#N/A</v>
      </c>
      <c r="C262" s="259" t="str">
        <f>VLOOKUP($F262,UpdateHashtag!$V$3:$Y$32,COLUMN(D$13),0)</f>
        <v>#N/A</v>
      </c>
      <c r="D262" s="329" t="str">
        <f t="shared" si="4"/>
        <v>#N/A</v>
      </c>
      <c r="E262" s="21"/>
      <c r="F262" s="261" t="str">
        <f>VLOOKUP(J262,UpdateBBM!$C$2:E1015,3,0)</f>
        <v>#N/A</v>
      </c>
      <c r="G262" s="31">
        <v>242.0</v>
      </c>
      <c r="H262" s="278"/>
      <c r="I262" s="278"/>
      <c r="J262" s="279"/>
      <c r="K262" s="278"/>
      <c r="L262" s="280"/>
      <c r="M262" s="281"/>
      <c r="N262" s="282"/>
      <c r="O262" s="282"/>
      <c r="P262" s="283"/>
      <c r="Q262" s="283"/>
      <c r="R262" s="283"/>
      <c r="S262" s="284"/>
      <c r="T262" s="283"/>
      <c r="U262" s="283"/>
      <c r="V262" s="280"/>
      <c r="W262" s="280"/>
      <c r="X262" s="280"/>
      <c r="Y262" s="283"/>
      <c r="Z262" s="351"/>
      <c r="AA262" s="351"/>
      <c r="AB262" s="351"/>
      <c r="AC262" s="351"/>
      <c r="AD262" s="351"/>
      <c r="AE262" s="351"/>
      <c r="AF262" s="351"/>
      <c r="AG262" s="351"/>
      <c r="AH262" s="285"/>
      <c r="AI262" s="273"/>
      <c r="AJ262" s="340"/>
      <c r="AK262" s="341"/>
      <c r="AL262" s="273"/>
      <c r="AM262" s="273"/>
      <c r="AN262" s="273"/>
      <c r="AO262" s="273"/>
      <c r="AP262" s="273"/>
      <c r="AQ262" s="273"/>
      <c r="AR262" s="273"/>
      <c r="AS262" s="273"/>
      <c r="AT262" s="273"/>
      <c r="AU262" s="273"/>
      <c r="AV262" s="273"/>
      <c r="AW262" s="273"/>
      <c r="AX262" s="273"/>
      <c r="AY262" s="273"/>
      <c r="AZ262" s="273"/>
      <c r="BA262" s="273"/>
      <c r="BB262" s="273"/>
      <c r="BC262" s="273"/>
      <c r="BD262" s="273"/>
      <c r="BE262" s="273"/>
      <c r="BF262" s="273"/>
      <c r="BG262" s="273"/>
      <c r="BH262" s="273"/>
      <c r="BI262" s="273"/>
      <c r="BJ262" s="273"/>
      <c r="BK262" s="273"/>
      <c r="BL262" s="273"/>
      <c r="BM262" s="273"/>
      <c r="BN262" s="273"/>
      <c r="BO262" s="273"/>
      <c r="BP262" s="273"/>
      <c r="BQ262" s="273"/>
      <c r="BR262" s="273"/>
      <c r="BS262" s="273"/>
      <c r="BT262" s="273"/>
      <c r="BU262" s="273"/>
      <c r="BV262" s="273"/>
      <c r="BW262" s="273"/>
    </row>
    <row r="263">
      <c r="A263" s="259" t="str">
        <f>VLOOKUP($F263,UpdateHashtag!$V$3:$Y$32,COLUMN(B$15),0)</f>
        <v>#N/A</v>
      </c>
      <c r="B263" s="259" t="str">
        <f>VLOOKUP($F263,UpdateHashtag!$V$3:$Y$32,COLUMN(C$13),0)</f>
        <v>#N/A</v>
      </c>
      <c r="C263" s="259" t="str">
        <f>VLOOKUP($F263,UpdateHashtag!$V$3:$Y$32,COLUMN(D$13),0)</f>
        <v>#N/A</v>
      </c>
      <c r="D263" s="329" t="str">
        <f t="shared" si="4"/>
        <v>#N/A</v>
      </c>
      <c r="E263" s="21"/>
      <c r="F263" s="261" t="str">
        <f>VLOOKUP(J263,UpdateBBM!$C$2:E1015,3,0)</f>
        <v>#N/A</v>
      </c>
      <c r="G263" s="31">
        <v>243.0</v>
      </c>
      <c r="H263" s="278"/>
      <c r="I263" s="278"/>
      <c r="J263" s="279"/>
      <c r="K263" s="278"/>
      <c r="L263" s="280"/>
      <c r="M263" s="281"/>
      <c r="N263" s="282"/>
      <c r="O263" s="282"/>
      <c r="P263" s="283"/>
      <c r="Q263" s="283"/>
      <c r="R263" s="283"/>
      <c r="S263" s="284"/>
      <c r="T263" s="283"/>
      <c r="U263" s="283"/>
      <c r="V263" s="280"/>
      <c r="W263" s="280"/>
      <c r="X263" s="280"/>
      <c r="Y263" s="283"/>
      <c r="Z263" s="351"/>
      <c r="AA263" s="351"/>
      <c r="AB263" s="351"/>
      <c r="AC263" s="351"/>
      <c r="AD263" s="351"/>
      <c r="AE263" s="351"/>
      <c r="AF263" s="351"/>
      <c r="AG263" s="351"/>
      <c r="AH263" s="285"/>
      <c r="AI263" s="273"/>
      <c r="AJ263" s="340"/>
      <c r="AK263" s="341"/>
      <c r="AL263" s="273"/>
      <c r="AM263" s="273"/>
      <c r="AN263" s="273"/>
      <c r="AO263" s="273"/>
      <c r="AP263" s="273"/>
      <c r="AQ263" s="273"/>
      <c r="AR263" s="273"/>
      <c r="AS263" s="273"/>
      <c r="AT263" s="273"/>
      <c r="AU263" s="273"/>
      <c r="AV263" s="273"/>
      <c r="AW263" s="273"/>
      <c r="AX263" s="273"/>
      <c r="AY263" s="273"/>
      <c r="AZ263" s="273"/>
      <c r="BA263" s="273"/>
      <c r="BB263" s="273"/>
      <c r="BC263" s="273"/>
      <c r="BD263" s="273"/>
      <c r="BE263" s="273"/>
      <c r="BF263" s="273"/>
      <c r="BG263" s="273"/>
      <c r="BH263" s="273"/>
      <c r="BI263" s="273"/>
      <c r="BJ263" s="273"/>
      <c r="BK263" s="273"/>
      <c r="BL263" s="273"/>
      <c r="BM263" s="273"/>
      <c r="BN263" s="273"/>
      <c r="BO263" s="273"/>
      <c r="BP263" s="273"/>
      <c r="BQ263" s="273"/>
      <c r="BR263" s="273"/>
      <c r="BS263" s="273"/>
      <c r="BT263" s="273"/>
      <c r="BU263" s="273"/>
      <c r="BV263" s="273"/>
      <c r="BW263" s="273"/>
    </row>
    <row r="264">
      <c r="A264" s="259" t="str">
        <f>VLOOKUP($F264,UpdateHashtag!$V$3:$Y$32,COLUMN(B$15),0)</f>
        <v>#N/A</v>
      </c>
      <c r="B264" s="259" t="str">
        <f>VLOOKUP($F264,UpdateHashtag!$V$3:$Y$32,COLUMN(C$13),0)</f>
        <v>#N/A</v>
      </c>
      <c r="C264" s="259" t="str">
        <f>VLOOKUP($F264,UpdateHashtag!$V$3:$Y$32,COLUMN(D$13),0)</f>
        <v>#N/A</v>
      </c>
      <c r="D264" s="329" t="str">
        <f t="shared" si="4"/>
        <v>#N/A</v>
      </c>
      <c r="E264" s="21"/>
      <c r="F264" s="261" t="str">
        <f>VLOOKUP(J264,UpdateBBM!$C$2:E1015,3,0)</f>
        <v>#N/A</v>
      </c>
      <c r="G264" s="31">
        <v>244.0</v>
      </c>
      <c r="H264" s="278"/>
      <c r="I264" s="278"/>
      <c r="J264" s="279"/>
      <c r="K264" s="278"/>
      <c r="L264" s="280"/>
      <c r="M264" s="281"/>
      <c r="N264" s="282"/>
      <c r="O264" s="282"/>
      <c r="P264" s="283"/>
      <c r="Q264" s="283"/>
      <c r="R264" s="283"/>
      <c r="S264" s="284"/>
      <c r="T264" s="283"/>
      <c r="U264" s="283"/>
      <c r="V264" s="280"/>
      <c r="W264" s="280"/>
      <c r="X264" s="280"/>
      <c r="Y264" s="283"/>
      <c r="Z264" s="351"/>
      <c r="AA264" s="351"/>
      <c r="AB264" s="351"/>
      <c r="AC264" s="351"/>
      <c r="AD264" s="351"/>
      <c r="AE264" s="351"/>
      <c r="AF264" s="351"/>
      <c r="AG264" s="351"/>
      <c r="AH264" s="285"/>
      <c r="AI264" s="273"/>
      <c r="AJ264" s="340"/>
      <c r="AK264" s="341"/>
      <c r="AL264" s="273"/>
      <c r="AM264" s="273"/>
      <c r="AN264" s="273"/>
      <c r="AO264" s="273"/>
      <c r="AP264" s="273"/>
      <c r="AQ264" s="273"/>
      <c r="AR264" s="273"/>
      <c r="AS264" s="273"/>
      <c r="AT264" s="273"/>
      <c r="AU264" s="273"/>
      <c r="AV264" s="273"/>
      <c r="AW264" s="273"/>
      <c r="AX264" s="273"/>
      <c r="AY264" s="273"/>
      <c r="AZ264" s="273"/>
      <c r="BA264" s="273"/>
      <c r="BB264" s="273"/>
      <c r="BC264" s="273"/>
      <c r="BD264" s="273"/>
      <c r="BE264" s="273"/>
      <c r="BF264" s="273"/>
      <c r="BG264" s="273"/>
      <c r="BH264" s="273"/>
      <c r="BI264" s="273"/>
      <c r="BJ264" s="273"/>
      <c r="BK264" s="273"/>
      <c r="BL264" s="273"/>
      <c r="BM264" s="273"/>
      <c r="BN264" s="273"/>
      <c r="BO264" s="273"/>
      <c r="BP264" s="273"/>
      <c r="BQ264" s="273"/>
      <c r="BR264" s="273"/>
      <c r="BS264" s="273"/>
      <c r="BT264" s="273"/>
      <c r="BU264" s="273"/>
      <c r="BV264" s="273"/>
      <c r="BW264" s="273"/>
    </row>
    <row r="265">
      <c r="A265" s="259" t="str">
        <f>VLOOKUP($F265,UpdateHashtag!$V$3:$Y$32,COLUMN(B$15),0)</f>
        <v>#N/A</v>
      </c>
      <c r="B265" s="259" t="str">
        <f>VLOOKUP($F265,UpdateHashtag!$V$3:$Y$32,COLUMN(C$13),0)</f>
        <v>#N/A</v>
      </c>
      <c r="C265" s="259" t="str">
        <f>VLOOKUP($F265,UpdateHashtag!$V$3:$Y$32,COLUMN(D$13),0)</f>
        <v>#N/A</v>
      </c>
      <c r="D265" s="329" t="str">
        <f t="shared" si="4"/>
        <v>#N/A</v>
      </c>
      <c r="E265" s="21"/>
      <c r="F265" s="261" t="str">
        <f>VLOOKUP(J265,UpdateBBM!$C$2:E1015,3,0)</f>
        <v>#N/A</v>
      </c>
      <c r="G265" s="31">
        <v>245.0</v>
      </c>
      <c r="H265" s="278"/>
      <c r="I265" s="278"/>
      <c r="J265" s="279"/>
      <c r="K265" s="278"/>
      <c r="L265" s="280"/>
      <c r="M265" s="281"/>
      <c r="N265" s="282"/>
      <c r="O265" s="282"/>
      <c r="P265" s="283"/>
      <c r="Q265" s="283"/>
      <c r="R265" s="283"/>
      <c r="S265" s="284"/>
      <c r="T265" s="283"/>
      <c r="U265" s="283"/>
      <c r="V265" s="280"/>
      <c r="W265" s="280"/>
      <c r="X265" s="280"/>
      <c r="Y265" s="283"/>
      <c r="Z265" s="351"/>
      <c r="AA265" s="351"/>
      <c r="AB265" s="351"/>
      <c r="AC265" s="351"/>
      <c r="AD265" s="351"/>
      <c r="AE265" s="351"/>
      <c r="AF265" s="351"/>
      <c r="AG265" s="351"/>
      <c r="AH265" s="285"/>
      <c r="AI265" s="273"/>
      <c r="AJ265" s="340"/>
      <c r="AK265" s="341"/>
      <c r="AL265" s="273"/>
      <c r="AM265" s="273"/>
      <c r="AN265" s="273"/>
      <c r="AO265" s="273"/>
      <c r="AP265" s="273"/>
      <c r="AQ265" s="273"/>
      <c r="AR265" s="273"/>
      <c r="AS265" s="273"/>
      <c r="AT265" s="273"/>
      <c r="AU265" s="273"/>
      <c r="AV265" s="273"/>
      <c r="AW265" s="273"/>
      <c r="AX265" s="273"/>
      <c r="AY265" s="273"/>
      <c r="AZ265" s="273"/>
      <c r="BA265" s="273"/>
      <c r="BB265" s="273"/>
      <c r="BC265" s="273"/>
      <c r="BD265" s="273"/>
      <c r="BE265" s="273"/>
      <c r="BF265" s="273"/>
      <c r="BG265" s="273"/>
      <c r="BH265" s="273"/>
      <c r="BI265" s="273"/>
      <c r="BJ265" s="273"/>
      <c r="BK265" s="273"/>
      <c r="BL265" s="273"/>
      <c r="BM265" s="273"/>
      <c r="BN265" s="273"/>
      <c r="BO265" s="273"/>
      <c r="BP265" s="273"/>
      <c r="BQ265" s="273"/>
      <c r="BR265" s="273"/>
      <c r="BS265" s="273"/>
      <c r="BT265" s="273"/>
      <c r="BU265" s="273"/>
      <c r="BV265" s="273"/>
      <c r="BW265" s="273"/>
    </row>
    <row r="266">
      <c r="A266" s="259" t="str">
        <f>VLOOKUP($F266,UpdateHashtag!$V$3:$Y$32,COLUMN(B$15),0)</f>
        <v>#N/A</v>
      </c>
      <c r="B266" s="259" t="str">
        <f>VLOOKUP($F266,UpdateHashtag!$V$3:$Y$32,COLUMN(C$13),0)</f>
        <v>#N/A</v>
      </c>
      <c r="C266" s="259" t="str">
        <f>VLOOKUP($F266,UpdateHashtag!$V$3:$Y$32,COLUMN(D$13),0)</f>
        <v>#N/A</v>
      </c>
      <c r="D266" s="329" t="str">
        <f t="shared" si="4"/>
        <v>#N/A</v>
      </c>
      <c r="E266" s="21"/>
      <c r="F266" s="261" t="str">
        <f>VLOOKUP(J266,UpdateBBM!$C$2:E1015,3,0)</f>
        <v>#N/A</v>
      </c>
      <c r="G266" s="31">
        <v>246.0</v>
      </c>
      <c r="H266" s="278"/>
      <c r="I266" s="278"/>
      <c r="J266" s="279"/>
      <c r="K266" s="278"/>
      <c r="L266" s="280"/>
      <c r="M266" s="281"/>
      <c r="N266" s="282"/>
      <c r="O266" s="282"/>
      <c r="P266" s="283"/>
      <c r="Q266" s="283"/>
      <c r="R266" s="283"/>
      <c r="S266" s="284"/>
      <c r="T266" s="283"/>
      <c r="U266" s="283"/>
      <c r="V266" s="280"/>
      <c r="W266" s="280"/>
      <c r="X266" s="280"/>
      <c r="Y266" s="283"/>
      <c r="Z266" s="351"/>
      <c r="AA266" s="351"/>
      <c r="AB266" s="351"/>
      <c r="AC266" s="351"/>
      <c r="AD266" s="351"/>
      <c r="AE266" s="351"/>
      <c r="AF266" s="351"/>
      <c r="AG266" s="351"/>
      <c r="AH266" s="285"/>
      <c r="AI266" s="273"/>
      <c r="AJ266" s="340"/>
      <c r="AK266" s="341"/>
      <c r="AL266" s="273"/>
      <c r="AM266" s="273"/>
      <c r="AN266" s="273"/>
      <c r="AO266" s="273"/>
      <c r="AP266" s="273"/>
      <c r="AQ266" s="273"/>
      <c r="AR266" s="273"/>
      <c r="AS266" s="273"/>
      <c r="AT266" s="273"/>
      <c r="AU266" s="273"/>
      <c r="AV266" s="273"/>
      <c r="AW266" s="273"/>
      <c r="AX266" s="273"/>
      <c r="AY266" s="273"/>
      <c r="AZ266" s="273"/>
      <c r="BA266" s="273"/>
      <c r="BB266" s="273"/>
      <c r="BC266" s="273"/>
      <c r="BD266" s="273"/>
      <c r="BE266" s="273"/>
      <c r="BF266" s="273"/>
      <c r="BG266" s="273"/>
      <c r="BH266" s="273"/>
      <c r="BI266" s="273"/>
      <c r="BJ266" s="273"/>
      <c r="BK266" s="273"/>
      <c r="BL266" s="273"/>
      <c r="BM266" s="273"/>
      <c r="BN266" s="273"/>
      <c r="BO266" s="273"/>
      <c r="BP266" s="273"/>
      <c r="BQ266" s="273"/>
      <c r="BR266" s="273"/>
      <c r="BS266" s="273"/>
      <c r="BT266" s="273"/>
      <c r="BU266" s="273"/>
      <c r="BV266" s="273"/>
      <c r="BW266" s="273"/>
    </row>
    <row r="267">
      <c r="A267" s="259" t="str">
        <f>VLOOKUP($F267,UpdateHashtag!$V$3:$Y$32,COLUMN(B$15),0)</f>
        <v>#N/A</v>
      </c>
      <c r="B267" s="259" t="str">
        <f>VLOOKUP($F267,UpdateHashtag!$V$3:$Y$32,COLUMN(C$13),0)</f>
        <v>#N/A</v>
      </c>
      <c r="C267" s="259" t="str">
        <f>VLOOKUP($F267,UpdateHashtag!$V$3:$Y$32,COLUMN(D$13),0)</f>
        <v>#N/A</v>
      </c>
      <c r="D267" s="329" t="str">
        <f t="shared" si="4"/>
        <v>#N/A</v>
      </c>
      <c r="E267" s="21"/>
      <c r="F267" s="261" t="str">
        <f>VLOOKUP(J267,UpdateBBM!$C$2:E1015,3,0)</f>
        <v>#N/A</v>
      </c>
      <c r="G267" s="31">
        <v>247.0</v>
      </c>
      <c r="H267" s="278"/>
      <c r="I267" s="278"/>
      <c r="J267" s="279"/>
      <c r="K267" s="278"/>
      <c r="L267" s="280"/>
      <c r="M267" s="281"/>
      <c r="N267" s="282"/>
      <c r="O267" s="282"/>
      <c r="P267" s="283"/>
      <c r="Q267" s="283"/>
      <c r="R267" s="283"/>
      <c r="S267" s="284"/>
      <c r="T267" s="283"/>
      <c r="U267" s="283"/>
      <c r="V267" s="280"/>
      <c r="W267" s="280"/>
      <c r="X267" s="280"/>
      <c r="Y267" s="283"/>
      <c r="Z267" s="351"/>
      <c r="AA267" s="351"/>
      <c r="AB267" s="351"/>
      <c r="AC267" s="351"/>
      <c r="AD267" s="351"/>
      <c r="AE267" s="351"/>
      <c r="AF267" s="351"/>
      <c r="AG267" s="351"/>
      <c r="AH267" s="285"/>
      <c r="AI267" s="273"/>
      <c r="AJ267" s="340"/>
      <c r="AK267" s="341"/>
      <c r="AL267" s="273"/>
      <c r="AM267" s="273"/>
      <c r="AN267" s="273"/>
      <c r="AO267" s="273"/>
      <c r="AP267" s="273"/>
      <c r="AQ267" s="273"/>
      <c r="AR267" s="273"/>
      <c r="AS267" s="273"/>
      <c r="AT267" s="273"/>
      <c r="AU267" s="273"/>
      <c r="AV267" s="273"/>
      <c r="AW267" s="273"/>
      <c r="AX267" s="273"/>
      <c r="AY267" s="273"/>
      <c r="AZ267" s="273"/>
      <c r="BA267" s="273"/>
      <c r="BB267" s="273"/>
      <c r="BC267" s="273"/>
      <c r="BD267" s="273"/>
      <c r="BE267" s="273"/>
      <c r="BF267" s="273"/>
      <c r="BG267" s="273"/>
      <c r="BH267" s="273"/>
      <c r="BI267" s="273"/>
      <c r="BJ267" s="273"/>
      <c r="BK267" s="273"/>
      <c r="BL267" s="273"/>
      <c r="BM267" s="273"/>
      <c r="BN267" s="273"/>
      <c r="BO267" s="273"/>
      <c r="BP267" s="273"/>
      <c r="BQ267" s="273"/>
      <c r="BR267" s="273"/>
      <c r="BS267" s="273"/>
      <c r="BT267" s="273"/>
      <c r="BU267" s="273"/>
      <c r="BV267" s="273"/>
      <c r="BW267" s="273"/>
    </row>
    <row r="268">
      <c r="A268" s="259" t="str">
        <f>VLOOKUP($F268,UpdateHashtag!$V$3:$Y$32,COLUMN(B$15),0)</f>
        <v>#N/A</v>
      </c>
      <c r="B268" s="259" t="str">
        <f>VLOOKUP($F268,UpdateHashtag!$V$3:$Y$32,COLUMN(C$13),0)</f>
        <v>#N/A</v>
      </c>
      <c r="C268" s="259" t="str">
        <f>VLOOKUP($F268,UpdateHashtag!$V$3:$Y$32,COLUMN(D$13),0)</f>
        <v>#N/A</v>
      </c>
      <c r="D268" s="329" t="str">
        <f t="shared" si="4"/>
        <v>#N/A</v>
      </c>
      <c r="E268" s="21"/>
      <c r="F268" s="261" t="str">
        <f>VLOOKUP(J268,UpdateBBM!$C$2:E1015,3,0)</f>
        <v>#N/A</v>
      </c>
      <c r="G268" s="31">
        <v>248.0</v>
      </c>
      <c r="H268" s="278"/>
      <c r="I268" s="278"/>
      <c r="J268" s="279"/>
      <c r="K268" s="278"/>
      <c r="L268" s="280"/>
      <c r="M268" s="281"/>
      <c r="N268" s="282"/>
      <c r="O268" s="282"/>
      <c r="P268" s="283"/>
      <c r="Q268" s="283"/>
      <c r="R268" s="283"/>
      <c r="S268" s="284"/>
      <c r="T268" s="283"/>
      <c r="U268" s="283"/>
      <c r="V268" s="280"/>
      <c r="W268" s="280"/>
      <c r="X268" s="280"/>
      <c r="Y268" s="283"/>
      <c r="Z268" s="351"/>
      <c r="AA268" s="351"/>
      <c r="AB268" s="351"/>
      <c r="AC268" s="351"/>
      <c r="AD268" s="351"/>
      <c r="AE268" s="351"/>
      <c r="AF268" s="351"/>
      <c r="AG268" s="351"/>
      <c r="AH268" s="285"/>
      <c r="AI268" s="273"/>
      <c r="AJ268" s="340"/>
      <c r="AK268" s="341"/>
      <c r="AL268" s="273"/>
      <c r="AM268" s="273"/>
      <c r="AN268" s="273"/>
      <c r="AO268" s="273"/>
      <c r="AP268" s="273"/>
      <c r="AQ268" s="273"/>
      <c r="AR268" s="273"/>
      <c r="AS268" s="273"/>
      <c r="AT268" s="273"/>
      <c r="AU268" s="273"/>
      <c r="AV268" s="273"/>
      <c r="AW268" s="273"/>
      <c r="AX268" s="273"/>
      <c r="AY268" s="273"/>
      <c r="AZ268" s="273"/>
      <c r="BA268" s="273"/>
      <c r="BB268" s="273"/>
      <c r="BC268" s="273"/>
      <c r="BD268" s="273"/>
      <c r="BE268" s="273"/>
      <c r="BF268" s="273"/>
      <c r="BG268" s="273"/>
      <c r="BH268" s="273"/>
      <c r="BI268" s="273"/>
      <c r="BJ268" s="273"/>
      <c r="BK268" s="273"/>
      <c r="BL268" s="273"/>
      <c r="BM268" s="273"/>
      <c r="BN268" s="273"/>
      <c r="BO268" s="273"/>
      <c r="BP268" s="273"/>
      <c r="BQ268" s="273"/>
      <c r="BR268" s="273"/>
      <c r="BS268" s="273"/>
      <c r="BT268" s="273"/>
      <c r="BU268" s="273"/>
      <c r="BV268" s="273"/>
      <c r="BW268" s="273"/>
    </row>
    <row r="269">
      <c r="A269" s="259" t="str">
        <f>VLOOKUP($F269,UpdateHashtag!$V$3:$Y$32,COLUMN(B$15),0)</f>
        <v>#N/A</v>
      </c>
      <c r="B269" s="259" t="str">
        <f>VLOOKUP($F269,UpdateHashtag!$V$3:$Y$32,COLUMN(C$13),0)</f>
        <v>#N/A</v>
      </c>
      <c r="C269" s="259" t="str">
        <f>VLOOKUP($F269,UpdateHashtag!$V$3:$Y$32,COLUMN(D$13),0)</f>
        <v>#N/A</v>
      </c>
      <c r="D269" s="329" t="str">
        <f t="shared" si="4"/>
        <v>#N/A</v>
      </c>
      <c r="E269" s="21"/>
      <c r="F269" s="261" t="str">
        <f>VLOOKUP(J269,UpdateBBM!$C$2:E1015,3,0)</f>
        <v>#N/A</v>
      </c>
      <c r="G269" s="31">
        <v>249.0</v>
      </c>
      <c r="H269" s="278"/>
      <c r="I269" s="278"/>
      <c r="J269" s="279"/>
      <c r="K269" s="278"/>
      <c r="L269" s="280"/>
      <c r="M269" s="281"/>
      <c r="N269" s="282"/>
      <c r="O269" s="282"/>
      <c r="P269" s="283"/>
      <c r="Q269" s="283"/>
      <c r="R269" s="283"/>
      <c r="S269" s="284"/>
      <c r="T269" s="283"/>
      <c r="U269" s="283"/>
      <c r="V269" s="280"/>
      <c r="W269" s="280"/>
      <c r="X269" s="280"/>
      <c r="Y269" s="283"/>
      <c r="Z269" s="351"/>
      <c r="AA269" s="351"/>
      <c r="AB269" s="351"/>
      <c r="AC269" s="351"/>
      <c r="AD269" s="351"/>
      <c r="AE269" s="351"/>
      <c r="AF269" s="351"/>
      <c r="AG269" s="351"/>
      <c r="AH269" s="285"/>
      <c r="AI269" s="273"/>
      <c r="AJ269" s="340"/>
      <c r="AK269" s="341"/>
      <c r="AL269" s="273"/>
      <c r="AM269" s="273"/>
      <c r="AN269" s="273"/>
      <c r="AO269" s="273"/>
      <c r="AP269" s="273"/>
      <c r="AQ269" s="273"/>
      <c r="AR269" s="273"/>
      <c r="AS269" s="273"/>
      <c r="AT269" s="273"/>
      <c r="AU269" s="273"/>
      <c r="AV269" s="273"/>
      <c r="AW269" s="273"/>
      <c r="AX269" s="273"/>
      <c r="AY269" s="273"/>
      <c r="AZ269" s="273"/>
      <c r="BA269" s="273"/>
      <c r="BB269" s="273"/>
      <c r="BC269" s="273"/>
      <c r="BD269" s="273"/>
      <c r="BE269" s="273"/>
      <c r="BF269" s="273"/>
      <c r="BG269" s="273"/>
      <c r="BH269" s="273"/>
      <c r="BI269" s="273"/>
      <c r="BJ269" s="273"/>
      <c r="BK269" s="273"/>
      <c r="BL269" s="273"/>
      <c r="BM269" s="273"/>
      <c r="BN269" s="273"/>
      <c r="BO269" s="273"/>
      <c r="BP269" s="273"/>
      <c r="BQ269" s="273"/>
      <c r="BR269" s="273"/>
      <c r="BS269" s="273"/>
      <c r="BT269" s="273"/>
      <c r="BU269" s="273"/>
      <c r="BV269" s="273"/>
      <c r="BW269" s="273"/>
    </row>
    <row r="270">
      <c r="A270" s="259" t="str">
        <f>VLOOKUP($F270,UpdateHashtag!$V$3:$Y$32,COLUMN(B$15),0)</f>
        <v>#N/A</v>
      </c>
      <c r="B270" s="259" t="str">
        <f>VLOOKUP($F270,UpdateHashtag!$V$3:$Y$32,COLUMN(C$13),0)</f>
        <v>#N/A</v>
      </c>
      <c r="C270" s="259" t="str">
        <f>VLOOKUP($F270,UpdateHashtag!$V$3:$Y$32,COLUMN(D$13),0)</f>
        <v>#N/A</v>
      </c>
      <c r="D270" s="329" t="str">
        <f t="shared" si="4"/>
        <v>#N/A</v>
      </c>
      <c r="E270" s="21"/>
      <c r="F270" s="261" t="str">
        <f>VLOOKUP(J270,UpdateBBM!$C$2:E1015,3,0)</f>
        <v>#N/A</v>
      </c>
      <c r="G270" s="31">
        <v>250.0</v>
      </c>
      <c r="H270" s="278"/>
      <c r="I270" s="278"/>
      <c r="J270" s="279"/>
      <c r="K270" s="278"/>
      <c r="L270" s="280"/>
      <c r="M270" s="281"/>
      <c r="N270" s="282"/>
      <c r="O270" s="282"/>
      <c r="P270" s="283"/>
      <c r="Q270" s="283"/>
      <c r="R270" s="283"/>
      <c r="S270" s="284"/>
      <c r="T270" s="283"/>
      <c r="U270" s="283"/>
      <c r="V270" s="280"/>
      <c r="W270" s="280"/>
      <c r="X270" s="280"/>
      <c r="Y270" s="283"/>
      <c r="Z270" s="351"/>
      <c r="AA270" s="351"/>
      <c r="AB270" s="351"/>
      <c r="AC270" s="351"/>
      <c r="AD270" s="351"/>
      <c r="AE270" s="351"/>
      <c r="AF270" s="351"/>
      <c r="AG270" s="351"/>
      <c r="AH270" s="285"/>
      <c r="AI270" s="273"/>
      <c r="AJ270" s="340"/>
      <c r="AK270" s="341"/>
      <c r="AL270" s="273"/>
      <c r="AM270" s="273"/>
      <c r="AN270" s="273"/>
      <c r="AO270" s="273"/>
      <c r="AP270" s="273"/>
      <c r="AQ270" s="273"/>
      <c r="AR270" s="273"/>
      <c r="AS270" s="273"/>
      <c r="AT270" s="273"/>
      <c r="AU270" s="273"/>
      <c r="AV270" s="273"/>
      <c r="AW270" s="273"/>
      <c r="AX270" s="273"/>
      <c r="AY270" s="273"/>
      <c r="AZ270" s="273"/>
      <c r="BA270" s="273"/>
      <c r="BB270" s="273"/>
      <c r="BC270" s="273"/>
      <c r="BD270" s="273"/>
      <c r="BE270" s="273"/>
      <c r="BF270" s="273"/>
      <c r="BG270" s="273"/>
      <c r="BH270" s="273"/>
      <c r="BI270" s="273"/>
      <c r="BJ270" s="273"/>
      <c r="BK270" s="273"/>
      <c r="BL270" s="273"/>
      <c r="BM270" s="273"/>
      <c r="BN270" s="273"/>
      <c r="BO270" s="273"/>
      <c r="BP270" s="273"/>
      <c r="BQ270" s="273"/>
      <c r="BR270" s="273"/>
      <c r="BS270" s="273"/>
      <c r="BT270" s="273"/>
      <c r="BU270" s="273"/>
      <c r="BV270" s="273"/>
      <c r="BW270" s="273"/>
    </row>
    <row r="271">
      <c r="A271" s="259" t="str">
        <f>VLOOKUP($F271,UpdateHashtag!$V$3:$Y$32,COLUMN(B$15),0)</f>
        <v>#N/A</v>
      </c>
      <c r="B271" s="259" t="str">
        <f>VLOOKUP($F271,UpdateHashtag!$V$3:$Y$32,COLUMN(C$13),0)</f>
        <v>#N/A</v>
      </c>
      <c r="C271" s="259" t="str">
        <f>VLOOKUP($F271,UpdateHashtag!$V$3:$Y$32,COLUMN(D$13),0)</f>
        <v>#N/A</v>
      </c>
      <c r="D271" s="329" t="str">
        <f t="shared" si="4"/>
        <v>#N/A</v>
      </c>
      <c r="E271" s="21"/>
      <c r="F271" s="261" t="str">
        <f>VLOOKUP(J271,UpdateBBM!$C$2:E1015,3,0)</f>
        <v>#N/A</v>
      </c>
      <c r="G271" s="31">
        <v>251.0</v>
      </c>
      <c r="H271" s="278"/>
      <c r="I271" s="278"/>
      <c r="J271" s="279"/>
      <c r="K271" s="278"/>
      <c r="L271" s="280"/>
      <c r="M271" s="281"/>
      <c r="N271" s="282"/>
      <c r="O271" s="282"/>
      <c r="P271" s="283"/>
      <c r="Q271" s="283"/>
      <c r="R271" s="283"/>
      <c r="S271" s="284"/>
      <c r="T271" s="283"/>
      <c r="U271" s="283"/>
      <c r="V271" s="280"/>
      <c r="W271" s="280"/>
      <c r="X271" s="280"/>
      <c r="Y271" s="283"/>
      <c r="Z271" s="351"/>
      <c r="AA271" s="351"/>
      <c r="AB271" s="351"/>
      <c r="AC271" s="351"/>
      <c r="AD271" s="351"/>
      <c r="AE271" s="351"/>
      <c r="AF271" s="351"/>
      <c r="AG271" s="351"/>
      <c r="AH271" s="285"/>
      <c r="AI271" s="273"/>
      <c r="AJ271" s="340"/>
      <c r="AK271" s="341"/>
      <c r="AL271" s="273"/>
      <c r="AM271" s="273"/>
      <c r="AN271" s="273"/>
      <c r="AO271" s="273"/>
      <c r="AP271" s="273"/>
      <c r="AQ271" s="273"/>
      <c r="AR271" s="273"/>
      <c r="AS271" s="273"/>
      <c r="AT271" s="273"/>
      <c r="AU271" s="273"/>
      <c r="AV271" s="273"/>
      <c r="AW271" s="273"/>
      <c r="AX271" s="273"/>
      <c r="AY271" s="273"/>
      <c r="AZ271" s="273"/>
      <c r="BA271" s="273"/>
      <c r="BB271" s="273"/>
      <c r="BC271" s="273"/>
      <c r="BD271" s="273"/>
      <c r="BE271" s="273"/>
      <c r="BF271" s="273"/>
      <c r="BG271" s="273"/>
      <c r="BH271" s="273"/>
      <c r="BI271" s="273"/>
      <c r="BJ271" s="273"/>
      <c r="BK271" s="273"/>
      <c r="BL271" s="273"/>
      <c r="BM271" s="273"/>
      <c r="BN271" s="273"/>
      <c r="BO271" s="273"/>
      <c r="BP271" s="273"/>
      <c r="BQ271" s="273"/>
      <c r="BR271" s="273"/>
      <c r="BS271" s="273"/>
      <c r="BT271" s="273"/>
      <c r="BU271" s="273"/>
      <c r="BV271" s="273"/>
      <c r="BW271" s="273"/>
    </row>
    <row r="272">
      <c r="A272" s="259" t="str">
        <f>VLOOKUP($F272,UpdateHashtag!$V$3:$Y$32,COLUMN(B$15),0)</f>
        <v>#N/A</v>
      </c>
      <c r="B272" s="259" t="str">
        <f>VLOOKUP($F272,UpdateHashtag!$V$3:$Y$32,COLUMN(C$13),0)</f>
        <v>#N/A</v>
      </c>
      <c r="C272" s="259" t="str">
        <f>VLOOKUP($F272,UpdateHashtag!$V$3:$Y$32,COLUMN(D$13),0)</f>
        <v>#N/A</v>
      </c>
      <c r="D272" s="329" t="str">
        <f t="shared" si="4"/>
        <v>#N/A</v>
      </c>
      <c r="E272" s="21"/>
      <c r="F272" s="261" t="str">
        <f>VLOOKUP(J272,UpdateBBM!$C$2:E1015,3,0)</f>
        <v>#N/A</v>
      </c>
      <c r="G272" s="31">
        <v>252.0</v>
      </c>
      <c r="H272" s="278"/>
      <c r="I272" s="278"/>
      <c r="J272" s="279"/>
      <c r="K272" s="278"/>
      <c r="L272" s="280"/>
      <c r="M272" s="281"/>
      <c r="N272" s="282"/>
      <c r="O272" s="282"/>
      <c r="P272" s="283"/>
      <c r="Q272" s="283"/>
      <c r="R272" s="283"/>
      <c r="S272" s="284"/>
      <c r="T272" s="283"/>
      <c r="U272" s="283"/>
      <c r="V272" s="280"/>
      <c r="W272" s="280"/>
      <c r="X272" s="280"/>
      <c r="Y272" s="283"/>
      <c r="Z272" s="351"/>
      <c r="AA272" s="351"/>
      <c r="AB272" s="351"/>
      <c r="AC272" s="351"/>
      <c r="AD272" s="351"/>
      <c r="AE272" s="351"/>
      <c r="AF272" s="351"/>
      <c r="AG272" s="351"/>
      <c r="AH272" s="285"/>
      <c r="AI272" s="273"/>
      <c r="AJ272" s="340"/>
      <c r="AK272" s="341"/>
      <c r="AL272" s="273"/>
      <c r="AM272" s="273"/>
      <c r="AN272" s="273"/>
      <c r="AO272" s="273"/>
      <c r="AP272" s="273"/>
      <c r="AQ272" s="273"/>
      <c r="AR272" s="273"/>
      <c r="AS272" s="273"/>
      <c r="AT272" s="273"/>
      <c r="AU272" s="273"/>
      <c r="AV272" s="273"/>
      <c r="AW272" s="273"/>
      <c r="AX272" s="273"/>
      <c r="AY272" s="273"/>
      <c r="AZ272" s="273"/>
      <c r="BA272" s="273"/>
      <c r="BB272" s="273"/>
      <c r="BC272" s="273"/>
      <c r="BD272" s="273"/>
      <c r="BE272" s="273"/>
      <c r="BF272" s="273"/>
      <c r="BG272" s="273"/>
      <c r="BH272" s="273"/>
      <c r="BI272" s="273"/>
      <c r="BJ272" s="273"/>
      <c r="BK272" s="273"/>
      <c r="BL272" s="273"/>
      <c r="BM272" s="273"/>
      <c r="BN272" s="273"/>
      <c r="BO272" s="273"/>
      <c r="BP272" s="273"/>
      <c r="BQ272" s="273"/>
      <c r="BR272" s="273"/>
      <c r="BS272" s="273"/>
      <c r="BT272" s="273"/>
      <c r="BU272" s="273"/>
      <c r="BV272" s="273"/>
      <c r="BW272" s="273"/>
    </row>
    <row r="273">
      <c r="A273" s="259" t="str">
        <f>VLOOKUP($F273,UpdateHashtag!$V$3:$Y$32,COLUMN(B$15),0)</f>
        <v>#N/A</v>
      </c>
      <c r="B273" s="259" t="str">
        <f>VLOOKUP($F273,UpdateHashtag!$V$3:$Y$32,COLUMN(C$13),0)</f>
        <v>#N/A</v>
      </c>
      <c r="C273" s="259" t="str">
        <f>VLOOKUP($F273,UpdateHashtag!$V$3:$Y$32,COLUMN(D$13),0)</f>
        <v>#N/A</v>
      </c>
      <c r="D273" s="329" t="str">
        <f t="shared" si="4"/>
        <v>#N/A</v>
      </c>
      <c r="E273" s="21"/>
      <c r="F273" s="261" t="str">
        <f>VLOOKUP(J273,UpdateBBM!$C$2:E1015,3,0)</f>
        <v>#N/A</v>
      </c>
      <c r="G273" s="31">
        <v>253.0</v>
      </c>
      <c r="H273" s="278"/>
      <c r="I273" s="278"/>
      <c r="J273" s="279"/>
      <c r="K273" s="278"/>
      <c r="L273" s="280"/>
      <c r="M273" s="281"/>
      <c r="N273" s="282"/>
      <c r="O273" s="282"/>
      <c r="P273" s="283"/>
      <c r="Q273" s="283"/>
      <c r="R273" s="283"/>
      <c r="S273" s="284"/>
      <c r="T273" s="283"/>
      <c r="U273" s="283"/>
      <c r="V273" s="280"/>
      <c r="W273" s="280"/>
      <c r="X273" s="280"/>
      <c r="Y273" s="283"/>
      <c r="Z273" s="351"/>
      <c r="AA273" s="351"/>
      <c r="AB273" s="351"/>
      <c r="AC273" s="351"/>
      <c r="AD273" s="351"/>
      <c r="AE273" s="351"/>
      <c r="AF273" s="351"/>
      <c r="AG273" s="351"/>
      <c r="AH273" s="285"/>
      <c r="AI273" s="273"/>
      <c r="AJ273" s="340"/>
      <c r="AK273" s="341"/>
      <c r="AL273" s="273"/>
      <c r="AM273" s="273"/>
      <c r="AN273" s="273"/>
      <c r="AO273" s="273"/>
      <c r="AP273" s="273"/>
      <c r="AQ273" s="273"/>
      <c r="AR273" s="273"/>
      <c r="AS273" s="273"/>
      <c r="AT273" s="273"/>
      <c r="AU273" s="273"/>
      <c r="AV273" s="273"/>
      <c r="AW273" s="273"/>
      <c r="AX273" s="273"/>
      <c r="AY273" s="273"/>
      <c r="AZ273" s="273"/>
      <c r="BA273" s="273"/>
      <c r="BB273" s="273"/>
      <c r="BC273" s="273"/>
      <c r="BD273" s="273"/>
      <c r="BE273" s="273"/>
      <c r="BF273" s="273"/>
      <c r="BG273" s="273"/>
      <c r="BH273" s="273"/>
      <c r="BI273" s="273"/>
      <c r="BJ273" s="273"/>
      <c r="BK273" s="273"/>
      <c r="BL273" s="273"/>
      <c r="BM273" s="273"/>
      <c r="BN273" s="273"/>
      <c r="BO273" s="273"/>
      <c r="BP273" s="273"/>
      <c r="BQ273" s="273"/>
      <c r="BR273" s="273"/>
      <c r="BS273" s="273"/>
      <c r="BT273" s="273"/>
      <c r="BU273" s="273"/>
      <c r="BV273" s="273"/>
      <c r="BW273" s="273"/>
    </row>
    <row r="274">
      <c r="A274" s="259" t="str">
        <f>VLOOKUP($F274,UpdateHashtag!$V$3:$Y$32,COLUMN(B$15),0)</f>
        <v>#N/A</v>
      </c>
      <c r="B274" s="259" t="str">
        <f>VLOOKUP($F274,UpdateHashtag!$V$3:$Y$32,COLUMN(C$13),0)</f>
        <v>#N/A</v>
      </c>
      <c r="C274" s="259" t="str">
        <f>VLOOKUP($F274,UpdateHashtag!$V$3:$Y$32,COLUMN(D$13),0)</f>
        <v>#N/A</v>
      </c>
      <c r="D274" s="329" t="str">
        <f t="shared" si="4"/>
        <v>#N/A</v>
      </c>
      <c r="E274" s="21"/>
      <c r="F274" s="261" t="str">
        <f>VLOOKUP(J274,UpdateBBM!$C$2:E1015,3,0)</f>
        <v>#N/A</v>
      </c>
      <c r="G274" s="31">
        <v>254.0</v>
      </c>
      <c r="H274" s="278"/>
      <c r="I274" s="278"/>
      <c r="J274" s="279"/>
      <c r="K274" s="278"/>
      <c r="L274" s="280"/>
      <c r="M274" s="281"/>
      <c r="N274" s="282"/>
      <c r="O274" s="282"/>
      <c r="P274" s="283"/>
      <c r="Q274" s="283"/>
      <c r="R274" s="283"/>
      <c r="S274" s="284"/>
      <c r="T274" s="283"/>
      <c r="U274" s="283"/>
      <c r="V274" s="280"/>
      <c r="W274" s="280"/>
      <c r="X274" s="280"/>
      <c r="Y274" s="283"/>
      <c r="Z274" s="351"/>
      <c r="AA274" s="351"/>
      <c r="AB274" s="351"/>
      <c r="AC274" s="351"/>
      <c r="AD274" s="351"/>
      <c r="AE274" s="351"/>
      <c r="AF274" s="351"/>
      <c r="AG274" s="351"/>
      <c r="AH274" s="285"/>
      <c r="AI274" s="273"/>
      <c r="AJ274" s="340"/>
      <c r="AK274" s="341"/>
      <c r="AL274" s="273"/>
      <c r="AM274" s="273"/>
      <c r="AN274" s="273"/>
      <c r="AO274" s="273"/>
      <c r="AP274" s="273"/>
      <c r="AQ274" s="273"/>
      <c r="AR274" s="273"/>
      <c r="AS274" s="273"/>
      <c r="AT274" s="273"/>
      <c r="AU274" s="273"/>
      <c r="AV274" s="273"/>
      <c r="AW274" s="273"/>
      <c r="AX274" s="273"/>
      <c r="AY274" s="273"/>
      <c r="AZ274" s="273"/>
      <c r="BA274" s="273"/>
      <c r="BB274" s="273"/>
      <c r="BC274" s="273"/>
      <c r="BD274" s="273"/>
      <c r="BE274" s="273"/>
      <c r="BF274" s="273"/>
      <c r="BG274" s="273"/>
      <c r="BH274" s="273"/>
      <c r="BI274" s="273"/>
      <c r="BJ274" s="273"/>
      <c r="BK274" s="273"/>
      <c r="BL274" s="273"/>
      <c r="BM274" s="273"/>
      <c r="BN274" s="273"/>
      <c r="BO274" s="273"/>
      <c r="BP274" s="273"/>
      <c r="BQ274" s="273"/>
      <c r="BR274" s="273"/>
      <c r="BS274" s="273"/>
      <c r="BT274" s="273"/>
      <c r="BU274" s="273"/>
      <c r="BV274" s="273"/>
      <c r="BW274" s="273"/>
    </row>
    <row r="275">
      <c r="A275" s="259" t="str">
        <f>VLOOKUP($F275,UpdateHashtag!$V$3:$Y$32,COLUMN(B$15),0)</f>
        <v>#N/A</v>
      </c>
      <c r="B275" s="259" t="str">
        <f>VLOOKUP($F275,UpdateHashtag!$V$3:$Y$32,COLUMN(C$13),0)</f>
        <v>#N/A</v>
      </c>
      <c r="C275" s="259" t="str">
        <f>VLOOKUP($F275,UpdateHashtag!$V$3:$Y$32,COLUMN(D$13),0)</f>
        <v>#N/A</v>
      </c>
      <c r="D275" s="329" t="str">
        <f t="shared" si="4"/>
        <v>#N/A</v>
      </c>
      <c r="E275" s="21"/>
      <c r="F275" s="261" t="str">
        <f>VLOOKUP(J275,UpdateBBM!$C$2:E1015,3,0)</f>
        <v>#N/A</v>
      </c>
      <c r="G275" s="31">
        <v>255.0</v>
      </c>
      <c r="H275" s="278"/>
      <c r="I275" s="278"/>
      <c r="J275" s="279"/>
      <c r="K275" s="278"/>
      <c r="L275" s="280"/>
      <c r="M275" s="281"/>
      <c r="N275" s="282"/>
      <c r="O275" s="282"/>
      <c r="P275" s="283"/>
      <c r="Q275" s="283"/>
      <c r="R275" s="283"/>
      <c r="S275" s="284"/>
      <c r="T275" s="283"/>
      <c r="U275" s="283"/>
      <c r="V275" s="280"/>
      <c r="W275" s="280"/>
      <c r="X275" s="280"/>
      <c r="Y275" s="283"/>
      <c r="Z275" s="351"/>
      <c r="AA275" s="351"/>
      <c r="AB275" s="351"/>
      <c r="AC275" s="351"/>
      <c r="AD275" s="351"/>
      <c r="AE275" s="351"/>
      <c r="AF275" s="351"/>
      <c r="AG275" s="351"/>
      <c r="AH275" s="285"/>
      <c r="AI275" s="273"/>
      <c r="AJ275" s="340"/>
      <c r="AK275" s="341"/>
      <c r="AL275" s="273"/>
      <c r="AM275" s="273"/>
      <c r="AN275" s="273"/>
      <c r="AO275" s="273"/>
      <c r="AP275" s="273"/>
      <c r="AQ275" s="273"/>
      <c r="AR275" s="273"/>
      <c r="AS275" s="273"/>
      <c r="AT275" s="273"/>
      <c r="AU275" s="273"/>
      <c r="AV275" s="273"/>
      <c r="AW275" s="273"/>
      <c r="AX275" s="273"/>
      <c r="AY275" s="273"/>
      <c r="AZ275" s="273"/>
      <c r="BA275" s="273"/>
      <c r="BB275" s="273"/>
      <c r="BC275" s="273"/>
      <c r="BD275" s="273"/>
      <c r="BE275" s="273"/>
      <c r="BF275" s="273"/>
      <c r="BG275" s="273"/>
      <c r="BH275" s="273"/>
      <c r="BI275" s="273"/>
      <c r="BJ275" s="273"/>
      <c r="BK275" s="273"/>
      <c r="BL275" s="273"/>
      <c r="BM275" s="273"/>
      <c r="BN275" s="273"/>
      <c r="BO275" s="273"/>
      <c r="BP275" s="273"/>
      <c r="BQ275" s="273"/>
      <c r="BR275" s="273"/>
      <c r="BS275" s="273"/>
      <c r="BT275" s="273"/>
      <c r="BU275" s="273"/>
      <c r="BV275" s="273"/>
      <c r="BW275" s="273"/>
    </row>
    <row r="276">
      <c r="A276" s="259" t="str">
        <f>VLOOKUP($F276,UpdateHashtag!$V$3:$Y$32,COLUMN(B$15),0)</f>
        <v>#N/A</v>
      </c>
      <c r="B276" s="259" t="str">
        <f>VLOOKUP($F276,UpdateHashtag!$V$3:$Y$32,COLUMN(C$13),0)</f>
        <v>#N/A</v>
      </c>
      <c r="C276" s="259" t="str">
        <f>VLOOKUP($F276,UpdateHashtag!$V$3:$Y$32,COLUMN(D$13),0)</f>
        <v>#N/A</v>
      </c>
      <c r="D276" s="329" t="str">
        <f t="shared" si="4"/>
        <v>#N/A</v>
      </c>
      <c r="E276" s="21"/>
      <c r="F276" s="261" t="str">
        <f>VLOOKUP(J276,UpdateBBM!$C$2:E1015,3,0)</f>
        <v>#N/A</v>
      </c>
      <c r="G276" s="31">
        <v>256.0</v>
      </c>
      <c r="H276" s="278"/>
      <c r="I276" s="278"/>
      <c r="J276" s="279"/>
      <c r="K276" s="278"/>
      <c r="L276" s="280"/>
      <c r="M276" s="281"/>
      <c r="N276" s="282"/>
      <c r="O276" s="282"/>
      <c r="P276" s="283"/>
      <c r="Q276" s="283"/>
      <c r="R276" s="283"/>
      <c r="S276" s="284"/>
      <c r="T276" s="283"/>
      <c r="U276" s="283"/>
      <c r="V276" s="280"/>
      <c r="W276" s="280"/>
      <c r="X276" s="280"/>
      <c r="Y276" s="283"/>
      <c r="Z276" s="351"/>
      <c r="AA276" s="351"/>
      <c r="AB276" s="351"/>
      <c r="AC276" s="351"/>
      <c r="AD276" s="351"/>
      <c r="AE276" s="351"/>
      <c r="AF276" s="351"/>
      <c r="AG276" s="351"/>
      <c r="AH276" s="285"/>
      <c r="AI276" s="273"/>
      <c r="AJ276" s="340"/>
      <c r="AK276" s="341"/>
      <c r="AL276" s="273"/>
      <c r="AM276" s="273"/>
      <c r="AN276" s="273"/>
      <c r="AO276" s="273"/>
      <c r="AP276" s="273"/>
      <c r="AQ276" s="273"/>
      <c r="AR276" s="273"/>
      <c r="AS276" s="273"/>
      <c r="AT276" s="273"/>
      <c r="AU276" s="273"/>
      <c r="AV276" s="273"/>
      <c r="AW276" s="273"/>
      <c r="AX276" s="273"/>
      <c r="AY276" s="273"/>
      <c r="AZ276" s="273"/>
      <c r="BA276" s="273"/>
      <c r="BB276" s="273"/>
      <c r="BC276" s="273"/>
      <c r="BD276" s="273"/>
      <c r="BE276" s="273"/>
      <c r="BF276" s="273"/>
      <c r="BG276" s="273"/>
      <c r="BH276" s="273"/>
      <c r="BI276" s="273"/>
      <c r="BJ276" s="273"/>
      <c r="BK276" s="273"/>
      <c r="BL276" s="273"/>
      <c r="BM276" s="273"/>
      <c r="BN276" s="273"/>
      <c r="BO276" s="273"/>
      <c r="BP276" s="273"/>
      <c r="BQ276" s="273"/>
      <c r="BR276" s="273"/>
      <c r="BS276" s="273"/>
      <c r="BT276" s="273"/>
      <c r="BU276" s="273"/>
      <c r="BV276" s="273"/>
      <c r="BW276" s="273"/>
    </row>
    <row r="277">
      <c r="A277" s="259" t="str">
        <f>VLOOKUP($F277,UpdateHashtag!$V$3:$Y$32,COLUMN(B$15),0)</f>
        <v>#N/A</v>
      </c>
      <c r="B277" s="259" t="str">
        <f>VLOOKUP($F277,UpdateHashtag!$V$3:$Y$32,COLUMN(C$13),0)</f>
        <v>#N/A</v>
      </c>
      <c r="C277" s="259" t="str">
        <f>VLOOKUP($F277,UpdateHashtag!$V$3:$Y$32,COLUMN(D$13),0)</f>
        <v>#N/A</v>
      </c>
      <c r="D277" s="329" t="str">
        <f t="shared" si="4"/>
        <v>#N/A</v>
      </c>
      <c r="E277" s="21"/>
      <c r="F277" s="261" t="str">
        <f>VLOOKUP(J277,UpdateBBM!$C$2:E1015,3,0)</f>
        <v>#N/A</v>
      </c>
      <c r="G277" s="31">
        <v>257.0</v>
      </c>
      <c r="H277" s="278"/>
      <c r="I277" s="278"/>
      <c r="J277" s="279"/>
      <c r="K277" s="278"/>
      <c r="L277" s="280"/>
      <c r="M277" s="281"/>
      <c r="N277" s="282"/>
      <c r="O277" s="282"/>
      <c r="P277" s="283"/>
      <c r="Q277" s="283"/>
      <c r="R277" s="283"/>
      <c r="S277" s="284"/>
      <c r="T277" s="283"/>
      <c r="U277" s="283"/>
      <c r="V277" s="280"/>
      <c r="W277" s="280"/>
      <c r="X277" s="280"/>
      <c r="Y277" s="283"/>
      <c r="Z277" s="351"/>
      <c r="AA277" s="351"/>
      <c r="AB277" s="351"/>
      <c r="AC277" s="351"/>
      <c r="AD277" s="351"/>
      <c r="AE277" s="351"/>
      <c r="AF277" s="351"/>
      <c r="AG277" s="351"/>
      <c r="AH277" s="285"/>
      <c r="AI277" s="273"/>
      <c r="AJ277" s="340"/>
      <c r="AK277" s="341"/>
      <c r="AL277" s="273"/>
      <c r="AM277" s="273"/>
      <c r="AN277" s="273"/>
      <c r="AO277" s="273"/>
      <c r="AP277" s="273"/>
      <c r="AQ277" s="273"/>
      <c r="AR277" s="273"/>
      <c r="AS277" s="273"/>
      <c r="AT277" s="273"/>
      <c r="AU277" s="273"/>
      <c r="AV277" s="273"/>
      <c r="AW277" s="273"/>
      <c r="AX277" s="273"/>
      <c r="AY277" s="273"/>
      <c r="AZ277" s="273"/>
      <c r="BA277" s="273"/>
      <c r="BB277" s="273"/>
      <c r="BC277" s="273"/>
      <c r="BD277" s="273"/>
      <c r="BE277" s="273"/>
      <c r="BF277" s="273"/>
      <c r="BG277" s="273"/>
      <c r="BH277" s="273"/>
      <c r="BI277" s="273"/>
      <c r="BJ277" s="273"/>
      <c r="BK277" s="273"/>
      <c r="BL277" s="273"/>
      <c r="BM277" s="273"/>
      <c r="BN277" s="273"/>
      <c r="BO277" s="273"/>
      <c r="BP277" s="273"/>
      <c r="BQ277" s="273"/>
      <c r="BR277" s="273"/>
      <c r="BS277" s="273"/>
      <c r="BT277" s="273"/>
      <c r="BU277" s="273"/>
      <c r="BV277" s="273"/>
      <c r="BW277" s="273"/>
    </row>
    <row r="278">
      <c r="A278" s="259" t="str">
        <f>VLOOKUP($F278,UpdateHashtag!$V$3:$Y$32,COLUMN(B$15),0)</f>
        <v>#N/A</v>
      </c>
      <c r="B278" s="259" t="str">
        <f>VLOOKUP($F278,UpdateHashtag!$V$3:$Y$32,COLUMN(C$13),0)</f>
        <v>#N/A</v>
      </c>
      <c r="C278" s="259" t="str">
        <f>VLOOKUP($F278,UpdateHashtag!$V$3:$Y$32,COLUMN(D$13),0)</f>
        <v>#N/A</v>
      </c>
      <c r="D278" s="329" t="str">
        <f t="shared" si="4"/>
        <v>#N/A</v>
      </c>
      <c r="E278" s="21"/>
      <c r="F278" s="261" t="str">
        <f>VLOOKUP(J278,UpdateBBM!$C$2:E1015,3,0)</f>
        <v>#N/A</v>
      </c>
      <c r="G278" s="31">
        <v>258.0</v>
      </c>
      <c r="H278" s="278"/>
      <c r="I278" s="278"/>
      <c r="J278" s="279"/>
      <c r="K278" s="278"/>
      <c r="L278" s="280"/>
      <c r="M278" s="281"/>
      <c r="N278" s="282"/>
      <c r="O278" s="282"/>
      <c r="P278" s="283"/>
      <c r="Q278" s="283"/>
      <c r="R278" s="283"/>
      <c r="S278" s="284"/>
      <c r="T278" s="283"/>
      <c r="U278" s="283"/>
      <c r="V278" s="280"/>
      <c r="W278" s="280"/>
      <c r="X278" s="280"/>
      <c r="Y278" s="283"/>
      <c r="Z278" s="351"/>
      <c r="AA278" s="351"/>
      <c r="AB278" s="351"/>
      <c r="AC278" s="351"/>
      <c r="AD278" s="351"/>
      <c r="AE278" s="351"/>
      <c r="AF278" s="351"/>
      <c r="AG278" s="351"/>
      <c r="AH278" s="285"/>
      <c r="AI278" s="273"/>
      <c r="AJ278" s="340"/>
      <c r="AK278" s="341"/>
      <c r="AL278" s="273"/>
      <c r="AM278" s="273"/>
      <c r="AN278" s="273"/>
      <c r="AO278" s="273"/>
      <c r="AP278" s="273"/>
      <c r="AQ278" s="273"/>
      <c r="AR278" s="273"/>
      <c r="AS278" s="273"/>
      <c r="AT278" s="273"/>
      <c r="AU278" s="273"/>
      <c r="AV278" s="273"/>
      <c r="AW278" s="273"/>
      <c r="AX278" s="273"/>
      <c r="AY278" s="273"/>
      <c r="AZ278" s="273"/>
      <c r="BA278" s="273"/>
      <c r="BB278" s="273"/>
      <c r="BC278" s="273"/>
      <c r="BD278" s="273"/>
      <c r="BE278" s="273"/>
      <c r="BF278" s="273"/>
      <c r="BG278" s="273"/>
      <c r="BH278" s="273"/>
      <c r="BI278" s="273"/>
      <c r="BJ278" s="273"/>
      <c r="BK278" s="273"/>
      <c r="BL278" s="273"/>
      <c r="BM278" s="273"/>
      <c r="BN278" s="273"/>
      <c r="BO278" s="273"/>
      <c r="BP278" s="273"/>
      <c r="BQ278" s="273"/>
      <c r="BR278" s="273"/>
      <c r="BS278" s="273"/>
      <c r="BT278" s="273"/>
      <c r="BU278" s="273"/>
      <c r="BV278" s="273"/>
      <c r="BW278" s="273"/>
    </row>
    <row r="279">
      <c r="A279" s="259" t="str">
        <f>VLOOKUP($F279,UpdateHashtag!$V$3:$Y$32,COLUMN(B$15),0)</f>
        <v>#N/A</v>
      </c>
      <c r="B279" s="259" t="str">
        <f>VLOOKUP($F279,UpdateHashtag!$V$3:$Y$32,COLUMN(C$13),0)</f>
        <v>#N/A</v>
      </c>
      <c r="C279" s="259" t="str">
        <f>VLOOKUP($F279,UpdateHashtag!$V$3:$Y$32,COLUMN(D$13),0)</f>
        <v>#N/A</v>
      </c>
      <c r="D279" s="329" t="str">
        <f t="shared" si="4"/>
        <v>#N/A</v>
      </c>
      <c r="E279" s="21"/>
      <c r="F279" s="261" t="str">
        <f>VLOOKUP(J279,UpdateBBM!$C$2:E1015,3,0)</f>
        <v>#N/A</v>
      </c>
      <c r="G279" s="31">
        <v>259.0</v>
      </c>
      <c r="H279" s="278"/>
      <c r="I279" s="278"/>
      <c r="J279" s="279"/>
      <c r="K279" s="278"/>
      <c r="L279" s="280"/>
      <c r="M279" s="281"/>
      <c r="N279" s="282"/>
      <c r="O279" s="282"/>
      <c r="P279" s="283"/>
      <c r="Q279" s="283"/>
      <c r="R279" s="283"/>
      <c r="S279" s="284"/>
      <c r="T279" s="283"/>
      <c r="U279" s="283"/>
      <c r="V279" s="280"/>
      <c r="W279" s="280"/>
      <c r="X279" s="280"/>
      <c r="Y279" s="283"/>
      <c r="Z279" s="351"/>
      <c r="AA279" s="351"/>
      <c r="AB279" s="351"/>
      <c r="AC279" s="351"/>
      <c r="AD279" s="351"/>
      <c r="AE279" s="351"/>
      <c r="AF279" s="351"/>
      <c r="AG279" s="351"/>
      <c r="AH279" s="285"/>
      <c r="AI279" s="273"/>
      <c r="AJ279" s="340"/>
      <c r="AK279" s="341"/>
      <c r="AL279" s="273"/>
      <c r="AM279" s="273"/>
      <c r="AN279" s="273"/>
      <c r="AO279" s="273"/>
      <c r="AP279" s="273"/>
      <c r="AQ279" s="273"/>
      <c r="AR279" s="273"/>
      <c r="AS279" s="273"/>
      <c r="AT279" s="273"/>
      <c r="AU279" s="273"/>
      <c r="AV279" s="273"/>
      <c r="AW279" s="273"/>
      <c r="AX279" s="273"/>
      <c r="AY279" s="273"/>
      <c r="AZ279" s="273"/>
      <c r="BA279" s="273"/>
      <c r="BB279" s="273"/>
      <c r="BC279" s="273"/>
      <c r="BD279" s="273"/>
      <c r="BE279" s="273"/>
      <c r="BF279" s="273"/>
      <c r="BG279" s="273"/>
      <c r="BH279" s="273"/>
      <c r="BI279" s="273"/>
      <c r="BJ279" s="273"/>
      <c r="BK279" s="273"/>
      <c r="BL279" s="273"/>
      <c r="BM279" s="273"/>
      <c r="BN279" s="273"/>
      <c r="BO279" s="273"/>
      <c r="BP279" s="273"/>
      <c r="BQ279" s="273"/>
      <c r="BR279" s="273"/>
      <c r="BS279" s="273"/>
      <c r="BT279" s="273"/>
      <c r="BU279" s="273"/>
      <c r="BV279" s="273"/>
      <c r="BW279" s="273"/>
    </row>
    <row r="280">
      <c r="A280" s="259" t="str">
        <f>VLOOKUP($F280,UpdateHashtag!$V$3:$Y$32,COLUMN(B$15),0)</f>
        <v>#N/A</v>
      </c>
      <c r="B280" s="259" t="str">
        <f>VLOOKUP($F280,UpdateHashtag!$V$3:$Y$32,COLUMN(C$13),0)</f>
        <v>#N/A</v>
      </c>
      <c r="C280" s="259" t="str">
        <f>VLOOKUP($F280,UpdateHashtag!$V$3:$Y$32,COLUMN(D$13),0)</f>
        <v>#N/A</v>
      </c>
      <c r="D280" s="329" t="str">
        <f t="shared" si="4"/>
        <v>#N/A</v>
      </c>
      <c r="E280" s="21"/>
      <c r="F280" s="261" t="str">
        <f>VLOOKUP(J280,UpdateBBM!$C$2:E1015,3,0)</f>
        <v>#N/A</v>
      </c>
      <c r="G280" s="31">
        <v>260.0</v>
      </c>
      <c r="H280" s="278"/>
      <c r="I280" s="278"/>
      <c r="J280" s="279"/>
      <c r="K280" s="278"/>
      <c r="L280" s="280"/>
      <c r="M280" s="281"/>
      <c r="N280" s="282"/>
      <c r="O280" s="282"/>
      <c r="P280" s="283"/>
      <c r="Q280" s="283"/>
      <c r="R280" s="283"/>
      <c r="S280" s="284"/>
      <c r="T280" s="283"/>
      <c r="U280" s="283"/>
      <c r="V280" s="280"/>
      <c r="W280" s="280"/>
      <c r="X280" s="280"/>
      <c r="Y280" s="283"/>
      <c r="Z280" s="351"/>
      <c r="AA280" s="351"/>
      <c r="AB280" s="351"/>
      <c r="AC280" s="351"/>
      <c r="AD280" s="351"/>
      <c r="AE280" s="351"/>
      <c r="AF280" s="351"/>
      <c r="AG280" s="351"/>
      <c r="AH280" s="285"/>
      <c r="AI280" s="273"/>
      <c r="AJ280" s="340"/>
      <c r="AK280" s="341"/>
      <c r="AL280" s="273"/>
      <c r="AM280" s="273"/>
      <c r="AN280" s="273"/>
      <c r="AO280" s="273"/>
      <c r="AP280" s="273"/>
      <c r="AQ280" s="273"/>
      <c r="AR280" s="273"/>
      <c r="AS280" s="273"/>
      <c r="AT280" s="273"/>
      <c r="AU280" s="273"/>
      <c r="AV280" s="273"/>
      <c r="AW280" s="273"/>
      <c r="AX280" s="273"/>
      <c r="AY280" s="273"/>
      <c r="AZ280" s="273"/>
      <c r="BA280" s="273"/>
      <c r="BB280" s="273"/>
      <c r="BC280" s="273"/>
      <c r="BD280" s="273"/>
      <c r="BE280" s="273"/>
      <c r="BF280" s="273"/>
      <c r="BG280" s="273"/>
      <c r="BH280" s="273"/>
      <c r="BI280" s="273"/>
      <c r="BJ280" s="273"/>
      <c r="BK280" s="273"/>
      <c r="BL280" s="273"/>
      <c r="BM280" s="273"/>
      <c r="BN280" s="273"/>
      <c r="BO280" s="273"/>
      <c r="BP280" s="273"/>
      <c r="BQ280" s="273"/>
      <c r="BR280" s="273"/>
      <c r="BS280" s="273"/>
      <c r="BT280" s="273"/>
      <c r="BU280" s="273"/>
      <c r="BV280" s="273"/>
      <c r="BW280" s="273"/>
    </row>
    <row r="281">
      <c r="A281" s="259" t="str">
        <f>VLOOKUP($F281,UpdateHashtag!$V$3:$Y$32,COLUMN(B$15),0)</f>
        <v>#N/A</v>
      </c>
      <c r="B281" s="259" t="str">
        <f>VLOOKUP($F281,UpdateHashtag!$V$3:$Y$32,COLUMN(C$13),0)</f>
        <v>#N/A</v>
      </c>
      <c r="C281" s="259" t="str">
        <f>VLOOKUP($F281,UpdateHashtag!$V$3:$Y$32,COLUMN(D$13),0)</f>
        <v>#N/A</v>
      </c>
      <c r="D281" s="329" t="str">
        <f t="shared" si="4"/>
        <v>#N/A</v>
      </c>
      <c r="E281" s="21"/>
      <c r="F281" s="261" t="str">
        <f>VLOOKUP(J281,UpdateBBM!$C$2:E1015,3,0)</f>
        <v>#N/A</v>
      </c>
      <c r="G281" s="31">
        <v>261.0</v>
      </c>
      <c r="H281" s="278"/>
      <c r="I281" s="278"/>
      <c r="J281" s="279"/>
      <c r="K281" s="278"/>
      <c r="L281" s="280"/>
      <c r="M281" s="281"/>
      <c r="N281" s="282"/>
      <c r="O281" s="282"/>
      <c r="P281" s="283"/>
      <c r="Q281" s="283"/>
      <c r="R281" s="283"/>
      <c r="S281" s="284"/>
      <c r="T281" s="283"/>
      <c r="U281" s="283"/>
      <c r="V281" s="280"/>
      <c r="W281" s="280"/>
      <c r="X281" s="280"/>
      <c r="Y281" s="283"/>
      <c r="Z281" s="351"/>
      <c r="AA281" s="351"/>
      <c r="AB281" s="351"/>
      <c r="AC281" s="351"/>
      <c r="AD281" s="351"/>
      <c r="AE281" s="351"/>
      <c r="AF281" s="351"/>
      <c r="AG281" s="351"/>
      <c r="AH281" s="285"/>
      <c r="AI281" s="273"/>
      <c r="AJ281" s="340"/>
      <c r="AK281" s="341"/>
      <c r="AL281" s="273"/>
      <c r="AM281" s="273"/>
      <c r="AN281" s="273"/>
      <c r="AO281" s="273"/>
      <c r="AP281" s="273"/>
      <c r="AQ281" s="273"/>
      <c r="AR281" s="273"/>
      <c r="AS281" s="273"/>
      <c r="AT281" s="273"/>
      <c r="AU281" s="273"/>
      <c r="AV281" s="273"/>
      <c r="AW281" s="273"/>
      <c r="AX281" s="273"/>
      <c r="AY281" s="273"/>
      <c r="AZ281" s="273"/>
      <c r="BA281" s="273"/>
      <c r="BB281" s="273"/>
      <c r="BC281" s="273"/>
      <c r="BD281" s="273"/>
      <c r="BE281" s="273"/>
      <c r="BF281" s="273"/>
      <c r="BG281" s="273"/>
      <c r="BH281" s="273"/>
      <c r="BI281" s="273"/>
      <c r="BJ281" s="273"/>
      <c r="BK281" s="273"/>
      <c r="BL281" s="273"/>
      <c r="BM281" s="273"/>
      <c r="BN281" s="273"/>
      <c r="BO281" s="273"/>
      <c r="BP281" s="273"/>
      <c r="BQ281" s="273"/>
      <c r="BR281" s="273"/>
      <c r="BS281" s="273"/>
      <c r="BT281" s="273"/>
      <c r="BU281" s="273"/>
      <c r="BV281" s="273"/>
      <c r="BW281" s="273"/>
    </row>
    <row r="282">
      <c r="A282" s="259" t="str">
        <f>VLOOKUP($F282,UpdateHashtag!$V$3:$Y$32,COLUMN(B$15),0)</f>
        <v>#N/A</v>
      </c>
      <c r="B282" s="259" t="str">
        <f>VLOOKUP($F282,UpdateHashtag!$V$3:$Y$32,COLUMN(C$13),0)</f>
        <v>#N/A</v>
      </c>
      <c r="C282" s="259" t="str">
        <f>VLOOKUP($F282,UpdateHashtag!$V$3:$Y$32,COLUMN(D$13),0)</f>
        <v>#N/A</v>
      </c>
      <c r="D282" s="329" t="str">
        <f t="shared" si="4"/>
        <v>#N/A</v>
      </c>
      <c r="E282" s="21"/>
      <c r="F282" s="261" t="str">
        <f>VLOOKUP(J282,UpdateBBM!$C$2:E1015,3,0)</f>
        <v>#N/A</v>
      </c>
      <c r="G282" s="31">
        <v>262.0</v>
      </c>
      <c r="H282" s="278"/>
      <c r="I282" s="278"/>
      <c r="J282" s="279"/>
      <c r="K282" s="278"/>
      <c r="L282" s="280"/>
      <c r="M282" s="281"/>
      <c r="N282" s="282"/>
      <c r="O282" s="282"/>
      <c r="P282" s="283"/>
      <c r="Q282" s="283"/>
      <c r="R282" s="283"/>
      <c r="S282" s="284"/>
      <c r="T282" s="283"/>
      <c r="U282" s="283"/>
      <c r="V282" s="280"/>
      <c r="W282" s="280"/>
      <c r="X282" s="280"/>
      <c r="Y282" s="283"/>
      <c r="Z282" s="351"/>
      <c r="AA282" s="351"/>
      <c r="AB282" s="351"/>
      <c r="AC282" s="351"/>
      <c r="AD282" s="351"/>
      <c r="AE282" s="351"/>
      <c r="AF282" s="351"/>
      <c r="AG282" s="351"/>
      <c r="AH282" s="285"/>
      <c r="AI282" s="273"/>
      <c r="AJ282" s="340"/>
      <c r="AK282" s="341"/>
      <c r="AL282" s="273"/>
      <c r="AM282" s="273"/>
      <c r="AN282" s="273"/>
      <c r="AO282" s="273"/>
      <c r="AP282" s="273"/>
      <c r="AQ282" s="273"/>
      <c r="AR282" s="273"/>
      <c r="AS282" s="273"/>
      <c r="AT282" s="273"/>
      <c r="AU282" s="273"/>
      <c r="AV282" s="273"/>
      <c r="AW282" s="273"/>
      <c r="AX282" s="273"/>
      <c r="AY282" s="273"/>
      <c r="AZ282" s="273"/>
      <c r="BA282" s="273"/>
      <c r="BB282" s="273"/>
      <c r="BC282" s="273"/>
      <c r="BD282" s="273"/>
      <c r="BE282" s="273"/>
      <c r="BF282" s="273"/>
      <c r="BG282" s="273"/>
      <c r="BH282" s="273"/>
      <c r="BI282" s="273"/>
      <c r="BJ282" s="273"/>
      <c r="BK282" s="273"/>
      <c r="BL282" s="273"/>
      <c r="BM282" s="273"/>
      <c r="BN282" s="273"/>
      <c r="BO282" s="273"/>
      <c r="BP282" s="273"/>
      <c r="BQ282" s="273"/>
      <c r="BR282" s="273"/>
      <c r="BS282" s="273"/>
      <c r="BT282" s="273"/>
      <c r="BU282" s="273"/>
      <c r="BV282" s="273"/>
      <c r="BW282" s="273"/>
    </row>
    <row r="283">
      <c r="A283" s="259" t="str">
        <f>VLOOKUP($F283,UpdateHashtag!$V$3:$Y$32,COLUMN(B$15),0)</f>
        <v>#N/A</v>
      </c>
      <c r="B283" s="259" t="str">
        <f>VLOOKUP($F283,UpdateHashtag!$V$3:$Y$32,COLUMN(C$13),0)</f>
        <v>#N/A</v>
      </c>
      <c r="C283" s="259" t="str">
        <f>VLOOKUP($F283,UpdateHashtag!$V$3:$Y$32,COLUMN(D$13),0)</f>
        <v>#N/A</v>
      </c>
      <c r="D283" s="329" t="str">
        <f t="shared" si="4"/>
        <v>#N/A</v>
      </c>
      <c r="E283" s="21"/>
      <c r="F283" s="261" t="str">
        <f>VLOOKUP(J283,UpdateBBM!$C$2:E1015,3,0)</f>
        <v>#N/A</v>
      </c>
      <c r="G283" s="31">
        <v>263.0</v>
      </c>
      <c r="H283" s="278"/>
      <c r="I283" s="278"/>
      <c r="J283" s="279"/>
      <c r="K283" s="278"/>
      <c r="L283" s="280"/>
      <c r="M283" s="281"/>
      <c r="N283" s="282"/>
      <c r="O283" s="282"/>
      <c r="P283" s="283"/>
      <c r="Q283" s="283"/>
      <c r="R283" s="283"/>
      <c r="S283" s="284"/>
      <c r="T283" s="283"/>
      <c r="U283" s="283"/>
      <c r="V283" s="280"/>
      <c r="W283" s="280"/>
      <c r="X283" s="280"/>
      <c r="Y283" s="283"/>
      <c r="Z283" s="351"/>
      <c r="AA283" s="351"/>
      <c r="AB283" s="351"/>
      <c r="AC283" s="351"/>
      <c r="AD283" s="351"/>
      <c r="AE283" s="351"/>
      <c r="AF283" s="351"/>
      <c r="AG283" s="351"/>
      <c r="AH283" s="285"/>
      <c r="AI283" s="273"/>
      <c r="AJ283" s="340"/>
      <c r="AK283" s="341"/>
      <c r="AL283" s="273"/>
      <c r="AM283" s="273"/>
      <c r="AN283" s="273"/>
      <c r="AO283" s="273"/>
      <c r="AP283" s="273"/>
      <c r="AQ283" s="273"/>
      <c r="AR283" s="273"/>
      <c r="AS283" s="273"/>
      <c r="AT283" s="273"/>
      <c r="AU283" s="273"/>
      <c r="AV283" s="273"/>
      <c r="AW283" s="273"/>
      <c r="AX283" s="273"/>
      <c r="AY283" s="273"/>
      <c r="AZ283" s="273"/>
      <c r="BA283" s="273"/>
      <c r="BB283" s="273"/>
      <c r="BC283" s="273"/>
      <c r="BD283" s="273"/>
      <c r="BE283" s="273"/>
      <c r="BF283" s="273"/>
      <c r="BG283" s="273"/>
      <c r="BH283" s="273"/>
      <c r="BI283" s="273"/>
      <c r="BJ283" s="273"/>
      <c r="BK283" s="273"/>
      <c r="BL283" s="273"/>
      <c r="BM283" s="273"/>
      <c r="BN283" s="273"/>
      <c r="BO283" s="273"/>
      <c r="BP283" s="273"/>
      <c r="BQ283" s="273"/>
      <c r="BR283" s="273"/>
      <c r="BS283" s="273"/>
      <c r="BT283" s="273"/>
      <c r="BU283" s="273"/>
      <c r="BV283" s="273"/>
      <c r="BW283" s="273"/>
    </row>
    <row r="284">
      <c r="A284" s="259" t="str">
        <f>VLOOKUP($F284,UpdateHashtag!$V$3:$Y$32,COLUMN(B$15),0)</f>
        <v>#N/A</v>
      </c>
      <c r="B284" s="259" t="str">
        <f>VLOOKUP($F284,UpdateHashtag!$V$3:$Y$32,COLUMN(C$13),0)</f>
        <v>#N/A</v>
      </c>
      <c r="C284" s="259" t="str">
        <f>VLOOKUP($F284,UpdateHashtag!$V$3:$Y$32,COLUMN(D$13),0)</f>
        <v>#N/A</v>
      </c>
      <c r="D284" s="329" t="str">
        <f t="shared" si="4"/>
        <v>#N/A</v>
      </c>
      <c r="E284" s="21"/>
      <c r="F284" s="261" t="str">
        <f>VLOOKUP(J284,UpdateBBM!$C$2:E1015,3,0)</f>
        <v>#N/A</v>
      </c>
      <c r="G284" s="31">
        <v>264.0</v>
      </c>
      <c r="H284" s="278"/>
      <c r="I284" s="278"/>
      <c r="J284" s="279"/>
      <c r="K284" s="278"/>
      <c r="L284" s="280"/>
      <c r="M284" s="281"/>
      <c r="N284" s="282"/>
      <c r="O284" s="282"/>
      <c r="P284" s="283"/>
      <c r="Q284" s="283"/>
      <c r="R284" s="283"/>
      <c r="S284" s="284"/>
      <c r="T284" s="283"/>
      <c r="U284" s="283"/>
      <c r="V284" s="280"/>
      <c r="W284" s="280"/>
      <c r="X284" s="280"/>
      <c r="Y284" s="283"/>
      <c r="Z284" s="351"/>
      <c r="AA284" s="351"/>
      <c r="AB284" s="351"/>
      <c r="AC284" s="351"/>
      <c r="AD284" s="351"/>
      <c r="AE284" s="351"/>
      <c r="AF284" s="351"/>
      <c r="AG284" s="351"/>
      <c r="AH284" s="285"/>
      <c r="AI284" s="273"/>
      <c r="AJ284" s="340"/>
      <c r="AK284" s="341"/>
      <c r="AL284" s="273"/>
      <c r="AM284" s="273"/>
      <c r="AN284" s="273"/>
      <c r="AO284" s="273"/>
      <c r="AP284" s="273"/>
      <c r="AQ284" s="273"/>
      <c r="AR284" s="273"/>
      <c r="AS284" s="273"/>
      <c r="AT284" s="273"/>
      <c r="AU284" s="273"/>
      <c r="AV284" s="273"/>
      <c r="AW284" s="273"/>
      <c r="AX284" s="273"/>
      <c r="AY284" s="273"/>
      <c r="AZ284" s="273"/>
      <c r="BA284" s="273"/>
      <c r="BB284" s="273"/>
      <c r="BC284" s="273"/>
      <c r="BD284" s="273"/>
      <c r="BE284" s="273"/>
      <c r="BF284" s="273"/>
      <c r="BG284" s="273"/>
      <c r="BH284" s="273"/>
      <c r="BI284" s="273"/>
      <c r="BJ284" s="273"/>
      <c r="BK284" s="273"/>
      <c r="BL284" s="273"/>
      <c r="BM284" s="273"/>
      <c r="BN284" s="273"/>
      <c r="BO284" s="273"/>
      <c r="BP284" s="273"/>
      <c r="BQ284" s="273"/>
      <c r="BR284" s="273"/>
      <c r="BS284" s="273"/>
      <c r="BT284" s="273"/>
      <c r="BU284" s="273"/>
      <c r="BV284" s="273"/>
      <c r="BW284" s="273"/>
    </row>
    <row r="285">
      <c r="A285" s="259" t="str">
        <f>VLOOKUP($F285,UpdateHashtag!$V$3:$Y$32,COLUMN(B$15),0)</f>
        <v>#N/A</v>
      </c>
      <c r="B285" s="259" t="str">
        <f>VLOOKUP($F285,UpdateHashtag!$V$3:$Y$32,COLUMN(C$13),0)</f>
        <v>#N/A</v>
      </c>
      <c r="C285" s="259" t="str">
        <f>VLOOKUP($F285,UpdateHashtag!$V$3:$Y$32,COLUMN(D$13),0)</f>
        <v>#N/A</v>
      </c>
      <c r="D285" s="329" t="str">
        <f t="shared" si="4"/>
        <v>#N/A</v>
      </c>
      <c r="E285" s="21"/>
      <c r="F285" s="261" t="str">
        <f>VLOOKUP(J285,UpdateBBM!$C$2:E1015,3,0)</f>
        <v>#N/A</v>
      </c>
      <c r="G285" s="31">
        <v>265.0</v>
      </c>
      <c r="H285" s="278"/>
      <c r="I285" s="278"/>
      <c r="J285" s="279"/>
      <c r="K285" s="278"/>
      <c r="L285" s="280"/>
      <c r="M285" s="281"/>
      <c r="N285" s="282"/>
      <c r="O285" s="282"/>
      <c r="P285" s="283"/>
      <c r="Q285" s="283"/>
      <c r="R285" s="283"/>
      <c r="S285" s="284"/>
      <c r="T285" s="283"/>
      <c r="U285" s="283"/>
      <c r="V285" s="280"/>
      <c r="W285" s="280"/>
      <c r="X285" s="280"/>
      <c r="Y285" s="283"/>
      <c r="Z285" s="351"/>
      <c r="AA285" s="351"/>
      <c r="AB285" s="351"/>
      <c r="AC285" s="351"/>
      <c r="AD285" s="351"/>
      <c r="AE285" s="351"/>
      <c r="AF285" s="351"/>
      <c r="AG285" s="351"/>
      <c r="AH285" s="285"/>
      <c r="AI285" s="273"/>
      <c r="AJ285" s="340"/>
      <c r="AK285" s="341"/>
      <c r="AL285" s="273"/>
      <c r="AM285" s="273"/>
      <c r="AN285" s="273"/>
      <c r="AO285" s="273"/>
      <c r="AP285" s="273"/>
      <c r="AQ285" s="273"/>
      <c r="AR285" s="273"/>
      <c r="AS285" s="273"/>
      <c r="AT285" s="273"/>
      <c r="AU285" s="273"/>
      <c r="AV285" s="273"/>
      <c r="AW285" s="273"/>
      <c r="AX285" s="273"/>
      <c r="AY285" s="273"/>
      <c r="AZ285" s="273"/>
      <c r="BA285" s="273"/>
      <c r="BB285" s="273"/>
      <c r="BC285" s="273"/>
      <c r="BD285" s="273"/>
      <c r="BE285" s="273"/>
      <c r="BF285" s="273"/>
      <c r="BG285" s="273"/>
      <c r="BH285" s="273"/>
      <c r="BI285" s="273"/>
      <c r="BJ285" s="273"/>
      <c r="BK285" s="273"/>
      <c r="BL285" s="273"/>
      <c r="BM285" s="273"/>
      <c r="BN285" s="273"/>
      <c r="BO285" s="273"/>
      <c r="BP285" s="273"/>
      <c r="BQ285" s="273"/>
      <c r="BR285" s="273"/>
      <c r="BS285" s="273"/>
      <c r="BT285" s="273"/>
      <c r="BU285" s="273"/>
      <c r="BV285" s="273"/>
      <c r="BW285" s="273"/>
    </row>
    <row r="286">
      <c r="A286" s="259" t="str">
        <f>VLOOKUP($F286,UpdateHashtag!$V$3:$Y$32,COLUMN(B$15),0)</f>
        <v>#N/A</v>
      </c>
      <c r="B286" s="259" t="str">
        <f>VLOOKUP($F286,UpdateHashtag!$V$3:$Y$32,COLUMN(C$13),0)</f>
        <v>#N/A</v>
      </c>
      <c r="C286" s="259" t="str">
        <f>VLOOKUP($F286,UpdateHashtag!$V$3:$Y$32,COLUMN(D$13),0)</f>
        <v>#N/A</v>
      </c>
      <c r="D286" s="329" t="str">
        <f t="shared" si="4"/>
        <v>#N/A</v>
      </c>
      <c r="E286" s="21"/>
      <c r="F286" s="261" t="str">
        <f>VLOOKUP(J286,UpdateBBM!$C$2:E1015,3,0)</f>
        <v>#N/A</v>
      </c>
      <c r="G286" s="31">
        <v>266.0</v>
      </c>
      <c r="H286" s="278"/>
      <c r="I286" s="278"/>
      <c r="J286" s="279"/>
      <c r="K286" s="278"/>
      <c r="L286" s="280"/>
      <c r="M286" s="281"/>
      <c r="N286" s="282"/>
      <c r="O286" s="282"/>
      <c r="P286" s="283"/>
      <c r="Q286" s="283"/>
      <c r="R286" s="283"/>
      <c r="S286" s="284"/>
      <c r="T286" s="283"/>
      <c r="U286" s="283"/>
      <c r="V286" s="280"/>
      <c r="W286" s="280"/>
      <c r="X286" s="280"/>
      <c r="Y286" s="283"/>
      <c r="Z286" s="351"/>
      <c r="AA286" s="351"/>
      <c r="AB286" s="351"/>
      <c r="AC286" s="351"/>
      <c r="AD286" s="351"/>
      <c r="AE286" s="351"/>
      <c r="AF286" s="351"/>
      <c r="AG286" s="351"/>
      <c r="AH286" s="285"/>
      <c r="AI286" s="273"/>
      <c r="AJ286" s="340"/>
      <c r="AK286" s="341"/>
      <c r="AL286" s="273"/>
      <c r="AM286" s="273"/>
      <c r="AN286" s="273"/>
      <c r="AO286" s="273"/>
      <c r="AP286" s="273"/>
      <c r="AQ286" s="273"/>
      <c r="AR286" s="273"/>
      <c r="AS286" s="273"/>
      <c r="AT286" s="273"/>
      <c r="AU286" s="273"/>
      <c r="AV286" s="273"/>
      <c r="AW286" s="273"/>
      <c r="AX286" s="273"/>
      <c r="AY286" s="273"/>
      <c r="AZ286" s="273"/>
      <c r="BA286" s="273"/>
      <c r="BB286" s="273"/>
      <c r="BC286" s="273"/>
      <c r="BD286" s="273"/>
      <c r="BE286" s="273"/>
      <c r="BF286" s="273"/>
      <c r="BG286" s="273"/>
      <c r="BH286" s="273"/>
      <c r="BI286" s="273"/>
      <c r="BJ286" s="273"/>
      <c r="BK286" s="273"/>
      <c r="BL286" s="273"/>
      <c r="BM286" s="273"/>
      <c r="BN286" s="273"/>
      <c r="BO286" s="273"/>
      <c r="BP286" s="273"/>
      <c r="BQ286" s="273"/>
      <c r="BR286" s="273"/>
      <c r="BS286" s="273"/>
      <c r="BT286" s="273"/>
      <c r="BU286" s="273"/>
      <c r="BV286" s="273"/>
      <c r="BW286" s="273"/>
    </row>
    <row r="287">
      <c r="A287" s="259" t="str">
        <f>VLOOKUP($F287,UpdateHashtag!$V$3:$Y$32,COLUMN(B$15),0)</f>
        <v>#N/A</v>
      </c>
      <c r="B287" s="259" t="str">
        <f>VLOOKUP($F287,UpdateHashtag!$V$3:$Y$32,COLUMN(C$13),0)</f>
        <v>#N/A</v>
      </c>
      <c r="C287" s="259" t="str">
        <f>VLOOKUP($F287,UpdateHashtag!$V$3:$Y$32,COLUMN(D$13),0)</f>
        <v>#N/A</v>
      </c>
      <c r="D287" s="329" t="str">
        <f t="shared" si="4"/>
        <v>#N/A</v>
      </c>
      <c r="E287" s="21"/>
      <c r="F287" s="261" t="str">
        <f>VLOOKUP(J287,UpdateBBM!$C$2:E1015,3,0)</f>
        <v>#N/A</v>
      </c>
      <c r="G287" s="31">
        <v>267.0</v>
      </c>
      <c r="H287" s="278"/>
      <c r="I287" s="278"/>
      <c r="J287" s="279"/>
      <c r="K287" s="278"/>
      <c r="L287" s="280"/>
      <c r="M287" s="281"/>
      <c r="N287" s="282"/>
      <c r="O287" s="282"/>
      <c r="P287" s="283"/>
      <c r="Q287" s="283"/>
      <c r="R287" s="283"/>
      <c r="S287" s="284"/>
      <c r="T287" s="283"/>
      <c r="U287" s="283"/>
      <c r="V287" s="280"/>
      <c r="W287" s="280"/>
      <c r="X287" s="280"/>
      <c r="Y287" s="283"/>
      <c r="Z287" s="351"/>
      <c r="AA287" s="351"/>
      <c r="AB287" s="351"/>
      <c r="AC287" s="351"/>
      <c r="AD287" s="351"/>
      <c r="AE287" s="351"/>
      <c r="AF287" s="351"/>
      <c r="AG287" s="351"/>
      <c r="AH287" s="285"/>
      <c r="AI287" s="273"/>
      <c r="AJ287" s="340"/>
      <c r="AK287" s="341"/>
      <c r="AL287" s="273"/>
      <c r="AM287" s="273"/>
      <c r="AN287" s="273"/>
      <c r="AO287" s="273"/>
      <c r="AP287" s="273"/>
      <c r="AQ287" s="273"/>
      <c r="AR287" s="273"/>
      <c r="AS287" s="273"/>
      <c r="AT287" s="273"/>
      <c r="AU287" s="273"/>
      <c r="AV287" s="273"/>
      <c r="AW287" s="273"/>
      <c r="AX287" s="273"/>
      <c r="AY287" s="273"/>
      <c r="AZ287" s="273"/>
      <c r="BA287" s="273"/>
      <c r="BB287" s="273"/>
      <c r="BC287" s="273"/>
      <c r="BD287" s="273"/>
      <c r="BE287" s="273"/>
      <c r="BF287" s="273"/>
      <c r="BG287" s="273"/>
      <c r="BH287" s="273"/>
      <c r="BI287" s="273"/>
      <c r="BJ287" s="273"/>
      <c r="BK287" s="273"/>
      <c r="BL287" s="273"/>
      <c r="BM287" s="273"/>
      <c r="BN287" s="273"/>
      <c r="BO287" s="273"/>
      <c r="BP287" s="273"/>
      <c r="BQ287" s="273"/>
      <c r="BR287" s="273"/>
      <c r="BS287" s="273"/>
      <c r="BT287" s="273"/>
      <c r="BU287" s="273"/>
      <c r="BV287" s="273"/>
      <c r="BW287" s="273"/>
    </row>
    <row r="288">
      <c r="A288" s="259" t="str">
        <f>VLOOKUP($F288,UpdateHashtag!$V$3:$Y$32,COLUMN(B$15),0)</f>
        <v>#N/A</v>
      </c>
      <c r="B288" s="259" t="str">
        <f>VLOOKUP($F288,UpdateHashtag!$V$3:$Y$32,COLUMN(C$13),0)</f>
        <v>#N/A</v>
      </c>
      <c r="C288" s="259" t="str">
        <f>VLOOKUP($F288,UpdateHashtag!$V$3:$Y$32,COLUMN(D$13),0)</f>
        <v>#N/A</v>
      </c>
      <c r="D288" s="329" t="str">
        <f t="shared" si="4"/>
        <v>#N/A</v>
      </c>
      <c r="E288" s="21"/>
      <c r="F288" s="261" t="str">
        <f>VLOOKUP(J288,UpdateBBM!$C$2:E1015,3,0)</f>
        <v>#N/A</v>
      </c>
      <c r="G288" s="31">
        <v>268.0</v>
      </c>
      <c r="H288" s="278"/>
      <c r="I288" s="278"/>
      <c r="J288" s="279"/>
      <c r="K288" s="278"/>
      <c r="L288" s="280"/>
      <c r="M288" s="281"/>
      <c r="N288" s="282"/>
      <c r="O288" s="282"/>
      <c r="P288" s="283"/>
      <c r="Q288" s="283"/>
      <c r="R288" s="283"/>
      <c r="S288" s="284"/>
      <c r="T288" s="283"/>
      <c r="U288" s="283"/>
      <c r="V288" s="280"/>
      <c r="W288" s="280"/>
      <c r="X288" s="280"/>
      <c r="Y288" s="283"/>
      <c r="Z288" s="351"/>
      <c r="AA288" s="351"/>
      <c r="AB288" s="351"/>
      <c r="AC288" s="351"/>
      <c r="AD288" s="351"/>
      <c r="AE288" s="351"/>
      <c r="AF288" s="351"/>
      <c r="AG288" s="351"/>
      <c r="AH288" s="285"/>
      <c r="AI288" s="273"/>
      <c r="AJ288" s="340"/>
      <c r="AK288" s="341"/>
      <c r="AL288" s="273"/>
      <c r="AM288" s="273"/>
      <c r="AN288" s="273"/>
      <c r="AO288" s="273"/>
      <c r="AP288" s="273"/>
      <c r="AQ288" s="273"/>
      <c r="AR288" s="273"/>
      <c r="AS288" s="273"/>
      <c r="AT288" s="273"/>
      <c r="AU288" s="273"/>
      <c r="AV288" s="273"/>
      <c r="AW288" s="273"/>
      <c r="AX288" s="273"/>
      <c r="AY288" s="273"/>
      <c r="AZ288" s="273"/>
      <c r="BA288" s="273"/>
      <c r="BB288" s="273"/>
      <c r="BC288" s="273"/>
      <c r="BD288" s="273"/>
      <c r="BE288" s="273"/>
      <c r="BF288" s="273"/>
      <c r="BG288" s="273"/>
      <c r="BH288" s="273"/>
      <c r="BI288" s="273"/>
      <c r="BJ288" s="273"/>
      <c r="BK288" s="273"/>
      <c r="BL288" s="273"/>
      <c r="BM288" s="273"/>
      <c r="BN288" s="273"/>
      <c r="BO288" s="273"/>
      <c r="BP288" s="273"/>
      <c r="BQ288" s="273"/>
      <c r="BR288" s="273"/>
      <c r="BS288" s="273"/>
      <c r="BT288" s="273"/>
      <c r="BU288" s="273"/>
      <c r="BV288" s="273"/>
      <c r="BW288" s="273"/>
    </row>
    <row r="289">
      <c r="A289" s="259" t="str">
        <f>VLOOKUP($F289,UpdateHashtag!$V$3:$Y$32,COLUMN(B$15),0)</f>
        <v>#N/A</v>
      </c>
      <c r="B289" s="259" t="str">
        <f>VLOOKUP($F289,UpdateHashtag!$V$3:$Y$32,COLUMN(C$13),0)</f>
        <v>#N/A</v>
      </c>
      <c r="C289" s="259" t="str">
        <f>VLOOKUP($F289,UpdateHashtag!$V$3:$Y$32,COLUMN(D$13),0)</f>
        <v>#N/A</v>
      </c>
      <c r="D289" s="329" t="str">
        <f t="shared" si="4"/>
        <v>#N/A</v>
      </c>
      <c r="E289" s="21"/>
      <c r="F289" s="261" t="str">
        <f>VLOOKUP(J289,UpdateBBM!$C$2:E1015,3,0)</f>
        <v>#N/A</v>
      </c>
      <c r="G289" s="31">
        <v>269.0</v>
      </c>
      <c r="H289" s="278"/>
      <c r="I289" s="278"/>
      <c r="J289" s="279"/>
      <c r="K289" s="278"/>
      <c r="L289" s="280"/>
      <c r="M289" s="281"/>
      <c r="N289" s="282"/>
      <c r="O289" s="282"/>
      <c r="P289" s="283"/>
      <c r="Q289" s="283"/>
      <c r="R289" s="283"/>
      <c r="S289" s="284"/>
      <c r="T289" s="283"/>
      <c r="U289" s="283"/>
      <c r="V289" s="280"/>
      <c r="W289" s="280"/>
      <c r="X289" s="280"/>
      <c r="Y289" s="283"/>
      <c r="Z289" s="351"/>
      <c r="AA289" s="351"/>
      <c r="AB289" s="351"/>
      <c r="AC289" s="351"/>
      <c r="AD289" s="351"/>
      <c r="AE289" s="351"/>
      <c r="AF289" s="351"/>
      <c r="AG289" s="351"/>
      <c r="AH289" s="285"/>
      <c r="AI289" s="273"/>
      <c r="AJ289" s="340"/>
      <c r="AK289" s="341"/>
      <c r="AL289" s="273"/>
      <c r="AM289" s="273"/>
      <c r="AN289" s="273"/>
      <c r="AO289" s="273"/>
      <c r="AP289" s="273"/>
      <c r="AQ289" s="273"/>
      <c r="AR289" s="273"/>
      <c r="AS289" s="273"/>
      <c r="AT289" s="273"/>
      <c r="AU289" s="273"/>
      <c r="AV289" s="273"/>
      <c r="AW289" s="273"/>
      <c r="AX289" s="273"/>
      <c r="AY289" s="273"/>
      <c r="AZ289" s="273"/>
      <c r="BA289" s="273"/>
      <c r="BB289" s="273"/>
      <c r="BC289" s="273"/>
      <c r="BD289" s="273"/>
      <c r="BE289" s="273"/>
      <c r="BF289" s="273"/>
      <c r="BG289" s="273"/>
      <c r="BH289" s="273"/>
      <c r="BI289" s="273"/>
      <c r="BJ289" s="273"/>
      <c r="BK289" s="273"/>
      <c r="BL289" s="273"/>
      <c r="BM289" s="273"/>
      <c r="BN289" s="273"/>
      <c r="BO289" s="273"/>
      <c r="BP289" s="273"/>
      <c r="BQ289" s="273"/>
      <c r="BR289" s="273"/>
      <c r="BS289" s="273"/>
      <c r="BT289" s="273"/>
      <c r="BU289" s="273"/>
      <c r="BV289" s="273"/>
      <c r="BW289" s="273"/>
    </row>
    <row r="290">
      <c r="A290" s="259" t="str">
        <f>VLOOKUP($F290,UpdateHashtag!$V$3:$Y$32,COLUMN(B$15),0)</f>
        <v>#N/A</v>
      </c>
      <c r="B290" s="259" t="str">
        <f>VLOOKUP($F290,UpdateHashtag!$V$3:$Y$32,COLUMN(C$13),0)</f>
        <v>#N/A</v>
      </c>
      <c r="C290" s="259" t="str">
        <f>VLOOKUP($F290,UpdateHashtag!$V$3:$Y$32,COLUMN(D$13),0)</f>
        <v>#N/A</v>
      </c>
      <c r="D290" s="329" t="str">
        <f t="shared" si="4"/>
        <v>#N/A</v>
      </c>
      <c r="E290" s="21"/>
      <c r="F290" s="261" t="str">
        <f>VLOOKUP(J290,UpdateBBM!$C$2:E1015,3,0)</f>
        <v>#N/A</v>
      </c>
      <c r="G290" s="31">
        <v>270.0</v>
      </c>
      <c r="H290" s="278"/>
      <c r="I290" s="278"/>
      <c r="J290" s="279"/>
      <c r="K290" s="278"/>
      <c r="L290" s="280"/>
      <c r="M290" s="281"/>
      <c r="N290" s="282"/>
      <c r="O290" s="282"/>
      <c r="P290" s="283"/>
      <c r="Q290" s="283"/>
      <c r="R290" s="283"/>
      <c r="S290" s="284"/>
      <c r="T290" s="283"/>
      <c r="U290" s="283"/>
      <c r="V290" s="280"/>
      <c r="W290" s="280"/>
      <c r="X290" s="280"/>
      <c r="Y290" s="283"/>
      <c r="Z290" s="351"/>
      <c r="AA290" s="351"/>
      <c r="AB290" s="351"/>
      <c r="AC290" s="351"/>
      <c r="AD290" s="351"/>
      <c r="AE290" s="351"/>
      <c r="AF290" s="351"/>
      <c r="AG290" s="351"/>
      <c r="AH290" s="285"/>
      <c r="AI290" s="273"/>
      <c r="AJ290" s="340"/>
      <c r="AK290" s="341"/>
      <c r="AL290" s="273"/>
      <c r="AM290" s="273"/>
      <c r="AN290" s="273"/>
      <c r="AO290" s="273"/>
      <c r="AP290" s="273"/>
      <c r="AQ290" s="273"/>
      <c r="AR290" s="273"/>
      <c r="AS290" s="273"/>
      <c r="AT290" s="273"/>
      <c r="AU290" s="273"/>
      <c r="AV290" s="273"/>
      <c r="AW290" s="273"/>
      <c r="AX290" s="273"/>
      <c r="AY290" s="273"/>
      <c r="AZ290" s="273"/>
      <c r="BA290" s="273"/>
      <c r="BB290" s="273"/>
      <c r="BC290" s="273"/>
      <c r="BD290" s="273"/>
      <c r="BE290" s="273"/>
      <c r="BF290" s="273"/>
      <c r="BG290" s="273"/>
      <c r="BH290" s="273"/>
      <c r="BI290" s="273"/>
      <c r="BJ290" s="273"/>
      <c r="BK290" s="273"/>
      <c r="BL290" s="273"/>
      <c r="BM290" s="273"/>
      <c r="BN290" s="273"/>
      <c r="BO290" s="273"/>
      <c r="BP290" s="273"/>
      <c r="BQ290" s="273"/>
      <c r="BR290" s="273"/>
      <c r="BS290" s="273"/>
      <c r="BT290" s="273"/>
      <c r="BU290" s="273"/>
      <c r="BV290" s="273"/>
      <c r="BW290" s="273"/>
    </row>
    <row r="291">
      <c r="A291" s="259" t="str">
        <f>VLOOKUP($F291,UpdateHashtag!$V$3:$Y$32,COLUMN(B$15),0)</f>
        <v>#N/A</v>
      </c>
      <c r="B291" s="259" t="str">
        <f>VLOOKUP($F291,UpdateHashtag!$V$3:$Y$32,COLUMN(C$13),0)</f>
        <v>#N/A</v>
      </c>
      <c r="C291" s="259" t="str">
        <f>VLOOKUP($F291,UpdateHashtag!$V$3:$Y$32,COLUMN(D$13),0)</f>
        <v>#N/A</v>
      </c>
      <c r="D291" s="329" t="str">
        <f t="shared" si="4"/>
        <v>#N/A</v>
      </c>
      <c r="E291" s="21"/>
      <c r="F291" s="261" t="str">
        <f>VLOOKUP(J291,UpdateBBM!$C$2:E1015,3,0)</f>
        <v>#N/A</v>
      </c>
      <c r="G291" s="31">
        <v>271.0</v>
      </c>
      <c r="H291" s="278"/>
      <c r="I291" s="278"/>
      <c r="J291" s="279"/>
      <c r="K291" s="278"/>
      <c r="L291" s="280"/>
      <c r="M291" s="281"/>
      <c r="N291" s="282"/>
      <c r="O291" s="282"/>
      <c r="P291" s="283"/>
      <c r="Q291" s="283"/>
      <c r="R291" s="283"/>
      <c r="S291" s="284"/>
      <c r="T291" s="283"/>
      <c r="U291" s="283"/>
      <c r="V291" s="280"/>
      <c r="W291" s="280"/>
      <c r="X291" s="280"/>
      <c r="Y291" s="283"/>
      <c r="Z291" s="351"/>
      <c r="AA291" s="351"/>
      <c r="AB291" s="351"/>
      <c r="AC291" s="351"/>
      <c r="AD291" s="351"/>
      <c r="AE291" s="351"/>
      <c r="AF291" s="351"/>
      <c r="AG291" s="351"/>
      <c r="AH291" s="285"/>
      <c r="AI291" s="273"/>
      <c r="AJ291" s="340"/>
      <c r="AK291" s="341"/>
      <c r="AL291" s="273"/>
      <c r="AM291" s="273"/>
      <c r="AN291" s="273"/>
      <c r="AO291" s="273"/>
      <c r="AP291" s="273"/>
      <c r="AQ291" s="273"/>
      <c r="AR291" s="273"/>
      <c r="AS291" s="273"/>
      <c r="AT291" s="273"/>
      <c r="AU291" s="273"/>
      <c r="AV291" s="273"/>
      <c r="AW291" s="273"/>
      <c r="AX291" s="273"/>
      <c r="AY291" s="273"/>
      <c r="AZ291" s="273"/>
      <c r="BA291" s="273"/>
      <c r="BB291" s="273"/>
      <c r="BC291" s="273"/>
      <c r="BD291" s="273"/>
      <c r="BE291" s="273"/>
      <c r="BF291" s="273"/>
      <c r="BG291" s="273"/>
      <c r="BH291" s="273"/>
      <c r="BI291" s="273"/>
      <c r="BJ291" s="273"/>
      <c r="BK291" s="273"/>
      <c r="BL291" s="273"/>
      <c r="BM291" s="273"/>
      <c r="BN291" s="273"/>
      <c r="BO291" s="273"/>
      <c r="BP291" s="273"/>
      <c r="BQ291" s="273"/>
      <c r="BR291" s="273"/>
      <c r="BS291" s="273"/>
      <c r="BT291" s="273"/>
      <c r="BU291" s="273"/>
      <c r="BV291" s="273"/>
      <c r="BW291" s="273"/>
    </row>
    <row r="292">
      <c r="A292" s="259" t="str">
        <f>VLOOKUP($F292,UpdateHashtag!$V$3:$Y$32,COLUMN(B$15),0)</f>
        <v>#N/A</v>
      </c>
      <c r="B292" s="259" t="str">
        <f>VLOOKUP($F292,UpdateHashtag!$V$3:$Y$32,COLUMN(C$13),0)</f>
        <v>#N/A</v>
      </c>
      <c r="C292" s="259" t="str">
        <f>VLOOKUP($F292,UpdateHashtag!$V$3:$Y$32,COLUMN(D$13),0)</f>
        <v>#N/A</v>
      </c>
      <c r="D292" s="329" t="str">
        <f t="shared" si="4"/>
        <v>#N/A</v>
      </c>
      <c r="E292" s="21"/>
      <c r="F292" s="261" t="str">
        <f>VLOOKUP(J292,UpdateBBM!$C$2:E1015,3,0)</f>
        <v>#N/A</v>
      </c>
      <c r="G292" s="31">
        <v>272.0</v>
      </c>
      <c r="H292" s="278"/>
      <c r="I292" s="278"/>
      <c r="J292" s="279"/>
      <c r="K292" s="278"/>
      <c r="L292" s="280"/>
      <c r="M292" s="281"/>
      <c r="N292" s="282"/>
      <c r="O292" s="282"/>
      <c r="P292" s="283"/>
      <c r="Q292" s="283"/>
      <c r="R292" s="283"/>
      <c r="S292" s="284"/>
      <c r="T292" s="283"/>
      <c r="U292" s="283"/>
      <c r="V292" s="280"/>
      <c r="W292" s="280"/>
      <c r="X292" s="280"/>
      <c r="Y292" s="283"/>
      <c r="Z292" s="351"/>
      <c r="AA292" s="351"/>
      <c r="AB292" s="351"/>
      <c r="AC292" s="351"/>
      <c r="AD292" s="351"/>
      <c r="AE292" s="351"/>
      <c r="AF292" s="351"/>
      <c r="AG292" s="351"/>
      <c r="AH292" s="285"/>
      <c r="AI292" s="273"/>
      <c r="AJ292" s="340"/>
      <c r="AK292" s="341"/>
      <c r="AL292" s="273"/>
      <c r="AM292" s="273"/>
      <c r="AN292" s="273"/>
      <c r="AO292" s="273"/>
      <c r="AP292" s="273"/>
      <c r="AQ292" s="273"/>
      <c r="AR292" s="273"/>
      <c r="AS292" s="273"/>
      <c r="AT292" s="273"/>
      <c r="AU292" s="273"/>
      <c r="AV292" s="273"/>
      <c r="AW292" s="273"/>
      <c r="AX292" s="273"/>
      <c r="AY292" s="273"/>
      <c r="AZ292" s="273"/>
      <c r="BA292" s="273"/>
      <c r="BB292" s="273"/>
      <c r="BC292" s="273"/>
      <c r="BD292" s="273"/>
      <c r="BE292" s="273"/>
      <c r="BF292" s="273"/>
      <c r="BG292" s="273"/>
      <c r="BH292" s="273"/>
      <c r="BI292" s="273"/>
      <c r="BJ292" s="273"/>
      <c r="BK292" s="273"/>
      <c r="BL292" s="273"/>
      <c r="BM292" s="273"/>
      <c r="BN292" s="273"/>
      <c r="BO292" s="273"/>
      <c r="BP292" s="273"/>
      <c r="BQ292" s="273"/>
      <c r="BR292" s="273"/>
      <c r="BS292" s="273"/>
      <c r="BT292" s="273"/>
      <c r="BU292" s="273"/>
      <c r="BV292" s="273"/>
      <c r="BW292" s="273"/>
    </row>
    <row r="293">
      <c r="A293" s="259" t="str">
        <f>VLOOKUP($F293,UpdateHashtag!$V$3:$Y$32,COLUMN(B$15),0)</f>
        <v>#N/A</v>
      </c>
      <c r="B293" s="259" t="str">
        <f>VLOOKUP($F293,UpdateHashtag!$V$3:$Y$32,COLUMN(C$13),0)</f>
        <v>#N/A</v>
      </c>
      <c r="C293" s="259" t="str">
        <f>VLOOKUP($F293,UpdateHashtag!$V$3:$Y$32,COLUMN(D$13),0)</f>
        <v>#N/A</v>
      </c>
      <c r="D293" s="329" t="str">
        <f t="shared" si="4"/>
        <v>#N/A</v>
      </c>
      <c r="E293" s="21"/>
      <c r="F293" s="261" t="str">
        <f>VLOOKUP(J293,UpdateBBM!$C$2:E1015,3,0)</f>
        <v>#N/A</v>
      </c>
      <c r="G293" s="31">
        <v>273.0</v>
      </c>
      <c r="H293" s="278"/>
      <c r="I293" s="278"/>
      <c r="J293" s="279"/>
      <c r="K293" s="278"/>
      <c r="L293" s="280"/>
      <c r="M293" s="281"/>
      <c r="N293" s="282"/>
      <c r="O293" s="282"/>
      <c r="P293" s="283"/>
      <c r="Q293" s="283"/>
      <c r="R293" s="283"/>
      <c r="S293" s="284"/>
      <c r="T293" s="283"/>
      <c r="U293" s="283"/>
      <c r="V293" s="280"/>
      <c r="W293" s="280"/>
      <c r="X293" s="280"/>
      <c r="Y293" s="283"/>
      <c r="Z293" s="351"/>
      <c r="AA293" s="351"/>
      <c r="AB293" s="351"/>
      <c r="AC293" s="351"/>
      <c r="AD293" s="351"/>
      <c r="AE293" s="351"/>
      <c r="AF293" s="351"/>
      <c r="AG293" s="351"/>
      <c r="AH293" s="285"/>
      <c r="AI293" s="273"/>
      <c r="AJ293" s="340"/>
      <c r="AK293" s="341"/>
      <c r="AL293" s="273"/>
      <c r="AM293" s="273"/>
      <c r="AN293" s="273"/>
      <c r="AO293" s="273"/>
      <c r="AP293" s="273"/>
      <c r="AQ293" s="273"/>
      <c r="AR293" s="273"/>
      <c r="AS293" s="273"/>
      <c r="AT293" s="273"/>
      <c r="AU293" s="273"/>
      <c r="AV293" s="273"/>
      <c r="AW293" s="273"/>
      <c r="AX293" s="273"/>
      <c r="AY293" s="273"/>
      <c r="AZ293" s="273"/>
      <c r="BA293" s="273"/>
      <c r="BB293" s="273"/>
      <c r="BC293" s="273"/>
      <c r="BD293" s="273"/>
      <c r="BE293" s="273"/>
      <c r="BF293" s="273"/>
      <c r="BG293" s="273"/>
      <c r="BH293" s="273"/>
      <c r="BI293" s="273"/>
      <c r="BJ293" s="273"/>
      <c r="BK293" s="273"/>
      <c r="BL293" s="273"/>
      <c r="BM293" s="273"/>
      <c r="BN293" s="273"/>
      <c r="BO293" s="273"/>
      <c r="BP293" s="273"/>
      <c r="BQ293" s="273"/>
      <c r="BR293" s="273"/>
      <c r="BS293" s="273"/>
      <c r="BT293" s="273"/>
      <c r="BU293" s="273"/>
      <c r="BV293" s="273"/>
      <c r="BW293" s="273"/>
    </row>
    <row r="294">
      <c r="A294" s="259" t="str">
        <f>VLOOKUP($F294,UpdateHashtag!$V$3:$Y$32,COLUMN(B$15),0)</f>
        <v>#N/A</v>
      </c>
      <c r="B294" s="259" t="str">
        <f>VLOOKUP($F294,UpdateHashtag!$V$3:$Y$32,COLUMN(C$13),0)</f>
        <v>#N/A</v>
      </c>
      <c r="C294" s="259" t="str">
        <f>VLOOKUP($F294,UpdateHashtag!$V$3:$Y$32,COLUMN(D$13),0)</f>
        <v>#N/A</v>
      </c>
      <c r="D294" s="329" t="str">
        <f t="shared" si="4"/>
        <v>#N/A</v>
      </c>
      <c r="E294" s="21"/>
      <c r="F294" s="261" t="str">
        <f>VLOOKUP(J294,UpdateBBM!$C$2:E1015,3,0)</f>
        <v>#N/A</v>
      </c>
      <c r="G294" s="31">
        <v>274.0</v>
      </c>
      <c r="H294" s="278"/>
      <c r="I294" s="278"/>
      <c r="J294" s="279"/>
      <c r="K294" s="278"/>
      <c r="L294" s="280"/>
      <c r="M294" s="281"/>
      <c r="N294" s="282"/>
      <c r="O294" s="282"/>
      <c r="P294" s="283"/>
      <c r="Q294" s="283"/>
      <c r="R294" s="283"/>
      <c r="S294" s="284"/>
      <c r="T294" s="283"/>
      <c r="U294" s="283"/>
      <c r="V294" s="280"/>
      <c r="W294" s="280"/>
      <c r="X294" s="280"/>
      <c r="Y294" s="283"/>
      <c r="Z294" s="351"/>
      <c r="AA294" s="351"/>
      <c r="AB294" s="351"/>
      <c r="AC294" s="351"/>
      <c r="AD294" s="351"/>
      <c r="AE294" s="351"/>
      <c r="AF294" s="351"/>
      <c r="AG294" s="351"/>
      <c r="AH294" s="285"/>
      <c r="AI294" s="273"/>
      <c r="AJ294" s="340"/>
      <c r="AK294" s="341"/>
      <c r="AL294" s="273"/>
      <c r="AM294" s="273"/>
      <c r="AN294" s="273"/>
      <c r="AO294" s="273"/>
      <c r="AP294" s="273"/>
      <c r="AQ294" s="273"/>
      <c r="AR294" s="273"/>
      <c r="AS294" s="273"/>
      <c r="AT294" s="273"/>
      <c r="AU294" s="273"/>
      <c r="AV294" s="273"/>
      <c r="AW294" s="273"/>
      <c r="AX294" s="273"/>
      <c r="AY294" s="273"/>
      <c r="AZ294" s="273"/>
      <c r="BA294" s="273"/>
      <c r="BB294" s="273"/>
      <c r="BC294" s="273"/>
      <c r="BD294" s="273"/>
      <c r="BE294" s="273"/>
      <c r="BF294" s="273"/>
      <c r="BG294" s="273"/>
      <c r="BH294" s="273"/>
      <c r="BI294" s="273"/>
      <c r="BJ294" s="273"/>
      <c r="BK294" s="273"/>
      <c r="BL294" s="273"/>
      <c r="BM294" s="273"/>
      <c r="BN294" s="273"/>
      <c r="BO294" s="273"/>
      <c r="BP294" s="273"/>
      <c r="BQ294" s="273"/>
      <c r="BR294" s="273"/>
      <c r="BS294" s="273"/>
      <c r="BT294" s="273"/>
      <c r="BU294" s="273"/>
      <c r="BV294" s="273"/>
      <c r="BW294" s="273"/>
    </row>
    <row r="295">
      <c r="A295" s="259" t="str">
        <f>VLOOKUP($F295,UpdateHashtag!$V$3:$Y$32,COLUMN(B$15),0)</f>
        <v>#N/A</v>
      </c>
      <c r="B295" s="259" t="str">
        <f>VLOOKUP($F295,UpdateHashtag!$V$3:$Y$32,COLUMN(C$13),0)</f>
        <v>#N/A</v>
      </c>
      <c r="C295" s="259" t="str">
        <f>VLOOKUP($F295,UpdateHashtag!$V$3:$Y$32,COLUMN(D$13),0)</f>
        <v>#N/A</v>
      </c>
      <c r="D295" s="329" t="str">
        <f t="shared" si="4"/>
        <v>#N/A</v>
      </c>
      <c r="E295" s="21"/>
      <c r="F295" s="261" t="str">
        <f>VLOOKUP(J295,UpdateBBM!$C$2:E1015,3,0)</f>
        <v>#N/A</v>
      </c>
      <c r="G295" s="31">
        <v>275.0</v>
      </c>
      <c r="H295" s="278"/>
      <c r="I295" s="278"/>
      <c r="J295" s="279"/>
      <c r="K295" s="278"/>
      <c r="L295" s="280"/>
      <c r="M295" s="281"/>
      <c r="N295" s="282"/>
      <c r="O295" s="282"/>
      <c r="P295" s="283"/>
      <c r="Q295" s="283"/>
      <c r="R295" s="283"/>
      <c r="S295" s="284"/>
      <c r="T295" s="283"/>
      <c r="U295" s="283"/>
      <c r="V295" s="280"/>
      <c r="W295" s="280"/>
      <c r="X295" s="280"/>
      <c r="Y295" s="283"/>
      <c r="Z295" s="351"/>
      <c r="AA295" s="351"/>
      <c r="AB295" s="351"/>
      <c r="AC295" s="351"/>
      <c r="AD295" s="351"/>
      <c r="AE295" s="351"/>
      <c r="AF295" s="351"/>
      <c r="AG295" s="351"/>
      <c r="AH295" s="285"/>
      <c r="AI295" s="273"/>
      <c r="AJ295" s="340"/>
      <c r="AK295" s="341"/>
      <c r="AL295" s="273"/>
      <c r="AM295" s="273"/>
      <c r="AN295" s="273"/>
      <c r="AO295" s="273"/>
      <c r="AP295" s="273"/>
      <c r="AQ295" s="273"/>
      <c r="AR295" s="273"/>
      <c r="AS295" s="273"/>
      <c r="AT295" s="273"/>
      <c r="AU295" s="273"/>
      <c r="AV295" s="273"/>
      <c r="AW295" s="273"/>
      <c r="AX295" s="273"/>
      <c r="AY295" s="273"/>
      <c r="AZ295" s="273"/>
      <c r="BA295" s="273"/>
      <c r="BB295" s="273"/>
      <c r="BC295" s="273"/>
      <c r="BD295" s="273"/>
      <c r="BE295" s="273"/>
      <c r="BF295" s="273"/>
      <c r="BG295" s="273"/>
      <c r="BH295" s="273"/>
      <c r="BI295" s="273"/>
      <c r="BJ295" s="273"/>
      <c r="BK295" s="273"/>
      <c r="BL295" s="273"/>
      <c r="BM295" s="273"/>
      <c r="BN295" s="273"/>
      <c r="BO295" s="273"/>
      <c r="BP295" s="273"/>
      <c r="BQ295" s="273"/>
      <c r="BR295" s="273"/>
      <c r="BS295" s="273"/>
      <c r="BT295" s="273"/>
      <c r="BU295" s="273"/>
      <c r="BV295" s="273"/>
      <c r="BW295" s="273"/>
    </row>
    <row r="296">
      <c r="A296" s="259" t="str">
        <f>VLOOKUP($F296,UpdateHashtag!$V$3:$Y$32,COLUMN(B$15),0)</f>
        <v>#N/A</v>
      </c>
      <c r="B296" s="259" t="str">
        <f>VLOOKUP($F296,UpdateHashtag!$V$3:$Y$32,COLUMN(C$13),0)</f>
        <v>#N/A</v>
      </c>
      <c r="C296" s="259" t="str">
        <f>VLOOKUP($F296,UpdateHashtag!$V$3:$Y$32,COLUMN(D$13),0)</f>
        <v>#N/A</v>
      </c>
      <c r="D296" s="329" t="str">
        <f t="shared" si="4"/>
        <v>#N/A</v>
      </c>
      <c r="E296" s="21"/>
      <c r="F296" s="261" t="str">
        <f>VLOOKUP(J296,UpdateBBM!$C$2:E1015,3,0)</f>
        <v>#N/A</v>
      </c>
      <c r="G296" s="31">
        <v>276.0</v>
      </c>
      <c r="H296" s="278"/>
      <c r="I296" s="278"/>
      <c r="J296" s="279"/>
      <c r="K296" s="278"/>
      <c r="L296" s="280"/>
      <c r="M296" s="281"/>
      <c r="N296" s="282"/>
      <c r="O296" s="282"/>
      <c r="P296" s="283"/>
      <c r="Q296" s="283"/>
      <c r="R296" s="283"/>
      <c r="S296" s="284"/>
      <c r="T296" s="283"/>
      <c r="U296" s="283"/>
      <c r="V296" s="280"/>
      <c r="W296" s="280"/>
      <c r="X296" s="280"/>
      <c r="Y296" s="283"/>
      <c r="Z296" s="351"/>
      <c r="AA296" s="351"/>
      <c r="AB296" s="351"/>
      <c r="AC296" s="351"/>
      <c r="AD296" s="351"/>
      <c r="AE296" s="351"/>
      <c r="AF296" s="351"/>
      <c r="AG296" s="351"/>
      <c r="AH296" s="285"/>
      <c r="AI296" s="273"/>
      <c r="AJ296" s="340"/>
      <c r="AK296" s="341"/>
      <c r="AL296" s="273"/>
      <c r="AM296" s="273"/>
      <c r="AN296" s="273"/>
      <c r="AO296" s="273"/>
      <c r="AP296" s="273"/>
      <c r="AQ296" s="273"/>
      <c r="AR296" s="273"/>
      <c r="AS296" s="273"/>
      <c r="AT296" s="273"/>
      <c r="AU296" s="273"/>
      <c r="AV296" s="273"/>
      <c r="AW296" s="273"/>
      <c r="AX296" s="273"/>
      <c r="AY296" s="273"/>
      <c r="AZ296" s="273"/>
      <c r="BA296" s="273"/>
      <c r="BB296" s="273"/>
      <c r="BC296" s="273"/>
      <c r="BD296" s="273"/>
      <c r="BE296" s="273"/>
      <c r="BF296" s="273"/>
      <c r="BG296" s="273"/>
      <c r="BH296" s="273"/>
      <c r="BI296" s="273"/>
      <c r="BJ296" s="273"/>
      <c r="BK296" s="273"/>
      <c r="BL296" s="273"/>
      <c r="BM296" s="273"/>
      <c r="BN296" s="273"/>
      <c r="BO296" s="273"/>
      <c r="BP296" s="273"/>
      <c r="BQ296" s="273"/>
      <c r="BR296" s="273"/>
      <c r="BS296" s="273"/>
      <c r="BT296" s="273"/>
      <c r="BU296" s="273"/>
      <c r="BV296" s="273"/>
      <c r="BW296" s="273"/>
    </row>
    <row r="297">
      <c r="A297" s="259" t="str">
        <f>VLOOKUP($F297,UpdateHashtag!$V$3:$Y$32,COLUMN(B$15),0)</f>
        <v>#N/A</v>
      </c>
      <c r="B297" s="259" t="str">
        <f>VLOOKUP($F297,UpdateHashtag!$V$3:$Y$32,COLUMN(C$13),0)</f>
        <v>#N/A</v>
      </c>
      <c r="C297" s="259" t="str">
        <f>VLOOKUP($F297,UpdateHashtag!$V$3:$Y$32,COLUMN(D$13),0)</f>
        <v>#N/A</v>
      </c>
      <c r="D297" s="329" t="str">
        <f t="shared" si="4"/>
        <v>#N/A</v>
      </c>
      <c r="E297" s="21"/>
      <c r="F297" s="261" t="str">
        <f>VLOOKUP(J297,UpdateBBM!$C$2:E1015,3,0)</f>
        <v>#N/A</v>
      </c>
      <c r="G297" s="31">
        <v>277.0</v>
      </c>
      <c r="H297" s="278"/>
      <c r="I297" s="278"/>
      <c r="J297" s="279"/>
      <c r="K297" s="278"/>
      <c r="L297" s="280"/>
      <c r="M297" s="281"/>
      <c r="N297" s="282"/>
      <c r="O297" s="282"/>
      <c r="P297" s="283"/>
      <c r="Q297" s="283"/>
      <c r="R297" s="283"/>
      <c r="S297" s="284"/>
      <c r="T297" s="283"/>
      <c r="U297" s="283"/>
      <c r="V297" s="280"/>
      <c r="W297" s="280"/>
      <c r="X297" s="280"/>
      <c r="Y297" s="283"/>
      <c r="Z297" s="351"/>
      <c r="AA297" s="351"/>
      <c r="AB297" s="351"/>
      <c r="AC297" s="351"/>
      <c r="AD297" s="351"/>
      <c r="AE297" s="351"/>
      <c r="AF297" s="351"/>
      <c r="AG297" s="351"/>
      <c r="AH297" s="285"/>
      <c r="AI297" s="273"/>
      <c r="AJ297" s="340"/>
      <c r="AK297" s="341"/>
      <c r="AL297" s="273"/>
      <c r="AM297" s="273"/>
      <c r="AN297" s="273"/>
      <c r="AO297" s="273"/>
      <c r="AP297" s="273"/>
      <c r="AQ297" s="273"/>
      <c r="AR297" s="273"/>
      <c r="AS297" s="273"/>
      <c r="AT297" s="273"/>
      <c r="AU297" s="273"/>
      <c r="AV297" s="273"/>
      <c r="AW297" s="273"/>
      <c r="AX297" s="273"/>
      <c r="AY297" s="273"/>
      <c r="AZ297" s="273"/>
      <c r="BA297" s="273"/>
      <c r="BB297" s="273"/>
      <c r="BC297" s="273"/>
      <c r="BD297" s="273"/>
      <c r="BE297" s="273"/>
      <c r="BF297" s="273"/>
      <c r="BG297" s="273"/>
      <c r="BH297" s="273"/>
      <c r="BI297" s="273"/>
      <c r="BJ297" s="273"/>
      <c r="BK297" s="273"/>
      <c r="BL297" s="273"/>
      <c r="BM297" s="273"/>
      <c r="BN297" s="273"/>
      <c r="BO297" s="273"/>
      <c r="BP297" s="273"/>
      <c r="BQ297" s="273"/>
      <c r="BR297" s="273"/>
      <c r="BS297" s="273"/>
      <c r="BT297" s="273"/>
      <c r="BU297" s="273"/>
      <c r="BV297" s="273"/>
      <c r="BW297" s="273"/>
    </row>
    <row r="298">
      <c r="A298" s="259" t="str">
        <f>VLOOKUP($F298,UpdateHashtag!$V$3:$Y$32,COLUMN(B$15),0)</f>
        <v>#N/A</v>
      </c>
      <c r="B298" s="259" t="str">
        <f>VLOOKUP($F298,UpdateHashtag!$V$3:$Y$32,COLUMN(C$13),0)</f>
        <v>#N/A</v>
      </c>
      <c r="C298" s="259" t="str">
        <f>VLOOKUP($F298,UpdateHashtag!$V$3:$Y$32,COLUMN(D$13),0)</f>
        <v>#N/A</v>
      </c>
      <c r="D298" s="329" t="str">
        <f t="shared" si="4"/>
        <v>#N/A</v>
      </c>
      <c r="E298" s="21"/>
      <c r="F298" s="261" t="str">
        <f>VLOOKUP(J298,UpdateBBM!$C$2:E1015,3,0)</f>
        <v>#N/A</v>
      </c>
      <c r="G298" s="31">
        <v>278.0</v>
      </c>
      <c r="H298" s="278"/>
      <c r="I298" s="278"/>
      <c r="J298" s="279"/>
      <c r="K298" s="278"/>
      <c r="L298" s="280"/>
      <c r="M298" s="281"/>
      <c r="N298" s="282"/>
      <c r="O298" s="282"/>
      <c r="P298" s="283"/>
      <c r="Q298" s="283"/>
      <c r="R298" s="283"/>
      <c r="S298" s="284"/>
      <c r="T298" s="283"/>
      <c r="U298" s="283"/>
      <c r="V298" s="280"/>
      <c r="W298" s="280"/>
      <c r="X298" s="280"/>
      <c r="Y298" s="283"/>
      <c r="Z298" s="351"/>
      <c r="AA298" s="351"/>
      <c r="AB298" s="351"/>
      <c r="AC298" s="351"/>
      <c r="AD298" s="351"/>
      <c r="AE298" s="351"/>
      <c r="AF298" s="351"/>
      <c r="AG298" s="351"/>
      <c r="AH298" s="285"/>
      <c r="AI298" s="273"/>
      <c r="AJ298" s="340"/>
      <c r="AK298" s="341"/>
      <c r="AL298" s="273"/>
      <c r="AM298" s="273"/>
      <c r="AN298" s="273"/>
      <c r="AO298" s="273"/>
      <c r="AP298" s="273"/>
      <c r="AQ298" s="273"/>
      <c r="AR298" s="273"/>
      <c r="AS298" s="273"/>
      <c r="AT298" s="273"/>
      <c r="AU298" s="273"/>
      <c r="AV298" s="273"/>
      <c r="AW298" s="273"/>
      <c r="AX298" s="273"/>
      <c r="AY298" s="273"/>
      <c r="AZ298" s="273"/>
      <c r="BA298" s="273"/>
      <c r="BB298" s="273"/>
      <c r="BC298" s="273"/>
      <c r="BD298" s="273"/>
      <c r="BE298" s="273"/>
      <c r="BF298" s="273"/>
      <c r="BG298" s="273"/>
      <c r="BH298" s="273"/>
      <c r="BI298" s="273"/>
      <c r="BJ298" s="273"/>
      <c r="BK298" s="273"/>
      <c r="BL298" s="273"/>
      <c r="BM298" s="273"/>
      <c r="BN298" s="273"/>
      <c r="BO298" s="273"/>
      <c r="BP298" s="273"/>
      <c r="BQ298" s="273"/>
      <c r="BR298" s="273"/>
      <c r="BS298" s="273"/>
      <c r="BT298" s="273"/>
      <c r="BU298" s="273"/>
      <c r="BV298" s="273"/>
      <c r="BW298" s="273"/>
    </row>
    <row r="299">
      <c r="A299" s="259" t="str">
        <f>VLOOKUP($F299,UpdateHashtag!$V$3:$Y$32,COLUMN(B$15),0)</f>
        <v>#N/A</v>
      </c>
      <c r="B299" s="259" t="str">
        <f>VLOOKUP($F299,UpdateHashtag!$V$3:$Y$32,COLUMN(C$13),0)</f>
        <v>#N/A</v>
      </c>
      <c r="C299" s="259" t="str">
        <f>VLOOKUP($F299,UpdateHashtag!$V$3:$Y$32,COLUMN(D$13),0)</f>
        <v>#N/A</v>
      </c>
      <c r="D299" s="329" t="str">
        <f t="shared" si="4"/>
        <v>#N/A</v>
      </c>
      <c r="E299" s="21"/>
      <c r="F299" s="261" t="str">
        <f>VLOOKUP(J299,UpdateBBM!$C$2:E1015,3,0)</f>
        <v>#N/A</v>
      </c>
      <c r="G299" s="31">
        <v>279.0</v>
      </c>
      <c r="H299" s="278"/>
      <c r="I299" s="278"/>
      <c r="J299" s="279"/>
      <c r="K299" s="278"/>
      <c r="L299" s="280"/>
      <c r="M299" s="281"/>
      <c r="N299" s="282"/>
      <c r="O299" s="282"/>
      <c r="P299" s="283"/>
      <c r="Q299" s="283"/>
      <c r="R299" s="283"/>
      <c r="S299" s="284"/>
      <c r="T299" s="283"/>
      <c r="U299" s="283"/>
      <c r="V299" s="280"/>
      <c r="W299" s="280"/>
      <c r="X299" s="280"/>
      <c r="Y299" s="283"/>
      <c r="Z299" s="351"/>
      <c r="AA299" s="351"/>
      <c r="AB299" s="351"/>
      <c r="AC299" s="351"/>
      <c r="AD299" s="351"/>
      <c r="AE299" s="351"/>
      <c r="AF299" s="351"/>
      <c r="AG299" s="351"/>
      <c r="AH299" s="285"/>
      <c r="AI299" s="273"/>
      <c r="AJ299" s="340"/>
      <c r="AK299" s="341"/>
      <c r="AL299" s="273"/>
      <c r="AM299" s="273"/>
      <c r="AN299" s="273"/>
      <c r="AO299" s="273"/>
      <c r="AP299" s="273"/>
      <c r="AQ299" s="273"/>
      <c r="AR299" s="273"/>
      <c r="AS299" s="273"/>
      <c r="AT299" s="273"/>
      <c r="AU299" s="273"/>
      <c r="AV299" s="273"/>
      <c r="AW299" s="273"/>
      <c r="AX299" s="273"/>
      <c r="AY299" s="273"/>
      <c r="AZ299" s="273"/>
      <c r="BA299" s="273"/>
      <c r="BB299" s="273"/>
      <c r="BC299" s="273"/>
      <c r="BD299" s="273"/>
      <c r="BE299" s="273"/>
      <c r="BF299" s="273"/>
      <c r="BG299" s="273"/>
      <c r="BH299" s="273"/>
      <c r="BI299" s="273"/>
      <c r="BJ299" s="273"/>
      <c r="BK299" s="273"/>
      <c r="BL299" s="273"/>
      <c r="BM299" s="273"/>
      <c r="BN299" s="273"/>
      <c r="BO299" s="273"/>
      <c r="BP299" s="273"/>
      <c r="BQ299" s="273"/>
      <c r="BR299" s="273"/>
      <c r="BS299" s="273"/>
      <c r="BT299" s="273"/>
      <c r="BU299" s="273"/>
      <c r="BV299" s="273"/>
      <c r="BW299" s="273"/>
    </row>
    <row r="300">
      <c r="A300" s="259" t="str">
        <f>VLOOKUP($F300,UpdateHashtag!$V$3:$Y$32,COLUMN(B$15),0)</f>
        <v>#N/A</v>
      </c>
      <c r="B300" s="259" t="str">
        <f>VLOOKUP($F300,UpdateHashtag!$V$3:$Y$32,COLUMN(C$13),0)</f>
        <v>#N/A</v>
      </c>
      <c r="C300" s="259" t="str">
        <f>VLOOKUP($F300,UpdateHashtag!$V$3:$Y$32,COLUMN(D$13),0)</f>
        <v>#N/A</v>
      </c>
      <c r="D300" s="329" t="str">
        <f t="shared" si="4"/>
        <v>#N/A</v>
      </c>
      <c r="E300" s="21"/>
      <c r="F300" s="261" t="str">
        <f>VLOOKUP(J300,UpdateBBM!$C$2:E1015,3,0)</f>
        <v>#N/A</v>
      </c>
      <c r="G300" s="31">
        <v>280.0</v>
      </c>
      <c r="H300" s="278"/>
      <c r="I300" s="278"/>
      <c r="J300" s="279"/>
      <c r="K300" s="278"/>
      <c r="L300" s="280"/>
      <c r="M300" s="281"/>
      <c r="N300" s="282"/>
      <c r="O300" s="282"/>
      <c r="P300" s="283"/>
      <c r="Q300" s="283"/>
      <c r="R300" s="283"/>
      <c r="S300" s="284"/>
      <c r="T300" s="283"/>
      <c r="U300" s="283"/>
      <c r="V300" s="280"/>
      <c r="W300" s="280"/>
      <c r="X300" s="280"/>
      <c r="Y300" s="283"/>
      <c r="Z300" s="351"/>
      <c r="AA300" s="351"/>
      <c r="AB300" s="351"/>
      <c r="AC300" s="351"/>
      <c r="AD300" s="351"/>
      <c r="AE300" s="351"/>
      <c r="AF300" s="351"/>
      <c r="AG300" s="351"/>
      <c r="AH300" s="285"/>
      <c r="AI300" s="273"/>
      <c r="AJ300" s="340"/>
      <c r="AK300" s="341"/>
      <c r="AL300" s="273"/>
      <c r="AM300" s="273"/>
      <c r="AN300" s="273"/>
      <c r="AO300" s="273"/>
      <c r="AP300" s="273"/>
      <c r="AQ300" s="273"/>
      <c r="AR300" s="273"/>
      <c r="AS300" s="273"/>
      <c r="AT300" s="273"/>
      <c r="AU300" s="273"/>
      <c r="AV300" s="273"/>
      <c r="AW300" s="273"/>
      <c r="AX300" s="273"/>
      <c r="AY300" s="273"/>
      <c r="AZ300" s="273"/>
      <c r="BA300" s="273"/>
      <c r="BB300" s="273"/>
      <c r="BC300" s="273"/>
      <c r="BD300" s="273"/>
      <c r="BE300" s="273"/>
      <c r="BF300" s="273"/>
      <c r="BG300" s="273"/>
      <c r="BH300" s="273"/>
      <c r="BI300" s="273"/>
      <c r="BJ300" s="273"/>
      <c r="BK300" s="273"/>
      <c r="BL300" s="273"/>
      <c r="BM300" s="273"/>
      <c r="BN300" s="273"/>
      <c r="BO300" s="273"/>
      <c r="BP300" s="273"/>
      <c r="BQ300" s="273"/>
      <c r="BR300" s="273"/>
      <c r="BS300" s="273"/>
      <c r="BT300" s="273"/>
      <c r="BU300" s="273"/>
      <c r="BV300" s="273"/>
      <c r="BW300" s="273"/>
    </row>
    <row r="301">
      <c r="A301" s="259" t="str">
        <f>VLOOKUP($F301,UpdateHashtag!$V$3:$Y$32,COLUMN(B$15),0)</f>
        <v>#N/A</v>
      </c>
      <c r="B301" s="259" t="str">
        <f>VLOOKUP($F301,UpdateHashtag!$V$3:$Y$32,COLUMN(C$13),0)</f>
        <v>#N/A</v>
      </c>
      <c r="C301" s="259" t="str">
        <f>VLOOKUP($F301,UpdateHashtag!$V$3:$Y$32,COLUMN(D$13),0)</f>
        <v>#N/A</v>
      </c>
      <c r="D301" s="329" t="str">
        <f t="shared" si="4"/>
        <v>#N/A</v>
      </c>
      <c r="E301" s="21"/>
      <c r="F301" s="261" t="str">
        <f>VLOOKUP(J301,UpdateBBM!$C$2:E1015,3,0)</f>
        <v>#N/A</v>
      </c>
      <c r="G301" s="31">
        <v>281.0</v>
      </c>
      <c r="H301" s="278"/>
      <c r="I301" s="278"/>
      <c r="J301" s="279"/>
      <c r="K301" s="278"/>
      <c r="L301" s="280"/>
      <c r="M301" s="281"/>
      <c r="N301" s="282"/>
      <c r="O301" s="282"/>
      <c r="P301" s="283"/>
      <c r="Q301" s="283"/>
      <c r="R301" s="283"/>
      <c r="S301" s="284"/>
      <c r="T301" s="283"/>
      <c r="U301" s="283"/>
      <c r="V301" s="280"/>
      <c r="W301" s="280"/>
      <c r="X301" s="280"/>
      <c r="Y301" s="283"/>
      <c r="Z301" s="351"/>
      <c r="AA301" s="351"/>
      <c r="AB301" s="351"/>
      <c r="AC301" s="351"/>
      <c r="AD301" s="351"/>
      <c r="AE301" s="351"/>
      <c r="AF301" s="351"/>
      <c r="AG301" s="351"/>
      <c r="AH301" s="285"/>
      <c r="AI301" s="273"/>
      <c r="AJ301" s="340"/>
      <c r="AK301" s="341"/>
      <c r="AL301" s="273"/>
      <c r="AM301" s="273"/>
      <c r="AN301" s="273"/>
      <c r="AO301" s="273"/>
      <c r="AP301" s="273"/>
      <c r="AQ301" s="273"/>
      <c r="AR301" s="273"/>
      <c r="AS301" s="273"/>
      <c r="AT301" s="273"/>
      <c r="AU301" s="273"/>
      <c r="AV301" s="273"/>
      <c r="AW301" s="273"/>
      <c r="AX301" s="273"/>
      <c r="AY301" s="273"/>
      <c r="AZ301" s="273"/>
      <c r="BA301" s="273"/>
      <c r="BB301" s="273"/>
      <c r="BC301" s="273"/>
      <c r="BD301" s="273"/>
      <c r="BE301" s="273"/>
      <c r="BF301" s="273"/>
      <c r="BG301" s="273"/>
      <c r="BH301" s="273"/>
      <c r="BI301" s="273"/>
      <c r="BJ301" s="273"/>
      <c r="BK301" s="273"/>
      <c r="BL301" s="273"/>
      <c r="BM301" s="273"/>
      <c r="BN301" s="273"/>
      <c r="BO301" s="273"/>
      <c r="BP301" s="273"/>
      <c r="BQ301" s="273"/>
      <c r="BR301" s="273"/>
      <c r="BS301" s="273"/>
      <c r="BT301" s="273"/>
      <c r="BU301" s="273"/>
      <c r="BV301" s="273"/>
      <c r="BW301" s="273"/>
    </row>
    <row r="302">
      <c r="A302" s="259" t="str">
        <f>VLOOKUP($F302,UpdateHashtag!$V$3:$Y$32,COLUMN(B$15),0)</f>
        <v>#N/A</v>
      </c>
      <c r="B302" s="259" t="str">
        <f>VLOOKUP($F302,UpdateHashtag!$V$3:$Y$32,COLUMN(C$13),0)</f>
        <v>#N/A</v>
      </c>
      <c r="C302" s="259" t="str">
        <f>VLOOKUP($F302,UpdateHashtag!$V$3:$Y$32,COLUMN(D$13),0)</f>
        <v>#N/A</v>
      </c>
      <c r="D302" s="329" t="str">
        <f t="shared" si="4"/>
        <v>#N/A</v>
      </c>
      <c r="E302" s="21"/>
      <c r="F302" s="261" t="str">
        <f>VLOOKUP(J302,UpdateBBM!$C$2:E1015,3,0)</f>
        <v>#N/A</v>
      </c>
      <c r="G302" s="31">
        <v>282.0</v>
      </c>
      <c r="H302" s="278"/>
      <c r="I302" s="278"/>
      <c r="J302" s="279"/>
      <c r="K302" s="278"/>
      <c r="L302" s="280"/>
      <c r="M302" s="281"/>
      <c r="N302" s="282"/>
      <c r="O302" s="282"/>
      <c r="P302" s="283"/>
      <c r="Q302" s="283"/>
      <c r="R302" s="283"/>
      <c r="S302" s="284"/>
      <c r="T302" s="283"/>
      <c r="U302" s="283"/>
      <c r="V302" s="280"/>
      <c r="W302" s="280"/>
      <c r="X302" s="280"/>
      <c r="Y302" s="283"/>
      <c r="Z302" s="351"/>
      <c r="AA302" s="351"/>
      <c r="AB302" s="351"/>
      <c r="AC302" s="351"/>
      <c r="AD302" s="351"/>
      <c r="AE302" s="351"/>
      <c r="AF302" s="351"/>
      <c r="AG302" s="351"/>
      <c r="AH302" s="285"/>
      <c r="AI302" s="273"/>
      <c r="AJ302" s="340"/>
      <c r="AK302" s="341"/>
      <c r="AL302" s="273"/>
      <c r="AM302" s="273"/>
      <c r="AN302" s="273"/>
      <c r="AO302" s="273"/>
      <c r="AP302" s="273"/>
      <c r="AQ302" s="273"/>
      <c r="AR302" s="273"/>
      <c r="AS302" s="273"/>
      <c r="AT302" s="273"/>
      <c r="AU302" s="273"/>
      <c r="AV302" s="273"/>
      <c r="AW302" s="273"/>
      <c r="AX302" s="273"/>
      <c r="AY302" s="273"/>
      <c r="AZ302" s="273"/>
      <c r="BA302" s="273"/>
      <c r="BB302" s="273"/>
      <c r="BC302" s="273"/>
      <c r="BD302" s="273"/>
      <c r="BE302" s="273"/>
      <c r="BF302" s="273"/>
      <c r="BG302" s="273"/>
      <c r="BH302" s="273"/>
      <c r="BI302" s="273"/>
      <c r="BJ302" s="273"/>
      <c r="BK302" s="273"/>
      <c r="BL302" s="273"/>
      <c r="BM302" s="273"/>
      <c r="BN302" s="273"/>
      <c r="BO302" s="273"/>
      <c r="BP302" s="273"/>
      <c r="BQ302" s="273"/>
      <c r="BR302" s="273"/>
      <c r="BS302" s="273"/>
      <c r="BT302" s="273"/>
      <c r="BU302" s="273"/>
      <c r="BV302" s="273"/>
      <c r="BW302" s="273"/>
    </row>
    <row r="303">
      <c r="A303" s="259" t="str">
        <f>VLOOKUP($F303,UpdateHashtag!$V$3:$Y$32,COLUMN(B$15),0)</f>
        <v>#N/A</v>
      </c>
      <c r="B303" s="259" t="str">
        <f>VLOOKUP($F303,UpdateHashtag!$V$3:$Y$32,COLUMN(C$13),0)</f>
        <v>#N/A</v>
      </c>
      <c r="C303" s="259" t="str">
        <f>VLOOKUP($F303,UpdateHashtag!$V$3:$Y$32,COLUMN(D$13),0)</f>
        <v>#N/A</v>
      </c>
      <c r="D303" s="329" t="str">
        <f t="shared" si="4"/>
        <v>#N/A</v>
      </c>
      <c r="E303" s="21"/>
      <c r="F303" s="261" t="str">
        <f>VLOOKUP(J303,UpdateBBM!$C$2:E1015,3,0)</f>
        <v>#N/A</v>
      </c>
      <c r="G303" s="31">
        <v>283.0</v>
      </c>
      <c r="H303" s="278"/>
      <c r="I303" s="278"/>
      <c r="J303" s="279"/>
      <c r="K303" s="278"/>
      <c r="L303" s="280"/>
      <c r="M303" s="281"/>
      <c r="N303" s="282"/>
      <c r="O303" s="282"/>
      <c r="P303" s="283"/>
      <c r="Q303" s="283"/>
      <c r="R303" s="283"/>
      <c r="S303" s="284"/>
      <c r="T303" s="283"/>
      <c r="U303" s="283"/>
      <c r="V303" s="280"/>
      <c r="W303" s="280"/>
      <c r="X303" s="280"/>
      <c r="Y303" s="283"/>
      <c r="Z303" s="351"/>
      <c r="AA303" s="351"/>
      <c r="AB303" s="351"/>
      <c r="AC303" s="351"/>
      <c r="AD303" s="351"/>
      <c r="AE303" s="351"/>
      <c r="AF303" s="351"/>
      <c r="AG303" s="351"/>
      <c r="AH303" s="285"/>
      <c r="AI303" s="273"/>
      <c r="AJ303" s="340"/>
      <c r="AK303" s="341"/>
      <c r="AL303" s="273"/>
      <c r="AM303" s="273"/>
      <c r="AN303" s="273"/>
      <c r="AO303" s="273"/>
      <c r="AP303" s="273"/>
      <c r="AQ303" s="273"/>
      <c r="AR303" s="273"/>
      <c r="AS303" s="273"/>
      <c r="AT303" s="273"/>
      <c r="AU303" s="273"/>
      <c r="AV303" s="273"/>
      <c r="AW303" s="273"/>
      <c r="AX303" s="273"/>
      <c r="AY303" s="273"/>
      <c r="AZ303" s="273"/>
      <c r="BA303" s="273"/>
      <c r="BB303" s="273"/>
      <c r="BC303" s="273"/>
      <c r="BD303" s="273"/>
      <c r="BE303" s="273"/>
      <c r="BF303" s="273"/>
      <c r="BG303" s="273"/>
      <c r="BH303" s="273"/>
      <c r="BI303" s="273"/>
      <c r="BJ303" s="273"/>
      <c r="BK303" s="273"/>
      <c r="BL303" s="273"/>
      <c r="BM303" s="273"/>
      <c r="BN303" s="273"/>
      <c r="BO303" s="273"/>
      <c r="BP303" s="273"/>
      <c r="BQ303" s="273"/>
      <c r="BR303" s="273"/>
      <c r="BS303" s="273"/>
      <c r="BT303" s="273"/>
      <c r="BU303" s="273"/>
      <c r="BV303" s="273"/>
      <c r="BW303" s="273"/>
    </row>
    <row r="304">
      <c r="A304" s="259" t="str">
        <f>VLOOKUP($F304,UpdateHashtag!$V$3:$Y$32,COLUMN(B$15),0)</f>
        <v>#N/A</v>
      </c>
      <c r="B304" s="259" t="str">
        <f>VLOOKUP($F304,UpdateHashtag!$V$3:$Y$32,COLUMN(C$13),0)</f>
        <v>#N/A</v>
      </c>
      <c r="C304" s="259" t="str">
        <f>VLOOKUP($F304,UpdateHashtag!$V$3:$Y$32,COLUMN(D$13),0)</f>
        <v>#N/A</v>
      </c>
      <c r="D304" s="329" t="str">
        <f t="shared" si="4"/>
        <v>#N/A</v>
      </c>
      <c r="E304" s="21"/>
      <c r="F304" s="261" t="str">
        <f>VLOOKUP(J304,UpdateBBM!$C$2:E1015,3,0)</f>
        <v>#N/A</v>
      </c>
      <c r="G304" s="31">
        <v>284.0</v>
      </c>
      <c r="H304" s="278"/>
      <c r="I304" s="278"/>
      <c r="J304" s="279"/>
      <c r="K304" s="278"/>
      <c r="L304" s="280"/>
      <c r="M304" s="281"/>
      <c r="N304" s="282"/>
      <c r="O304" s="282"/>
      <c r="P304" s="283"/>
      <c r="Q304" s="283"/>
      <c r="R304" s="283"/>
      <c r="S304" s="284"/>
      <c r="T304" s="283"/>
      <c r="U304" s="283"/>
      <c r="V304" s="280"/>
      <c r="W304" s="280"/>
      <c r="X304" s="280"/>
      <c r="Y304" s="283"/>
      <c r="Z304" s="351"/>
      <c r="AA304" s="351"/>
      <c r="AB304" s="351"/>
      <c r="AC304" s="351"/>
      <c r="AD304" s="351"/>
      <c r="AE304" s="351"/>
      <c r="AF304" s="351"/>
      <c r="AG304" s="351"/>
      <c r="AH304" s="285"/>
      <c r="AI304" s="273"/>
      <c r="AJ304" s="340"/>
      <c r="AK304" s="341"/>
      <c r="AL304" s="273"/>
      <c r="AM304" s="273"/>
      <c r="AN304" s="273"/>
      <c r="AO304" s="273"/>
      <c r="AP304" s="273"/>
      <c r="AQ304" s="273"/>
      <c r="AR304" s="273"/>
      <c r="AS304" s="273"/>
      <c r="AT304" s="273"/>
      <c r="AU304" s="273"/>
      <c r="AV304" s="273"/>
      <c r="AW304" s="273"/>
      <c r="AX304" s="273"/>
      <c r="AY304" s="273"/>
      <c r="AZ304" s="273"/>
      <c r="BA304" s="273"/>
      <c r="BB304" s="273"/>
      <c r="BC304" s="273"/>
      <c r="BD304" s="273"/>
      <c r="BE304" s="273"/>
      <c r="BF304" s="273"/>
      <c r="BG304" s="273"/>
      <c r="BH304" s="273"/>
      <c r="BI304" s="273"/>
      <c r="BJ304" s="273"/>
      <c r="BK304" s="273"/>
      <c r="BL304" s="273"/>
      <c r="BM304" s="273"/>
      <c r="BN304" s="273"/>
      <c r="BO304" s="273"/>
      <c r="BP304" s="273"/>
      <c r="BQ304" s="273"/>
      <c r="BR304" s="273"/>
      <c r="BS304" s="273"/>
      <c r="BT304" s="273"/>
      <c r="BU304" s="273"/>
      <c r="BV304" s="273"/>
      <c r="BW304" s="273"/>
    </row>
    <row r="305">
      <c r="A305" s="259" t="str">
        <f>VLOOKUP($F305,UpdateHashtag!$V$3:$Y$32,COLUMN(B$15),0)</f>
        <v>#N/A</v>
      </c>
      <c r="B305" s="259" t="str">
        <f>VLOOKUP($F305,UpdateHashtag!$V$3:$Y$32,COLUMN(C$13),0)</f>
        <v>#N/A</v>
      </c>
      <c r="C305" s="259" t="str">
        <f>VLOOKUP($F305,UpdateHashtag!$V$3:$Y$32,COLUMN(D$13),0)</f>
        <v>#N/A</v>
      </c>
      <c r="D305" s="329" t="str">
        <f t="shared" si="4"/>
        <v>#N/A</v>
      </c>
      <c r="E305" s="21"/>
      <c r="F305" s="261" t="str">
        <f>VLOOKUP(J305,UpdateBBM!$C$2:E1015,3,0)</f>
        <v>#N/A</v>
      </c>
      <c r="G305" s="31">
        <v>285.0</v>
      </c>
      <c r="H305" s="278"/>
      <c r="I305" s="278"/>
      <c r="J305" s="279"/>
      <c r="K305" s="278"/>
      <c r="L305" s="280"/>
      <c r="M305" s="281"/>
      <c r="N305" s="282"/>
      <c r="O305" s="282"/>
      <c r="P305" s="283"/>
      <c r="Q305" s="283"/>
      <c r="R305" s="283"/>
      <c r="S305" s="284"/>
      <c r="T305" s="283"/>
      <c r="U305" s="283"/>
      <c r="V305" s="280"/>
      <c r="W305" s="280"/>
      <c r="X305" s="280"/>
      <c r="Y305" s="283"/>
      <c r="Z305" s="351"/>
      <c r="AA305" s="351"/>
      <c r="AB305" s="351"/>
      <c r="AC305" s="351"/>
      <c r="AD305" s="351"/>
      <c r="AE305" s="351"/>
      <c r="AF305" s="351"/>
      <c r="AG305" s="351"/>
      <c r="AH305" s="285"/>
      <c r="AI305" s="273"/>
      <c r="AJ305" s="340"/>
      <c r="AK305" s="341"/>
      <c r="AL305" s="273"/>
      <c r="AM305" s="273"/>
      <c r="AN305" s="273"/>
      <c r="AO305" s="273"/>
      <c r="AP305" s="273"/>
      <c r="AQ305" s="273"/>
      <c r="AR305" s="273"/>
      <c r="AS305" s="273"/>
      <c r="AT305" s="273"/>
      <c r="AU305" s="273"/>
      <c r="AV305" s="273"/>
      <c r="AW305" s="273"/>
      <c r="AX305" s="273"/>
      <c r="AY305" s="273"/>
      <c r="AZ305" s="273"/>
      <c r="BA305" s="273"/>
      <c r="BB305" s="273"/>
      <c r="BC305" s="273"/>
      <c r="BD305" s="273"/>
      <c r="BE305" s="273"/>
      <c r="BF305" s="273"/>
      <c r="BG305" s="273"/>
      <c r="BH305" s="273"/>
      <c r="BI305" s="273"/>
      <c r="BJ305" s="273"/>
      <c r="BK305" s="273"/>
      <c r="BL305" s="273"/>
      <c r="BM305" s="273"/>
      <c r="BN305" s="273"/>
      <c r="BO305" s="273"/>
      <c r="BP305" s="273"/>
      <c r="BQ305" s="273"/>
      <c r="BR305" s="273"/>
      <c r="BS305" s="273"/>
      <c r="BT305" s="273"/>
      <c r="BU305" s="273"/>
      <c r="BV305" s="273"/>
      <c r="BW305" s="273"/>
    </row>
    <row r="306">
      <c r="A306" s="259" t="str">
        <f>VLOOKUP($F306,UpdateHashtag!$V$3:$Y$32,COLUMN(B$15),0)</f>
        <v>#N/A</v>
      </c>
      <c r="B306" s="259" t="str">
        <f>VLOOKUP($F306,UpdateHashtag!$V$3:$Y$32,COLUMN(C$13),0)</f>
        <v>#N/A</v>
      </c>
      <c r="C306" s="259" t="str">
        <f>VLOOKUP($F306,UpdateHashtag!$V$3:$Y$32,COLUMN(D$13),0)</f>
        <v>#N/A</v>
      </c>
      <c r="D306" s="329" t="str">
        <f t="shared" si="4"/>
        <v>#N/A</v>
      </c>
      <c r="E306" s="21"/>
      <c r="F306" s="261" t="str">
        <f>VLOOKUP(J306,UpdateBBM!$C$2:E1015,3,0)</f>
        <v>#N/A</v>
      </c>
      <c r="G306" s="31">
        <v>286.0</v>
      </c>
      <c r="H306" s="278"/>
      <c r="I306" s="278"/>
      <c r="J306" s="279"/>
      <c r="K306" s="278"/>
      <c r="L306" s="280"/>
      <c r="M306" s="281"/>
      <c r="N306" s="282"/>
      <c r="O306" s="282"/>
      <c r="P306" s="283"/>
      <c r="Q306" s="283"/>
      <c r="R306" s="283"/>
      <c r="S306" s="284"/>
      <c r="T306" s="283"/>
      <c r="U306" s="283"/>
      <c r="V306" s="280"/>
      <c r="W306" s="280"/>
      <c r="X306" s="280"/>
      <c r="Y306" s="283"/>
      <c r="Z306" s="351"/>
      <c r="AA306" s="351"/>
      <c r="AB306" s="351"/>
      <c r="AC306" s="351"/>
      <c r="AD306" s="351"/>
      <c r="AE306" s="351"/>
      <c r="AF306" s="351"/>
      <c r="AG306" s="351"/>
      <c r="AH306" s="285"/>
      <c r="AI306" s="273"/>
      <c r="AJ306" s="340"/>
      <c r="AK306" s="341"/>
      <c r="AL306" s="273"/>
      <c r="AM306" s="273"/>
      <c r="AN306" s="273"/>
      <c r="AO306" s="273"/>
      <c r="AP306" s="273"/>
      <c r="AQ306" s="273"/>
      <c r="AR306" s="273"/>
      <c r="AS306" s="273"/>
      <c r="AT306" s="273"/>
      <c r="AU306" s="273"/>
      <c r="AV306" s="273"/>
      <c r="AW306" s="273"/>
      <c r="AX306" s="273"/>
      <c r="AY306" s="273"/>
      <c r="AZ306" s="273"/>
      <c r="BA306" s="273"/>
      <c r="BB306" s="273"/>
      <c r="BC306" s="273"/>
      <c r="BD306" s="273"/>
      <c r="BE306" s="273"/>
      <c r="BF306" s="273"/>
      <c r="BG306" s="273"/>
      <c r="BH306" s="273"/>
      <c r="BI306" s="273"/>
      <c r="BJ306" s="273"/>
      <c r="BK306" s="273"/>
      <c r="BL306" s="273"/>
      <c r="BM306" s="273"/>
      <c r="BN306" s="273"/>
      <c r="BO306" s="273"/>
      <c r="BP306" s="273"/>
      <c r="BQ306" s="273"/>
      <c r="BR306" s="273"/>
      <c r="BS306" s="273"/>
      <c r="BT306" s="273"/>
      <c r="BU306" s="273"/>
      <c r="BV306" s="273"/>
      <c r="BW306" s="273"/>
    </row>
    <row r="307">
      <c r="A307" s="259" t="str">
        <f>VLOOKUP($F307,UpdateHashtag!$V$3:$Y$32,COLUMN(B$15),0)</f>
        <v>#N/A</v>
      </c>
      <c r="B307" s="259" t="str">
        <f>VLOOKUP($F307,UpdateHashtag!$V$3:$Y$32,COLUMN(C$13),0)</f>
        <v>#N/A</v>
      </c>
      <c r="C307" s="259" t="str">
        <f>VLOOKUP($F307,UpdateHashtag!$V$3:$Y$32,COLUMN(D$13),0)</f>
        <v>#N/A</v>
      </c>
      <c r="D307" s="329" t="str">
        <f t="shared" si="4"/>
        <v>#N/A</v>
      </c>
      <c r="E307" s="21"/>
      <c r="F307" s="261" t="str">
        <f>VLOOKUP(J307,UpdateBBM!$C$2:E1015,3,0)</f>
        <v>#N/A</v>
      </c>
      <c r="G307" s="31">
        <v>287.0</v>
      </c>
      <c r="H307" s="278"/>
      <c r="I307" s="278"/>
      <c r="J307" s="279"/>
      <c r="K307" s="278"/>
      <c r="L307" s="280"/>
      <c r="M307" s="281"/>
      <c r="N307" s="282"/>
      <c r="O307" s="282"/>
      <c r="P307" s="283"/>
      <c r="Q307" s="283"/>
      <c r="R307" s="283"/>
      <c r="S307" s="284"/>
      <c r="T307" s="283"/>
      <c r="U307" s="283"/>
      <c r="V307" s="280"/>
      <c r="W307" s="280"/>
      <c r="X307" s="280"/>
      <c r="Y307" s="283"/>
      <c r="Z307" s="351"/>
      <c r="AA307" s="351"/>
      <c r="AB307" s="351"/>
      <c r="AC307" s="351"/>
      <c r="AD307" s="351"/>
      <c r="AE307" s="351"/>
      <c r="AF307" s="351"/>
      <c r="AG307" s="351"/>
      <c r="AH307" s="285"/>
      <c r="AI307" s="273"/>
      <c r="AJ307" s="340"/>
      <c r="AK307" s="341"/>
      <c r="AL307" s="273"/>
      <c r="AM307" s="273"/>
      <c r="AN307" s="273"/>
      <c r="AO307" s="273"/>
      <c r="AP307" s="273"/>
      <c r="AQ307" s="273"/>
      <c r="AR307" s="273"/>
      <c r="AS307" s="273"/>
      <c r="AT307" s="273"/>
      <c r="AU307" s="273"/>
      <c r="AV307" s="273"/>
      <c r="AW307" s="273"/>
      <c r="AX307" s="273"/>
      <c r="AY307" s="273"/>
      <c r="AZ307" s="273"/>
      <c r="BA307" s="273"/>
      <c r="BB307" s="273"/>
      <c r="BC307" s="273"/>
      <c r="BD307" s="273"/>
      <c r="BE307" s="273"/>
      <c r="BF307" s="273"/>
      <c r="BG307" s="273"/>
      <c r="BH307" s="273"/>
      <c r="BI307" s="273"/>
      <c r="BJ307" s="273"/>
      <c r="BK307" s="273"/>
      <c r="BL307" s="273"/>
      <c r="BM307" s="273"/>
      <c r="BN307" s="273"/>
      <c r="BO307" s="273"/>
      <c r="BP307" s="273"/>
      <c r="BQ307" s="273"/>
      <c r="BR307" s="273"/>
      <c r="BS307" s="273"/>
      <c r="BT307" s="273"/>
      <c r="BU307" s="273"/>
      <c r="BV307" s="273"/>
      <c r="BW307" s="273"/>
    </row>
    <row r="308">
      <c r="A308" s="259" t="str">
        <f>VLOOKUP($F308,UpdateHashtag!$V$3:$Y$32,COLUMN(B$15),0)</f>
        <v>#N/A</v>
      </c>
      <c r="B308" s="259" t="str">
        <f>VLOOKUP($F308,UpdateHashtag!$V$3:$Y$32,COLUMN(C$13),0)</f>
        <v>#N/A</v>
      </c>
      <c r="C308" s="259" t="str">
        <f>VLOOKUP($F308,UpdateHashtag!$V$3:$Y$32,COLUMN(D$13),0)</f>
        <v>#N/A</v>
      </c>
      <c r="D308" s="329" t="str">
        <f t="shared" si="4"/>
        <v>#N/A</v>
      </c>
      <c r="E308" s="21"/>
      <c r="F308" s="261" t="str">
        <f>VLOOKUP(J308,UpdateBBM!$C$2:E1015,3,0)</f>
        <v>#N/A</v>
      </c>
      <c r="G308" s="31">
        <v>288.0</v>
      </c>
      <c r="H308" s="278"/>
      <c r="I308" s="278"/>
      <c r="J308" s="279"/>
      <c r="K308" s="278"/>
      <c r="L308" s="280"/>
      <c r="M308" s="281"/>
      <c r="N308" s="282"/>
      <c r="O308" s="282"/>
      <c r="P308" s="283"/>
      <c r="Q308" s="283"/>
      <c r="R308" s="283"/>
      <c r="S308" s="284"/>
      <c r="T308" s="283"/>
      <c r="U308" s="283"/>
      <c r="V308" s="280"/>
      <c r="W308" s="280"/>
      <c r="X308" s="280"/>
      <c r="Y308" s="283"/>
      <c r="Z308" s="351"/>
      <c r="AA308" s="351"/>
      <c r="AB308" s="351"/>
      <c r="AC308" s="351"/>
      <c r="AD308" s="351"/>
      <c r="AE308" s="351"/>
      <c r="AF308" s="351"/>
      <c r="AG308" s="351"/>
      <c r="AH308" s="285"/>
      <c r="AI308" s="273"/>
      <c r="AJ308" s="340"/>
      <c r="AK308" s="341"/>
      <c r="AL308" s="273"/>
      <c r="AM308" s="273"/>
      <c r="AN308" s="273"/>
      <c r="AO308" s="273"/>
      <c r="AP308" s="273"/>
      <c r="AQ308" s="273"/>
      <c r="AR308" s="273"/>
      <c r="AS308" s="273"/>
      <c r="AT308" s="273"/>
      <c r="AU308" s="273"/>
      <c r="AV308" s="273"/>
      <c r="AW308" s="273"/>
      <c r="AX308" s="273"/>
      <c r="AY308" s="273"/>
      <c r="AZ308" s="273"/>
      <c r="BA308" s="273"/>
      <c r="BB308" s="273"/>
      <c r="BC308" s="273"/>
      <c r="BD308" s="273"/>
      <c r="BE308" s="273"/>
      <c r="BF308" s="273"/>
      <c r="BG308" s="273"/>
      <c r="BH308" s="273"/>
      <c r="BI308" s="273"/>
      <c r="BJ308" s="273"/>
      <c r="BK308" s="273"/>
      <c r="BL308" s="273"/>
      <c r="BM308" s="273"/>
      <c r="BN308" s="273"/>
      <c r="BO308" s="273"/>
      <c r="BP308" s="273"/>
      <c r="BQ308" s="273"/>
      <c r="BR308" s="273"/>
      <c r="BS308" s="273"/>
      <c r="BT308" s="273"/>
      <c r="BU308" s="273"/>
      <c r="BV308" s="273"/>
      <c r="BW308" s="273"/>
    </row>
    <row r="309">
      <c r="A309" s="259" t="str">
        <f>VLOOKUP($F309,UpdateHashtag!$V$3:$Y$32,COLUMN(B$15),0)</f>
        <v>#N/A</v>
      </c>
      <c r="B309" s="259" t="str">
        <f>VLOOKUP($F309,UpdateHashtag!$V$3:$Y$32,COLUMN(C$13),0)</f>
        <v>#N/A</v>
      </c>
      <c r="C309" s="259" t="str">
        <f>VLOOKUP($F309,UpdateHashtag!$V$3:$Y$32,COLUMN(D$13),0)</f>
        <v>#N/A</v>
      </c>
      <c r="D309" s="329" t="str">
        <f t="shared" si="4"/>
        <v>#N/A</v>
      </c>
      <c r="E309" s="21"/>
      <c r="F309" s="261" t="str">
        <f>VLOOKUP(J309,UpdateBBM!$C$2:E1015,3,0)</f>
        <v>#N/A</v>
      </c>
      <c r="G309" s="31">
        <v>289.0</v>
      </c>
      <c r="H309" s="278"/>
      <c r="I309" s="278"/>
      <c r="J309" s="279"/>
      <c r="K309" s="278"/>
      <c r="L309" s="280"/>
      <c r="M309" s="281"/>
      <c r="N309" s="282"/>
      <c r="O309" s="282"/>
      <c r="P309" s="283"/>
      <c r="Q309" s="283"/>
      <c r="R309" s="283"/>
      <c r="S309" s="284"/>
      <c r="T309" s="283"/>
      <c r="U309" s="283"/>
      <c r="V309" s="280"/>
      <c r="W309" s="280"/>
      <c r="X309" s="280"/>
      <c r="Y309" s="283"/>
      <c r="Z309" s="351"/>
      <c r="AA309" s="351"/>
      <c r="AB309" s="351"/>
      <c r="AC309" s="351"/>
      <c r="AD309" s="351"/>
      <c r="AE309" s="351"/>
      <c r="AF309" s="351"/>
      <c r="AG309" s="351"/>
      <c r="AH309" s="285"/>
      <c r="AI309" s="273"/>
      <c r="AJ309" s="340"/>
      <c r="AK309" s="341"/>
      <c r="AL309" s="273"/>
      <c r="AM309" s="273"/>
      <c r="AN309" s="273"/>
      <c r="AO309" s="273"/>
      <c r="AP309" s="273"/>
      <c r="AQ309" s="273"/>
      <c r="AR309" s="273"/>
      <c r="AS309" s="273"/>
      <c r="AT309" s="273"/>
      <c r="AU309" s="273"/>
      <c r="AV309" s="273"/>
      <c r="AW309" s="273"/>
      <c r="AX309" s="273"/>
      <c r="AY309" s="273"/>
      <c r="AZ309" s="273"/>
      <c r="BA309" s="273"/>
      <c r="BB309" s="273"/>
      <c r="BC309" s="273"/>
      <c r="BD309" s="273"/>
      <c r="BE309" s="273"/>
      <c r="BF309" s="273"/>
      <c r="BG309" s="273"/>
      <c r="BH309" s="273"/>
      <c r="BI309" s="273"/>
      <c r="BJ309" s="273"/>
      <c r="BK309" s="273"/>
      <c r="BL309" s="273"/>
      <c r="BM309" s="273"/>
      <c r="BN309" s="273"/>
      <c r="BO309" s="273"/>
      <c r="BP309" s="273"/>
      <c r="BQ309" s="273"/>
      <c r="BR309" s="273"/>
      <c r="BS309" s="273"/>
      <c r="BT309" s="273"/>
      <c r="BU309" s="273"/>
      <c r="BV309" s="273"/>
      <c r="BW309" s="273"/>
    </row>
    <row r="310">
      <c r="A310" s="259" t="str">
        <f>VLOOKUP($F310,UpdateHashtag!$V$3:$Y$32,COLUMN(B$15),0)</f>
        <v>#N/A</v>
      </c>
      <c r="B310" s="259" t="str">
        <f>VLOOKUP($F310,UpdateHashtag!$V$3:$Y$32,COLUMN(C$13),0)</f>
        <v>#N/A</v>
      </c>
      <c r="C310" s="259" t="str">
        <f>VLOOKUP($F310,UpdateHashtag!$V$3:$Y$32,COLUMN(D$13),0)</f>
        <v>#N/A</v>
      </c>
      <c r="D310" s="329" t="str">
        <f t="shared" si="4"/>
        <v>#N/A</v>
      </c>
      <c r="E310" s="21"/>
      <c r="F310" s="261" t="str">
        <f>VLOOKUP(J310,UpdateBBM!$C$2:E1015,3,0)</f>
        <v>#N/A</v>
      </c>
      <c r="G310" s="31">
        <v>290.0</v>
      </c>
      <c r="H310" s="278"/>
      <c r="I310" s="278"/>
      <c r="J310" s="279"/>
      <c r="K310" s="278"/>
      <c r="L310" s="280"/>
      <c r="M310" s="281"/>
      <c r="N310" s="282"/>
      <c r="O310" s="282"/>
      <c r="P310" s="283"/>
      <c r="Q310" s="283"/>
      <c r="R310" s="283"/>
      <c r="S310" s="284"/>
      <c r="T310" s="283"/>
      <c r="U310" s="283"/>
      <c r="V310" s="280"/>
      <c r="W310" s="280"/>
      <c r="X310" s="280"/>
      <c r="Y310" s="283"/>
      <c r="Z310" s="351"/>
      <c r="AA310" s="351"/>
      <c r="AB310" s="351"/>
      <c r="AC310" s="351"/>
      <c r="AD310" s="351"/>
      <c r="AE310" s="351"/>
      <c r="AF310" s="351"/>
      <c r="AG310" s="351"/>
      <c r="AH310" s="285"/>
      <c r="AI310" s="273"/>
      <c r="AJ310" s="340"/>
      <c r="AK310" s="341"/>
      <c r="AL310" s="273"/>
      <c r="AM310" s="273"/>
      <c r="AN310" s="273"/>
      <c r="AO310" s="273"/>
      <c r="AP310" s="273"/>
      <c r="AQ310" s="273"/>
      <c r="AR310" s="273"/>
      <c r="AS310" s="273"/>
      <c r="AT310" s="273"/>
      <c r="AU310" s="273"/>
      <c r="AV310" s="273"/>
      <c r="AW310" s="273"/>
      <c r="AX310" s="273"/>
      <c r="AY310" s="273"/>
      <c r="AZ310" s="273"/>
      <c r="BA310" s="273"/>
      <c r="BB310" s="273"/>
      <c r="BC310" s="273"/>
      <c r="BD310" s="273"/>
      <c r="BE310" s="273"/>
      <c r="BF310" s="273"/>
      <c r="BG310" s="273"/>
      <c r="BH310" s="273"/>
      <c r="BI310" s="273"/>
      <c r="BJ310" s="273"/>
      <c r="BK310" s="273"/>
      <c r="BL310" s="273"/>
      <c r="BM310" s="273"/>
      <c r="BN310" s="273"/>
      <c r="BO310" s="273"/>
      <c r="BP310" s="273"/>
      <c r="BQ310" s="273"/>
      <c r="BR310" s="273"/>
      <c r="BS310" s="273"/>
      <c r="BT310" s="273"/>
      <c r="BU310" s="273"/>
      <c r="BV310" s="273"/>
      <c r="BW310" s="273"/>
    </row>
    <row r="311">
      <c r="A311" s="259" t="str">
        <f>VLOOKUP($F311,UpdateHashtag!$V$3:$Y$32,COLUMN(B$15),0)</f>
        <v>#N/A</v>
      </c>
      <c r="B311" s="259" t="str">
        <f>VLOOKUP($F311,UpdateHashtag!$V$3:$Y$32,COLUMN(C$13),0)</f>
        <v>#N/A</v>
      </c>
      <c r="C311" s="259" t="str">
        <f>VLOOKUP($F311,UpdateHashtag!$V$3:$Y$32,COLUMN(D$13),0)</f>
        <v>#N/A</v>
      </c>
      <c r="D311" s="329" t="str">
        <f t="shared" si="4"/>
        <v>#N/A</v>
      </c>
      <c r="E311" s="21"/>
      <c r="F311" s="261" t="str">
        <f>VLOOKUP(J311,UpdateBBM!$C$2:E1015,3,0)</f>
        <v>#N/A</v>
      </c>
      <c r="G311" s="31">
        <v>291.0</v>
      </c>
      <c r="H311" s="278"/>
      <c r="I311" s="278"/>
      <c r="J311" s="279"/>
      <c r="K311" s="278"/>
      <c r="L311" s="280"/>
      <c r="M311" s="281"/>
      <c r="N311" s="282"/>
      <c r="O311" s="282"/>
      <c r="P311" s="283"/>
      <c r="Q311" s="283"/>
      <c r="R311" s="283"/>
      <c r="S311" s="284"/>
      <c r="T311" s="283"/>
      <c r="U311" s="283"/>
      <c r="V311" s="280"/>
      <c r="W311" s="280"/>
      <c r="X311" s="280"/>
      <c r="Y311" s="283"/>
      <c r="Z311" s="351"/>
      <c r="AA311" s="351"/>
      <c r="AB311" s="351"/>
      <c r="AC311" s="351"/>
      <c r="AD311" s="351"/>
      <c r="AE311" s="351"/>
      <c r="AF311" s="351"/>
      <c r="AG311" s="351"/>
      <c r="AH311" s="285"/>
      <c r="AI311" s="273"/>
      <c r="AJ311" s="340"/>
      <c r="AK311" s="341"/>
      <c r="AL311" s="273"/>
      <c r="AM311" s="273"/>
      <c r="AN311" s="273"/>
      <c r="AO311" s="273"/>
      <c r="AP311" s="273"/>
      <c r="AQ311" s="273"/>
      <c r="AR311" s="273"/>
      <c r="AS311" s="273"/>
      <c r="AT311" s="273"/>
      <c r="AU311" s="273"/>
      <c r="AV311" s="273"/>
      <c r="AW311" s="273"/>
      <c r="AX311" s="273"/>
      <c r="AY311" s="273"/>
      <c r="AZ311" s="273"/>
      <c r="BA311" s="273"/>
      <c r="BB311" s="273"/>
      <c r="BC311" s="273"/>
      <c r="BD311" s="273"/>
      <c r="BE311" s="273"/>
      <c r="BF311" s="273"/>
      <c r="BG311" s="273"/>
      <c r="BH311" s="273"/>
      <c r="BI311" s="273"/>
      <c r="BJ311" s="273"/>
      <c r="BK311" s="273"/>
      <c r="BL311" s="273"/>
      <c r="BM311" s="273"/>
      <c r="BN311" s="273"/>
      <c r="BO311" s="273"/>
      <c r="BP311" s="273"/>
      <c r="BQ311" s="273"/>
      <c r="BR311" s="273"/>
      <c r="BS311" s="273"/>
      <c r="BT311" s="273"/>
      <c r="BU311" s="273"/>
      <c r="BV311" s="273"/>
      <c r="BW311" s="273"/>
    </row>
    <row r="312">
      <c r="A312" s="259" t="str">
        <f>VLOOKUP($F312,UpdateHashtag!$V$3:$Y$32,COLUMN(B$15),0)</f>
        <v>#N/A</v>
      </c>
      <c r="B312" s="259" t="str">
        <f>VLOOKUP($F312,UpdateHashtag!$V$3:$Y$32,COLUMN(C$13),0)</f>
        <v>#N/A</v>
      </c>
      <c r="C312" s="259" t="str">
        <f>VLOOKUP($F312,UpdateHashtag!$V$3:$Y$32,COLUMN(D$13),0)</f>
        <v>#N/A</v>
      </c>
      <c r="D312" s="329" t="str">
        <f t="shared" si="4"/>
        <v>#N/A</v>
      </c>
      <c r="E312" s="21"/>
      <c r="F312" s="261" t="str">
        <f>VLOOKUP(J312,UpdateBBM!$C$2:E1015,3,0)</f>
        <v>#N/A</v>
      </c>
      <c r="G312" s="31">
        <v>292.0</v>
      </c>
      <c r="H312" s="278"/>
      <c r="I312" s="278"/>
      <c r="J312" s="279"/>
      <c r="K312" s="278"/>
      <c r="L312" s="280"/>
      <c r="M312" s="281"/>
      <c r="N312" s="282"/>
      <c r="O312" s="282"/>
      <c r="P312" s="283"/>
      <c r="Q312" s="283"/>
      <c r="R312" s="283"/>
      <c r="S312" s="284"/>
      <c r="T312" s="283"/>
      <c r="U312" s="283"/>
      <c r="V312" s="280"/>
      <c r="W312" s="280"/>
      <c r="X312" s="280"/>
      <c r="Y312" s="283"/>
      <c r="Z312" s="351"/>
      <c r="AA312" s="351"/>
      <c r="AB312" s="351"/>
      <c r="AC312" s="351"/>
      <c r="AD312" s="351"/>
      <c r="AE312" s="351"/>
      <c r="AF312" s="351"/>
      <c r="AG312" s="351"/>
      <c r="AH312" s="285"/>
      <c r="AI312" s="273"/>
      <c r="AJ312" s="340"/>
      <c r="AK312" s="341"/>
      <c r="AL312" s="273"/>
      <c r="AM312" s="273"/>
      <c r="AN312" s="273"/>
      <c r="AO312" s="273"/>
      <c r="AP312" s="273"/>
      <c r="AQ312" s="273"/>
      <c r="AR312" s="273"/>
      <c r="AS312" s="273"/>
      <c r="AT312" s="273"/>
      <c r="AU312" s="273"/>
      <c r="AV312" s="273"/>
      <c r="AW312" s="273"/>
      <c r="AX312" s="273"/>
      <c r="AY312" s="273"/>
      <c r="AZ312" s="273"/>
      <c r="BA312" s="273"/>
      <c r="BB312" s="273"/>
      <c r="BC312" s="273"/>
      <c r="BD312" s="273"/>
      <c r="BE312" s="273"/>
      <c r="BF312" s="273"/>
      <c r="BG312" s="273"/>
      <c r="BH312" s="273"/>
      <c r="BI312" s="273"/>
      <c r="BJ312" s="273"/>
      <c r="BK312" s="273"/>
      <c r="BL312" s="273"/>
      <c r="BM312" s="273"/>
      <c r="BN312" s="273"/>
      <c r="BO312" s="273"/>
      <c r="BP312" s="273"/>
      <c r="BQ312" s="273"/>
      <c r="BR312" s="273"/>
      <c r="BS312" s="273"/>
      <c r="BT312" s="273"/>
      <c r="BU312" s="273"/>
      <c r="BV312" s="273"/>
      <c r="BW312" s="273"/>
    </row>
    <row r="313">
      <c r="A313" s="259" t="str">
        <f>VLOOKUP($F313,UpdateHashtag!$V$3:$Y$32,COLUMN(B$15),0)</f>
        <v>#N/A</v>
      </c>
      <c r="B313" s="259" t="str">
        <f>VLOOKUP($F313,UpdateHashtag!$V$3:$Y$32,COLUMN(C$13),0)</f>
        <v>#N/A</v>
      </c>
      <c r="C313" s="259" t="str">
        <f>VLOOKUP($F313,UpdateHashtag!$V$3:$Y$32,COLUMN(D$13),0)</f>
        <v>#N/A</v>
      </c>
      <c r="D313" s="329" t="str">
        <f t="shared" si="4"/>
        <v>#N/A</v>
      </c>
      <c r="E313" s="21"/>
      <c r="F313" s="261" t="str">
        <f>VLOOKUP(J313,UpdateBBM!$C$2:E1015,3,0)</f>
        <v>#N/A</v>
      </c>
      <c r="G313" s="31">
        <v>293.0</v>
      </c>
      <c r="H313" s="278"/>
      <c r="I313" s="278"/>
      <c r="J313" s="279"/>
      <c r="K313" s="278"/>
      <c r="L313" s="280"/>
      <c r="M313" s="281"/>
      <c r="N313" s="282"/>
      <c r="O313" s="282"/>
      <c r="P313" s="283"/>
      <c r="Q313" s="283"/>
      <c r="R313" s="283"/>
      <c r="S313" s="284"/>
      <c r="T313" s="283"/>
      <c r="U313" s="283"/>
      <c r="V313" s="280"/>
      <c r="W313" s="280"/>
      <c r="X313" s="280"/>
      <c r="Y313" s="283"/>
      <c r="Z313" s="351"/>
      <c r="AA313" s="351"/>
      <c r="AB313" s="351"/>
      <c r="AC313" s="351"/>
      <c r="AD313" s="351"/>
      <c r="AE313" s="351"/>
      <c r="AF313" s="351"/>
      <c r="AG313" s="351"/>
      <c r="AH313" s="285"/>
      <c r="AI313" s="273"/>
      <c r="AJ313" s="340"/>
      <c r="AK313" s="341"/>
      <c r="AL313" s="273"/>
      <c r="AM313" s="273"/>
      <c r="AN313" s="273"/>
      <c r="AO313" s="273"/>
      <c r="AP313" s="273"/>
      <c r="AQ313" s="273"/>
      <c r="AR313" s="273"/>
      <c r="AS313" s="273"/>
      <c r="AT313" s="273"/>
      <c r="AU313" s="273"/>
      <c r="AV313" s="273"/>
      <c r="AW313" s="273"/>
      <c r="AX313" s="273"/>
      <c r="AY313" s="273"/>
      <c r="AZ313" s="273"/>
      <c r="BA313" s="273"/>
      <c r="BB313" s="273"/>
      <c r="BC313" s="273"/>
      <c r="BD313" s="273"/>
      <c r="BE313" s="273"/>
      <c r="BF313" s="273"/>
      <c r="BG313" s="273"/>
      <c r="BH313" s="273"/>
      <c r="BI313" s="273"/>
      <c r="BJ313" s="273"/>
      <c r="BK313" s="273"/>
      <c r="BL313" s="273"/>
      <c r="BM313" s="273"/>
      <c r="BN313" s="273"/>
      <c r="BO313" s="273"/>
      <c r="BP313" s="273"/>
      <c r="BQ313" s="273"/>
      <c r="BR313" s="273"/>
      <c r="BS313" s="273"/>
      <c r="BT313" s="273"/>
      <c r="BU313" s="273"/>
      <c r="BV313" s="273"/>
      <c r="BW313" s="273"/>
    </row>
    <row r="314">
      <c r="A314" s="259" t="str">
        <f>VLOOKUP($F314,UpdateHashtag!$V$3:$Y$32,COLUMN(B$15),0)</f>
        <v>#N/A</v>
      </c>
      <c r="B314" s="259" t="str">
        <f>VLOOKUP($F314,UpdateHashtag!$V$3:$Y$32,COLUMN(C$13),0)</f>
        <v>#N/A</v>
      </c>
      <c r="C314" s="259" t="str">
        <f>VLOOKUP($F314,UpdateHashtag!$V$3:$Y$32,COLUMN(D$13),0)</f>
        <v>#N/A</v>
      </c>
      <c r="D314" s="329" t="str">
        <f t="shared" si="4"/>
        <v>#N/A</v>
      </c>
      <c r="E314" s="21"/>
      <c r="F314" s="261" t="str">
        <f>VLOOKUP(J314,UpdateBBM!$C$2:E1015,3,0)</f>
        <v>#N/A</v>
      </c>
      <c r="G314" s="31">
        <v>294.0</v>
      </c>
      <c r="H314" s="278"/>
      <c r="I314" s="278"/>
      <c r="J314" s="279"/>
      <c r="K314" s="278"/>
      <c r="L314" s="280"/>
      <c r="M314" s="281"/>
      <c r="N314" s="282"/>
      <c r="O314" s="282"/>
      <c r="P314" s="283"/>
      <c r="Q314" s="283"/>
      <c r="R314" s="283"/>
      <c r="S314" s="284"/>
      <c r="T314" s="283"/>
      <c r="U314" s="283"/>
      <c r="V314" s="280"/>
      <c r="W314" s="280"/>
      <c r="X314" s="280"/>
      <c r="Y314" s="283"/>
      <c r="Z314" s="351"/>
      <c r="AA314" s="351"/>
      <c r="AB314" s="351"/>
      <c r="AC314" s="351"/>
      <c r="AD314" s="351"/>
      <c r="AE314" s="351"/>
      <c r="AF314" s="351"/>
      <c r="AG314" s="351"/>
      <c r="AH314" s="285"/>
      <c r="AI314" s="273"/>
      <c r="AJ314" s="340"/>
      <c r="AK314" s="341"/>
      <c r="AL314" s="273"/>
      <c r="AM314" s="273"/>
      <c r="AN314" s="273"/>
      <c r="AO314" s="273"/>
      <c r="AP314" s="273"/>
      <c r="AQ314" s="273"/>
      <c r="AR314" s="273"/>
      <c r="AS314" s="273"/>
      <c r="AT314" s="273"/>
      <c r="AU314" s="273"/>
      <c r="AV314" s="273"/>
      <c r="AW314" s="273"/>
      <c r="AX314" s="273"/>
      <c r="AY314" s="273"/>
      <c r="AZ314" s="273"/>
      <c r="BA314" s="273"/>
      <c r="BB314" s="273"/>
      <c r="BC314" s="273"/>
      <c r="BD314" s="273"/>
      <c r="BE314" s="273"/>
      <c r="BF314" s="273"/>
      <c r="BG314" s="273"/>
      <c r="BH314" s="273"/>
      <c r="BI314" s="273"/>
      <c r="BJ314" s="273"/>
      <c r="BK314" s="273"/>
      <c r="BL314" s="273"/>
      <c r="BM314" s="273"/>
      <c r="BN314" s="273"/>
      <c r="BO314" s="273"/>
      <c r="BP314" s="273"/>
      <c r="BQ314" s="273"/>
      <c r="BR314" s="273"/>
      <c r="BS314" s="273"/>
      <c r="BT314" s="273"/>
      <c r="BU314" s="273"/>
      <c r="BV314" s="273"/>
      <c r="BW314" s="273"/>
    </row>
    <row r="315">
      <c r="A315" s="259" t="str">
        <f>VLOOKUP($F315,UpdateHashtag!$V$3:$Y$32,COLUMN(B$15),0)</f>
        <v>#N/A</v>
      </c>
      <c r="B315" s="259" t="str">
        <f>VLOOKUP($F315,UpdateHashtag!$V$3:$Y$32,COLUMN(C$13),0)</f>
        <v>#N/A</v>
      </c>
      <c r="C315" s="259" t="str">
        <f>VLOOKUP($F315,UpdateHashtag!$V$3:$Y$32,COLUMN(D$13),0)</f>
        <v>#N/A</v>
      </c>
      <c r="D315" s="329" t="str">
        <f t="shared" si="4"/>
        <v>#N/A</v>
      </c>
      <c r="E315" s="21"/>
      <c r="F315" s="261" t="str">
        <f>VLOOKUP(J315,UpdateBBM!$C$2:E1015,3,0)</f>
        <v>#N/A</v>
      </c>
      <c r="G315" s="31">
        <v>295.0</v>
      </c>
      <c r="H315" s="278"/>
      <c r="I315" s="278"/>
      <c r="J315" s="279"/>
      <c r="K315" s="278"/>
      <c r="L315" s="280"/>
      <c r="M315" s="281"/>
      <c r="N315" s="282"/>
      <c r="O315" s="282"/>
      <c r="P315" s="283"/>
      <c r="Q315" s="283"/>
      <c r="R315" s="283"/>
      <c r="S315" s="284"/>
      <c r="T315" s="283"/>
      <c r="U315" s="283"/>
      <c r="V315" s="280"/>
      <c r="W315" s="280"/>
      <c r="X315" s="280"/>
      <c r="Y315" s="283"/>
      <c r="Z315" s="351"/>
      <c r="AA315" s="351"/>
      <c r="AB315" s="351"/>
      <c r="AC315" s="351"/>
      <c r="AD315" s="351"/>
      <c r="AE315" s="351"/>
      <c r="AF315" s="351"/>
      <c r="AG315" s="351"/>
      <c r="AH315" s="285"/>
      <c r="AI315" s="273"/>
      <c r="AJ315" s="340"/>
      <c r="AK315" s="341"/>
      <c r="AL315" s="273"/>
      <c r="AM315" s="273"/>
      <c r="AN315" s="273"/>
      <c r="AO315" s="273"/>
      <c r="AP315" s="273"/>
      <c r="AQ315" s="273"/>
      <c r="AR315" s="273"/>
      <c r="AS315" s="273"/>
      <c r="AT315" s="273"/>
      <c r="AU315" s="273"/>
      <c r="AV315" s="273"/>
      <c r="AW315" s="273"/>
      <c r="AX315" s="273"/>
      <c r="AY315" s="273"/>
      <c r="AZ315" s="273"/>
      <c r="BA315" s="273"/>
      <c r="BB315" s="273"/>
      <c r="BC315" s="273"/>
      <c r="BD315" s="273"/>
      <c r="BE315" s="273"/>
      <c r="BF315" s="273"/>
      <c r="BG315" s="273"/>
      <c r="BH315" s="273"/>
      <c r="BI315" s="273"/>
      <c r="BJ315" s="273"/>
      <c r="BK315" s="273"/>
      <c r="BL315" s="273"/>
      <c r="BM315" s="273"/>
      <c r="BN315" s="273"/>
      <c r="BO315" s="273"/>
      <c r="BP315" s="273"/>
      <c r="BQ315" s="273"/>
      <c r="BR315" s="273"/>
      <c r="BS315" s="273"/>
      <c r="BT315" s="273"/>
      <c r="BU315" s="273"/>
      <c r="BV315" s="273"/>
      <c r="BW315" s="273"/>
    </row>
    <row r="316">
      <c r="A316" s="259" t="str">
        <f>VLOOKUP($F316,UpdateHashtag!$V$3:$Y$32,COLUMN(B$15),0)</f>
        <v>#N/A</v>
      </c>
      <c r="B316" s="259" t="str">
        <f>VLOOKUP($F316,UpdateHashtag!$V$3:$Y$32,COLUMN(C$13),0)</f>
        <v>#N/A</v>
      </c>
      <c r="C316" s="259" t="str">
        <f>VLOOKUP($F316,UpdateHashtag!$V$3:$Y$32,COLUMN(D$13),0)</f>
        <v>#N/A</v>
      </c>
      <c r="D316" s="329" t="str">
        <f t="shared" si="4"/>
        <v>#N/A</v>
      </c>
      <c r="E316" s="21"/>
      <c r="F316" s="261" t="str">
        <f>VLOOKUP(J316,UpdateBBM!$C$2:E1015,3,0)</f>
        <v>#N/A</v>
      </c>
      <c r="G316" s="31">
        <v>296.0</v>
      </c>
      <c r="H316" s="278"/>
      <c r="I316" s="278"/>
      <c r="J316" s="279"/>
      <c r="K316" s="278"/>
      <c r="L316" s="280"/>
      <c r="M316" s="281"/>
      <c r="N316" s="282"/>
      <c r="O316" s="282"/>
      <c r="P316" s="283"/>
      <c r="Q316" s="283"/>
      <c r="R316" s="283"/>
      <c r="S316" s="284"/>
      <c r="T316" s="283"/>
      <c r="U316" s="283"/>
      <c r="V316" s="280"/>
      <c r="W316" s="280"/>
      <c r="X316" s="280"/>
      <c r="Y316" s="283"/>
      <c r="Z316" s="351"/>
      <c r="AA316" s="351"/>
      <c r="AB316" s="351"/>
      <c r="AC316" s="351"/>
      <c r="AD316" s="351"/>
      <c r="AE316" s="351"/>
      <c r="AF316" s="351"/>
      <c r="AG316" s="351"/>
      <c r="AH316" s="285"/>
      <c r="AI316" s="273"/>
      <c r="AJ316" s="340"/>
      <c r="AK316" s="341"/>
      <c r="AL316" s="273"/>
      <c r="AM316" s="273"/>
      <c r="AN316" s="273"/>
      <c r="AO316" s="273"/>
      <c r="AP316" s="273"/>
      <c r="AQ316" s="273"/>
      <c r="AR316" s="273"/>
      <c r="AS316" s="273"/>
      <c r="AT316" s="273"/>
      <c r="AU316" s="273"/>
      <c r="AV316" s="273"/>
      <c r="AW316" s="273"/>
      <c r="AX316" s="273"/>
      <c r="AY316" s="273"/>
      <c r="AZ316" s="273"/>
      <c r="BA316" s="273"/>
      <c r="BB316" s="273"/>
      <c r="BC316" s="273"/>
      <c r="BD316" s="273"/>
      <c r="BE316" s="273"/>
      <c r="BF316" s="273"/>
      <c r="BG316" s="273"/>
      <c r="BH316" s="273"/>
      <c r="BI316" s="273"/>
      <c r="BJ316" s="273"/>
      <c r="BK316" s="273"/>
      <c r="BL316" s="273"/>
      <c r="BM316" s="273"/>
      <c r="BN316" s="273"/>
      <c r="BO316" s="273"/>
      <c r="BP316" s="273"/>
      <c r="BQ316" s="273"/>
      <c r="BR316" s="273"/>
      <c r="BS316" s="273"/>
      <c r="BT316" s="273"/>
      <c r="BU316" s="273"/>
      <c r="BV316" s="273"/>
      <c r="BW316" s="273"/>
    </row>
    <row r="317">
      <c r="A317" s="259" t="str">
        <f>VLOOKUP($F317,UpdateHashtag!$V$3:$Y$32,COLUMN(B$15),0)</f>
        <v>#N/A</v>
      </c>
      <c r="B317" s="259" t="str">
        <f>VLOOKUP($F317,UpdateHashtag!$V$3:$Y$32,COLUMN(C$13),0)</f>
        <v>#N/A</v>
      </c>
      <c r="C317" s="259" t="str">
        <f>VLOOKUP($F317,UpdateHashtag!$V$3:$Y$32,COLUMN(D$13),0)</f>
        <v>#N/A</v>
      </c>
      <c r="D317" s="329" t="str">
        <f t="shared" si="4"/>
        <v>#N/A</v>
      </c>
      <c r="E317" s="21"/>
      <c r="F317" s="261" t="str">
        <f>VLOOKUP(J317,UpdateBBM!$C$2:E1015,3,0)</f>
        <v>#N/A</v>
      </c>
      <c r="G317" s="31">
        <v>297.0</v>
      </c>
      <c r="H317" s="278"/>
      <c r="I317" s="278"/>
      <c r="J317" s="279"/>
      <c r="K317" s="278"/>
      <c r="L317" s="280"/>
      <c r="M317" s="281"/>
      <c r="N317" s="282"/>
      <c r="O317" s="282"/>
      <c r="P317" s="283"/>
      <c r="Q317" s="283"/>
      <c r="R317" s="283"/>
      <c r="S317" s="284"/>
      <c r="T317" s="283"/>
      <c r="U317" s="283"/>
      <c r="V317" s="280"/>
      <c r="W317" s="280"/>
      <c r="X317" s="280"/>
      <c r="Y317" s="283"/>
      <c r="Z317" s="351"/>
      <c r="AA317" s="351"/>
      <c r="AB317" s="351"/>
      <c r="AC317" s="351"/>
      <c r="AD317" s="351"/>
      <c r="AE317" s="351"/>
      <c r="AF317" s="351"/>
      <c r="AG317" s="351"/>
      <c r="AH317" s="285"/>
      <c r="AI317" s="273"/>
      <c r="AJ317" s="340"/>
      <c r="AK317" s="341"/>
      <c r="AL317" s="273"/>
      <c r="AM317" s="273"/>
      <c r="AN317" s="273"/>
      <c r="AO317" s="273"/>
      <c r="AP317" s="273"/>
      <c r="AQ317" s="273"/>
      <c r="AR317" s="273"/>
      <c r="AS317" s="273"/>
      <c r="AT317" s="273"/>
      <c r="AU317" s="273"/>
      <c r="AV317" s="273"/>
      <c r="AW317" s="273"/>
      <c r="AX317" s="273"/>
      <c r="AY317" s="273"/>
      <c r="AZ317" s="273"/>
      <c r="BA317" s="273"/>
      <c r="BB317" s="273"/>
      <c r="BC317" s="273"/>
      <c r="BD317" s="273"/>
      <c r="BE317" s="273"/>
      <c r="BF317" s="273"/>
      <c r="BG317" s="273"/>
      <c r="BH317" s="273"/>
      <c r="BI317" s="273"/>
      <c r="BJ317" s="273"/>
      <c r="BK317" s="273"/>
      <c r="BL317" s="273"/>
      <c r="BM317" s="273"/>
      <c r="BN317" s="273"/>
      <c r="BO317" s="273"/>
      <c r="BP317" s="273"/>
      <c r="BQ317" s="273"/>
      <c r="BR317" s="273"/>
      <c r="BS317" s="273"/>
      <c r="BT317" s="273"/>
      <c r="BU317" s="273"/>
      <c r="BV317" s="273"/>
      <c r="BW317" s="273"/>
    </row>
    <row r="318">
      <c r="A318" s="259" t="str">
        <f>VLOOKUP($F318,UpdateHashtag!$V$3:$Y$32,COLUMN(B$15),0)</f>
        <v>#N/A</v>
      </c>
      <c r="B318" s="259" t="str">
        <f>VLOOKUP($F318,UpdateHashtag!$V$3:$Y$32,COLUMN(C$13),0)</f>
        <v>#N/A</v>
      </c>
      <c r="C318" s="259" t="str">
        <f>VLOOKUP($F318,UpdateHashtag!$V$3:$Y$32,COLUMN(D$13),0)</f>
        <v>#N/A</v>
      </c>
      <c r="D318" s="329" t="str">
        <f t="shared" si="4"/>
        <v>#N/A</v>
      </c>
      <c r="E318" s="21"/>
      <c r="F318" s="261" t="str">
        <f>VLOOKUP(J318,UpdateBBM!$C$2:E1015,3,0)</f>
        <v>#N/A</v>
      </c>
      <c r="G318" s="31">
        <v>298.0</v>
      </c>
      <c r="H318" s="278"/>
      <c r="I318" s="278"/>
      <c r="J318" s="279"/>
      <c r="K318" s="278"/>
      <c r="L318" s="280"/>
      <c r="M318" s="281"/>
      <c r="N318" s="282"/>
      <c r="O318" s="282"/>
      <c r="P318" s="283"/>
      <c r="Q318" s="283"/>
      <c r="R318" s="283"/>
      <c r="S318" s="284"/>
      <c r="T318" s="283"/>
      <c r="U318" s="283"/>
      <c r="V318" s="280"/>
      <c r="W318" s="280"/>
      <c r="X318" s="280"/>
      <c r="Y318" s="283"/>
      <c r="Z318" s="351"/>
      <c r="AA318" s="351"/>
      <c r="AB318" s="351"/>
      <c r="AC318" s="351"/>
      <c r="AD318" s="351"/>
      <c r="AE318" s="351"/>
      <c r="AF318" s="351"/>
      <c r="AG318" s="351"/>
      <c r="AH318" s="285"/>
      <c r="AI318" s="273"/>
      <c r="AJ318" s="340"/>
      <c r="AK318" s="341"/>
      <c r="AL318" s="273"/>
      <c r="AM318" s="273"/>
      <c r="AN318" s="273"/>
      <c r="AO318" s="273"/>
      <c r="AP318" s="273"/>
      <c r="AQ318" s="273"/>
      <c r="AR318" s="273"/>
      <c r="AS318" s="273"/>
      <c r="AT318" s="273"/>
      <c r="AU318" s="273"/>
      <c r="AV318" s="273"/>
      <c r="AW318" s="273"/>
      <c r="AX318" s="273"/>
      <c r="AY318" s="273"/>
      <c r="AZ318" s="273"/>
      <c r="BA318" s="273"/>
      <c r="BB318" s="273"/>
      <c r="BC318" s="273"/>
      <c r="BD318" s="273"/>
      <c r="BE318" s="273"/>
      <c r="BF318" s="273"/>
      <c r="BG318" s="273"/>
      <c r="BH318" s="273"/>
      <c r="BI318" s="273"/>
      <c r="BJ318" s="273"/>
      <c r="BK318" s="273"/>
      <c r="BL318" s="273"/>
      <c r="BM318" s="273"/>
      <c r="BN318" s="273"/>
      <c r="BO318" s="273"/>
      <c r="BP318" s="273"/>
      <c r="BQ318" s="273"/>
      <c r="BR318" s="273"/>
      <c r="BS318" s="273"/>
      <c r="BT318" s="273"/>
      <c r="BU318" s="273"/>
      <c r="BV318" s="273"/>
      <c r="BW318" s="273"/>
    </row>
    <row r="319">
      <c r="A319" s="259" t="str">
        <f>VLOOKUP($F319,UpdateHashtag!$V$3:$Y$32,COLUMN(B$15),0)</f>
        <v>#N/A</v>
      </c>
      <c r="B319" s="259" t="str">
        <f>VLOOKUP($F319,UpdateHashtag!$V$3:$Y$32,COLUMN(C$13),0)</f>
        <v>#N/A</v>
      </c>
      <c r="C319" s="259" t="str">
        <f>VLOOKUP($F319,UpdateHashtag!$V$3:$Y$32,COLUMN(D$13),0)</f>
        <v>#N/A</v>
      </c>
      <c r="D319" s="329" t="str">
        <f t="shared" si="4"/>
        <v>#N/A</v>
      </c>
      <c r="E319" s="21"/>
      <c r="F319" s="261" t="str">
        <f>VLOOKUP(J319,UpdateBBM!$C$2:E1015,3,0)</f>
        <v>#N/A</v>
      </c>
      <c r="G319" s="31">
        <v>299.0</v>
      </c>
      <c r="H319" s="278"/>
      <c r="I319" s="278"/>
      <c r="J319" s="279"/>
      <c r="K319" s="278"/>
      <c r="L319" s="280"/>
      <c r="M319" s="281"/>
      <c r="N319" s="282"/>
      <c r="O319" s="282"/>
      <c r="P319" s="283"/>
      <c r="Q319" s="283"/>
      <c r="R319" s="283"/>
      <c r="S319" s="284"/>
      <c r="T319" s="283"/>
      <c r="U319" s="283"/>
      <c r="V319" s="280"/>
      <c r="W319" s="280"/>
      <c r="X319" s="280"/>
      <c r="Y319" s="283"/>
      <c r="Z319" s="351"/>
      <c r="AA319" s="351"/>
      <c r="AB319" s="351"/>
      <c r="AC319" s="351"/>
      <c r="AD319" s="351"/>
      <c r="AE319" s="351"/>
      <c r="AF319" s="351"/>
      <c r="AG319" s="351"/>
      <c r="AH319" s="285"/>
      <c r="AI319" s="273"/>
      <c r="AJ319" s="340"/>
      <c r="AK319" s="341"/>
      <c r="AL319" s="273"/>
      <c r="AM319" s="273"/>
      <c r="AN319" s="273"/>
      <c r="AO319" s="273"/>
      <c r="AP319" s="273"/>
      <c r="AQ319" s="273"/>
      <c r="AR319" s="273"/>
      <c r="AS319" s="273"/>
      <c r="AT319" s="273"/>
      <c r="AU319" s="273"/>
      <c r="AV319" s="273"/>
      <c r="AW319" s="273"/>
      <c r="AX319" s="273"/>
      <c r="AY319" s="273"/>
      <c r="AZ319" s="273"/>
      <c r="BA319" s="273"/>
      <c r="BB319" s="273"/>
      <c r="BC319" s="273"/>
      <c r="BD319" s="273"/>
      <c r="BE319" s="273"/>
      <c r="BF319" s="273"/>
      <c r="BG319" s="273"/>
      <c r="BH319" s="273"/>
      <c r="BI319" s="273"/>
      <c r="BJ319" s="273"/>
      <c r="BK319" s="273"/>
      <c r="BL319" s="273"/>
      <c r="BM319" s="273"/>
      <c r="BN319" s="273"/>
      <c r="BO319" s="273"/>
      <c r="BP319" s="273"/>
      <c r="BQ319" s="273"/>
      <c r="BR319" s="273"/>
      <c r="BS319" s="273"/>
      <c r="BT319" s="273"/>
      <c r="BU319" s="273"/>
      <c r="BV319" s="273"/>
      <c r="BW319" s="273"/>
    </row>
    <row r="320">
      <c r="A320" s="259" t="str">
        <f>VLOOKUP($F320,UpdateHashtag!$V$3:$Y$32,COLUMN(B$15),0)</f>
        <v>#N/A</v>
      </c>
      <c r="B320" s="259" t="str">
        <f>VLOOKUP($F320,UpdateHashtag!$V$3:$Y$32,COLUMN(C$13),0)</f>
        <v>#N/A</v>
      </c>
      <c r="C320" s="259" t="str">
        <f>VLOOKUP($F320,UpdateHashtag!$V$3:$Y$32,COLUMN(D$13),0)</f>
        <v>#N/A</v>
      </c>
      <c r="D320" s="329" t="str">
        <f t="shared" si="4"/>
        <v>#N/A</v>
      </c>
      <c r="E320" s="21"/>
      <c r="F320" s="261" t="str">
        <f>VLOOKUP(J320,UpdateBBM!$C$2:E1015,3,0)</f>
        <v>#N/A</v>
      </c>
      <c r="G320" s="31">
        <v>300.0</v>
      </c>
      <c r="H320" s="278"/>
      <c r="I320" s="278"/>
      <c r="J320" s="279"/>
      <c r="K320" s="278"/>
      <c r="L320" s="280"/>
      <c r="M320" s="281"/>
      <c r="N320" s="282"/>
      <c r="O320" s="282"/>
      <c r="P320" s="283"/>
      <c r="Q320" s="283"/>
      <c r="R320" s="283"/>
      <c r="S320" s="284"/>
      <c r="T320" s="283"/>
      <c r="U320" s="283"/>
      <c r="V320" s="280"/>
      <c r="W320" s="280"/>
      <c r="X320" s="280"/>
      <c r="Y320" s="283"/>
      <c r="Z320" s="351"/>
      <c r="AA320" s="351"/>
      <c r="AB320" s="351"/>
      <c r="AC320" s="351"/>
      <c r="AD320" s="351"/>
      <c r="AE320" s="351"/>
      <c r="AF320" s="351"/>
      <c r="AG320" s="351"/>
      <c r="AH320" s="285"/>
      <c r="AI320" s="273"/>
      <c r="AJ320" s="340"/>
      <c r="AK320" s="341"/>
      <c r="AL320" s="273"/>
      <c r="AM320" s="273"/>
      <c r="AN320" s="273"/>
      <c r="AO320" s="273"/>
      <c r="AP320" s="273"/>
      <c r="AQ320" s="273"/>
      <c r="AR320" s="273"/>
      <c r="AS320" s="273"/>
      <c r="AT320" s="273"/>
      <c r="AU320" s="273"/>
      <c r="AV320" s="273"/>
      <c r="AW320" s="273"/>
      <c r="AX320" s="273"/>
      <c r="AY320" s="273"/>
      <c r="AZ320" s="273"/>
      <c r="BA320" s="273"/>
      <c r="BB320" s="273"/>
      <c r="BC320" s="273"/>
      <c r="BD320" s="273"/>
      <c r="BE320" s="273"/>
      <c r="BF320" s="273"/>
      <c r="BG320" s="273"/>
      <c r="BH320" s="273"/>
      <c r="BI320" s="273"/>
      <c r="BJ320" s="273"/>
      <c r="BK320" s="273"/>
      <c r="BL320" s="273"/>
      <c r="BM320" s="273"/>
      <c r="BN320" s="273"/>
      <c r="BO320" s="273"/>
      <c r="BP320" s="273"/>
      <c r="BQ320" s="273"/>
      <c r="BR320" s="273"/>
      <c r="BS320" s="273"/>
      <c r="BT320" s="273"/>
      <c r="BU320" s="273"/>
      <c r="BV320" s="273"/>
      <c r="BW320" s="273"/>
    </row>
    <row r="321">
      <c r="A321" s="259" t="str">
        <f>VLOOKUP($F321,UpdateHashtag!$V$3:$Y$32,COLUMN(B$15),0)</f>
        <v>#N/A</v>
      </c>
      <c r="B321" s="259" t="str">
        <f>VLOOKUP($F321,UpdateHashtag!$V$3:$Y$32,COLUMN(C$13),0)</f>
        <v>#N/A</v>
      </c>
      <c r="C321" s="259" t="str">
        <f>VLOOKUP($F321,UpdateHashtag!$V$3:$Y$32,COLUMN(D$13),0)</f>
        <v>#N/A</v>
      </c>
      <c r="D321" s="329" t="str">
        <f t="shared" si="4"/>
        <v>#N/A</v>
      </c>
      <c r="E321" s="21"/>
      <c r="F321" s="261" t="str">
        <f>VLOOKUP(J321,UpdateBBM!$C$2:E1015,3,0)</f>
        <v>#N/A</v>
      </c>
      <c r="G321" s="31">
        <v>301.0</v>
      </c>
      <c r="H321" s="278"/>
      <c r="I321" s="278"/>
      <c r="J321" s="279"/>
      <c r="K321" s="278"/>
      <c r="L321" s="280"/>
      <c r="M321" s="281"/>
      <c r="N321" s="282"/>
      <c r="O321" s="282"/>
      <c r="P321" s="283"/>
      <c r="Q321" s="283"/>
      <c r="R321" s="283"/>
      <c r="S321" s="284"/>
      <c r="T321" s="283"/>
      <c r="U321" s="283"/>
      <c r="V321" s="280"/>
      <c r="W321" s="280"/>
      <c r="X321" s="280"/>
      <c r="Y321" s="283"/>
      <c r="Z321" s="351"/>
      <c r="AA321" s="351"/>
      <c r="AB321" s="351"/>
      <c r="AC321" s="351"/>
      <c r="AD321" s="351"/>
      <c r="AE321" s="351"/>
      <c r="AF321" s="351"/>
      <c r="AG321" s="351"/>
      <c r="AH321" s="285"/>
      <c r="AI321" s="273"/>
      <c r="AJ321" s="340"/>
      <c r="AK321" s="341"/>
      <c r="AL321" s="273"/>
      <c r="AM321" s="273"/>
      <c r="AN321" s="273"/>
      <c r="AO321" s="273"/>
      <c r="AP321" s="273"/>
      <c r="AQ321" s="273"/>
      <c r="AR321" s="273"/>
      <c r="AS321" s="273"/>
      <c r="AT321" s="273"/>
      <c r="AU321" s="273"/>
      <c r="AV321" s="273"/>
      <c r="AW321" s="273"/>
      <c r="AX321" s="273"/>
      <c r="AY321" s="273"/>
      <c r="AZ321" s="273"/>
      <c r="BA321" s="273"/>
      <c r="BB321" s="273"/>
      <c r="BC321" s="273"/>
      <c r="BD321" s="273"/>
      <c r="BE321" s="273"/>
      <c r="BF321" s="273"/>
      <c r="BG321" s="273"/>
      <c r="BH321" s="273"/>
      <c r="BI321" s="273"/>
      <c r="BJ321" s="273"/>
      <c r="BK321" s="273"/>
      <c r="BL321" s="273"/>
      <c r="BM321" s="273"/>
      <c r="BN321" s="273"/>
      <c r="BO321" s="273"/>
      <c r="BP321" s="273"/>
      <c r="BQ321" s="273"/>
      <c r="BR321" s="273"/>
      <c r="BS321" s="273"/>
      <c r="BT321" s="273"/>
      <c r="BU321" s="273"/>
      <c r="BV321" s="273"/>
      <c r="BW321" s="273"/>
    </row>
    <row r="322">
      <c r="A322" s="259" t="str">
        <f>VLOOKUP($F322,UpdateHashtag!$V$3:$Y$32,COLUMN(B$15),0)</f>
        <v>#N/A</v>
      </c>
      <c r="B322" s="259" t="str">
        <f>VLOOKUP($F322,UpdateHashtag!$V$3:$Y$32,COLUMN(C$13),0)</f>
        <v>#N/A</v>
      </c>
      <c r="C322" s="259" t="str">
        <f>VLOOKUP($F322,UpdateHashtag!$V$3:$Y$32,COLUMN(D$13),0)</f>
        <v>#N/A</v>
      </c>
      <c r="D322" s="329" t="str">
        <f t="shared" si="4"/>
        <v>#N/A</v>
      </c>
      <c r="E322" s="21"/>
      <c r="F322" s="261" t="str">
        <f>VLOOKUP(J322,UpdateBBM!$C$2:E1015,3,0)</f>
        <v>#N/A</v>
      </c>
      <c r="G322" s="31">
        <v>302.0</v>
      </c>
      <c r="H322" s="278"/>
      <c r="I322" s="278"/>
      <c r="J322" s="279"/>
      <c r="K322" s="278"/>
      <c r="L322" s="280"/>
      <c r="M322" s="281"/>
      <c r="N322" s="282"/>
      <c r="O322" s="282"/>
      <c r="P322" s="283"/>
      <c r="Q322" s="283"/>
      <c r="R322" s="283"/>
      <c r="S322" s="284"/>
      <c r="T322" s="283"/>
      <c r="U322" s="283"/>
      <c r="V322" s="280"/>
      <c r="W322" s="280"/>
      <c r="X322" s="280"/>
      <c r="Y322" s="283"/>
      <c r="Z322" s="351"/>
      <c r="AA322" s="351"/>
      <c r="AB322" s="351"/>
      <c r="AC322" s="351"/>
      <c r="AD322" s="351"/>
      <c r="AE322" s="351"/>
      <c r="AF322" s="351"/>
      <c r="AG322" s="351"/>
      <c r="AH322" s="285"/>
      <c r="AI322" s="273"/>
      <c r="AJ322" s="340"/>
      <c r="AK322" s="341"/>
      <c r="AL322" s="273"/>
      <c r="AM322" s="273"/>
      <c r="AN322" s="273"/>
      <c r="AO322" s="273"/>
      <c r="AP322" s="273"/>
      <c r="AQ322" s="273"/>
      <c r="AR322" s="273"/>
      <c r="AS322" s="273"/>
      <c r="AT322" s="273"/>
      <c r="AU322" s="273"/>
      <c r="AV322" s="273"/>
      <c r="AW322" s="273"/>
      <c r="AX322" s="273"/>
      <c r="AY322" s="273"/>
      <c r="AZ322" s="273"/>
      <c r="BA322" s="273"/>
      <c r="BB322" s="273"/>
      <c r="BC322" s="273"/>
      <c r="BD322" s="273"/>
      <c r="BE322" s="273"/>
      <c r="BF322" s="273"/>
      <c r="BG322" s="273"/>
      <c r="BH322" s="273"/>
      <c r="BI322" s="273"/>
      <c r="BJ322" s="273"/>
      <c r="BK322" s="273"/>
      <c r="BL322" s="273"/>
      <c r="BM322" s="273"/>
      <c r="BN322" s="273"/>
      <c r="BO322" s="273"/>
      <c r="BP322" s="273"/>
      <c r="BQ322" s="273"/>
      <c r="BR322" s="273"/>
      <c r="BS322" s="273"/>
      <c r="BT322" s="273"/>
      <c r="BU322" s="273"/>
      <c r="BV322" s="273"/>
      <c r="BW322" s="273"/>
    </row>
    <row r="323">
      <c r="A323" s="259" t="str">
        <f>VLOOKUP($F323,UpdateHashtag!$V$3:$Y$32,COLUMN(B$15),0)</f>
        <v>#N/A</v>
      </c>
      <c r="B323" s="259" t="str">
        <f>VLOOKUP($F323,UpdateHashtag!$V$3:$Y$32,COLUMN(C$13),0)</f>
        <v>#N/A</v>
      </c>
      <c r="C323" s="259" t="str">
        <f>VLOOKUP($F323,UpdateHashtag!$V$3:$Y$32,COLUMN(D$13),0)</f>
        <v>#N/A</v>
      </c>
      <c r="D323" s="329" t="str">
        <f t="shared" si="4"/>
        <v>#N/A</v>
      </c>
      <c r="E323" s="21"/>
      <c r="F323" s="261" t="str">
        <f>VLOOKUP(J323,UpdateBBM!$C$2:E1015,3,0)</f>
        <v>#N/A</v>
      </c>
      <c r="G323" s="31">
        <v>303.0</v>
      </c>
      <c r="H323" s="278"/>
      <c r="I323" s="278"/>
      <c r="J323" s="279"/>
      <c r="K323" s="278"/>
      <c r="L323" s="280"/>
      <c r="M323" s="281"/>
      <c r="N323" s="282"/>
      <c r="O323" s="282"/>
      <c r="P323" s="283"/>
      <c r="Q323" s="283"/>
      <c r="R323" s="283"/>
      <c r="S323" s="284"/>
      <c r="T323" s="283"/>
      <c r="U323" s="283"/>
      <c r="V323" s="280"/>
      <c r="W323" s="280"/>
      <c r="X323" s="280"/>
      <c r="Y323" s="283"/>
      <c r="Z323" s="351"/>
      <c r="AA323" s="351"/>
      <c r="AB323" s="351"/>
      <c r="AC323" s="351"/>
      <c r="AD323" s="351"/>
      <c r="AE323" s="351"/>
      <c r="AF323" s="351"/>
      <c r="AG323" s="351"/>
      <c r="AH323" s="285"/>
      <c r="AI323" s="273"/>
      <c r="AJ323" s="340"/>
      <c r="AK323" s="341"/>
      <c r="AL323" s="273"/>
      <c r="AM323" s="273"/>
      <c r="AN323" s="273"/>
      <c r="AO323" s="273"/>
      <c r="AP323" s="273"/>
      <c r="AQ323" s="273"/>
      <c r="AR323" s="273"/>
      <c r="AS323" s="273"/>
      <c r="AT323" s="273"/>
      <c r="AU323" s="273"/>
      <c r="AV323" s="273"/>
      <c r="AW323" s="273"/>
      <c r="AX323" s="273"/>
      <c r="AY323" s="273"/>
      <c r="AZ323" s="273"/>
      <c r="BA323" s="273"/>
      <c r="BB323" s="273"/>
      <c r="BC323" s="273"/>
      <c r="BD323" s="273"/>
      <c r="BE323" s="273"/>
      <c r="BF323" s="273"/>
      <c r="BG323" s="273"/>
      <c r="BH323" s="273"/>
      <c r="BI323" s="273"/>
      <c r="BJ323" s="273"/>
      <c r="BK323" s="273"/>
      <c r="BL323" s="273"/>
      <c r="BM323" s="273"/>
      <c r="BN323" s="273"/>
      <c r="BO323" s="273"/>
      <c r="BP323" s="273"/>
      <c r="BQ323" s="273"/>
      <c r="BR323" s="273"/>
      <c r="BS323" s="273"/>
      <c r="BT323" s="273"/>
      <c r="BU323" s="273"/>
      <c r="BV323" s="273"/>
      <c r="BW323" s="273"/>
    </row>
    <row r="324">
      <c r="A324" s="259" t="str">
        <f>VLOOKUP($F324,UpdateHashtag!$V$3:$Y$32,COLUMN(B$15),0)</f>
        <v>#N/A</v>
      </c>
      <c r="B324" s="259" t="str">
        <f>VLOOKUP($F324,UpdateHashtag!$V$3:$Y$32,COLUMN(C$13),0)</f>
        <v>#N/A</v>
      </c>
      <c r="C324" s="259" t="str">
        <f>VLOOKUP($F324,UpdateHashtag!$V$3:$Y$32,COLUMN(D$13),0)</f>
        <v>#N/A</v>
      </c>
      <c r="D324" s="329" t="str">
        <f t="shared" si="4"/>
        <v>#N/A</v>
      </c>
      <c r="E324" s="21"/>
      <c r="F324" s="261" t="str">
        <f>VLOOKUP(J324,UpdateBBM!$C$2:E1015,3,0)</f>
        <v>#N/A</v>
      </c>
      <c r="G324" s="31">
        <v>304.0</v>
      </c>
      <c r="H324" s="278"/>
      <c r="I324" s="278"/>
      <c r="J324" s="279"/>
      <c r="K324" s="278"/>
      <c r="L324" s="280"/>
      <c r="M324" s="281"/>
      <c r="N324" s="282"/>
      <c r="O324" s="282"/>
      <c r="P324" s="283"/>
      <c r="Q324" s="283"/>
      <c r="R324" s="283"/>
      <c r="S324" s="284"/>
      <c r="T324" s="283"/>
      <c r="U324" s="283"/>
      <c r="V324" s="280"/>
      <c r="W324" s="280"/>
      <c r="X324" s="280"/>
      <c r="Y324" s="283"/>
      <c r="Z324" s="351"/>
      <c r="AA324" s="351"/>
      <c r="AB324" s="351"/>
      <c r="AC324" s="351"/>
      <c r="AD324" s="351"/>
      <c r="AE324" s="351"/>
      <c r="AF324" s="351"/>
      <c r="AG324" s="351"/>
      <c r="AH324" s="285"/>
      <c r="AI324" s="273"/>
      <c r="AJ324" s="340"/>
      <c r="AK324" s="341"/>
      <c r="AL324" s="273"/>
      <c r="AM324" s="273"/>
      <c r="AN324" s="273"/>
      <c r="AO324" s="273"/>
      <c r="AP324" s="273"/>
      <c r="AQ324" s="273"/>
      <c r="AR324" s="273"/>
      <c r="AS324" s="273"/>
      <c r="AT324" s="273"/>
      <c r="AU324" s="273"/>
      <c r="AV324" s="273"/>
      <c r="AW324" s="273"/>
      <c r="AX324" s="273"/>
      <c r="AY324" s="273"/>
      <c r="AZ324" s="273"/>
      <c r="BA324" s="273"/>
      <c r="BB324" s="273"/>
      <c r="BC324" s="273"/>
      <c r="BD324" s="273"/>
      <c r="BE324" s="273"/>
      <c r="BF324" s="273"/>
      <c r="BG324" s="273"/>
      <c r="BH324" s="273"/>
      <c r="BI324" s="273"/>
      <c r="BJ324" s="273"/>
      <c r="BK324" s="273"/>
      <c r="BL324" s="273"/>
      <c r="BM324" s="273"/>
      <c r="BN324" s="273"/>
      <c r="BO324" s="273"/>
      <c r="BP324" s="273"/>
      <c r="BQ324" s="273"/>
      <c r="BR324" s="273"/>
      <c r="BS324" s="273"/>
      <c r="BT324" s="273"/>
      <c r="BU324" s="273"/>
      <c r="BV324" s="273"/>
      <c r="BW324" s="273"/>
    </row>
    <row r="325">
      <c r="A325" s="259" t="str">
        <f>VLOOKUP($F325,UpdateHashtag!$V$3:$Y$32,COLUMN(B$15),0)</f>
        <v>#N/A</v>
      </c>
      <c r="B325" s="259" t="str">
        <f>VLOOKUP($F325,UpdateHashtag!$V$3:$Y$32,COLUMN(C$13),0)</f>
        <v>#N/A</v>
      </c>
      <c r="C325" s="259" t="str">
        <f>VLOOKUP($F325,UpdateHashtag!$V$3:$Y$32,COLUMN(D$13),0)</f>
        <v>#N/A</v>
      </c>
      <c r="D325" s="329" t="str">
        <f t="shared" si="4"/>
        <v>#N/A</v>
      </c>
      <c r="E325" s="21"/>
      <c r="F325" s="261" t="str">
        <f>VLOOKUP(J325,UpdateBBM!$C$2:E1015,3,0)</f>
        <v>#N/A</v>
      </c>
      <c r="G325" s="31">
        <v>305.0</v>
      </c>
      <c r="H325" s="278"/>
      <c r="I325" s="278"/>
      <c r="J325" s="279"/>
      <c r="K325" s="278"/>
      <c r="L325" s="280"/>
      <c r="M325" s="281"/>
      <c r="N325" s="282"/>
      <c r="O325" s="282"/>
      <c r="P325" s="283"/>
      <c r="Q325" s="283"/>
      <c r="R325" s="283"/>
      <c r="S325" s="284"/>
      <c r="T325" s="283"/>
      <c r="U325" s="283"/>
      <c r="V325" s="280"/>
      <c r="W325" s="280"/>
      <c r="X325" s="280"/>
      <c r="Y325" s="283"/>
      <c r="Z325" s="351"/>
      <c r="AA325" s="351"/>
      <c r="AB325" s="351"/>
      <c r="AC325" s="351"/>
      <c r="AD325" s="351"/>
      <c r="AE325" s="351"/>
      <c r="AF325" s="351"/>
      <c r="AG325" s="351"/>
      <c r="AH325" s="285"/>
      <c r="AI325" s="273"/>
      <c r="AJ325" s="340"/>
      <c r="AK325" s="341"/>
      <c r="AL325" s="273"/>
      <c r="AM325" s="273"/>
      <c r="AN325" s="273"/>
      <c r="AO325" s="273"/>
      <c r="AP325" s="273"/>
      <c r="AQ325" s="273"/>
      <c r="AR325" s="273"/>
      <c r="AS325" s="273"/>
      <c r="AT325" s="273"/>
      <c r="AU325" s="273"/>
      <c r="AV325" s="273"/>
      <c r="AW325" s="273"/>
      <c r="AX325" s="273"/>
      <c r="AY325" s="273"/>
      <c r="AZ325" s="273"/>
      <c r="BA325" s="273"/>
      <c r="BB325" s="273"/>
      <c r="BC325" s="273"/>
      <c r="BD325" s="273"/>
      <c r="BE325" s="273"/>
      <c r="BF325" s="273"/>
      <c r="BG325" s="273"/>
      <c r="BH325" s="273"/>
      <c r="BI325" s="273"/>
      <c r="BJ325" s="273"/>
      <c r="BK325" s="273"/>
      <c r="BL325" s="273"/>
      <c r="BM325" s="273"/>
      <c r="BN325" s="273"/>
      <c r="BO325" s="273"/>
      <c r="BP325" s="273"/>
      <c r="BQ325" s="273"/>
      <c r="BR325" s="273"/>
      <c r="BS325" s="273"/>
      <c r="BT325" s="273"/>
      <c r="BU325" s="273"/>
      <c r="BV325" s="273"/>
      <c r="BW325" s="273"/>
    </row>
    <row r="326">
      <c r="A326" s="259" t="str">
        <f>VLOOKUP($F326,UpdateHashtag!$V$3:$Y$32,COLUMN(B$15),0)</f>
        <v>#N/A</v>
      </c>
      <c r="B326" s="259" t="str">
        <f>VLOOKUP($F326,UpdateHashtag!$V$3:$Y$32,COLUMN(C$13),0)</f>
        <v>#N/A</v>
      </c>
      <c r="C326" s="259" t="str">
        <f>VLOOKUP($F326,UpdateHashtag!$V$3:$Y$32,COLUMN(D$13),0)</f>
        <v>#N/A</v>
      </c>
      <c r="D326" s="329" t="str">
        <f t="shared" si="4"/>
        <v>#N/A</v>
      </c>
      <c r="E326" s="21"/>
      <c r="F326" s="261" t="str">
        <f>VLOOKUP(J326,UpdateBBM!$C$2:E1015,3,0)</f>
        <v>#N/A</v>
      </c>
      <c r="G326" s="31">
        <v>306.0</v>
      </c>
      <c r="H326" s="278"/>
      <c r="I326" s="278"/>
      <c r="J326" s="279"/>
      <c r="K326" s="278"/>
      <c r="L326" s="280"/>
      <c r="M326" s="281"/>
      <c r="N326" s="282"/>
      <c r="O326" s="282"/>
      <c r="P326" s="283"/>
      <c r="Q326" s="283"/>
      <c r="R326" s="283"/>
      <c r="S326" s="284"/>
      <c r="T326" s="283"/>
      <c r="U326" s="283"/>
      <c r="V326" s="280"/>
      <c r="W326" s="280"/>
      <c r="X326" s="280"/>
      <c r="Y326" s="283"/>
      <c r="Z326" s="351"/>
      <c r="AA326" s="351"/>
      <c r="AB326" s="351"/>
      <c r="AC326" s="351"/>
      <c r="AD326" s="351"/>
      <c r="AE326" s="351"/>
      <c r="AF326" s="351"/>
      <c r="AG326" s="351"/>
      <c r="AH326" s="285"/>
      <c r="AI326" s="273"/>
      <c r="AJ326" s="340"/>
      <c r="AK326" s="341"/>
      <c r="AL326" s="273"/>
      <c r="AM326" s="273"/>
      <c r="AN326" s="273"/>
      <c r="AO326" s="273"/>
      <c r="AP326" s="273"/>
      <c r="AQ326" s="273"/>
      <c r="AR326" s="273"/>
      <c r="AS326" s="273"/>
      <c r="AT326" s="273"/>
      <c r="AU326" s="273"/>
      <c r="AV326" s="273"/>
      <c r="AW326" s="273"/>
      <c r="AX326" s="273"/>
      <c r="AY326" s="273"/>
      <c r="AZ326" s="273"/>
      <c r="BA326" s="273"/>
      <c r="BB326" s="273"/>
      <c r="BC326" s="273"/>
      <c r="BD326" s="273"/>
      <c r="BE326" s="273"/>
      <c r="BF326" s="273"/>
      <c r="BG326" s="273"/>
      <c r="BH326" s="273"/>
      <c r="BI326" s="273"/>
      <c r="BJ326" s="273"/>
      <c r="BK326" s="273"/>
      <c r="BL326" s="273"/>
      <c r="BM326" s="273"/>
      <c r="BN326" s="273"/>
      <c r="BO326" s="273"/>
      <c r="BP326" s="273"/>
      <c r="BQ326" s="273"/>
      <c r="BR326" s="273"/>
      <c r="BS326" s="273"/>
      <c r="BT326" s="273"/>
      <c r="BU326" s="273"/>
      <c r="BV326" s="273"/>
      <c r="BW326" s="273"/>
    </row>
    <row r="327">
      <c r="A327" s="259" t="str">
        <f>VLOOKUP($F327,UpdateHashtag!$V$3:$Y$32,COLUMN(B$15),0)</f>
        <v>#N/A</v>
      </c>
      <c r="B327" s="259" t="str">
        <f>VLOOKUP($F327,UpdateHashtag!$V$3:$Y$32,COLUMN(C$13),0)</f>
        <v>#N/A</v>
      </c>
      <c r="C327" s="259" t="str">
        <f>VLOOKUP($F327,UpdateHashtag!$V$3:$Y$32,COLUMN(D$13),0)</f>
        <v>#N/A</v>
      </c>
      <c r="D327" s="329" t="str">
        <f t="shared" si="4"/>
        <v>#N/A</v>
      </c>
      <c r="E327" s="21"/>
      <c r="F327" s="261" t="str">
        <f>VLOOKUP(J327,UpdateBBM!$C$2:E1015,3,0)</f>
        <v>#N/A</v>
      </c>
      <c r="G327" s="31">
        <v>307.0</v>
      </c>
      <c r="H327" s="278"/>
      <c r="I327" s="278"/>
      <c r="J327" s="279"/>
      <c r="K327" s="278"/>
      <c r="L327" s="280"/>
      <c r="M327" s="281"/>
      <c r="N327" s="282"/>
      <c r="O327" s="282"/>
      <c r="P327" s="283"/>
      <c r="Q327" s="283"/>
      <c r="R327" s="283"/>
      <c r="S327" s="284"/>
      <c r="T327" s="283"/>
      <c r="U327" s="283"/>
      <c r="V327" s="280"/>
      <c r="W327" s="280"/>
      <c r="X327" s="280"/>
      <c r="Y327" s="283"/>
      <c r="Z327" s="351"/>
      <c r="AA327" s="351"/>
      <c r="AB327" s="351"/>
      <c r="AC327" s="351"/>
      <c r="AD327" s="351"/>
      <c r="AE327" s="351"/>
      <c r="AF327" s="351"/>
      <c r="AG327" s="351"/>
      <c r="AH327" s="285"/>
      <c r="AI327" s="273"/>
      <c r="AJ327" s="340"/>
      <c r="AK327" s="341"/>
      <c r="AL327" s="273"/>
      <c r="AM327" s="273"/>
      <c r="AN327" s="273"/>
      <c r="AO327" s="273"/>
      <c r="AP327" s="273"/>
      <c r="AQ327" s="273"/>
      <c r="AR327" s="273"/>
      <c r="AS327" s="273"/>
      <c r="AT327" s="273"/>
      <c r="AU327" s="273"/>
      <c r="AV327" s="273"/>
      <c r="AW327" s="273"/>
      <c r="AX327" s="273"/>
      <c r="AY327" s="273"/>
      <c r="AZ327" s="273"/>
      <c r="BA327" s="273"/>
      <c r="BB327" s="273"/>
      <c r="BC327" s="273"/>
      <c r="BD327" s="273"/>
      <c r="BE327" s="273"/>
      <c r="BF327" s="273"/>
      <c r="BG327" s="273"/>
      <c r="BH327" s="273"/>
      <c r="BI327" s="273"/>
      <c r="BJ327" s="273"/>
      <c r="BK327" s="273"/>
      <c r="BL327" s="273"/>
      <c r="BM327" s="273"/>
      <c r="BN327" s="273"/>
      <c r="BO327" s="273"/>
      <c r="BP327" s="273"/>
      <c r="BQ327" s="273"/>
      <c r="BR327" s="273"/>
      <c r="BS327" s="273"/>
      <c r="BT327" s="273"/>
      <c r="BU327" s="273"/>
      <c r="BV327" s="273"/>
      <c r="BW327" s="273"/>
    </row>
    <row r="328">
      <c r="A328" s="259" t="str">
        <f>VLOOKUP($F328,UpdateHashtag!$V$3:$Y$32,COLUMN(B$15),0)</f>
        <v>#N/A</v>
      </c>
      <c r="B328" s="259" t="str">
        <f>VLOOKUP($F328,UpdateHashtag!$V$3:$Y$32,COLUMN(C$13),0)</f>
        <v>#N/A</v>
      </c>
      <c r="C328" s="259" t="str">
        <f>VLOOKUP($F328,UpdateHashtag!$V$3:$Y$32,COLUMN(D$13),0)</f>
        <v>#N/A</v>
      </c>
      <c r="D328" s="329" t="str">
        <f t="shared" si="4"/>
        <v>#N/A</v>
      </c>
      <c r="E328" s="21"/>
      <c r="F328" s="261" t="str">
        <f>VLOOKUP(J328,UpdateBBM!$C$2:E1015,3,0)</f>
        <v>#N/A</v>
      </c>
      <c r="G328" s="31">
        <v>308.0</v>
      </c>
      <c r="H328" s="278"/>
      <c r="I328" s="278"/>
      <c r="J328" s="279"/>
      <c r="K328" s="278"/>
      <c r="L328" s="280"/>
      <c r="M328" s="281"/>
      <c r="N328" s="282"/>
      <c r="O328" s="282"/>
      <c r="P328" s="283"/>
      <c r="Q328" s="283"/>
      <c r="R328" s="283"/>
      <c r="S328" s="284"/>
      <c r="T328" s="283"/>
      <c r="U328" s="283"/>
      <c r="V328" s="280"/>
      <c r="W328" s="280"/>
      <c r="X328" s="280"/>
      <c r="Y328" s="283"/>
      <c r="Z328" s="351"/>
      <c r="AA328" s="351"/>
      <c r="AB328" s="351"/>
      <c r="AC328" s="351"/>
      <c r="AD328" s="351"/>
      <c r="AE328" s="351"/>
      <c r="AF328" s="351"/>
      <c r="AG328" s="351"/>
      <c r="AH328" s="285"/>
      <c r="AI328" s="273"/>
      <c r="AJ328" s="340"/>
      <c r="AK328" s="341"/>
      <c r="AL328" s="273"/>
      <c r="AM328" s="273"/>
      <c r="AN328" s="273"/>
      <c r="AO328" s="273"/>
      <c r="AP328" s="273"/>
      <c r="AQ328" s="273"/>
      <c r="AR328" s="273"/>
      <c r="AS328" s="273"/>
      <c r="AT328" s="273"/>
      <c r="AU328" s="273"/>
      <c r="AV328" s="273"/>
      <c r="AW328" s="273"/>
      <c r="AX328" s="273"/>
      <c r="AY328" s="273"/>
      <c r="AZ328" s="273"/>
      <c r="BA328" s="273"/>
      <c r="BB328" s="273"/>
      <c r="BC328" s="273"/>
      <c r="BD328" s="273"/>
      <c r="BE328" s="273"/>
      <c r="BF328" s="273"/>
      <c r="BG328" s="273"/>
      <c r="BH328" s="273"/>
      <c r="BI328" s="273"/>
      <c r="BJ328" s="273"/>
      <c r="BK328" s="273"/>
      <c r="BL328" s="273"/>
      <c r="BM328" s="273"/>
      <c r="BN328" s="273"/>
      <c r="BO328" s="273"/>
      <c r="BP328" s="273"/>
      <c r="BQ328" s="273"/>
      <c r="BR328" s="273"/>
      <c r="BS328" s="273"/>
      <c r="BT328" s="273"/>
      <c r="BU328" s="273"/>
      <c r="BV328" s="273"/>
      <c r="BW328" s="273"/>
    </row>
    <row r="329">
      <c r="A329" s="259" t="str">
        <f>VLOOKUP($F329,UpdateHashtag!$V$3:$Y$32,COLUMN(B$15),0)</f>
        <v>#N/A</v>
      </c>
      <c r="B329" s="259" t="str">
        <f>VLOOKUP($F329,UpdateHashtag!$V$3:$Y$32,COLUMN(C$13),0)</f>
        <v>#N/A</v>
      </c>
      <c r="C329" s="259" t="str">
        <f>VLOOKUP($F329,UpdateHashtag!$V$3:$Y$32,COLUMN(D$13),0)</f>
        <v>#N/A</v>
      </c>
      <c r="D329" s="329" t="str">
        <f t="shared" si="4"/>
        <v>#N/A</v>
      </c>
      <c r="E329" s="21"/>
      <c r="F329" s="261" t="str">
        <f>VLOOKUP(J329,UpdateBBM!$C$2:E1015,3,0)</f>
        <v>#N/A</v>
      </c>
      <c r="G329" s="31">
        <v>309.0</v>
      </c>
      <c r="H329" s="278"/>
      <c r="I329" s="278"/>
      <c r="J329" s="279"/>
      <c r="K329" s="278"/>
      <c r="L329" s="280"/>
      <c r="M329" s="281"/>
      <c r="N329" s="282"/>
      <c r="O329" s="282"/>
      <c r="P329" s="283"/>
      <c r="Q329" s="283"/>
      <c r="R329" s="283"/>
      <c r="S329" s="284"/>
      <c r="T329" s="283"/>
      <c r="U329" s="283"/>
      <c r="V329" s="280"/>
      <c r="W329" s="280"/>
      <c r="X329" s="280"/>
      <c r="Y329" s="283"/>
      <c r="Z329" s="351"/>
      <c r="AA329" s="351"/>
      <c r="AB329" s="351"/>
      <c r="AC329" s="351"/>
      <c r="AD329" s="351"/>
      <c r="AE329" s="351"/>
      <c r="AF329" s="351"/>
      <c r="AG329" s="351"/>
      <c r="AH329" s="285"/>
      <c r="AI329" s="273"/>
      <c r="AJ329" s="340"/>
      <c r="AK329" s="341"/>
      <c r="AL329" s="273"/>
      <c r="AM329" s="273"/>
      <c r="AN329" s="273"/>
      <c r="AO329" s="273"/>
      <c r="AP329" s="273"/>
      <c r="AQ329" s="273"/>
      <c r="AR329" s="273"/>
      <c r="AS329" s="273"/>
      <c r="AT329" s="273"/>
      <c r="AU329" s="273"/>
      <c r="AV329" s="273"/>
      <c r="AW329" s="273"/>
      <c r="AX329" s="273"/>
      <c r="AY329" s="273"/>
      <c r="AZ329" s="273"/>
      <c r="BA329" s="273"/>
      <c r="BB329" s="273"/>
      <c r="BC329" s="273"/>
      <c r="BD329" s="273"/>
      <c r="BE329" s="273"/>
      <c r="BF329" s="273"/>
      <c r="BG329" s="273"/>
      <c r="BH329" s="273"/>
      <c r="BI329" s="273"/>
      <c r="BJ329" s="273"/>
      <c r="BK329" s="273"/>
      <c r="BL329" s="273"/>
      <c r="BM329" s="273"/>
      <c r="BN329" s="273"/>
      <c r="BO329" s="273"/>
      <c r="BP329" s="273"/>
      <c r="BQ329" s="273"/>
      <c r="BR329" s="273"/>
      <c r="BS329" s="273"/>
      <c r="BT329" s="273"/>
      <c r="BU329" s="273"/>
      <c r="BV329" s="273"/>
      <c r="BW329" s="273"/>
    </row>
    <row r="330">
      <c r="A330" s="259" t="str">
        <f>VLOOKUP($F330,UpdateHashtag!$V$3:$Y$32,COLUMN(B$15),0)</f>
        <v>#N/A</v>
      </c>
      <c r="B330" s="259" t="str">
        <f>VLOOKUP($F330,UpdateHashtag!$V$3:$Y$32,COLUMN(C$13),0)</f>
        <v>#N/A</v>
      </c>
      <c r="C330" s="259" t="str">
        <f>VLOOKUP($F330,UpdateHashtag!$V$3:$Y$32,COLUMN(D$13),0)</f>
        <v>#N/A</v>
      </c>
      <c r="D330" s="329" t="str">
        <f t="shared" si="4"/>
        <v>#N/A</v>
      </c>
      <c r="E330" s="21"/>
      <c r="F330" s="261" t="str">
        <f>VLOOKUP(J330,UpdateBBM!$C$2:E1015,3,0)</f>
        <v>#N/A</v>
      </c>
      <c r="G330" s="31">
        <v>310.0</v>
      </c>
      <c r="H330" s="278"/>
      <c r="I330" s="278"/>
      <c r="J330" s="279"/>
      <c r="K330" s="278"/>
      <c r="L330" s="280"/>
      <c r="M330" s="281"/>
      <c r="N330" s="282"/>
      <c r="O330" s="282"/>
      <c r="P330" s="283"/>
      <c r="Q330" s="283"/>
      <c r="R330" s="283"/>
      <c r="S330" s="284"/>
      <c r="T330" s="283"/>
      <c r="U330" s="283"/>
      <c r="V330" s="280"/>
      <c r="W330" s="280"/>
      <c r="X330" s="280"/>
      <c r="Y330" s="283"/>
      <c r="Z330" s="351"/>
      <c r="AA330" s="351"/>
      <c r="AB330" s="351"/>
      <c r="AC330" s="351"/>
      <c r="AD330" s="351"/>
      <c r="AE330" s="351"/>
      <c r="AF330" s="351"/>
      <c r="AG330" s="351"/>
      <c r="AH330" s="285"/>
      <c r="AI330" s="273"/>
      <c r="AJ330" s="340"/>
      <c r="AK330" s="341"/>
      <c r="AL330" s="273"/>
      <c r="AM330" s="273"/>
      <c r="AN330" s="273"/>
      <c r="AO330" s="273"/>
      <c r="AP330" s="273"/>
      <c r="AQ330" s="273"/>
      <c r="AR330" s="273"/>
      <c r="AS330" s="273"/>
      <c r="AT330" s="273"/>
      <c r="AU330" s="273"/>
      <c r="AV330" s="273"/>
      <c r="AW330" s="273"/>
      <c r="AX330" s="273"/>
      <c r="AY330" s="273"/>
      <c r="AZ330" s="273"/>
      <c r="BA330" s="273"/>
      <c r="BB330" s="273"/>
      <c r="BC330" s="273"/>
      <c r="BD330" s="273"/>
      <c r="BE330" s="273"/>
      <c r="BF330" s="273"/>
      <c r="BG330" s="273"/>
      <c r="BH330" s="273"/>
      <c r="BI330" s="273"/>
      <c r="BJ330" s="273"/>
      <c r="BK330" s="273"/>
      <c r="BL330" s="273"/>
      <c r="BM330" s="273"/>
      <c r="BN330" s="273"/>
      <c r="BO330" s="273"/>
      <c r="BP330" s="273"/>
      <c r="BQ330" s="273"/>
      <c r="BR330" s="273"/>
      <c r="BS330" s="273"/>
      <c r="BT330" s="273"/>
      <c r="BU330" s="273"/>
      <c r="BV330" s="273"/>
      <c r="BW330" s="273"/>
    </row>
    <row r="331">
      <c r="A331" s="259" t="str">
        <f>VLOOKUP($F331,UpdateHashtag!$V$3:$Y$32,COLUMN(B$15),0)</f>
        <v>#N/A</v>
      </c>
      <c r="B331" s="259" t="str">
        <f>VLOOKUP($F331,UpdateHashtag!$V$3:$Y$32,COLUMN(C$13),0)</f>
        <v>#N/A</v>
      </c>
      <c r="C331" s="259" t="str">
        <f>VLOOKUP($F331,UpdateHashtag!$V$3:$Y$32,COLUMN(D$13),0)</f>
        <v>#N/A</v>
      </c>
      <c r="D331" s="329" t="str">
        <f t="shared" si="4"/>
        <v>#N/A</v>
      </c>
      <c r="E331" s="21"/>
      <c r="F331" s="261" t="str">
        <f>VLOOKUP(J331,UpdateBBM!$C$2:E1015,3,0)</f>
        <v>#N/A</v>
      </c>
      <c r="G331" s="31">
        <v>311.0</v>
      </c>
      <c r="H331" s="278"/>
      <c r="I331" s="278"/>
      <c r="J331" s="279"/>
      <c r="K331" s="278"/>
      <c r="L331" s="280"/>
      <c r="M331" s="281"/>
      <c r="N331" s="282"/>
      <c r="O331" s="282"/>
      <c r="P331" s="283"/>
      <c r="Q331" s="283"/>
      <c r="R331" s="283"/>
      <c r="S331" s="284"/>
      <c r="T331" s="283"/>
      <c r="U331" s="283"/>
      <c r="V331" s="280"/>
      <c r="W331" s="280"/>
      <c r="X331" s="280"/>
      <c r="Y331" s="283"/>
      <c r="Z331" s="351"/>
      <c r="AA331" s="351"/>
      <c r="AB331" s="351"/>
      <c r="AC331" s="351"/>
      <c r="AD331" s="351"/>
      <c r="AE331" s="351"/>
      <c r="AF331" s="351"/>
      <c r="AG331" s="351"/>
      <c r="AH331" s="285"/>
      <c r="AI331" s="273"/>
      <c r="AJ331" s="340"/>
      <c r="AK331" s="341"/>
      <c r="AL331" s="273"/>
      <c r="AM331" s="273"/>
      <c r="AN331" s="273"/>
      <c r="AO331" s="273"/>
      <c r="AP331" s="273"/>
      <c r="AQ331" s="273"/>
      <c r="AR331" s="273"/>
      <c r="AS331" s="273"/>
      <c r="AT331" s="273"/>
      <c r="AU331" s="273"/>
      <c r="AV331" s="273"/>
      <c r="AW331" s="273"/>
      <c r="AX331" s="273"/>
      <c r="AY331" s="273"/>
      <c r="AZ331" s="273"/>
      <c r="BA331" s="273"/>
      <c r="BB331" s="273"/>
      <c r="BC331" s="273"/>
      <c r="BD331" s="273"/>
      <c r="BE331" s="273"/>
      <c r="BF331" s="273"/>
      <c r="BG331" s="273"/>
      <c r="BH331" s="273"/>
      <c r="BI331" s="273"/>
      <c r="BJ331" s="273"/>
      <c r="BK331" s="273"/>
      <c r="BL331" s="273"/>
      <c r="BM331" s="273"/>
      <c r="BN331" s="273"/>
      <c r="BO331" s="273"/>
      <c r="BP331" s="273"/>
      <c r="BQ331" s="273"/>
      <c r="BR331" s="273"/>
      <c r="BS331" s="273"/>
      <c r="BT331" s="273"/>
      <c r="BU331" s="273"/>
      <c r="BV331" s="273"/>
      <c r="BW331" s="273"/>
    </row>
    <row r="332">
      <c r="A332" s="259" t="str">
        <f>VLOOKUP($F332,UpdateHashtag!$V$3:$Y$32,COLUMN(B$15),0)</f>
        <v>#N/A</v>
      </c>
      <c r="B332" s="259" t="str">
        <f>VLOOKUP($F332,UpdateHashtag!$V$3:$Y$32,COLUMN(C$13),0)</f>
        <v>#N/A</v>
      </c>
      <c r="C332" s="259" t="str">
        <f>VLOOKUP($F332,UpdateHashtag!$V$3:$Y$32,COLUMN(D$13),0)</f>
        <v>#N/A</v>
      </c>
      <c r="D332" s="329" t="str">
        <f t="shared" si="4"/>
        <v>#N/A</v>
      </c>
      <c r="E332" s="21"/>
      <c r="F332" s="261" t="str">
        <f>VLOOKUP(J332,UpdateBBM!$C$2:E1015,3,0)</f>
        <v>#N/A</v>
      </c>
      <c r="G332" s="31">
        <v>312.0</v>
      </c>
      <c r="H332" s="278"/>
      <c r="I332" s="278"/>
      <c r="J332" s="279"/>
      <c r="K332" s="278"/>
      <c r="L332" s="280"/>
      <c r="M332" s="281"/>
      <c r="N332" s="282"/>
      <c r="O332" s="282"/>
      <c r="P332" s="283"/>
      <c r="Q332" s="283"/>
      <c r="R332" s="283"/>
      <c r="S332" s="284"/>
      <c r="T332" s="283"/>
      <c r="U332" s="283"/>
      <c r="V332" s="280"/>
      <c r="W332" s="280"/>
      <c r="X332" s="280"/>
      <c r="Y332" s="283"/>
      <c r="Z332" s="351"/>
      <c r="AA332" s="351"/>
      <c r="AB332" s="351"/>
      <c r="AC332" s="351"/>
      <c r="AD332" s="351"/>
      <c r="AE332" s="351"/>
      <c r="AF332" s="351"/>
      <c r="AG332" s="351"/>
      <c r="AH332" s="285"/>
      <c r="AI332" s="273"/>
      <c r="AJ332" s="340"/>
      <c r="AK332" s="341"/>
      <c r="AL332" s="273"/>
      <c r="AM332" s="273"/>
      <c r="AN332" s="273"/>
      <c r="AO332" s="273"/>
      <c r="AP332" s="273"/>
      <c r="AQ332" s="273"/>
      <c r="AR332" s="273"/>
      <c r="AS332" s="273"/>
      <c r="AT332" s="273"/>
      <c r="AU332" s="273"/>
      <c r="AV332" s="273"/>
      <c r="AW332" s="273"/>
      <c r="AX332" s="273"/>
      <c r="AY332" s="273"/>
      <c r="AZ332" s="273"/>
      <c r="BA332" s="273"/>
      <c r="BB332" s="273"/>
      <c r="BC332" s="273"/>
      <c r="BD332" s="273"/>
      <c r="BE332" s="273"/>
      <c r="BF332" s="273"/>
      <c r="BG332" s="273"/>
      <c r="BH332" s="273"/>
      <c r="BI332" s="273"/>
      <c r="BJ332" s="273"/>
      <c r="BK332" s="273"/>
      <c r="BL332" s="273"/>
      <c r="BM332" s="273"/>
      <c r="BN332" s="273"/>
      <c r="BO332" s="273"/>
      <c r="BP332" s="273"/>
      <c r="BQ332" s="273"/>
      <c r="BR332" s="273"/>
      <c r="BS332" s="273"/>
      <c r="BT332" s="273"/>
      <c r="BU332" s="273"/>
      <c r="BV332" s="273"/>
      <c r="BW332" s="273"/>
    </row>
    <row r="333">
      <c r="A333" s="259" t="str">
        <f>VLOOKUP($F333,UpdateHashtag!$V$3:$Y$32,COLUMN(B$15),0)</f>
        <v>#N/A</v>
      </c>
      <c r="B333" s="259" t="str">
        <f>VLOOKUP($F333,UpdateHashtag!$V$3:$Y$32,COLUMN(C$13),0)</f>
        <v>#N/A</v>
      </c>
      <c r="C333" s="259" t="str">
        <f>VLOOKUP($F333,UpdateHashtag!$V$3:$Y$32,COLUMN(D$13),0)</f>
        <v>#N/A</v>
      </c>
      <c r="D333" s="329" t="str">
        <f t="shared" si="4"/>
        <v>#N/A</v>
      </c>
      <c r="E333" s="21"/>
      <c r="F333" s="261" t="str">
        <f>VLOOKUP(J333,UpdateBBM!$C$2:E1015,3,0)</f>
        <v>#N/A</v>
      </c>
      <c r="G333" s="31">
        <v>313.0</v>
      </c>
      <c r="H333" s="278"/>
      <c r="I333" s="278"/>
      <c r="J333" s="279"/>
      <c r="K333" s="278"/>
      <c r="L333" s="280"/>
      <c r="M333" s="281"/>
      <c r="N333" s="282"/>
      <c r="O333" s="282"/>
      <c r="P333" s="283"/>
      <c r="Q333" s="283"/>
      <c r="R333" s="283"/>
      <c r="S333" s="284"/>
      <c r="T333" s="283"/>
      <c r="U333" s="283"/>
      <c r="V333" s="280"/>
      <c r="W333" s="280"/>
      <c r="X333" s="280"/>
      <c r="Y333" s="283"/>
      <c r="Z333" s="351"/>
      <c r="AA333" s="351"/>
      <c r="AB333" s="351"/>
      <c r="AC333" s="351"/>
      <c r="AD333" s="351"/>
      <c r="AE333" s="351"/>
      <c r="AF333" s="351"/>
      <c r="AG333" s="351"/>
      <c r="AH333" s="285"/>
      <c r="AI333" s="273"/>
      <c r="AJ333" s="340"/>
      <c r="AK333" s="341"/>
      <c r="AL333" s="273"/>
      <c r="AM333" s="273"/>
      <c r="AN333" s="273"/>
      <c r="AO333" s="273"/>
      <c r="AP333" s="273"/>
      <c r="AQ333" s="273"/>
      <c r="AR333" s="273"/>
      <c r="AS333" s="273"/>
      <c r="AT333" s="273"/>
      <c r="AU333" s="273"/>
      <c r="AV333" s="273"/>
      <c r="AW333" s="273"/>
      <c r="AX333" s="273"/>
      <c r="AY333" s="273"/>
      <c r="AZ333" s="273"/>
      <c r="BA333" s="273"/>
      <c r="BB333" s="273"/>
      <c r="BC333" s="273"/>
      <c r="BD333" s="273"/>
      <c r="BE333" s="273"/>
      <c r="BF333" s="273"/>
      <c r="BG333" s="273"/>
      <c r="BH333" s="273"/>
      <c r="BI333" s="273"/>
      <c r="BJ333" s="273"/>
      <c r="BK333" s="273"/>
      <c r="BL333" s="273"/>
      <c r="BM333" s="273"/>
      <c r="BN333" s="273"/>
      <c r="BO333" s="273"/>
      <c r="BP333" s="273"/>
      <c r="BQ333" s="273"/>
      <c r="BR333" s="273"/>
      <c r="BS333" s="273"/>
      <c r="BT333" s="273"/>
      <c r="BU333" s="273"/>
      <c r="BV333" s="273"/>
      <c r="BW333" s="273"/>
    </row>
    <row r="334">
      <c r="A334" s="259" t="str">
        <f>VLOOKUP($F334,UpdateHashtag!$V$3:$Y$32,COLUMN(B$15),0)</f>
        <v>#N/A</v>
      </c>
      <c r="B334" s="259" t="str">
        <f>VLOOKUP($F334,UpdateHashtag!$V$3:$Y$32,COLUMN(C$13),0)</f>
        <v>#N/A</v>
      </c>
      <c r="C334" s="259" t="str">
        <f>VLOOKUP($F334,UpdateHashtag!$V$3:$Y$32,COLUMN(D$13),0)</f>
        <v>#N/A</v>
      </c>
      <c r="D334" s="329" t="str">
        <f t="shared" si="4"/>
        <v>#N/A</v>
      </c>
      <c r="E334" s="21"/>
      <c r="F334" s="261" t="str">
        <f>VLOOKUP(J334,UpdateBBM!$C$2:E1015,3,0)</f>
        <v>#N/A</v>
      </c>
      <c r="G334" s="31">
        <v>314.0</v>
      </c>
      <c r="H334" s="278"/>
      <c r="I334" s="278"/>
      <c r="J334" s="279"/>
      <c r="K334" s="278"/>
      <c r="L334" s="280"/>
      <c r="M334" s="281"/>
      <c r="N334" s="282"/>
      <c r="O334" s="282"/>
      <c r="P334" s="283"/>
      <c r="Q334" s="283"/>
      <c r="R334" s="283"/>
      <c r="S334" s="284"/>
      <c r="T334" s="283"/>
      <c r="U334" s="283"/>
      <c r="V334" s="280"/>
      <c r="W334" s="280"/>
      <c r="X334" s="280"/>
      <c r="Y334" s="283"/>
      <c r="Z334" s="351"/>
      <c r="AA334" s="351"/>
      <c r="AB334" s="351"/>
      <c r="AC334" s="351"/>
      <c r="AD334" s="351"/>
      <c r="AE334" s="351"/>
      <c r="AF334" s="351"/>
      <c r="AG334" s="351"/>
      <c r="AH334" s="285"/>
      <c r="AI334" s="273"/>
      <c r="AJ334" s="340"/>
      <c r="AK334" s="341"/>
      <c r="AL334" s="273"/>
      <c r="AM334" s="273"/>
      <c r="AN334" s="273"/>
      <c r="AO334" s="273"/>
      <c r="AP334" s="273"/>
      <c r="AQ334" s="273"/>
      <c r="AR334" s="273"/>
      <c r="AS334" s="273"/>
      <c r="AT334" s="273"/>
      <c r="AU334" s="273"/>
      <c r="AV334" s="273"/>
      <c r="AW334" s="273"/>
      <c r="AX334" s="273"/>
      <c r="AY334" s="273"/>
      <c r="AZ334" s="273"/>
      <c r="BA334" s="273"/>
      <c r="BB334" s="273"/>
      <c r="BC334" s="273"/>
      <c r="BD334" s="273"/>
      <c r="BE334" s="273"/>
      <c r="BF334" s="273"/>
      <c r="BG334" s="273"/>
      <c r="BH334" s="273"/>
      <c r="BI334" s="273"/>
      <c r="BJ334" s="273"/>
      <c r="BK334" s="273"/>
      <c r="BL334" s="273"/>
      <c r="BM334" s="273"/>
      <c r="BN334" s="273"/>
      <c r="BO334" s="273"/>
      <c r="BP334" s="273"/>
      <c r="BQ334" s="273"/>
      <c r="BR334" s="273"/>
      <c r="BS334" s="273"/>
      <c r="BT334" s="273"/>
      <c r="BU334" s="273"/>
      <c r="BV334" s="273"/>
      <c r="BW334" s="273"/>
    </row>
    <row r="335">
      <c r="A335" s="259" t="str">
        <f>VLOOKUP($F335,UpdateHashtag!$V$3:$Y$32,COLUMN(B$15),0)</f>
        <v>#N/A</v>
      </c>
      <c r="B335" s="259" t="str">
        <f>VLOOKUP($F335,UpdateHashtag!$V$3:$Y$32,COLUMN(C$13),0)</f>
        <v>#N/A</v>
      </c>
      <c r="C335" s="259" t="str">
        <f>VLOOKUP($F335,UpdateHashtag!$V$3:$Y$32,COLUMN(D$13),0)</f>
        <v>#N/A</v>
      </c>
      <c r="D335" s="329" t="str">
        <f t="shared" si="4"/>
        <v>#N/A</v>
      </c>
      <c r="E335" s="21"/>
      <c r="F335" s="261" t="str">
        <f>VLOOKUP(J335,UpdateBBM!$C$2:E1015,3,0)</f>
        <v>#N/A</v>
      </c>
      <c r="G335" s="31">
        <v>315.0</v>
      </c>
      <c r="H335" s="278"/>
      <c r="I335" s="278"/>
      <c r="J335" s="279"/>
      <c r="K335" s="278"/>
      <c r="L335" s="280"/>
      <c r="M335" s="281"/>
      <c r="N335" s="282"/>
      <c r="O335" s="282"/>
      <c r="P335" s="283"/>
      <c r="Q335" s="283"/>
      <c r="R335" s="283"/>
      <c r="S335" s="284"/>
      <c r="T335" s="283"/>
      <c r="U335" s="283"/>
      <c r="V335" s="280"/>
      <c r="W335" s="280"/>
      <c r="X335" s="280"/>
      <c r="Y335" s="283"/>
      <c r="Z335" s="351"/>
      <c r="AA335" s="351"/>
      <c r="AB335" s="351"/>
      <c r="AC335" s="351"/>
      <c r="AD335" s="351"/>
      <c r="AE335" s="351"/>
      <c r="AF335" s="351"/>
      <c r="AG335" s="351"/>
      <c r="AH335" s="285"/>
      <c r="AI335" s="273"/>
      <c r="AJ335" s="340"/>
      <c r="AK335" s="341"/>
      <c r="AL335" s="273"/>
      <c r="AM335" s="273"/>
      <c r="AN335" s="273"/>
      <c r="AO335" s="273"/>
      <c r="AP335" s="273"/>
      <c r="AQ335" s="273"/>
      <c r="AR335" s="273"/>
      <c r="AS335" s="273"/>
      <c r="AT335" s="273"/>
      <c r="AU335" s="273"/>
      <c r="AV335" s="273"/>
      <c r="AW335" s="273"/>
      <c r="AX335" s="273"/>
      <c r="AY335" s="273"/>
      <c r="AZ335" s="273"/>
      <c r="BA335" s="273"/>
      <c r="BB335" s="273"/>
      <c r="BC335" s="273"/>
      <c r="BD335" s="273"/>
      <c r="BE335" s="273"/>
      <c r="BF335" s="273"/>
      <c r="BG335" s="273"/>
      <c r="BH335" s="273"/>
      <c r="BI335" s="273"/>
      <c r="BJ335" s="273"/>
      <c r="BK335" s="273"/>
      <c r="BL335" s="273"/>
      <c r="BM335" s="273"/>
      <c r="BN335" s="273"/>
      <c r="BO335" s="273"/>
      <c r="BP335" s="273"/>
      <c r="BQ335" s="273"/>
      <c r="BR335" s="273"/>
      <c r="BS335" s="273"/>
      <c r="BT335" s="273"/>
      <c r="BU335" s="273"/>
      <c r="BV335" s="273"/>
      <c r="BW335" s="273"/>
    </row>
    <row r="336">
      <c r="A336" s="259" t="str">
        <f>VLOOKUP($F336,UpdateHashtag!$V$3:$Y$32,COLUMN(B$15),0)</f>
        <v>#N/A</v>
      </c>
      <c r="B336" s="259" t="str">
        <f>VLOOKUP($F336,UpdateHashtag!$V$3:$Y$32,COLUMN(C$13),0)</f>
        <v>#N/A</v>
      </c>
      <c r="C336" s="259" t="str">
        <f>VLOOKUP($F336,UpdateHashtag!$V$3:$Y$32,COLUMN(D$13),0)</f>
        <v>#N/A</v>
      </c>
      <c r="D336" s="329" t="str">
        <f t="shared" si="4"/>
        <v>#N/A</v>
      </c>
      <c r="E336" s="21"/>
      <c r="F336" s="261" t="str">
        <f>VLOOKUP(J336,UpdateBBM!$C$2:E1015,3,0)</f>
        <v>#N/A</v>
      </c>
      <c r="G336" s="31">
        <v>316.0</v>
      </c>
      <c r="H336" s="278"/>
      <c r="I336" s="278"/>
      <c r="J336" s="279"/>
      <c r="K336" s="278"/>
      <c r="L336" s="280"/>
      <c r="M336" s="281"/>
      <c r="N336" s="282"/>
      <c r="O336" s="282"/>
      <c r="P336" s="283"/>
      <c r="Q336" s="283"/>
      <c r="R336" s="283"/>
      <c r="S336" s="284"/>
      <c r="T336" s="283"/>
      <c r="U336" s="283"/>
      <c r="V336" s="280"/>
      <c r="W336" s="280"/>
      <c r="X336" s="280"/>
      <c r="Y336" s="283"/>
      <c r="Z336" s="351"/>
      <c r="AA336" s="351"/>
      <c r="AB336" s="351"/>
      <c r="AC336" s="351"/>
      <c r="AD336" s="351"/>
      <c r="AE336" s="351"/>
      <c r="AF336" s="351"/>
      <c r="AG336" s="351"/>
      <c r="AH336" s="285"/>
      <c r="AI336" s="273"/>
      <c r="AJ336" s="340"/>
      <c r="AK336" s="341"/>
      <c r="AL336" s="273"/>
      <c r="AM336" s="273"/>
      <c r="AN336" s="273"/>
      <c r="AO336" s="273"/>
      <c r="AP336" s="273"/>
      <c r="AQ336" s="273"/>
      <c r="AR336" s="273"/>
      <c r="AS336" s="273"/>
      <c r="AT336" s="273"/>
      <c r="AU336" s="273"/>
      <c r="AV336" s="273"/>
      <c r="AW336" s="273"/>
      <c r="AX336" s="273"/>
      <c r="AY336" s="273"/>
      <c r="AZ336" s="273"/>
      <c r="BA336" s="273"/>
      <c r="BB336" s="273"/>
      <c r="BC336" s="273"/>
      <c r="BD336" s="273"/>
      <c r="BE336" s="273"/>
      <c r="BF336" s="273"/>
      <c r="BG336" s="273"/>
      <c r="BH336" s="273"/>
      <c r="BI336" s="273"/>
      <c r="BJ336" s="273"/>
      <c r="BK336" s="273"/>
      <c r="BL336" s="273"/>
      <c r="BM336" s="273"/>
      <c r="BN336" s="273"/>
      <c r="BO336" s="273"/>
      <c r="BP336" s="273"/>
      <c r="BQ336" s="273"/>
      <c r="BR336" s="273"/>
      <c r="BS336" s="273"/>
      <c r="BT336" s="273"/>
      <c r="BU336" s="273"/>
      <c r="BV336" s="273"/>
      <c r="BW336" s="273"/>
    </row>
    <row r="337">
      <c r="A337" s="259" t="str">
        <f>VLOOKUP($F337,UpdateHashtag!$V$3:$Y$32,COLUMN(B$15),0)</f>
        <v>#N/A</v>
      </c>
      <c r="B337" s="259" t="str">
        <f>VLOOKUP($F337,UpdateHashtag!$V$3:$Y$32,COLUMN(C$13),0)</f>
        <v>#N/A</v>
      </c>
      <c r="C337" s="259" t="str">
        <f>VLOOKUP($F337,UpdateHashtag!$V$3:$Y$32,COLUMN(D$13),0)</f>
        <v>#N/A</v>
      </c>
      <c r="D337" s="329" t="str">
        <f t="shared" si="4"/>
        <v>#N/A</v>
      </c>
      <c r="E337" s="21"/>
      <c r="F337" s="261" t="str">
        <f>VLOOKUP(J337,UpdateBBM!$C$2:E1015,3,0)</f>
        <v>#N/A</v>
      </c>
      <c r="G337" s="31">
        <v>317.0</v>
      </c>
      <c r="H337" s="278"/>
      <c r="I337" s="278"/>
      <c r="J337" s="279"/>
      <c r="K337" s="278"/>
      <c r="L337" s="280"/>
      <c r="M337" s="281"/>
      <c r="N337" s="282"/>
      <c r="O337" s="282"/>
      <c r="P337" s="283"/>
      <c r="Q337" s="283"/>
      <c r="R337" s="283"/>
      <c r="S337" s="284"/>
      <c r="T337" s="283"/>
      <c r="U337" s="283"/>
      <c r="V337" s="280"/>
      <c r="W337" s="280"/>
      <c r="X337" s="280"/>
      <c r="Y337" s="283"/>
      <c r="Z337" s="351"/>
      <c r="AA337" s="351"/>
      <c r="AB337" s="351"/>
      <c r="AC337" s="351"/>
      <c r="AD337" s="351"/>
      <c r="AE337" s="351"/>
      <c r="AF337" s="351"/>
      <c r="AG337" s="351"/>
      <c r="AH337" s="285"/>
      <c r="AI337" s="273"/>
      <c r="AJ337" s="340"/>
      <c r="AK337" s="341"/>
      <c r="AL337" s="273"/>
      <c r="AM337" s="273"/>
      <c r="AN337" s="273"/>
      <c r="AO337" s="273"/>
      <c r="AP337" s="273"/>
      <c r="AQ337" s="273"/>
      <c r="AR337" s="273"/>
      <c r="AS337" s="273"/>
      <c r="AT337" s="273"/>
      <c r="AU337" s="273"/>
      <c r="AV337" s="273"/>
      <c r="AW337" s="273"/>
      <c r="AX337" s="273"/>
      <c r="AY337" s="273"/>
      <c r="AZ337" s="273"/>
      <c r="BA337" s="273"/>
      <c r="BB337" s="273"/>
      <c r="BC337" s="273"/>
      <c r="BD337" s="273"/>
      <c r="BE337" s="273"/>
      <c r="BF337" s="273"/>
      <c r="BG337" s="273"/>
      <c r="BH337" s="273"/>
      <c r="BI337" s="273"/>
      <c r="BJ337" s="273"/>
      <c r="BK337" s="273"/>
      <c r="BL337" s="273"/>
      <c r="BM337" s="273"/>
      <c r="BN337" s="273"/>
      <c r="BO337" s="273"/>
      <c r="BP337" s="273"/>
      <c r="BQ337" s="273"/>
      <c r="BR337" s="273"/>
      <c r="BS337" s="273"/>
      <c r="BT337" s="273"/>
      <c r="BU337" s="273"/>
      <c r="BV337" s="273"/>
      <c r="BW337" s="273"/>
    </row>
    <row r="338">
      <c r="A338" s="259" t="str">
        <f>VLOOKUP($F338,UpdateHashtag!$V$3:$Y$32,COLUMN(B$15),0)</f>
        <v>#N/A</v>
      </c>
      <c r="B338" s="259" t="str">
        <f>VLOOKUP($F338,UpdateHashtag!$V$3:$Y$32,COLUMN(C$13),0)</f>
        <v>#N/A</v>
      </c>
      <c r="C338" s="259" t="str">
        <f>VLOOKUP($F338,UpdateHashtag!$V$3:$Y$32,COLUMN(D$13),0)</f>
        <v>#N/A</v>
      </c>
      <c r="D338" s="329" t="str">
        <f t="shared" si="4"/>
        <v>#N/A</v>
      </c>
      <c r="E338" s="21"/>
      <c r="F338" s="261" t="str">
        <f>VLOOKUP(J338,UpdateBBM!$C$2:E1015,3,0)</f>
        <v>#N/A</v>
      </c>
      <c r="G338" s="31">
        <v>318.0</v>
      </c>
      <c r="H338" s="278"/>
      <c r="I338" s="278"/>
      <c r="J338" s="279"/>
      <c r="K338" s="278"/>
      <c r="L338" s="280"/>
      <c r="M338" s="281"/>
      <c r="N338" s="282"/>
      <c r="O338" s="282"/>
      <c r="P338" s="283"/>
      <c r="Q338" s="283"/>
      <c r="R338" s="283"/>
      <c r="S338" s="284"/>
      <c r="T338" s="283"/>
      <c r="U338" s="283"/>
      <c r="V338" s="280"/>
      <c r="W338" s="280"/>
      <c r="X338" s="280"/>
      <c r="Y338" s="283"/>
      <c r="Z338" s="351"/>
      <c r="AA338" s="351"/>
      <c r="AB338" s="351"/>
      <c r="AC338" s="351"/>
      <c r="AD338" s="351"/>
      <c r="AE338" s="351"/>
      <c r="AF338" s="351"/>
      <c r="AG338" s="351"/>
      <c r="AH338" s="285"/>
      <c r="AI338" s="273"/>
      <c r="AJ338" s="340"/>
      <c r="AK338" s="341"/>
      <c r="AL338" s="273"/>
      <c r="AM338" s="273"/>
      <c r="AN338" s="273"/>
      <c r="AO338" s="273"/>
      <c r="AP338" s="273"/>
      <c r="AQ338" s="273"/>
      <c r="AR338" s="273"/>
      <c r="AS338" s="273"/>
      <c r="AT338" s="273"/>
      <c r="AU338" s="273"/>
      <c r="AV338" s="273"/>
      <c r="AW338" s="273"/>
      <c r="AX338" s="273"/>
      <c r="AY338" s="273"/>
      <c r="AZ338" s="273"/>
      <c r="BA338" s="273"/>
      <c r="BB338" s="273"/>
      <c r="BC338" s="273"/>
      <c r="BD338" s="273"/>
      <c r="BE338" s="273"/>
      <c r="BF338" s="273"/>
      <c r="BG338" s="273"/>
      <c r="BH338" s="273"/>
      <c r="BI338" s="273"/>
      <c r="BJ338" s="273"/>
      <c r="BK338" s="273"/>
      <c r="BL338" s="273"/>
      <c r="BM338" s="273"/>
      <c r="BN338" s="273"/>
      <c r="BO338" s="273"/>
      <c r="BP338" s="273"/>
      <c r="BQ338" s="273"/>
      <c r="BR338" s="273"/>
      <c r="BS338" s="273"/>
      <c r="BT338" s="273"/>
      <c r="BU338" s="273"/>
      <c r="BV338" s="273"/>
      <c r="BW338" s="273"/>
    </row>
    <row r="339">
      <c r="A339" s="259" t="str">
        <f>VLOOKUP($F339,UpdateHashtag!$V$3:$Y$32,COLUMN(B$15),0)</f>
        <v>#N/A</v>
      </c>
      <c r="B339" s="259" t="str">
        <f>VLOOKUP($F339,UpdateHashtag!$V$3:$Y$32,COLUMN(C$13),0)</f>
        <v>#N/A</v>
      </c>
      <c r="C339" s="259" t="str">
        <f>VLOOKUP($F339,UpdateHashtag!$V$3:$Y$32,COLUMN(D$13),0)</f>
        <v>#N/A</v>
      </c>
      <c r="D339" s="329" t="str">
        <f t="shared" si="4"/>
        <v>#N/A</v>
      </c>
      <c r="E339" s="21"/>
      <c r="F339" s="261" t="str">
        <f>VLOOKUP(J339,UpdateBBM!$C$2:E1015,3,0)</f>
        <v>#N/A</v>
      </c>
      <c r="G339" s="31">
        <v>319.0</v>
      </c>
      <c r="H339" s="278"/>
      <c r="I339" s="278"/>
      <c r="J339" s="279"/>
      <c r="K339" s="278"/>
      <c r="L339" s="280"/>
      <c r="M339" s="281"/>
      <c r="N339" s="282"/>
      <c r="O339" s="282"/>
      <c r="P339" s="283"/>
      <c r="Q339" s="283"/>
      <c r="R339" s="283"/>
      <c r="S339" s="284"/>
      <c r="T339" s="283"/>
      <c r="U339" s="283"/>
      <c r="V339" s="280"/>
      <c r="W339" s="280"/>
      <c r="X339" s="280"/>
      <c r="Y339" s="283"/>
      <c r="Z339" s="351"/>
      <c r="AA339" s="351"/>
      <c r="AB339" s="351"/>
      <c r="AC339" s="351"/>
      <c r="AD339" s="351"/>
      <c r="AE339" s="351"/>
      <c r="AF339" s="351"/>
      <c r="AG339" s="351"/>
      <c r="AH339" s="285"/>
      <c r="AI339" s="273"/>
      <c r="AJ339" s="340"/>
      <c r="AK339" s="341"/>
      <c r="AL339" s="273"/>
      <c r="AM339" s="273"/>
      <c r="AN339" s="273"/>
      <c r="AO339" s="273"/>
      <c r="AP339" s="273"/>
      <c r="AQ339" s="273"/>
      <c r="AR339" s="273"/>
      <c r="AS339" s="273"/>
      <c r="AT339" s="273"/>
      <c r="AU339" s="273"/>
      <c r="AV339" s="273"/>
      <c r="AW339" s="273"/>
      <c r="AX339" s="273"/>
      <c r="AY339" s="273"/>
      <c r="AZ339" s="273"/>
      <c r="BA339" s="273"/>
      <c r="BB339" s="273"/>
      <c r="BC339" s="273"/>
      <c r="BD339" s="273"/>
      <c r="BE339" s="273"/>
      <c r="BF339" s="273"/>
      <c r="BG339" s="273"/>
      <c r="BH339" s="273"/>
      <c r="BI339" s="273"/>
      <c r="BJ339" s="273"/>
      <c r="BK339" s="273"/>
      <c r="BL339" s="273"/>
      <c r="BM339" s="273"/>
      <c r="BN339" s="273"/>
      <c r="BO339" s="273"/>
      <c r="BP339" s="273"/>
      <c r="BQ339" s="273"/>
      <c r="BR339" s="273"/>
      <c r="BS339" s="273"/>
      <c r="BT339" s="273"/>
      <c r="BU339" s="273"/>
      <c r="BV339" s="273"/>
      <c r="BW339" s="273"/>
    </row>
    <row r="340">
      <c r="A340" s="259" t="str">
        <f>VLOOKUP($F340,UpdateHashtag!$V$3:$Y$32,COLUMN(B$15),0)</f>
        <v>#N/A</v>
      </c>
      <c r="B340" s="259" t="str">
        <f>VLOOKUP($F340,UpdateHashtag!$V$3:$Y$32,COLUMN(C$13),0)</f>
        <v>#N/A</v>
      </c>
      <c r="C340" s="259" t="str">
        <f>VLOOKUP($F340,UpdateHashtag!$V$3:$Y$32,COLUMN(D$13),0)</f>
        <v>#N/A</v>
      </c>
      <c r="D340" s="329" t="str">
        <f t="shared" si="4"/>
        <v>#N/A</v>
      </c>
      <c r="E340" s="21"/>
      <c r="F340" s="261" t="str">
        <f>VLOOKUP(J340,UpdateBBM!$C$2:E1015,3,0)</f>
        <v>#N/A</v>
      </c>
      <c r="G340" s="31">
        <v>320.0</v>
      </c>
      <c r="H340" s="278"/>
      <c r="I340" s="278"/>
      <c r="J340" s="279"/>
      <c r="K340" s="278"/>
      <c r="L340" s="280"/>
      <c r="M340" s="281"/>
      <c r="N340" s="282"/>
      <c r="O340" s="282"/>
      <c r="P340" s="283"/>
      <c r="Q340" s="283"/>
      <c r="R340" s="283"/>
      <c r="S340" s="284"/>
      <c r="T340" s="283"/>
      <c r="U340" s="283"/>
      <c r="V340" s="280"/>
      <c r="W340" s="280"/>
      <c r="X340" s="280"/>
      <c r="Y340" s="283"/>
      <c r="Z340" s="351"/>
      <c r="AA340" s="351"/>
      <c r="AB340" s="351"/>
      <c r="AC340" s="351"/>
      <c r="AD340" s="351"/>
      <c r="AE340" s="351"/>
      <c r="AF340" s="351"/>
      <c r="AG340" s="351"/>
      <c r="AH340" s="285"/>
      <c r="AI340" s="273"/>
      <c r="AJ340" s="340"/>
      <c r="AK340" s="341"/>
      <c r="AL340" s="273"/>
      <c r="AM340" s="273"/>
      <c r="AN340" s="273"/>
      <c r="AO340" s="273"/>
      <c r="AP340" s="273"/>
      <c r="AQ340" s="273"/>
      <c r="AR340" s="273"/>
      <c r="AS340" s="273"/>
      <c r="AT340" s="273"/>
      <c r="AU340" s="273"/>
      <c r="AV340" s="273"/>
      <c r="AW340" s="273"/>
      <c r="AX340" s="273"/>
      <c r="AY340" s="273"/>
      <c r="AZ340" s="273"/>
      <c r="BA340" s="273"/>
      <c r="BB340" s="273"/>
      <c r="BC340" s="273"/>
      <c r="BD340" s="273"/>
      <c r="BE340" s="273"/>
      <c r="BF340" s="273"/>
      <c r="BG340" s="273"/>
      <c r="BH340" s="273"/>
      <c r="BI340" s="273"/>
      <c r="BJ340" s="273"/>
      <c r="BK340" s="273"/>
      <c r="BL340" s="273"/>
      <c r="BM340" s="273"/>
      <c r="BN340" s="273"/>
      <c r="BO340" s="273"/>
      <c r="BP340" s="273"/>
      <c r="BQ340" s="273"/>
      <c r="BR340" s="273"/>
      <c r="BS340" s="273"/>
      <c r="BT340" s="273"/>
      <c r="BU340" s="273"/>
      <c r="BV340" s="273"/>
      <c r="BW340" s="273"/>
    </row>
    <row r="341">
      <c r="A341" s="259" t="str">
        <f>VLOOKUP($F341,UpdateHashtag!$V$3:$Y$32,COLUMN(B$15),0)</f>
        <v>#N/A</v>
      </c>
      <c r="B341" s="259" t="str">
        <f>VLOOKUP($F341,UpdateHashtag!$V$3:$Y$32,COLUMN(C$13),0)</f>
        <v>#N/A</v>
      </c>
      <c r="C341" s="259" t="str">
        <f>VLOOKUP($F341,UpdateHashtag!$V$3:$Y$32,COLUMN(D$13),0)</f>
        <v>#N/A</v>
      </c>
      <c r="D341" s="329" t="str">
        <f t="shared" si="4"/>
        <v>#N/A</v>
      </c>
      <c r="E341" s="21"/>
      <c r="F341" s="261" t="str">
        <f>VLOOKUP(J341,UpdateBBM!$C$2:E1015,3,0)</f>
        <v>#N/A</v>
      </c>
      <c r="G341" s="31">
        <v>321.0</v>
      </c>
      <c r="H341" s="278"/>
      <c r="I341" s="278"/>
      <c r="J341" s="279"/>
      <c r="K341" s="278"/>
      <c r="L341" s="280"/>
      <c r="M341" s="281"/>
      <c r="N341" s="282"/>
      <c r="O341" s="282"/>
      <c r="P341" s="283"/>
      <c r="Q341" s="283"/>
      <c r="R341" s="283"/>
      <c r="S341" s="284"/>
      <c r="T341" s="283"/>
      <c r="U341" s="283"/>
      <c r="V341" s="280"/>
      <c r="W341" s="280"/>
      <c r="X341" s="280"/>
      <c r="Y341" s="283"/>
      <c r="Z341" s="351"/>
      <c r="AA341" s="351"/>
      <c r="AB341" s="351"/>
      <c r="AC341" s="351"/>
      <c r="AD341" s="351"/>
      <c r="AE341" s="351"/>
      <c r="AF341" s="351"/>
      <c r="AG341" s="351"/>
      <c r="AH341" s="285"/>
      <c r="AI341" s="273"/>
      <c r="AJ341" s="340"/>
      <c r="AK341" s="341"/>
      <c r="AL341" s="273"/>
      <c r="AM341" s="273"/>
      <c r="AN341" s="273"/>
      <c r="AO341" s="273"/>
      <c r="AP341" s="273"/>
      <c r="AQ341" s="273"/>
      <c r="AR341" s="273"/>
      <c r="AS341" s="273"/>
      <c r="AT341" s="273"/>
      <c r="AU341" s="273"/>
      <c r="AV341" s="273"/>
      <c r="AW341" s="273"/>
      <c r="AX341" s="273"/>
      <c r="AY341" s="273"/>
      <c r="AZ341" s="273"/>
      <c r="BA341" s="273"/>
      <c r="BB341" s="273"/>
      <c r="BC341" s="273"/>
      <c r="BD341" s="273"/>
      <c r="BE341" s="273"/>
      <c r="BF341" s="273"/>
      <c r="BG341" s="273"/>
      <c r="BH341" s="273"/>
      <c r="BI341" s="273"/>
      <c r="BJ341" s="273"/>
      <c r="BK341" s="273"/>
      <c r="BL341" s="273"/>
      <c r="BM341" s="273"/>
      <c r="BN341" s="273"/>
      <c r="BO341" s="273"/>
      <c r="BP341" s="273"/>
      <c r="BQ341" s="273"/>
      <c r="BR341" s="273"/>
      <c r="BS341" s="273"/>
      <c r="BT341" s="273"/>
      <c r="BU341" s="273"/>
      <c r="BV341" s="273"/>
      <c r="BW341" s="273"/>
    </row>
    <row r="342">
      <c r="A342" s="259" t="str">
        <f>VLOOKUP($F342,UpdateHashtag!$V$3:$Y$32,COLUMN(B$15),0)</f>
        <v>#N/A</v>
      </c>
      <c r="B342" s="259" t="str">
        <f>VLOOKUP($F342,UpdateHashtag!$V$3:$Y$32,COLUMN(C$13),0)</f>
        <v>#N/A</v>
      </c>
      <c r="C342" s="259" t="str">
        <f>VLOOKUP($F342,UpdateHashtag!$V$3:$Y$32,COLUMN(D$13),0)</f>
        <v>#N/A</v>
      </c>
      <c r="D342" s="329" t="str">
        <f t="shared" si="4"/>
        <v>#N/A</v>
      </c>
      <c r="E342" s="21"/>
      <c r="F342" s="261" t="str">
        <f>VLOOKUP(J342,UpdateBBM!$C$2:E1015,3,0)</f>
        <v>#N/A</v>
      </c>
      <c r="G342" s="31">
        <v>322.0</v>
      </c>
      <c r="H342" s="278"/>
      <c r="I342" s="278"/>
      <c r="J342" s="279"/>
      <c r="K342" s="278"/>
      <c r="L342" s="280"/>
      <c r="M342" s="281"/>
      <c r="N342" s="282"/>
      <c r="O342" s="282"/>
      <c r="P342" s="283"/>
      <c r="Q342" s="283"/>
      <c r="R342" s="283"/>
      <c r="S342" s="284"/>
      <c r="T342" s="283"/>
      <c r="U342" s="283"/>
      <c r="V342" s="280"/>
      <c r="W342" s="280"/>
      <c r="X342" s="280"/>
      <c r="Y342" s="283"/>
      <c r="Z342" s="351"/>
      <c r="AA342" s="351"/>
      <c r="AB342" s="351"/>
      <c r="AC342" s="351"/>
      <c r="AD342" s="351"/>
      <c r="AE342" s="351"/>
      <c r="AF342" s="351"/>
      <c r="AG342" s="351"/>
      <c r="AH342" s="285"/>
      <c r="AI342" s="273"/>
      <c r="AJ342" s="340"/>
      <c r="AK342" s="341"/>
      <c r="AL342" s="273"/>
      <c r="AM342" s="273"/>
      <c r="AN342" s="273"/>
      <c r="AO342" s="273"/>
      <c r="AP342" s="273"/>
      <c r="AQ342" s="273"/>
      <c r="AR342" s="273"/>
      <c r="AS342" s="273"/>
      <c r="AT342" s="273"/>
      <c r="AU342" s="273"/>
      <c r="AV342" s="273"/>
      <c r="AW342" s="273"/>
      <c r="AX342" s="273"/>
      <c r="AY342" s="273"/>
      <c r="AZ342" s="273"/>
      <c r="BA342" s="273"/>
      <c r="BB342" s="273"/>
      <c r="BC342" s="273"/>
      <c r="BD342" s="273"/>
      <c r="BE342" s="273"/>
      <c r="BF342" s="273"/>
      <c r="BG342" s="273"/>
      <c r="BH342" s="273"/>
      <c r="BI342" s="273"/>
      <c r="BJ342" s="273"/>
      <c r="BK342" s="273"/>
      <c r="BL342" s="273"/>
      <c r="BM342" s="273"/>
      <c r="BN342" s="273"/>
      <c r="BO342" s="273"/>
      <c r="BP342" s="273"/>
      <c r="BQ342" s="273"/>
      <c r="BR342" s="273"/>
      <c r="BS342" s="273"/>
      <c r="BT342" s="273"/>
      <c r="BU342" s="273"/>
      <c r="BV342" s="273"/>
      <c r="BW342" s="273"/>
    </row>
    <row r="343">
      <c r="A343" s="259" t="str">
        <f>VLOOKUP($F343,UpdateHashtag!$V$3:$Y$32,COLUMN(B$15),0)</f>
        <v>#N/A</v>
      </c>
      <c r="B343" s="259" t="str">
        <f>VLOOKUP($F343,UpdateHashtag!$V$3:$Y$32,COLUMN(C$13),0)</f>
        <v>#N/A</v>
      </c>
      <c r="C343" s="259" t="str">
        <f>VLOOKUP($F343,UpdateHashtag!$V$3:$Y$32,COLUMN(D$13),0)</f>
        <v>#N/A</v>
      </c>
      <c r="D343" s="329" t="str">
        <f t="shared" si="4"/>
        <v>#N/A</v>
      </c>
      <c r="E343" s="21"/>
      <c r="F343" s="261" t="str">
        <f>VLOOKUP(J343,UpdateBBM!$C$2:E1015,3,0)</f>
        <v>#N/A</v>
      </c>
      <c r="G343" s="31">
        <v>323.0</v>
      </c>
      <c r="H343" s="278"/>
      <c r="I343" s="278"/>
      <c r="J343" s="279"/>
      <c r="K343" s="278"/>
      <c r="L343" s="280"/>
      <c r="M343" s="281"/>
      <c r="N343" s="282"/>
      <c r="O343" s="282"/>
      <c r="P343" s="283"/>
      <c r="Q343" s="283"/>
      <c r="R343" s="283"/>
      <c r="S343" s="284"/>
      <c r="T343" s="283"/>
      <c r="U343" s="283"/>
      <c r="V343" s="280"/>
      <c r="W343" s="280"/>
      <c r="X343" s="280"/>
      <c r="Y343" s="283"/>
      <c r="Z343" s="351"/>
      <c r="AA343" s="351"/>
      <c r="AB343" s="351"/>
      <c r="AC343" s="351"/>
      <c r="AD343" s="351"/>
      <c r="AE343" s="351"/>
      <c r="AF343" s="351"/>
      <c r="AG343" s="351"/>
      <c r="AH343" s="285"/>
      <c r="AI343" s="273"/>
      <c r="AJ343" s="340"/>
      <c r="AK343" s="341"/>
      <c r="AL343" s="273"/>
      <c r="AM343" s="273"/>
      <c r="AN343" s="273"/>
      <c r="AO343" s="273"/>
      <c r="AP343" s="273"/>
      <c r="AQ343" s="273"/>
      <c r="AR343" s="273"/>
      <c r="AS343" s="273"/>
      <c r="AT343" s="273"/>
      <c r="AU343" s="273"/>
      <c r="AV343" s="273"/>
      <c r="AW343" s="273"/>
      <c r="AX343" s="273"/>
      <c r="AY343" s="273"/>
      <c r="AZ343" s="273"/>
      <c r="BA343" s="273"/>
      <c r="BB343" s="273"/>
      <c r="BC343" s="273"/>
      <c r="BD343" s="273"/>
      <c r="BE343" s="273"/>
      <c r="BF343" s="273"/>
      <c r="BG343" s="273"/>
      <c r="BH343" s="273"/>
      <c r="BI343" s="273"/>
      <c r="BJ343" s="273"/>
      <c r="BK343" s="273"/>
      <c r="BL343" s="273"/>
      <c r="BM343" s="273"/>
      <c r="BN343" s="273"/>
      <c r="BO343" s="273"/>
      <c r="BP343" s="273"/>
      <c r="BQ343" s="273"/>
      <c r="BR343" s="273"/>
      <c r="BS343" s="273"/>
      <c r="BT343" s="273"/>
      <c r="BU343" s="273"/>
      <c r="BV343" s="273"/>
      <c r="BW343" s="273"/>
    </row>
    <row r="344">
      <c r="A344" s="259" t="str">
        <f>VLOOKUP($F344,UpdateHashtag!$V$3:$Y$32,COLUMN(B$15),0)</f>
        <v>#N/A</v>
      </c>
      <c r="B344" s="259" t="str">
        <f>VLOOKUP($F344,UpdateHashtag!$V$3:$Y$32,COLUMN(C$13),0)</f>
        <v>#N/A</v>
      </c>
      <c r="C344" s="259" t="str">
        <f>VLOOKUP($F344,UpdateHashtag!$V$3:$Y$32,COLUMN(D$13),0)</f>
        <v>#N/A</v>
      </c>
      <c r="D344" s="329" t="str">
        <f t="shared" si="4"/>
        <v>#N/A</v>
      </c>
      <c r="E344" s="21"/>
      <c r="F344" s="261" t="str">
        <f>VLOOKUP(J344,UpdateBBM!$C$2:E1015,3,0)</f>
        <v>#N/A</v>
      </c>
      <c r="G344" s="31">
        <v>324.0</v>
      </c>
      <c r="H344" s="278"/>
      <c r="I344" s="278"/>
      <c r="J344" s="279"/>
      <c r="K344" s="278"/>
      <c r="L344" s="280"/>
      <c r="M344" s="281"/>
      <c r="N344" s="282"/>
      <c r="O344" s="282"/>
      <c r="P344" s="283"/>
      <c r="Q344" s="283"/>
      <c r="R344" s="283"/>
      <c r="S344" s="284"/>
      <c r="T344" s="283"/>
      <c r="U344" s="283"/>
      <c r="V344" s="280"/>
      <c r="W344" s="280"/>
      <c r="X344" s="280"/>
      <c r="Y344" s="283"/>
      <c r="Z344" s="351"/>
      <c r="AA344" s="351"/>
      <c r="AB344" s="351"/>
      <c r="AC344" s="351"/>
      <c r="AD344" s="351"/>
      <c r="AE344" s="351"/>
      <c r="AF344" s="351"/>
      <c r="AG344" s="351"/>
      <c r="AH344" s="285"/>
      <c r="AI344" s="273"/>
      <c r="AJ344" s="340"/>
      <c r="AK344" s="341"/>
      <c r="AL344" s="273"/>
      <c r="AM344" s="273"/>
      <c r="AN344" s="273"/>
      <c r="AO344" s="273"/>
      <c r="AP344" s="273"/>
      <c r="AQ344" s="273"/>
      <c r="AR344" s="273"/>
      <c r="AS344" s="273"/>
      <c r="AT344" s="273"/>
      <c r="AU344" s="273"/>
      <c r="AV344" s="273"/>
      <c r="AW344" s="273"/>
      <c r="AX344" s="273"/>
      <c r="AY344" s="273"/>
      <c r="AZ344" s="273"/>
      <c r="BA344" s="273"/>
      <c r="BB344" s="273"/>
      <c r="BC344" s="273"/>
      <c r="BD344" s="273"/>
      <c r="BE344" s="273"/>
      <c r="BF344" s="273"/>
      <c r="BG344" s="273"/>
      <c r="BH344" s="273"/>
      <c r="BI344" s="273"/>
      <c r="BJ344" s="273"/>
      <c r="BK344" s="273"/>
      <c r="BL344" s="273"/>
      <c r="BM344" s="273"/>
      <c r="BN344" s="273"/>
      <c r="BO344" s="273"/>
      <c r="BP344" s="273"/>
      <c r="BQ344" s="273"/>
      <c r="BR344" s="273"/>
      <c r="BS344" s="273"/>
      <c r="BT344" s="273"/>
      <c r="BU344" s="273"/>
      <c r="BV344" s="273"/>
      <c r="BW344" s="273"/>
    </row>
    <row r="345">
      <c r="A345" s="259" t="str">
        <f>VLOOKUP($F345,UpdateHashtag!$V$3:$Y$32,COLUMN(B$15),0)</f>
        <v>#N/A</v>
      </c>
      <c r="B345" s="259" t="str">
        <f>VLOOKUP($F345,UpdateHashtag!$V$3:$Y$32,COLUMN(C$13),0)</f>
        <v>#N/A</v>
      </c>
      <c r="C345" s="259" t="str">
        <f>VLOOKUP($F345,UpdateHashtag!$V$3:$Y$32,COLUMN(D$13),0)</f>
        <v>#N/A</v>
      </c>
      <c r="D345" s="329" t="str">
        <f t="shared" si="4"/>
        <v>#N/A</v>
      </c>
      <c r="E345" s="21"/>
      <c r="F345" s="261" t="str">
        <f>VLOOKUP(J345,UpdateBBM!$C$2:E1015,3,0)</f>
        <v>#N/A</v>
      </c>
      <c r="G345" s="31">
        <v>325.0</v>
      </c>
      <c r="H345" s="278"/>
      <c r="I345" s="278"/>
      <c r="J345" s="279"/>
      <c r="K345" s="278"/>
      <c r="L345" s="280"/>
      <c r="M345" s="281"/>
      <c r="N345" s="282"/>
      <c r="O345" s="282"/>
      <c r="P345" s="283"/>
      <c r="Q345" s="283"/>
      <c r="R345" s="283"/>
      <c r="S345" s="284"/>
      <c r="T345" s="283"/>
      <c r="U345" s="283"/>
      <c r="V345" s="280"/>
      <c r="W345" s="280"/>
      <c r="X345" s="280"/>
      <c r="Y345" s="283"/>
      <c r="Z345" s="351"/>
      <c r="AA345" s="351"/>
      <c r="AB345" s="351"/>
      <c r="AC345" s="351"/>
      <c r="AD345" s="351"/>
      <c r="AE345" s="351"/>
      <c r="AF345" s="351"/>
      <c r="AG345" s="351"/>
      <c r="AH345" s="285"/>
      <c r="AI345" s="273"/>
      <c r="AJ345" s="340"/>
      <c r="AK345" s="341"/>
      <c r="AL345" s="273"/>
      <c r="AM345" s="273"/>
      <c r="AN345" s="273"/>
      <c r="AO345" s="273"/>
      <c r="AP345" s="273"/>
      <c r="AQ345" s="273"/>
      <c r="AR345" s="273"/>
      <c r="AS345" s="273"/>
      <c r="AT345" s="273"/>
      <c r="AU345" s="273"/>
      <c r="AV345" s="273"/>
      <c r="AW345" s="273"/>
      <c r="AX345" s="273"/>
      <c r="AY345" s="273"/>
      <c r="AZ345" s="273"/>
      <c r="BA345" s="273"/>
      <c r="BB345" s="273"/>
      <c r="BC345" s="273"/>
      <c r="BD345" s="273"/>
      <c r="BE345" s="273"/>
      <c r="BF345" s="273"/>
      <c r="BG345" s="273"/>
      <c r="BH345" s="273"/>
      <c r="BI345" s="273"/>
      <c r="BJ345" s="273"/>
      <c r="BK345" s="273"/>
      <c r="BL345" s="273"/>
      <c r="BM345" s="273"/>
      <c r="BN345" s="273"/>
      <c r="BO345" s="273"/>
      <c r="BP345" s="273"/>
      <c r="BQ345" s="273"/>
      <c r="BR345" s="273"/>
      <c r="BS345" s="273"/>
      <c r="BT345" s="273"/>
      <c r="BU345" s="273"/>
      <c r="BV345" s="273"/>
      <c r="BW345" s="273"/>
    </row>
    <row r="346">
      <c r="A346" s="259" t="str">
        <f>VLOOKUP($F346,UpdateHashtag!$V$3:$Y$32,COLUMN(B$15),0)</f>
        <v>#N/A</v>
      </c>
      <c r="B346" s="259" t="str">
        <f>VLOOKUP($F346,UpdateHashtag!$V$3:$Y$32,COLUMN(C$13),0)</f>
        <v>#N/A</v>
      </c>
      <c r="C346" s="259" t="str">
        <f>VLOOKUP($F346,UpdateHashtag!$V$3:$Y$32,COLUMN(D$13),0)</f>
        <v>#N/A</v>
      </c>
      <c r="D346" s="329" t="str">
        <f t="shared" si="4"/>
        <v>#N/A</v>
      </c>
      <c r="E346" s="21"/>
      <c r="F346" s="261" t="str">
        <f>VLOOKUP(J346,UpdateBBM!$C$2:E1015,3,0)</f>
        <v>#N/A</v>
      </c>
      <c r="G346" s="31">
        <v>326.0</v>
      </c>
      <c r="H346" s="278"/>
      <c r="I346" s="278"/>
      <c r="J346" s="279"/>
      <c r="K346" s="278"/>
      <c r="L346" s="280"/>
      <c r="M346" s="281"/>
      <c r="N346" s="282"/>
      <c r="O346" s="282"/>
      <c r="P346" s="283"/>
      <c r="Q346" s="283"/>
      <c r="R346" s="283"/>
      <c r="S346" s="284"/>
      <c r="T346" s="283"/>
      <c r="U346" s="283"/>
      <c r="V346" s="280"/>
      <c r="W346" s="280"/>
      <c r="X346" s="280"/>
      <c r="Y346" s="283"/>
      <c r="Z346" s="351"/>
      <c r="AA346" s="351"/>
      <c r="AB346" s="351"/>
      <c r="AC346" s="351"/>
      <c r="AD346" s="351"/>
      <c r="AE346" s="351"/>
      <c r="AF346" s="351"/>
      <c r="AG346" s="351"/>
      <c r="AH346" s="285"/>
      <c r="AI346" s="273"/>
      <c r="AJ346" s="340"/>
      <c r="AK346" s="341"/>
      <c r="AL346" s="273"/>
      <c r="AM346" s="273"/>
      <c r="AN346" s="273"/>
      <c r="AO346" s="273"/>
      <c r="AP346" s="273"/>
      <c r="AQ346" s="273"/>
      <c r="AR346" s="273"/>
      <c r="AS346" s="273"/>
      <c r="AT346" s="273"/>
      <c r="AU346" s="273"/>
      <c r="AV346" s="273"/>
      <c r="AW346" s="273"/>
      <c r="AX346" s="273"/>
      <c r="AY346" s="273"/>
      <c r="AZ346" s="273"/>
      <c r="BA346" s="273"/>
      <c r="BB346" s="273"/>
      <c r="BC346" s="273"/>
      <c r="BD346" s="273"/>
      <c r="BE346" s="273"/>
      <c r="BF346" s="273"/>
      <c r="BG346" s="273"/>
      <c r="BH346" s="273"/>
      <c r="BI346" s="273"/>
      <c r="BJ346" s="273"/>
      <c r="BK346" s="273"/>
      <c r="BL346" s="273"/>
      <c r="BM346" s="273"/>
      <c r="BN346" s="273"/>
      <c r="BO346" s="273"/>
      <c r="BP346" s="273"/>
      <c r="BQ346" s="273"/>
      <c r="BR346" s="273"/>
      <c r="BS346" s="273"/>
      <c r="BT346" s="273"/>
      <c r="BU346" s="273"/>
      <c r="BV346" s="273"/>
      <c r="BW346" s="273"/>
    </row>
    <row r="347">
      <c r="A347" s="259" t="str">
        <f>VLOOKUP($F347,UpdateHashtag!$V$3:$Y$32,COLUMN(B$15),0)</f>
        <v>#N/A</v>
      </c>
      <c r="B347" s="259" t="str">
        <f>VLOOKUP($F347,UpdateHashtag!$V$3:$Y$32,COLUMN(C$13),0)</f>
        <v>#N/A</v>
      </c>
      <c r="C347" s="259" t="str">
        <f>VLOOKUP($F347,UpdateHashtag!$V$3:$Y$32,COLUMN(D$13),0)</f>
        <v>#N/A</v>
      </c>
      <c r="D347" s="329" t="str">
        <f t="shared" si="4"/>
        <v>#N/A</v>
      </c>
      <c r="E347" s="21"/>
      <c r="F347" s="261" t="str">
        <f>VLOOKUP(J347,UpdateBBM!$C$2:E1015,3,0)</f>
        <v>#N/A</v>
      </c>
      <c r="G347" s="31">
        <v>327.0</v>
      </c>
      <c r="H347" s="278"/>
      <c r="I347" s="278"/>
      <c r="J347" s="279"/>
      <c r="K347" s="278"/>
      <c r="L347" s="280"/>
      <c r="M347" s="281"/>
      <c r="N347" s="282"/>
      <c r="O347" s="282"/>
      <c r="P347" s="283"/>
      <c r="Q347" s="283"/>
      <c r="R347" s="283"/>
      <c r="S347" s="284"/>
      <c r="T347" s="283"/>
      <c r="U347" s="283"/>
      <c r="V347" s="280"/>
      <c r="W347" s="280"/>
      <c r="X347" s="280"/>
      <c r="Y347" s="283"/>
      <c r="Z347" s="351"/>
      <c r="AA347" s="351"/>
      <c r="AB347" s="351"/>
      <c r="AC347" s="351"/>
      <c r="AD347" s="351"/>
      <c r="AE347" s="351"/>
      <c r="AF347" s="351"/>
      <c r="AG347" s="351"/>
      <c r="AH347" s="285"/>
      <c r="AI347" s="273"/>
      <c r="AJ347" s="340"/>
      <c r="AK347" s="341"/>
      <c r="AL347" s="273"/>
      <c r="AM347" s="273"/>
      <c r="AN347" s="273"/>
      <c r="AO347" s="273"/>
      <c r="AP347" s="273"/>
      <c r="AQ347" s="273"/>
      <c r="AR347" s="273"/>
      <c r="AS347" s="273"/>
      <c r="AT347" s="273"/>
      <c r="AU347" s="273"/>
      <c r="AV347" s="273"/>
      <c r="AW347" s="273"/>
      <c r="AX347" s="273"/>
      <c r="AY347" s="273"/>
      <c r="AZ347" s="273"/>
      <c r="BA347" s="273"/>
      <c r="BB347" s="273"/>
      <c r="BC347" s="273"/>
      <c r="BD347" s="273"/>
      <c r="BE347" s="273"/>
      <c r="BF347" s="273"/>
      <c r="BG347" s="273"/>
      <c r="BH347" s="273"/>
      <c r="BI347" s="273"/>
      <c r="BJ347" s="273"/>
      <c r="BK347" s="273"/>
      <c r="BL347" s="273"/>
      <c r="BM347" s="273"/>
      <c r="BN347" s="273"/>
      <c r="BO347" s="273"/>
      <c r="BP347" s="273"/>
      <c r="BQ347" s="273"/>
      <c r="BR347" s="273"/>
      <c r="BS347" s="273"/>
      <c r="BT347" s="273"/>
      <c r="BU347" s="273"/>
      <c r="BV347" s="273"/>
      <c r="BW347" s="273"/>
    </row>
    <row r="348">
      <c r="A348" s="259" t="str">
        <f>VLOOKUP($F348,UpdateHashtag!$V$3:$Y$32,COLUMN(B$15),0)</f>
        <v>#N/A</v>
      </c>
      <c r="B348" s="259" t="str">
        <f>VLOOKUP($F348,UpdateHashtag!$V$3:$Y$32,COLUMN(C$13),0)</f>
        <v>#N/A</v>
      </c>
      <c r="C348" s="259" t="str">
        <f>VLOOKUP($F348,UpdateHashtag!$V$3:$Y$32,COLUMN(D$13),0)</f>
        <v>#N/A</v>
      </c>
      <c r="D348" s="329" t="str">
        <f t="shared" si="4"/>
        <v>#N/A</v>
      </c>
      <c r="E348" s="21"/>
      <c r="F348" s="261" t="str">
        <f>VLOOKUP(J348,UpdateBBM!$C$2:E1015,3,0)</f>
        <v>#N/A</v>
      </c>
      <c r="G348" s="31">
        <v>328.0</v>
      </c>
      <c r="H348" s="278"/>
      <c r="I348" s="278"/>
      <c r="J348" s="279"/>
      <c r="K348" s="278"/>
      <c r="L348" s="280"/>
      <c r="M348" s="281"/>
      <c r="N348" s="282"/>
      <c r="O348" s="282"/>
      <c r="P348" s="283"/>
      <c r="Q348" s="283"/>
      <c r="R348" s="283"/>
      <c r="S348" s="284"/>
      <c r="T348" s="283"/>
      <c r="U348" s="283"/>
      <c r="V348" s="280"/>
      <c r="W348" s="280"/>
      <c r="X348" s="280"/>
      <c r="Y348" s="283"/>
      <c r="Z348" s="351"/>
      <c r="AA348" s="351"/>
      <c r="AB348" s="351"/>
      <c r="AC348" s="351"/>
      <c r="AD348" s="351"/>
      <c r="AE348" s="351"/>
      <c r="AF348" s="351"/>
      <c r="AG348" s="351"/>
      <c r="AH348" s="285"/>
      <c r="AI348" s="273"/>
      <c r="AJ348" s="340"/>
      <c r="AK348" s="341"/>
      <c r="AL348" s="273"/>
      <c r="AM348" s="273"/>
      <c r="AN348" s="273"/>
      <c r="AO348" s="273"/>
      <c r="AP348" s="273"/>
      <c r="AQ348" s="273"/>
      <c r="AR348" s="273"/>
      <c r="AS348" s="273"/>
      <c r="AT348" s="273"/>
      <c r="AU348" s="273"/>
      <c r="AV348" s="273"/>
      <c r="AW348" s="273"/>
      <c r="AX348" s="273"/>
      <c r="AY348" s="273"/>
      <c r="AZ348" s="273"/>
      <c r="BA348" s="273"/>
      <c r="BB348" s="273"/>
      <c r="BC348" s="273"/>
      <c r="BD348" s="273"/>
      <c r="BE348" s="273"/>
      <c r="BF348" s="273"/>
      <c r="BG348" s="273"/>
      <c r="BH348" s="273"/>
      <c r="BI348" s="273"/>
      <c r="BJ348" s="273"/>
      <c r="BK348" s="273"/>
      <c r="BL348" s="273"/>
      <c r="BM348" s="273"/>
      <c r="BN348" s="273"/>
      <c r="BO348" s="273"/>
      <c r="BP348" s="273"/>
      <c r="BQ348" s="273"/>
      <c r="BR348" s="273"/>
      <c r="BS348" s="273"/>
      <c r="BT348" s="273"/>
      <c r="BU348" s="273"/>
      <c r="BV348" s="273"/>
      <c r="BW348" s="273"/>
    </row>
    <row r="349">
      <c r="A349" s="259" t="str">
        <f>VLOOKUP($F349,UpdateHashtag!$V$3:$Y$32,COLUMN(B$15),0)</f>
        <v>#N/A</v>
      </c>
      <c r="B349" s="259" t="str">
        <f>VLOOKUP($F349,UpdateHashtag!$V$3:$Y$32,COLUMN(C$13),0)</f>
        <v>#N/A</v>
      </c>
      <c r="C349" s="259" t="str">
        <f>VLOOKUP($F349,UpdateHashtag!$V$3:$Y$32,COLUMN(D$13),0)</f>
        <v>#N/A</v>
      </c>
      <c r="D349" s="329" t="str">
        <f t="shared" si="4"/>
        <v>#N/A</v>
      </c>
      <c r="E349" s="21"/>
      <c r="F349" s="261" t="str">
        <f>VLOOKUP(J349,UpdateBBM!$C$2:E1015,3,0)</f>
        <v>#N/A</v>
      </c>
      <c r="G349" s="31">
        <v>329.0</v>
      </c>
      <c r="H349" s="278"/>
      <c r="I349" s="278"/>
      <c r="J349" s="279"/>
      <c r="K349" s="278"/>
      <c r="L349" s="280"/>
      <c r="M349" s="281"/>
      <c r="N349" s="282"/>
      <c r="O349" s="282"/>
      <c r="P349" s="283"/>
      <c r="Q349" s="283"/>
      <c r="R349" s="283"/>
      <c r="S349" s="284"/>
      <c r="T349" s="283"/>
      <c r="U349" s="283"/>
      <c r="V349" s="280"/>
      <c r="W349" s="280"/>
      <c r="X349" s="280"/>
      <c r="Y349" s="283"/>
      <c r="Z349" s="351"/>
      <c r="AA349" s="351"/>
      <c r="AB349" s="351"/>
      <c r="AC349" s="351"/>
      <c r="AD349" s="351"/>
      <c r="AE349" s="351"/>
      <c r="AF349" s="351"/>
      <c r="AG349" s="351"/>
      <c r="AH349" s="285"/>
      <c r="AI349" s="273"/>
      <c r="AJ349" s="340"/>
      <c r="AK349" s="341"/>
      <c r="AL349" s="273"/>
      <c r="AM349" s="273"/>
      <c r="AN349" s="273"/>
      <c r="AO349" s="273"/>
      <c r="AP349" s="273"/>
      <c r="AQ349" s="273"/>
      <c r="AR349" s="273"/>
      <c r="AS349" s="273"/>
      <c r="AT349" s="273"/>
      <c r="AU349" s="273"/>
      <c r="AV349" s="273"/>
      <c r="AW349" s="273"/>
      <c r="AX349" s="273"/>
      <c r="AY349" s="273"/>
      <c r="AZ349" s="273"/>
      <c r="BA349" s="273"/>
      <c r="BB349" s="273"/>
      <c r="BC349" s="273"/>
      <c r="BD349" s="273"/>
      <c r="BE349" s="273"/>
      <c r="BF349" s="273"/>
      <c r="BG349" s="273"/>
      <c r="BH349" s="273"/>
      <c r="BI349" s="273"/>
      <c r="BJ349" s="273"/>
      <c r="BK349" s="273"/>
      <c r="BL349" s="273"/>
      <c r="BM349" s="273"/>
      <c r="BN349" s="273"/>
      <c r="BO349" s="273"/>
      <c r="BP349" s="273"/>
      <c r="BQ349" s="273"/>
      <c r="BR349" s="273"/>
      <c r="BS349" s="273"/>
      <c r="BT349" s="273"/>
      <c r="BU349" s="273"/>
      <c r="BV349" s="273"/>
      <c r="BW349" s="273"/>
    </row>
    <row r="350">
      <c r="A350" s="259" t="str">
        <f>VLOOKUP($F350,UpdateHashtag!$V$3:$Y$32,COLUMN(B$15),0)</f>
        <v>#N/A</v>
      </c>
      <c r="B350" s="259" t="str">
        <f>VLOOKUP($F350,UpdateHashtag!$V$3:$Y$32,COLUMN(C$13),0)</f>
        <v>#N/A</v>
      </c>
      <c r="C350" s="259" t="str">
        <f>VLOOKUP($F350,UpdateHashtag!$V$3:$Y$32,COLUMN(D$13),0)</f>
        <v>#N/A</v>
      </c>
      <c r="D350" s="329" t="str">
        <f t="shared" si="4"/>
        <v>#N/A</v>
      </c>
      <c r="E350" s="21"/>
      <c r="F350" s="261" t="str">
        <f>VLOOKUP(J350,UpdateBBM!$C$2:E1015,3,0)</f>
        <v>#N/A</v>
      </c>
      <c r="G350" s="31">
        <v>330.0</v>
      </c>
      <c r="H350" s="278"/>
      <c r="I350" s="278"/>
      <c r="J350" s="279"/>
      <c r="K350" s="278"/>
      <c r="L350" s="280"/>
      <c r="M350" s="281"/>
      <c r="N350" s="282"/>
      <c r="O350" s="282"/>
      <c r="P350" s="283"/>
      <c r="Q350" s="283"/>
      <c r="R350" s="283"/>
      <c r="S350" s="284"/>
      <c r="T350" s="283"/>
      <c r="U350" s="283"/>
      <c r="V350" s="280"/>
      <c r="W350" s="280"/>
      <c r="X350" s="280"/>
      <c r="Y350" s="283"/>
      <c r="Z350" s="351"/>
      <c r="AA350" s="351"/>
      <c r="AB350" s="351"/>
      <c r="AC350" s="351"/>
      <c r="AD350" s="351"/>
      <c r="AE350" s="351"/>
      <c r="AF350" s="351"/>
      <c r="AG350" s="351"/>
      <c r="AH350" s="285"/>
      <c r="AI350" s="273"/>
      <c r="AJ350" s="340"/>
      <c r="AK350" s="341"/>
      <c r="AL350" s="273"/>
      <c r="AM350" s="273"/>
      <c r="AN350" s="273"/>
      <c r="AO350" s="273"/>
      <c r="AP350" s="273"/>
      <c r="AQ350" s="273"/>
      <c r="AR350" s="273"/>
      <c r="AS350" s="273"/>
      <c r="AT350" s="273"/>
      <c r="AU350" s="273"/>
      <c r="AV350" s="273"/>
      <c r="AW350" s="273"/>
      <c r="AX350" s="273"/>
      <c r="AY350" s="273"/>
      <c r="AZ350" s="273"/>
      <c r="BA350" s="273"/>
      <c r="BB350" s="273"/>
      <c r="BC350" s="273"/>
      <c r="BD350" s="273"/>
      <c r="BE350" s="273"/>
      <c r="BF350" s="273"/>
      <c r="BG350" s="273"/>
      <c r="BH350" s="273"/>
      <c r="BI350" s="273"/>
      <c r="BJ350" s="273"/>
      <c r="BK350" s="273"/>
      <c r="BL350" s="273"/>
      <c r="BM350" s="273"/>
      <c r="BN350" s="273"/>
      <c r="BO350" s="273"/>
      <c r="BP350" s="273"/>
      <c r="BQ350" s="273"/>
      <c r="BR350" s="273"/>
      <c r="BS350" s="273"/>
      <c r="BT350" s="273"/>
      <c r="BU350" s="273"/>
      <c r="BV350" s="273"/>
      <c r="BW350" s="273"/>
    </row>
    <row r="351">
      <c r="A351" s="259" t="str">
        <f>VLOOKUP($F351,UpdateHashtag!$V$3:$Y$32,COLUMN(B$15),0)</f>
        <v>#N/A</v>
      </c>
      <c r="B351" s="259" t="str">
        <f>VLOOKUP($F351,UpdateHashtag!$V$3:$Y$32,COLUMN(C$13),0)</f>
        <v>#N/A</v>
      </c>
      <c r="C351" s="259" t="str">
        <f>VLOOKUP($F351,UpdateHashtag!$V$3:$Y$32,COLUMN(D$13),0)</f>
        <v>#N/A</v>
      </c>
      <c r="D351" s="329" t="str">
        <f t="shared" si="4"/>
        <v>#N/A</v>
      </c>
      <c r="E351" s="21"/>
      <c r="F351" s="261" t="str">
        <f>VLOOKUP(J351,UpdateBBM!$C$2:E1015,3,0)</f>
        <v>#N/A</v>
      </c>
      <c r="G351" s="31">
        <v>331.0</v>
      </c>
      <c r="H351" s="278"/>
      <c r="I351" s="278"/>
      <c r="J351" s="279"/>
      <c r="K351" s="278"/>
      <c r="L351" s="280"/>
      <c r="M351" s="281"/>
      <c r="N351" s="282"/>
      <c r="O351" s="282"/>
      <c r="P351" s="283"/>
      <c r="Q351" s="283"/>
      <c r="R351" s="283"/>
      <c r="S351" s="284"/>
      <c r="T351" s="283"/>
      <c r="U351" s="283"/>
      <c r="V351" s="280"/>
      <c r="W351" s="280"/>
      <c r="X351" s="280"/>
      <c r="Y351" s="283"/>
      <c r="Z351" s="351"/>
      <c r="AA351" s="351"/>
      <c r="AB351" s="351"/>
      <c r="AC351" s="351"/>
      <c r="AD351" s="351"/>
      <c r="AE351" s="351"/>
      <c r="AF351" s="351"/>
      <c r="AG351" s="351"/>
      <c r="AH351" s="285"/>
      <c r="AI351" s="273"/>
      <c r="AJ351" s="340"/>
      <c r="AK351" s="341"/>
      <c r="AL351" s="273"/>
      <c r="AM351" s="273"/>
      <c r="AN351" s="273"/>
      <c r="AO351" s="273"/>
      <c r="AP351" s="273"/>
      <c r="AQ351" s="273"/>
      <c r="AR351" s="273"/>
      <c r="AS351" s="273"/>
      <c r="AT351" s="273"/>
      <c r="AU351" s="273"/>
      <c r="AV351" s="273"/>
      <c r="AW351" s="273"/>
      <c r="AX351" s="273"/>
      <c r="AY351" s="273"/>
      <c r="AZ351" s="273"/>
      <c r="BA351" s="273"/>
      <c r="BB351" s="273"/>
      <c r="BC351" s="273"/>
      <c r="BD351" s="273"/>
      <c r="BE351" s="273"/>
      <c r="BF351" s="273"/>
      <c r="BG351" s="273"/>
      <c r="BH351" s="273"/>
      <c r="BI351" s="273"/>
      <c r="BJ351" s="273"/>
      <c r="BK351" s="273"/>
      <c r="BL351" s="273"/>
      <c r="BM351" s="273"/>
      <c r="BN351" s="273"/>
      <c r="BO351" s="273"/>
      <c r="BP351" s="273"/>
      <c r="BQ351" s="273"/>
      <c r="BR351" s="273"/>
      <c r="BS351" s="273"/>
      <c r="BT351" s="273"/>
      <c r="BU351" s="273"/>
      <c r="BV351" s="273"/>
      <c r="BW351" s="273"/>
    </row>
    <row r="352">
      <c r="A352" s="259" t="str">
        <f>VLOOKUP($F352,UpdateHashtag!$V$3:$Y$32,COLUMN(B$15),0)</f>
        <v>#N/A</v>
      </c>
      <c r="B352" s="259" t="str">
        <f>VLOOKUP($F352,UpdateHashtag!$V$3:$Y$32,COLUMN(C$13),0)</f>
        <v>#N/A</v>
      </c>
      <c r="C352" s="259" t="str">
        <f>VLOOKUP($F352,UpdateHashtag!$V$3:$Y$32,COLUMN(D$13),0)</f>
        <v>#N/A</v>
      </c>
      <c r="D352" s="329" t="str">
        <f t="shared" si="4"/>
        <v>#N/A</v>
      </c>
      <c r="E352" s="21"/>
      <c r="F352" s="261" t="str">
        <f>VLOOKUP(J352,UpdateBBM!$C$2:E1015,3,0)</f>
        <v>#N/A</v>
      </c>
      <c r="G352" s="31">
        <v>332.0</v>
      </c>
      <c r="H352" s="278"/>
      <c r="I352" s="278"/>
      <c r="J352" s="279"/>
      <c r="K352" s="278"/>
      <c r="L352" s="280"/>
      <c r="M352" s="281"/>
      <c r="N352" s="282"/>
      <c r="O352" s="282"/>
      <c r="P352" s="283"/>
      <c r="Q352" s="283"/>
      <c r="R352" s="283"/>
      <c r="S352" s="284"/>
      <c r="T352" s="283"/>
      <c r="U352" s="283"/>
      <c r="V352" s="280"/>
      <c r="W352" s="280"/>
      <c r="X352" s="280"/>
      <c r="Y352" s="283"/>
      <c r="Z352" s="351"/>
      <c r="AA352" s="351"/>
      <c r="AB352" s="351"/>
      <c r="AC352" s="351"/>
      <c r="AD352" s="351"/>
      <c r="AE352" s="351"/>
      <c r="AF352" s="351"/>
      <c r="AG352" s="351"/>
      <c r="AH352" s="285"/>
      <c r="AI352" s="273"/>
      <c r="AJ352" s="340"/>
      <c r="AK352" s="341"/>
      <c r="AL352" s="273"/>
      <c r="AM352" s="273"/>
      <c r="AN352" s="273"/>
      <c r="AO352" s="273"/>
      <c r="AP352" s="273"/>
      <c r="AQ352" s="273"/>
      <c r="AR352" s="273"/>
      <c r="AS352" s="273"/>
      <c r="AT352" s="273"/>
      <c r="AU352" s="273"/>
      <c r="AV352" s="273"/>
      <c r="AW352" s="273"/>
      <c r="AX352" s="273"/>
      <c r="AY352" s="273"/>
      <c r="AZ352" s="273"/>
      <c r="BA352" s="273"/>
      <c r="BB352" s="273"/>
      <c r="BC352" s="273"/>
      <c r="BD352" s="273"/>
      <c r="BE352" s="273"/>
      <c r="BF352" s="273"/>
      <c r="BG352" s="273"/>
      <c r="BH352" s="273"/>
      <c r="BI352" s="273"/>
      <c r="BJ352" s="273"/>
      <c r="BK352" s="273"/>
      <c r="BL352" s="273"/>
      <c r="BM352" s="273"/>
      <c r="BN352" s="273"/>
      <c r="BO352" s="273"/>
      <c r="BP352" s="273"/>
      <c r="BQ352" s="273"/>
      <c r="BR352" s="273"/>
      <c r="BS352" s="273"/>
      <c r="BT352" s="273"/>
      <c r="BU352" s="273"/>
      <c r="BV352" s="273"/>
      <c r="BW352" s="273"/>
    </row>
    <row r="353">
      <c r="A353" s="259" t="str">
        <f>VLOOKUP($F353,UpdateHashtag!$V$3:$Y$32,COLUMN(B$15),0)</f>
        <v>#N/A</v>
      </c>
      <c r="B353" s="259" t="str">
        <f>VLOOKUP($F353,UpdateHashtag!$V$3:$Y$32,COLUMN(C$13),0)</f>
        <v>#N/A</v>
      </c>
      <c r="C353" s="259" t="str">
        <f>VLOOKUP($F353,UpdateHashtag!$V$3:$Y$32,COLUMN(D$13),0)</f>
        <v>#N/A</v>
      </c>
      <c r="D353" s="329" t="str">
        <f t="shared" si="4"/>
        <v>#N/A</v>
      </c>
      <c r="E353" s="21"/>
      <c r="F353" s="261" t="str">
        <f>VLOOKUP(J353,UpdateBBM!$C$2:E1015,3,0)</f>
        <v>#N/A</v>
      </c>
      <c r="G353" s="31">
        <v>333.0</v>
      </c>
      <c r="H353" s="278"/>
      <c r="I353" s="278"/>
      <c r="J353" s="279"/>
      <c r="K353" s="278"/>
      <c r="L353" s="280"/>
      <c r="M353" s="281"/>
      <c r="N353" s="282"/>
      <c r="O353" s="282"/>
      <c r="P353" s="283"/>
      <c r="Q353" s="283"/>
      <c r="R353" s="283"/>
      <c r="S353" s="284"/>
      <c r="T353" s="283"/>
      <c r="U353" s="283"/>
      <c r="V353" s="280"/>
      <c r="W353" s="280"/>
      <c r="X353" s="280"/>
      <c r="Y353" s="283"/>
      <c r="Z353" s="351"/>
      <c r="AA353" s="351"/>
      <c r="AB353" s="351"/>
      <c r="AC353" s="351"/>
      <c r="AD353" s="351"/>
      <c r="AE353" s="351"/>
      <c r="AF353" s="351"/>
      <c r="AG353" s="351"/>
      <c r="AH353" s="285"/>
      <c r="AI353" s="273"/>
      <c r="AJ353" s="340"/>
      <c r="AK353" s="341"/>
      <c r="AL353" s="273"/>
      <c r="AM353" s="273"/>
      <c r="AN353" s="273"/>
      <c r="AO353" s="273"/>
      <c r="AP353" s="273"/>
      <c r="AQ353" s="273"/>
      <c r="AR353" s="273"/>
      <c r="AS353" s="273"/>
      <c r="AT353" s="273"/>
      <c r="AU353" s="273"/>
      <c r="AV353" s="273"/>
      <c r="AW353" s="273"/>
      <c r="AX353" s="273"/>
      <c r="AY353" s="273"/>
      <c r="AZ353" s="273"/>
      <c r="BA353" s="273"/>
      <c r="BB353" s="273"/>
      <c r="BC353" s="273"/>
      <c r="BD353" s="273"/>
      <c r="BE353" s="273"/>
      <c r="BF353" s="273"/>
      <c r="BG353" s="273"/>
      <c r="BH353" s="273"/>
      <c r="BI353" s="273"/>
      <c r="BJ353" s="273"/>
      <c r="BK353" s="273"/>
      <c r="BL353" s="273"/>
      <c r="BM353" s="273"/>
      <c r="BN353" s="273"/>
      <c r="BO353" s="273"/>
      <c r="BP353" s="273"/>
      <c r="BQ353" s="273"/>
      <c r="BR353" s="273"/>
      <c r="BS353" s="273"/>
      <c r="BT353" s="273"/>
      <c r="BU353" s="273"/>
      <c r="BV353" s="273"/>
      <c r="BW353" s="273"/>
    </row>
    <row r="354">
      <c r="A354" s="259" t="str">
        <f>VLOOKUP($F354,UpdateHashtag!$V$3:$Y$32,COLUMN(B$15),0)</f>
        <v>#N/A</v>
      </c>
      <c r="B354" s="259" t="str">
        <f>VLOOKUP($F354,UpdateHashtag!$V$3:$Y$32,COLUMN(C$13),0)</f>
        <v>#N/A</v>
      </c>
      <c r="C354" s="259" t="str">
        <f>VLOOKUP($F354,UpdateHashtag!$V$3:$Y$32,COLUMN(D$13),0)</f>
        <v>#N/A</v>
      </c>
      <c r="D354" s="329" t="str">
        <f t="shared" si="4"/>
        <v>#N/A</v>
      </c>
      <c r="E354" s="21"/>
      <c r="F354" s="261" t="str">
        <f>VLOOKUP(J354,UpdateBBM!$C$2:E1015,3,0)</f>
        <v>#N/A</v>
      </c>
      <c r="G354" s="31">
        <v>334.0</v>
      </c>
      <c r="H354" s="278"/>
      <c r="I354" s="278"/>
      <c r="J354" s="279"/>
      <c r="K354" s="278"/>
      <c r="L354" s="280"/>
      <c r="M354" s="281"/>
      <c r="N354" s="282"/>
      <c r="O354" s="282"/>
      <c r="P354" s="283"/>
      <c r="Q354" s="283"/>
      <c r="R354" s="283"/>
      <c r="S354" s="284"/>
      <c r="T354" s="283"/>
      <c r="U354" s="283"/>
      <c r="V354" s="280"/>
      <c r="W354" s="280"/>
      <c r="X354" s="280"/>
      <c r="Y354" s="283"/>
      <c r="Z354" s="351"/>
      <c r="AA354" s="351"/>
      <c r="AB354" s="351"/>
      <c r="AC354" s="351"/>
      <c r="AD354" s="351"/>
      <c r="AE354" s="351"/>
      <c r="AF354" s="351"/>
      <c r="AG354" s="351"/>
      <c r="AH354" s="285"/>
      <c r="AI354" s="273"/>
      <c r="AJ354" s="340"/>
      <c r="AK354" s="341"/>
      <c r="AL354" s="273"/>
      <c r="AM354" s="273"/>
      <c r="AN354" s="273"/>
      <c r="AO354" s="273"/>
      <c r="AP354" s="273"/>
      <c r="AQ354" s="273"/>
      <c r="AR354" s="273"/>
      <c r="AS354" s="273"/>
      <c r="AT354" s="273"/>
      <c r="AU354" s="273"/>
      <c r="AV354" s="273"/>
      <c r="AW354" s="273"/>
      <c r="AX354" s="273"/>
      <c r="AY354" s="273"/>
      <c r="AZ354" s="273"/>
      <c r="BA354" s="273"/>
      <c r="BB354" s="273"/>
      <c r="BC354" s="273"/>
      <c r="BD354" s="273"/>
      <c r="BE354" s="273"/>
      <c r="BF354" s="273"/>
      <c r="BG354" s="273"/>
      <c r="BH354" s="273"/>
      <c r="BI354" s="273"/>
      <c r="BJ354" s="273"/>
      <c r="BK354" s="273"/>
      <c r="BL354" s="273"/>
      <c r="BM354" s="273"/>
      <c r="BN354" s="273"/>
      <c r="BO354" s="273"/>
      <c r="BP354" s="273"/>
      <c r="BQ354" s="273"/>
      <c r="BR354" s="273"/>
      <c r="BS354" s="273"/>
      <c r="BT354" s="273"/>
      <c r="BU354" s="273"/>
      <c r="BV354" s="273"/>
      <c r="BW354" s="273"/>
    </row>
    <row r="355">
      <c r="A355" s="259" t="str">
        <f>VLOOKUP($F355,UpdateHashtag!$V$3:$Y$32,COLUMN(B$15),0)</f>
        <v>#N/A</v>
      </c>
      <c r="B355" s="259" t="str">
        <f>VLOOKUP($F355,UpdateHashtag!$V$3:$Y$32,COLUMN(C$13),0)</f>
        <v>#N/A</v>
      </c>
      <c r="C355" s="259" t="str">
        <f>VLOOKUP($F355,UpdateHashtag!$V$3:$Y$32,COLUMN(D$13),0)</f>
        <v>#N/A</v>
      </c>
      <c r="D355" s="329" t="str">
        <f t="shared" si="4"/>
        <v>#N/A</v>
      </c>
      <c r="E355" s="21"/>
      <c r="F355" s="261" t="str">
        <f>VLOOKUP(J355,UpdateBBM!$C$2:E1015,3,0)</f>
        <v>#N/A</v>
      </c>
      <c r="G355" s="31">
        <v>335.0</v>
      </c>
      <c r="H355" s="278"/>
      <c r="I355" s="278"/>
      <c r="J355" s="279"/>
      <c r="K355" s="278"/>
      <c r="L355" s="280"/>
      <c r="M355" s="281"/>
      <c r="N355" s="282"/>
      <c r="O355" s="282"/>
      <c r="P355" s="283"/>
      <c r="Q355" s="283"/>
      <c r="R355" s="283"/>
      <c r="S355" s="284"/>
      <c r="T355" s="283"/>
      <c r="U355" s="283"/>
      <c r="V355" s="280"/>
      <c r="W355" s="280"/>
      <c r="X355" s="280"/>
      <c r="Y355" s="283"/>
      <c r="Z355" s="351"/>
      <c r="AA355" s="351"/>
      <c r="AB355" s="351"/>
      <c r="AC355" s="351"/>
      <c r="AD355" s="351"/>
      <c r="AE355" s="351"/>
      <c r="AF355" s="351"/>
      <c r="AG355" s="351"/>
      <c r="AH355" s="285"/>
      <c r="AI355" s="273"/>
      <c r="AJ355" s="340"/>
      <c r="AK355" s="341"/>
      <c r="AL355" s="273"/>
      <c r="AM355" s="273"/>
      <c r="AN355" s="273"/>
      <c r="AO355" s="273"/>
      <c r="AP355" s="273"/>
      <c r="AQ355" s="273"/>
      <c r="AR355" s="273"/>
      <c r="AS355" s="273"/>
      <c r="AT355" s="273"/>
      <c r="AU355" s="273"/>
      <c r="AV355" s="273"/>
      <c r="AW355" s="273"/>
      <c r="AX355" s="273"/>
      <c r="AY355" s="273"/>
      <c r="AZ355" s="273"/>
      <c r="BA355" s="273"/>
      <c r="BB355" s="273"/>
      <c r="BC355" s="273"/>
      <c r="BD355" s="273"/>
      <c r="BE355" s="273"/>
      <c r="BF355" s="273"/>
      <c r="BG355" s="273"/>
      <c r="BH355" s="273"/>
      <c r="BI355" s="273"/>
      <c r="BJ355" s="273"/>
      <c r="BK355" s="273"/>
      <c r="BL355" s="273"/>
      <c r="BM355" s="273"/>
      <c r="BN355" s="273"/>
      <c r="BO355" s="273"/>
      <c r="BP355" s="273"/>
      <c r="BQ355" s="273"/>
      <c r="BR355" s="273"/>
      <c r="BS355" s="273"/>
      <c r="BT355" s="273"/>
      <c r="BU355" s="273"/>
      <c r="BV355" s="273"/>
      <c r="BW355" s="273"/>
    </row>
    <row r="356">
      <c r="A356" s="259" t="str">
        <f>VLOOKUP($F356,UpdateHashtag!$V$3:$Y$32,COLUMN(B$15),0)</f>
        <v>#N/A</v>
      </c>
      <c r="B356" s="259" t="str">
        <f>VLOOKUP($F356,UpdateHashtag!$V$3:$Y$32,COLUMN(C$13),0)</f>
        <v>#N/A</v>
      </c>
      <c r="C356" s="259" t="str">
        <f>VLOOKUP($F356,UpdateHashtag!$V$3:$Y$32,COLUMN(D$13),0)</f>
        <v>#N/A</v>
      </c>
      <c r="D356" s="329" t="str">
        <f t="shared" si="4"/>
        <v>#N/A</v>
      </c>
      <c r="E356" s="21"/>
      <c r="F356" s="261" t="str">
        <f>VLOOKUP(J356,UpdateBBM!$C$2:E1015,3,0)</f>
        <v>#N/A</v>
      </c>
      <c r="G356" s="31">
        <v>336.0</v>
      </c>
      <c r="H356" s="278"/>
      <c r="I356" s="278"/>
      <c r="J356" s="279"/>
      <c r="K356" s="278"/>
      <c r="L356" s="280"/>
      <c r="M356" s="281"/>
      <c r="N356" s="282"/>
      <c r="O356" s="282"/>
      <c r="P356" s="283"/>
      <c r="Q356" s="283"/>
      <c r="R356" s="283"/>
      <c r="S356" s="284"/>
      <c r="T356" s="283"/>
      <c r="U356" s="283"/>
      <c r="V356" s="280"/>
      <c r="W356" s="280"/>
      <c r="X356" s="280"/>
      <c r="Y356" s="283"/>
      <c r="Z356" s="351"/>
      <c r="AA356" s="351"/>
      <c r="AB356" s="351"/>
      <c r="AC356" s="351"/>
      <c r="AD356" s="351"/>
      <c r="AE356" s="351"/>
      <c r="AF356" s="351"/>
      <c r="AG356" s="351"/>
      <c r="AH356" s="285"/>
      <c r="AI356" s="273"/>
      <c r="AJ356" s="340"/>
      <c r="AK356" s="341"/>
      <c r="AL356" s="273"/>
      <c r="AM356" s="273"/>
      <c r="AN356" s="273"/>
      <c r="AO356" s="273"/>
      <c r="AP356" s="273"/>
      <c r="AQ356" s="273"/>
      <c r="AR356" s="273"/>
      <c r="AS356" s="273"/>
      <c r="AT356" s="273"/>
      <c r="AU356" s="273"/>
      <c r="AV356" s="273"/>
      <c r="AW356" s="273"/>
      <c r="AX356" s="273"/>
      <c r="AY356" s="273"/>
      <c r="AZ356" s="273"/>
      <c r="BA356" s="273"/>
      <c r="BB356" s="273"/>
      <c r="BC356" s="273"/>
      <c r="BD356" s="273"/>
      <c r="BE356" s="273"/>
      <c r="BF356" s="273"/>
      <c r="BG356" s="273"/>
      <c r="BH356" s="273"/>
      <c r="BI356" s="273"/>
      <c r="BJ356" s="273"/>
      <c r="BK356" s="273"/>
      <c r="BL356" s="273"/>
      <c r="BM356" s="273"/>
      <c r="BN356" s="273"/>
      <c r="BO356" s="273"/>
      <c r="BP356" s="273"/>
      <c r="BQ356" s="273"/>
      <c r="BR356" s="273"/>
      <c r="BS356" s="273"/>
      <c r="BT356" s="273"/>
      <c r="BU356" s="273"/>
      <c r="BV356" s="273"/>
      <c r="BW356" s="273"/>
    </row>
    <row r="357">
      <c r="A357" s="259" t="str">
        <f>VLOOKUP($F357,UpdateHashtag!$V$3:$Y$32,COLUMN(B$15),0)</f>
        <v>#N/A</v>
      </c>
      <c r="B357" s="259" t="str">
        <f>VLOOKUP($F357,UpdateHashtag!$V$3:$Y$32,COLUMN(C$13),0)</f>
        <v>#N/A</v>
      </c>
      <c r="C357" s="259" t="str">
        <f>VLOOKUP($F357,UpdateHashtag!$V$3:$Y$32,COLUMN(D$13),0)</f>
        <v>#N/A</v>
      </c>
      <c r="D357" s="329" t="str">
        <f t="shared" si="4"/>
        <v>#N/A</v>
      </c>
      <c r="E357" s="21"/>
      <c r="F357" s="261" t="str">
        <f>VLOOKUP(J357,UpdateBBM!$C$2:E1015,3,0)</f>
        <v>#N/A</v>
      </c>
      <c r="G357" s="31">
        <v>337.0</v>
      </c>
      <c r="H357" s="278"/>
      <c r="I357" s="278"/>
      <c r="J357" s="279"/>
      <c r="K357" s="278"/>
      <c r="L357" s="280"/>
      <c r="M357" s="281"/>
      <c r="N357" s="282"/>
      <c r="O357" s="282"/>
      <c r="P357" s="283"/>
      <c r="Q357" s="283"/>
      <c r="R357" s="283"/>
      <c r="S357" s="284"/>
      <c r="T357" s="283"/>
      <c r="U357" s="283"/>
      <c r="V357" s="280"/>
      <c r="W357" s="280"/>
      <c r="X357" s="280"/>
      <c r="Y357" s="283"/>
      <c r="Z357" s="351"/>
      <c r="AA357" s="351"/>
      <c r="AB357" s="351"/>
      <c r="AC357" s="351"/>
      <c r="AD357" s="351"/>
      <c r="AE357" s="351"/>
      <c r="AF357" s="351"/>
      <c r="AG357" s="351"/>
      <c r="AH357" s="285"/>
      <c r="AI357" s="273"/>
      <c r="AJ357" s="340"/>
      <c r="AK357" s="341"/>
      <c r="AL357" s="273"/>
      <c r="AM357" s="273"/>
      <c r="AN357" s="273"/>
      <c r="AO357" s="273"/>
      <c r="AP357" s="273"/>
      <c r="AQ357" s="273"/>
      <c r="AR357" s="273"/>
      <c r="AS357" s="273"/>
      <c r="AT357" s="273"/>
      <c r="AU357" s="273"/>
      <c r="AV357" s="273"/>
      <c r="AW357" s="273"/>
      <c r="AX357" s="273"/>
      <c r="AY357" s="273"/>
      <c r="AZ357" s="273"/>
      <c r="BA357" s="273"/>
      <c r="BB357" s="273"/>
      <c r="BC357" s="273"/>
      <c r="BD357" s="273"/>
      <c r="BE357" s="273"/>
      <c r="BF357" s="273"/>
      <c r="BG357" s="273"/>
      <c r="BH357" s="273"/>
      <c r="BI357" s="273"/>
      <c r="BJ357" s="273"/>
      <c r="BK357" s="273"/>
      <c r="BL357" s="273"/>
      <c r="BM357" s="273"/>
      <c r="BN357" s="273"/>
      <c r="BO357" s="273"/>
      <c r="BP357" s="273"/>
      <c r="BQ357" s="273"/>
      <c r="BR357" s="273"/>
      <c r="BS357" s="273"/>
      <c r="BT357" s="273"/>
      <c r="BU357" s="273"/>
      <c r="BV357" s="273"/>
      <c r="BW357" s="273"/>
    </row>
    <row r="358">
      <c r="A358" s="259" t="str">
        <f>VLOOKUP($F358,UpdateHashtag!$V$3:$Y$32,COLUMN(B$15),0)</f>
        <v>#N/A</v>
      </c>
      <c r="B358" s="259" t="str">
        <f>VLOOKUP($F358,UpdateHashtag!$V$3:$Y$32,COLUMN(C$13),0)</f>
        <v>#N/A</v>
      </c>
      <c r="C358" s="259" t="str">
        <f>VLOOKUP($F358,UpdateHashtag!$V$3:$Y$32,COLUMN(D$13),0)</f>
        <v>#N/A</v>
      </c>
      <c r="D358" s="329" t="str">
        <f t="shared" si="4"/>
        <v>#N/A</v>
      </c>
      <c r="E358" s="21"/>
      <c r="F358" s="261" t="str">
        <f>VLOOKUP(J358,UpdateBBM!$C$2:E1015,3,0)</f>
        <v>#N/A</v>
      </c>
      <c r="G358" s="31">
        <v>338.0</v>
      </c>
      <c r="H358" s="278"/>
      <c r="I358" s="278"/>
      <c r="J358" s="279"/>
      <c r="K358" s="278"/>
      <c r="L358" s="280"/>
      <c r="M358" s="281"/>
      <c r="N358" s="282"/>
      <c r="O358" s="282"/>
      <c r="P358" s="283"/>
      <c r="Q358" s="283"/>
      <c r="R358" s="283"/>
      <c r="S358" s="284"/>
      <c r="T358" s="283"/>
      <c r="U358" s="283"/>
      <c r="V358" s="280"/>
      <c r="W358" s="280"/>
      <c r="X358" s="280"/>
      <c r="Y358" s="283"/>
      <c r="Z358" s="351"/>
      <c r="AA358" s="351"/>
      <c r="AB358" s="351"/>
      <c r="AC358" s="351"/>
      <c r="AD358" s="351"/>
      <c r="AE358" s="351"/>
      <c r="AF358" s="351"/>
      <c r="AG358" s="351"/>
      <c r="AH358" s="285"/>
      <c r="AI358" s="273"/>
      <c r="AJ358" s="340"/>
      <c r="AK358" s="341"/>
      <c r="AL358" s="273"/>
      <c r="AM358" s="273"/>
      <c r="AN358" s="273"/>
      <c r="AO358" s="273"/>
      <c r="AP358" s="273"/>
      <c r="AQ358" s="273"/>
      <c r="AR358" s="273"/>
      <c r="AS358" s="273"/>
      <c r="AT358" s="273"/>
      <c r="AU358" s="273"/>
      <c r="AV358" s="273"/>
      <c r="AW358" s="273"/>
      <c r="AX358" s="273"/>
      <c r="AY358" s="273"/>
      <c r="AZ358" s="273"/>
      <c r="BA358" s="273"/>
      <c r="BB358" s="273"/>
      <c r="BC358" s="273"/>
      <c r="BD358" s="273"/>
      <c r="BE358" s="273"/>
      <c r="BF358" s="273"/>
      <c r="BG358" s="273"/>
      <c r="BH358" s="273"/>
      <c r="BI358" s="273"/>
      <c r="BJ358" s="273"/>
      <c r="BK358" s="273"/>
      <c r="BL358" s="273"/>
      <c r="BM358" s="273"/>
      <c r="BN358" s="273"/>
      <c r="BO358" s="273"/>
      <c r="BP358" s="273"/>
      <c r="BQ358" s="273"/>
      <c r="BR358" s="273"/>
      <c r="BS358" s="273"/>
      <c r="BT358" s="273"/>
      <c r="BU358" s="273"/>
      <c r="BV358" s="273"/>
      <c r="BW358" s="273"/>
    </row>
    <row r="359">
      <c r="A359" s="259" t="str">
        <f>VLOOKUP($F359,UpdateHashtag!$V$3:$Y$32,COLUMN(B$15),0)</f>
        <v>#N/A</v>
      </c>
      <c r="B359" s="259" t="str">
        <f>VLOOKUP($F359,UpdateHashtag!$V$3:$Y$32,COLUMN(C$13),0)</f>
        <v>#N/A</v>
      </c>
      <c r="C359" s="259" t="str">
        <f>VLOOKUP($F359,UpdateHashtag!$V$3:$Y$32,COLUMN(D$13),0)</f>
        <v>#N/A</v>
      </c>
      <c r="D359" s="329" t="str">
        <f t="shared" si="4"/>
        <v>#N/A</v>
      </c>
      <c r="E359" s="21"/>
      <c r="F359" s="261" t="str">
        <f>VLOOKUP(J359,UpdateBBM!$C$2:E1015,3,0)</f>
        <v>#N/A</v>
      </c>
      <c r="G359" s="31">
        <v>339.0</v>
      </c>
      <c r="H359" s="278"/>
      <c r="I359" s="278"/>
      <c r="J359" s="279"/>
      <c r="K359" s="278"/>
      <c r="L359" s="280"/>
      <c r="M359" s="281"/>
      <c r="N359" s="282"/>
      <c r="O359" s="282"/>
      <c r="P359" s="283"/>
      <c r="Q359" s="283"/>
      <c r="R359" s="283"/>
      <c r="S359" s="284"/>
      <c r="T359" s="283"/>
      <c r="U359" s="283"/>
      <c r="V359" s="280"/>
      <c r="W359" s="280"/>
      <c r="X359" s="280"/>
      <c r="Y359" s="283"/>
      <c r="Z359" s="351"/>
      <c r="AA359" s="351"/>
      <c r="AB359" s="351"/>
      <c r="AC359" s="351"/>
      <c r="AD359" s="351"/>
      <c r="AE359" s="351"/>
      <c r="AF359" s="351"/>
      <c r="AG359" s="351"/>
      <c r="AH359" s="285"/>
      <c r="AI359" s="273"/>
      <c r="AJ359" s="340"/>
      <c r="AK359" s="341"/>
      <c r="AL359" s="273"/>
      <c r="AM359" s="273"/>
      <c r="AN359" s="273"/>
      <c r="AO359" s="273"/>
      <c r="AP359" s="273"/>
      <c r="AQ359" s="273"/>
      <c r="AR359" s="273"/>
      <c r="AS359" s="273"/>
      <c r="AT359" s="273"/>
      <c r="AU359" s="273"/>
      <c r="AV359" s="273"/>
      <c r="AW359" s="273"/>
      <c r="AX359" s="273"/>
      <c r="AY359" s="273"/>
      <c r="AZ359" s="273"/>
      <c r="BA359" s="273"/>
      <c r="BB359" s="273"/>
      <c r="BC359" s="273"/>
      <c r="BD359" s="273"/>
      <c r="BE359" s="273"/>
      <c r="BF359" s="273"/>
      <c r="BG359" s="273"/>
      <c r="BH359" s="273"/>
      <c r="BI359" s="273"/>
      <c r="BJ359" s="273"/>
      <c r="BK359" s="273"/>
      <c r="BL359" s="273"/>
      <c r="BM359" s="273"/>
      <c r="BN359" s="273"/>
      <c r="BO359" s="273"/>
      <c r="BP359" s="273"/>
      <c r="BQ359" s="273"/>
      <c r="BR359" s="273"/>
      <c r="BS359" s="273"/>
      <c r="BT359" s="273"/>
      <c r="BU359" s="273"/>
      <c r="BV359" s="273"/>
      <c r="BW359" s="273"/>
    </row>
    <row r="360">
      <c r="A360" s="259" t="str">
        <f>VLOOKUP($F360,UpdateHashtag!$V$3:$Y$32,COLUMN(B$15),0)</f>
        <v>#N/A</v>
      </c>
      <c r="B360" s="259" t="str">
        <f>VLOOKUP($F360,UpdateHashtag!$V$3:$Y$32,COLUMN(C$13),0)</f>
        <v>#N/A</v>
      </c>
      <c r="C360" s="259" t="str">
        <f>VLOOKUP($F360,UpdateHashtag!$V$3:$Y$32,COLUMN(D$13),0)</f>
        <v>#N/A</v>
      </c>
      <c r="D360" s="329" t="str">
        <f t="shared" si="4"/>
        <v>#N/A</v>
      </c>
      <c r="E360" s="21"/>
      <c r="F360" s="261" t="str">
        <f>VLOOKUP(J360,UpdateBBM!$C$2:E1015,3,0)</f>
        <v>#N/A</v>
      </c>
      <c r="G360" s="31">
        <v>340.0</v>
      </c>
      <c r="H360" s="278"/>
      <c r="I360" s="278"/>
      <c r="J360" s="279"/>
      <c r="K360" s="278"/>
      <c r="L360" s="280"/>
      <c r="M360" s="281"/>
      <c r="N360" s="282"/>
      <c r="O360" s="282"/>
      <c r="P360" s="283"/>
      <c r="Q360" s="283"/>
      <c r="R360" s="283"/>
      <c r="S360" s="284"/>
      <c r="T360" s="283"/>
      <c r="U360" s="283"/>
      <c r="V360" s="280"/>
      <c r="W360" s="280"/>
      <c r="X360" s="280"/>
      <c r="Y360" s="283"/>
      <c r="Z360" s="351"/>
      <c r="AA360" s="351"/>
      <c r="AB360" s="351"/>
      <c r="AC360" s="351"/>
      <c r="AD360" s="351"/>
      <c r="AE360" s="351"/>
      <c r="AF360" s="351"/>
      <c r="AG360" s="351"/>
      <c r="AH360" s="285"/>
      <c r="AI360" s="273"/>
      <c r="AJ360" s="340"/>
      <c r="AK360" s="341"/>
      <c r="AL360" s="273"/>
      <c r="AM360" s="273"/>
      <c r="AN360" s="273"/>
      <c r="AO360" s="273"/>
      <c r="AP360" s="273"/>
      <c r="AQ360" s="273"/>
      <c r="AR360" s="273"/>
      <c r="AS360" s="273"/>
      <c r="AT360" s="273"/>
      <c r="AU360" s="273"/>
      <c r="AV360" s="273"/>
      <c r="AW360" s="273"/>
      <c r="AX360" s="273"/>
      <c r="AY360" s="273"/>
      <c r="AZ360" s="273"/>
      <c r="BA360" s="273"/>
      <c r="BB360" s="273"/>
      <c r="BC360" s="273"/>
      <c r="BD360" s="273"/>
      <c r="BE360" s="273"/>
      <c r="BF360" s="273"/>
      <c r="BG360" s="273"/>
      <c r="BH360" s="273"/>
      <c r="BI360" s="273"/>
      <c r="BJ360" s="273"/>
      <c r="BK360" s="273"/>
      <c r="BL360" s="273"/>
      <c r="BM360" s="273"/>
      <c r="BN360" s="273"/>
      <c r="BO360" s="273"/>
      <c r="BP360" s="273"/>
      <c r="BQ360" s="273"/>
      <c r="BR360" s="273"/>
      <c r="BS360" s="273"/>
      <c r="BT360" s="273"/>
      <c r="BU360" s="273"/>
      <c r="BV360" s="273"/>
      <c r="BW360" s="273"/>
    </row>
    <row r="361">
      <c r="A361" s="259" t="str">
        <f>VLOOKUP($F361,UpdateHashtag!$V$3:$Y$32,COLUMN(B$15),0)</f>
        <v>#N/A</v>
      </c>
      <c r="B361" s="259" t="str">
        <f>VLOOKUP($F361,UpdateHashtag!$V$3:$Y$32,COLUMN(C$13),0)</f>
        <v>#N/A</v>
      </c>
      <c r="C361" s="259" t="str">
        <f>VLOOKUP($F361,UpdateHashtag!$V$3:$Y$32,COLUMN(D$13),0)</f>
        <v>#N/A</v>
      </c>
      <c r="D361" s="329" t="str">
        <f t="shared" si="4"/>
        <v>#N/A</v>
      </c>
      <c r="E361" s="21"/>
      <c r="F361" s="261" t="str">
        <f>VLOOKUP(J361,UpdateBBM!$C$2:E1015,3,0)</f>
        <v>#N/A</v>
      </c>
      <c r="G361" s="31">
        <v>341.0</v>
      </c>
      <c r="H361" s="278"/>
      <c r="I361" s="278"/>
      <c r="J361" s="279"/>
      <c r="K361" s="278"/>
      <c r="L361" s="280"/>
      <c r="M361" s="281"/>
      <c r="N361" s="282"/>
      <c r="O361" s="282"/>
      <c r="P361" s="283"/>
      <c r="Q361" s="283"/>
      <c r="R361" s="283"/>
      <c r="S361" s="284"/>
      <c r="T361" s="283"/>
      <c r="U361" s="283"/>
      <c r="V361" s="280"/>
      <c r="W361" s="280"/>
      <c r="X361" s="280"/>
      <c r="Y361" s="283"/>
      <c r="Z361" s="351"/>
      <c r="AA361" s="351"/>
      <c r="AB361" s="351"/>
      <c r="AC361" s="351"/>
      <c r="AD361" s="351"/>
      <c r="AE361" s="351"/>
      <c r="AF361" s="351"/>
      <c r="AG361" s="351"/>
      <c r="AH361" s="285"/>
      <c r="AI361" s="273"/>
      <c r="AJ361" s="340"/>
      <c r="AK361" s="341"/>
      <c r="AL361" s="273"/>
      <c r="AM361" s="273"/>
      <c r="AN361" s="273"/>
      <c r="AO361" s="273"/>
      <c r="AP361" s="273"/>
      <c r="AQ361" s="273"/>
      <c r="AR361" s="273"/>
      <c r="AS361" s="273"/>
      <c r="AT361" s="273"/>
      <c r="AU361" s="273"/>
      <c r="AV361" s="273"/>
      <c r="AW361" s="273"/>
      <c r="AX361" s="273"/>
      <c r="AY361" s="273"/>
      <c r="AZ361" s="273"/>
      <c r="BA361" s="273"/>
      <c r="BB361" s="273"/>
      <c r="BC361" s="273"/>
      <c r="BD361" s="273"/>
      <c r="BE361" s="273"/>
      <c r="BF361" s="273"/>
      <c r="BG361" s="273"/>
      <c r="BH361" s="273"/>
      <c r="BI361" s="273"/>
      <c r="BJ361" s="273"/>
      <c r="BK361" s="273"/>
      <c r="BL361" s="273"/>
      <c r="BM361" s="273"/>
      <c r="BN361" s="273"/>
      <c r="BO361" s="273"/>
      <c r="BP361" s="273"/>
      <c r="BQ361" s="273"/>
      <c r="BR361" s="273"/>
      <c r="BS361" s="273"/>
      <c r="BT361" s="273"/>
      <c r="BU361" s="273"/>
      <c r="BV361" s="273"/>
      <c r="BW361" s="273"/>
    </row>
    <row r="362">
      <c r="A362" s="259" t="str">
        <f>VLOOKUP($F362,UpdateHashtag!$V$3:$Y$32,COLUMN(B$15),0)</f>
        <v>#N/A</v>
      </c>
      <c r="B362" s="259" t="str">
        <f>VLOOKUP($F362,UpdateHashtag!$V$3:$Y$32,COLUMN(C$13),0)</f>
        <v>#N/A</v>
      </c>
      <c r="C362" s="259" t="str">
        <f>VLOOKUP($F362,UpdateHashtag!$V$3:$Y$32,COLUMN(D$13),0)</f>
        <v>#N/A</v>
      </c>
      <c r="D362" s="329" t="str">
        <f t="shared" si="4"/>
        <v>#N/A</v>
      </c>
      <c r="E362" s="21"/>
      <c r="F362" s="261" t="str">
        <f>VLOOKUP(J362,UpdateBBM!$C$2:E1015,3,0)</f>
        <v>#N/A</v>
      </c>
      <c r="G362" s="31">
        <v>342.0</v>
      </c>
      <c r="H362" s="278"/>
      <c r="I362" s="278"/>
      <c r="J362" s="279"/>
      <c r="K362" s="278"/>
      <c r="L362" s="280"/>
      <c r="M362" s="281"/>
      <c r="N362" s="282"/>
      <c r="O362" s="282"/>
      <c r="P362" s="283"/>
      <c r="Q362" s="283"/>
      <c r="R362" s="283"/>
      <c r="S362" s="284"/>
      <c r="T362" s="283"/>
      <c r="U362" s="283"/>
      <c r="V362" s="280"/>
      <c r="W362" s="280"/>
      <c r="X362" s="280"/>
      <c r="Y362" s="283"/>
      <c r="Z362" s="351"/>
      <c r="AA362" s="351"/>
      <c r="AB362" s="351"/>
      <c r="AC362" s="351"/>
      <c r="AD362" s="351"/>
      <c r="AE362" s="351"/>
      <c r="AF362" s="351"/>
      <c r="AG362" s="351"/>
      <c r="AH362" s="285"/>
      <c r="AI362" s="273"/>
      <c r="AJ362" s="340"/>
      <c r="AK362" s="341"/>
      <c r="AL362" s="273"/>
      <c r="AM362" s="273"/>
      <c r="AN362" s="273"/>
      <c r="AO362" s="273"/>
      <c r="AP362" s="273"/>
      <c r="AQ362" s="273"/>
      <c r="AR362" s="273"/>
      <c r="AS362" s="273"/>
      <c r="AT362" s="273"/>
      <c r="AU362" s="273"/>
      <c r="AV362" s="273"/>
      <c r="AW362" s="273"/>
      <c r="AX362" s="273"/>
      <c r="AY362" s="273"/>
      <c r="AZ362" s="273"/>
      <c r="BA362" s="273"/>
      <c r="BB362" s="273"/>
      <c r="BC362" s="273"/>
      <c r="BD362" s="273"/>
      <c r="BE362" s="273"/>
      <c r="BF362" s="273"/>
      <c r="BG362" s="273"/>
      <c r="BH362" s="273"/>
      <c r="BI362" s="273"/>
      <c r="BJ362" s="273"/>
      <c r="BK362" s="273"/>
      <c r="BL362" s="273"/>
      <c r="BM362" s="273"/>
      <c r="BN362" s="273"/>
      <c r="BO362" s="273"/>
      <c r="BP362" s="273"/>
      <c r="BQ362" s="273"/>
      <c r="BR362" s="273"/>
      <c r="BS362" s="273"/>
      <c r="BT362" s="273"/>
      <c r="BU362" s="273"/>
      <c r="BV362" s="273"/>
      <c r="BW362" s="273"/>
    </row>
    <row r="363">
      <c r="A363" s="259" t="str">
        <f>VLOOKUP($F363,UpdateHashtag!$V$3:$Y$32,COLUMN(B$15),0)</f>
        <v>#N/A</v>
      </c>
      <c r="B363" s="259" t="str">
        <f>VLOOKUP($F363,UpdateHashtag!$V$3:$Y$32,COLUMN(C$13),0)</f>
        <v>#N/A</v>
      </c>
      <c r="C363" s="259" t="str">
        <f>VLOOKUP($F363,UpdateHashtag!$V$3:$Y$32,COLUMN(D$13),0)</f>
        <v>#N/A</v>
      </c>
      <c r="D363" s="329" t="str">
        <f t="shared" si="4"/>
        <v>#N/A</v>
      </c>
      <c r="E363" s="21"/>
      <c r="F363" s="261" t="str">
        <f>VLOOKUP(J363,UpdateBBM!$C$2:E1015,3,0)</f>
        <v>#N/A</v>
      </c>
      <c r="G363" s="31">
        <v>343.0</v>
      </c>
      <c r="H363" s="278"/>
      <c r="I363" s="278"/>
      <c r="J363" s="279"/>
      <c r="K363" s="278"/>
      <c r="L363" s="280"/>
      <c r="M363" s="281"/>
      <c r="N363" s="282"/>
      <c r="O363" s="282"/>
      <c r="P363" s="283"/>
      <c r="Q363" s="283"/>
      <c r="R363" s="283"/>
      <c r="S363" s="284"/>
      <c r="T363" s="283"/>
      <c r="U363" s="283"/>
      <c r="V363" s="280"/>
      <c r="W363" s="280"/>
      <c r="X363" s="280"/>
      <c r="Y363" s="283"/>
      <c r="Z363" s="351"/>
      <c r="AA363" s="351"/>
      <c r="AB363" s="351"/>
      <c r="AC363" s="351"/>
      <c r="AD363" s="351"/>
      <c r="AE363" s="351"/>
      <c r="AF363" s="351"/>
      <c r="AG363" s="351"/>
      <c r="AH363" s="285"/>
      <c r="AI363" s="273"/>
      <c r="AJ363" s="340"/>
      <c r="AK363" s="341"/>
      <c r="AL363" s="273"/>
      <c r="AM363" s="273"/>
      <c r="AN363" s="273"/>
      <c r="AO363" s="273"/>
      <c r="AP363" s="273"/>
      <c r="AQ363" s="273"/>
      <c r="AR363" s="273"/>
      <c r="AS363" s="273"/>
      <c r="AT363" s="273"/>
      <c r="AU363" s="273"/>
      <c r="AV363" s="273"/>
      <c r="AW363" s="273"/>
      <c r="AX363" s="273"/>
      <c r="AY363" s="273"/>
      <c r="AZ363" s="273"/>
      <c r="BA363" s="273"/>
      <c r="BB363" s="273"/>
      <c r="BC363" s="273"/>
      <c r="BD363" s="273"/>
      <c r="BE363" s="273"/>
      <c r="BF363" s="273"/>
      <c r="BG363" s="273"/>
      <c r="BH363" s="273"/>
      <c r="BI363" s="273"/>
      <c r="BJ363" s="273"/>
      <c r="BK363" s="273"/>
      <c r="BL363" s="273"/>
      <c r="BM363" s="273"/>
      <c r="BN363" s="273"/>
      <c r="BO363" s="273"/>
      <c r="BP363" s="273"/>
      <c r="BQ363" s="273"/>
      <c r="BR363" s="273"/>
      <c r="BS363" s="273"/>
      <c r="BT363" s="273"/>
      <c r="BU363" s="273"/>
      <c r="BV363" s="273"/>
      <c r="BW363" s="273"/>
    </row>
    <row r="364">
      <c r="A364" s="259" t="str">
        <f>VLOOKUP($F364,UpdateHashtag!$V$3:$Y$32,COLUMN(B$15),0)</f>
        <v>#N/A</v>
      </c>
      <c r="B364" s="259" t="str">
        <f>VLOOKUP($F364,UpdateHashtag!$V$3:$Y$32,COLUMN(C$13),0)</f>
        <v>#N/A</v>
      </c>
      <c r="C364" s="259" t="str">
        <f>VLOOKUP($F364,UpdateHashtag!$V$3:$Y$32,COLUMN(D$13),0)</f>
        <v>#N/A</v>
      </c>
      <c r="D364" s="329" t="str">
        <f t="shared" si="4"/>
        <v>#N/A</v>
      </c>
      <c r="E364" s="21"/>
      <c r="F364" s="261" t="str">
        <f>VLOOKUP(J364,UpdateBBM!$C$2:E1015,3,0)</f>
        <v>#N/A</v>
      </c>
      <c r="G364" s="31">
        <v>344.0</v>
      </c>
      <c r="H364" s="278"/>
      <c r="I364" s="278"/>
      <c r="J364" s="279"/>
      <c r="K364" s="278"/>
      <c r="L364" s="280"/>
      <c r="M364" s="281"/>
      <c r="N364" s="282"/>
      <c r="O364" s="282"/>
      <c r="P364" s="283"/>
      <c r="Q364" s="283"/>
      <c r="R364" s="283"/>
      <c r="S364" s="284"/>
      <c r="T364" s="283"/>
      <c r="U364" s="283"/>
      <c r="V364" s="280"/>
      <c r="W364" s="280"/>
      <c r="X364" s="280"/>
      <c r="Y364" s="283"/>
      <c r="Z364" s="351"/>
      <c r="AA364" s="351"/>
      <c r="AB364" s="351"/>
      <c r="AC364" s="351"/>
      <c r="AD364" s="351"/>
      <c r="AE364" s="351"/>
      <c r="AF364" s="351"/>
      <c r="AG364" s="351"/>
      <c r="AH364" s="285"/>
      <c r="AI364" s="273"/>
      <c r="AJ364" s="340"/>
      <c r="AK364" s="341"/>
      <c r="AL364" s="273"/>
      <c r="AM364" s="273"/>
      <c r="AN364" s="273"/>
      <c r="AO364" s="273"/>
      <c r="AP364" s="273"/>
      <c r="AQ364" s="273"/>
      <c r="AR364" s="273"/>
      <c r="AS364" s="273"/>
      <c r="AT364" s="273"/>
      <c r="AU364" s="273"/>
      <c r="AV364" s="273"/>
      <c r="AW364" s="273"/>
      <c r="AX364" s="273"/>
      <c r="AY364" s="273"/>
      <c r="AZ364" s="273"/>
      <c r="BA364" s="273"/>
      <c r="BB364" s="273"/>
      <c r="BC364" s="273"/>
      <c r="BD364" s="273"/>
      <c r="BE364" s="273"/>
      <c r="BF364" s="273"/>
      <c r="BG364" s="273"/>
      <c r="BH364" s="273"/>
      <c r="BI364" s="273"/>
      <c r="BJ364" s="273"/>
      <c r="BK364" s="273"/>
      <c r="BL364" s="273"/>
      <c r="BM364" s="273"/>
      <c r="BN364" s="273"/>
      <c r="BO364" s="273"/>
      <c r="BP364" s="273"/>
      <c r="BQ364" s="273"/>
      <c r="BR364" s="273"/>
      <c r="BS364" s="273"/>
      <c r="BT364" s="273"/>
      <c r="BU364" s="273"/>
      <c r="BV364" s="273"/>
      <c r="BW364" s="273"/>
    </row>
    <row r="365">
      <c r="A365" s="259" t="str">
        <f>VLOOKUP($F365,UpdateHashtag!$V$3:$Y$32,COLUMN(B$15),0)</f>
        <v>#N/A</v>
      </c>
      <c r="B365" s="259" t="str">
        <f>VLOOKUP($F365,UpdateHashtag!$V$3:$Y$32,COLUMN(C$13),0)</f>
        <v>#N/A</v>
      </c>
      <c r="C365" s="259" t="str">
        <f>VLOOKUP($F365,UpdateHashtag!$V$3:$Y$32,COLUMN(D$13),0)</f>
        <v>#N/A</v>
      </c>
      <c r="D365" s="329" t="str">
        <f t="shared" si="4"/>
        <v>#N/A</v>
      </c>
      <c r="E365" s="21"/>
      <c r="F365" s="261" t="str">
        <f>VLOOKUP(J365,UpdateBBM!$C$2:E1015,3,0)</f>
        <v>#N/A</v>
      </c>
      <c r="G365" s="31">
        <v>345.0</v>
      </c>
      <c r="H365" s="278"/>
      <c r="I365" s="278"/>
      <c r="J365" s="279"/>
      <c r="K365" s="278"/>
      <c r="L365" s="280"/>
      <c r="M365" s="281"/>
      <c r="N365" s="282"/>
      <c r="O365" s="282"/>
      <c r="P365" s="283"/>
      <c r="Q365" s="283"/>
      <c r="R365" s="283"/>
      <c r="S365" s="284"/>
      <c r="T365" s="283"/>
      <c r="U365" s="283"/>
      <c r="V365" s="280"/>
      <c r="W365" s="280"/>
      <c r="X365" s="280"/>
      <c r="Y365" s="283"/>
      <c r="Z365" s="351"/>
      <c r="AA365" s="351"/>
      <c r="AB365" s="351"/>
      <c r="AC365" s="351"/>
      <c r="AD365" s="351"/>
      <c r="AE365" s="351"/>
      <c r="AF365" s="351"/>
      <c r="AG365" s="351"/>
      <c r="AH365" s="285"/>
      <c r="AI365" s="273"/>
      <c r="AJ365" s="340"/>
      <c r="AK365" s="341"/>
      <c r="AL365" s="273"/>
      <c r="AM365" s="273"/>
      <c r="AN365" s="273"/>
      <c r="AO365" s="273"/>
      <c r="AP365" s="273"/>
      <c r="AQ365" s="273"/>
      <c r="AR365" s="273"/>
      <c r="AS365" s="273"/>
      <c r="AT365" s="273"/>
      <c r="AU365" s="273"/>
      <c r="AV365" s="273"/>
      <c r="AW365" s="273"/>
      <c r="AX365" s="273"/>
      <c r="AY365" s="273"/>
      <c r="AZ365" s="273"/>
      <c r="BA365" s="273"/>
      <c r="BB365" s="273"/>
      <c r="BC365" s="273"/>
      <c r="BD365" s="273"/>
      <c r="BE365" s="273"/>
      <c r="BF365" s="273"/>
      <c r="BG365" s="273"/>
      <c r="BH365" s="273"/>
      <c r="BI365" s="273"/>
      <c r="BJ365" s="273"/>
      <c r="BK365" s="273"/>
      <c r="BL365" s="273"/>
      <c r="BM365" s="273"/>
      <c r="BN365" s="273"/>
      <c r="BO365" s="273"/>
      <c r="BP365" s="273"/>
      <c r="BQ365" s="273"/>
      <c r="BR365" s="273"/>
      <c r="BS365" s="273"/>
      <c r="BT365" s="273"/>
      <c r="BU365" s="273"/>
      <c r="BV365" s="273"/>
      <c r="BW365" s="273"/>
    </row>
    <row r="366">
      <c r="A366" s="259" t="str">
        <f>VLOOKUP($F366,UpdateHashtag!$V$3:$Y$32,COLUMN(B$15),0)</f>
        <v>#N/A</v>
      </c>
      <c r="B366" s="259" t="str">
        <f>VLOOKUP($F366,UpdateHashtag!$V$3:$Y$32,COLUMN(C$13),0)</f>
        <v>#N/A</v>
      </c>
      <c r="C366" s="259" t="str">
        <f>VLOOKUP($F366,UpdateHashtag!$V$3:$Y$32,COLUMN(D$13),0)</f>
        <v>#N/A</v>
      </c>
      <c r="D366" s="329" t="str">
        <f t="shared" si="4"/>
        <v>#N/A</v>
      </c>
      <c r="E366" s="21"/>
      <c r="F366" s="261" t="str">
        <f>VLOOKUP(J366,UpdateBBM!$C$2:E1015,3,0)</f>
        <v>#N/A</v>
      </c>
      <c r="G366" s="31">
        <v>346.0</v>
      </c>
      <c r="H366" s="278"/>
      <c r="I366" s="278"/>
      <c r="J366" s="279"/>
      <c r="K366" s="278"/>
      <c r="L366" s="280"/>
      <c r="M366" s="281"/>
      <c r="N366" s="282"/>
      <c r="O366" s="282"/>
      <c r="P366" s="283"/>
      <c r="Q366" s="283"/>
      <c r="R366" s="283"/>
      <c r="S366" s="284"/>
      <c r="T366" s="283"/>
      <c r="U366" s="283"/>
      <c r="V366" s="280"/>
      <c r="W366" s="280"/>
      <c r="X366" s="280"/>
      <c r="Y366" s="283"/>
      <c r="Z366" s="351"/>
      <c r="AA366" s="351"/>
      <c r="AB366" s="351"/>
      <c r="AC366" s="351"/>
      <c r="AD366" s="351"/>
      <c r="AE366" s="351"/>
      <c r="AF366" s="351"/>
      <c r="AG366" s="351"/>
      <c r="AH366" s="285"/>
      <c r="AI366" s="273"/>
      <c r="AJ366" s="340"/>
      <c r="AK366" s="341"/>
      <c r="AL366" s="273"/>
      <c r="AM366" s="273"/>
      <c r="AN366" s="273"/>
      <c r="AO366" s="273"/>
      <c r="AP366" s="273"/>
      <c r="AQ366" s="273"/>
      <c r="AR366" s="273"/>
      <c r="AS366" s="273"/>
      <c r="AT366" s="273"/>
      <c r="AU366" s="273"/>
      <c r="AV366" s="273"/>
      <c r="AW366" s="273"/>
      <c r="AX366" s="273"/>
      <c r="AY366" s="273"/>
      <c r="AZ366" s="273"/>
      <c r="BA366" s="273"/>
      <c r="BB366" s="273"/>
      <c r="BC366" s="273"/>
      <c r="BD366" s="273"/>
      <c r="BE366" s="273"/>
      <c r="BF366" s="273"/>
      <c r="BG366" s="273"/>
      <c r="BH366" s="273"/>
      <c r="BI366" s="273"/>
      <c r="BJ366" s="273"/>
      <c r="BK366" s="273"/>
      <c r="BL366" s="273"/>
      <c r="BM366" s="273"/>
      <c r="BN366" s="273"/>
      <c r="BO366" s="273"/>
      <c r="BP366" s="273"/>
      <c r="BQ366" s="273"/>
      <c r="BR366" s="273"/>
      <c r="BS366" s="273"/>
      <c r="BT366" s="273"/>
      <c r="BU366" s="273"/>
      <c r="BV366" s="273"/>
      <c r="BW366" s="273"/>
    </row>
    <row r="367">
      <c r="A367" s="259" t="str">
        <f>VLOOKUP($F367,UpdateHashtag!$V$3:$Y$32,COLUMN(B$15),0)</f>
        <v>#N/A</v>
      </c>
      <c r="B367" s="259" t="str">
        <f>VLOOKUP($F367,UpdateHashtag!$V$3:$Y$32,COLUMN(C$13),0)</f>
        <v>#N/A</v>
      </c>
      <c r="C367" s="259" t="str">
        <f>VLOOKUP($F367,UpdateHashtag!$V$3:$Y$32,COLUMN(D$13),0)</f>
        <v>#N/A</v>
      </c>
      <c r="D367" s="329" t="str">
        <f t="shared" si="4"/>
        <v>#N/A</v>
      </c>
      <c r="E367" s="21"/>
      <c r="F367" s="261" t="str">
        <f>VLOOKUP(J367,UpdateBBM!$C$2:E1015,3,0)</f>
        <v>#N/A</v>
      </c>
      <c r="G367" s="31">
        <v>347.0</v>
      </c>
      <c r="H367" s="278"/>
      <c r="I367" s="278"/>
      <c r="J367" s="279"/>
      <c r="K367" s="278"/>
      <c r="L367" s="280"/>
      <c r="M367" s="281"/>
      <c r="N367" s="282"/>
      <c r="O367" s="282"/>
      <c r="P367" s="283"/>
      <c r="Q367" s="283"/>
      <c r="R367" s="283"/>
      <c r="S367" s="284"/>
      <c r="T367" s="283"/>
      <c r="U367" s="283"/>
      <c r="V367" s="280"/>
      <c r="W367" s="280"/>
      <c r="X367" s="280"/>
      <c r="Y367" s="283"/>
      <c r="Z367" s="351"/>
      <c r="AA367" s="351"/>
      <c r="AB367" s="351"/>
      <c r="AC367" s="351"/>
      <c r="AD367" s="351"/>
      <c r="AE367" s="351"/>
      <c r="AF367" s="351"/>
      <c r="AG367" s="351"/>
      <c r="AH367" s="285"/>
      <c r="AI367" s="273"/>
      <c r="AJ367" s="340"/>
      <c r="AK367" s="341"/>
      <c r="AL367" s="273"/>
      <c r="AM367" s="273"/>
      <c r="AN367" s="273"/>
      <c r="AO367" s="273"/>
      <c r="AP367" s="273"/>
      <c r="AQ367" s="273"/>
      <c r="AR367" s="273"/>
      <c r="AS367" s="273"/>
      <c r="AT367" s="273"/>
      <c r="AU367" s="273"/>
      <c r="AV367" s="273"/>
      <c r="AW367" s="273"/>
      <c r="AX367" s="273"/>
      <c r="AY367" s="273"/>
      <c r="AZ367" s="273"/>
      <c r="BA367" s="273"/>
      <c r="BB367" s="273"/>
      <c r="BC367" s="273"/>
      <c r="BD367" s="273"/>
      <c r="BE367" s="273"/>
      <c r="BF367" s="273"/>
      <c r="BG367" s="273"/>
      <c r="BH367" s="273"/>
      <c r="BI367" s="273"/>
      <c r="BJ367" s="273"/>
      <c r="BK367" s="273"/>
      <c r="BL367" s="273"/>
      <c r="BM367" s="273"/>
      <c r="BN367" s="273"/>
      <c r="BO367" s="273"/>
      <c r="BP367" s="273"/>
      <c r="BQ367" s="273"/>
      <c r="BR367" s="273"/>
      <c r="BS367" s="273"/>
      <c r="BT367" s="273"/>
      <c r="BU367" s="273"/>
      <c r="BV367" s="273"/>
      <c r="BW367" s="273"/>
    </row>
    <row r="368">
      <c r="A368" s="259" t="str">
        <f>VLOOKUP($F368,UpdateHashtag!$V$3:$Y$32,COLUMN(B$15),0)</f>
        <v>#N/A</v>
      </c>
      <c r="B368" s="259" t="str">
        <f>VLOOKUP($F368,UpdateHashtag!$V$3:$Y$32,COLUMN(C$13),0)</f>
        <v>#N/A</v>
      </c>
      <c r="C368" s="259" t="str">
        <f>VLOOKUP($F368,UpdateHashtag!$V$3:$Y$32,COLUMN(D$13),0)</f>
        <v>#N/A</v>
      </c>
      <c r="D368" s="329" t="str">
        <f t="shared" si="4"/>
        <v>#N/A</v>
      </c>
      <c r="E368" s="21"/>
      <c r="F368" s="261" t="str">
        <f>VLOOKUP(J368,UpdateBBM!$C$2:E1015,3,0)</f>
        <v>#N/A</v>
      </c>
      <c r="G368" s="31">
        <v>348.0</v>
      </c>
      <c r="H368" s="278"/>
      <c r="I368" s="278"/>
      <c r="J368" s="279"/>
      <c r="K368" s="278"/>
      <c r="L368" s="280"/>
      <c r="M368" s="281"/>
      <c r="N368" s="282"/>
      <c r="O368" s="282"/>
      <c r="P368" s="283"/>
      <c r="Q368" s="283"/>
      <c r="R368" s="283"/>
      <c r="S368" s="284"/>
      <c r="T368" s="283"/>
      <c r="U368" s="283"/>
      <c r="V368" s="280"/>
      <c r="W368" s="280"/>
      <c r="X368" s="280"/>
      <c r="Y368" s="283"/>
      <c r="Z368" s="351"/>
      <c r="AA368" s="351"/>
      <c r="AB368" s="351"/>
      <c r="AC368" s="351"/>
      <c r="AD368" s="351"/>
      <c r="AE368" s="351"/>
      <c r="AF368" s="351"/>
      <c r="AG368" s="351"/>
      <c r="AH368" s="285"/>
      <c r="AI368" s="273"/>
      <c r="AJ368" s="340"/>
      <c r="AK368" s="341"/>
      <c r="AL368" s="273"/>
      <c r="AM368" s="273"/>
      <c r="AN368" s="273"/>
      <c r="AO368" s="273"/>
      <c r="AP368" s="273"/>
      <c r="AQ368" s="273"/>
      <c r="AR368" s="273"/>
      <c r="AS368" s="273"/>
      <c r="AT368" s="273"/>
      <c r="AU368" s="273"/>
      <c r="AV368" s="273"/>
      <c r="AW368" s="273"/>
      <c r="AX368" s="273"/>
      <c r="AY368" s="273"/>
      <c r="AZ368" s="273"/>
      <c r="BA368" s="273"/>
      <c r="BB368" s="273"/>
      <c r="BC368" s="273"/>
      <c r="BD368" s="273"/>
      <c r="BE368" s="273"/>
      <c r="BF368" s="273"/>
      <c r="BG368" s="273"/>
      <c r="BH368" s="273"/>
      <c r="BI368" s="273"/>
      <c r="BJ368" s="273"/>
      <c r="BK368" s="273"/>
      <c r="BL368" s="273"/>
      <c r="BM368" s="273"/>
      <c r="BN368" s="273"/>
      <c r="BO368" s="273"/>
      <c r="BP368" s="273"/>
      <c r="BQ368" s="273"/>
      <c r="BR368" s="273"/>
      <c r="BS368" s="273"/>
      <c r="BT368" s="273"/>
      <c r="BU368" s="273"/>
      <c r="BV368" s="273"/>
      <c r="BW368" s="273"/>
    </row>
    <row r="369">
      <c r="A369" s="259" t="str">
        <f>VLOOKUP($F369,UpdateHashtag!$V$3:$Y$32,COLUMN(B$15),0)</f>
        <v>#N/A</v>
      </c>
      <c r="B369" s="259" t="str">
        <f>VLOOKUP($F369,UpdateHashtag!$V$3:$Y$32,COLUMN(C$13),0)</f>
        <v>#N/A</v>
      </c>
      <c r="C369" s="259" t="str">
        <f>VLOOKUP($F369,UpdateHashtag!$V$3:$Y$32,COLUMN(D$13),0)</f>
        <v>#N/A</v>
      </c>
      <c r="D369" s="329" t="str">
        <f t="shared" si="4"/>
        <v>#N/A</v>
      </c>
      <c r="E369" s="21"/>
      <c r="F369" s="261" t="str">
        <f>VLOOKUP(J369,UpdateBBM!$C$2:E1015,3,0)</f>
        <v>#N/A</v>
      </c>
      <c r="G369" s="31">
        <v>349.0</v>
      </c>
      <c r="H369" s="278"/>
      <c r="I369" s="278"/>
      <c r="J369" s="279"/>
      <c r="K369" s="278"/>
      <c r="L369" s="280"/>
      <c r="M369" s="281"/>
      <c r="N369" s="282"/>
      <c r="O369" s="282"/>
      <c r="P369" s="283"/>
      <c r="Q369" s="283"/>
      <c r="R369" s="283"/>
      <c r="S369" s="284"/>
      <c r="T369" s="283"/>
      <c r="U369" s="283"/>
      <c r="V369" s="280"/>
      <c r="W369" s="280"/>
      <c r="X369" s="280"/>
      <c r="Y369" s="283"/>
      <c r="Z369" s="351"/>
      <c r="AA369" s="351"/>
      <c r="AB369" s="351"/>
      <c r="AC369" s="351"/>
      <c r="AD369" s="351"/>
      <c r="AE369" s="351"/>
      <c r="AF369" s="351"/>
      <c r="AG369" s="351"/>
      <c r="AH369" s="285"/>
      <c r="AI369" s="273"/>
      <c r="AJ369" s="340"/>
      <c r="AK369" s="341"/>
      <c r="AL369" s="273"/>
      <c r="AM369" s="273"/>
      <c r="AN369" s="273"/>
      <c r="AO369" s="273"/>
      <c r="AP369" s="273"/>
      <c r="AQ369" s="273"/>
      <c r="AR369" s="273"/>
      <c r="AS369" s="273"/>
      <c r="AT369" s="273"/>
      <c r="AU369" s="273"/>
      <c r="AV369" s="273"/>
      <c r="AW369" s="273"/>
      <c r="AX369" s="273"/>
      <c r="AY369" s="273"/>
      <c r="AZ369" s="273"/>
      <c r="BA369" s="273"/>
      <c r="BB369" s="273"/>
      <c r="BC369" s="273"/>
      <c r="BD369" s="273"/>
      <c r="BE369" s="273"/>
      <c r="BF369" s="273"/>
      <c r="BG369" s="273"/>
      <c r="BH369" s="273"/>
      <c r="BI369" s="273"/>
      <c r="BJ369" s="273"/>
      <c r="BK369" s="273"/>
      <c r="BL369" s="273"/>
      <c r="BM369" s="273"/>
      <c r="BN369" s="273"/>
      <c r="BO369" s="273"/>
      <c r="BP369" s="273"/>
      <c r="BQ369" s="273"/>
      <c r="BR369" s="273"/>
      <c r="BS369" s="273"/>
      <c r="BT369" s="273"/>
      <c r="BU369" s="273"/>
      <c r="BV369" s="273"/>
      <c r="BW369" s="273"/>
    </row>
    <row r="370">
      <c r="A370" s="259" t="str">
        <f>VLOOKUP($F370,UpdateHashtag!$V$3:$Y$32,COLUMN(B$15),0)</f>
        <v>#N/A</v>
      </c>
      <c r="B370" s="259" t="str">
        <f>VLOOKUP($F370,UpdateHashtag!$V$3:$Y$32,COLUMN(C$13),0)</f>
        <v>#N/A</v>
      </c>
      <c r="C370" s="259" t="str">
        <f>VLOOKUP($F370,UpdateHashtag!$V$3:$Y$32,COLUMN(D$13),0)</f>
        <v>#N/A</v>
      </c>
      <c r="D370" s="329" t="str">
        <f t="shared" si="4"/>
        <v>#N/A</v>
      </c>
      <c r="E370" s="21"/>
      <c r="F370" s="261" t="str">
        <f>VLOOKUP(J370,UpdateBBM!$C$2:E1015,3,0)</f>
        <v>#N/A</v>
      </c>
      <c r="G370" s="31">
        <v>350.0</v>
      </c>
      <c r="H370" s="278"/>
      <c r="I370" s="278"/>
      <c r="J370" s="279"/>
      <c r="K370" s="278"/>
      <c r="L370" s="280"/>
      <c r="M370" s="281"/>
      <c r="N370" s="282"/>
      <c r="O370" s="282"/>
      <c r="P370" s="283"/>
      <c r="Q370" s="283"/>
      <c r="R370" s="283"/>
      <c r="S370" s="284"/>
      <c r="T370" s="283"/>
      <c r="U370" s="283"/>
      <c r="V370" s="280"/>
      <c r="W370" s="280"/>
      <c r="X370" s="280"/>
      <c r="Y370" s="283"/>
      <c r="Z370" s="351"/>
      <c r="AA370" s="351"/>
      <c r="AB370" s="351"/>
      <c r="AC370" s="351"/>
      <c r="AD370" s="351"/>
      <c r="AE370" s="351"/>
      <c r="AF370" s="351"/>
      <c r="AG370" s="351"/>
      <c r="AH370" s="285"/>
      <c r="AI370" s="273"/>
      <c r="AJ370" s="340"/>
      <c r="AK370" s="341"/>
      <c r="AL370" s="273"/>
      <c r="AM370" s="273"/>
      <c r="AN370" s="273"/>
      <c r="AO370" s="273"/>
      <c r="AP370" s="273"/>
      <c r="AQ370" s="273"/>
      <c r="AR370" s="273"/>
      <c r="AS370" s="273"/>
      <c r="AT370" s="273"/>
      <c r="AU370" s="273"/>
      <c r="AV370" s="273"/>
      <c r="AW370" s="273"/>
      <c r="AX370" s="273"/>
      <c r="AY370" s="273"/>
      <c r="AZ370" s="273"/>
      <c r="BA370" s="273"/>
      <c r="BB370" s="273"/>
      <c r="BC370" s="273"/>
      <c r="BD370" s="273"/>
      <c r="BE370" s="273"/>
      <c r="BF370" s="273"/>
      <c r="BG370" s="273"/>
      <c r="BH370" s="273"/>
      <c r="BI370" s="273"/>
      <c r="BJ370" s="273"/>
      <c r="BK370" s="273"/>
      <c r="BL370" s="273"/>
      <c r="BM370" s="273"/>
      <c r="BN370" s="273"/>
      <c r="BO370" s="273"/>
      <c r="BP370" s="273"/>
      <c r="BQ370" s="273"/>
      <c r="BR370" s="273"/>
      <c r="BS370" s="273"/>
      <c r="BT370" s="273"/>
      <c r="BU370" s="273"/>
      <c r="BV370" s="273"/>
      <c r="BW370" s="273"/>
    </row>
    <row r="371">
      <c r="A371" s="259" t="str">
        <f>VLOOKUP($F371,UpdateHashtag!$V$3:$Y$32,COLUMN(B$15),0)</f>
        <v>#N/A</v>
      </c>
      <c r="B371" s="259" t="str">
        <f>VLOOKUP($F371,UpdateHashtag!$V$3:$Y$32,COLUMN(C$13),0)</f>
        <v>#N/A</v>
      </c>
      <c r="C371" s="259" t="str">
        <f>VLOOKUP($F371,UpdateHashtag!$V$3:$Y$32,COLUMN(D$13),0)</f>
        <v>#N/A</v>
      </c>
      <c r="D371" s="329" t="str">
        <f t="shared" si="4"/>
        <v>#N/A</v>
      </c>
      <c r="E371" s="21"/>
      <c r="F371" s="261" t="str">
        <f>VLOOKUP(J371,UpdateBBM!$C$2:E1015,3,0)</f>
        <v>#N/A</v>
      </c>
      <c r="G371" s="31">
        <v>351.0</v>
      </c>
      <c r="H371" s="278"/>
      <c r="I371" s="278"/>
      <c r="J371" s="279"/>
      <c r="K371" s="278"/>
      <c r="L371" s="280"/>
      <c r="M371" s="281"/>
      <c r="N371" s="282"/>
      <c r="O371" s="282"/>
      <c r="P371" s="283"/>
      <c r="Q371" s="283"/>
      <c r="R371" s="283"/>
      <c r="S371" s="284"/>
      <c r="T371" s="283"/>
      <c r="U371" s="283"/>
      <c r="V371" s="280"/>
      <c r="W371" s="280"/>
      <c r="X371" s="280"/>
      <c r="Y371" s="283"/>
      <c r="Z371" s="351"/>
      <c r="AA371" s="351"/>
      <c r="AB371" s="351"/>
      <c r="AC371" s="351"/>
      <c r="AD371" s="351"/>
      <c r="AE371" s="351"/>
      <c r="AF371" s="351"/>
      <c r="AG371" s="351"/>
      <c r="AH371" s="285"/>
      <c r="AI371" s="273"/>
      <c r="AJ371" s="340"/>
      <c r="AK371" s="341"/>
      <c r="AL371" s="273"/>
      <c r="AM371" s="273"/>
      <c r="AN371" s="273"/>
      <c r="AO371" s="273"/>
      <c r="AP371" s="273"/>
      <c r="AQ371" s="273"/>
      <c r="AR371" s="273"/>
      <c r="AS371" s="273"/>
      <c r="AT371" s="273"/>
      <c r="AU371" s="273"/>
      <c r="AV371" s="273"/>
      <c r="AW371" s="273"/>
      <c r="AX371" s="273"/>
      <c r="AY371" s="273"/>
      <c r="AZ371" s="273"/>
      <c r="BA371" s="273"/>
      <c r="BB371" s="273"/>
      <c r="BC371" s="273"/>
      <c r="BD371" s="273"/>
      <c r="BE371" s="273"/>
      <c r="BF371" s="273"/>
      <c r="BG371" s="273"/>
      <c r="BH371" s="273"/>
      <c r="BI371" s="273"/>
      <c r="BJ371" s="273"/>
      <c r="BK371" s="273"/>
      <c r="BL371" s="273"/>
      <c r="BM371" s="273"/>
      <c r="BN371" s="273"/>
      <c r="BO371" s="273"/>
      <c r="BP371" s="273"/>
      <c r="BQ371" s="273"/>
      <c r="BR371" s="273"/>
      <c r="BS371" s="273"/>
      <c r="BT371" s="273"/>
      <c r="BU371" s="273"/>
      <c r="BV371" s="273"/>
      <c r="BW371" s="273"/>
    </row>
    <row r="372">
      <c r="A372" s="259" t="str">
        <f>VLOOKUP($F372,UpdateHashtag!$V$3:$Y$32,COLUMN(B$15),0)</f>
        <v>#N/A</v>
      </c>
      <c r="B372" s="259" t="str">
        <f>VLOOKUP($F372,UpdateHashtag!$V$3:$Y$32,COLUMN(C$13),0)</f>
        <v>#N/A</v>
      </c>
      <c r="C372" s="259" t="str">
        <f>VLOOKUP($F372,UpdateHashtag!$V$3:$Y$32,COLUMN(D$13),0)</f>
        <v>#N/A</v>
      </c>
      <c r="D372" s="329" t="str">
        <f t="shared" si="4"/>
        <v>#N/A</v>
      </c>
      <c r="E372" s="21"/>
      <c r="F372" s="261" t="str">
        <f>VLOOKUP(J372,UpdateBBM!$C$2:E1015,3,0)</f>
        <v>#N/A</v>
      </c>
      <c r="G372" s="31">
        <v>352.0</v>
      </c>
      <c r="H372" s="278"/>
      <c r="I372" s="278"/>
      <c r="J372" s="279"/>
      <c r="K372" s="278"/>
      <c r="L372" s="280"/>
      <c r="M372" s="281"/>
      <c r="N372" s="282"/>
      <c r="O372" s="282"/>
      <c r="P372" s="283"/>
      <c r="Q372" s="283"/>
      <c r="R372" s="283"/>
      <c r="S372" s="284"/>
      <c r="T372" s="283"/>
      <c r="U372" s="283"/>
      <c r="V372" s="280"/>
      <c r="W372" s="280"/>
      <c r="X372" s="280"/>
      <c r="Y372" s="283"/>
      <c r="Z372" s="351"/>
      <c r="AA372" s="351"/>
      <c r="AB372" s="351"/>
      <c r="AC372" s="351"/>
      <c r="AD372" s="351"/>
      <c r="AE372" s="351"/>
      <c r="AF372" s="351"/>
      <c r="AG372" s="351"/>
      <c r="AH372" s="285"/>
      <c r="AI372" s="273"/>
      <c r="AJ372" s="340"/>
      <c r="AK372" s="341"/>
      <c r="AL372" s="273"/>
      <c r="AM372" s="273"/>
      <c r="AN372" s="273"/>
      <c r="AO372" s="273"/>
      <c r="AP372" s="273"/>
      <c r="AQ372" s="273"/>
      <c r="AR372" s="273"/>
      <c r="AS372" s="273"/>
      <c r="AT372" s="273"/>
      <c r="AU372" s="273"/>
      <c r="AV372" s="273"/>
      <c r="AW372" s="273"/>
      <c r="AX372" s="273"/>
      <c r="AY372" s="273"/>
      <c r="AZ372" s="273"/>
      <c r="BA372" s="273"/>
      <c r="BB372" s="273"/>
      <c r="BC372" s="273"/>
      <c r="BD372" s="273"/>
      <c r="BE372" s="273"/>
      <c r="BF372" s="273"/>
      <c r="BG372" s="273"/>
      <c r="BH372" s="273"/>
      <c r="BI372" s="273"/>
      <c r="BJ372" s="273"/>
      <c r="BK372" s="273"/>
      <c r="BL372" s="273"/>
      <c r="BM372" s="273"/>
      <c r="BN372" s="273"/>
      <c r="BO372" s="273"/>
      <c r="BP372" s="273"/>
      <c r="BQ372" s="273"/>
      <c r="BR372" s="273"/>
      <c r="BS372" s="273"/>
      <c r="BT372" s="273"/>
      <c r="BU372" s="273"/>
      <c r="BV372" s="273"/>
      <c r="BW372" s="273"/>
    </row>
    <row r="373">
      <c r="A373" s="259" t="str">
        <f>VLOOKUP($F373,UpdateHashtag!$V$3:$Y$32,COLUMN(B$15),0)</f>
        <v>#N/A</v>
      </c>
      <c r="B373" s="259" t="str">
        <f>VLOOKUP($F373,UpdateHashtag!$V$3:$Y$32,COLUMN(C$13),0)</f>
        <v>#N/A</v>
      </c>
      <c r="C373" s="259" t="str">
        <f>VLOOKUP($F373,UpdateHashtag!$V$3:$Y$32,COLUMN(D$13),0)</f>
        <v>#N/A</v>
      </c>
      <c r="D373" s="329" t="str">
        <f t="shared" si="4"/>
        <v>#N/A</v>
      </c>
      <c r="E373" s="21"/>
      <c r="F373" s="261" t="str">
        <f>VLOOKUP(J373,UpdateBBM!$C$2:E1015,3,0)</f>
        <v>#N/A</v>
      </c>
      <c r="G373" s="31">
        <v>353.0</v>
      </c>
      <c r="H373" s="278"/>
      <c r="I373" s="278"/>
      <c r="J373" s="279"/>
      <c r="K373" s="278"/>
      <c r="L373" s="280"/>
      <c r="M373" s="281"/>
      <c r="N373" s="282"/>
      <c r="O373" s="282"/>
      <c r="P373" s="283"/>
      <c r="Q373" s="283"/>
      <c r="R373" s="283"/>
      <c r="S373" s="284"/>
      <c r="T373" s="283"/>
      <c r="U373" s="283"/>
      <c r="V373" s="280"/>
      <c r="W373" s="280"/>
      <c r="X373" s="280"/>
      <c r="Y373" s="283"/>
      <c r="Z373" s="351"/>
      <c r="AA373" s="351"/>
      <c r="AB373" s="351"/>
      <c r="AC373" s="351"/>
      <c r="AD373" s="351"/>
      <c r="AE373" s="351"/>
      <c r="AF373" s="351"/>
      <c r="AG373" s="351"/>
      <c r="AH373" s="285"/>
      <c r="AI373" s="273"/>
      <c r="AJ373" s="340"/>
      <c r="AK373" s="341"/>
      <c r="AL373" s="273"/>
      <c r="AM373" s="273"/>
      <c r="AN373" s="273"/>
      <c r="AO373" s="273"/>
      <c r="AP373" s="273"/>
      <c r="AQ373" s="273"/>
      <c r="AR373" s="273"/>
      <c r="AS373" s="273"/>
      <c r="AT373" s="273"/>
      <c r="AU373" s="273"/>
      <c r="AV373" s="273"/>
      <c r="AW373" s="273"/>
      <c r="AX373" s="273"/>
      <c r="AY373" s="273"/>
      <c r="AZ373" s="273"/>
      <c r="BA373" s="273"/>
      <c r="BB373" s="273"/>
      <c r="BC373" s="273"/>
      <c r="BD373" s="273"/>
      <c r="BE373" s="273"/>
      <c r="BF373" s="273"/>
      <c r="BG373" s="273"/>
      <c r="BH373" s="273"/>
      <c r="BI373" s="273"/>
      <c r="BJ373" s="273"/>
      <c r="BK373" s="273"/>
      <c r="BL373" s="273"/>
      <c r="BM373" s="273"/>
      <c r="BN373" s="273"/>
      <c r="BO373" s="273"/>
      <c r="BP373" s="273"/>
      <c r="BQ373" s="273"/>
      <c r="BR373" s="273"/>
      <c r="BS373" s="273"/>
      <c r="BT373" s="273"/>
      <c r="BU373" s="273"/>
      <c r="BV373" s="273"/>
      <c r="BW373" s="273"/>
    </row>
    <row r="374">
      <c r="A374" s="259" t="str">
        <f>VLOOKUP($F374,UpdateHashtag!$V$3:$Y$32,COLUMN(B$15),0)</f>
        <v>#N/A</v>
      </c>
      <c r="B374" s="259" t="str">
        <f>VLOOKUP($F374,UpdateHashtag!$V$3:$Y$32,COLUMN(C$13),0)</f>
        <v>#N/A</v>
      </c>
      <c r="C374" s="259" t="str">
        <f>VLOOKUP($F374,UpdateHashtag!$V$3:$Y$32,COLUMN(D$13),0)</f>
        <v>#N/A</v>
      </c>
      <c r="D374" s="329" t="str">
        <f t="shared" si="4"/>
        <v>#N/A</v>
      </c>
      <c r="E374" s="21"/>
      <c r="F374" s="261" t="str">
        <f>VLOOKUP(J374,UpdateBBM!$C$2:E1015,3,0)</f>
        <v>#N/A</v>
      </c>
      <c r="G374" s="31">
        <v>354.0</v>
      </c>
      <c r="H374" s="278"/>
      <c r="I374" s="278"/>
      <c r="J374" s="279"/>
      <c r="K374" s="278"/>
      <c r="L374" s="280"/>
      <c r="M374" s="281"/>
      <c r="N374" s="282"/>
      <c r="O374" s="282"/>
      <c r="P374" s="283"/>
      <c r="Q374" s="283"/>
      <c r="R374" s="283"/>
      <c r="S374" s="284"/>
      <c r="T374" s="283"/>
      <c r="U374" s="283"/>
      <c r="V374" s="280"/>
      <c r="W374" s="280"/>
      <c r="X374" s="280"/>
      <c r="Y374" s="283"/>
      <c r="Z374" s="351"/>
      <c r="AA374" s="351"/>
      <c r="AB374" s="351"/>
      <c r="AC374" s="351"/>
      <c r="AD374" s="351"/>
      <c r="AE374" s="351"/>
      <c r="AF374" s="351"/>
      <c r="AG374" s="351"/>
      <c r="AH374" s="285"/>
      <c r="AI374" s="273"/>
      <c r="AJ374" s="340"/>
      <c r="AK374" s="341"/>
      <c r="AL374" s="273"/>
      <c r="AM374" s="273"/>
      <c r="AN374" s="273"/>
      <c r="AO374" s="273"/>
      <c r="AP374" s="273"/>
      <c r="AQ374" s="273"/>
      <c r="AR374" s="273"/>
      <c r="AS374" s="273"/>
      <c r="AT374" s="273"/>
      <c r="AU374" s="273"/>
      <c r="AV374" s="273"/>
      <c r="AW374" s="273"/>
      <c r="AX374" s="273"/>
      <c r="AY374" s="273"/>
      <c r="AZ374" s="273"/>
      <c r="BA374" s="273"/>
      <c r="BB374" s="273"/>
      <c r="BC374" s="273"/>
      <c r="BD374" s="273"/>
      <c r="BE374" s="273"/>
      <c r="BF374" s="273"/>
      <c r="BG374" s="273"/>
      <c r="BH374" s="273"/>
      <c r="BI374" s="273"/>
      <c r="BJ374" s="273"/>
      <c r="BK374" s="273"/>
      <c r="BL374" s="273"/>
      <c r="BM374" s="273"/>
      <c r="BN374" s="273"/>
      <c r="BO374" s="273"/>
      <c r="BP374" s="273"/>
      <c r="BQ374" s="273"/>
      <c r="BR374" s="273"/>
      <c r="BS374" s="273"/>
      <c r="BT374" s="273"/>
      <c r="BU374" s="273"/>
      <c r="BV374" s="273"/>
      <c r="BW374" s="273"/>
    </row>
    <row r="375">
      <c r="A375" s="259" t="str">
        <f>VLOOKUP($F375,UpdateHashtag!$V$3:$Y$32,COLUMN(B$15),0)</f>
        <v>#N/A</v>
      </c>
      <c r="B375" s="259" t="str">
        <f>VLOOKUP($F375,UpdateHashtag!$V$3:$Y$32,COLUMN(C$13),0)</f>
        <v>#N/A</v>
      </c>
      <c r="C375" s="259" t="str">
        <f>VLOOKUP($F375,UpdateHashtag!$V$3:$Y$32,COLUMN(D$13),0)</f>
        <v>#N/A</v>
      </c>
      <c r="D375" s="329" t="str">
        <f t="shared" si="4"/>
        <v>#N/A</v>
      </c>
      <c r="E375" s="21"/>
      <c r="F375" s="261" t="str">
        <f>VLOOKUP(J375,UpdateBBM!$C$2:E1015,3,0)</f>
        <v>#N/A</v>
      </c>
      <c r="G375" s="31">
        <v>355.0</v>
      </c>
      <c r="H375" s="278"/>
      <c r="I375" s="278"/>
      <c r="J375" s="279"/>
      <c r="K375" s="278"/>
      <c r="L375" s="280"/>
      <c r="M375" s="281"/>
      <c r="N375" s="282"/>
      <c r="O375" s="282"/>
      <c r="P375" s="283"/>
      <c r="Q375" s="283"/>
      <c r="R375" s="283"/>
      <c r="S375" s="284"/>
      <c r="T375" s="283"/>
      <c r="U375" s="283"/>
      <c r="V375" s="280"/>
      <c r="W375" s="280"/>
      <c r="X375" s="280"/>
      <c r="Y375" s="283"/>
      <c r="Z375" s="351"/>
      <c r="AA375" s="351"/>
      <c r="AB375" s="351"/>
      <c r="AC375" s="351"/>
      <c r="AD375" s="351"/>
      <c r="AE375" s="351"/>
      <c r="AF375" s="351"/>
      <c r="AG375" s="351"/>
      <c r="AH375" s="285"/>
      <c r="AI375" s="273"/>
      <c r="AJ375" s="340"/>
      <c r="AK375" s="341"/>
      <c r="AL375" s="273"/>
      <c r="AM375" s="273"/>
      <c r="AN375" s="273"/>
      <c r="AO375" s="273"/>
      <c r="AP375" s="273"/>
      <c r="AQ375" s="273"/>
      <c r="AR375" s="273"/>
      <c r="AS375" s="273"/>
      <c r="AT375" s="273"/>
      <c r="AU375" s="273"/>
      <c r="AV375" s="273"/>
      <c r="AW375" s="273"/>
      <c r="AX375" s="273"/>
      <c r="AY375" s="273"/>
      <c r="AZ375" s="273"/>
      <c r="BA375" s="273"/>
      <c r="BB375" s="273"/>
      <c r="BC375" s="273"/>
      <c r="BD375" s="273"/>
      <c r="BE375" s="273"/>
      <c r="BF375" s="273"/>
      <c r="BG375" s="273"/>
      <c r="BH375" s="273"/>
      <c r="BI375" s="273"/>
      <c r="BJ375" s="273"/>
      <c r="BK375" s="273"/>
      <c r="BL375" s="273"/>
      <c r="BM375" s="273"/>
      <c r="BN375" s="273"/>
      <c r="BO375" s="273"/>
      <c r="BP375" s="273"/>
      <c r="BQ375" s="273"/>
      <c r="BR375" s="273"/>
      <c r="BS375" s="273"/>
      <c r="BT375" s="273"/>
      <c r="BU375" s="273"/>
      <c r="BV375" s="273"/>
      <c r="BW375" s="273"/>
    </row>
    <row r="376">
      <c r="A376" s="259" t="str">
        <f>VLOOKUP($F376,UpdateHashtag!$V$3:$Y$32,COLUMN(B$15),0)</f>
        <v>#N/A</v>
      </c>
      <c r="B376" s="259" t="str">
        <f>VLOOKUP($F376,UpdateHashtag!$V$3:$Y$32,COLUMN(C$13),0)</f>
        <v>#N/A</v>
      </c>
      <c r="C376" s="259" t="str">
        <f>VLOOKUP($F376,UpdateHashtag!$V$3:$Y$32,COLUMN(D$13),0)</f>
        <v>#N/A</v>
      </c>
      <c r="D376" s="329" t="str">
        <f t="shared" si="4"/>
        <v>#N/A</v>
      </c>
      <c r="E376" s="21"/>
      <c r="F376" s="261" t="str">
        <f>VLOOKUP(J376,UpdateBBM!$C$2:E1015,3,0)</f>
        <v>#N/A</v>
      </c>
      <c r="G376" s="31">
        <v>356.0</v>
      </c>
      <c r="H376" s="278"/>
      <c r="I376" s="278"/>
      <c r="J376" s="279"/>
      <c r="K376" s="278"/>
      <c r="L376" s="280"/>
      <c r="M376" s="281"/>
      <c r="N376" s="282"/>
      <c r="O376" s="282"/>
      <c r="P376" s="283"/>
      <c r="Q376" s="283"/>
      <c r="R376" s="283"/>
      <c r="S376" s="284"/>
      <c r="T376" s="283"/>
      <c r="U376" s="283"/>
      <c r="V376" s="280"/>
      <c r="W376" s="280"/>
      <c r="X376" s="280"/>
      <c r="Y376" s="283"/>
      <c r="Z376" s="351"/>
      <c r="AA376" s="351"/>
      <c r="AB376" s="351"/>
      <c r="AC376" s="351"/>
      <c r="AD376" s="351"/>
      <c r="AE376" s="351"/>
      <c r="AF376" s="351"/>
      <c r="AG376" s="351"/>
      <c r="AH376" s="285"/>
      <c r="AI376" s="273"/>
      <c r="AJ376" s="340"/>
      <c r="AK376" s="341"/>
      <c r="AL376" s="273"/>
      <c r="AM376" s="273"/>
      <c r="AN376" s="273"/>
      <c r="AO376" s="273"/>
      <c r="AP376" s="273"/>
      <c r="AQ376" s="273"/>
      <c r="AR376" s="273"/>
      <c r="AS376" s="273"/>
      <c r="AT376" s="273"/>
      <c r="AU376" s="273"/>
      <c r="AV376" s="273"/>
      <c r="AW376" s="273"/>
      <c r="AX376" s="273"/>
      <c r="AY376" s="273"/>
      <c r="AZ376" s="273"/>
      <c r="BA376" s="273"/>
      <c r="BB376" s="273"/>
      <c r="BC376" s="273"/>
      <c r="BD376" s="273"/>
      <c r="BE376" s="273"/>
      <c r="BF376" s="273"/>
      <c r="BG376" s="273"/>
      <c r="BH376" s="273"/>
      <c r="BI376" s="273"/>
      <c r="BJ376" s="273"/>
      <c r="BK376" s="273"/>
      <c r="BL376" s="273"/>
      <c r="BM376" s="273"/>
      <c r="BN376" s="273"/>
      <c r="BO376" s="273"/>
      <c r="BP376" s="273"/>
      <c r="BQ376" s="273"/>
      <c r="BR376" s="273"/>
      <c r="BS376" s="273"/>
      <c r="BT376" s="273"/>
      <c r="BU376" s="273"/>
      <c r="BV376" s="273"/>
      <c r="BW376" s="273"/>
    </row>
    <row r="377">
      <c r="A377" s="259" t="str">
        <f>VLOOKUP($F377,UpdateHashtag!$V$3:$Y$32,COLUMN(B$15),0)</f>
        <v>#N/A</v>
      </c>
      <c r="B377" s="259" t="str">
        <f>VLOOKUP($F377,UpdateHashtag!$V$3:$Y$32,COLUMN(C$13),0)</f>
        <v>#N/A</v>
      </c>
      <c r="C377" s="259" t="str">
        <f>VLOOKUP($F377,UpdateHashtag!$V$3:$Y$32,COLUMN(D$13),0)</f>
        <v>#N/A</v>
      </c>
      <c r="D377" s="329" t="str">
        <f t="shared" si="4"/>
        <v>#N/A</v>
      </c>
      <c r="E377" s="21"/>
      <c r="F377" s="261" t="str">
        <f>VLOOKUP(J377,UpdateBBM!$C$2:E1015,3,0)</f>
        <v>#N/A</v>
      </c>
      <c r="G377" s="31">
        <v>357.0</v>
      </c>
      <c r="H377" s="278"/>
      <c r="I377" s="278"/>
      <c r="J377" s="279"/>
      <c r="K377" s="278"/>
      <c r="L377" s="280"/>
      <c r="M377" s="281"/>
      <c r="N377" s="282"/>
      <c r="O377" s="282"/>
      <c r="P377" s="283"/>
      <c r="Q377" s="283"/>
      <c r="R377" s="283"/>
      <c r="S377" s="284"/>
      <c r="T377" s="283"/>
      <c r="U377" s="283"/>
      <c r="V377" s="280"/>
      <c r="W377" s="280"/>
      <c r="X377" s="280"/>
      <c r="Y377" s="283"/>
      <c r="Z377" s="351"/>
      <c r="AA377" s="351"/>
      <c r="AB377" s="351"/>
      <c r="AC377" s="351"/>
      <c r="AD377" s="351"/>
      <c r="AE377" s="351"/>
      <c r="AF377" s="351"/>
      <c r="AG377" s="351"/>
      <c r="AH377" s="285"/>
      <c r="AI377" s="273"/>
      <c r="AJ377" s="340"/>
      <c r="AK377" s="341"/>
      <c r="AL377" s="273"/>
      <c r="AM377" s="273"/>
      <c r="AN377" s="273"/>
      <c r="AO377" s="273"/>
      <c r="AP377" s="273"/>
      <c r="AQ377" s="273"/>
      <c r="AR377" s="273"/>
      <c r="AS377" s="273"/>
      <c r="AT377" s="273"/>
      <c r="AU377" s="273"/>
      <c r="AV377" s="273"/>
      <c r="AW377" s="273"/>
      <c r="AX377" s="273"/>
      <c r="AY377" s="273"/>
      <c r="AZ377" s="273"/>
      <c r="BA377" s="273"/>
      <c r="BB377" s="273"/>
      <c r="BC377" s="273"/>
      <c r="BD377" s="273"/>
      <c r="BE377" s="273"/>
      <c r="BF377" s="273"/>
      <c r="BG377" s="273"/>
      <c r="BH377" s="273"/>
      <c r="BI377" s="273"/>
      <c r="BJ377" s="273"/>
      <c r="BK377" s="273"/>
      <c r="BL377" s="273"/>
      <c r="BM377" s="273"/>
      <c r="BN377" s="273"/>
      <c r="BO377" s="273"/>
      <c r="BP377" s="273"/>
      <c r="BQ377" s="273"/>
      <c r="BR377" s="273"/>
      <c r="BS377" s="273"/>
      <c r="BT377" s="273"/>
      <c r="BU377" s="273"/>
      <c r="BV377" s="273"/>
      <c r="BW377" s="273"/>
    </row>
    <row r="378">
      <c r="A378" s="259" t="str">
        <f>VLOOKUP($F378,UpdateHashtag!$V$3:$Y$32,COLUMN(B$15),0)</f>
        <v>#N/A</v>
      </c>
      <c r="B378" s="259" t="str">
        <f>VLOOKUP($F378,UpdateHashtag!$V$3:$Y$32,COLUMN(C$13),0)</f>
        <v>#N/A</v>
      </c>
      <c r="C378" s="259" t="str">
        <f>VLOOKUP($F378,UpdateHashtag!$V$3:$Y$32,COLUMN(D$13),0)</f>
        <v>#N/A</v>
      </c>
      <c r="D378" s="329" t="str">
        <f t="shared" si="4"/>
        <v>#N/A</v>
      </c>
      <c r="E378" s="21"/>
      <c r="F378" s="261" t="str">
        <f>VLOOKUP(J378,UpdateBBM!$C$2:E1015,3,0)</f>
        <v>#N/A</v>
      </c>
      <c r="G378" s="31">
        <v>358.0</v>
      </c>
      <c r="H378" s="278"/>
      <c r="I378" s="278"/>
      <c r="J378" s="279"/>
      <c r="K378" s="278"/>
      <c r="L378" s="280"/>
      <c r="M378" s="281"/>
      <c r="N378" s="282"/>
      <c r="O378" s="282"/>
      <c r="P378" s="283"/>
      <c r="Q378" s="283"/>
      <c r="R378" s="283"/>
      <c r="S378" s="284"/>
      <c r="T378" s="283"/>
      <c r="U378" s="283"/>
      <c r="V378" s="280"/>
      <c r="W378" s="280"/>
      <c r="X378" s="280"/>
      <c r="Y378" s="283"/>
      <c r="Z378" s="351"/>
      <c r="AA378" s="351"/>
      <c r="AB378" s="351"/>
      <c r="AC378" s="351"/>
      <c r="AD378" s="351"/>
      <c r="AE378" s="351"/>
      <c r="AF378" s="351"/>
      <c r="AG378" s="351"/>
      <c r="AH378" s="285"/>
      <c r="AI378" s="273"/>
      <c r="AJ378" s="340"/>
      <c r="AK378" s="341"/>
      <c r="AL378" s="273"/>
      <c r="AM378" s="273"/>
      <c r="AN378" s="273"/>
      <c r="AO378" s="273"/>
      <c r="AP378" s="273"/>
      <c r="AQ378" s="273"/>
      <c r="AR378" s="273"/>
      <c r="AS378" s="273"/>
      <c r="AT378" s="273"/>
      <c r="AU378" s="273"/>
      <c r="AV378" s="273"/>
      <c r="AW378" s="273"/>
      <c r="AX378" s="273"/>
      <c r="AY378" s="273"/>
      <c r="AZ378" s="273"/>
      <c r="BA378" s="273"/>
      <c r="BB378" s="273"/>
      <c r="BC378" s="273"/>
      <c r="BD378" s="273"/>
      <c r="BE378" s="273"/>
      <c r="BF378" s="273"/>
      <c r="BG378" s="273"/>
      <c r="BH378" s="273"/>
      <c r="BI378" s="273"/>
      <c r="BJ378" s="273"/>
      <c r="BK378" s="273"/>
      <c r="BL378" s="273"/>
      <c r="BM378" s="273"/>
      <c r="BN378" s="273"/>
      <c r="BO378" s="273"/>
      <c r="BP378" s="273"/>
      <c r="BQ378" s="273"/>
      <c r="BR378" s="273"/>
      <c r="BS378" s="273"/>
      <c r="BT378" s="273"/>
      <c r="BU378" s="273"/>
      <c r="BV378" s="273"/>
      <c r="BW378" s="273"/>
    </row>
    <row r="379">
      <c r="A379" s="259" t="str">
        <f>VLOOKUP($F379,UpdateHashtag!$V$3:$Y$32,COLUMN(B$15),0)</f>
        <v>#N/A</v>
      </c>
      <c r="B379" s="259" t="str">
        <f>VLOOKUP($F379,UpdateHashtag!$V$3:$Y$32,COLUMN(C$13),0)</f>
        <v>#N/A</v>
      </c>
      <c r="C379" s="259" t="str">
        <f>VLOOKUP($F379,UpdateHashtag!$V$3:$Y$32,COLUMN(D$13),0)</f>
        <v>#N/A</v>
      </c>
      <c r="D379" s="329" t="str">
        <f t="shared" si="4"/>
        <v>#N/A</v>
      </c>
      <c r="E379" s="21"/>
      <c r="F379" s="261" t="str">
        <f>VLOOKUP(J379,UpdateBBM!$C$2:E1015,3,0)</f>
        <v>#N/A</v>
      </c>
      <c r="G379" s="31">
        <v>359.0</v>
      </c>
      <c r="H379" s="278"/>
      <c r="I379" s="278"/>
      <c r="J379" s="279"/>
      <c r="K379" s="278"/>
      <c r="L379" s="280"/>
      <c r="M379" s="281"/>
      <c r="N379" s="282"/>
      <c r="O379" s="282"/>
      <c r="P379" s="283"/>
      <c r="Q379" s="283"/>
      <c r="R379" s="283"/>
      <c r="S379" s="284"/>
      <c r="T379" s="283"/>
      <c r="U379" s="283"/>
      <c r="V379" s="280"/>
      <c r="W379" s="280"/>
      <c r="X379" s="280"/>
      <c r="Y379" s="283"/>
      <c r="Z379" s="351"/>
      <c r="AA379" s="351"/>
      <c r="AB379" s="351"/>
      <c r="AC379" s="351"/>
      <c r="AD379" s="351"/>
      <c r="AE379" s="351"/>
      <c r="AF379" s="351"/>
      <c r="AG379" s="351"/>
      <c r="AH379" s="285"/>
      <c r="AI379" s="273"/>
      <c r="AJ379" s="340"/>
      <c r="AK379" s="341"/>
      <c r="AL379" s="273"/>
      <c r="AM379" s="273"/>
      <c r="AN379" s="273"/>
      <c r="AO379" s="273"/>
      <c r="AP379" s="273"/>
      <c r="AQ379" s="273"/>
      <c r="AR379" s="273"/>
      <c r="AS379" s="273"/>
      <c r="AT379" s="273"/>
      <c r="AU379" s="273"/>
      <c r="AV379" s="273"/>
      <c r="AW379" s="273"/>
      <c r="AX379" s="273"/>
      <c r="AY379" s="273"/>
      <c r="AZ379" s="273"/>
      <c r="BA379" s="273"/>
      <c r="BB379" s="273"/>
      <c r="BC379" s="273"/>
      <c r="BD379" s="273"/>
      <c r="BE379" s="273"/>
      <c r="BF379" s="273"/>
      <c r="BG379" s="273"/>
      <c r="BH379" s="273"/>
      <c r="BI379" s="273"/>
      <c r="BJ379" s="273"/>
      <c r="BK379" s="273"/>
      <c r="BL379" s="273"/>
      <c r="BM379" s="273"/>
      <c r="BN379" s="273"/>
      <c r="BO379" s="273"/>
      <c r="BP379" s="273"/>
      <c r="BQ379" s="273"/>
      <c r="BR379" s="273"/>
      <c r="BS379" s="273"/>
      <c r="BT379" s="273"/>
      <c r="BU379" s="273"/>
      <c r="BV379" s="273"/>
      <c r="BW379" s="273"/>
    </row>
    <row r="380">
      <c r="A380" s="259" t="str">
        <f>VLOOKUP($F380,UpdateHashtag!$V$3:$Y$32,COLUMN(B$15),0)</f>
        <v>#N/A</v>
      </c>
      <c r="B380" s="259" t="str">
        <f>VLOOKUP($F380,UpdateHashtag!$V$3:$Y$32,COLUMN(C$13),0)</f>
        <v>#N/A</v>
      </c>
      <c r="C380" s="259" t="str">
        <f>VLOOKUP($F380,UpdateHashtag!$V$3:$Y$32,COLUMN(D$13),0)</f>
        <v>#N/A</v>
      </c>
      <c r="D380" s="329" t="str">
        <f t="shared" si="4"/>
        <v>#N/A</v>
      </c>
      <c r="E380" s="21"/>
      <c r="F380" s="261" t="str">
        <f>VLOOKUP(J380,UpdateBBM!$C$2:E1015,3,0)</f>
        <v>#N/A</v>
      </c>
      <c r="G380" s="31">
        <v>360.0</v>
      </c>
      <c r="H380" s="278"/>
      <c r="I380" s="278"/>
      <c r="J380" s="279"/>
      <c r="K380" s="278"/>
      <c r="L380" s="280"/>
      <c r="M380" s="281"/>
      <c r="N380" s="282"/>
      <c r="O380" s="282"/>
      <c r="P380" s="283"/>
      <c r="Q380" s="283"/>
      <c r="R380" s="283"/>
      <c r="S380" s="284"/>
      <c r="T380" s="283"/>
      <c r="U380" s="283"/>
      <c r="V380" s="280"/>
      <c r="W380" s="280"/>
      <c r="X380" s="280"/>
      <c r="Y380" s="283"/>
      <c r="Z380" s="351"/>
      <c r="AA380" s="351"/>
      <c r="AB380" s="351"/>
      <c r="AC380" s="351"/>
      <c r="AD380" s="351"/>
      <c r="AE380" s="351"/>
      <c r="AF380" s="351"/>
      <c r="AG380" s="351"/>
      <c r="AH380" s="285"/>
      <c r="AI380" s="273"/>
      <c r="AJ380" s="340"/>
      <c r="AK380" s="341"/>
      <c r="AL380" s="273"/>
      <c r="AM380" s="273"/>
      <c r="AN380" s="273"/>
      <c r="AO380" s="273"/>
      <c r="AP380" s="273"/>
      <c r="AQ380" s="273"/>
      <c r="AR380" s="273"/>
      <c r="AS380" s="273"/>
      <c r="AT380" s="273"/>
      <c r="AU380" s="273"/>
      <c r="AV380" s="273"/>
      <c r="AW380" s="273"/>
      <c r="AX380" s="273"/>
      <c r="AY380" s="273"/>
      <c r="AZ380" s="273"/>
      <c r="BA380" s="273"/>
      <c r="BB380" s="273"/>
      <c r="BC380" s="273"/>
      <c r="BD380" s="273"/>
      <c r="BE380" s="273"/>
      <c r="BF380" s="273"/>
      <c r="BG380" s="273"/>
      <c r="BH380" s="273"/>
      <c r="BI380" s="273"/>
      <c r="BJ380" s="273"/>
      <c r="BK380" s="273"/>
      <c r="BL380" s="273"/>
      <c r="BM380" s="273"/>
      <c r="BN380" s="273"/>
      <c r="BO380" s="273"/>
      <c r="BP380" s="273"/>
      <c r="BQ380" s="273"/>
      <c r="BR380" s="273"/>
      <c r="BS380" s="273"/>
      <c r="BT380" s="273"/>
      <c r="BU380" s="273"/>
      <c r="BV380" s="273"/>
      <c r="BW380" s="273"/>
    </row>
    <row r="381">
      <c r="A381" s="259" t="str">
        <f>VLOOKUP($F381,UpdateHashtag!$V$3:$Y$32,COLUMN(B$15),0)</f>
        <v>#N/A</v>
      </c>
      <c r="B381" s="259" t="str">
        <f>VLOOKUP($F381,UpdateHashtag!$V$3:$Y$32,COLUMN(C$13),0)</f>
        <v>#N/A</v>
      </c>
      <c r="C381" s="259" t="str">
        <f>VLOOKUP($F381,UpdateHashtag!$V$3:$Y$32,COLUMN(D$13),0)</f>
        <v>#N/A</v>
      </c>
      <c r="D381" s="329" t="str">
        <f t="shared" si="4"/>
        <v>#N/A</v>
      </c>
      <c r="E381" s="21"/>
      <c r="F381" s="261" t="str">
        <f>VLOOKUP(J381,UpdateBBM!$C$2:E1015,3,0)</f>
        <v>#N/A</v>
      </c>
      <c r="G381" s="31">
        <v>361.0</v>
      </c>
      <c r="H381" s="278"/>
      <c r="I381" s="278"/>
      <c r="J381" s="279"/>
      <c r="K381" s="278"/>
      <c r="L381" s="280"/>
      <c r="M381" s="281"/>
      <c r="N381" s="282"/>
      <c r="O381" s="282"/>
      <c r="P381" s="283"/>
      <c r="Q381" s="283"/>
      <c r="R381" s="283"/>
      <c r="S381" s="284"/>
      <c r="T381" s="283"/>
      <c r="U381" s="283"/>
      <c r="V381" s="280"/>
      <c r="W381" s="280"/>
      <c r="X381" s="280"/>
      <c r="Y381" s="283"/>
      <c r="Z381" s="351"/>
      <c r="AA381" s="351"/>
      <c r="AB381" s="351"/>
      <c r="AC381" s="351"/>
      <c r="AD381" s="351"/>
      <c r="AE381" s="351"/>
      <c r="AF381" s="351"/>
      <c r="AG381" s="351"/>
      <c r="AH381" s="285"/>
      <c r="AI381" s="273"/>
      <c r="AJ381" s="340"/>
      <c r="AK381" s="341"/>
      <c r="AL381" s="273"/>
      <c r="AM381" s="273"/>
      <c r="AN381" s="273"/>
      <c r="AO381" s="273"/>
      <c r="AP381" s="273"/>
      <c r="AQ381" s="273"/>
      <c r="AR381" s="273"/>
      <c r="AS381" s="273"/>
      <c r="AT381" s="273"/>
      <c r="AU381" s="273"/>
      <c r="AV381" s="273"/>
      <c r="AW381" s="273"/>
      <c r="AX381" s="273"/>
      <c r="AY381" s="273"/>
      <c r="AZ381" s="273"/>
      <c r="BA381" s="273"/>
      <c r="BB381" s="273"/>
      <c r="BC381" s="273"/>
      <c r="BD381" s="273"/>
      <c r="BE381" s="273"/>
      <c r="BF381" s="273"/>
      <c r="BG381" s="273"/>
      <c r="BH381" s="273"/>
      <c r="BI381" s="273"/>
      <c r="BJ381" s="273"/>
      <c r="BK381" s="273"/>
      <c r="BL381" s="273"/>
      <c r="BM381" s="273"/>
      <c r="BN381" s="273"/>
      <c r="BO381" s="273"/>
      <c r="BP381" s="273"/>
      <c r="BQ381" s="273"/>
      <c r="BR381" s="273"/>
      <c r="BS381" s="273"/>
      <c r="BT381" s="273"/>
      <c r="BU381" s="273"/>
      <c r="BV381" s="273"/>
      <c r="BW381" s="273"/>
    </row>
    <row r="382">
      <c r="A382" s="259" t="str">
        <f>VLOOKUP($F382,UpdateHashtag!$V$3:$Y$32,COLUMN(B$15),0)</f>
        <v>#N/A</v>
      </c>
      <c r="B382" s="259" t="str">
        <f>VLOOKUP($F382,UpdateHashtag!$V$3:$Y$32,COLUMN(C$13),0)</f>
        <v>#N/A</v>
      </c>
      <c r="C382" s="259" t="str">
        <f>VLOOKUP($F382,UpdateHashtag!$V$3:$Y$32,COLUMN(D$13),0)</f>
        <v>#N/A</v>
      </c>
      <c r="D382" s="329" t="str">
        <f t="shared" si="4"/>
        <v>#N/A</v>
      </c>
      <c r="E382" s="21"/>
      <c r="F382" s="261" t="str">
        <f>VLOOKUP(J382,UpdateBBM!$C$2:E1015,3,0)</f>
        <v>#N/A</v>
      </c>
      <c r="G382" s="31">
        <v>362.0</v>
      </c>
      <c r="H382" s="278"/>
      <c r="I382" s="278"/>
      <c r="J382" s="279"/>
      <c r="K382" s="278"/>
      <c r="L382" s="280"/>
      <c r="M382" s="281"/>
      <c r="N382" s="282"/>
      <c r="O382" s="282"/>
      <c r="P382" s="283"/>
      <c r="Q382" s="283"/>
      <c r="R382" s="283"/>
      <c r="S382" s="284"/>
      <c r="T382" s="283"/>
      <c r="U382" s="283"/>
      <c r="V382" s="280"/>
      <c r="W382" s="280"/>
      <c r="X382" s="280"/>
      <c r="Y382" s="283"/>
      <c r="Z382" s="351"/>
      <c r="AA382" s="351"/>
      <c r="AB382" s="351"/>
      <c r="AC382" s="351"/>
      <c r="AD382" s="351"/>
      <c r="AE382" s="351"/>
      <c r="AF382" s="351"/>
      <c r="AG382" s="351"/>
      <c r="AH382" s="285"/>
      <c r="AI382" s="273"/>
      <c r="AJ382" s="340"/>
      <c r="AK382" s="341"/>
      <c r="AL382" s="273"/>
      <c r="AM382" s="273"/>
      <c r="AN382" s="273"/>
      <c r="AO382" s="273"/>
      <c r="AP382" s="273"/>
      <c r="AQ382" s="273"/>
      <c r="AR382" s="273"/>
      <c r="AS382" s="273"/>
      <c r="AT382" s="273"/>
      <c r="AU382" s="273"/>
      <c r="AV382" s="273"/>
      <c r="AW382" s="273"/>
      <c r="AX382" s="273"/>
      <c r="AY382" s="273"/>
      <c r="AZ382" s="273"/>
      <c r="BA382" s="273"/>
      <c r="BB382" s="273"/>
      <c r="BC382" s="273"/>
      <c r="BD382" s="273"/>
      <c r="BE382" s="273"/>
      <c r="BF382" s="273"/>
      <c r="BG382" s="273"/>
      <c r="BH382" s="273"/>
      <c r="BI382" s="273"/>
      <c r="BJ382" s="273"/>
      <c r="BK382" s="273"/>
      <c r="BL382" s="273"/>
      <c r="BM382" s="273"/>
      <c r="BN382" s="273"/>
      <c r="BO382" s="273"/>
      <c r="BP382" s="273"/>
      <c r="BQ382" s="273"/>
      <c r="BR382" s="273"/>
      <c r="BS382" s="273"/>
      <c r="BT382" s="273"/>
      <c r="BU382" s="273"/>
      <c r="BV382" s="273"/>
      <c r="BW382" s="273"/>
    </row>
    <row r="383">
      <c r="A383" s="259" t="str">
        <f>VLOOKUP($F383,UpdateHashtag!$V$3:$Y$32,COLUMN(B$15),0)</f>
        <v>#N/A</v>
      </c>
      <c r="B383" s="259" t="str">
        <f>VLOOKUP($F383,UpdateHashtag!$V$3:$Y$32,COLUMN(C$13),0)</f>
        <v>#N/A</v>
      </c>
      <c r="C383" s="259" t="str">
        <f>VLOOKUP($F383,UpdateHashtag!$V$3:$Y$32,COLUMN(D$13),0)</f>
        <v>#N/A</v>
      </c>
      <c r="D383" s="329" t="str">
        <f t="shared" si="4"/>
        <v>#N/A</v>
      </c>
      <c r="E383" s="21"/>
      <c r="F383" s="261" t="str">
        <f>VLOOKUP(J383,UpdateBBM!$C$2:E1015,3,0)</f>
        <v>#N/A</v>
      </c>
      <c r="G383" s="31">
        <v>363.0</v>
      </c>
      <c r="H383" s="278"/>
      <c r="I383" s="278"/>
      <c r="J383" s="279"/>
      <c r="K383" s="278"/>
      <c r="L383" s="280"/>
      <c r="M383" s="281"/>
      <c r="N383" s="282"/>
      <c r="O383" s="282"/>
      <c r="P383" s="283"/>
      <c r="Q383" s="283"/>
      <c r="R383" s="283"/>
      <c r="S383" s="284"/>
      <c r="T383" s="283"/>
      <c r="U383" s="283"/>
      <c r="V383" s="280"/>
      <c r="W383" s="280"/>
      <c r="X383" s="280"/>
      <c r="Y383" s="283"/>
      <c r="Z383" s="351"/>
      <c r="AA383" s="351"/>
      <c r="AB383" s="351"/>
      <c r="AC383" s="351"/>
      <c r="AD383" s="351"/>
      <c r="AE383" s="351"/>
      <c r="AF383" s="351"/>
      <c r="AG383" s="351"/>
      <c r="AH383" s="285"/>
      <c r="AI383" s="273"/>
      <c r="AJ383" s="340"/>
      <c r="AK383" s="341"/>
      <c r="AL383" s="273"/>
      <c r="AM383" s="273"/>
      <c r="AN383" s="273"/>
      <c r="AO383" s="273"/>
      <c r="AP383" s="273"/>
      <c r="AQ383" s="273"/>
      <c r="AR383" s="273"/>
      <c r="AS383" s="273"/>
      <c r="AT383" s="273"/>
      <c r="AU383" s="273"/>
      <c r="AV383" s="273"/>
      <c r="AW383" s="273"/>
      <c r="AX383" s="273"/>
      <c r="AY383" s="273"/>
      <c r="AZ383" s="273"/>
      <c r="BA383" s="273"/>
      <c r="BB383" s="273"/>
      <c r="BC383" s="273"/>
      <c r="BD383" s="273"/>
      <c r="BE383" s="273"/>
      <c r="BF383" s="273"/>
      <c r="BG383" s="273"/>
      <c r="BH383" s="273"/>
      <c r="BI383" s="273"/>
      <c r="BJ383" s="273"/>
      <c r="BK383" s="273"/>
      <c r="BL383" s="273"/>
      <c r="BM383" s="273"/>
      <c r="BN383" s="273"/>
      <c r="BO383" s="273"/>
      <c r="BP383" s="273"/>
      <c r="BQ383" s="273"/>
      <c r="BR383" s="273"/>
      <c r="BS383" s="273"/>
      <c r="BT383" s="273"/>
      <c r="BU383" s="273"/>
      <c r="BV383" s="273"/>
      <c r="BW383" s="273"/>
    </row>
    <row r="384">
      <c r="A384" s="259" t="str">
        <f>VLOOKUP($F384,UpdateHashtag!$V$3:$Y$32,COLUMN(B$15),0)</f>
        <v>#N/A</v>
      </c>
      <c r="B384" s="259" t="str">
        <f>VLOOKUP($F384,UpdateHashtag!$V$3:$Y$32,COLUMN(C$13),0)</f>
        <v>#N/A</v>
      </c>
      <c r="C384" s="259" t="str">
        <f>VLOOKUP($F384,UpdateHashtag!$V$3:$Y$32,COLUMN(D$13),0)</f>
        <v>#N/A</v>
      </c>
      <c r="D384" s="329" t="str">
        <f t="shared" si="4"/>
        <v>#N/A</v>
      </c>
      <c r="E384" s="21"/>
      <c r="F384" s="261" t="str">
        <f>VLOOKUP(J384,UpdateBBM!$C$2:E1015,3,0)</f>
        <v>#N/A</v>
      </c>
      <c r="G384" s="31">
        <v>364.0</v>
      </c>
      <c r="H384" s="278"/>
      <c r="I384" s="278"/>
      <c r="J384" s="279"/>
      <c r="K384" s="278"/>
      <c r="L384" s="280"/>
      <c r="M384" s="281"/>
      <c r="N384" s="282"/>
      <c r="O384" s="282"/>
      <c r="P384" s="283"/>
      <c r="Q384" s="283"/>
      <c r="R384" s="283"/>
      <c r="S384" s="284"/>
      <c r="T384" s="283"/>
      <c r="U384" s="283"/>
      <c r="V384" s="280"/>
      <c r="W384" s="280"/>
      <c r="X384" s="280"/>
      <c r="Y384" s="283"/>
      <c r="Z384" s="351"/>
      <c r="AA384" s="351"/>
      <c r="AB384" s="351"/>
      <c r="AC384" s="351"/>
      <c r="AD384" s="351"/>
      <c r="AE384" s="351"/>
      <c r="AF384" s="351"/>
      <c r="AG384" s="351"/>
      <c r="AH384" s="285"/>
      <c r="AI384" s="273"/>
      <c r="AJ384" s="340"/>
      <c r="AK384" s="341"/>
      <c r="AL384" s="273"/>
      <c r="AM384" s="273"/>
      <c r="AN384" s="273"/>
      <c r="AO384" s="273"/>
      <c r="AP384" s="273"/>
      <c r="AQ384" s="273"/>
      <c r="AR384" s="273"/>
      <c r="AS384" s="273"/>
      <c r="AT384" s="273"/>
      <c r="AU384" s="273"/>
      <c r="AV384" s="273"/>
      <c r="AW384" s="273"/>
      <c r="AX384" s="273"/>
      <c r="AY384" s="273"/>
      <c r="AZ384" s="273"/>
      <c r="BA384" s="273"/>
      <c r="BB384" s="273"/>
      <c r="BC384" s="273"/>
      <c r="BD384" s="273"/>
      <c r="BE384" s="273"/>
      <c r="BF384" s="273"/>
      <c r="BG384" s="273"/>
      <c r="BH384" s="273"/>
      <c r="BI384" s="273"/>
      <c r="BJ384" s="273"/>
      <c r="BK384" s="273"/>
      <c r="BL384" s="273"/>
      <c r="BM384" s="273"/>
      <c r="BN384" s="273"/>
      <c r="BO384" s="273"/>
      <c r="BP384" s="273"/>
      <c r="BQ384" s="273"/>
      <c r="BR384" s="273"/>
      <c r="BS384" s="273"/>
      <c r="BT384" s="273"/>
      <c r="BU384" s="273"/>
      <c r="BV384" s="273"/>
      <c r="BW384" s="273"/>
    </row>
    <row r="385">
      <c r="A385" s="259" t="str">
        <f>VLOOKUP($F385,UpdateHashtag!$V$3:$Y$32,COLUMN(B$15),0)</f>
        <v>#N/A</v>
      </c>
      <c r="B385" s="259" t="str">
        <f>VLOOKUP($F385,UpdateHashtag!$V$3:$Y$32,COLUMN(C$13),0)</f>
        <v>#N/A</v>
      </c>
      <c r="C385" s="259" t="str">
        <f>VLOOKUP($F385,UpdateHashtag!$V$3:$Y$32,COLUMN(D$13),0)</f>
        <v>#N/A</v>
      </c>
      <c r="D385" s="329" t="str">
        <f t="shared" si="4"/>
        <v>#N/A</v>
      </c>
      <c r="E385" s="21"/>
      <c r="F385" s="261" t="str">
        <f>VLOOKUP(J385,UpdateBBM!$C$2:E1015,3,0)</f>
        <v>#N/A</v>
      </c>
      <c r="G385" s="31">
        <v>365.0</v>
      </c>
      <c r="H385" s="278"/>
      <c r="I385" s="278"/>
      <c r="J385" s="279"/>
      <c r="K385" s="278"/>
      <c r="L385" s="280"/>
      <c r="M385" s="281"/>
      <c r="N385" s="282"/>
      <c r="O385" s="282"/>
      <c r="P385" s="283"/>
      <c r="Q385" s="283"/>
      <c r="R385" s="283"/>
      <c r="S385" s="284"/>
      <c r="T385" s="283"/>
      <c r="U385" s="283"/>
      <c r="V385" s="280"/>
      <c r="W385" s="280"/>
      <c r="X385" s="280"/>
      <c r="Y385" s="283"/>
      <c r="Z385" s="351"/>
      <c r="AA385" s="351"/>
      <c r="AB385" s="351"/>
      <c r="AC385" s="351"/>
      <c r="AD385" s="351"/>
      <c r="AE385" s="351"/>
      <c r="AF385" s="351"/>
      <c r="AG385" s="351"/>
      <c r="AH385" s="285"/>
      <c r="AI385" s="273"/>
      <c r="AJ385" s="340"/>
      <c r="AK385" s="341"/>
      <c r="AL385" s="273"/>
      <c r="AM385" s="273"/>
      <c r="AN385" s="273"/>
      <c r="AO385" s="273"/>
      <c r="AP385" s="273"/>
      <c r="AQ385" s="273"/>
      <c r="AR385" s="273"/>
      <c r="AS385" s="273"/>
      <c r="AT385" s="273"/>
      <c r="AU385" s="273"/>
      <c r="AV385" s="273"/>
      <c r="AW385" s="273"/>
      <c r="AX385" s="273"/>
      <c r="AY385" s="273"/>
      <c r="AZ385" s="273"/>
      <c r="BA385" s="273"/>
      <c r="BB385" s="273"/>
      <c r="BC385" s="273"/>
      <c r="BD385" s="273"/>
      <c r="BE385" s="273"/>
      <c r="BF385" s="273"/>
      <c r="BG385" s="273"/>
      <c r="BH385" s="273"/>
      <c r="BI385" s="273"/>
      <c r="BJ385" s="273"/>
      <c r="BK385" s="273"/>
      <c r="BL385" s="273"/>
      <c r="BM385" s="273"/>
      <c r="BN385" s="273"/>
      <c r="BO385" s="273"/>
      <c r="BP385" s="273"/>
      <c r="BQ385" s="273"/>
      <c r="BR385" s="273"/>
      <c r="BS385" s="273"/>
      <c r="BT385" s="273"/>
      <c r="BU385" s="273"/>
      <c r="BV385" s="273"/>
      <c r="BW385" s="273"/>
    </row>
    <row r="386">
      <c r="A386" s="259" t="str">
        <f>VLOOKUP($F386,UpdateHashtag!$V$3:$Y$32,COLUMN(B$15),0)</f>
        <v>#N/A</v>
      </c>
      <c r="B386" s="259" t="str">
        <f>VLOOKUP($F386,UpdateHashtag!$V$3:$Y$32,COLUMN(C$13),0)</f>
        <v>#N/A</v>
      </c>
      <c r="C386" s="259" t="str">
        <f>VLOOKUP($F386,UpdateHashtag!$V$3:$Y$32,COLUMN(D$13),0)</f>
        <v>#N/A</v>
      </c>
      <c r="D386" s="329" t="str">
        <f t="shared" si="4"/>
        <v>#N/A</v>
      </c>
      <c r="E386" s="21"/>
      <c r="F386" s="261" t="str">
        <f>VLOOKUP(J386,UpdateBBM!$C$2:E1015,3,0)</f>
        <v>#N/A</v>
      </c>
      <c r="G386" s="31">
        <v>366.0</v>
      </c>
      <c r="H386" s="278"/>
      <c r="I386" s="278"/>
      <c r="J386" s="279"/>
      <c r="K386" s="278"/>
      <c r="L386" s="280"/>
      <c r="M386" s="281"/>
      <c r="N386" s="282"/>
      <c r="O386" s="282"/>
      <c r="P386" s="283"/>
      <c r="Q386" s="283"/>
      <c r="R386" s="283"/>
      <c r="S386" s="284"/>
      <c r="T386" s="283"/>
      <c r="U386" s="283"/>
      <c r="V386" s="280"/>
      <c r="W386" s="280"/>
      <c r="X386" s="280"/>
      <c r="Y386" s="283"/>
      <c r="Z386" s="351"/>
      <c r="AA386" s="351"/>
      <c r="AB386" s="351"/>
      <c r="AC386" s="351"/>
      <c r="AD386" s="351"/>
      <c r="AE386" s="351"/>
      <c r="AF386" s="351"/>
      <c r="AG386" s="351"/>
      <c r="AH386" s="285"/>
      <c r="AI386" s="273"/>
      <c r="AJ386" s="340"/>
      <c r="AK386" s="341"/>
      <c r="AL386" s="273"/>
      <c r="AM386" s="273"/>
      <c r="AN386" s="273"/>
      <c r="AO386" s="273"/>
      <c r="AP386" s="273"/>
      <c r="AQ386" s="273"/>
      <c r="AR386" s="273"/>
      <c r="AS386" s="273"/>
      <c r="AT386" s="273"/>
      <c r="AU386" s="273"/>
      <c r="AV386" s="273"/>
      <c r="AW386" s="273"/>
      <c r="AX386" s="273"/>
      <c r="AY386" s="273"/>
      <c r="AZ386" s="273"/>
      <c r="BA386" s="273"/>
      <c r="BB386" s="273"/>
      <c r="BC386" s="273"/>
      <c r="BD386" s="273"/>
      <c r="BE386" s="273"/>
      <c r="BF386" s="273"/>
      <c r="BG386" s="273"/>
      <c r="BH386" s="273"/>
      <c r="BI386" s="273"/>
      <c r="BJ386" s="273"/>
      <c r="BK386" s="273"/>
      <c r="BL386" s="273"/>
      <c r="BM386" s="273"/>
      <c r="BN386" s="273"/>
      <c r="BO386" s="273"/>
      <c r="BP386" s="273"/>
      <c r="BQ386" s="273"/>
      <c r="BR386" s="273"/>
      <c r="BS386" s="273"/>
      <c r="BT386" s="273"/>
      <c r="BU386" s="273"/>
      <c r="BV386" s="273"/>
      <c r="BW386" s="273"/>
    </row>
    <row r="387">
      <c r="A387" s="259" t="str">
        <f>VLOOKUP($F387,UpdateHashtag!$V$3:$Y$32,COLUMN(B$15),0)</f>
        <v>#N/A</v>
      </c>
      <c r="B387" s="259" t="str">
        <f>VLOOKUP($F387,UpdateHashtag!$V$3:$Y$32,COLUMN(C$13),0)</f>
        <v>#N/A</v>
      </c>
      <c r="C387" s="259" t="str">
        <f>VLOOKUP($F387,UpdateHashtag!$V$3:$Y$32,COLUMN(D$13),0)</f>
        <v>#N/A</v>
      </c>
      <c r="D387" s="329" t="str">
        <f t="shared" si="4"/>
        <v>#N/A</v>
      </c>
      <c r="E387" s="21"/>
      <c r="F387" s="261" t="str">
        <f>VLOOKUP(J387,UpdateBBM!$C$2:E1015,3,0)</f>
        <v>#N/A</v>
      </c>
      <c r="G387" s="31">
        <v>367.0</v>
      </c>
      <c r="H387" s="278"/>
      <c r="I387" s="278"/>
      <c r="J387" s="279"/>
      <c r="K387" s="278"/>
      <c r="L387" s="280"/>
      <c r="M387" s="281"/>
      <c r="N387" s="282"/>
      <c r="O387" s="282"/>
      <c r="P387" s="283"/>
      <c r="Q387" s="283"/>
      <c r="R387" s="283"/>
      <c r="S387" s="284"/>
      <c r="T387" s="283"/>
      <c r="U387" s="283"/>
      <c r="V387" s="280"/>
      <c r="W387" s="280"/>
      <c r="X387" s="280"/>
      <c r="Y387" s="283"/>
      <c r="Z387" s="351"/>
      <c r="AA387" s="351"/>
      <c r="AB387" s="351"/>
      <c r="AC387" s="351"/>
      <c r="AD387" s="351"/>
      <c r="AE387" s="351"/>
      <c r="AF387" s="351"/>
      <c r="AG387" s="351"/>
      <c r="AH387" s="285"/>
      <c r="AI387" s="273"/>
      <c r="AJ387" s="340"/>
      <c r="AK387" s="341"/>
      <c r="AL387" s="273"/>
      <c r="AM387" s="273"/>
      <c r="AN387" s="273"/>
      <c r="AO387" s="273"/>
      <c r="AP387" s="273"/>
      <c r="AQ387" s="273"/>
      <c r="AR387" s="273"/>
      <c r="AS387" s="273"/>
      <c r="AT387" s="273"/>
      <c r="AU387" s="273"/>
      <c r="AV387" s="273"/>
      <c r="AW387" s="273"/>
      <c r="AX387" s="273"/>
      <c r="AY387" s="273"/>
      <c r="AZ387" s="273"/>
      <c r="BA387" s="273"/>
      <c r="BB387" s="273"/>
      <c r="BC387" s="273"/>
      <c r="BD387" s="273"/>
      <c r="BE387" s="273"/>
      <c r="BF387" s="273"/>
      <c r="BG387" s="273"/>
      <c r="BH387" s="273"/>
      <c r="BI387" s="273"/>
      <c r="BJ387" s="273"/>
      <c r="BK387" s="273"/>
      <c r="BL387" s="273"/>
      <c r="BM387" s="273"/>
      <c r="BN387" s="273"/>
      <c r="BO387" s="273"/>
      <c r="BP387" s="273"/>
      <c r="BQ387" s="273"/>
      <c r="BR387" s="273"/>
      <c r="BS387" s="273"/>
      <c r="BT387" s="273"/>
      <c r="BU387" s="273"/>
      <c r="BV387" s="273"/>
      <c r="BW387" s="273"/>
    </row>
    <row r="388">
      <c r="A388" s="259" t="str">
        <f>VLOOKUP($F388,UpdateHashtag!$V$3:$Y$32,COLUMN(B$15),0)</f>
        <v>#N/A</v>
      </c>
      <c r="B388" s="259" t="str">
        <f>VLOOKUP($F388,UpdateHashtag!$V$3:$Y$32,COLUMN(C$13),0)</f>
        <v>#N/A</v>
      </c>
      <c r="C388" s="259" t="str">
        <f>VLOOKUP($F388,UpdateHashtag!$V$3:$Y$32,COLUMN(D$13),0)</f>
        <v>#N/A</v>
      </c>
      <c r="D388" s="329" t="str">
        <f t="shared" si="4"/>
        <v>#N/A</v>
      </c>
      <c r="E388" s="21"/>
      <c r="F388" s="261" t="str">
        <f>VLOOKUP(J388,UpdateBBM!$C$2:E1015,3,0)</f>
        <v>#N/A</v>
      </c>
      <c r="G388" s="31">
        <v>368.0</v>
      </c>
      <c r="H388" s="278"/>
      <c r="I388" s="278"/>
      <c r="J388" s="279"/>
      <c r="K388" s="278"/>
      <c r="L388" s="280"/>
      <c r="M388" s="281"/>
      <c r="N388" s="282"/>
      <c r="O388" s="282"/>
      <c r="P388" s="283"/>
      <c r="Q388" s="283"/>
      <c r="R388" s="283"/>
      <c r="S388" s="284"/>
      <c r="T388" s="283"/>
      <c r="U388" s="283"/>
      <c r="V388" s="280"/>
      <c r="W388" s="280"/>
      <c r="X388" s="280"/>
      <c r="Y388" s="283"/>
      <c r="Z388" s="351"/>
      <c r="AA388" s="351"/>
      <c r="AB388" s="351"/>
      <c r="AC388" s="351"/>
      <c r="AD388" s="351"/>
      <c r="AE388" s="351"/>
      <c r="AF388" s="351"/>
      <c r="AG388" s="351"/>
      <c r="AH388" s="285"/>
      <c r="AI388" s="273"/>
      <c r="AJ388" s="340"/>
      <c r="AK388" s="341"/>
      <c r="AL388" s="273"/>
      <c r="AM388" s="273"/>
      <c r="AN388" s="273"/>
      <c r="AO388" s="273"/>
      <c r="AP388" s="273"/>
      <c r="AQ388" s="273"/>
      <c r="AR388" s="273"/>
      <c r="AS388" s="273"/>
      <c r="AT388" s="273"/>
      <c r="AU388" s="273"/>
      <c r="AV388" s="273"/>
      <c r="AW388" s="273"/>
      <c r="AX388" s="273"/>
      <c r="AY388" s="273"/>
      <c r="AZ388" s="273"/>
      <c r="BA388" s="273"/>
      <c r="BB388" s="273"/>
      <c r="BC388" s="273"/>
      <c r="BD388" s="273"/>
      <c r="BE388" s="273"/>
      <c r="BF388" s="273"/>
      <c r="BG388" s="273"/>
      <c r="BH388" s="273"/>
      <c r="BI388" s="273"/>
      <c r="BJ388" s="273"/>
      <c r="BK388" s="273"/>
      <c r="BL388" s="273"/>
      <c r="BM388" s="273"/>
      <c r="BN388" s="273"/>
      <c r="BO388" s="273"/>
      <c r="BP388" s="273"/>
      <c r="BQ388" s="273"/>
      <c r="BR388" s="273"/>
      <c r="BS388" s="273"/>
      <c r="BT388" s="273"/>
      <c r="BU388" s="273"/>
      <c r="BV388" s="273"/>
      <c r="BW388" s="273"/>
    </row>
    <row r="389">
      <c r="A389" s="259" t="str">
        <f>VLOOKUP($F389,UpdateHashtag!$V$3:$Y$32,COLUMN(B$15),0)</f>
        <v>#N/A</v>
      </c>
      <c r="B389" s="259" t="str">
        <f>VLOOKUP($F389,UpdateHashtag!$V$3:$Y$32,COLUMN(C$13),0)</f>
        <v>#N/A</v>
      </c>
      <c r="C389" s="259" t="str">
        <f>VLOOKUP($F389,UpdateHashtag!$V$3:$Y$32,COLUMN(D$13),0)</f>
        <v>#N/A</v>
      </c>
      <c r="D389" s="329" t="str">
        <f t="shared" si="4"/>
        <v>#N/A</v>
      </c>
      <c r="E389" s="21"/>
      <c r="F389" s="261" t="str">
        <f>VLOOKUP(J389,UpdateBBM!$C$2:E1015,3,0)</f>
        <v>#N/A</v>
      </c>
      <c r="G389" s="31">
        <v>369.0</v>
      </c>
      <c r="H389" s="278"/>
      <c r="I389" s="278"/>
      <c r="J389" s="279"/>
      <c r="K389" s="278"/>
      <c r="L389" s="280"/>
      <c r="M389" s="281"/>
      <c r="N389" s="282"/>
      <c r="O389" s="282"/>
      <c r="P389" s="283"/>
      <c r="Q389" s="283"/>
      <c r="R389" s="283"/>
      <c r="S389" s="284"/>
      <c r="T389" s="283"/>
      <c r="U389" s="283"/>
      <c r="V389" s="280"/>
      <c r="W389" s="280"/>
      <c r="X389" s="280"/>
      <c r="Y389" s="283"/>
      <c r="Z389" s="351"/>
      <c r="AA389" s="351"/>
      <c r="AB389" s="351"/>
      <c r="AC389" s="351"/>
      <c r="AD389" s="351"/>
      <c r="AE389" s="351"/>
      <c r="AF389" s="351"/>
      <c r="AG389" s="351"/>
      <c r="AH389" s="285"/>
      <c r="AI389" s="273"/>
      <c r="AJ389" s="340"/>
      <c r="AK389" s="341"/>
      <c r="AL389" s="273"/>
      <c r="AM389" s="273"/>
      <c r="AN389" s="273"/>
      <c r="AO389" s="273"/>
      <c r="AP389" s="273"/>
      <c r="AQ389" s="273"/>
      <c r="AR389" s="273"/>
      <c r="AS389" s="273"/>
      <c r="AT389" s="273"/>
      <c r="AU389" s="273"/>
      <c r="AV389" s="273"/>
      <c r="AW389" s="273"/>
      <c r="AX389" s="273"/>
      <c r="AY389" s="273"/>
      <c r="AZ389" s="273"/>
      <c r="BA389" s="273"/>
      <c r="BB389" s="273"/>
      <c r="BC389" s="273"/>
      <c r="BD389" s="273"/>
      <c r="BE389" s="273"/>
      <c r="BF389" s="273"/>
      <c r="BG389" s="273"/>
      <c r="BH389" s="273"/>
      <c r="BI389" s="273"/>
      <c r="BJ389" s="273"/>
      <c r="BK389" s="273"/>
      <c r="BL389" s="273"/>
      <c r="BM389" s="273"/>
      <c r="BN389" s="273"/>
      <c r="BO389" s="273"/>
      <c r="BP389" s="273"/>
      <c r="BQ389" s="273"/>
      <c r="BR389" s="273"/>
      <c r="BS389" s="273"/>
      <c r="BT389" s="273"/>
      <c r="BU389" s="273"/>
      <c r="BV389" s="273"/>
      <c r="BW389" s="273"/>
    </row>
    <row r="390">
      <c r="A390" s="259" t="str">
        <f>VLOOKUP($F390,UpdateHashtag!$V$3:$Y$32,COLUMN(B$15),0)</f>
        <v>#N/A</v>
      </c>
      <c r="B390" s="259" t="str">
        <f>VLOOKUP($F390,UpdateHashtag!$V$3:$Y$32,COLUMN(C$13),0)</f>
        <v>#N/A</v>
      </c>
      <c r="C390" s="259" t="str">
        <f>VLOOKUP($F390,UpdateHashtag!$V$3:$Y$32,COLUMN(D$13),0)</f>
        <v>#N/A</v>
      </c>
      <c r="D390" s="329" t="str">
        <f t="shared" si="4"/>
        <v>#N/A</v>
      </c>
      <c r="E390" s="21"/>
      <c r="F390" s="261" t="str">
        <f>VLOOKUP(J390,UpdateBBM!$C$2:E1015,3,0)</f>
        <v>#N/A</v>
      </c>
      <c r="G390" s="31">
        <v>370.0</v>
      </c>
      <c r="H390" s="278"/>
      <c r="I390" s="278"/>
      <c r="J390" s="279"/>
      <c r="K390" s="278"/>
      <c r="L390" s="280"/>
      <c r="M390" s="281"/>
      <c r="N390" s="282"/>
      <c r="O390" s="282"/>
      <c r="P390" s="283"/>
      <c r="Q390" s="283"/>
      <c r="R390" s="283"/>
      <c r="S390" s="284"/>
      <c r="T390" s="283"/>
      <c r="U390" s="283"/>
      <c r="V390" s="280"/>
      <c r="W390" s="280"/>
      <c r="X390" s="280"/>
      <c r="Y390" s="283"/>
      <c r="Z390" s="351"/>
      <c r="AA390" s="351"/>
      <c r="AB390" s="351"/>
      <c r="AC390" s="351"/>
      <c r="AD390" s="351"/>
      <c r="AE390" s="351"/>
      <c r="AF390" s="351"/>
      <c r="AG390" s="351"/>
      <c r="AH390" s="285"/>
      <c r="AI390" s="273"/>
      <c r="AJ390" s="340"/>
      <c r="AK390" s="341"/>
      <c r="AL390" s="273"/>
      <c r="AM390" s="273"/>
      <c r="AN390" s="273"/>
      <c r="AO390" s="273"/>
      <c r="AP390" s="273"/>
      <c r="AQ390" s="273"/>
      <c r="AR390" s="273"/>
      <c r="AS390" s="273"/>
      <c r="AT390" s="273"/>
      <c r="AU390" s="273"/>
      <c r="AV390" s="273"/>
      <c r="AW390" s="273"/>
      <c r="AX390" s="273"/>
      <c r="AY390" s="273"/>
      <c r="AZ390" s="273"/>
      <c r="BA390" s="273"/>
      <c r="BB390" s="273"/>
      <c r="BC390" s="273"/>
      <c r="BD390" s="273"/>
      <c r="BE390" s="273"/>
      <c r="BF390" s="273"/>
      <c r="BG390" s="273"/>
      <c r="BH390" s="273"/>
      <c r="BI390" s="273"/>
      <c r="BJ390" s="273"/>
      <c r="BK390" s="273"/>
      <c r="BL390" s="273"/>
      <c r="BM390" s="273"/>
      <c r="BN390" s="273"/>
      <c r="BO390" s="273"/>
      <c r="BP390" s="273"/>
      <c r="BQ390" s="273"/>
      <c r="BR390" s="273"/>
      <c r="BS390" s="273"/>
      <c r="BT390" s="273"/>
      <c r="BU390" s="273"/>
      <c r="BV390" s="273"/>
      <c r="BW390" s="273"/>
    </row>
    <row r="391">
      <c r="A391" s="259" t="str">
        <f>VLOOKUP($F391,UpdateHashtag!$V$3:$Y$32,COLUMN(B$15),0)</f>
        <v>#N/A</v>
      </c>
      <c r="B391" s="259" t="str">
        <f>VLOOKUP($F391,UpdateHashtag!$V$3:$Y$32,COLUMN(C$13),0)</f>
        <v>#N/A</v>
      </c>
      <c r="C391" s="259" t="str">
        <f>VLOOKUP($F391,UpdateHashtag!$V$3:$Y$32,COLUMN(D$13),0)</f>
        <v>#N/A</v>
      </c>
      <c r="D391" s="329" t="str">
        <f t="shared" si="4"/>
        <v>#N/A</v>
      </c>
      <c r="E391" s="21"/>
      <c r="F391" s="261" t="str">
        <f>VLOOKUP(J391,UpdateBBM!$C$2:E1015,3,0)</f>
        <v>#N/A</v>
      </c>
      <c r="G391" s="31">
        <v>371.0</v>
      </c>
      <c r="H391" s="278"/>
      <c r="I391" s="278"/>
      <c r="J391" s="279"/>
      <c r="K391" s="278"/>
      <c r="L391" s="280"/>
      <c r="M391" s="281"/>
      <c r="N391" s="282"/>
      <c r="O391" s="282"/>
      <c r="P391" s="283"/>
      <c r="Q391" s="283"/>
      <c r="R391" s="283"/>
      <c r="S391" s="284"/>
      <c r="T391" s="283"/>
      <c r="U391" s="283"/>
      <c r="V391" s="280"/>
      <c r="W391" s="280"/>
      <c r="X391" s="280"/>
      <c r="Y391" s="283"/>
      <c r="Z391" s="351"/>
      <c r="AA391" s="351"/>
      <c r="AB391" s="351"/>
      <c r="AC391" s="351"/>
      <c r="AD391" s="351"/>
      <c r="AE391" s="351"/>
      <c r="AF391" s="351"/>
      <c r="AG391" s="351"/>
      <c r="AH391" s="285"/>
      <c r="AI391" s="273"/>
      <c r="AJ391" s="340"/>
      <c r="AK391" s="341"/>
      <c r="AL391" s="273"/>
      <c r="AM391" s="273"/>
      <c r="AN391" s="273"/>
      <c r="AO391" s="273"/>
      <c r="AP391" s="273"/>
      <c r="AQ391" s="273"/>
      <c r="AR391" s="273"/>
      <c r="AS391" s="273"/>
      <c r="AT391" s="273"/>
      <c r="AU391" s="273"/>
      <c r="AV391" s="273"/>
      <c r="AW391" s="273"/>
      <c r="AX391" s="273"/>
      <c r="AY391" s="273"/>
      <c r="AZ391" s="273"/>
      <c r="BA391" s="273"/>
      <c r="BB391" s="273"/>
      <c r="BC391" s="273"/>
      <c r="BD391" s="273"/>
      <c r="BE391" s="273"/>
      <c r="BF391" s="273"/>
      <c r="BG391" s="273"/>
      <c r="BH391" s="273"/>
      <c r="BI391" s="273"/>
      <c r="BJ391" s="273"/>
      <c r="BK391" s="273"/>
      <c r="BL391" s="273"/>
      <c r="BM391" s="273"/>
      <c r="BN391" s="273"/>
      <c r="BO391" s="273"/>
      <c r="BP391" s="273"/>
      <c r="BQ391" s="273"/>
      <c r="BR391" s="273"/>
      <c r="BS391" s="273"/>
      <c r="BT391" s="273"/>
      <c r="BU391" s="273"/>
      <c r="BV391" s="273"/>
      <c r="BW391" s="273"/>
    </row>
    <row r="392">
      <c r="A392" s="259" t="str">
        <f>VLOOKUP($F392,UpdateHashtag!$V$3:$Y$32,COLUMN(B$15),0)</f>
        <v>#N/A</v>
      </c>
      <c r="B392" s="259" t="str">
        <f>VLOOKUP($F392,UpdateHashtag!$V$3:$Y$32,COLUMN(C$13),0)</f>
        <v>#N/A</v>
      </c>
      <c r="C392" s="259" t="str">
        <f>VLOOKUP($F392,UpdateHashtag!$V$3:$Y$32,COLUMN(D$13),0)</f>
        <v>#N/A</v>
      </c>
      <c r="D392" s="329" t="str">
        <f t="shared" si="4"/>
        <v>#N/A</v>
      </c>
      <c r="E392" s="21"/>
      <c r="F392" s="261" t="str">
        <f>VLOOKUP(J392,UpdateBBM!$C$2:E1015,3,0)</f>
        <v>#N/A</v>
      </c>
      <c r="G392" s="31">
        <v>372.0</v>
      </c>
      <c r="H392" s="278"/>
      <c r="I392" s="278"/>
      <c r="J392" s="279"/>
      <c r="K392" s="278"/>
      <c r="L392" s="280"/>
      <c r="M392" s="281"/>
      <c r="N392" s="282"/>
      <c r="O392" s="282"/>
      <c r="P392" s="283"/>
      <c r="Q392" s="283"/>
      <c r="R392" s="283"/>
      <c r="S392" s="284"/>
      <c r="T392" s="283"/>
      <c r="U392" s="283"/>
      <c r="V392" s="280"/>
      <c r="W392" s="280"/>
      <c r="X392" s="280"/>
      <c r="Y392" s="283"/>
      <c r="Z392" s="351"/>
      <c r="AA392" s="351"/>
      <c r="AB392" s="351"/>
      <c r="AC392" s="351"/>
      <c r="AD392" s="351"/>
      <c r="AE392" s="351"/>
      <c r="AF392" s="351"/>
      <c r="AG392" s="351"/>
      <c r="AH392" s="285"/>
      <c r="AI392" s="273"/>
      <c r="AJ392" s="340"/>
      <c r="AK392" s="341"/>
      <c r="AL392" s="273"/>
      <c r="AM392" s="273"/>
      <c r="AN392" s="273"/>
      <c r="AO392" s="273"/>
      <c r="AP392" s="273"/>
      <c r="AQ392" s="273"/>
      <c r="AR392" s="273"/>
      <c r="AS392" s="273"/>
      <c r="AT392" s="273"/>
      <c r="AU392" s="273"/>
      <c r="AV392" s="273"/>
      <c r="AW392" s="273"/>
      <c r="AX392" s="273"/>
      <c r="AY392" s="273"/>
      <c r="AZ392" s="273"/>
      <c r="BA392" s="273"/>
      <c r="BB392" s="273"/>
      <c r="BC392" s="273"/>
      <c r="BD392" s="273"/>
      <c r="BE392" s="273"/>
      <c r="BF392" s="273"/>
      <c r="BG392" s="273"/>
      <c r="BH392" s="273"/>
      <c r="BI392" s="273"/>
      <c r="BJ392" s="273"/>
      <c r="BK392" s="273"/>
      <c r="BL392" s="273"/>
      <c r="BM392" s="273"/>
      <c r="BN392" s="273"/>
      <c r="BO392" s="273"/>
      <c r="BP392" s="273"/>
      <c r="BQ392" s="273"/>
      <c r="BR392" s="273"/>
      <c r="BS392" s="273"/>
      <c r="BT392" s="273"/>
      <c r="BU392" s="273"/>
      <c r="BV392" s="273"/>
      <c r="BW392" s="273"/>
    </row>
    <row r="393">
      <c r="A393" s="259" t="str">
        <f>VLOOKUP($F393,UpdateHashtag!$V$3:$Y$32,COLUMN(B$15),0)</f>
        <v>#N/A</v>
      </c>
      <c r="B393" s="259" t="str">
        <f>VLOOKUP($F393,UpdateHashtag!$V$3:$Y$32,COLUMN(C$13),0)</f>
        <v>#N/A</v>
      </c>
      <c r="C393" s="259" t="str">
        <f>VLOOKUP($F393,UpdateHashtag!$V$3:$Y$32,COLUMN(D$13),0)</f>
        <v>#N/A</v>
      </c>
      <c r="D393" s="329" t="str">
        <f t="shared" si="4"/>
        <v>#N/A</v>
      </c>
      <c r="E393" s="21"/>
      <c r="F393" s="261" t="str">
        <f>VLOOKUP(J393,UpdateBBM!$C$2:E1015,3,0)</f>
        <v>#N/A</v>
      </c>
      <c r="G393" s="31">
        <v>373.0</v>
      </c>
      <c r="H393" s="278"/>
      <c r="I393" s="278"/>
      <c r="J393" s="279"/>
      <c r="K393" s="278"/>
      <c r="L393" s="280"/>
      <c r="M393" s="281"/>
      <c r="N393" s="282"/>
      <c r="O393" s="282"/>
      <c r="P393" s="283"/>
      <c r="Q393" s="283"/>
      <c r="R393" s="283"/>
      <c r="S393" s="284"/>
      <c r="T393" s="283"/>
      <c r="U393" s="283"/>
      <c r="V393" s="280"/>
      <c r="W393" s="280"/>
      <c r="X393" s="280"/>
      <c r="Y393" s="283"/>
      <c r="Z393" s="351"/>
      <c r="AA393" s="351"/>
      <c r="AB393" s="351"/>
      <c r="AC393" s="351"/>
      <c r="AD393" s="351"/>
      <c r="AE393" s="351"/>
      <c r="AF393" s="351"/>
      <c r="AG393" s="351"/>
      <c r="AH393" s="285"/>
      <c r="AI393" s="273"/>
      <c r="AJ393" s="340"/>
      <c r="AK393" s="341"/>
      <c r="AL393" s="273"/>
      <c r="AM393" s="273"/>
      <c r="AN393" s="273"/>
      <c r="AO393" s="273"/>
      <c r="AP393" s="273"/>
      <c r="AQ393" s="273"/>
      <c r="AR393" s="273"/>
      <c r="AS393" s="273"/>
      <c r="AT393" s="273"/>
      <c r="AU393" s="273"/>
      <c r="AV393" s="273"/>
      <c r="AW393" s="273"/>
      <c r="AX393" s="273"/>
      <c r="AY393" s="273"/>
      <c r="AZ393" s="273"/>
      <c r="BA393" s="273"/>
      <c r="BB393" s="273"/>
      <c r="BC393" s="273"/>
      <c r="BD393" s="273"/>
      <c r="BE393" s="273"/>
      <c r="BF393" s="273"/>
      <c r="BG393" s="273"/>
      <c r="BH393" s="273"/>
      <c r="BI393" s="273"/>
      <c r="BJ393" s="273"/>
      <c r="BK393" s="273"/>
      <c r="BL393" s="273"/>
      <c r="BM393" s="273"/>
      <c r="BN393" s="273"/>
      <c r="BO393" s="273"/>
      <c r="BP393" s="273"/>
      <c r="BQ393" s="273"/>
      <c r="BR393" s="273"/>
      <c r="BS393" s="273"/>
      <c r="BT393" s="273"/>
      <c r="BU393" s="273"/>
      <c r="BV393" s="273"/>
      <c r="BW393" s="273"/>
    </row>
    <row r="394">
      <c r="A394" s="259" t="str">
        <f>VLOOKUP($F394,UpdateHashtag!$V$3:$Y$32,COLUMN(B$15),0)</f>
        <v>#N/A</v>
      </c>
      <c r="B394" s="259" t="str">
        <f>VLOOKUP($F394,UpdateHashtag!$V$3:$Y$32,COLUMN(C$13),0)</f>
        <v>#N/A</v>
      </c>
      <c r="C394" s="259" t="str">
        <f>VLOOKUP($F394,UpdateHashtag!$V$3:$Y$32,COLUMN(D$13),0)</f>
        <v>#N/A</v>
      </c>
      <c r="D394" s="329" t="str">
        <f t="shared" si="4"/>
        <v>#N/A</v>
      </c>
      <c r="E394" s="21"/>
      <c r="F394" s="261" t="str">
        <f>VLOOKUP(J394,UpdateBBM!$C$2:E1015,3,0)</f>
        <v>#N/A</v>
      </c>
      <c r="G394" s="31">
        <v>374.0</v>
      </c>
      <c r="H394" s="278"/>
      <c r="I394" s="278"/>
      <c r="J394" s="279"/>
      <c r="K394" s="278"/>
      <c r="L394" s="280"/>
      <c r="M394" s="281"/>
      <c r="N394" s="282"/>
      <c r="O394" s="282"/>
      <c r="P394" s="283"/>
      <c r="Q394" s="283"/>
      <c r="R394" s="283"/>
      <c r="S394" s="284"/>
      <c r="T394" s="283"/>
      <c r="U394" s="283"/>
      <c r="V394" s="280"/>
      <c r="W394" s="280"/>
      <c r="X394" s="280"/>
      <c r="Y394" s="283"/>
      <c r="Z394" s="351"/>
      <c r="AA394" s="351"/>
      <c r="AB394" s="351"/>
      <c r="AC394" s="351"/>
      <c r="AD394" s="351"/>
      <c r="AE394" s="351"/>
      <c r="AF394" s="351"/>
      <c r="AG394" s="351"/>
      <c r="AH394" s="285"/>
      <c r="AI394" s="273"/>
      <c r="AJ394" s="340"/>
      <c r="AK394" s="341"/>
      <c r="AL394" s="273"/>
      <c r="AM394" s="273"/>
      <c r="AN394" s="273"/>
      <c r="AO394" s="273"/>
      <c r="AP394" s="273"/>
      <c r="AQ394" s="273"/>
      <c r="AR394" s="273"/>
      <c r="AS394" s="273"/>
      <c r="AT394" s="273"/>
      <c r="AU394" s="273"/>
      <c r="AV394" s="273"/>
      <c r="AW394" s="273"/>
      <c r="AX394" s="273"/>
      <c r="AY394" s="273"/>
      <c r="AZ394" s="273"/>
      <c r="BA394" s="273"/>
      <c r="BB394" s="273"/>
      <c r="BC394" s="273"/>
      <c r="BD394" s="273"/>
      <c r="BE394" s="273"/>
      <c r="BF394" s="273"/>
      <c r="BG394" s="273"/>
      <c r="BH394" s="273"/>
      <c r="BI394" s="273"/>
      <c r="BJ394" s="273"/>
      <c r="BK394" s="273"/>
      <c r="BL394" s="273"/>
      <c r="BM394" s="273"/>
      <c r="BN394" s="273"/>
      <c r="BO394" s="273"/>
      <c r="BP394" s="273"/>
      <c r="BQ394" s="273"/>
      <c r="BR394" s="273"/>
      <c r="BS394" s="273"/>
      <c r="BT394" s="273"/>
      <c r="BU394" s="273"/>
      <c r="BV394" s="273"/>
      <c r="BW394" s="273"/>
    </row>
    <row r="395">
      <c r="A395" s="259" t="str">
        <f>VLOOKUP($F395,UpdateHashtag!$V$3:$Y$32,COLUMN(B$15),0)</f>
        <v>#N/A</v>
      </c>
      <c r="B395" s="259" t="str">
        <f>VLOOKUP($F395,UpdateHashtag!$V$3:$Y$32,COLUMN(C$13),0)</f>
        <v>#N/A</v>
      </c>
      <c r="C395" s="259" t="str">
        <f>VLOOKUP($F395,UpdateHashtag!$V$3:$Y$32,COLUMN(D$13),0)</f>
        <v>#N/A</v>
      </c>
      <c r="D395" s="329" t="str">
        <f t="shared" si="4"/>
        <v>#N/A</v>
      </c>
      <c r="E395" s="21"/>
      <c r="F395" s="261" t="str">
        <f>VLOOKUP(J395,UpdateBBM!$C$2:E1015,3,0)</f>
        <v>#N/A</v>
      </c>
      <c r="G395" s="31">
        <v>375.0</v>
      </c>
      <c r="H395" s="278"/>
      <c r="I395" s="278"/>
      <c r="J395" s="279"/>
      <c r="K395" s="278"/>
      <c r="L395" s="280"/>
      <c r="M395" s="281"/>
      <c r="N395" s="282"/>
      <c r="O395" s="282"/>
      <c r="P395" s="283"/>
      <c r="Q395" s="283"/>
      <c r="R395" s="283"/>
      <c r="S395" s="284"/>
      <c r="T395" s="283"/>
      <c r="U395" s="283"/>
      <c r="V395" s="280"/>
      <c r="W395" s="280"/>
      <c r="X395" s="280"/>
      <c r="Y395" s="283"/>
      <c r="Z395" s="351"/>
      <c r="AA395" s="351"/>
      <c r="AB395" s="351"/>
      <c r="AC395" s="351"/>
      <c r="AD395" s="351"/>
      <c r="AE395" s="351"/>
      <c r="AF395" s="351"/>
      <c r="AG395" s="351"/>
      <c r="AH395" s="285"/>
      <c r="AI395" s="273"/>
      <c r="AJ395" s="340"/>
      <c r="AK395" s="341"/>
      <c r="AL395" s="273"/>
      <c r="AM395" s="273"/>
      <c r="AN395" s="273"/>
      <c r="AO395" s="273"/>
      <c r="AP395" s="273"/>
      <c r="AQ395" s="273"/>
      <c r="AR395" s="273"/>
      <c r="AS395" s="273"/>
      <c r="AT395" s="273"/>
      <c r="AU395" s="273"/>
      <c r="AV395" s="273"/>
      <c r="AW395" s="273"/>
      <c r="AX395" s="273"/>
      <c r="AY395" s="273"/>
      <c r="AZ395" s="273"/>
      <c r="BA395" s="273"/>
      <c r="BB395" s="273"/>
      <c r="BC395" s="273"/>
      <c r="BD395" s="273"/>
      <c r="BE395" s="273"/>
      <c r="BF395" s="273"/>
      <c r="BG395" s="273"/>
      <c r="BH395" s="273"/>
      <c r="BI395" s="273"/>
      <c r="BJ395" s="273"/>
      <c r="BK395" s="273"/>
      <c r="BL395" s="273"/>
      <c r="BM395" s="273"/>
      <c r="BN395" s="273"/>
      <c r="BO395" s="273"/>
      <c r="BP395" s="273"/>
      <c r="BQ395" s="273"/>
      <c r="BR395" s="273"/>
      <c r="BS395" s="273"/>
      <c r="BT395" s="273"/>
      <c r="BU395" s="273"/>
      <c r="BV395" s="273"/>
      <c r="BW395" s="273"/>
    </row>
    <row r="396">
      <c r="A396" s="259" t="str">
        <f>VLOOKUP($F396,UpdateHashtag!$V$3:$Y$32,COLUMN(B$15),0)</f>
        <v>#N/A</v>
      </c>
      <c r="B396" s="259" t="str">
        <f>VLOOKUP($F396,UpdateHashtag!$V$3:$Y$32,COLUMN(C$13),0)</f>
        <v>#N/A</v>
      </c>
      <c r="C396" s="259" t="str">
        <f>VLOOKUP($F396,UpdateHashtag!$V$3:$Y$32,COLUMN(D$13),0)</f>
        <v>#N/A</v>
      </c>
      <c r="D396" s="329" t="str">
        <f t="shared" si="4"/>
        <v>#N/A</v>
      </c>
      <c r="E396" s="21"/>
      <c r="F396" s="261" t="str">
        <f>VLOOKUP(J396,UpdateBBM!$C$2:E1015,3,0)</f>
        <v>#N/A</v>
      </c>
      <c r="G396" s="31">
        <v>376.0</v>
      </c>
      <c r="H396" s="278"/>
      <c r="I396" s="278"/>
      <c r="J396" s="279"/>
      <c r="K396" s="278"/>
      <c r="L396" s="280"/>
      <c r="M396" s="281"/>
      <c r="N396" s="282"/>
      <c r="O396" s="282"/>
      <c r="P396" s="283"/>
      <c r="Q396" s="283"/>
      <c r="R396" s="283"/>
      <c r="S396" s="284"/>
      <c r="T396" s="283"/>
      <c r="U396" s="283"/>
      <c r="V396" s="280"/>
      <c r="W396" s="280"/>
      <c r="X396" s="280"/>
      <c r="Y396" s="283"/>
      <c r="Z396" s="351"/>
      <c r="AA396" s="351"/>
      <c r="AB396" s="351"/>
      <c r="AC396" s="351"/>
      <c r="AD396" s="351"/>
      <c r="AE396" s="351"/>
      <c r="AF396" s="351"/>
      <c r="AG396" s="351"/>
      <c r="AH396" s="285"/>
      <c r="AI396" s="273"/>
      <c r="AJ396" s="340"/>
      <c r="AK396" s="341"/>
      <c r="AL396" s="273"/>
      <c r="AM396" s="273"/>
      <c r="AN396" s="273"/>
      <c r="AO396" s="273"/>
      <c r="AP396" s="273"/>
      <c r="AQ396" s="273"/>
      <c r="AR396" s="273"/>
      <c r="AS396" s="273"/>
      <c r="AT396" s="273"/>
      <c r="AU396" s="273"/>
      <c r="AV396" s="273"/>
      <c r="AW396" s="273"/>
      <c r="AX396" s="273"/>
      <c r="AY396" s="273"/>
      <c r="AZ396" s="273"/>
      <c r="BA396" s="273"/>
      <c r="BB396" s="273"/>
      <c r="BC396" s="273"/>
      <c r="BD396" s="273"/>
      <c r="BE396" s="273"/>
      <c r="BF396" s="273"/>
      <c r="BG396" s="273"/>
      <c r="BH396" s="273"/>
      <c r="BI396" s="273"/>
      <c r="BJ396" s="273"/>
      <c r="BK396" s="273"/>
      <c r="BL396" s="273"/>
      <c r="BM396" s="273"/>
      <c r="BN396" s="273"/>
      <c r="BO396" s="273"/>
      <c r="BP396" s="273"/>
      <c r="BQ396" s="273"/>
      <c r="BR396" s="273"/>
      <c r="BS396" s="273"/>
      <c r="BT396" s="273"/>
      <c r="BU396" s="273"/>
      <c r="BV396" s="273"/>
      <c r="BW396" s="273"/>
    </row>
    <row r="397">
      <c r="A397" s="259" t="str">
        <f>VLOOKUP($F397,UpdateHashtag!$V$3:$Y$32,COLUMN(B$15),0)</f>
        <v>#N/A</v>
      </c>
      <c r="B397" s="259" t="str">
        <f>VLOOKUP($F397,UpdateHashtag!$V$3:$Y$32,COLUMN(C$13),0)</f>
        <v>#N/A</v>
      </c>
      <c r="C397" s="259" t="str">
        <f>VLOOKUP($F397,UpdateHashtag!$V$3:$Y$32,COLUMN(D$13),0)</f>
        <v>#N/A</v>
      </c>
      <c r="D397" s="329" t="str">
        <f t="shared" si="4"/>
        <v>#N/A</v>
      </c>
      <c r="E397" s="21"/>
      <c r="F397" s="261" t="str">
        <f>VLOOKUP(J397,UpdateBBM!$C$2:E1015,3,0)</f>
        <v>#N/A</v>
      </c>
      <c r="G397" s="31">
        <v>377.0</v>
      </c>
      <c r="H397" s="278"/>
      <c r="I397" s="278"/>
      <c r="J397" s="279"/>
      <c r="K397" s="278"/>
      <c r="L397" s="280"/>
      <c r="M397" s="281"/>
      <c r="N397" s="282"/>
      <c r="O397" s="282"/>
      <c r="P397" s="283"/>
      <c r="Q397" s="283"/>
      <c r="R397" s="283"/>
      <c r="S397" s="284"/>
      <c r="T397" s="283"/>
      <c r="U397" s="283"/>
      <c r="V397" s="280"/>
      <c r="W397" s="280"/>
      <c r="X397" s="280"/>
      <c r="Y397" s="283"/>
      <c r="Z397" s="351"/>
      <c r="AA397" s="351"/>
      <c r="AB397" s="351"/>
      <c r="AC397" s="351"/>
      <c r="AD397" s="351"/>
      <c r="AE397" s="351"/>
      <c r="AF397" s="351"/>
      <c r="AG397" s="351"/>
      <c r="AH397" s="285"/>
      <c r="AI397" s="273"/>
      <c r="AJ397" s="340"/>
      <c r="AK397" s="341"/>
      <c r="AL397" s="273"/>
      <c r="AM397" s="273"/>
      <c r="AN397" s="273"/>
      <c r="AO397" s="273"/>
      <c r="AP397" s="273"/>
      <c r="AQ397" s="273"/>
      <c r="AR397" s="273"/>
      <c r="AS397" s="273"/>
      <c r="AT397" s="273"/>
      <c r="AU397" s="273"/>
      <c r="AV397" s="273"/>
      <c r="AW397" s="273"/>
      <c r="AX397" s="273"/>
      <c r="AY397" s="273"/>
      <c r="AZ397" s="273"/>
      <c r="BA397" s="273"/>
      <c r="BB397" s="273"/>
      <c r="BC397" s="273"/>
      <c r="BD397" s="273"/>
      <c r="BE397" s="273"/>
      <c r="BF397" s="273"/>
      <c r="BG397" s="273"/>
      <c r="BH397" s="273"/>
      <c r="BI397" s="273"/>
      <c r="BJ397" s="273"/>
      <c r="BK397" s="273"/>
      <c r="BL397" s="273"/>
      <c r="BM397" s="273"/>
      <c r="BN397" s="273"/>
      <c r="BO397" s="273"/>
      <c r="BP397" s="273"/>
      <c r="BQ397" s="273"/>
      <c r="BR397" s="273"/>
      <c r="BS397" s="273"/>
      <c r="BT397" s="273"/>
      <c r="BU397" s="273"/>
      <c r="BV397" s="273"/>
      <c r="BW397" s="273"/>
    </row>
    <row r="398">
      <c r="A398" s="259" t="str">
        <f>VLOOKUP($F398,UpdateHashtag!$V$3:$Y$32,COLUMN(B$15),0)</f>
        <v>#N/A</v>
      </c>
      <c r="B398" s="259" t="str">
        <f>VLOOKUP($F398,UpdateHashtag!$V$3:$Y$32,COLUMN(C$13),0)</f>
        <v>#N/A</v>
      </c>
      <c r="C398" s="259" t="str">
        <f>VLOOKUP($F398,UpdateHashtag!$V$3:$Y$32,COLUMN(D$13),0)</f>
        <v>#N/A</v>
      </c>
      <c r="D398" s="329" t="str">
        <f t="shared" si="4"/>
        <v>#N/A</v>
      </c>
      <c r="E398" s="21"/>
      <c r="F398" s="261" t="str">
        <f>VLOOKUP(J398,UpdateBBM!$C$2:E1015,3,0)</f>
        <v>#N/A</v>
      </c>
      <c r="G398" s="31">
        <v>378.0</v>
      </c>
      <c r="H398" s="278"/>
      <c r="I398" s="278"/>
      <c r="J398" s="279"/>
      <c r="K398" s="278"/>
      <c r="L398" s="280"/>
      <c r="M398" s="281"/>
      <c r="N398" s="282"/>
      <c r="O398" s="282"/>
      <c r="P398" s="283"/>
      <c r="Q398" s="283"/>
      <c r="R398" s="283"/>
      <c r="S398" s="284"/>
      <c r="T398" s="283"/>
      <c r="U398" s="283"/>
      <c r="V398" s="280"/>
      <c r="W398" s="280"/>
      <c r="X398" s="280"/>
      <c r="Y398" s="283"/>
      <c r="Z398" s="351"/>
      <c r="AA398" s="351"/>
      <c r="AB398" s="351"/>
      <c r="AC398" s="351"/>
      <c r="AD398" s="351"/>
      <c r="AE398" s="351"/>
      <c r="AF398" s="351"/>
      <c r="AG398" s="351"/>
      <c r="AH398" s="285"/>
      <c r="AI398" s="273"/>
      <c r="AJ398" s="340"/>
      <c r="AK398" s="341"/>
      <c r="AL398" s="273"/>
      <c r="AM398" s="273"/>
      <c r="AN398" s="273"/>
      <c r="AO398" s="273"/>
      <c r="AP398" s="273"/>
      <c r="AQ398" s="273"/>
      <c r="AR398" s="273"/>
      <c r="AS398" s="273"/>
      <c r="AT398" s="273"/>
      <c r="AU398" s="273"/>
      <c r="AV398" s="273"/>
      <c r="AW398" s="273"/>
      <c r="AX398" s="273"/>
      <c r="AY398" s="273"/>
      <c r="AZ398" s="273"/>
      <c r="BA398" s="273"/>
      <c r="BB398" s="273"/>
      <c r="BC398" s="273"/>
      <c r="BD398" s="273"/>
      <c r="BE398" s="273"/>
      <c r="BF398" s="273"/>
      <c r="BG398" s="273"/>
      <c r="BH398" s="273"/>
      <c r="BI398" s="273"/>
      <c r="BJ398" s="273"/>
      <c r="BK398" s="273"/>
      <c r="BL398" s="273"/>
      <c r="BM398" s="273"/>
      <c r="BN398" s="273"/>
      <c r="BO398" s="273"/>
      <c r="BP398" s="273"/>
      <c r="BQ398" s="273"/>
      <c r="BR398" s="273"/>
      <c r="BS398" s="273"/>
      <c r="BT398" s="273"/>
      <c r="BU398" s="273"/>
      <c r="BV398" s="273"/>
      <c r="BW398" s="273"/>
    </row>
    <row r="399">
      <c r="A399" s="259" t="str">
        <f>VLOOKUP($F399,UpdateHashtag!$V$3:$Y$32,COLUMN(B$15),0)</f>
        <v>#N/A</v>
      </c>
      <c r="B399" s="259" t="str">
        <f>VLOOKUP($F399,UpdateHashtag!$V$3:$Y$32,COLUMN(C$13),0)</f>
        <v>#N/A</v>
      </c>
      <c r="C399" s="259" t="str">
        <f>VLOOKUP($F399,UpdateHashtag!$V$3:$Y$32,COLUMN(D$13),0)</f>
        <v>#N/A</v>
      </c>
      <c r="D399" s="329" t="str">
        <f t="shared" si="4"/>
        <v>#N/A</v>
      </c>
      <c r="E399" s="21"/>
      <c r="F399" s="261" t="str">
        <f>VLOOKUP(J399,UpdateBBM!$C$2:E1015,3,0)</f>
        <v>#N/A</v>
      </c>
      <c r="G399" s="31">
        <v>379.0</v>
      </c>
      <c r="H399" s="278"/>
      <c r="I399" s="278"/>
      <c r="J399" s="279"/>
      <c r="K399" s="278"/>
      <c r="L399" s="280"/>
      <c r="M399" s="281"/>
      <c r="N399" s="282"/>
      <c r="O399" s="282"/>
      <c r="P399" s="283"/>
      <c r="Q399" s="283"/>
      <c r="R399" s="283"/>
      <c r="S399" s="284"/>
      <c r="T399" s="283"/>
      <c r="U399" s="283"/>
      <c r="V399" s="280"/>
      <c r="W399" s="280"/>
      <c r="X399" s="280"/>
      <c r="Y399" s="283"/>
      <c r="Z399" s="351"/>
      <c r="AA399" s="351"/>
      <c r="AB399" s="351"/>
      <c r="AC399" s="351"/>
      <c r="AD399" s="351"/>
      <c r="AE399" s="351"/>
      <c r="AF399" s="351"/>
      <c r="AG399" s="351"/>
      <c r="AH399" s="285"/>
      <c r="AI399" s="273"/>
      <c r="AJ399" s="340"/>
      <c r="AK399" s="341"/>
      <c r="AL399" s="273"/>
      <c r="AM399" s="273"/>
      <c r="AN399" s="273"/>
      <c r="AO399" s="273"/>
      <c r="AP399" s="273"/>
      <c r="AQ399" s="273"/>
      <c r="AR399" s="273"/>
      <c r="AS399" s="273"/>
      <c r="AT399" s="273"/>
      <c r="AU399" s="273"/>
      <c r="AV399" s="273"/>
      <c r="AW399" s="273"/>
      <c r="AX399" s="273"/>
      <c r="AY399" s="273"/>
      <c r="AZ399" s="273"/>
      <c r="BA399" s="273"/>
      <c r="BB399" s="273"/>
      <c r="BC399" s="273"/>
      <c r="BD399" s="273"/>
      <c r="BE399" s="273"/>
      <c r="BF399" s="273"/>
      <c r="BG399" s="273"/>
      <c r="BH399" s="273"/>
      <c r="BI399" s="273"/>
      <c r="BJ399" s="273"/>
      <c r="BK399" s="273"/>
      <c r="BL399" s="273"/>
      <c r="BM399" s="273"/>
      <c r="BN399" s="273"/>
      <c r="BO399" s="273"/>
      <c r="BP399" s="273"/>
      <c r="BQ399" s="273"/>
      <c r="BR399" s="273"/>
      <c r="BS399" s="273"/>
      <c r="BT399" s="273"/>
      <c r="BU399" s="273"/>
      <c r="BV399" s="273"/>
      <c r="BW399" s="273"/>
    </row>
    <row r="400">
      <c r="A400" s="259" t="str">
        <f>VLOOKUP($F400,UpdateHashtag!$V$3:$Y$32,COLUMN(B$15),0)</f>
        <v>#N/A</v>
      </c>
      <c r="B400" s="259" t="str">
        <f>VLOOKUP($F400,UpdateHashtag!$V$3:$Y$32,COLUMN(C$13),0)</f>
        <v>#N/A</v>
      </c>
      <c r="C400" s="259" t="str">
        <f>VLOOKUP($F400,UpdateHashtag!$V$3:$Y$32,COLUMN(D$13),0)</f>
        <v>#N/A</v>
      </c>
      <c r="D400" s="329" t="str">
        <f t="shared" si="4"/>
        <v>#N/A</v>
      </c>
      <c r="E400" s="21"/>
      <c r="F400" s="261" t="str">
        <f>VLOOKUP(J400,UpdateBBM!$C$2:E1015,3,0)</f>
        <v>#N/A</v>
      </c>
      <c r="G400" s="31">
        <v>380.0</v>
      </c>
      <c r="H400" s="278"/>
      <c r="I400" s="278"/>
      <c r="J400" s="279"/>
      <c r="K400" s="278"/>
      <c r="L400" s="280"/>
      <c r="M400" s="281"/>
      <c r="N400" s="282"/>
      <c r="O400" s="282"/>
      <c r="P400" s="283"/>
      <c r="Q400" s="283"/>
      <c r="R400" s="283"/>
      <c r="S400" s="284"/>
      <c r="T400" s="283"/>
      <c r="U400" s="283"/>
      <c r="V400" s="280"/>
      <c r="W400" s="280"/>
      <c r="X400" s="280"/>
      <c r="Y400" s="283"/>
      <c r="Z400" s="351"/>
      <c r="AA400" s="351"/>
      <c r="AB400" s="351"/>
      <c r="AC400" s="351"/>
      <c r="AD400" s="351"/>
      <c r="AE400" s="351"/>
      <c r="AF400" s="351"/>
      <c r="AG400" s="351"/>
      <c r="AH400" s="285"/>
      <c r="AI400" s="273"/>
      <c r="AJ400" s="340"/>
      <c r="AK400" s="341"/>
      <c r="AL400" s="273"/>
      <c r="AM400" s="273"/>
      <c r="AN400" s="273"/>
      <c r="AO400" s="273"/>
      <c r="AP400" s="273"/>
      <c r="AQ400" s="273"/>
      <c r="AR400" s="273"/>
      <c r="AS400" s="273"/>
      <c r="AT400" s="273"/>
      <c r="AU400" s="273"/>
      <c r="AV400" s="273"/>
      <c r="AW400" s="273"/>
      <c r="AX400" s="273"/>
      <c r="AY400" s="273"/>
      <c r="AZ400" s="273"/>
      <c r="BA400" s="273"/>
      <c r="BB400" s="273"/>
      <c r="BC400" s="273"/>
      <c r="BD400" s="273"/>
      <c r="BE400" s="273"/>
      <c r="BF400" s="273"/>
      <c r="BG400" s="273"/>
      <c r="BH400" s="273"/>
      <c r="BI400" s="273"/>
      <c r="BJ400" s="273"/>
      <c r="BK400" s="273"/>
      <c r="BL400" s="273"/>
      <c r="BM400" s="273"/>
      <c r="BN400" s="273"/>
      <c r="BO400" s="273"/>
      <c r="BP400" s="273"/>
      <c r="BQ400" s="273"/>
      <c r="BR400" s="273"/>
      <c r="BS400" s="273"/>
      <c r="BT400" s="273"/>
      <c r="BU400" s="273"/>
      <c r="BV400" s="273"/>
      <c r="BW400" s="273"/>
    </row>
    <row r="401">
      <c r="A401" s="259" t="str">
        <f>VLOOKUP($F401,UpdateHashtag!$V$3:$Y$32,COLUMN(B$15),0)</f>
        <v>#N/A</v>
      </c>
      <c r="B401" s="259" t="str">
        <f>VLOOKUP($F401,UpdateHashtag!$V$3:$Y$32,COLUMN(C$13),0)</f>
        <v>#N/A</v>
      </c>
      <c r="C401" s="259" t="str">
        <f>VLOOKUP($F401,UpdateHashtag!$V$3:$Y$32,COLUMN(D$13),0)</f>
        <v>#N/A</v>
      </c>
      <c r="D401" s="329" t="str">
        <f t="shared" si="4"/>
        <v>#N/A</v>
      </c>
      <c r="E401" s="21"/>
      <c r="F401" s="261" t="str">
        <f>VLOOKUP(J401,UpdateBBM!$C$2:E1015,3,0)</f>
        <v>#N/A</v>
      </c>
      <c r="G401" s="31">
        <v>381.0</v>
      </c>
      <c r="H401" s="278"/>
      <c r="I401" s="278"/>
      <c r="J401" s="279"/>
      <c r="K401" s="278"/>
      <c r="L401" s="280"/>
      <c r="M401" s="281"/>
      <c r="N401" s="282"/>
      <c r="O401" s="282"/>
      <c r="P401" s="283"/>
      <c r="Q401" s="283"/>
      <c r="R401" s="283"/>
      <c r="S401" s="284"/>
      <c r="T401" s="283"/>
      <c r="U401" s="283"/>
      <c r="V401" s="280"/>
      <c r="W401" s="280"/>
      <c r="X401" s="280"/>
      <c r="Y401" s="283"/>
      <c r="Z401" s="351"/>
      <c r="AA401" s="351"/>
      <c r="AB401" s="351"/>
      <c r="AC401" s="351"/>
      <c r="AD401" s="351"/>
      <c r="AE401" s="351"/>
      <c r="AF401" s="351"/>
      <c r="AG401" s="351"/>
      <c r="AH401" s="285"/>
      <c r="AI401" s="273"/>
      <c r="AJ401" s="340"/>
      <c r="AK401" s="341"/>
      <c r="AL401" s="273"/>
      <c r="AM401" s="273"/>
      <c r="AN401" s="273"/>
      <c r="AO401" s="273"/>
      <c r="AP401" s="273"/>
      <c r="AQ401" s="273"/>
      <c r="AR401" s="273"/>
      <c r="AS401" s="273"/>
      <c r="AT401" s="273"/>
      <c r="AU401" s="273"/>
      <c r="AV401" s="273"/>
      <c r="AW401" s="273"/>
      <c r="AX401" s="273"/>
      <c r="AY401" s="273"/>
      <c r="AZ401" s="273"/>
      <c r="BA401" s="273"/>
      <c r="BB401" s="273"/>
      <c r="BC401" s="273"/>
      <c r="BD401" s="273"/>
      <c r="BE401" s="273"/>
      <c r="BF401" s="273"/>
      <c r="BG401" s="273"/>
      <c r="BH401" s="273"/>
      <c r="BI401" s="273"/>
      <c r="BJ401" s="273"/>
      <c r="BK401" s="273"/>
      <c r="BL401" s="273"/>
      <c r="BM401" s="273"/>
      <c r="BN401" s="273"/>
      <c r="BO401" s="273"/>
      <c r="BP401" s="273"/>
      <c r="BQ401" s="273"/>
      <c r="BR401" s="273"/>
      <c r="BS401" s="273"/>
      <c r="BT401" s="273"/>
      <c r="BU401" s="273"/>
      <c r="BV401" s="273"/>
      <c r="BW401" s="273"/>
    </row>
    <row r="402">
      <c r="A402" s="259" t="str">
        <f>VLOOKUP($F402,UpdateHashtag!$V$3:$Y$32,COLUMN(B$15),0)</f>
        <v>#N/A</v>
      </c>
      <c r="B402" s="259" t="str">
        <f>VLOOKUP($F402,UpdateHashtag!$V$3:$Y$32,COLUMN(C$13),0)</f>
        <v>#N/A</v>
      </c>
      <c r="C402" s="259" t="str">
        <f>VLOOKUP($F402,UpdateHashtag!$V$3:$Y$32,COLUMN(D$13),0)</f>
        <v>#N/A</v>
      </c>
      <c r="D402" s="329" t="str">
        <f t="shared" si="4"/>
        <v>#N/A</v>
      </c>
      <c r="E402" s="21"/>
      <c r="F402" s="261" t="str">
        <f>VLOOKUP(J402,UpdateBBM!$C$2:E1015,3,0)</f>
        <v>#N/A</v>
      </c>
      <c r="G402" s="31">
        <v>382.0</v>
      </c>
      <c r="H402" s="278"/>
      <c r="I402" s="278"/>
      <c r="J402" s="279"/>
      <c r="K402" s="278"/>
      <c r="L402" s="280"/>
      <c r="M402" s="281"/>
      <c r="N402" s="282"/>
      <c r="O402" s="282"/>
      <c r="P402" s="283"/>
      <c r="Q402" s="283"/>
      <c r="R402" s="283"/>
      <c r="S402" s="284"/>
      <c r="T402" s="283"/>
      <c r="U402" s="283"/>
      <c r="V402" s="280"/>
      <c r="W402" s="280"/>
      <c r="X402" s="280"/>
      <c r="Y402" s="283"/>
      <c r="Z402" s="351"/>
      <c r="AA402" s="351"/>
      <c r="AB402" s="351"/>
      <c r="AC402" s="351"/>
      <c r="AD402" s="351"/>
      <c r="AE402" s="351"/>
      <c r="AF402" s="351"/>
      <c r="AG402" s="351"/>
      <c r="AH402" s="285"/>
      <c r="AI402" s="273"/>
      <c r="AJ402" s="340"/>
      <c r="AK402" s="341"/>
      <c r="AL402" s="273"/>
      <c r="AM402" s="273"/>
      <c r="AN402" s="273"/>
      <c r="AO402" s="273"/>
      <c r="AP402" s="273"/>
      <c r="AQ402" s="273"/>
      <c r="AR402" s="273"/>
      <c r="AS402" s="273"/>
      <c r="AT402" s="273"/>
      <c r="AU402" s="273"/>
      <c r="AV402" s="273"/>
      <c r="AW402" s="273"/>
      <c r="AX402" s="273"/>
      <c r="AY402" s="273"/>
      <c r="AZ402" s="273"/>
      <c r="BA402" s="273"/>
      <c r="BB402" s="273"/>
      <c r="BC402" s="273"/>
      <c r="BD402" s="273"/>
      <c r="BE402" s="273"/>
      <c r="BF402" s="273"/>
      <c r="BG402" s="273"/>
      <c r="BH402" s="273"/>
      <c r="BI402" s="273"/>
      <c r="BJ402" s="273"/>
      <c r="BK402" s="273"/>
      <c r="BL402" s="273"/>
      <c r="BM402" s="273"/>
      <c r="BN402" s="273"/>
      <c r="BO402" s="273"/>
      <c r="BP402" s="273"/>
      <c r="BQ402" s="273"/>
      <c r="BR402" s="273"/>
      <c r="BS402" s="273"/>
      <c r="BT402" s="273"/>
      <c r="BU402" s="273"/>
      <c r="BV402" s="273"/>
      <c r="BW402" s="273"/>
    </row>
    <row r="403">
      <c r="A403" s="259" t="str">
        <f>VLOOKUP($F403,UpdateHashtag!$V$3:$Y$32,COLUMN(B$15),0)</f>
        <v>#N/A</v>
      </c>
      <c r="B403" s="259" t="str">
        <f>VLOOKUP($F403,UpdateHashtag!$V$3:$Y$32,COLUMN(C$13),0)</f>
        <v>#N/A</v>
      </c>
      <c r="C403" s="259" t="str">
        <f>VLOOKUP($F403,UpdateHashtag!$V$3:$Y$32,COLUMN(D$13),0)</f>
        <v>#N/A</v>
      </c>
      <c r="D403" s="329" t="str">
        <f t="shared" si="4"/>
        <v>#N/A</v>
      </c>
      <c r="E403" s="21"/>
      <c r="F403" s="261" t="str">
        <f>VLOOKUP(J403,UpdateBBM!$C$2:E1015,3,0)</f>
        <v>#N/A</v>
      </c>
      <c r="G403" s="31">
        <v>383.0</v>
      </c>
      <c r="H403" s="278"/>
      <c r="I403" s="278"/>
      <c r="J403" s="279"/>
      <c r="K403" s="278"/>
      <c r="L403" s="280"/>
      <c r="M403" s="281"/>
      <c r="N403" s="282"/>
      <c r="O403" s="282"/>
      <c r="P403" s="283"/>
      <c r="Q403" s="283"/>
      <c r="R403" s="283"/>
      <c r="S403" s="284"/>
      <c r="T403" s="283"/>
      <c r="U403" s="283"/>
      <c r="V403" s="280"/>
      <c r="W403" s="280"/>
      <c r="X403" s="280"/>
      <c r="Y403" s="283"/>
      <c r="Z403" s="351"/>
      <c r="AA403" s="351"/>
      <c r="AB403" s="351"/>
      <c r="AC403" s="351"/>
      <c r="AD403" s="351"/>
      <c r="AE403" s="351"/>
      <c r="AF403" s="351"/>
      <c r="AG403" s="351"/>
      <c r="AH403" s="285"/>
      <c r="AI403" s="273"/>
      <c r="AJ403" s="340"/>
      <c r="AK403" s="341"/>
      <c r="AL403" s="273"/>
      <c r="AM403" s="273"/>
      <c r="AN403" s="273"/>
      <c r="AO403" s="273"/>
      <c r="AP403" s="273"/>
      <c r="AQ403" s="273"/>
      <c r="AR403" s="273"/>
      <c r="AS403" s="273"/>
      <c r="AT403" s="273"/>
      <c r="AU403" s="273"/>
      <c r="AV403" s="273"/>
      <c r="AW403" s="273"/>
      <c r="AX403" s="273"/>
      <c r="AY403" s="273"/>
      <c r="AZ403" s="273"/>
      <c r="BA403" s="273"/>
      <c r="BB403" s="273"/>
      <c r="BC403" s="273"/>
      <c r="BD403" s="273"/>
      <c r="BE403" s="273"/>
      <c r="BF403" s="273"/>
      <c r="BG403" s="273"/>
      <c r="BH403" s="273"/>
      <c r="BI403" s="273"/>
      <c r="BJ403" s="273"/>
      <c r="BK403" s="273"/>
      <c r="BL403" s="273"/>
      <c r="BM403" s="273"/>
      <c r="BN403" s="273"/>
      <c r="BO403" s="273"/>
      <c r="BP403" s="273"/>
      <c r="BQ403" s="273"/>
      <c r="BR403" s="273"/>
      <c r="BS403" s="273"/>
      <c r="BT403" s="273"/>
      <c r="BU403" s="273"/>
      <c r="BV403" s="273"/>
      <c r="BW403" s="273"/>
    </row>
    <row r="404">
      <c r="A404" s="259" t="str">
        <f>VLOOKUP($F404,UpdateHashtag!$V$3:$Y$32,COLUMN(B$15),0)</f>
        <v>#N/A</v>
      </c>
      <c r="B404" s="259" t="str">
        <f>VLOOKUP($F404,UpdateHashtag!$V$3:$Y$32,COLUMN(C$13),0)</f>
        <v>#N/A</v>
      </c>
      <c r="C404" s="259" t="str">
        <f>VLOOKUP($F404,UpdateHashtag!$V$3:$Y$32,COLUMN(D$13),0)</f>
        <v>#N/A</v>
      </c>
      <c r="D404" s="329" t="str">
        <f t="shared" si="4"/>
        <v>#N/A</v>
      </c>
      <c r="E404" s="21"/>
      <c r="F404" s="261" t="str">
        <f>VLOOKUP(J404,UpdateBBM!$C$2:E1015,3,0)</f>
        <v>#N/A</v>
      </c>
      <c r="G404" s="31">
        <v>384.0</v>
      </c>
      <c r="H404" s="278"/>
      <c r="I404" s="279"/>
      <c r="J404" s="279"/>
      <c r="K404" s="279"/>
      <c r="L404" s="280"/>
      <c r="M404" s="281"/>
      <c r="N404" s="282"/>
      <c r="O404" s="282"/>
      <c r="P404" s="283"/>
      <c r="Q404" s="283"/>
      <c r="R404" s="283"/>
      <c r="S404" s="284"/>
      <c r="T404" s="283"/>
      <c r="U404" s="283"/>
      <c r="V404" s="280"/>
      <c r="W404" s="280"/>
      <c r="X404" s="280"/>
      <c r="Y404" s="283"/>
      <c r="Z404" s="351"/>
      <c r="AA404" s="351"/>
      <c r="AB404" s="351"/>
      <c r="AC404" s="351"/>
      <c r="AD404" s="351"/>
      <c r="AE404" s="351"/>
      <c r="AF404" s="351"/>
      <c r="AG404" s="351"/>
      <c r="AH404" s="285"/>
      <c r="AI404" s="273"/>
      <c r="AJ404" s="340"/>
      <c r="AK404" s="273"/>
      <c r="AL404" s="273"/>
      <c r="AM404" s="273"/>
      <c r="AN404" s="273"/>
      <c r="AO404" s="273"/>
      <c r="AP404" s="273"/>
      <c r="AQ404" s="273"/>
      <c r="AR404" s="273"/>
      <c r="AS404" s="273"/>
      <c r="AT404" s="273"/>
      <c r="AU404" s="273"/>
      <c r="AV404" s="273"/>
      <c r="AW404" s="273"/>
      <c r="AX404" s="273"/>
      <c r="AY404" s="273"/>
      <c r="AZ404" s="273"/>
      <c r="BA404" s="273"/>
      <c r="BB404" s="273"/>
      <c r="BC404" s="273"/>
      <c r="BD404" s="273"/>
      <c r="BE404" s="273"/>
      <c r="BF404" s="273"/>
      <c r="BG404" s="273"/>
      <c r="BH404" s="273"/>
      <c r="BI404" s="273"/>
      <c r="BJ404" s="273"/>
      <c r="BK404" s="273"/>
      <c r="BL404" s="273"/>
      <c r="BM404" s="273"/>
      <c r="BN404" s="273"/>
      <c r="BO404" s="273"/>
      <c r="BP404" s="273"/>
      <c r="BQ404" s="273"/>
      <c r="BR404" s="273"/>
      <c r="BS404" s="273"/>
      <c r="BT404" s="273"/>
      <c r="BU404" s="273"/>
      <c r="BV404" s="273"/>
      <c r="BW404" s="273"/>
    </row>
    <row r="405">
      <c r="A405" s="259" t="str">
        <f>VLOOKUP($F405,UpdateHashtag!$V$3:$Y$32,COLUMN(B$15),0)</f>
        <v>#N/A</v>
      </c>
      <c r="B405" s="259" t="str">
        <f>VLOOKUP($F405,UpdateHashtag!$V$3:$Y$32,COLUMN(C$13),0)</f>
        <v>#N/A</v>
      </c>
      <c r="C405" s="259" t="str">
        <f>VLOOKUP($F405,UpdateHashtag!$V$3:$Y$32,COLUMN(D$13),0)</f>
        <v>#N/A</v>
      </c>
      <c r="D405" s="329" t="str">
        <f t="shared" si="4"/>
        <v>#N/A</v>
      </c>
      <c r="E405" s="21"/>
      <c r="F405" s="261" t="str">
        <f>VLOOKUP(J405,UpdateBBM!$C$2:E1015,3,0)</f>
        <v>#N/A</v>
      </c>
      <c r="G405" s="31">
        <v>385.0</v>
      </c>
      <c r="H405" s="278"/>
      <c r="I405" s="279"/>
      <c r="J405" s="279"/>
      <c r="K405" s="279"/>
      <c r="L405" s="280"/>
      <c r="M405" s="281"/>
      <c r="N405" s="282"/>
      <c r="O405" s="282"/>
      <c r="P405" s="283"/>
      <c r="Q405" s="283"/>
      <c r="R405" s="283"/>
      <c r="S405" s="284"/>
      <c r="T405" s="283"/>
      <c r="U405" s="283"/>
      <c r="V405" s="280"/>
      <c r="W405" s="280"/>
      <c r="X405" s="280"/>
      <c r="Y405" s="283"/>
      <c r="Z405" s="351"/>
      <c r="AA405" s="351"/>
      <c r="AB405" s="351"/>
      <c r="AC405" s="351"/>
      <c r="AD405" s="351"/>
      <c r="AE405" s="351"/>
      <c r="AF405" s="351"/>
      <c r="AG405" s="351"/>
      <c r="AH405" s="285"/>
      <c r="AI405" s="273"/>
      <c r="AJ405" s="340"/>
      <c r="AK405" s="273"/>
      <c r="AL405" s="273"/>
      <c r="AM405" s="273"/>
      <c r="AN405" s="273"/>
      <c r="AO405" s="273"/>
      <c r="AP405" s="273"/>
      <c r="AQ405" s="273"/>
      <c r="AR405" s="273"/>
      <c r="AS405" s="273"/>
      <c r="AT405" s="273"/>
      <c r="AU405" s="273"/>
      <c r="AV405" s="273"/>
      <c r="AW405" s="273"/>
      <c r="AX405" s="273"/>
      <c r="AY405" s="273"/>
      <c r="AZ405" s="273"/>
      <c r="BA405" s="273"/>
      <c r="BB405" s="273"/>
      <c r="BC405" s="273"/>
      <c r="BD405" s="273"/>
      <c r="BE405" s="273"/>
      <c r="BF405" s="273"/>
      <c r="BG405" s="273"/>
      <c r="BH405" s="273"/>
      <c r="BI405" s="273"/>
      <c r="BJ405" s="273"/>
      <c r="BK405" s="273"/>
      <c r="BL405" s="273"/>
      <c r="BM405" s="273"/>
      <c r="BN405" s="273"/>
      <c r="BO405" s="273"/>
      <c r="BP405" s="273"/>
      <c r="BQ405" s="273"/>
      <c r="BR405" s="273"/>
      <c r="BS405" s="273"/>
      <c r="BT405" s="273"/>
      <c r="BU405" s="273"/>
      <c r="BV405" s="273"/>
      <c r="BW405" s="273"/>
    </row>
    <row r="406">
      <c r="A406" s="259" t="str">
        <f>VLOOKUP($F406,UpdateHashtag!$V$3:$Y$32,COLUMN(B$15),0)</f>
        <v>#N/A</v>
      </c>
      <c r="B406" s="259" t="str">
        <f>VLOOKUP($F406,UpdateHashtag!$V$3:$Y$32,COLUMN(C$13),0)</f>
        <v>#N/A</v>
      </c>
      <c r="C406" s="259" t="str">
        <f>VLOOKUP($F406,UpdateHashtag!$V$3:$Y$32,COLUMN(D$13),0)</f>
        <v>#N/A</v>
      </c>
      <c r="D406" s="329" t="str">
        <f t="shared" si="4"/>
        <v>#N/A</v>
      </c>
      <c r="E406" s="21"/>
      <c r="F406" s="261" t="str">
        <f>VLOOKUP(J406,UpdateBBM!$C$2:E1015,3,0)</f>
        <v>#N/A</v>
      </c>
      <c r="G406" s="31">
        <v>386.0</v>
      </c>
      <c r="H406" s="278"/>
      <c r="I406" s="279"/>
      <c r="J406" s="279"/>
      <c r="K406" s="279"/>
      <c r="L406" s="280"/>
      <c r="M406" s="281"/>
      <c r="N406" s="282"/>
      <c r="O406" s="282"/>
      <c r="P406" s="283"/>
      <c r="Q406" s="283"/>
      <c r="R406" s="283"/>
      <c r="S406" s="284"/>
      <c r="T406" s="283"/>
      <c r="U406" s="283"/>
      <c r="V406" s="280"/>
      <c r="W406" s="280"/>
      <c r="X406" s="280"/>
      <c r="Y406" s="283"/>
      <c r="Z406" s="351"/>
      <c r="AA406" s="351"/>
      <c r="AB406" s="351"/>
      <c r="AC406" s="351"/>
      <c r="AD406" s="351"/>
      <c r="AE406" s="351"/>
      <c r="AF406" s="351"/>
      <c r="AG406" s="351"/>
      <c r="AH406" s="285"/>
      <c r="AI406" s="273"/>
      <c r="AJ406" s="340"/>
      <c r="AK406" s="273"/>
      <c r="AL406" s="273"/>
      <c r="AM406" s="273"/>
      <c r="AN406" s="273"/>
      <c r="AO406" s="273"/>
      <c r="AP406" s="273"/>
      <c r="AQ406" s="273"/>
      <c r="AR406" s="273"/>
      <c r="AS406" s="273"/>
      <c r="AT406" s="273"/>
      <c r="AU406" s="273"/>
      <c r="AV406" s="273"/>
      <c r="AW406" s="273"/>
      <c r="AX406" s="273"/>
      <c r="AY406" s="273"/>
      <c r="AZ406" s="273"/>
      <c r="BA406" s="273"/>
      <c r="BB406" s="273"/>
      <c r="BC406" s="273"/>
      <c r="BD406" s="273"/>
      <c r="BE406" s="273"/>
      <c r="BF406" s="273"/>
      <c r="BG406" s="273"/>
      <c r="BH406" s="273"/>
      <c r="BI406" s="273"/>
      <c r="BJ406" s="273"/>
      <c r="BK406" s="273"/>
      <c r="BL406" s="273"/>
      <c r="BM406" s="273"/>
      <c r="BN406" s="273"/>
      <c r="BO406" s="273"/>
      <c r="BP406" s="273"/>
      <c r="BQ406" s="273"/>
      <c r="BR406" s="273"/>
      <c r="BS406" s="273"/>
      <c r="BT406" s="273"/>
      <c r="BU406" s="273"/>
      <c r="BV406" s="273"/>
      <c r="BW406" s="273"/>
    </row>
    <row r="407">
      <c r="A407" s="259" t="str">
        <f>VLOOKUP($F407,UpdateHashtag!$V$3:$Y$32,COLUMN(B$15),0)</f>
        <v>#N/A</v>
      </c>
      <c r="B407" s="259" t="str">
        <f>VLOOKUP($F407,UpdateHashtag!$V$3:$Y$32,COLUMN(C$13),0)</f>
        <v>#N/A</v>
      </c>
      <c r="C407" s="259" t="str">
        <f>VLOOKUP($F407,UpdateHashtag!$V$3:$Y$32,COLUMN(D$13),0)</f>
        <v>#N/A</v>
      </c>
      <c r="D407" s="329" t="str">
        <f t="shared" si="4"/>
        <v>#N/A</v>
      </c>
      <c r="E407" s="21"/>
      <c r="F407" s="261" t="str">
        <f>VLOOKUP(J407,UpdateBBM!$C$2:E1015,3,0)</f>
        <v>#N/A</v>
      </c>
      <c r="G407" s="31">
        <v>387.0</v>
      </c>
      <c r="H407" s="278"/>
      <c r="I407" s="279"/>
      <c r="J407" s="279"/>
      <c r="K407" s="279"/>
      <c r="L407" s="280"/>
      <c r="M407" s="281"/>
      <c r="N407" s="282"/>
      <c r="O407" s="282"/>
      <c r="P407" s="283"/>
      <c r="Q407" s="283"/>
      <c r="R407" s="283"/>
      <c r="S407" s="284"/>
      <c r="T407" s="283"/>
      <c r="U407" s="283"/>
      <c r="V407" s="280"/>
      <c r="W407" s="280"/>
      <c r="X407" s="280"/>
      <c r="Y407" s="283"/>
      <c r="Z407" s="351"/>
      <c r="AA407" s="351"/>
      <c r="AB407" s="351"/>
      <c r="AC407" s="351"/>
      <c r="AD407" s="351"/>
      <c r="AE407" s="351"/>
      <c r="AF407" s="351"/>
      <c r="AG407" s="351"/>
      <c r="AH407" s="285"/>
      <c r="AI407" s="273"/>
      <c r="AJ407" s="340"/>
      <c r="AK407" s="273"/>
      <c r="AL407" s="273"/>
      <c r="AM407" s="273"/>
      <c r="AN407" s="273"/>
      <c r="AO407" s="273"/>
      <c r="AP407" s="273"/>
      <c r="AQ407" s="273"/>
      <c r="AR407" s="273"/>
      <c r="AS407" s="273"/>
      <c r="AT407" s="273"/>
      <c r="AU407" s="273"/>
      <c r="AV407" s="273"/>
      <c r="AW407" s="273"/>
      <c r="AX407" s="273"/>
      <c r="AY407" s="273"/>
      <c r="AZ407" s="273"/>
      <c r="BA407" s="273"/>
      <c r="BB407" s="273"/>
      <c r="BC407" s="273"/>
      <c r="BD407" s="273"/>
      <c r="BE407" s="273"/>
      <c r="BF407" s="273"/>
      <c r="BG407" s="273"/>
      <c r="BH407" s="273"/>
      <c r="BI407" s="273"/>
      <c r="BJ407" s="273"/>
      <c r="BK407" s="273"/>
      <c r="BL407" s="273"/>
      <c r="BM407" s="273"/>
      <c r="BN407" s="273"/>
      <c r="BO407" s="273"/>
      <c r="BP407" s="273"/>
      <c r="BQ407" s="273"/>
      <c r="BR407" s="273"/>
      <c r="BS407" s="273"/>
      <c r="BT407" s="273"/>
      <c r="BU407" s="273"/>
      <c r="BV407" s="273"/>
      <c r="BW407" s="273"/>
    </row>
    <row r="408">
      <c r="A408" s="259" t="str">
        <f>VLOOKUP($F408,UpdateHashtag!$V$3:$Y$32,COLUMN(B$15),0)</f>
        <v>#N/A</v>
      </c>
      <c r="B408" s="259" t="str">
        <f>VLOOKUP($F408,UpdateHashtag!$V$3:$Y$32,COLUMN(C$13),0)</f>
        <v>#N/A</v>
      </c>
      <c r="C408" s="259" t="str">
        <f>VLOOKUP($F408,UpdateHashtag!$V$3:$Y$32,COLUMN(D$13),0)</f>
        <v>#N/A</v>
      </c>
      <c r="D408" s="352" t="str">
        <f t="shared" si="4"/>
        <v>#N/A</v>
      </c>
      <c r="E408" s="21"/>
      <c r="F408" s="261" t="str">
        <f>VLOOKUP(J408,UpdateBBM!$C$2:E1015,3,0)</f>
        <v>#N/A</v>
      </c>
      <c r="G408" s="353">
        <v>388.0</v>
      </c>
      <c r="H408" s="354"/>
      <c r="I408" s="355"/>
      <c r="J408" s="355"/>
      <c r="K408" s="355"/>
      <c r="L408" s="356"/>
      <c r="M408" s="357"/>
      <c r="N408" s="358"/>
      <c r="O408" s="358"/>
      <c r="P408" s="359"/>
      <c r="Q408" s="359"/>
      <c r="R408" s="359"/>
      <c r="S408" s="360"/>
      <c r="T408" s="359"/>
      <c r="U408" s="359"/>
      <c r="V408" s="356"/>
      <c r="W408" s="356"/>
      <c r="X408" s="356"/>
      <c r="Y408" s="359"/>
      <c r="Z408" s="361"/>
      <c r="AA408" s="361"/>
      <c r="AB408" s="361"/>
      <c r="AC408" s="361"/>
      <c r="AD408" s="361"/>
      <c r="AE408" s="361"/>
      <c r="AF408" s="361"/>
      <c r="AG408" s="361"/>
      <c r="AH408" s="362"/>
      <c r="AI408" s="273"/>
      <c r="AJ408" s="340"/>
      <c r="AK408" s="273"/>
      <c r="AL408" s="273"/>
      <c r="AM408" s="273"/>
      <c r="AN408" s="273"/>
      <c r="AO408" s="273"/>
      <c r="AP408" s="273"/>
      <c r="AQ408" s="273"/>
      <c r="AR408" s="273"/>
      <c r="AS408" s="273"/>
      <c r="AT408" s="273"/>
      <c r="AU408" s="273"/>
      <c r="AV408" s="273"/>
      <c r="AW408" s="273"/>
      <c r="AX408" s="273"/>
      <c r="AY408" s="273"/>
      <c r="AZ408" s="273"/>
      <c r="BA408" s="273"/>
      <c r="BB408" s="273"/>
      <c r="BC408" s="273"/>
      <c r="BD408" s="273"/>
      <c r="BE408" s="273"/>
      <c r="BF408" s="273"/>
      <c r="BG408" s="273"/>
      <c r="BH408" s="273"/>
      <c r="BI408" s="273"/>
      <c r="BJ408" s="273"/>
      <c r="BK408" s="273"/>
      <c r="BL408" s="273"/>
      <c r="BM408" s="273"/>
      <c r="BN408" s="273"/>
      <c r="BO408" s="273"/>
      <c r="BP408" s="273"/>
      <c r="BQ408" s="273"/>
      <c r="BR408" s="273"/>
      <c r="BS408" s="273"/>
      <c r="BT408" s="273"/>
      <c r="BU408" s="273"/>
      <c r="BV408" s="273"/>
      <c r="BW408" s="273"/>
    </row>
    <row r="409">
      <c r="A409" s="259" t="str">
        <f>VLOOKUP($F409,UpdateHashtag!$V$3:$Y$32,COLUMN(B$15),0)</f>
        <v>#N/A</v>
      </c>
      <c r="B409" s="259" t="str">
        <f>VLOOKUP($F409,UpdateHashtag!$V$3:$Y$32,COLUMN(C$13),0)</f>
        <v>#N/A</v>
      </c>
      <c r="C409" s="259" t="str">
        <f>VLOOKUP($F409,UpdateHashtag!$V$3:$Y$32,COLUMN(D$13),0)</f>
        <v>#N/A</v>
      </c>
      <c r="D409" s="363" t="str">
        <f t="shared" si="4"/>
        <v>#N/A</v>
      </c>
      <c r="E409" s="364"/>
      <c r="F409" s="261" t="str">
        <f>VLOOKUP(J409,UpdateBBM!$C$2:E1015,3,0)</f>
        <v>#N/A</v>
      </c>
      <c r="G409" s="365">
        <v>389.0</v>
      </c>
      <c r="H409" s="366"/>
      <c r="I409" s="367"/>
      <c r="J409" s="367"/>
      <c r="K409" s="367"/>
      <c r="L409" s="368"/>
      <c r="M409" s="369"/>
      <c r="N409" s="370"/>
      <c r="O409" s="370"/>
      <c r="P409" s="371"/>
      <c r="Q409" s="371"/>
      <c r="R409" s="371"/>
      <c r="S409" s="372"/>
      <c r="T409" s="371"/>
      <c r="U409" s="371"/>
      <c r="V409" s="368"/>
      <c r="W409" s="368"/>
      <c r="X409" s="368"/>
      <c r="Y409" s="371"/>
      <c r="Z409" s="373"/>
      <c r="AA409" s="373"/>
      <c r="AB409" s="373"/>
      <c r="AC409" s="373"/>
      <c r="AD409" s="373"/>
      <c r="AE409" s="373"/>
      <c r="AF409" s="373"/>
      <c r="AG409" s="373"/>
      <c r="AH409" s="374"/>
      <c r="AI409" s="23"/>
      <c r="AJ409" s="375"/>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row>
    <row r="410" hidden="1">
      <c r="A410" s="259" t="str">
        <f>VLOOKUP($F410,UpdateHashtag!$V$3:$Y$32,COLUMN(B$15),0)</f>
        <v>#N/A</v>
      </c>
      <c r="B410" s="259" t="str">
        <f>VLOOKUP($F410,UpdateHashtag!$V$3:$Y$32,COLUMN(C$13),0)</f>
        <v>#N/A</v>
      </c>
      <c r="C410" s="259" t="str">
        <f>VLOOKUP($F410,UpdateHashtag!$V$3:$Y$32,COLUMN(D$13),0)</f>
        <v>#N/A</v>
      </c>
      <c r="D410" s="376" t="str">
        <f t="shared" si="4"/>
        <v>#N/A</v>
      </c>
      <c r="E410" s="364"/>
      <c r="F410" s="377" t="str">
        <f>IF(VLOOKUP(J410,PasteHashtag!$C$2:$P1015,3,)="BRO","BKN",IF(VLOOKUP(J410,PasteHashtag!$C$2:$P1015,3,)="OKL","OKC",VLOOKUP(J410,PasteHashtag!$C$2:$P1015,3,)))</f>
        <v>#N/A</v>
      </c>
      <c r="G410" s="378">
        <v>390.0</v>
      </c>
      <c r="H410" s="379"/>
      <c r="I410" s="380"/>
      <c r="J410" s="380"/>
      <c r="K410" s="380"/>
      <c r="L410" s="381"/>
      <c r="M410" s="382"/>
      <c r="N410" s="383"/>
      <c r="O410" s="383"/>
      <c r="P410" s="384"/>
      <c r="Q410" s="384"/>
      <c r="R410" s="384"/>
      <c r="S410" s="385"/>
      <c r="T410" s="384"/>
      <c r="U410" s="384"/>
      <c r="V410" s="384"/>
      <c r="W410" s="384"/>
      <c r="X410" s="384"/>
      <c r="Y410" s="384"/>
      <c r="Z410" s="386"/>
      <c r="AA410" s="386"/>
      <c r="AB410" s="386"/>
      <c r="AC410" s="386"/>
      <c r="AD410" s="386"/>
      <c r="AE410" s="386"/>
      <c r="AF410" s="386"/>
      <c r="AG410" s="386"/>
      <c r="AH410" s="386"/>
      <c r="AI410" s="23"/>
      <c r="AJ410" s="375"/>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row>
    <row r="411" hidden="1">
      <c r="A411" s="259" t="str">
        <f>VLOOKUP($F411,UpdateHashtag!$V$3:$Y$32,COLUMN(B$15),0)</f>
        <v>#N/A</v>
      </c>
      <c r="B411" s="259" t="str">
        <f>VLOOKUP($F411,UpdateHashtag!$V$3:$Y$32,COLUMN(C$13),0)</f>
        <v>#N/A</v>
      </c>
      <c r="C411" s="259" t="str">
        <f>VLOOKUP($F411,UpdateHashtag!$V$3:$Y$32,COLUMN(D$13),0)</f>
        <v>#N/A</v>
      </c>
      <c r="D411" s="376" t="str">
        <f t="shared" si="4"/>
        <v>#N/A</v>
      </c>
      <c r="E411" s="364"/>
      <c r="F411" s="377" t="str">
        <f>IF(VLOOKUP(J411,PasteHashtag!$C$2:$P1015,3,)="BRO","BKN",IF(VLOOKUP(J411,PasteHashtag!$C$2:$P1015,3,)="OKL","OKC",VLOOKUP(J411,PasteHashtag!$C$2:$P1015,3,)))</f>
        <v>#N/A</v>
      </c>
      <c r="G411" s="378">
        <v>391.0</v>
      </c>
      <c r="H411" s="379"/>
      <c r="I411" s="380"/>
      <c r="J411" s="380"/>
      <c r="K411" s="380"/>
      <c r="L411" s="381"/>
      <c r="M411" s="382"/>
      <c r="N411" s="383"/>
      <c r="O411" s="383"/>
      <c r="P411" s="384"/>
      <c r="Q411" s="384"/>
      <c r="R411" s="384"/>
      <c r="S411" s="385"/>
      <c r="T411" s="384"/>
      <c r="U411" s="384"/>
      <c r="V411" s="384"/>
      <c r="W411" s="384"/>
      <c r="X411" s="384"/>
      <c r="Y411" s="384"/>
      <c r="Z411" s="386"/>
      <c r="AA411" s="386"/>
      <c r="AB411" s="386"/>
      <c r="AC411" s="386"/>
      <c r="AD411" s="386"/>
      <c r="AE411" s="386"/>
      <c r="AF411" s="386"/>
      <c r="AG411" s="386"/>
      <c r="AH411" s="386"/>
      <c r="AI411" s="23"/>
      <c r="AJ411" s="375"/>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row>
    <row r="412" hidden="1">
      <c r="A412" s="259" t="str">
        <f>VLOOKUP($F412,UpdateHashtag!$V$3:$Y$32,COLUMN(B$15),0)</f>
        <v>#N/A</v>
      </c>
      <c r="B412" s="259" t="str">
        <f>VLOOKUP($F412,UpdateHashtag!$V$3:$Y$32,COLUMN(C$13),0)</f>
        <v>#N/A</v>
      </c>
      <c r="C412" s="259" t="str">
        <f>VLOOKUP($F412,UpdateHashtag!$V$3:$Y$32,COLUMN(D$13),0)</f>
        <v>#N/A</v>
      </c>
      <c r="D412" s="376" t="str">
        <f t="shared" si="4"/>
        <v>#N/A</v>
      </c>
      <c r="E412" s="364"/>
      <c r="F412" s="377" t="str">
        <f>IF(VLOOKUP(J412,PasteHashtag!$C$2:$P1015,3,)="BRO","BKN",IF(VLOOKUP(J412,PasteHashtag!$C$2:$P1015,3,)="OKL","OKC",VLOOKUP(J412,PasteHashtag!$C$2:$P1015,3,)))</f>
        <v>#N/A</v>
      </c>
      <c r="G412" s="378">
        <v>392.0</v>
      </c>
      <c r="H412" s="379"/>
      <c r="I412" s="380"/>
      <c r="J412" s="380"/>
      <c r="K412" s="380"/>
      <c r="L412" s="381"/>
      <c r="M412" s="382"/>
      <c r="N412" s="383"/>
      <c r="O412" s="383"/>
      <c r="P412" s="384"/>
      <c r="Q412" s="384"/>
      <c r="R412" s="384"/>
      <c r="S412" s="385"/>
      <c r="T412" s="384"/>
      <c r="U412" s="384"/>
      <c r="V412" s="384"/>
      <c r="W412" s="384"/>
      <c r="X412" s="384"/>
      <c r="Y412" s="384"/>
      <c r="Z412" s="386"/>
      <c r="AA412" s="386"/>
      <c r="AB412" s="386"/>
      <c r="AC412" s="386"/>
      <c r="AD412" s="386"/>
      <c r="AE412" s="386"/>
      <c r="AF412" s="386"/>
      <c r="AG412" s="386"/>
      <c r="AH412" s="386"/>
      <c r="AI412" s="23"/>
      <c r="AJ412" s="375"/>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row>
    <row r="413" hidden="1">
      <c r="A413" s="259" t="str">
        <f>VLOOKUP($F413,UpdateHashtag!$V$3:$Y$32,COLUMN(B$15),0)</f>
        <v>#N/A</v>
      </c>
      <c r="B413" s="259" t="str">
        <f>VLOOKUP($F413,UpdateHashtag!$V$3:$Y$32,COLUMN(C$13),0)</f>
        <v>#N/A</v>
      </c>
      <c r="C413" s="259" t="str">
        <f>VLOOKUP($F413,UpdateHashtag!$V$3:$Y$32,COLUMN(D$13),0)</f>
        <v>#N/A</v>
      </c>
      <c r="D413" s="376" t="str">
        <f t="shared" si="4"/>
        <v>#N/A</v>
      </c>
      <c r="E413" s="364"/>
      <c r="F413" s="377" t="str">
        <f>IF(VLOOKUP(J413,PasteHashtag!$C$2:$P1015,3,)="BRO","BKN",IF(VLOOKUP(J413,PasteHashtag!$C$2:$P1015,3,)="OKL","OKC",VLOOKUP(J413,PasteHashtag!$C$2:$P1015,3,)))</f>
        <v>#N/A</v>
      </c>
      <c r="G413" s="378">
        <v>393.0</v>
      </c>
      <c r="H413" s="379"/>
      <c r="I413" s="380"/>
      <c r="J413" s="380"/>
      <c r="K413" s="380"/>
      <c r="L413" s="381"/>
      <c r="M413" s="382"/>
      <c r="N413" s="383"/>
      <c r="O413" s="383"/>
      <c r="P413" s="384"/>
      <c r="Q413" s="384"/>
      <c r="R413" s="384"/>
      <c r="S413" s="385"/>
      <c r="T413" s="384"/>
      <c r="U413" s="384"/>
      <c r="V413" s="384"/>
      <c r="W413" s="384"/>
      <c r="X413" s="384"/>
      <c r="Y413" s="384"/>
      <c r="Z413" s="386"/>
      <c r="AA413" s="386"/>
      <c r="AB413" s="386"/>
      <c r="AC413" s="386"/>
      <c r="AD413" s="386"/>
      <c r="AE413" s="386"/>
      <c r="AF413" s="386"/>
      <c r="AG413" s="386"/>
      <c r="AH413" s="386"/>
      <c r="AI413" s="23"/>
      <c r="AJ413" s="375"/>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row>
    <row r="414" hidden="1">
      <c r="A414" s="259" t="str">
        <f>VLOOKUP($F414,UpdateHashtag!$V$3:$Y$32,COLUMN(B$15),0)</f>
        <v>#N/A</v>
      </c>
      <c r="B414" s="259" t="str">
        <f>VLOOKUP($F414,UpdateHashtag!$V$3:$Y$32,COLUMN(C$13),0)</f>
        <v>#N/A</v>
      </c>
      <c r="C414" s="259" t="str">
        <f>VLOOKUP($F414,UpdateHashtag!$V$3:$Y$32,COLUMN(D$13),0)</f>
        <v>#N/A</v>
      </c>
      <c r="D414" s="376" t="str">
        <f t="shared" si="4"/>
        <v>#N/A</v>
      </c>
      <c r="E414" s="364"/>
      <c r="F414" s="377" t="str">
        <f>IF(VLOOKUP(J414,PasteHashtag!$C$2:$P1015,3,)="BRO","BKN",IF(VLOOKUP(J414,PasteHashtag!$C$2:$P1015,3,)="OKL","OKC",VLOOKUP(J414,PasteHashtag!$C$2:$P1015,3,)))</f>
        <v>#N/A</v>
      </c>
      <c r="G414" s="378">
        <v>394.0</v>
      </c>
      <c r="H414" s="379"/>
      <c r="I414" s="380"/>
      <c r="J414" s="380"/>
      <c r="K414" s="380"/>
      <c r="L414" s="381"/>
      <c r="M414" s="382"/>
      <c r="N414" s="383"/>
      <c r="O414" s="383"/>
      <c r="P414" s="384"/>
      <c r="Q414" s="384"/>
      <c r="R414" s="384"/>
      <c r="S414" s="385"/>
      <c r="T414" s="384"/>
      <c r="U414" s="384"/>
      <c r="V414" s="384"/>
      <c r="W414" s="384"/>
      <c r="X414" s="384"/>
      <c r="Y414" s="384"/>
      <c r="Z414" s="386"/>
      <c r="AA414" s="386"/>
      <c r="AB414" s="386"/>
      <c r="AC414" s="386"/>
      <c r="AD414" s="386"/>
      <c r="AE414" s="386"/>
      <c r="AF414" s="386"/>
      <c r="AG414" s="386"/>
      <c r="AH414" s="386"/>
      <c r="AI414" s="23"/>
      <c r="AJ414" s="375"/>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row>
    <row r="415" hidden="1">
      <c r="A415" s="259" t="str">
        <f>VLOOKUP($F415,UpdateHashtag!$V$3:$Y$32,COLUMN(B$15),0)</f>
        <v>#N/A</v>
      </c>
      <c r="B415" s="259" t="str">
        <f>VLOOKUP($F415,UpdateHashtag!$V$3:$Y$32,COLUMN(C$13),0)</f>
        <v>#N/A</v>
      </c>
      <c r="C415" s="259" t="str">
        <f>VLOOKUP($F415,UpdateHashtag!$V$3:$Y$32,COLUMN(D$13),0)</f>
        <v>#N/A</v>
      </c>
      <c r="D415" s="376" t="str">
        <f t="shared" si="4"/>
        <v>#N/A</v>
      </c>
      <c r="E415" s="364"/>
      <c r="F415" s="377" t="str">
        <f>IF(VLOOKUP(J415,PasteHashtag!$C$2:$P1015,3,)="BRO","BKN",IF(VLOOKUP(J415,PasteHashtag!$C$2:$P1015,3,)="OKL","OKC",VLOOKUP(J415,PasteHashtag!$C$2:$P1015,3,)))</f>
        <v>#N/A</v>
      </c>
      <c r="G415" s="378">
        <v>395.0</v>
      </c>
      <c r="H415" s="379"/>
      <c r="I415" s="380"/>
      <c r="J415" s="380"/>
      <c r="K415" s="380"/>
      <c r="L415" s="381"/>
      <c r="M415" s="382"/>
      <c r="N415" s="383"/>
      <c r="O415" s="383"/>
      <c r="P415" s="384"/>
      <c r="Q415" s="384"/>
      <c r="R415" s="384"/>
      <c r="S415" s="385"/>
      <c r="T415" s="384"/>
      <c r="U415" s="384"/>
      <c r="V415" s="384"/>
      <c r="W415" s="384"/>
      <c r="X415" s="384"/>
      <c r="Y415" s="384"/>
      <c r="Z415" s="386"/>
      <c r="AA415" s="386"/>
      <c r="AB415" s="386"/>
      <c r="AC415" s="386"/>
      <c r="AD415" s="386"/>
      <c r="AE415" s="386"/>
      <c r="AF415" s="386"/>
      <c r="AG415" s="386"/>
      <c r="AH415" s="386"/>
      <c r="AI415" s="23"/>
      <c r="AJ415" s="375"/>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row>
    <row r="416" hidden="1">
      <c r="A416" s="259" t="str">
        <f>VLOOKUP($F416,UpdateHashtag!$V$3:$Y$32,COLUMN(B$15),0)</f>
        <v>#N/A</v>
      </c>
      <c r="B416" s="259" t="str">
        <f>VLOOKUP($F416,UpdateHashtag!$V$3:$Y$32,COLUMN(C$13),0)</f>
        <v>#N/A</v>
      </c>
      <c r="C416" s="259" t="str">
        <f>VLOOKUP($F416,UpdateHashtag!$V$3:$Y$32,COLUMN(D$13),0)</f>
        <v>#N/A</v>
      </c>
      <c r="D416" s="376" t="str">
        <f t="shared" si="4"/>
        <v>#N/A</v>
      </c>
      <c r="E416" s="364"/>
      <c r="F416" s="377" t="str">
        <f>IF(VLOOKUP(J416,PasteHashtag!$C$2:$P1015,3,)="BRO","BKN",IF(VLOOKUP(J416,PasteHashtag!$C$2:$P1015,3,)="OKL","OKC",VLOOKUP(J416,PasteHashtag!$C$2:$P1015,3,)))</f>
        <v>#N/A</v>
      </c>
      <c r="G416" s="378">
        <v>396.0</v>
      </c>
      <c r="H416" s="379"/>
      <c r="I416" s="380"/>
      <c r="J416" s="380"/>
      <c r="K416" s="380"/>
      <c r="L416" s="381"/>
      <c r="M416" s="382"/>
      <c r="N416" s="383"/>
      <c r="O416" s="383"/>
      <c r="P416" s="384"/>
      <c r="Q416" s="384"/>
      <c r="R416" s="384"/>
      <c r="S416" s="385"/>
      <c r="T416" s="384"/>
      <c r="U416" s="384"/>
      <c r="V416" s="384"/>
      <c r="W416" s="384"/>
      <c r="X416" s="384"/>
      <c r="Y416" s="384"/>
      <c r="Z416" s="386"/>
      <c r="AA416" s="386"/>
      <c r="AB416" s="386"/>
      <c r="AC416" s="386"/>
      <c r="AD416" s="386"/>
      <c r="AE416" s="386"/>
      <c r="AF416" s="386"/>
      <c r="AG416" s="386"/>
      <c r="AH416" s="386"/>
      <c r="AI416" s="23"/>
      <c r="AJ416" s="375"/>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row>
    <row r="417">
      <c r="A417" s="387"/>
      <c r="B417" s="387"/>
      <c r="C417" s="387"/>
      <c r="D417" s="387"/>
      <c r="E417" s="364"/>
      <c r="F417" s="364"/>
      <c r="G417" s="19"/>
      <c r="H417" s="19"/>
      <c r="I417" s="19"/>
      <c r="J417" s="7"/>
      <c r="K417" s="19"/>
      <c r="L417" s="7"/>
      <c r="M417" s="7"/>
      <c r="N417" s="7"/>
      <c r="O417" s="7"/>
      <c r="P417" s="7"/>
      <c r="Q417" s="7"/>
      <c r="R417" s="7"/>
      <c r="S417" s="7"/>
      <c r="T417" s="7"/>
      <c r="U417" s="7"/>
      <c r="V417" s="388"/>
      <c r="W417" s="388"/>
      <c r="X417" s="388"/>
      <c r="Y417" s="7"/>
      <c r="Z417" s="7"/>
      <c r="AA417" s="7"/>
      <c r="AB417" s="7"/>
      <c r="AC417" s="7"/>
      <c r="AD417" s="7"/>
      <c r="AE417" s="7"/>
      <c r="AF417" s="7"/>
      <c r="AG417" s="7"/>
      <c r="AH417" s="7"/>
      <c r="AI417" s="7"/>
      <c r="AJ417" s="19"/>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row>
    <row r="418">
      <c r="A418" s="387"/>
      <c r="B418" s="387"/>
      <c r="C418" s="387"/>
      <c r="D418" s="387"/>
      <c r="E418" s="364"/>
      <c r="F418" s="364"/>
      <c r="G418" s="19"/>
      <c r="H418" s="19"/>
      <c r="I418" s="19"/>
      <c r="J418" s="7"/>
      <c r="K418" s="19"/>
      <c r="L418" s="7"/>
      <c r="M418" s="7"/>
      <c r="N418" s="7"/>
      <c r="O418" s="7"/>
      <c r="P418" s="7"/>
      <c r="Q418" s="7"/>
      <c r="R418" s="7"/>
      <c r="S418" s="7"/>
      <c r="T418" s="7"/>
      <c r="U418" s="7"/>
      <c r="V418" s="388"/>
      <c r="W418" s="388"/>
      <c r="X418" s="388"/>
      <c r="Y418" s="7"/>
      <c r="Z418" s="7"/>
      <c r="AA418" s="7"/>
      <c r="AB418" s="7"/>
      <c r="AC418" s="7"/>
      <c r="AD418" s="7"/>
      <c r="AE418" s="7"/>
      <c r="AF418" s="7"/>
      <c r="AG418" s="7"/>
      <c r="AH418" s="7"/>
      <c r="AI418" s="7"/>
      <c r="AJ418" s="19"/>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row>
    <row r="419">
      <c r="A419" s="387"/>
      <c r="B419" s="387"/>
      <c r="C419" s="387"/>
      <c r="D419" s="387"/>
      <c r="E419" s="364"/>
      <c r="F419" s="364"/>
      <c r="G419" s="19"/>
      <c r="H419" s="19"/>
      <c r="I419" s="19"/>
      <c r="J419" s="7"/>
      <c r="K419" s="19"/>
      <c r="L419" s="7"/>
      <c r="M419" s="7"/>
      <c r="N419" s="7"/>
      <c r="O419" s="7"/>
      <c r="P419" s="7"/>
      <c r="Q419" s="7"/>
      <c r="R419" s="7"/>
      <c r="S419" s="7"/>
      <c r="T419" s="7"/>
      <c r="U419" s="7"/>
      <c r="V419" s="388"/>
      <c r="W419" s="388"/>
      <c r="X419" s="388"/>
      <c r="Y419" s="7"/>
      <c r="Z419" s="7"/>
      <c r="AA419" s="7"/>
      <c r="AB419" s="7"/>
      <c r="AC419" s="7"/>
      <c r="AD419" s="7"/>
      <c r="AE419" s="7"/>
      <c r="AF419" s="7"/>
      <c r="AG419" s="7"/>
      <c r="AH419" s="7"/>
      <c r="AI419" s="7"/>
      <c r="AJ419" s="19"/>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row>
    <row r="420">
      <c r="A420" s="387"/>
      <c r="B420" s="387"/>
      <c r="C420" s="387"/>
      <c r="D420" s="387"/>
      <c r="E420" s="364"/>
      <c r="F420" s="364"/>
      <c r="G420" s="19"/>
      <c r="H420" s="19"/>
      <c r="I420" s="19"/>
      <c r="J420" s="7"/>
      <c r="K420" s="19"/>
      <c r="L420" s="7"/>
      <c r="M420" s="7"/>
      <c r="N420" s="7"/>
      <c r="O420" s="7"/>
      <c r="P420" s="7"/>
      <c r="Q420" s="7"/>
      <c r="R420" s="7"/>
      <c r="S420" s="7"/>
      <c r="T420" s="7"/>
      <c r="U420" s="7"/>
      <c r="V420" s="388"/>
      <c r="W420" s="388"/>
      <c r="X420" s="388"/>
      <c r="Y420" s="7"/>
      <c r="Z420" s="7"/>
      <c r="AA420" s="7"/>
      <c r="AB420" s="7"/>
      <c r="AC420" s="7"/>
      <c r="AD420" s="7"/>
      <c r="AE420" s="7"/>
      <c r="AF420" s="7"/>
      <c r="AG420" s="7"/>
      <c r="AH420" s="7"/>
      <c r="AI420" s="7"/>
      <c r="AJ420" s="19"/>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row>
    <row r="421">
      <c r="A421" s="387"/>
      <c r="B421" s="387"/>
      <c r="C421" s="387"/>
      <c r="D421" s="387"/>
      <c r="E421" s="364"/>
      <c r="F421" s="364"/>
      <c r="G421" s="19"/>
      <c r="H421" s="19"/>
      <c r="I421" s="19"/>
      <c r="J421" s="7"/>
      <c r="K421" s="19"/>
      <c r="L421" s="7"/>
      <c r="M421" s="7"/>
      <c r="N421" s="7"/>
      <c r="O421" s="7"/>
      <c r="P421" s="7"/>
      <c r="Q421" s="7"/>
      <c r="R421" s="7"/>
      <c r="S421" s="7"/>
      <c r="T421" s="7"/>
      <c r="U421" s="7"/>
      <c r="V421" s="388"/>
      <c r="W421" s="388"/>
      <c r="X421" s="388"/>
      <c r="Y421" s="7"/>
      <c r="Z421" s="7"/>
      <c r="AA421" s="7"/>
      <c r="AB421" s="7"/>
      <c r="AC421" s="7"/>
      <c r="AD421" s="7"/>
      <c r="AE421" s="7"/>
      <c r="AF421" s="7"/>
      <c r="AG421" s="7"/>
      <c r="AH421" s="7"/>
      <c r="AI421" s="7"/>
      <c r="AJ421" s="19"/>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row>
    <row r="422">
      <c r="A422" s="387"/>
      <c r="B422" s="387"/>
      <c r="C422" s="387"/>
      <c r="D422" s="387"/>
      <c r="E422" s="364"/>
      <c r="F422" s="364"/>
      <c r="G422" s="19"/>
      <c r="H422" s="19"/>
      <c r="I422" s="19"/>
      <c r="J422" s="7"/>
      <c r="K422" s="19"/>
      <c r="L422" s="7"/>
      <c r="M422" s="7"/>
      <c r="N422" s="7"/>
      <c r="O422" s="7"/>
      <c r="P422" s="7"/>
      <c r="Q422" s="7"/>
      <c r="R422" s="7"/>
      <c r="S422" s="7"/>
      <c r="T422" s="7"/>
      <c r="U422" s="7"/>
      <c r="V422" s="388"/>
      <c r="W422" s="388"/>
      <c r="X422" s="388"/>
      <c r="Y422" s="7"/>
      <c r="Z422" s="7"/>
      <c r="AA422" s="7"/>
      <c r="AB422" s="7"/>
      <c r="AC422" s="7"/>
      <c r="AD422" s="7"/>
      <c r="AE422" s="7"/>
      <c r="AF422" s="7"/>
      <c r="AG422" s="7"/>
      <c r="AH422" s="7"/>
      <c r="AI422" s="7"/>
      <c r="AJ422" s="19"/>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row>
    <row r="423">
      <c r="A423" s="387"/>
      <c r="B423" s="387"/>
      <c r="C423" s="387"/>
      <c r="D423" s="387"/>
      <c r="E423" s="364"/>
      <c r="F423" s="364"/>
      <c r="G423" s="19"/>
      <c r="H423" s="19"/>
      <c r="I423" s="19"/>
      <c r="J423" s="7"/>
      <c r="K423" s="19"/>
      <c r="L423" s="7"/>
      <c r="M423" s="7"/>
      <c r="N423" s="7"/>
      <c r="O423" s="7"/>
      <c r="P423" s="7"/>
      <c r="Q423" s="7"/>
      <c r="R423" s="7"/>
      <c r="S423" s="7"/>
      <c r="T423" s="7"/>
      <c r="U423" s="7"/>
      <c r="V423" s="388"/>
      <c r="W423" s="388"/>
      <c r="X423" s="388"/>
      <c r="Y423" s="7"/>
      <c r="Z423" s="7"/>
      <c r="AA423" s="7"/>
      <c r="AB423" s="7"/>
      <c r="AC423" s="7"/>
      <c r="AD423" s="7"/>
      <c r="AE423" s="7"/>
      <c r="AF423" s="7"/>
      <c r="AG423" s="7"/>
      <c r="AH423" s="7"/>
      <c r="AI423" s="7"/>
      <c r="AJ423" s="19"/>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row>
    <row r="424">
      <c r="A424" s="387"/>
      <c r="B424" s="387"/>
      <c r="C424" s="387"/>
      <c r="D424" s="387"/>
      <c r="E424" s="364"/>
      <c r="F424" s="364"/>
      <c r="G424" s="19"/>
      <c r="H424" s="19"/>
      <c r="I424" s="19"/>
      <c r="J424" s="7"/>
      <c r="K424" s="19"/>
      <c r="L424" s="7"/>
      <c r="M424" s="7"/>
      <c r="N424" s="7"/>
      <c r="O424" s="7"/>
      <c r="P424" s="7"/>
      <c r="Q424" s="7"/>
      <c r="R424" s="7"/>
      <c r="S424" s="7"/>
      <c r="T424" s="7"/>
      <c r="U424" s="7"/>
      <c r="V424" s="388"/>
      <c r="W424" s="388"/>
      <c r="X424" s="388"/>
      <c r="Y424" s="7"/>
      <c r="Z424" s="7"/>
      <c r="AA424" s="7"/>
      <c r="AB424" s="7"/>
      <c r="AC424" s="7"/>
      <c r="AD424" s="7"/>
      <c r="AE424" s="7"/>
      <c r="AF424" s="7"/>
      <c r="AG424" s="7"/>
      <c r="AH424" s="7"/>
      <c r="AI424" s="7"/>
      <c r="AJ424" s="19"/>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row>
    <row r="425">
      <c r="A425" s="387"/>
      <c r="B425" s="387"/>
      <c r="C425" s="387"/>
      <c r="D425" s="387"/>
      <c r="E425" s="364"/>
      <c r="F425" s="364"/>
      <c r="G425" s="19"/>
      <c r="H425" s="19"/>
      <c r="I425" s="19"/>
      <c r="J425" s="7"/>
      <c r="K425" s="19"/>
      <c r="L425" s="7"/>
      <c r="M425" s="7"/>
      <c r="N425" s="7"/>
      <c r="O425" s="7"/>
      <c r="P425" s="7"/>
      <c r="Q425" s="7"/>
      <c r="R425" s="7"/>
      <c r="S425" s="7"/>
      <c r="T425" s="7"/>
      <c r="U425" s="7"/>
      <c r="V425" s="388"/>
      <c r="W425" s="388"/>
      <c r="X425" s="388"/>
      <c r="Y425" s="7"/>
      <c r="Z425" s="7"/>
      <c r="AA425" s="7"/>
      <c r="AB425" s="7"/>
      <c r="AC425" s="7"/>
      <c r="AD425" s="7"/>
      <c r="AE425" s="7"/>
      <c r="AF425" s="7"/>
      <c r="AG425" s="7"/>
      <c r="AH425" s="7"/>
      <c r="AI425" s="7"/>
      <c r="AJ425" s="19"/>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row>
    <row r="426">
      <c r="A426" s="387"/>
      <c r="B426" s="387"/>
      <c r="C426" s="387"/>
      <c r="D426" s="387"/>
      <c r="E426" s="364"/>
      <c r="F426" s="364"/>
      <c r="G426" s="19"/>
      <c r="H426" s="19"/>
      <c r="I426" s="19"/>
      <c r="J426" s="7"/>
      <c r="K426" s="19"/>
      <c r="L426" s="7"/>
      <c r="M426" s="7"/>
      <c r="N426" s="7"/>
      <c r="O426" s="7"/>
      <c r="P426" s="7"/>
      <c r="Q426" s="7"/>
      <c r="R426" s="7"/>
      <c r="S426" s="7"/>
      <c r="T426" s="7"/>
      <c r="U426" s="7"/>
      <c r="V426" s="388"/>
      <c r="W426" s="388"/>
      <c r="X426" s="388"/>
      <c r="Y426" s="7"/>
      <c r="Z426" s="7"/>
      <c r="AA426" s="7"/>
      <c r="AB426" s="7"/>
      <c r="AC426" s="7"/>
      <c r="AD426" s="7"/>
      <c r="AE426" s="7"/>
      <c r="AF426" s="7"/>
      <c r="AG426" s="7"/>
      <c r="AH426" s="7"/>
      <c r="AI426" s="7"/>
      <c r="AJ426" s="19"/>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row>
    <row r="427">
      <c r="A427" s="387"/>
      <c r="B427" s="387"/>
      <c r="C427" s="387"/>
      <c r="D427" s="387"/>
      <c r="E427" s="364"/>
      <c r="F427" s="364"/>
      <c r="G427" s="19"/>
      <c r="H427" s="19"/>
      <c r="I427" s="19"/>
      <c r="J427" s="7"/>
      <c r="K427" s="19"/>
      <c r="L427" s="7"/>
      <c r="M427" s="7"/>
      <c r="N427" s="7"/>
      <c r="O427" s="7"/>
      <c r="P427" s="7"/>
      <c r="Q427" s="7"/>
      <c r="R427" s="7"/>
      <c r="S427" s="7"/>
      <c r="T427" s="7"/>
      <c r="U427" s="7"/>
      <c r="V427" s="388"/>
      <c r="W427" s="388"/>
      <c r="X427" s="388"/>
      <c r="Y427" s="7"/>
      <c r="Z427" s="7"/>
      <c r="AA427" s="7"/>
      <c r="AB427" s="7"/>
      <c r="AC427" s="7"/>
      <c r="AD427" s="7"/>
      <c r="AE427" s="7"/>
      <c r="AF427" s="7"/>
      <c r="AG427" s="7"/>
      <c r="AH427" s="7"/>
      <c r="AI427" s="7"/>
      <c r="AJ427" s="19"/>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row>
    <row r="428">
      <c r="A428" s="387"/>
      <c r="B428" s="387"/>
      <c r="C428" s="387"/>
      <c r="D428" s="387"/>
      <c r="E428" s="364"/>
      <c r="F428" s="364"/>
      <c r="G428" s="19"/>
      <c r="H428" s="19"/>
      <c r="I428" s="19"/>
      <c r="J428" s="7"/>
      <c r="K428" s="19"/>
      <c r="L428" s="7"/>
      <c r="M428" s="7"/>
      <c r="N428" s="7"/>
      <c r="O428" s="7"/>
      <c r="P428" s="7"/>
      <c r="Q428" s="7"/>
      <c r="R428" s="7"/>
      <c r="S428" s="7"/>
      <c r="T428" s="7"/>
      <c r="U428" s="7"/>
      <c r="V428" s="388"/>
      <c r="W428" s="388"/>
      <c r="X428" s="388"/>
      <c r="Y428" s="7"/>
      <c r="Z428" s="7"/>
      <c r="AA428" s="7"/>
      <c r="AB428" s="7"/>
      <c r="AC428" s="7"/>
      <c r="AD428" s="7"/>
      <c r="AE428" s="7"/>
      <c r="AF428" s="7"/>
      <c r="AG428" s="7"/>
      <c r="AH428" s="7"/>
      <c r="AI428" s="7"/>
      <c r="AJ428" s="19"/>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row>
    <row r="429">
      <c r="A429" s="387"/>
      <c r="B429" s="387"/>
      <c r="C429" s="387"/>
      <c r="D429" s="387"/>
      <c r="E429" s="364"/>
      <c r="F429" s="364"/>
      <c r="G429" s="19"/>
      <c r="H429" s="19"/>
      <c r="I429" s="19"/>
      <c r="J429" s="7"/>
      <c r="K429" s="19"/>
      <c r="L429" s="7"/>
      <c r="M429" s="7"/>
      <c r="N429" s="7"/>
      <c r="O429" s="7"/>
      <c r="P429" s="7"/>
      <c r="Q429" s="7"/>
      <c r="R429" s="7"/>
      <c r="S429" s="7"/>
      <c r="T429" s="7"/>
      <c r="U429" s="7"/>
      <c r="V429" s="388"/>
      <c r="W429" s="388"/>
      <c r="X429" s="388"/>
      <c r="Y429" s="7"/>
      <c r="Z429" s="7"/>
      <c r="AA429" s="7"/>
      <c r="AB429" s="7"/>
      <c r="AC429" s="7"/>
      <c r="AD429" s="7"/>
      <c r="AE429" s="7"/>
      <c r="AF429" s="7"/>
      <c r="AG429" s="7"/>
      <c r="AH429" s="7"/>
      <c r="AI429" s="7"/>
      <c r="AJ429" s="19"/>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row>
    <row r="430">
      <c r="A430" s="387"/>
      <c r="B430" s="387"/>
      <c r="C430" s="387"/>
      <c r="D430" s="387"/>
      <c r="E430" s="364"/>
      <c r="F430" s="364"/>
      <c r="G430" s="19"/>
      <c r="H430" s="19"/>
      <c r="I430" s="19"/>
      <c r="J430" s="7"/>
      <c r="K430" s="19"/>
      <c r="L430" s="7"/>
      <c r="M430" s="7"/>
      <c r="N430" s="7"/>
      <c r="O430" s="7"/>
      <c r="P430" s="7"/>
      <c r="Q430" s="7"/>
      <c r="R430" s="7"/>
      <c r="S430" s="7"/>
      <c r="T430" s="7"/>
      <c r="U430" s="7"/>
      <c r="V430" s="388"/>
      <c r="W430" s="388"/>
      <c r="X430" s="388"/>
      <c r="Y430" s="7"/>
      <c r="Z430" s="7"/>
      <c r="AA430" s="7"/>
      <c r="AB430" s="7"/>
      <c r="AC430" s="7"/>
      <c r="AD430" s="7"/>
      <c r="AE430" s="7"/>
      <c r="AF430" s="7"/>
      <c r="AG430" s="7"/>
      <c r="AH430" s="7"/>
      <c r="AI430" s="7"/>
      <c r="AJ430" s="19"/>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row>
    <row r="431">
      <c r="A431" s="387"/>
      <c r="B431" s="387"/>
      <c r="C431" s="387"/>
      <c r="D431" s="387"/>
      <c r="E431" s="364"/>
      <c r="F431" s="364"/>
      <c r="G431" s="19"/>
      <c r="H431" s="19"/>
      <c r="I431" s="19"/>
      <c r="J431" s="7"/>
      <c r="K431" s="19"/>
      <c r="L431" s="7"/>
      <c r="M431" s="7"/>
      <c r="N431" s="7"/>
      <c r="O431" s="7"/>
      <c r="P431" s="7"/>
      <c r="Q431" s="7"/>
      <c r="R431" s="7"/>
      <c r="S431" s="7"/>
      <c r="T431" s="7"/>
      <c r="U431" s="7"/>
      <c r="V431" s="388"/>
      <c r="W431" s="388"/>
      <c r="X431" s="388"/>
      <c r="Y431" s="7"/>
      <c r="Z431" s="7"/>
      <c r="AA431" s="7"/>
      <c r="AB431" s="7"/>
      <c r="AC431" s="7"/>
      <c r="AD431" s="7"/>
      <c r="AE431" s="7"/>
      <c r="AF431" s="7"/>
      <c r="AG431" s="7"/>
      <c r="AH431" s="7"/>
      <c r="AI431" s="7"/>
      <c r="AJ431" s="19"/>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row>
    <row r="432">
      <c r="A432" s="387"/>
      <c r="B432" s="387"/>
      <c r="C432" s="387"/>
      <c r="D432" s="387"/>
      <c r="E432" s="364"/>
      <c r="F432" s="364"/>
      <c r="G432" s="19"/>
      <c r="H432" s="19"/>
      <c r="I432" s="19"/>
      <c r="J432" s="7"/>
      <c r="K432" s="19"/>
      <c r="L432" s="7"/>
      <c r="M432" s="7"/>
      <c r="N432" s="7"/>
      <c r="O432" s="7"/>
      <c r="P432" s="7"/>
      <c r="Q432" s="7"/>
      <c r="R432" s="7"/>
      <c r="S432" s="7"/>
      <c r="T432" s="7"/>
      <c r="U432" s="7"/>
      <c r="V432" s="388"/>
      <c r="W432" s="388"/>
      <c r="X432" s="388"/>
      <c r="Y432" s="7"/>
      <c r="Z432" s="7"/>
      <c r="AA432" s="7"/>
      <c r="AB432" s="7"/>
      <c r="AC432" s="7"/>
      <c r="AD432" s="7"/>
      <c r="AE432" s="7"/>
      <c r="AF432" s="7"/>
      <c r="AG432" s="7"/>
      <c r="AH432" s="7"/>
      <c r="AI432" s="7"/>
      <c r="AJ432" s="19"/>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row>
    <row r="433">
      <c r="A433" s="387"/>
      <c r="B433" s="387"/>
      <c r="C433" s="387"/>
      <c r="D433" s="387"/>
      <c r="E433" s="364"/>
      <c r="F433" s="364"/>
      <c r="G433" s="19"/>
      <c r="H433" s="19"/>
      <c r="I433" s="19"/>
      <c r="J433" s="7"/>
      <c r="K433" s="19"/>
      <c r="L433" s="7"/>
      <c r="M433" s="7"/>
      <c r="N433" s="7"/>
      <c r="O433" s="7"/>
      <c r="P433" s="7"/>
      <c r="Q433" s="7"/>
      <c r="R433" s="7"/>
      <c r="S433" s="7"/>
      <c r="T433" s="7"/>
      <c r="U433" s="7"/>
      <c r="V433" s="388"/>
      <c r="W433" s="388"/>
      <c r="X433" s="388"/>
      <c r="Y433" s="7"/>
      <c r="Z433" s="7"/>
      <c r="AA433" s="7"/>
      <c r="AB433" s="7"/>
      <c r="AC433" s="7"/>
      <c r="AD433" s="7"/>
      <c r="AE433" s="7"/>
      <c r="AF433" s="7"/>
      <c r="AG433" s="7"/>
      <c r="AH433" s="7"/>
      <c r="AI433" s="7"/>
      <c r="AJ433" s="19"/>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row>
    <row r="434">
      <c r="A434" s="387"/>
      <c r="B434" s="387"/>
      <c r="C434" s="387"/>
      <c r="D434" s="387"/>
      <c r="E434" s="364"/>
      <c r="F434" s="364"/>
      <c r="G434" s="19"/>
      <c r="H434" s="19"/>
      <c r="I434" s="19"/>
      <c r="J434" s="7"/>
      <c r="K434" s="19"/>
      <c r="L434" s="7"/>
      <c r="M434" s="7"/>
      <c r="N434" s="7"/>
      <c r="O434" s="7"/>
      <c r="P434" s="7"/>
      <c r="Q434" s="7"/>
      <c r="R434" s="7"/>
      <c r="S434" s="7"/>
      <c r="T434" s="7"/>
      <c r="U434" s="7"/>
      <c r="V434" s="388"/>
      <c r="W434" s="388"/>
      <c r="X434" s="388"/>
      <c r="Y434" s="7"/>
      <c r="Z434" s="7"/>
      <c r="AA434" s="7"/>
      <c r="AB434" s="7"/>
      <c r="AC434" s="7"/>
      <c r="AD434" s="7"/>
      <c r="AE434" s="7"/>
      <c r="AF434" s="7"/>
      <c r="AG434" s="7"/>
      <c r="AH434" s="7"/>
      <c r="AI434" s="7"/>
      <c r="AJ434" s="19"/>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row>
    <row r="435">
      <c r="A435" s="387"/>
      <c r="B435" s="387"/>
      <c r="C435" s="387"/>
      <c r="D435" s="387"/>
      <c r="E435" s="364"/>
      <c r="F435" s="364"/>
      <c r="G435" s="19"/>
      <c r="H435" s="19"/>
      <c r="I435" s="19"/>
      <c r="J435" s="7"/>
      <c r="K435" s="19"/>
      <c r="L435" s="7"/>
      <c r="M435" s="7"/>
      <c r="N435" s="7"/>
      <c r="O435" s="7"/>
      <c r="P435" s="7"/>
      <c r="Q435" s="7"/>
      <c r="R435" s="7"/>
      <c r="S435" s="7"/>
      <c r="T435" s="7"/>
      <c r="U435" s="7"/>
      <c r="V435" s="388"/>
      <c r="W435" s="388"/>
      <c r="X435" s="388"/>
      <c r="Y435" s="7"/>
      <c r="Z435" s="7"/>
      <c r="AA435" s="7"/>
      <c r="AB435" s="7"/>
      <c r="AC435" s="7"/>
      <c r="AD435" s="7"/>
      <c r="AE435" s="7"/>
      <c r="AF435" s="7"/>
      <c r="AG435" s="7"/>
      <c r="AH435" s="7"/>
      <c r="AI435" s="7"/>
      <c r="AJ435" s="19"/>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row>
    <row r="436">
      <c r="A436" s="7"/>
      <c r="B436" s="7"/>
      <c r="C436" s="7"/>
      <c r="D436" s="7"/>
      <c r="E436" s="19"/>
      <c r="F436" s="19"/>
      <c r="G436" s="19"/>
      <c r="H436" s="19"/>
      <c r="I436" s="19"/>
      <c r="J436" s="7"/>
      <c r="K436" s="19"/>
      <c r="L436" s="7"/>
      <c r="M436" s="7"/>
      <c r="N436" s="7"/>
      <c r="O436" s="7"/>
      <c r="P436" s="7"/>
      <c r="Q436" s="7"/>
      <c r="R436" s="7"/>
      <c r="S436" s="7"/>
      <c r="T436" s="7"/>
      <c r="U436" s="7"/>
      <c r="V436" s="388"/>
      <c r="W436" s="388"/>
      <c r="X436" s="388"/>
      <c r="Y436" s="7"/>
      <c r="Z436" s="7"/>
      <c r="AA436" s="7"/>
      <c r="AB436" s="7"/>
      <c r="AC436" s="7"/>
      <c r="AD436" s="7"/>
      <c r="AE436" s="7"/>
      <c r="AF436" s="7"/>
      <c r="AG436" s="7"/>
      <c r="AH436" s="7"/>
      <c r="AI436" s="7"/>
      <c r="AJ436" s="19"/>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row>
    <row r="437">
      <c r="A437" s="7"/>
      <c r="B437" s="7"/>
      <c r="C437" s="7"/>
      <c r="D437" s="7"/>
      <c r="E437" s="19"/>
      <c r="F437" s="19"/>
      <c r="G437" s="19"/>
      <c r="H437" s="19"/>
      <c r="I437" s="19"/>
      <c r="J437" s="7"/>
      <c r="K437" s="19"/>
      <c r="L437" s="7"/>
      <c r="M437" s="7"/>
      <c r="N437" s="7"/>
      <c r="O437" s="7"/>
      <c r="P437" s="7"/>
      <c r="Q437" s="7"/>
      <c r="R437" s="7"/>
      <c r="S437" s="7"/>
      <c r="T437" s="7"/>
      <c r="U437" s="7"/>
      <c r="V437" s="388"/>
      <c r="W437" s="388"/>
      <c r="X437" s="388"/>
      <c r="Y437" s="7"/>
      <c r="Z437" s="7"/>
      <c r="AA437" s="7"/>
      <c r="AB437" s="7"/>
      <c r="AC437" s="7"/>
      <c r="AD437" s="7"/>
      <c r="AE437" s="7"/>
      <c r="AF437" s="7"/>
      <c r="AG437" s="7"/>
      <c r="AH437" s="7"/>
      <c r="AI437" s="7"/>
      <c r="AJ437" s="19"/>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row>
    <row r="438">
      <c r="A438" s="7"/>
      <c r="B438" s="7"/>
      <c r="C438" s="7"/>
      <c r="D438" s="7"/>
      <c r="E438" s="19"/>
      <c r="F438" s="19"/>
      <c r="G438" s="19"/>
      <c r="H438" s="19"/>
      <c r="I438" s="19"/>
      <c r="J438" s="7"/>
      <c r="K438" s="19"/>
      <c r="L438" s="7"/>
      <c r="M438" s="7"/>
      <c r="N438" s="7"/>
      <c r="O438" s="7"/>
      <c r="P438" s="7"/>
      <c r="Q438" s="7"/>
      <c r="R438" s="7"/>
      <c r="S438" s="7"/>
      <c r="T438" s="7"/>
      <c r="U438" s="7"/>
      <c r="V438" s="388"/>
      <c r="W438" s="388"/>
      <c r="X438" s="388"/>
      <c r="Y438" s="7"/>
      <c r="Z438" s="7"/>
      <c r="AA438" s="7"/>
      <c r="AB438" s="7"/>
      <c r="AC438" s="7"/>
      <c r="AD438" s="7"/>
      <c r="AE438" s="7"/>
      <c r="AF438" s="7"/>
      <c r="AG438" s="7"/>
      <c r="AH438" s="7"/>
      <c r="AI438" s="7"/>
      <c r="AJ438" s="19"/>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row>
    <row r="439">
      <c r="A439" s="7"/>
      <c r="B439" s="7"/>
      <c r="C439" s="7"/>
      <c r="D439" s="7"/>
      <c r="E439" s="19"/>
      <c r="F439" s="19"/>
      <c r="G439" s="19"/>
      <c r="H439" s="19"/>
      <c r="I439" s="19"/>
      <c r="J439" s="7"/>
      <c r="K439" s="19"/>
      <c r="L439" s="7"/>
      <c r="M439" s="7"/>
      <c r="N439" s="7"/>
      <c r="O439" s="7"/>
      <c r="P439" s="7"/>
      <c r="Q439" s="7"/>
      <c r="R439" s="7"/>
      <c r="S439" s="7"/>
      <c r="T439" s="7"/>
      <c r="U439" s="7"/>
      <c r="V439" s="388"/>
      <c r="W439" s="388"/>
      <c r="X439" s="388"/>
      <c r="Y439" s="7"/>
      <c r="Z439" s="7"/>
      <c r="AA439" s="7"/>
      <c r="AB439" s="7"/>
      <c r="AC439" s="7"/>
      <c r="AD439" s="7"/>
      <c r="AE439" s="7"/>
      <c r="AF439" s="7"/>
      <c r="AG439" s="7"/>
      <c r="AH439" s="7"/>
      <c r="AI439" s="7"/>
      <c r="AJ439" s="19"/>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row>
    <row r="440">
      <c r="A440" s="7"/>
      <c r="B440" s="7"/>
      <c r="C440" s="7"/>
      <c r="D440" s="7"/>
      <c r="E440" s="19"/>
      <c r="F440" s="19"/>
      <c r="G440" s="19"/>
      <c r="H440" s="19"/>
      <c r="I440" s="19"/>
      <c r="J440" s="7"/>
      <c r="K440" s="19"/>
      <c r="L440" s="7"/>
      <c r="M440" s="7"/>
      <c r="N440" s="7"/>
      <c r="O440" s="7"/>
      <c r="P440" s="7"/>
      <c r="Q440" s="7"/>
      <c r="R440" s="7"/>
      <c r="S440" s="7"/>
      <c r="T440" s="7"/>
      <c r="U440" s="7"/>
      <c r="V440" s="388"/>
      <c r="W440" s="388"/>
      <c r="X440" s="388"/>
      <c r="Y440" s="7"/>
      <c r="Z440" s="7"/>
      <c r="AA440" s="7"/>
      <c r="AB440" s="7"/>
      <c r="AC440" s="7"/>
      <c r="AD440" s="7"/>
      <c r="AE440" s="7"/>
      <c r="AF440" s="7"/>
      <c r="AG440" s="7"/>
      <c r="AH440" s="7"/>
      <c r="AI440" s="7"/>
      <c r="AJ440" s="19"/>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row>
    <row r="441">
      <c r="A441" s="7"/>
      <c r="B441" s="7"/>
      <c r="C441" s="7"/>
      <c r="D441" s="7"/>
      <c r="E441" s="19"/>
      <c r="F441" s="19"/>
      <c r="G441" s="19"/>
      <c r="H441" s="19"/>
      <c r="I441" s="19"/>
      <c r="J441" s="7"/>
      <c r="K441" s="19"/>
      <c r="L441" s="7"/>
      <c r="M441" s="7"/>
      <c r="N441" s="7"/>
      <c r="O441" s="7"/>
      <c r="P441" s="7"/>
      <c r="Q441" s="7"/>
      <c r="R441" s="7"/>
      <c r="S441" s="7"/>
      <c r="T441" s="7"/>
      <c r="U441" s="7"/>
      <c r="V441" s="388"/>
      <c r="W441" s="388"/>
      <c r="X441" s="388"/>
      <c r="Y441" s="7"/>
      <c r="Z441" s="7"/>
      <c r="AA441" s="7"/>
      <c r="AB441" s="7"/>
      <c r="AC441" s="7"/>
      <c r="AD441" s="7"/>
      <c r="AE441" s="7"/>
      <c r="AF441" s="7"/>
      <c r="AG441" s="7"/>
      <c r="AH441" s="7"/>
      <c r="AI441" s="7"/>
      <c r="AJ441" s="19"/>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row>
    <row r="442">
      <c r="A442" s="7"/>
      <c r="B442" s="7"/>
      <c r="C442" s="7"/>
      <c r="D442" s="7"/>
      <c r="E442" s="19"/>
      <c r="F442" s="19"/>
      <c r="G442" s="19"/>
      <c r="H442" s="19"/>
      <c r="I442" s="19"/>
      <c r="J442" s="7"/>
      <c r="K442" s="19"/>
      <c r="L442" s="7"/>
      <c r="M442" s="7"/>
      <c r="N442" s="7"/>
      <c r="O442" s="7"/>
      <c r="P442" s="7"/>
      <c r="Q442" s="7"/>
      <c r="R442" s="7"/>
      <c r="S442" s="7"/>
      <c r="T442" s="7"/>
      <c r="U442" s="7"/>
      <c r="V442" s="388"/>
      <c r="W442" s="388"/>
      <c r="X442" s="388"/>
      <c r="Y442" s="7"/>
      <c r="Z442" s="7"/>
      <c r="AA442" s="7"/>
      <c r="AB442" s="7"/>
      <c r="AC442" s="7"/>
      <c r="AD442" s="7"/>
      <c r="AE442" s="7"/>
      <c r="AF442" s="7"/>
      <c r="AG442" s="7"/>
      <c r="AH442" s="7"/>
      <c r="AI442" s="7"/>
      <c r="AJ442" s="19"/>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row>
    <row r="443">
      <c r="A443" s="7"/>
      <c r="B443" s="7"/>
      <c r="C443" s="7"/>
      <c r="D443" s="7"/>
      <c r="E443" s="19"/>
      <c r="F443" s="19"/>
      <c r="G443" s="19"/>
      <c r="H443" s="19"/>
      <c r="I443" s="19"/>
      <c r="J443" s="7"/>
      <c r="K443" s="19"/>
      <c r="L443" s="7"/>
      <c r="M443" s="7"/>
      <c r="N443" s="7"/>
      <c r="O443" s="7"/>
      <c r="P443" s="7"/>
      <c r="Q443" s="7"/>
      <c r="R443" s="7"/>
      <c r="S443" s="7"/>
      <c r="T443" s="7"/>
      <c r="U443" s="7"/>
      <c r="V443" s="388"/>
      <c r="W443" s="388"/>
      <c r="X443" s="388"/>
      <c r="Y443" s="7"/>
      <c r="Z443" s="7"/>
      <c r="AA443" s="7"/>
      <c r="AB443" s="7"/>
      <c r="AC443" s="7"/>
      <c r="AD443" s="7"/>
      <c r="AE443" s="7"/>
      <c r="AF443" s="7"/>
      <c r="AG443" s="7"/>
      <c r="AH443" s="7"/>
      <c r="AI443" s="7"/>
      <c r="AJ443" s="19"/>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row>
    <row r="444">
      <c r="A444" s="7"/>
      <c r="B444" s="7"/>
      <c r="C444" s="7"/>
      <c r="D444" s="7"/>
      <c r="E444" s="19"/>
      <c r="F444" s="19"/>
      <c r="G444" s="19"/>
      <c r="H444" s="19"/>
      <c r="I444" s="19"/>
      <c r="J444" s="7"/>
      <c r="K444" s="19"/>
      <c r="L444" s="7"/>
      <c r="M444" s="7"/>
      <c r="N444" s="7"/>
      <c r="O444" s="7"/>
      <c r="P444" s="7"/>
      <c r="Q444" s="7"/>
      <c r="R444" s="7"/>
      <c r="S444" s="7"/>
      <c r="T444" s="7"/>
      <c r="U444" s="7"/>
      <c r="V444" s="388"/>
      <c r="W444" s="388"/>
      <c r="X444" s="388"/>
      <c r="Y444" s="7"/>
      <c r="Z444" s="7"/>
      <c r="AA444" s="7"/>
      <c r="AB444" s="7"/>
      <c r="AC444" s="7"/>
      <c r="AD444" s="7"/>
      <c r="AE444" s="7"/>
      <c r="AF444" s="7"/>
      <c r="AG444" s="7"/>
      <c r="AH444" s="7"/>
      <c r="AI444" s="7"/>
      <c r="AJ444" s="19"/>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row>
    <row r="445">
      <c r="A445" s="7"/>
      <c r="B445" s="7"/>
      <c r="C445" s="7"/>
      <c r="D445" s="7"/>
      <c r="E445" s="19"/>
      <c r="F445" s="19"/>
      <c r="G445" s="19"/>
      <c r="H445" s="19"/>
      <c r="I445" s="19"/>
      <c r="J445" s="7"/>
      <c r="K445" s="19"/>
      <c r="L445" s="7"/>
      <c r="M445" s="7"/>
      <c r="N445" s="7"/>
      <c r="O445" s="7"/>
      <c r="P445" s="7"/>
      <c r="Q445" s="7"/>
      <c r="R445" s="7"/>
      <c r="S445" s="7"/>
      <c r="T445" s="7"/>
      <c r="U445" s="7"/>
      <c r="V445" s="388"/>
      <c r="W445" s="388"/>
      <c r="X445" s="388"/>
      <c r="Y445" s="7"/>
      <c r="Z445" s="7"/>
      <c r="AA445" s="7"/>
      <c r="AB445" s="7"/>
      <c r="AC445" s="7"/>
      <c r="AD445" s="7"/>
      <c r="AE445" s="7"/>
      <c r="AF445" s="7"/>
      <c r="AG445" s="7"/>
      <c r="AH445" s="7"/>
      <c r="AI445" s="7"/>
      <c r="AJ445" s="19"/>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row>
    <row r="446">
      <c r="A446" s="7"/>
      <c r="B446" s="7"/>
      <c r="C446" s="7"/>
      <c r="D446" s="7"/>
      <c r="E446" s="19"/>
      <c r="F446" s="19"/>
      <c r="G446" s="19"/>
      <c r="H446" s="19"/>
      <c r="I446" s="19"/>
      <c r="J446" s="7"/>
      <c r="K446" s="19"/>
      <c r="L446" s="7"/>
      <c r="M446" s="7"/>
      <c r="N446" s="7"/>
      <c r="O446" s="7"/>
      <c r="P446" s="7"/>
      <c r="Q446" s="7"/>
      <c r="R446" s="7"/>
      <c r="S446" s="7"/>
      <c r="T446" s="7"/>
      <c r="U446" s="7"/>
      <c r="V446" s="388"/>
      <c r="W446" s="388"/>
      <c r="X446" s="388"/>
      <c r="Y446" s="7"/>
      <c r="Z446" s="7"/>
      <c r="AA446" s="7"/>
      <c r="AB446" s="7"/>
      <c r="AC446" s="7"/>
      <c r="AD446" s="7"/>
      <c r="AE446" s="7"/>
      <c r="AF446" s="7"/>
      <c r="AG446" s="7"/>
      <c r="AH446" s="7"/>
      <c r="AI446" s="7"/>
      <c r="AJ446" s="19"/>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row>
    <row r="447">
      <c r="A447" s="7"/>
      <c r="B447" s="7"/>
      <c r="C447" s="7"/>
      <c r="D447" s="7"/>
      <c r="E447" s="19"/>
      <c r="F447" s="19"/>
      <c r="G447" s="19"/>
      <c r="H447" s="19"/>
      <c r="I447" s="19"/>
      <c r="J447" s="7"/>
      <c r="K447" s="19"/>
      <c r="L447" s="7"/>
      <c r="M447" s="7"/>
      <c r="N447" s="7"/>
      <c r="O447" s="7"/>
      <c r="P447" s="7"/>
      <c r="Q447" s="7"/>
      <c r="R447" s="7"/>
      <c r="S447" s="7"/>
      <c r="T447" s="7"/>
      <c r="U447" s="7"/>
      <c r="V447" s="388"/>
      <c r="W447" s="388"/>
      <c r="X447" s="388"/>
      <c r="Y447" s="7"/>
      <c r="Z447" s="7"/>
      <c r="AA447" s="7"/>
      <c r="AB447" s="7"/>
      <c r="AC447" s="7"/>
      <c r="AD447" s="7"/>
      <c r="AE447" s="7"/>
      <c r="AF447" s="7"/>
      <c r="AG447" s="7"/>
      <c r="AH447" s="7"/>
      <c r="AI447" s="7"/>
      <c r="AJ447" s="19"/>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row>
    <row r="448">
      <c r="A448" s="7"/>
      <c r="B448" s="7"/>
      <c r="C448" s="7"/>
      <c r="D448" s="7"/>
      <c r="E448" s="19"/>
      <c r="F448" s="19"/>
      <c r="G448" s="19"/>
      <c r="H448" s="19"/>
      <c r="I448" s="19"/>
      <c r="J448" s="7"/>
      <c r="K448" s="19"/>
      <c r="L448" s="7"/>
      <c r="M448" s="7"/>
      <c r="N448" s="7"/>
      <c r="O448" s="7"/>
      <c r="P448" s="7"/>
      <c r="Q448" s="7"/>
      <c r="R448" s="7"/>
      <c r="S448" s="7"/>
      <c r="T448" s="7"/>
      <c r="U448" s="7"/>
      <c r="V448" s="388"/>
      <c r="W448" s="388"/>
      <c r="X448" s="388"/>
      <c r="Y448" s="7"/>
      <c r="Z448" s="7"/>
      <c r="AA448" s="7"/>
      <c r="AB448" s="7"/>
      <c r="AC448" s="7"/>
      <c r="AD448" s="7"/>
      <c r="AE448" s="7"/>
      <c r="AF448" s="7"/>
      <c r="AG448" s="7"/>
      <c r="AH448" s="7"/>
      <c r="AI448" s="7"/>
      <c r="AJ448" s="19"/>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row>
    <row r="449">
      <c r="A449" s="7"/>
      <c r="B449" s="7"/>
      <c r="C449" s="7"/>
      <c r="D449" s="7"/>
      <c r="E449" s="19"/>
      <c r="F449" s="19"/>
      <c r="G449" s="19"/>
      <c r="H449" s="19"/>
      <c r="I449" s="19"/>
      <c r="J449" s="7"/>
      <c r="K449" s="19"/>
      <c r="L449" s="7"/>
      <c r="M449" s="7"/>
      <c r="N449" s="7"/>
      <c r="O449" s="7"/>
      <c r="P449" s="7"/>
      <c r="Q449" s="7"/>
      <c r="R449" s="7"/>
      <c r="S449" s="7"/>
      <c r="T449" s="7"/>
      <c r="U449" s="7"/>
      <c r="V449" s="388"/>
      <c r="W449" s="388"/>
      <c r="X449" s="388"/>
      <c r="Y449" s="7"/>
      <c r="Z449" s="7"/>
      <c r="AA449" s="7"/>
      <c r="AB449" s="7"/>
      <c r="AC449" s="7"/>
      <c r="AD449" s="7"/>
      <c r="AE449" s="7"/>
      <c r="AF449" s="7"/>
      <c r="AG449" s="7"/>
      <c r="AH449" s="7"/>
      <c r="AI449" s="7"/>
      <c r="AJ449" s="19"/>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row>
    <row r="450">
      <c r="A450" s="7"/>
      <c r="B450" s="7"/>
      <c r="C450" s="7"/>
      <c r="D450" s="7"/>
      <c r="E450" s="19"/>
      <c r="F450" s="19"/>
      <c r="G450" s="19"/>
      <c r="H450" s="19"/>
      <c r="I450" s="19"/>
      <c r="J450" s="7"/>
      <c r="K450" s="19"/>
      <c r="L450" s="7"/>
      <c r="M450" s="7"/>
      <c r="N450" s="7"/>
      <c r="O450" s="7"/>
      <c r="P450" s="7"/>
      <c r="Q450" s="7"/>
      <c r="R450" s="7"/>
      <c r="S450" s="7"/>
      <c r="T450" s="7"/>
      <c r="U450" s="7"/>
      <c r="V450" s="388"/>
      <c r="W450" s="388"/>
      <c r="X450" s="388"/>
      <c r="Y450" s="7"/>
      <c r="Z450" s="7"/>
      <c r="AA450" s="7"/>
      <c r="AB450" s="7"/>
      <c r="AC450" s="7"/>
      <c r="AD450" s="7"/>
      <c r="AE450" s="7"/>
      <c r="AF450" s="7"/>
      <c r="AG450" s="7"/>
      <c r="AH450" s="7"/>
      <c r="AI450" s="7"/>
      <c r="AJ450" s="19"/>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row>
    <row r="451">
      <c r="A451" s="7"/>
      <c r="B451" s="7"/>
      <c r="C451" s="7"/>
      <c r="D451" s="7"/>
      <c r="E451" s="19"/>
      <c r="F451" s="19"/>
      <c r="G451" s="19"/>
      <c r="H451" s="19"/>
      <c r="I451" s="19"/>
      <c r="J451" s="7"/>
      <c r="K451" s="19"/>
      <c r="L451" s="7"/>
      <c r="M451" s="7"/>
      <c r="N451" s="7"/>
      <c r="O451" s="7"/>
      <c r="P451" s="7"/>
      <c r="Q451" s="7"/>
      <c r="R451" s="7"/>
      <c r="S451" s="7"/>
      <c r="T451" s="7"/>
      <c r="U451" s="7"/>
      <c r="V451" s="388"/>
      <c r="W451" s="388"/>
      <c r="X451" s="388"/>
      <c r="Y451" s="7"/>
      <c r="Z451" s="7"/>
      <c r="AA451" s="7"/>
      <c r="AB451" s="7"/>
      <c r="AC451" s="7"/>
      <c r="AD451" s="7"/>
      <c r="AE451" s="7"/>
      <c r="AF451" s="7"/>
      <c r="AG451" s="7"/>
      <c r="AH451" s="7"/>
      <c r="AI451" s="7"/>
      <c r="AJ451" s="19"/>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row>
    <row r="452">
      <c r="A452" s="7"/>
      <c r="B452" s="7"/>
      <c r="C452" s="7"/>
      <c r="D452" s="7"/>
      <c r="E452" s="19"/>
      <c r="F452" s="19"/>
      <c r="G452" s="19"/>
      <c r="H452" s="19"/>
      <c r="I452" s="19"/>
      <c r="J452" s="7"/>
      <c r="K452" s="19"/>
      <c r="L452" s="7"/>
      <c r="M452" s="7"/>
      <c r="N452" s="7"/>
      <c r="O452" s="7"/>
      <c r="P452" s="7"/>
      <c r="Q452" s="7"/>
      <c r="R452" s="7"/>
      <c r="S452" s="7"/>
      <c r="T452" s="7"/>
      <c r="U452" s="7"/>
      <c r="V452" s="388"/>
      <c r="W452" s="388"/>
      <c r="X452" s="388"/>
      <c r="Y452" s="7"/>
      <c r="Z452" s="7"/>
      <c r="AA452" s="7"/>
      <c r="AB452" s="7"/>
      <c r="AC452" s="7"/>
      <c r="AD452" s="7"/>
      <c r="AE452" s="7"/>
      <c r="AF452" s="7"/>
      <c r="AG452" s="7"/>
      <c r="AH452" s="7"/>
      <c r="AI452" s="7"/>
      <c r="AJ452" s="19"/>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row>
    <row r="453">
      <c r="A453" s="7"/>
      <c r="B453" s="7"/>
      <c r="C453" s="7"/>
      <c r="D453" s="7"/>
      <c r="E453" s="19"/>
      <c r="F453" s="19"/>
      <c r="G453" s="19"/>
      <c r="H453" s="19"/>
      <c r="I453" s="19"/>
      <c r="J453" s="7"/>
      <c r="K453" s="19"/>
      <c r="L453" s="7"/>
      <c r="M453" s="7"/>
      <c r="N453" s="7"/>
      <c r="O453" s="7"/>
      <c r="P453" s="7"/>
      <c r="Q453" s="7"/>
      <c r="R453" s="7"/>
      <c r="S453" s="7"/>
      <c r="T453" s="7"/>
      <c r="U453" s="7"/>
      <c r="V453" s="388"/>
      <c r="W453" s="388"/>
      <c r="X453" s="388"/>
      <c r="Y453" s="7"/>
      <c r="Z453" s="7"/>
      <c r="AA453" s="7"/>
      <c r="AB453" s="7"/>
      <c r="AC453" s="7"/>
      <c r="AD453" s="7"/>
      <c r="AE453" s="7"/>
      <c r="AF453" s="7"/>
      <c r="AG453" s="7"/>
      <c r="AH453" s="7"/>
      <c r="AI453" s="7"/>
      <c r="AJ453" s="19"/>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row>
    <row r="454">
      <c r="A454" s="7"/>
      <c r="B454" s="7"/>
      <c r="C454" s="7"/>
      <c r="D454" s="7"/>
      <c r="E454" s="19"/>
      <c r="F454" s="19"/>
      <c r="G454" s="19"/>
      <c r="H454" s="19"/>
      <c r="I454" s="19"/>
      <c r="J454" s="7"/>
      <c r="K454" s="19"/>
      <c r="L454" s="7"/>
      <c r="M454" s="7"/>
      <c r="N454" s="7"/>
      <c r="O454" s="7"/>
      <c r="P454" s="7"/>
      <c r="Q454" s="7"/>
      <c r="R454" s="7"/>
      <c r="S454" s="7"/>
      <c r="T454" s="7"/>
      <c r="U454" s="7"/>
      <c r="V454" s="388"/>
      <c r="W454" s="388"/>
      <c r="X454" s="388"/>
      <c r="Y454" s="7"/>
      <c r="Z454" s="7"/>
      <c r="AA454" s="7"/>
      <c r="AB454" s="7"/>
      <c r="AC454" s="7"/>
      <c r="AD454" s="7"/>
      <c r="AE454" s="7"/>
      <c r="AF454" s="7"/>
      <c r="AG454" s="7"/>
      <c r="AH454" s="7"/>
      <c r="AI454" s="7"/>
      <c r="AJ454" s="19"/>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row>
    <row r="455">
      <c r="A455" s="7"/>
      <c r="B455" s="7"/>
      <c r="C455" s="7"/>
      <c r="D455" s="7"/>
      <c r="E455" s="19"/>
      <c r="F455" s="19"/>
      <c r="G455" s="19"/>
      <c r="H455" s="19"/>
      <c r="I455" s="19"/>
      <c r="J455" s="7"/>
      <c r="K455" s="19"/>
      <c r="L455" s="7"/>
      <c r="M455" s="7"/>
      <c r="N455" s="7"/>
      <c r="O455" s="7"/>
      <c r="P455" s="7"/>
      <c r="Q455" s="7"/>
      <c r="R455" s="7"/>
      <c r="S455" s="7"/>
      <c r="T455" s="7"/>
      <c r="U455" s="7"/>
      <c r="V455" s="388"/>
      <c r="W455" s="388"/>
      <c r="X455" s="388"/>
      <c r="Y455" s="7"/>
      <c r="Z455" s="7"/>
      <c r="AA455" s="7"/>
      <c r="AB455" s="7"/>
      <c r="AC455" s="7"/>
      <c r="AD455" s="7"/>
      <c r="AE455" s="7"/>
      <c r="AF455" s="7"/>
      <c r="AG455" s="7"/>
      <c r="AH455" s="7"/>
      <c r="AI455" s="7"/>
      <c r="AJ455" s="19"/>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row>
    <row r="456">
      <c r="A456" s="7"/>
      <c r="B456" s="7"/>
      <c r="C456" s="7"/>
      <c r="D456" s="7"/>
      <c r="E456" s="19"/>
      <c r="F456" s="19"/>
      <c r="G456" s="19"/>
      <c r="H456" s="19"/>
      <c r="I456" s="19"/>
      <c r="J456" s="7"/>
      <c r="K456" s="19"/>
      <c r="L456" s="7"/>
      <c r="M456" s="7"/>
      <c r="N456" s="7"/>
      <c r="O456" s="7"/>
      <c r="P456" s="7"/>
      <c r="Q456" s="7"/>
      <c r="R456" s="7"/>
      <c r="S456" s="7"/>
      <c r="T456" s="7"/>
      <c r="U456" s="7"/>
      <c r="V456" s="388"/>
      <c r="W456" s="388"/>
      <c r="X456" s="388"/>
      <c r="Y456" s="7"/>
      <c r="Z456" s="7"/>
      <c r="AA456" s="7"/>
      <c r="AB456" s="7"/>
      <c r="AC456" s="7"/>
      <c r="AD456" s="7"/>
      <c r="AE456" s="7"/>
      <c r="AF456" s="7"/>
      <c r="AG456" s="7"/>
      <c r="AH456" s="7"/>
      <c r="AI456" s="7"/>
      <c r="AJ456" s="19"/>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row>
    <row r="457">
      <c r="A457" s="7"/>
      <c r="B457" s="7"/>
      <c r="C457" s="7"/>
      <c r="D457" s="7"/>
      <c r="E457" s="19"/>
      <c r="F457" s="19"/>
      <c r="G457" s="19"/>
      <c r="H457" s="19"/>
      <c r="I457" s="19"/>
      <c r="J457" s="7"/>
      <c r="K457" s="19"/>
      <c r="L457" s="7"/>
      <c r="M457" s="7"/>
      <c r="N457" s="7"/>
      <c r="O457" s="7"/>
      <c r="P457" s="7"/>
      <c r="Q457" s="7"/>
      <c r="R457" s="7"/>
      <c r="S457" s="7"/>
      <c r="T457" s="7"/>
      <c r="U457" s="7"/>
      <c r="V457" s="388"/>
      <c r="W457" s="388"/>
      <c r="X457" s="388"/>
      <c r="Y457" s="7"/>
      <c r="Z457" s="7"/>
      <c r="AA457" s="7"/>
      <c r="AB457" s="7"/>
      <c r="AC457" s="7"/>
      <c r="AD457" s="7"/>
      <c r="AE457" s="7"/>
      <c r="AF457" s="7"/>
      <c r="AG457" s="7"/>
      <c r="AH457" s="7"/>
      <c r="AI457" s="7"/>
      <c r="AJ457" s="19"/>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row>
    <row r="458">
      <c r="A458" s="7"/>
      <c r="B458" s="7"/>
      <c r="C458" s="7"/>
      <c r="D458" s="7"/>
      <c r="E458" s="19"/>
      <c r="F458" s="19"/>
      <c r="G458" s="19"/>
      <c r="H458" s="19"/>
      <c r="I458" s="19"/>
      <c r="J458" s="7"/>
      <c r="K458" s="19"/>
      <c r="L458" s="7"/>
      <c r="M458" s="7"/>
      <c r="N458" s="7"/>
      <c r="O458" s="7"/>
      <c r="P458" s="7"/>
      <c r="Q458" s="7"/>
      <c r="R458" s="7"/>
      <c r="S458" s="7"/>
      <c r="T458" s="7"/>
      <c r="U458" s="7"/>
      <c r="V458" s="388"/>
      <c r="W458" s="388"/>
      <c r="X458" s="388"/>
      <c r="Y458" s="7"/>
      <c r="Z458" s="7"/>
      <c r="AA458" s="7"/>
      <c r="AB458" s="7"/>
      <c r="AC458" s="7"/>
      <c r="AD458" s="7"/>
      <c r="AE458" s="7"/>
      <c r="AF458" s="7"/>
      <c r="AG458" s="7"/>
      <c r="AH458" s="7"/>
      <c r="AI458" s="7"/>
      <c r="AJ458" s="19"/>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row>
    <row r="459">
      <c r="A459" s="7"/>
      <c r="B459" s="7"/>
      <c r="C459" s="7"/>
      <c r="D459" s="7"/>
      <c r="E459" s="19"/>
      <c r="F459" s="19"/>
      <c r="G459" s="19"/>
      <c r="H459" s="19"/>
      <c r="I459" s="19"/>
      <c r="J459" s="7"/>
      <c r="K459" s="19"/>
      <c r="L459" s="7"/>
      <c r="M459" s="7"/>
      <c r="N459" s="7"/>
      <c r="O459" s="7"/>
      <c r="P459" s="7"/>
      <c r="Q459" s="7"/>
      <c r="R459" s="7"/>
      <c r="S459" s="7"/>
      <c r="T459" s="7"/>
      <c r="U459" s="7"/>
      <c r="V459" s="388"/>
      <c r="W459" s="388"/>
      <c r="X459" s="388"/>
      <c r="Y459" s="7"/>
      <c r="Z459" s="7"/>
      <c r="AA459" s="7"/>
      <c r="AB459" s="7"/>
      <c r="AC459" s="7"/>
      <c r="AD459" s="7"/>
      <c r="AE459" s="7"/>
      <c r="AF459" s="7"/>
      <c r="AG459" s="7"/>
      <c r="AH459" s="7"/>
      <c r="AI459" s="7"/>
      <c r="AJ459" s="19"/>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row>
    <row r="460">
      <c r="A460" s="7"/>
      <c r="B460" s="7"/>
      <c r="C460" s="7"/>
      <c r="D460" s="7"/>
      <c r="E460" s="19"/>
      <c r="F460" s="19"/>
      <c r="G460" s="19"/>
      <c r="H460" s="19"/>
      <c r="I460" s="19"/>
      <c r="J460" s="7"/>
      <c r="K460" s="19"/>
      <c r="L460" s="7"/>
      <c r="M460" s="7"/>
      <c r="N460" s="7"/>
      <c r="O460" s="7"/>
      <c r="P460" s="7"/>
      <c r="Q460" s="7"/>
      <c r="R460" s="7"/>
      <c r="S460" s="7"/>
      <c r="T460" s="7"/>
      <c r="U460" s="7"/>
      <c r="V460" s="388"/>
      <c r="W460" s="388"/>
      <c r="X460" s="388"/>
      <c r="Y460" s="7"/>
      <c r="Z460" s="7"/>
      <c r="AA460" s="7"/>
      <c r="AB460" s="7"/>
      <c r="AC460" s="7"/>
      <c r="AD460" s="7"/>
      <c r="AE460" s="7"/>
      <c r="AF460" s="7"/>
      <c r="AG460" s="7"/>
      <c r="AH460" s="7"/>
      <c r="AI460" s="7"/>
      <c r="AJ460" s="19"/>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row>
    <row r="461">
      <c r="A461" s="7"/>
      <c r="B461" s="7"/>
      <c r="C461" s="7"/>
      <c r="D461" s="7"/>
      <c r="E461" s="19"/>
      <c r="F461" s="19"/>
      <c r="G461" s="19"/>
      <c r="H461" s="19"/>
      <c r="I461" s="19"/>
      <c r="J461" s="7"/>
      <c r="K461" s="19"/>
      <c r="L461" s="7"/>
      <c r="M461" s="7"/>
      <c r="N461" s="7"/>
      <c r="O461" s="7"/>
      <c r="P461" s="7"/>
      <c r="Q461" s="7"/>
      <c r="R461" s="7"/>
      <c r="S461" s="7"/>
      <c r="T461" s="7"/>
      <c r="U461" s="7"/>
      <c r="V461" s="388"/>
      <c r="W461" s="388"/>
      <c r="X461" s="388"/>
      <c r="Y461" s="7"/>
      <c r="Z461" s="7"/>
      <c r="AA461" s="7"/>
      <c r="AB461" s="7"/>
      <c r="AC461" s="7"/>
      <c r="AD461" s="7"/>
      <c r="AE461" s="7"/>
      <c r="AF461" s="7"/>
      <c r="AG461" s="7"/>
      <c r="AH461" s="7"/>
      <c r="AI461" s="7"/>
      <c r="AJ461" s="19"/>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row>
    <row r="462">
      <c r="A462" s="7"/>
      <c r="B462" s="7"/>
      <c r="C462" s="7"/>
      <c r="D462" s="7"/>
      <c r="E462" s="19"/>
      <c r="F462" s="19"/>
      <c r="G462" s="19"/>
      <c r="H462" s="19"/>
      <c r="I462" s="19"/>
      <c r="J462" s="7"/>
      <c r="K462" s="19"/>
      <c r="L462" s="7"/>
      <c r="M462" s="7"/>
      <c r="N462" s="7"/>
      <c r="O462" s="7"/>
      <c r="P462" s="7"/>
      <c r="Q462" s="7"/>
      <c r="R462" s="7"/>
      <c r="S462" s="7"/>
      <c r="T462" s="7"/>
      <c r="U462" s="7"/>
      <c r="V462" s="388"/>
      <c r="W462" s="388"/>
      <c r="X462" s="388"/>
      <c r="Y462" s="7"/>
      <c r="Z462" s="7"/>
      <c r="AA462" s="7"/>
      <c r="AB462" s="7"/>
      <c r="AC462" s="7"/>
      <c r="AD462" s="7"/>
      <c r="AE462" s="7"/>
      <c r="AF462" s="7"/>
      <c r="AG462" s="7"/>
      <c r="AH462" s="7"/>
      <c r="AI462" s="7"/>
      <c r="AJ462" s="19"/>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row>
    <row r="463">
      <c r="A463" s="7"/>
      <c r="B463" s="7"/>
      <c r="C463" s="7"/>
      <c r="D463" s="7"/>
      <c r="E463" s="19"/>
      <c r="F463" s="19"/>
      <c r="G463" s="19"/>
      <c r="H463" s="19"/>
      <c r="I463" s="19"/>
      <c r="J463" s="7"/>
      <c r="K463" s="19"/>
      <c r="L463" s="7"/>
      <c r="M463" s="7"/>
      <c r="N463" s="7"/>
      <c r="O463" s="7"/>
      <c r="P463" s="7"/>
      <c r="Q463" s="7"/>
      <c r="R463" s="7"/>
      <c r="S463" s="7"/>
      <c r="T463" s="7"/>
      <c r="U463" s="7"/>
      <c r="V463" s="388"/>
      <c r="W463" s="388"/>
      <c r="X463" s="388"/>
      <c r="Y463" s="7"/>
      <c r="Z463" s="7"/>
      <c r="AA463" s="7"/>
      <c r="AB463" s="7"/>
      <c r="AC463" s="7"/>
      <c r="AD463" s="7"/>
      <c r="AE463" s="7"/>
      <c r="AF463" s="7"/>
      <c r="AG463" s="7"/>
      <c r="AH463" s="7"/>
      <c r="AI463" s="7"/>
      <c r="AJ463" s="19"/>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row>
    <row r="464">
      <c r="A464" s="7"/>
      <c r="B464" s="7"/>
      <c r="C464" s="7"/>
      <c r="D464" s="7"/>
      <c r="E464" s="19"/>
      <c r="F464" s="19"/>
      <c r="G464" s="19"/>
      <c r="H464" s="19"/>
      <c r="I464" s="19"/>
      <c r="J464" s="7"/>
      <c r="K464" s="19"/>
      <c r="L464" s="7"/>
      <c r="M464" s="7"/>
      <c r="N464" s="7"/>
      <c r="O464" s="7"/>
      <c r="P464" s="7"/>
      <c r="Q464" s="7"/>
      <c r="R464" s="7"/>
      <c r="S464" s="7"/>
      <c r="T464" s="7"/>
      <c r="U464" s="7"/>
      <c r="V464" s="388"/>
      <c r="W464" s="388"/>
      <c r="X464" s="388"/>
      <c r="Y464" s="7"/>
      <c r="Z464" s="7"/>
      <c r="AA464" s="7"/>
      <c r="AB464" s="7"/>
      <c r="AC464" s="7"/>
      <c r="AD464" s="7"/>
      <c r="AE464" s="7"/>
      <c r="AF464" s="7"/>
      <c r="AG464" s="7"/>
      <c r="AH464" s="7"/>
      <c r="AI464" s="7"/>
      <c r="AJ464" s="19"/>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row>
    <row r="465">
      <c r="A465" s="7"/>
      <c r="B465" s="7"/>
      <c r="C465" s="7"/>
      <c r="D465" s="7"/>
      <c r="E465" s="19"/>
      <c r="F465" s="19"/>
      <c r="G465" s="19"/>
      <c r="H465" s="19"/>
      <c r="I465" s="19"/>
      <c r="J465" s="7"/>
      <c r="K465" s="19"/>
      <c r="L465" s="7"/>
      <c r="M465" s="7"/>
      <c r="N465" s="7"/>
      <c r="O465" s="7"/>
      <c r="P465" s="7"/>
      <c r="Q465" s="7"/>
      <c r="R465" s="7"/>
      <c r="S465" s="7"/>
      <c r="T465" s="7"/>
      <c r="U465" s="7"/>
      <c r="V465" s="388"/>
      <c r="W465" s="388"/>
      <c r="X465" s="388"/>
      <c r="Y465" s="7"/>
      <c r="Z465" s="7"/>
      <c r="AA465" s="7"/>
      <c r="AB465" s="7"/>
      <c r="AC465" s="7"/>
      <c r="AD465" s="7"/>
      <c r="AE465" s="7"/>
      <c r="AF465" s="7"/>
      <c r="AG465" s="7"/>
      <c r="AH465" s="7"/>
      <c r="AI465" s="7"/>
      <c r="AJ465" s="19"/>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row>
    <row r="466">
      <c r="A466" s="7"/>
      <c r="B466" s="7"/>
      <c r="C466" s="7"/>
      <c r="D466" s="7"/>
      <c r="E466" s="19"/>
      <c r="F466" s="19"/>
      <c r="G466" s="19"/>
      <c r="H466" s="19"/>
      <c r="I466" s="19"/>
      <c r="J466" s="7"/>
      <c r="K466" s="19"/>
      <c r="L466" s="7"/>
      <c r="M466" s="7"/>
      <c r="N466" s="7"/>
      <c r="O466" s="7"/>
      <c r="P466" s="7"/>
      <c r="Q466" s="7"/>
      <c r="R466" s="7"/>
      <c r="S466" s="7"/>
      <c r="T466" s="7"/>
      <c r="U466" s="7"/>
      <c r="V466" s="388"/>
      <c r="W466" s="388"/>
      <c r="X466" s="388"/>
      <c r="Y466" s="7"/>
      <c r="Z466" s="7"/>
      <c r="AA466" s="7"/>
      <c r="AB466" s="7"/>
      <c r="AC466" s="7"/>
      <c r="AD466" s="7"/>
      <c r="AE466" s="7"/>
      <c r="AF466" s="7"/>
      <c r="AG466" s="7"/>
      <c r="AH466" s="7"/>
      <c r="AI466" s="7"/>
      <c r="AJ466" s="19"/>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row>
    <row r="467">
      <c r="A467" s="7"/>
      <c r="B467" s="7"/>
      <c r="C467" s="7"/>
      <c r="D467" s="7"/>
      <c r="E467" s="19"/>
      <c r="F467" s="19"/>
      <c r="G467" s="19"/>
      <c r="H467" s="19"/>
      <c r="I467" s="19"/>
      <c r="J467" s="7"/>
      <c r="K467" s="19"/>
      <c r="L467" s="7"/>
      <c r="M467" s="7"/>
      <c r="N467" s="7"/>
      <c r="O467" s="7"/>
      <c r="P467" s="7"/>
      <c r="Q467" s="7"/>
      <c r="R467" s="7"/>
      <c r="S467" s="7"/>
      <c r="T467" s="7"/>
      <c r="U467" s="7"/>
      <c r="V467" s="388"/>
      <c r="W467" s="388"/>
      <c r="X467" s="388"/>
      <c r="Y467" s="7"/>
      <c r="Z467" s="7"/>
      <c r="AA467" s="7"/>
      <c r="AB467" s="7"/>
      <c r="AC467" s="7"/>
      <c r="AD467" s="7"/>
      <c r="AE467" s="7"/>
      <c r="AF467" s="7"/>
      <c r="AG467" s="7"/>
      <c r="AH467" s="7"/>
      <c r="AI467" s="7"/>
      <c r="AJ467" s="19"/>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row>
    <row r="468">
      <c r="A468" s="7"/>
      <c r="B468" s="7"/>
      <c r="C468" s="7"/>
      <c r="D468" s="7"/>
      <c r="E468" s="19"/>
      <c r="F468" s="19"/>
      <c r="G468" s="19"/>
      <c r="H468" s="19"/>
      <c r="I468" s="19"/>
      <c r="J468" s="7"/>
      <c r="K468" s="19"/>
      <c r="L468" s="7"/>
      <c r="M468" s="7"/>
      <c r="N468" s="7"/>
      <c r="O468" s="7"/>
      <c r="P468" s="7"/>
      <c r="Q468" s="7"/>
      <c r="R468" s="7"/>
      <c r="S468" s="7"/>
      <c r="T468" s="7"/>
      <c r="U468" s="7"/>
      <c r="V468" s="388"/>
      <c r="W468" s="388"/>
      <c r="X468" s="388"/>
      <c r="Y468" s="7"/>
      <c r="Z468" s="7"/>
      <c r="AA468" s="7"/>
      <c r="AB468" s="7"/>
      <c r="AC468" s="7"/>
      <c r="AD468" s="7"/>
      <c r="AE468" s="7"/>
      <c r="AF468" s="7"/>
      <c r="AG468" s="7"/>
      <c r="AH468" s="7"/>
      <c r="AI468" s="7"/>
      <c r="AJ468" s="19"/>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row>
    <row r="469">
      <c r="A469" s="7"/>
      <c r="B469" s="7"/>
      <c r="C469" s="7"/>
      <c r="D469" s="7"/>
      <c r="E469" s="19"/>
      <c r="F469" s="19"/>
      <c r="G469" s="19"/>
      <c r="H469" s="19"/>
      <c r="I469" s="19"/>
      <c r="J469" s="7"/>
      <c r="K469" s="19"/>
      <c r="L469" s="7"/>
      <c r="M469" s="7"/>
      <c r="N469" s="7"/>
      <c r="O469" s="7"/>
      <c r="P469" s="7"/>
      <c r="Q469" s="7"/>
      <c r="R469" s="7"/>
      <c r="S469" s="7"/>
      <c r="T469" s="7"/>
      <c r="U469" s="7"/>
      <c r="V469" s="388"/>
      <c r="W469" s="388"/>
      <c r="X469" s="388"/>
      <c r="Y469" s="7"/>
      <c r="Z469" s="7"/>
      <c r="AA469" s="7"/>
      <c r="AB469" s="7"/>
      <c r="AC469" s="7"/>
      <c r="AD469" s="7"/>
      <c r="AE469" s="7"/>
      <c r="AF469" s="7"/>
      <c r="AG469" s="7"/>
      <c r="AH469" s="7"/>
      <c r="AI469" s="7"/>
      <c r="AJ469" s="19"/>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row>
    <row r="470">
      <c r="A470" s="7"/>
      <c r="B470" s="7"/>
      <c r="C470" s="7"/>
      <c r="D470" s="7"/>
      <c r="E470" s="19"/>
      <c r="F470" s="19"/>
      <c r="G470" s="19"/>
      <c r="H470" s="19"/>
      <c r="I470" s="19"/>
      <c r="J470" s="7"/>
      <c r="K470" s="19"/>
      <c r="L470" s="7"/>
      <c r="M470" s="7"/>
      <c r="N470" s="7"/>
      <c r="O470" s="7"/>
      <c r="P470" s="7"/>
      <c r="Q470" s="7"/>
      <c r="R470" s="7"/>
      <c r="S470" s="7"/>
      <c r="T470" s="7"/>
      <c r="U470" s="7"/>
      <c r="V470" s="388"/>
      <c r="W470" s="388"/>
      <c r="X470" s="388"/>
      <c r="Y470" s="7"/>
      <c r="Z470" s="7"/>
      <c r="AA470" s="7"/>
      <c r="AB470" s="7"/>
      <c r="AC470" s="7"/>
      <c r="AD470" s="7"/>
      <c r="AE470" s="7"/>
      <c r="AF470" s="7"/>
      <c r="AG470" s="7"/>
      <c r="AH470" s="7"/>
      <c r="AI470" s="7"/>
      <c r="AJ470" s="19"/>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row>
    <row r="471">
      <c r="A471" s="7"/>
      <c r="B471" s="7"/>
      <c r="C471" s="7"/>
      <c r="D471" s="7"/>
      <c r="E471" s="19"/>
      <c r="F471" s="19"/>
      <c r="G471" s="19"/>
      <c r="H471" s="19"/>
      <c r="I471" s="19"/>
      <c r="J471" s="7"/>
      <c r="K471" s="19"/>
      <c r="L471" s="7"/>
      <c r="M471" s="7"/>
      <c r="N471" s="7"/>
      <c r="O471" s="7"/>
      <c r="P471" s="7"/>
      <c r="Q471" s="7"/>
      <c r="R471" s="7"/>
      <c r="S471" s="7"/>
      <c r="T471" s="7"/>
      <c r="U471" s="7"/>
      <c r="V471" s="388"/>
      <c r="W471" s="388"/>
      <c r="X471" s="388"/>
      <c r="Y471" s="7"/>
      <c r="Z471" s="7"/>
      <c r="AA471" s="7"/>
      <c r="AB471" s="7"/>
      <c r="AC471" s="7"/>
      <c r="AD471" s="7"/>
      <c r="AE471" s="7"/>
      <c r="AF471" s="7"/>
      <c r="AG471" s="7"/>
      <c r="AH471" s="7"/>
      <c r="AI471" s="7"/>
      <c r="AJ471" s="19"/>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row>
    <row r="472">
      <c r="A472" s="7"/>
      <c r="B472" s="7"/>
      <c r="C472" s="7"/>
      <c r="D472" s="7"/>
      <c r="E472" s="19"/>
      <c r="F472" s="19"/>
      <c r="G472" s="19"/>
      <c r="H472" s="19"/>
      <c r="I472" s="19"/>
      <c r="J472" s="7"/>
      <c r="K472" s="19"/>
      <c r="L472" s="7"/>
      <c r="M472" s="7"/>
      <c r="N472" s="7"/>
      <c r="O472" s="7"/>
      <c r="P472" s="7"/>
      <c r="Q472" s="7"/>
      <c r="R472" s="7"/>
      <c r="S472" s="7"/>
      <c r="T472" s="7"/>
      <c r="U472" s="7"/>
      <c r="V472" s="388"/>
      <c r="W472" s="388"/>
      <c r="X472" s="388"/>
      <c r="Y472" s="7"/>
      <c r="Z472" s="7"/>
      <c r="AA472" s="7"/>
      <c r="AB472" s="7"/>
      <c r="AC472" s="7"/>
      <c r="AD472" s="7"/>
      <c r="AE472" s="7"/>
      <c r="AF472" s="7"/>
      <c r="AG472" s="7"/>
      <c r="AH472" s="7"/>
      <c r="AI472" s="7"/>
      <c r="AJ472" s="19"/>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row>
    <row r="473">
      <c r="A473" s="7"/>
      <c r="B473" s="7"/>
      <c r="C473" s="7"/>
      <c r="D473" s="7"/>
      <c r="E473" s="19"/>
      <c r="F473" s="19"/>
      <c r="G473" s="19"/>
      <c r="H473" s="19"/>
      <c r="I473" s="19"/>
      <c r="J473" s="7"/>
      <c r="K473" s="19"/>
      <c r="L473" s="7"/>
      <c r="M473" s="7"/>
      <c r="N473" s="7"/>
      <c r="O473" s="7"/>
      <c r="P473" s="7"/>
      <c r="Q473" s="7"/>
      <c r="R473" s="7"/>
      <c r="S473" s="7"/>
      <c r="T473" s="7"/>
      <c r="U473" s="7"/>
      <c r="V473" s="388"/>
      <c r="W473" s="388"/>
      <c r="X473" s="388"/>
      <c r="Y473" s="7"/>
      <c r="Z473" s="7"/>
      <c r="AA473" s="7"/>
      <c r="AB473" s="7"/>
      <c r="AC473" s="7"/>
      <c r="AD473" s="7"/>
      <c r="AE473" s="7"/>
      <c r="AF473" s="7"/>
      <c r="AG473" s="7"/>
      <c r="AH473" s="7"/>
      <c r="AI473" s="7"/>
      <c r="AJ473" s="19"/>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row>
    <row r="474">
      <c r="A474" s="7"/>
      <c r="B474" s="7"/>
      <c r="C474" s="7"/>
      <c r="D474" s="7"/>
      <c r="E474" s="19"/>
      <c r="F474" s="19"/>
      <c r="G474" s="19"/>
      <c r="H474" s="19"/>
      <c r="I474" s="19"/>
      <c r="J474" s="7"/>
      <c r="K474" s="19"/>
      <c r="L474" s="7"/>
      <c r="M474" s="7"/>
      <c r="N474" s="7"/>
      <c r="O474" s="7"/>
      <c r="P474" s="7"/>
      <c r="Q474" s="7"/>
      <c r="R474" s="7"/>
      <c r="S474" s="7"/>
      <c r="T474" s="7"/>
      <c r="U474" s="7"/>
      <c r="V474" s="388"/>
      <c r="W474" s="388"/>
      <c r="X474" s="388"/>
      <c r="Y474" s="7"/>
      <c r="Z474" s="7"/>
      <c r="AA474" s="7"/>
      <c r="AB474" s="7"/>
      <c r="AC474" s="7"/>
      <c r="AD474" s="7"/>
      <c r="AE474" s="7"/>
      <c r="AF474" s="7"/>
      <c r="AG474" s="7"/>
      <c r="AH474" s="7"/>
      <c r="AI474" s="7"/>
      <c r="AJ474" s="19"/>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row>
    <row r="475">
      <c r="A475" s="7"/>
      <c r="B475" s="7"/>
      <c r="C475" s="7"/>
      <c r="D475" s="7"/>
      <c r="E475" s="19"/>
      <c r="F475" s="19"/>
      <c r="G475" s="19"/>
      <c r="H475" s="19"/>
      <c r="I475" s="19"/>
      <c r="J475" s="7"/>
      <c r="K475" s="19"/>
      <c r="L475" s="7"/>
      <c r="M475" s="7"/>
      <c r="N475" s="7"/>
      <c r="O475" s="7"/>
      <c r="P475" s="7"/>
      <c r="Q475" s="7"/>
      <c r="R475" s="7"/>
      <c r="S475" s="7"/>
      <c r="T475" s="7"/>
      <c r="U475" s="7"/>
      <c r="V475" s="388"/>
      <c r="W475" s="388"/>
      <c r="X475" s="388"/>
      <c r="Y475" s="7"/>
      <c r="Z475" s="7"/>
      <c r="AA475" s="7"/>
      <c r="AB475" s="7"/>
      <c r="AC475" s="7"/>
      <c r="AD475" s="7"/>
      <c r="AE475" s="7"/>
      <c r="AF475" s="7"/>
      <c r="AG475" s="7"/>
      <c r="AH475" s="7"/>
      <c r="AI475" s="7"/>
      <c r="AJ475" s="19"/>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row>
    <row r="476">
      <c r="A476" s="7"/>
      <c r="B476" s="7"/>
      <c r="C476" s="7"/>
      <c r="D476" s="7"/>
      <c r="E476" s="19"/>
      <c r="F476" s="19"/>
      <c r="G476" s="19"/>
      <c r="H476" s="19"/>
      <c r="I476" s="19"/>
      <c r="J476" s="7"/>
      <c r="K476" s="19"/>
      <c r="L476" s="7"/>
      <c r="M476" s="7"/>
      <c r="N476" s="7"/>
      <c r="O476" s="7"/>
      <c r="P476" s="7"/>
      <c r="Q476" s="7"/>
      <c r="R476" s="7"/>
      <c r="S476" s="7"/>
      <c r="T476" s="7"/>
      <c r="U476" s="7"/>
      <c r="V476" s="388"/>
      <c r="W476" s="388"/>
      <c r="X476" s="388"/>
      <c r="Y476" s="7"/>
      <c r="Z476" s="7"/>
      <c r="AA476" s="7"/>
      <c r="AB476" s="7"/>
      <c r="AC476" s="7"/>
      <c r="AD476" s="7"/>
      <c r="AE476" s="7"/>
      <c r="AF476" s="7"/>
      <c r="AG476" s="7"/>
      <c r="AH476" s="7"/>
      <c r="AI476" s="7"/>
      <c r="AJ476" s="19"/>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row>
    <row r="477">
      <c r="A477" s="7"/>
      <c r="B477" s="7"/>
      <c r="C477" s="7"/>
      <c r="D477" s="7"/>
      <c r="E477" s="19"/>
      <c r="F477" s="19"/>
      <c r="G477" s="19"/>
      <c r="H477" s="19"/>
      <c r="I477" s="19"/>
      <c r="J477" s="7"/>
      <c r="K477" s="19"/>
      <c r="L477" s="7"/>
      <c r="M477" s="7"/>
      <c r="N477" s="7"/>
      <c r="O477" s="7"/>
      <c r="P477" s="7"/>
      <c r="Q477" s="7"/>
      <c r="R477" s="7"/>
      <c r="S477" s="7"/>
      <c r="T477" s="7"/>
      <c r="U477" s="7"/>
      <c r="V477" s="388"/>
      <c r="W477" s="388"/>
      <c r="X477" s="388"/>
      <c r="Y477" s="7"/>
      <c r="Z477" s="7"/>
      <c r="AA477" s="7"/>
      <c r="AB477" s="7"/>
      <c r="AC477" s="7"/>
      <c r="AD477" s="7"/>
      <c r="AE477" s="7"/>
      <c r="AF477" s="7"/>
      <c r="AG477" s="7"/>
      <c r="AH477" s="7"/>
      <c r="AI477" s="7"/>
      <c r="AJ477" s="19"/>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row>
    <row r="478">
      <c r="A478" s="7"/>
      <c r="B478" s="7"/>
      <c r="C478" s="7"/>
      <c r="D478" s="7"/>
      <c r="E478" s="19"/>
      <c r="F478" s="19"/>
      <c r="G478" s="19"/>
      <c r="H478" s="19"/>
      <c r="I478" s="19"/>
      <c r="J478" s="7"/>
      <c r="K478" s="19"/>
      <c r="L478" s="7"/>
      <c r="M478" s="7"/>
      <c r="N478" s="7"/>
      <c r="O478" s="7"/>
      <c r="P478" s="7"/>
      <c r="Q478" s="7"/>
      <c r="R478" s="7"/>
      <c r="S478" s="7"/>
      <c r="T478" s="7"/>
      <c r="U478" s="7"/>
      <c r="V478" s="388"/>
      <c r="W478" s="388"/>
      <c r="X478" s="388"/>
      <c r="Y478" s="7"/>
      <c r="Z478" s="7"/>
      <c r="AA478" s="7"/>
      <c r="AB478" s="7"/>
      <c r="AC478" s="7"/>
      <c r="AD478" s="7"/>
      <c r="AE478" s="7"/>
      <c r="AF478" s="7"/>
      <c r="AG478" s="7"/>
      <c r="AH478" s="7"/>
      <c r="AI478" s="7"/>
      <c r="AJ478" s="19"/>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row>
    <row r="479">
      <c r="A479" s="7"/>
      <c r="B479" s="7"/>
      <c r="C479" s="7"/>
      <c r="D479" s="7"/>
      <c r="E479" s="19"/>
      <c r="F479" s="19"/>
      <c r="G479" s="19"/>
      <c r="H479" s="19"/>
      <c r="I479" s="19"/>
      <c r="J479" s="7"/>
      <c r="K479" s="19"/>
      <c r="L479" s="7"/>
      <c r="M479" s="7"/>
      <c r="N479" s="7"/>
      <c r="O479" s="7"/>
      <c r="P479" s="7"/>
      <c r="Q479" s="7"/>
      <c r="R479" s="7"/>
      <c r="S479" s="7"/>
      <c r="T479" s="7"/>
      <c r="U479" s="7"/>
      <c r="V479" s="388"/>
      <c r="W479" s="388"/>
      <c r="X479" s="388"/>
      <c r="Y479" s="7"/>
      <c r="Z479" s="7"/>
      <c r="AA479" s="7"/>
      <c r="AB479" s="7"/>
      <c r="AC479" s="7"/>
      <c r="AD479" s="7"/>
      <c r="AE479" s="7"/>
      <c r="AF479" s="7"/>
      <c r="AG479" s="7"/>
      <c r="AH479" s="7"/>
      <c r="AI479" s="7"/>
      <c r="AJ479" s="19"/>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row>
    <row r="480">
      <c r="A480" s="7"/>
      <c r="B480" s="7"/>
      <c r="C480" s="7"/>
      <c r="D480" s="7"/>
      <c r="E480" s="19"/>
      <c r="F480" s="19"/>
      <c r="G480" s="19"/>
      <c r="H480" s="19"/>
      <c r="I480" s="19"/>
      <c r="J480" s="7"/>
      <c r="K480" s="19"/>
      <c r="L480" s="7"/>
      <c r="M480" s="7"/>
      <c r="N480" s="7"/>
      <c r="O480" s="7"/>
      <c r="P480" s="7"/>
      <c r="Q480" s="7"/>
      <c r="R480" s="7"/>
      <c r="S480" s="7"/>
      <c r="T480" s="7"/>
      <c r="U480" s="7"/>
      <c r="V480" s="388"/>
      <c r="W480" s="388"/>
      <c r="X480" s="388"/>
      <c r="Y480" s="7"/>
      <c r="Z480" s="7"/>
      <c r="AA480" s="7"/>
      <c r="AB480" s="7"/>
      <c r="AC480" s="7"/>
      <c r="AD480" s="7"/>
      <c r="AE480" s="7"/>
      <c r="AF480" s="7"/>
      <c r="AG480" s="7"/>
      <c r="AH480" s="7"/>
      <c r="AI480" s="7"/>
      <c r="AJ480" s="19"/>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row>
    <row r="481">
      <c r="A481" s="7"/>
      <c r="B481" s="7"/>
      <c r="C481" s="7"/>
      <c r="D481" s="7"/>
      <c r="E481" s="19"/>
      <c r="F481" s="19"/>
      <c r="G481" s="19"/>
      <c r="H481" s="19"/>
      <c r="I481" s="19"/>
      <c r="J481" s="7"/>
      <c r="K481" s="19"/>
      <c r="L481" s="7"/>
      <c r="M481" s="7"/>
      <c r="N481" s="7"/>
      <c r="O481" s="7"/>
      <c r="P481" s="7"/>
      <c r="Q481" s="7"/>
      <c r="R481" s="7"/>
      <c r="S481" s="7"/>
      <c r="T481" s="7"/>
      <c r="U481" s="7"/>
      <c r="V481" s="388"/>
      <c r="W481" s="388"/>
      <c r="X481" s="388"/>
      <c r="Y481" s="7"/>
      <c r="Z481" s="7"/>
      <c r="AA481" s="7"/>
      <c r="AB481" s="7"/>
      <c r="AC481" s="7"/>
      <c r="AD481" s="7"/>
      <c r="AE481" s="7"/>
      <c r="AF481" s="7"/>
      <c r="AG481" s="7"/>
      <c r="AH481" s="7"/>
      <c r="AI481" s="7"/>
      <c r="AJ481" s="19"/>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row>
    <row r="482">
      <c r="A482" s="7"/>
      <c r="B482" s="7"/>
      <c r="C482" s="7"/>
      <c r="D482" s="7"/>
      <c r="E482" s="19"/>
      <c r="F482" s="19"/>
      <c r="G482" s="19"/>
      <c r="H482" s="19"/>
      <c r="I482" s="19"/>
      <c r="J482" s="7"/>
      <c r="K482" s="19"/>
      <c r="L482" s="7"/>
      <c r="M482" s="7"/>
      <c r="N482" s="7"/>
      <c r="O482" s="7"/>
      <c r="P482" s="7"/>
      <c r="Q482" s="7"/>
      <c r="R482" s="7"/>
      <c r="S482" s="7"/>
      <c r="T482" s="7"/>
      <c r="U482" s="7"/>
      <c r="V482" s="388"/>
      <c r="W482" s="388"/>
      <c r="X482" s="388"/>
      <c r="Y482" s="7"/>
      <c r="Z482" s="7"/>
      <c r="AA482" s="7"/>
      <c r="AB482" s="7"/>
      <c r="AC482" s="7"/>
      <c r="AD482" s="7"/>
      <c r="AE482" s="7"/>
      <c r="AF482" s="7"/>
      <c r="AG482" s="7"/>
      <c r="AH482" s="7"/>
      <c r="AI482" s="7"/>
      <c r="AJ482" s="19"/>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row>
    <row r="483">
      <c r="A483" s="7"/>
      <c r="B483" s="7"/>
      <c r="C483" s="7"/>
      <c r="D483" s="7"/>
      <c r="E483" s="19"/>
      <c r="F483" s="19"/>
      <c r="G483" s="19"/>
      <c r="H483" s="19"/>
      <c r="I483" s="19"/>
      <c r="J483" s="7"/>
      <c r="K483" s="19"/>
      <c r="L483" s="7"/>
      <c r="M483" s="7"/>
      <c r="N483" s="7"/>
      <c r="O483" s="7"/>
      <c r="P483" s="7"/>
      <c r="Q483" s="7"/>
      <c r="R483" s="7"/>
      <c r="S483" s="7"/>
      <c r="T483" s="7"/>
      <c r="U483" s="7"/>
      <c r="V483" s="388"/>
      <c r="W483" s="388"/>
      <c r="X483" s="388"/>
      <c r="Y483" s="7"/>
      <c r="Z483" s="7"/>
      <c r="AA483" s="7"/>
      <c r="AB483" s="7"/>
      <c r="AC483" s="7"/>
      <c r="AD483" s="7"/>
      <c r="AE483" s="7"/>
      <c r="AF483" s="7"/>
      <c r="AG483" s="7"/>
      <c r="AH483" s="7"/>
      <c r="AI483" s="7"/>
      <c r="AJ483" s="19"/>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row>
    <row r="484">
      <c r="A484" s="7"/>
      <c r="B484" s="7"/>
      <c r="C484" s="7"/>
      <c r="D484" s="7"/>
      <c r="E484" s="19"/>
      <c r="F484" s="19"/>
      <c r="G484" s="19"/>
      <c r="H484" s="19"/>
      <c r="I484" s="19"/>
      <c r="J484" s="7"/>
      <c r="K484" s="19"/>
      <c r="L484" s="7"/>
      <c r="M484" s="7"/>
      <c r="N484" s="7"/>
      <c r="O484" s="7"/>
      <c r="P484" s="7"/>
      <c r="Q484" s="7"/>
      <c r="R484" s="7"/>
      <c r="S484" s="7"/>
      <c r="T484" s="7"/>
      <c r="U484" s="7"/>
      <c r="V484" s="388"/>
      <c r="W484" s="388"/>
      <c r="X484" s="388"/>
      <c r="Y484" s="7"/>
      <c r="Z484" s="7"/>
      <c r="AA484" s="7"/>
      <c r="AB484" s="7"/>
      <c r="AC484" s="7"/>
      <c r="AD484" s="7"/>
      <c r="AE484" s="7"/>
      <c r="AF484" s="7"/>
      <c r="AG484" s="7"/>
      <c r="AH484" s="7"/>
      <c r="AI484" s="7"/>
      <c r="AJ484" s="19"/>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row>
    <row r="485">
      <c r="A485" s="7"/>
      <c r="B485" s="7"/>
      <c r="C485" s="7"/>
      <c r="D485" s="7"/>
      <c r="E485" s="19"/>
      <c r="F485" s="19"/>
      <c r="G485" s="19"/>
      <c r="H485" s="19"/>
      <c r="I485" s="19"/>
      <c r="J485" s="7"/>
      <c r="K485" s="19"/>
      <c r="L485" s="7"/>
      <c r="M485" s="7"/>
      <c r="N485" s="7"/>
      <c r="O485" s="7"/>
      <c r="P485" s="7"/>
      <c r="Q485" s="7"/>
      <c r="R485" s="7"/>
      <c r="S485" s="7"/>
      <c r="T485" s="7"/>
      <c r="U485" s="7"/>
      <c r="V485" s="388"/>
      <c r="W485" s="388"/>
      <c r="X485" s="388"/>
      <c r="Y485" s="7"/>
      <c r="Z485" s="7"/>
      <c r="AA485" s="7"/>
      <c r="AB485" s="7"/>
      <c r="AC485" s="7"/>
      <c r="AD485" s="7"/>
      <c r="AE485" s="7"/>
      <c r="AF485" s="7"/>
      <c r="AG485" s="7"/>
      <c r="AH485" s="7"/>
      <c r="AI485" s="7"/>
      <c r="AJ485" s="19"/>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row>
    <row r="486">
      <c r="A486" s="7"/>
      <c r="B486" s="7"/>
      <c r="C486" s="7"/>
      <c r="D486" s="7"/>
      <c r="E486" s="19"/>
      <c r="F486" s="19"/>
      <c r="G486" s="19"/>
      <c r="H486" s="19"/>
      <c r="I486" s="19"/>
      <c r="J486" s="7"/>
      <c r="K486" s="19"/>
      <c r="L486" s="7"/>
      <c r="M486" s="7"/>
      <c r="N486" s="7"/>
      <c r="O486" s="7"/>
      <c r="P486" s="7"/>
      <c r="Q486" s="7"/>
      <c r="R486" s="7"/>
      <c r="S486" s="7"/>
      <c r="T486" s="7"/>
      <c r="U486" s="7"/>
      <c r="V486" s="388"/>
      <c r="W486" s="388"/>
      <c r="X486" s="388"/>
      <c r="Y486" s="7"/>
      <c r="Z486" s="7"/>
      <c r="AA486" s="7"/>
      <c r="AB486" s="7"/>
      <c r="AC486" s="7"/>
      <c r="AD486" s="7"/>
      <c r="AE486" s="7"/>
      <c r="AF486" s="7"/>
      <c r="AG486" s="7"/>
      <c r="AH486" s="7"/>
      <c r="AI486" s="7"/>
      <c r="AJ486" s="19"/>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row>
    <row r="487">
      <c r="A487" s="7"/>
      <c r="B487" s="7"/>
      <c r="C487" s="7"/>
      <c r="D487" s="7"/>
      <c r="E487" s="19"/>
      <c r="F487" s="19"/>
      <c r="G487" s="19"/>
      <c r="H487" s="19"/>
      <c r="I487" s="19"/>
      <c r="J487" s="7"/>
      <c r="K487" s="19"/>
      <c r="L487" s="7"/>
      <c r="M487" s="7"/>
      <c r="N487" s="7"/>
      <c r="O487" s="7"/>
      <c r="P487" s="7"/>
      <c r="Q487" s="7"/>
      <c r="R487" s="7"/>
      <c r="S487" s="7"/>
      <c r="T487" s="7"/>
      <c r="U487" s="7"/>
      <c r="V487" s="388"/>
      <c r="W487" s="388"/>
      <c r="X487" s="388"/>
      <c r="Y487" s="7"/>
      <c r="Z487" s="7"/>
      <c r="AA487" s="7"/>
      <c r="AB487" s="7"/>
      <c r="AC487" s="7"/>
      <c r="AD487" s="7"/>
      <c r="AE487" s="7"/>
      <c r="AF487" s="7"/>
      <c r="AG487" s="7"/>
      <c r="AH487" s="7"/>
      <c r="AI487" s="7"/>
      <c r="AJ487" s="19"/>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row>
    <row r="488">
      <c r="A488" s="7"/>
      <c r="B488" s="7"/>
      <c r="C488" s="7"/>
      <c r="D488" s="7"/>
      <c r="E488" s="19"/>
      <c r="F488" s="19"/>
      <c r="G488" s="19"/>
      <c r="H488" s="19"/>
      <c r="I488" s="19"/>
      <c r="J488" s="7"/>
      <c r="K488" s="19"/>
      <c r="L488" s="7"/>
      <c r="M488" s="7"/>
      <c r="N488" s="7"/>
      <c r="O488" s="7"/>
      <c r="P488" s="7"/>
      <c r="Q488" s="7"/>
      <c r="R488" s="7"/>
      <c r="S488" s="7"/>
      <c r="T488" s="7"/>
      <c r="U488" s="7"/>
      <c r="V488" s="388"/>
      <c r="W488" s="388"/>
      <c r="X488" s="388"/>
      <c r="Y488" s="7"/>
      <c r="Z488" s="7"/>
      <c r="AA488" s="7"/>
      <c r="AB488" s="7"/>
      <c r="AC488" s="7"/>
      <c r="AD488" s="7"/>
      <c r="AE488" s="7"/>
      <c r="AF488" s="7"/>
      <c r="AG488" s="7"/>
      <c r="AH488" s="7"/>
      <c r="AI488" s="7"/>
      <c r="AJ488" s="19"/>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row>
    <row r="489">
      <c r="A489" s="7"/>
      <c r="B489" s="7"/>
      <c r="C489" s="7"/>
      <c r="D489" s="7"/>
      <c r="E489" s="19"/>
      <c r="F489" s="19"/>
      <c r="G489" s="19"/>
      <c r="H489" s="19"/>
      <c r="I489" s="19"/>
      <c r="J489" s="7"/>
      <c r="K489" s="19"/>
      <c r="L489" s="7"/>
      <c r="M489" s="7"/>
      <c r="N489" s="7"/>
      <c r="O489" s="7"/>
      <c r="P489" s="7"/>
      <c r="Q489" s="7"/>
      <c r="R489" s="7"/>
      <c r="S489" s="7"/>
      <c r="T489" s="7"/>
      <c r="U489" s="7"/>
      <c r="V489" s="388"/>
      <c r="W489" s="388"/>
      <c r="X489" s="388"/>
      <c r="Y489" s="7"/>
      <c r="Z489" s="7"/>
      <c r="AA489" s="7"/>
      <c r="AB489" s="7"/>
      <c r="AC489" s="7"/>
      <c r="AD489" s="7"/>
      <c r="AE489" s="7"/>
      <c r="AF489" s="7"/>
      <c r="AG489" s="7"/>
      <c r="AH489" s="7"/>
      <c r="AI489" s="7"/>
      <c r="AJ489" s="19"/>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row>
    <row r="490">
      <c r="A490" s="7"/>
      <c r="B490" s="7"/>
      <c r="C490" s="7"/>
      <c r="D490" s="7"/>
      <c r="E490" s="19"/>
      <c r="F490" s="19"/>
      <c r="G490" s="19"/>
      <c r="H490" s="19"/>
      <c r="I490" s="19"/>
      <c r="J490" s="7"/>
      <c r="K490" s="19"/>
      <c r="L490" s="7"/>
      <c r="M490" s="7"/>
      <c r="N490" s="7"/>
      <c r="O490" s="7"/>
      <c r="P490" s="7"/>
      <c r="Q490" s="7"/>
      <c r="R490" s="7"/>
      <c r="S490" s="7"/>
      <c r="T490" s="7"/>
      <c r="U490" s="7"/>
      <c r="V490" s="388"/>
      <c r="W490" s="388"/>
      <c r="X490" s="388"/>
      <c r="Y490" s="7"/>
      <c r="Z490" s="7"/>
      <c r="AA490" s="7"/>
      <c r="AB490" s="7"/>
      <c r="AC490" s="7"/>
      <c r="AD490" s="7"/>
      <c r="AE490" s="7"/>
      <c r="AF490" s="7"/>
      <c r="AG490" s="7"/>
      <c r="AH490" s="7"/>
      <c r="AI490" s="7"/>
      <c r="AJ490" s="19"/>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row>
    <row r="491">
      <c r="A491" s="7"/>
      <c r="B491" s="7"/>
      <c r="C491" s="7"/>
      <c r="D491" s="7"/>
      <c r="E491" s="19"/>
      <c r="F491" s="19"/>
      <c r="G491" s="19"/>
      <c r="H491" s="19"/>
      <c r="I491" s="19"/>
      <c r="J491" s="7"/>
      <c r="K491" s="19"/>
      <c r="L491" s="7"/>
      <c r="M491" s="7"/>
      <c r="N491" s="7"/>
      <c r="O491" s="7"/>
      <c r="P491" s="7"/>
      <c r="Q491" s="7"/>
      <c r="R491" s="7"/>
      <c r="S491" s="7"/>
      <c r="T491" s="7"/>
      <c r="U491" s="7"/>
      <c r="V491" s="388"/>
      <c r="W491" s="388"/>
      <c r="X491" s="388"/>
      <c r="Y491" s="7"/>
      <c r="Z491" s="7"/>
      <c r="AA491" s="7"/>
      <c r="AB491" s="7"/>
      <c r="AC491" s="7"/>
      <c r="AD491" s="7"/>
      <c r="AE491" s="7"/>
      <c r="AF491" s="7"/>
      <c r="AG491" s="7"/>
      <c r="AH491" s="7"/>
      <c r="AI491" s="7"/>
      <c r="AJ491" s="19"/>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row>
    <row r="492">
      <c r="A492" s="7"/>
      <c r="B492" s="7"/>
      <c r="C492" s="7"/>
      <c r="D492" s="7"/>
      <c r="E492" s="19"/>
      <c r="F492" s="19"/>
      <c r="G492" s="19"/>
      <c r="H492" s="19"/>
      <c r="I492" s="19"/>
      <c r="J492" s="7"/>
      <c r="K492" s="19"/>
      <c r="L492" s="7"/>
      <c r="M492" s="7"/>
      <c r="N492" s="7"/>
      <c r="O492" s="7"/>
      <c r="P492" s="7"/>
      <c r="Q492" s="7"/>
      <c r="R492" s="7"/>
      <c r="S492" s="7"/>
      <c r="T492" s="7"/>
      <c r="U492" s="7"/>
      <c r="V492" s="388"/>
      <c r="W492" s="388"/>
      <c r="X492" s="388"/>
      <c r="Y492" s="7"/>
      <c r="Z492" s="7"/>
      <c r="AA492" s="7"/>
      <c r="AB492" s="7"/>
      <c r="AC492" s="7"/>
      <c r="AD492" s="7"/>
      <c r="AE492" s="7"/>
      <c r="AF492" s="7"/>
      <c r="AG492" s="7"/>
      <c r="AH492" s="7"/>
      <c r="AI492" s="7"/>
      <c r="AJ492" s="19"/>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row>
    <row r="493">
      <c r="A493" s="7"/>
      <c r="B493" s="7"/>
      <c r="C493" s="7"/>
      <c r="D493" s="7"/>
      <c r="E493" s="19"/>
      <c r="F493" s="19"/>
      <c r="G493" s="19"/>
      <c r="H493" s="19"/>
      <c r="I493" s="19"/>
      <c r="J493" s="7"/>
      <c r="K493" s="19"/>
      <c r="L493" s="7"/>
      <c r="M493" s="7"/>
      <c r="N493" s="7"/>
      <c r="O493" s="7"/>
      <c r="P493" s="7"/>
      <c r="Q493" s="7"/>
      <c r="R493" s="7"/>
      <c r="S493" s="7"/>
      <c r="T493" s="7"/>
      <c r="U493" s="7"/>
      <c r="V493" s="388"/>
      <c r="W493" s="388"/>
      <c r="X493" s="388"/>
      <c r="Y493" s="7"/>
      <c r="Z493" s="7"/>
      <c r="AA493" s="7"/>
      <c r="AB493" s="7"/>
      <c r="AC493" s="7"/>
      <c r="AD493" s="7"/>
      <c r="AE493" s="7"/>
      <c r="AF493" s="7"/>
      <c r="AG493" s="7"/>
      <c r="AH493" s="7"/>
      <c r="AI493" s="7"/>
      <c r="AJ493" s="19"/>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row>
    <row r="494">
      <c r="A494" s="7"/>
      <c r="B494" s="7"/>
      <c r="C494" s="7"/>
      <c r="D494" s="7"/>
      <c r="E494" s="19"/>
      <c r="F494" s="19"/>
      <c r="G494" s="19"/>
      <c r="H494" s="19"/>
      <c r="I494" s="19"/>
      <c r="J494" s="7"/>
      <c r="K494" s="19"/>
      <c r="L494" s="7"/>
      <c r="M494" s="7"/>
      <c r="N494" s="7"/>
      <c r="O494" s="7"/>
      <c r="P494" s="7"/>
      <c r="Q494" s="7"/>
      <c r="R494" s="7"/>
      <c r="S494" s="7"/>
      <c r="T494" s="7"/>
      <c r="U494" s="7"/>
      <c r="V494" s="388"/>
      <c r="W494" s="388"/>
      <c r="X494" s="388"/>
      <c r="Y494" s="7"/>
      <c r="Z494" s="7"/>
      <c r="AA494" s="7"/>
      <c r="AB494" s="7"/>
      <c r="AC494" s="7"/>
      <c r="AD494" s="7"/>
      <c r="AE494" s="7"/>
      <c r="AF494" s="7"/>
      <c r="AG494" s="7"/>
      <c r="AH494" s="7"/>
      <c r="AI494" s="7"/>
      <c r="AJ494" s="19"/>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row>
    <row r="495">
      <c r="A495" s="7"/>
      <c r="B495" s="7"/>
      <c r="C495" s="7"/>
      <c r="D495" s="7"/>
      <c r="E495" s="19"/>
      <c r="F495" s="19"/>
      <c r="G495" s="19"/>
      <c r="H495" s="19"/>
      <c r="I495" s="19"/>
      <c r="J495" s="7"/>
      <c r="K495" s="19"/>
      <c r="L495" s="7"/>
      <c r="M495" s="7"/>
      <c r="N495" s="7"/>
      <c r="O495" s="7"/>
      <c r="P495" s="7"/>
      <c r="Q495" s="7"/>
      <c r="R495" s="7"/>
      <c r="S495" s="7"/>
      <c r="T495" s="7"/>
      <c r="U495" s="7"/>
      <c r="V495" s="388"/>
      <c r="W495" s="388"/>
      <c r="X495" s="388"/>
      <c r="Y495" s="7"/>
      <c r="Z495" s="7"/>
      <c r="AA495" s="7"/>
      <c r="AB495" s="7"/>
      <c r="AC495" s="7"/>
      <c r="AD495" s="7"/>
      <c r="AE495" s="7"/>
      <c r="AF495" s="7"/>
      <c r="AG495" s="7"/>
      <c r="AH495" s="7"/>
      <c r="AI495" s="7"/>
      <c r="AJ495" s="19"/>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row>
    <row r="496">
      <c r="A496" s="7"/>
      <c r="B496" s="7"/>
      <c r="C496" s="7"/>
      <c r="D496" s="7"/>
      <c r="E496" s="19"/>
      <c r="F496" s="19"/>
      <c r="G496" s="19"/>
      <c r="H496" s="19"/>
      <c r="I496" s="19"/>
      <c r="J496" s="7"/>
      <c r="K496" s="19"/>
      <c r="L496" s="7"/>
      <c r="M496" s="7"/>
      <c r="N496" s="7"/>
      <c r="O496" s="7"/>
      <c r="P496" s="7"/>
      <c r="Q496" s="7"/>
      <c r="R496" s="7"/>
      <c r="S496" s="7"/>
      <c r="T496" s="7"/>
      <c r="U496" s="7"/>
      <c r="V496" s="388"/>
      <c r="W496" s="388"/>
      <c r="X496" s="388"/>
      <c r="Y496" s="7"/>
      <c r="Z496" s="7"/>
      <c r="AA496" s="7"/>
      <c r="AB496" s="7"/>
      <c r="AC496" s="7"/>
      <c r="AD496" s="7"/>
      <c r="AE496" s="7"/>
      <c r="AF496" s="7"/>
      <c r="AG496" s="7"/>
      <c r="AH496" s="7"/>
      <c r="AI496" s="7"/>
      <c r="AJ496" s="19"/>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row>
    <row r="497">
      <c r="A497" s="7"/>
      <c r="B497" s="7"/>
      <c r="C497" s="7"/>
      <c r="D497" s="7"/>
      <c r="E497" s="19"/>
      <c r="F497" s="19"/>
      <c r="G497" s="19"/>
      <c r="H497" s="19"/>
      <c r="I497" s="19"/>
      <c r="J497" s="7"/>
      <c r="K497" s="19"/>
      <c r="L497" s="7"/>
      <c r="M497" s="7"/>
      <c r="N497" s="7"/>
      <c r="O497" s="7"/>
      <c r="P497" s="7"/>
      <c r="Q497" s="7"/>
      <c r="R497" s="7"/>
      <c r="S497" s="7"/>
      <c r="T497" s="7"/>
      <c r="U497" s="7"/>
      <c r="V497" s="388"/>
      <c r="W497" s="388"/>
      <c r="X497" s="388"/>
      <c r="Y497" s="7"/>
      <c r="Z497" s="7"/>
      <c r="AA497" s="7"/>
      <c r="AB497" s="7"/>
      <c r="AC497" s="7"/>
      <c r="AD497" s="7"/>
      <c r="AE497" s="7"/>
      <c r="AF497" s="7"/>
      <c r="AG497" s="7"/>
      <c r="AH497" s="7"/>
      <c r="AI497" s="7"/>
      <c r="AJ497" s="19"/>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row>
    <row r="498">
      <c r="A498" s="7"/>
      <c r="B498" s="7"/>
      <c r="C498" s="7"/>
      <c r="D498" s="7"/>
      <c r="E498" s="19"/>
      <c r="F498" s="19"/>
      <c r="G498" s="19"/>
      <c r="H498" s="19"/>
      <c r="I498" s="19"/>
      <c r="J498" s="7"/>
      <c r="K498" s="19"/>
      <c r="L498" s="7"/>
      <c r="M498" s="7"/>
      <c r="N498" s="7"/>
      <c r="O498" s="7"/>
      <c r="P498" s="7"/>
      <c r="Q498" s="7"/>
      <c r="R498" s="7"/>
      <c r="S498" s="7"/>
      <c r="T498" s="7"/>
      <c r="U498" s="7"/>
      <c r="V498" s="388"/>
      <c r="W498" s="388"/>
      <c r="X498" s="388"/>
      <c r="Y498" s="7"/>
      <c r="Z498" s="7"/>
      <c r="AA498" s="7"/>
      <c r="AB498" s="7"/>
      <c r="AC498" s="7"/>
      <c r="AD498" s="7"/>
      <c r="AE498" s="7"/>
      <c r="AF498" s="7"/>
      <c r="AG498" s="7"/>
      <c r="AH498" s="7"/>
      <c r="AI498" s="7"/>
      <c r="AJ498" s="19"/>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row>
    <row r="499">
      <c r="A499" s="7"/>
      <c r="B499" s="7"/>
      <c r="C499" s="7"/>
      <c r="D499" s="7"/>
      <c r="E499" s="19"/>
      <c r="F499" s="19"/>
      <c r="G499" s="19"/>
      <c r="H499" s="19"/>
      <c r="I499" s="19"/>
      <c r="J499" s="7"/>
      <c r="K499" s="19"/>
      <c r="L499" s="7"/>
      <c r="M499" s="7"/>
      <c r="N499" s="7"/>
      <c r="O499" s="7"/>
      <c r="P499" s="7"/>
      <c r="Q499" s="7"/>
      <c r="R499" s="7"/>
      <c r="S499" s="7"/>
      <c r="T499" s="7"/>
      <c r="U499" s="7"/>
      <c r="V499" s="388"/>
      <c r="W499" s="388"/>
      <c r="X499" s="388"/>
      <c r="Y499" s="7"/>
      <c r="Z499" s="7"/>
      <c r="AA499" s="7"/>
      <c r="AB499" s="7"/>
      <c r="AC499" s="7"/>
      <c r="AD499" s="7"/>
      <c r="AE499" s="7"/>
      <c r="AF499" s="7"/>
      <c r="AG499" s="7"/>
      <c r="AH499" s="7"/>
      <c r="AI499" s="7"/>
      <c r="AJ499" s="19"/>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row>
    <row r="500">
      <c r="A500" s="7"/>
      <c r="B500" s="7"/>
      <c r="C500" s="7"/>
      <c r="D500" s="7"/>
      <c r="E500" s="19"/>
      <c r="F500" s="19"/>
      <c r="G500" s="19"/>
      <c r="H500" s="19"/>
      <c r="I500" s="19"/>
      <c r="J500" s="7"/>
      <c r="K500" s="19"/>
      <c r="L500" s="7"/>
      <c r="M500" s="7"/>
      <c r="N500" s="7"/>
      <c r="O500" s="7"/>
      <c r="P500" s="7"/>
      <c r="Q500" s="7"/>
      <c r="R500" s="7"/>
      <c r="S500" s="7"/>
      <c r="T500" s="7"/>
      <c r="U500" s="7"/>
      <c r="V500" s="388"/>
      <c r="W500" s="388"/>
      <c r="X500" s="388"/>
      <c r="Y500" s="7"/>
      <c r="Z500" s="7"/>
      <c r="AA500" s="7"/>
      <c r="AB500" s="7"/>
      <c r="AC500" s="7"/>
      <c r="AD500" s="7"/>
      <c r="AE500" s="7"/>
      <c r="AF500" s="7"/>
      <c r="AG500" s="7"/>
      <c r="AH500" s="7"/>
      <c r="AI500" s="7"/>
      <c r="AJ500" s="19"/>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row>
    <row r="501">
      <c r="A501" s="7"/>
      <c r="B501" s="7"/>
      <c r="C501" s="7"/>
      <c r="D501" s="7"/>
      <c r="E501" s="19"/>
      <c r="F501" s="19"/>
      <c r="G501" s="19"/>
      <c r="H501" s="19"/>
      <c r="I501" s="19"/>
      <c r="J501" s="7"/>
      <c r="K501" s="19"/>
      <c r="L501" s="7"/>
      <c r="M501" s="7"/>
      <c r="N501" s="7"/>
      <c r="O501" s="7"/>
      <c r="P501" s="7"/>
      <c r="Q501" s="7"/>
      <c r="R501" s="7"/>
      <c r="S501" s="7"/>
      <c r="T501" s="7"/>
      <c r="U501" s="7"/>
      <c r="V501" s="388"/>
      <c r="W501" s="388"/>
      <c r="X501" s="388"/>
      <c r="Y501" s="7"/>
      <c r="Z501" s="7"/>
      <c r="AA501" s="7"/>
      <c r="AB501" s="7"/>
      <c r="AC501" s="7"/>
      <c r="AD501" s="7"/>
      <c r="AE501" s="7"/>
      <c r="AF501" s="7"/>
      <c r="AG501" s="7"/>
      <c r="AH501" s="7"/>
      <c r="AI501" s="7"/>
      <c r="AJ501" s="19"/>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row>
    <row r="502">
      <c r="A502" s="7"/>
      <c r="B502" s="7"/>
      <c r="C502" s="7"/>
      <c r="D502" s="7"/>
      <c r="E502" s="19"/>
      <c r="F502" s="19"/>
      <c r="G502" s="19"/>
      <c r="H502" s="19"/>
      <c r="I502" s="19"/>
      <c r="J502" s="7"/>
      <c r="K502" s="19"/>
      <c r="L502" s="7"/>
      <c r="M502" s="7"/>
      <c r="N502" s="7"/>
      <c r="O502" s="7"/>
      <c r="P502" s="7"/>
      <c r="Q502" s="7"/>
      <c r="R502" s="7"/>
      <c r="S502" s="7"/>
      <c r="T502" s="7"/>
      <c r="U502" s="7"/>
      <c r="V502" s="388"/>
      <c r="W502" s="388"/>
      <c r="X502" s="388"/>
      <c r="Y502" s="7"/>
      <c r="Z502" s="7"/>
      <c r="AA502" s="7"/>
      <c r="AB502" s="7"/>
      <c r="AC502" s="7"/>
      <c r="AD502" s="7"/>
      <c r="AE502" s="7"/>
      <c r="AF502" s="7"/>
      <c r="AG502" s="7"/>
      <c r="AH502" s="7"/>
      <c r="AI502" s="7"/>
      <c r="AJ502" s="19"/>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row>
    <row r="503">
      <c r="A503" s="7"/>
      <c r="B503" s="7"/>
      <c r="C503" s="7"/>
      <c r="D503" s="7"/>
      <c r="E503" s="19"/>
      <c r="F503" s="19"/>
      <c r="G503" s="19"/>
      <c r="H503" s="19"/>
      <c r="I503" s="19"/>
      <c r="J503" s="7"/>
      <c r="K503" s="19"/>
      <c r="L503" s="7"/>
      <c r="M503" s="7"/>
      <c r="N503" s="7"/>
      <c r="O503" s="7"/>
      <c r="P503" s="7"/>
      <c r="Q503" s="7"/>
      <c r="R503" s="7"/>
      <c r="S503" s="7"/>
      <c r="T503" s="7"/>
      <c r="U503" s="7"/>
      <c r="V503" s="388"/>
      <c r="W503" s="388"/>
      <c r="X503" s="388"/>
      <c r="Y503" s="7"/>
      <c r="Z503" s="7"/>
      <c r="AA503" s="7"/>
      <c r="AB503" s="7"/>
      <c r="AC503" s="7"/>
      <c r="AD503" s="7"/>
      <c r="AE503" s="7"/>
      <c r="AF503" s="7"/>
      <c r="AG503" s="7"/>
      <c r="AH503" s="7"/>
      <c r="AI503" s="7"/>
      <c r="AJ503" s="19"/>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row>
    <row r="504">
      <c r="A504" s="7"/>
      <c r="B504" s="7"/>
      <c r="C504" s="7"/>
      <c r="D504" s="7"/>
      <c r="E504" s="19"/>
      <c r="F504" s="19"/>
      <c r="G504" s="19"/>
      <c r="H504" s="19"/>
      <c r="I504" s="19"/>
      <c r="J504" s="7"/>
      <c r="K504" s="19"/>
      <c r="L504" s="7"/>
      <c r="M504" s="7"/>
      <c r="N504" s="7"/>
      <c r="O504" s="7"/>
      <c r="P504" s="7"/>
      <c r="Q504" s="7"/>
      <c r="R504" s="7"/>
      <c r="S504" s="7"/>
      <c r="T504" s="7"/>
      <c r="U504" s="7"/>
      <c r="V504" s="388"/>
      <c r="W504" s="388"/>
      <c r="X504" s="388"/>
      <c r="Y504" s="7"/>
      <c r="Z504" s="7"/>
      <c r="AA504" s="7"/>
      <c r="AB504" s="7"/>
      <c r="AC504" s="7"/>
      <c r="AD504" s="7"/>
      <c r="AE504" s="7"/>
      <c r="AF504" s="7"/>
      <c r="AG504" s="7"/>
      <c r="AH504" s="7"/>
      <c r="AI504" s="7"/>
      <c r="AJ504" s="19"/>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row>
    <row r="505">
      <c r="A505" s="7"/>
      <c r="B505" s="7"/>
      <c r="C505" s="7"/>
      <c r="D505" s="7"/>
      <c r="E505" s="19"/>
      <c r="F505" s="19"/>
      <c r="G505" s="19"/>
      <c r="H505" s="19"/>
      <c r="I505" s="19"/>
      <c r="J505" s="7"/>
      <c r="K505" s="19"/>
      <c r="L505" s="7"/>
      <c r="M505" s="7"/>
      <c r="N505" s="7"/>
      <c r="O505" s="7"/>
      <c r="P505" s="7"/>
      <c r="Q505" s="7"/>
      <c r="R505" s="7"/>
      <c r="S505" s="7"/>
      <c r="T505" s="7"/>
      <c r="U505" s="7"/>
      <c r="V505" s="388"/>
      <c r="W505" s="388"/>
      <c r="X505" s="388"/>
      <c r="Y505" s="7"/>
      <c r="Z505" s="7"/>
      <c r="AA505" s="7"/>
      <c r="AB505" s="7"/>
      <c r="AC505" s="7"/>
      <c r="AD505" s="7"/>
      <c r="AE505" s="7"/>
      <c r="AF505" s="7"/>
      <c r="AG505" s="7"/>
      <c r="AH505" s="7"/>
      <c r="AI505" s="7"/>
      <c r="AJ505" s="19"/>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row>
    <row r="506">
      <c r="A506" s="7"/>
      <c r="B506" s="7"/>
      <c r="C506" s="7"/>
      <c r="D506" s="7"/>
      <c r="E506" s="19"/>
      <c r="F506" s="19"/>
      <c r="G506" s="19"/>
      <c r="H506" s="19"/>
      <c r="I506" s="19"/>
      <c r="J506" s="7"/>
      <c r="K506" s="19"/>
      <c r="L506" s="7"/>
      <c r="M506" s="7"/>
      <c r="N506" s="7"/>
      <c r="O506" s="7"/>
      <c r="P506" s="7"/>
      <c r="Q506" s="7"/>
      <c r="R506" s="7"/>
      <c r="S506" s="7"/>
      <c r="T506" s="7"/>
      <c r="U506" s="7"/>
      <c r="V506" s="388"/>
      <c r="W506" s="388"/>
      <c r="X506" s="388"/>
      <c r="Y506" s="7"/>
      <c r="Z506" s="7"/>
      <c r="AA506" s="7"/>
      <c r="AB506" s="7"/>
      <c r="AC506" s="7"/>
      <c r="AD506" s="7"/>
      <c r="AE506" s="7"/>
      <c r="AF506" s="7"/>
      <c r="AG506" s="7"/>
      <c r="AH506" s="7"/>
      <c r="AI506" s="7"/>
      <c r="AJ506" s="19"/>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row>
    <row r="507">
      <c r="A507" s="7"/>
      <c r="B507" s="7"/>
      <c r="C507" s="7"/>
      <c r="D507" s="7"/>
      <c r="E507" s="19"/>
      <c r="F507" s="19"/>
      <c r="G507" s="19"/>
      <c r="H507" s="19"/>
      <c r="I507" s="19"/>
      <c r="J507" s="7"/>
      <c r="K507" s="19"/>
      <c r="L507" s="7"/>
      <c r="M507" s="7"/>
      <c r="N507" s="7"/>
      <c r="O507" s="7"/>
      <c r="P507" s="7"/>
      <c r="Q507" s="7"/>
      <c r="R507" s="7"/>
      <c r="S507" s="7"/>
      <c r="T507" s="7"/>
      <c r="U507" s="7"/>
      <c r="V507" s="388"/>
      <c r="W507" s="388"/>
      <c r="X507" s="388"/>
      <c r="Y507" s="7"/>
      <c r="Z507" s="7"/>
      <c r="AA507" s="7"/>
      <c r="AB507" s="7"/>
      <c r="AC507" s="7"/>
      <c r="AD507" s="7"/>
      <c r="AE507" s="7"/>
      <c r="AF507" s="7"/>
      <c r="AG507" s="7"/>
      <c r="AH507" s="7"/>
      <c r="AI507" s="7"/>
      <c r="AJ507" s="19"/>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row>
    <row r="508">
      <c r="A508" s="7"/>
      <c r="B508" s="7"/>
      <c r="C508" s="7"/>
      <c r="D508" s="7"/>
      <c r="E508" s="19"/>
      <c r="F508" s="19"/>
      <c r="G508" s="19"/>
      <c r="H508" s="19"/>
      <c r="I508" s="19"/>
      <c r="J508" s="7"/>
      <c r="K508" s="19"/>
      <c r="L508" s="7"/>
      <c r="M508" s="7"/>
      <c r="N508" s="7"/>
      <c r="O508" s="7"/>
      <c r="P508" s="7"/>
      <c r="Q508" s="7"/>
      <c r="R508" s="7"/>
      <c r="S508" s="7"/>
      <c r="T508" s="7"/>
      <c r="U508" s="7"/>
      <c r="V508" s="388"/>
      <c r="W508" s="388"/>
      <c r="X508" s="388"/>
      <c r="Y508" s="7"/>
      <c r="Z508" s="7"/>
      <c r="AA508" s="7"/>
      <c r="AB508" s="7"/>
      <c r="AC508" s="7"/>
      <c r="AD508" s="7"/>
      <c r="AE508" s="7"/>
      <c r="AF508" s="7"/>
      <c r="AG508" s="7"/>
      <c r="AH508" s="7"/>
      <c r="AI508" s="7"/>
      <c r="AJ508" s="19"/>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row>
    <row r="509">
      <c r="A509" s="7"/>
      <c r="B509" s="7"/>
      <c r="C509" s="7"/>
      <c r="D509" s="7"/>
      <c r="E509" s="19"/>
      <c r="F509" s="19"/>
      <c r="G509" s="19"/>
      <c r="H509" s="19"/>
      <c r="I509" s="19"/>
      <c r="J509" s="7"/>
      <c r="K509" s="19"/>
      <c r="L509" s="7"/>
      <c r="M509" s="7"/>
      <c r="N509" s="7"/>
      <c r="O509" s="7"/>
      <c r="P509" s="7"/>
      <c r="Q509" s="7"/>
      <c r="R509" s="7"/>
      <c r="S509" s="7"/>
      <c r="T509" s="7"/>
      <c r="U509" s="7"/>
      <c r="V509" s="388"/>
      <c r="W509" s="388"/>
      <c r="X509" s="388"/>
      <c r="Y509" s="7"/>
      <c r="Z509" s="7"/>
      <c r="AA509" s="7"/>
      <c r="AB509" s="7"/>
      <c r="AC509" s="7"/>
      <c r="AD509" s="7"/>
      <c r="AE509" s="7"/>
      <c r="AF509" s="7"/>
      <c r="AG509" s="7"/>
      <c r="AH509" s="7"/>
      <c r="AI509" s="7"/>
      <c r="AJ509" s="19"/>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row>
    <row r="510">
      <c r="A510" s="7"/>
      <c r="B510" s="7"/>
      <c r="C510" s="7"/>
      <c r="D510" s="7"/>
      <c r="E510" s="19"/>
      <c r="F510" s="19"/>
      <c r="G510" s="19"/>
      <c r="H510" s="19"/>
      <c r="I510" s="19"/>
      <c r="J510" s="7"/>
      <c r="K510" s="19"/>
      <c r="L510" s="7"/>
      <c r="M510" s="7"/>
      <c r="N510" s="7"/>
      <c r="O510" s="7"/>
      <c r="P510" s="7"/>
      <c r="Q510" s="7"/>
      <c r="R510" s="7"/>
      <c r="S510" s="7"/>
      <c r="T510" s="7"/>
      <c r="U510" s="7"/>
      <c r="V510" s="388"/>
      <c r="W510" s="388"/>
      <c r="X510" s="388"/>
      <c r="Y510" s="7"/>
      <c r="Z510" s="7"/>
      <c r="AA510" s="7"/>
      <c r="AB510" s="7"/>
      <c r="AC510" s="7"/>
      <c r="AD510" s="7"/>
      <c r="AE510" s="7"/>
      <c r="AF510" s="7"/>
      <c r="AG510" s="7"/>
      <c r="AH510" s="7"/>
      <c r="AI510" s="7"/>
      <c r="AJ510" s="19"/>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row>
    <row r="511">
      <c r="A511" s="7"/>
      <c r="B511" s="7"/>
      <c r="C511" s="7"/>
      <c r="D511" s="7"/>
      <c r="E511" s="19"/>
      <c r="F511" s="19"/>
      <c r="G511" s="19"/>
      <c r="H511" s="19"/>
      <c r="I511" s="19"/>
      <c r="J511" s="7"/>
      <c r="K511" s="19"/>
      <c r="L511" s="7"/>
      <c r="M511" s="7"/>
      <c r="N511" s="7"/>
      <c r="O511" s="7"/>
      <c r="P511" s="7"/>
      <c r="Q511" s="7"/>
      <c r="R511" s="7"/>
      <c r="S511" s="7"/>
      <c r="T511" s="7"/>
      <c r="U511" s="7"/>
      <c r="V511" s="388"/>
      <c r="W511" s="388"/>
      <c r="X511" s="388"/>
      <c r="Y511" s="7"/>
      <c r="Z511" s="7"/>
      <c r="AA511" s="7"/>
      <c r="AB511" s="7"/>
      <c r="AC511" s="7"/>
      <c r="AD511" s="7"/>
      <c r="AE511" s="7"/>
      <c r="AF511" s="7"/>
      <c r="AG511" s="7"/>
      <c r="AH511" s="7"/>
      <c r="AI511" s="7"/>
      <c r="AJ511" s="19"/>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row>
    <row r="512">
      <c r="A512" s="7"/>
      <c r="B512" s="7"/>
      <c r="C512" s="7"/>
      <c r="D512" s="7"/>
      <c r="E512" s="19"/>
      <c r="F512" s="19"/>
      <c r="G512" s="19"/>
      <c r="H512" s="19"/>
      <c r="I512" s="19"/>
      <c r="J512" s="7"/>
      <c r="K512" s="19"/>
      <c r="L512" s="7"/>
      <c r="M512" s="7"/>
      <c r="N512" s="7"/>
      <c r="O512" s="7"/>
      <c r="P512" s="7"/>
      <c r="Q512" s="7"/>
      <c r="R512" s="7"/>
      <c r="S512" s="7"/>
      <c r="T512" s="7"/>
      <c r="U512" s="7"/>
      <c r="V512" s="388"/>
      <c r="W512" s="388"/>
      <c r="X512" s="388"/>
      <c r="Y512" s="7"/>
      <c r="Z512" s="7"/>
      <c r="AA512" s="7"/>
      <c r="AB512" s="7"/>
      <c r="AC512" s="7"/>
      <c r="AD512" s="7"/>
      <c r="AE512" s="7"/>
      <c r="AF512" s="7"/>
      <c r="AG512" s="7"/>
      <c r="AH512" s="7"/>
      <c r="AI512" s="7"/>
      <c r="AJ512" s="19"/>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row>
    <row r="513">
      <c r="A513" s="7"/>
      <c r="B513" s="7"/>
      <c r="C513" s="7"/>
      <c r="D513" s="7"/>
      <c r="E513" s="19"/>
      <c r="F513" s="19"/>
      <c r="G513" s="19"/>
      <c r="H513" s="19"/>
      <c r="I513" s="19"/>
      <c r="J513" s="7"/>
      <c r="K513" s="19"/>
      <c r="L513" s="7"/>
      <c r="M513" s="7"/>
      <c r="N513" s="7"/>
      <c r="O513" s="7"/>
      <c r="P513" s="7"/>
      <c r="Q513" s="7"/>
      <c r="R513" s="7"/>
      <c r="S513" s="7"/>
      <c r="T513" s="7"/>
      <c r="U513" s="7"/>
      <c r="V513" s="388"/>
      <c r="W513" s="388"/>
      <c r="X513" s="388"/>
      <c r="Y513" s="7"/>
      <c r="Z513" s="7"/>
      <c r="AA513" s="7"/>
      <c r="AB513" s="7"/>
      <c r="AC513" s="7"/>
      <c r="AD513" s="7"/>
      <c r="AE513" s="7"/>
      <c r="AF513" s="7"/>
      <c r="AG513" s="7"/>
      <c r="AH513" s="7"/>
      <c r="AI513" s="7"/>
      <c r="AJ513" s="19"/>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row>
    <row r="514">
      <c r="A514" s="7"/>
      <c r="B514" s="7"/>
      <c r="C514" s="7"/>
      <c r="D514" s="7"/>
      <c r="E514" s="19"/>
      <c r="F514" s="19"/>
      <c r="G514" s="19"/>
      <c r="H514" s="19"/>
      <c r="I514" s="19"/>
      <c r="J514" s="7"/>
      <c r="K514" s="19"/>
      <c r="L514" s="7"/>
      <c r="M514" s="7"/>
      <c r="N514" s="7"/>
      <c r="O514" s="7"/>
      <c r="P514" s="7"/>
      <c r="Q514" s="7"/>
      <c r="R514" s="7"/>
      <c r="S514" s="7"/>
      <c r="T514" s="7"/>
      <c r="U514" s="7"/>
      <c r="V514" s="388"/>
      <c r="W514" s="388"/>
      <c r="X514" s="388"/>
      <c r="Y514" s="7"/>
      <c r="Z514" s="7"/>
      <c r="AA514" s="7"/>
      <c r="AB514" s="7"/>
      <c r="AC514" s="7"/>
      <c r="AD514" s="7"/>
      <c r="AE514" s="7"/>
      <c r="AF514" s="7"/>
      <c r="AG514" s="7"/>
      <c r="AH514" s="7"/>
      <c r="AI514" s="7"/>
      <c r="AJ514" s="19"/>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row>
    <row r="515">
      <c r="A515" s="7"/>
      <c r="B515" s="7"/>
      <c r="C515" s="7"/>
      <c r="D515" s="7"/>
      <c r="E515" s="19"/>
      <c r="F515" s="19"/>
      <c r="G515" s="19"/>
      <c r="H515" s="19"/>
      <c r="I515" s="19"/>
      <c r="J515" s="7"/>
      <c r="K515" s="19"/>
      <c r="L515" s="7"/>
      <c r="M515" s="7"/>
      <c r="N515" s="7"/>
      <c r="O515" s="7"/>
      <c r="P515" s="7"/>
      <c r="Q515" s="7"/>
      <c r="R515" s="7"/>
      <c r="S515" s="7"/>
      <c r="T515" s="7"/>
      <c r="U515" s="7"/>
      <c r="V515" s="388"/>
      <c r="W515" s="388"/>
      <c r="X515" s="388"/>
      <c r="Y515" s="7"/>
      <c r="Z515" s="7"/>
      <c r="AA515" s="7"/>
      <c r="AB515" s="7"/>
      <c r="AC515" s="7"/>
      <c r="AD515" s="7"/>
      <c r="AE515" s="7"/>
      <c r="AF515" s="7"/>
      <c r="AG515" s="7"/>
      <c r="AH515" s="7"/>
      <c r="AI515" s="7"/>
      <c r="AJ515" s="19"/>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row>
    <row r="516">
      <c r="A516" s="7"/>
      <c r="B516" s="7"/>
      <c r="C516" s="7"/>
      <c r="D516" s="7"/>
      <c r="E516" s="19"/>
      <c r="F516" s="19"/>
      <c r="G516" s="19"/>
      <c r="H516" s="19"/>
      <c r="I516" s="19"/>
      <c r="J516" s="7"/>
      <c r="K516" s="19"/>
      <c r="L516" s="7"/>
      <c r="M516" s="7"/>
      <c r="N516" s="7"/>
      <c r="O516" s="7"/>
      <c r="P516" s="7"/>
      <c r="Q516" s="7"/>
      <c r="R516" s="7"/>
      <c r="S516" s="7"/>
      <c r="T516" s="7"/>
      <c r="U516" s="7"/>
      <c r="V516" s="388"/>
      <c r="W516" s="388"/>
      <c r="X516" s="388"/>
      <c r="Y516" s="7"/>
      <c r="Z516" s="7"/>
      <c r="AA516" s="7"/>
      <c r="AB516" s="7"/>
      <c r="AC516" s="7"/>
      <c r="AD516" s="7"/>
      <c r="AE516" s="7"/>
      <c r="AF516" s="7"/>
      <c r="AG516" s="7"/>
      <c r="AH516" s="7"/>
      <c r="AI516" s="7"/>
      <c r="AJ516" s="19"/>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row>
    <row r="517">
      <c r="A517" s="7"/>
      <c r="B517" s="7"/>
      <c r="C517" s="7"/>
      <c r="D517" s="7"/>
      <c r="E517" s="19"/>
      <c r="F517" s="19"/>
      <c r="G517" s="19"/>
      <c r="H517" s="19"/>
      <c r="I517" s="19"/>
      <c r="J517" s="7"/>
      <c r="K517" s="19"/>
      <c r="L517" s="7"/>
      <c r="M517" s="7"/>
      <c r="N517" s="7"/>
      <c r="O517" s="7"/>
      <c r="P517" s="7"/>
      <c r="Q517" s="7"/>
      <c r="R517" s="7"/>
      <c r="S517" s="7"/>
      <c r="T517" s="7"/>
      <c r="U517" s="7"/>
      <c r="V517" s="388"/>
      <c r="W517" s="388"/>
      <c r="X517" s="388"/>
      <c r="Y517" s="7"/>
      <c r="Z517" s="7"/>
      <c r="AA517" s="7"/>
      <c r="AB517" s="7"/>
      <c r="AC517" s="7"/>
      <c r="AD517" s="7"/>
      <c r="AE517" s="7"/>
      <c r="AF517" s="7"/>
      <c r="AG517" s="7"/>
      <c r="AH517" s="7"/>
      <c r="AI517" s="7"/>
      <c r="AJ517" s="19"/>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row>
    <row r="518">
      <c r="A518" s="7"/>
      <c r="B518" s="7"/>
      <c r="C518" s="7"/>
      <c r="D518" s="7"/>
      <c r="E518" s="19"/>
      <c r="F518" s="19"/>
      <c r="G518" s="19"/>
      <c r="H518" s="19"/>
      <c r="I518" s="19"/>
      <c r="J518" s="7"/>
      <c r="K518" s="19"/>
      <c r="L518" s="7"/>
      <c r="M518" s="7"/>
      <c r="N518" s="7"/>
      <c r="O518" s="7"/>
      <c r="P518" s="7"/>
      <c r="Q518" s="7"/>
      <c r="R518" s="7"/>
      <c r="S518" s="7"/>
      <c r="T518" s="7"/>
      <c r="U518" s="7"/>
      <c r="V518" s="388"/>
      <c r="W518" s="388"/>
      <c r="X518" s="388"/>
      <c r="Y518" s="7"/>
      <c r="Z518" s="7"/>
      <c r="AA518" s="7"/>
      <c r="AB518" s="7"/>
      <c r="AC518" s="7"/>
      <c r="AD518" s="7"/>
      <c r="AE518" s="7"/>
      <c r="AF518" s="7"/>
      <c r="AG518" s="7"/>
      <c r="AH518" s="7"/>
      <c r="AI518" s="7"/>
      <c r="AJ518" s="19"/>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row>
    <row r="519">
      <c r="A519" s="7"/>
      <c r="B519" s="7"/>
      <c r="C519" s="7"/>
      <c r="D519" s="7"/>
      <c r="E519" s="19"/>
      <c r="F519" s="19"/>
      <c r="G519" s="19"/>
      <c r="H519" s="19"/>
      <c r="I519" s="19"/>
      <c r="J519" s="7"/>
      <c r="K519" s="19"/>
      <c r="L519" s="7"/>
      <c r="M519" s="7"/>
      <c r="N519" s="7"/>
      <c r="O519" s="7"/>
      <c r="P519" s="7"/>
      <c r="Q519" s="7"/>
      <c r="R519" s="7"/>
      <c r="S519" s="7"/>
      <c r="T519" s="7"/>
      <c r="U519" s="7"/>
      <c r="V519" s="388"/>
      <c r="W519" s="388"/>
      <c r="X519" s="388"/>
      <c r="Y519" s="7"/>
      <c r="Z519" s="7"/>
      <c r="AA519" s="7"/>
      <c r="AB519" s="7"/>
      <c r="AC519" s="7"/>
      <c r="AD519" s="7"/>
      <c r="AE519" s="7"/>
      <c r="AF519" s="7"/>
      <c r="AG519" s="7"/>
      <c r="AH519" s="7"/>
      <c r="AI519" s="7"/>
      <c r="AJ519" s="19"/>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row>
    <row r="520">
      <c r="A520" s="7"/>
      <c r="B520" s="7"/>
      <c r="C520" s="7"/>
      <c r="D520" s="7"/>
      <c r="E520" s="19"/>
      <c r="F520" s="19"/>
      <c r="G520" s="19"/>
      <c r="H520" s="19"/>
      <c r="I520" s="19"/>
      <c r="J520" s="7"/>
      <c r="K520" s="19"/>
      <c r="L520" s="7"/>
      <c r="M520" s="7"/>
      <c r="N520" s="7"/>
      <c r="O520" s="7"/>
      <c r="P520" s="7"/>
      <c r="Q520" s="7"/>
      <c r="R520" s="7"/>
      <c r="S520" s="7"/>
      <c r="T520" s="7"/>
      <c r="U520" s="7"/>
      <c r="V520" s="388"/>
      <c r="W520" s="388"/>
      <c r="X520" s="388"/>
      <c r="Y520" s="7"/>
      <c r="Z520" s="7"/>
      <c r="AA520" s="7"/>
      <c r="AB520" s="7"/>
      <c r="AC520" s="7"/>
      <c r="AD520" s="7"/>
      <c r="AE520" s="7"/>
      <c r="AF520" s="7"/>
      <c r="AG520" s="7"/>
      <c r="AH520" s="7"/>
      <c r="AI520" s="7"/>
      <c r="AJ520" s="19"/>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row>
    <row r="521">
      <c r="A521" s="7"/>
      <c r="B521" s="7"/>
      <c r="C521" s="7"/>
      <c r="D521" s="7"/>
      <c r="E521" s="19"/>
      <c r="F521" s="19"/>
      <c r="G521" s="19"/>
      <c r="H521" s="19"/>
      <c r="I521" s="19"/>
      <c r="J521" s="7"/>
      <c r="K521" s="19"/>
      <c r="L521" s="7"/>
      <c r="M521" s="7"/>
      <c r="N521" s="7"/>
      <c r="O521" s="7"/>
      <c r="P521" s="7"/>
      <c r="Q521" s="7"/>
      <c r="R521" s="7"/>
      <c r="S521" s="7"/>
      <c r="T521" s="7"/>
      <c r="U521" s="7"/>
      <c r="V521" s="388"/>
      <c r="W521" s="388"/>
      <c r="X521" s="388"/>
      <c r="Y521" s="7"/>
      <c r="Z521" s="7"/>
      <c r="AA521" s="7"/>
      <c r="AB521" s="7"/>
      <c r="AC521" s="7"/>
      <c r="AD521" s="7"/>
      <c r="AE521" s="7"/>
      <c r="AF521" s="7"/>
      <c r="AG521" s="7"/>
      <c r="AH521" s="7"/>
      <c r="AI521" s="7"/>
      <c r="AJ521" s="19"/>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row>
    <row r="522">
      <c r="A522" s="7"/>
      <c r="B522" s="7"/>
      <c r="C522" s="7"/>
      <c r="D522" s="7"/>
      <c r="E522" s="19"/>
      <c r="F522" s="19"/>
      <c r="G522" s="19"/>
      <c r="H522" s="19"/>
      <c r="I522" s="19"/>
      <c r="J522" s="7"/>
      <c r="K522" s="19"/>
      <c r="L522" s="7"/>
      <c r="M522" s="7"/>
      <c r="N522" s="7"/>
      <c r="O522" s="7"/>
      <c r="P522" s="7"/>
      <c r="Q522" s="7"/>
      <c r="R522" s="7"/>
      <c r="S522" s="7"/>
      <c r="T522" s="7"/>
      <c r="U522" s="7"/>
      <c r="V522" s="388"/>
      <c r="W522" s="388"/>
      <c r="X522" s="388"/>
      <c r="Y522" s="7"/>
      <c r="Z522" s="7"/>
      <c r="AA522" s="7"/>
      <c r="AB522" s="7"/>
      <c r="AC522" s="7"/>
      <c r="AD522" s="7"/>
      <c r="AE522" s="7"/>
      <c r="AF522" s="7"/>
      <c r="AG522" s="7"/>
      <c r="AH522" s="7"/>
      <c r="AI522" s="7"/>
      <c r="AJ522" s="19"/>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row>
    <row r="523">
      <c r="A523" s="7"/>
      <c r="B523" s="7"/>
      <c r="C523" s="7"/>
      <c r="D523" s="7"/>
      <c r="E523" s="19"/>
      <c r="F523" s="19"/>
      <c r="G523" s="19"/>
      <c r="H523" s="19"/>
      <c r="I523" s="19"/>
      <c r="J523" s="7"/>
      <c r="K523" s="19"/>
      <c r="L523" s="7"/>
      <c r="M523" s="7"/>
      <c r="N523" s="7"/>
      <c r="O523" s="7"/>
      <c r="P523" s="7"/>
      <c r="Q523" s="7"/>
      <c r="R523" s="7"/>
      <c r="S523" s="7"/>
      <c r="T523" s="7"/>
      <c r="U523" s="7"/>
      <c r="V523" s="388"/>
      <c r="W523" s="388"/>
      <c r="X523" s="388"/>
      <c r="Y523" s="7"/>
      <c r="Z523" s="7"/>
      <c r="AA523" s="7"/>
      <c r="AB523" s="7"/>
      <c r="AC523" s="7"/>
      <c r="AD523" s="7"/>
      <c r="AE523" s="7"/>
      <c r="AF523" s="7"/>
      <c r="AG523" s="7"/>
      <c r="AH523" s="7"/>
      <c r="AI523" s="7"/>
      <c r="AJ523" s="19"/>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row>
    <row r="524">
      <c r="A524" s="7"/>
      <c r="B524" s="7"/>
      <c r="C524" s="7"/>
      <c r="D524" s="7"/>
      <c r="E524" s="19"/>
      <c r="F524" s="19"/>
      <c r="G524" s="19"/>
      <c r="H524" s="19"/>
      <c r="I524" s="19"/>
      <c r="J524" s="7"/>
      <c r="K524" s="19"/>
      <c r="L524" s="7"/>
      <c r="M524" s="7"/>
      <c r="N524" s="7"/>
      <c r="O524" s="7"/>
      <c r="P524" s="7"/>
      <c r="Q524" s="7"/>
      <c r="R524" s="7"/>
      <c r="S524" s="7"/>
      <c r="T524" s="7"/>
      <c r="U524" s="7"/>
      <c r="V524" s="388"/>
      <c r="W524" s="388"/>
      <c r="X524" s="388"/>
      <c r="Y524" s="7"/>
      <c r="Z524" s="7"/>
      <c r="AA524" s="7"/>
      <c r="AB524" s="7"/>
      <c r="AC524" s="7"/>
      <c r="AD524" s="7"/>
      <c r="AE524" s="7"/>
      <c r="AF524" s="7"/>
      <c r="AG524" s="7"/>
      <c r="AH524" s="7"/>
      <c r="AI524" s="7"/>
      <c r="AJ524" s="19"/>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row>
    <row r="525">
      <c r="A525" s="7"/>
      <c r="B525" s="7"/>
      <c r="C525" s="7"/>
      <c r="D525" s="7"/>
      <c r="E525" s="19"/>
      <c r="F525" s="19"/>
      <c r="G525" s="19"/>
      <c r="H525" s="19"/>
      <c r="I525" s="19"/>
      <c r="J525" s="7"/>
      <c r="K525" s="19"/>
      <c r="L525" s="7"/>
      <c r="M525" s="7"/>
      <c r="N525" s="7"/>
      <c r="O525" s="7"/>
      <c r="P525" s="7"/>
      <c r="Q525" s="7"/>
      <c r="R525" s="7"/>
      <c r="S525" s="7"/>
      <c r="T525" s="7"/>
      <c r="U525" s="7"/>
      <c r="V525" s="388"/>
      <c r="W525" s="388"/>
      <c r="X525" s="388"/>
      <c r="Y525" s="7"/>
      <c r="Z525" s="7"/>
      <c r="AA525" s="7"/>
      <c r="AB525" s="7"/>
      <c r="AC525" s="7"/>
      <c r="AD525" s="7"/>
      <c r="AE525" s="7"/>
      <c r="AF525" s="7"/>
      <c r="AG525" s="7"/>
      <c r="AH525" s="7"/>
      <c r="AI525" s="7"/>
      <c r="AJ525" s="19"/>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row>
    <row r="526">
      <c r="A526" s="7"/>
      <c r="B526" s="7"/>
      <c r="C526" s="7"/>
      <c r="D526" s="7"/>
      <c r="E526" s="19"/>
      <c r="F526" s="19"/>
      <c r="G526" s="19"/>
      <c r="H526" s="19"/>
      <c r="I526" s="19"/>
      <c r="J526" s="7"/>
      <c r="K526" s="19"/>
      <c r="L526" s="7"/>
      <c r="M526" s="7"/>
      <c r="N526" s="7"/>
      <c r="O526" s="7"/>
      <c r="P526" s="7"/>
      <c r="Q526" s="7"/>
      <c r="R526" s="7"/>
      <c r="S526" s="7"/>
      <c r="T526" s="7"/>
      <c r="U526" s="7"/>
      <c r="V526" s="388"/>
      <c r="W526" s="388"/>
      <c r="X526" s="388"/>
      <c r="Y526" s="7"/>
      <c r="Z526" s="7"/>
      <c r="AA526" s="7"/>
      <c r="AB526" s="7"/>
      <c r="AC526" s="7"/>
      <c r="AD526" s="7"/>
      <c r="AE526" s="7"/>
      <c r="AF526" s="7"/>
      <c r="AG526" s="7"/>
      <c r="AH526" s="7"/>
      <c r="AI526" s="7"/>
      <c r="AJ526" s="19"/>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row>
    <row r="527">
      <c r="A527" s="7"/>
      <c r="B527" s="7"/>
      <c r="C527" s="7"/>
      <c r="D527" s="7"/>
      <c r="E527" s="19"/>
      <c r="F527" s="19"/>
      <c r="G527" s="19"/>
      <c r="H527" s="19"/>
      <c r="I527" s="19"/>
      <c r="J527" s="7"/>
      <c r="K527" s="19"/>
      <c r="L527" s="7"/>
      <c r="M527" s="7"/>
      <c r="N527" s="7"/>
      <c r="O527" s="7"/>
      <c r="P527" s="7"/>
      <c r="Q527" s="7"/>
      <c r="R527" s="7"/>
      <c r="S527" s="7"/>
      <c r="T527" s="7"/>
      <c r="U527" s="7"/>
      <c r="V527" s="388"/>
      <c r="W527" s="388"/>
      <c r="X527" s="388"/>
      <c r="Y527" s="7"/>
      <c r="Z527" s="7"/>
      <c r="AA527" s="7"/>
      <c r="AB527" s="7"/>
      <c r="AC527" s="7"/>
      <c r="AD527" s="7"/>
      <c r="AE527" s="7"/>
      <c r="AF527" s="7"/>
      <c r="AG527" s="7"/>
      <c r="AH527" s="7"/>
      <c r="AI527" s="7"/>
      <c r="AJ527" s="19"/>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row>
    <row r="528">
      <c r="A528" s="7"/>
      <c r="B528" s="7"/>
      <c r="C528" s="7"/>
      <c r="D528" s="7"/>
      <c r="E528" s="19"/>
      <c r="F528" s="19"/>
      <c r="G528" s="19"/>
      <c r="H528" s="19"/>
      <c r="I528" s="19"/>
      <c r="J528" s="7"/>
      <c r="K528" s="19"/>
      <c r="L528" s="7"/>
      <c r="M528" s="7"/>
      <c r="N528" s="7"/>
      <c r="O528" s="7"/>
      <c r="P528" s="7"/>
      <c r="Q528" s="7"/>
      <c r="R528" s="7"/>
      <c r="S528" s="7"/>
      <c r="T528" s="7"/>
      <c r="U528" s="7"/>
      <c r="V528" s="388"/>
      <c r="W528" s="388"/>
      <c r="X528" s="388"/>
      <c r="Y528" s="7"/>
      <c r="Z528" s="7"/>
      <c r="AA528" s="7"/>
      <c r="AB528" s="7"/>
      <c r="AC528" s="7"/>
      <c r="AD528" s="7"/>
      <c r="AE528" s="7"/>
      <c r="AF528" s="7"/>
      <c r="AG528" s="7"/>
      <c r="AH528" s="7"/>
      <c r="AI528" s="7"/>
      <c r="AJ528" s="19"/>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row>
    <row r="529">
      <c r="A529" s="7"/>
      <c r="B529" s="7"/>
      <c r="C529" s="7"/>
      <c r="D529" s="7"/>
      <c r="E529" s="19"/>
      <c r="F529" s="19"/>
      <c r="G529" s="19"/>
      <c r="H529" s="19"/>
      <c r="I529" s="19"/>
      <c r="J529" s="7"/>
      <c r="K529" s="19"/>
      <c r="L529" s="7"/>
      <c r="M529" s="7"/>
      <c r="N529" s="7"/>
      <c r="O529" s="7"/>
      <c r="P529" s="7"/>
      <c r="Q529" s="7"/>
      <c r="R529" s="7"/>
      <c r="S529" s="7"/>
      <c r="T529" s="7"/>
      <c r="U529" s="7"/>
      <c r="V529" s="388"/>
      <c r="W529" s="388"/>
      <c r="X529" s="388"/>
      <c r="Y529" s="7"/>
      <c r="Z529" s="7"/>
      <c r="AA529" s="7"/>
      <c r="AB529" s="7"/>
      <c r="AC529" s="7"/>
      <c r="AD529" s="7"/>
      <c r="AE529" s="7"/>
      <c r="AF529" s="7"/>
      <c r="AG529" s="7"/>
      <c r="AH529" s="7"/>
      <c r="AI529" s="7"/>
      <c r="AJ529" s="19"/>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row>
    <row r="530">
      <c r="A530" s="7"/>
      <c r="B530" s="7"/>
      <c r="C530" s="7"/>
      <c r="D530" s="7"/>
      <c r="E530" s="19"/>
      <c r="F530" s="19"/>
      <c r="G530" s="19"/>
      <c r="H530" s="19"/>
      <c r="I530" s="19"/>
      <c r="J530" s="7"/>
      <c r="K530" s="19"/>
      <c r="L530" s="7"/>
      <c r="M530" s="7"/>
      <c r="N530" s="7"/>
      <c r="O530" s="7"/>
      <c r="P530" s="7"/>
      <c r="Q530" s="7"/>
      <c r="R530" s="7"/>
      <c r="S530" s="7"/>
      <c r="T530" s="7"/>
      <c r="U530" s="7"/>
      <c r="V530" s="388"/>
      <c r="W530" s="388"/>
      <c r="X530" s="388"/>
      <c r="Y530" s="7"/>
      <c r="Z530" s="7"/>
      <c r="AA530" s="7"/>
      <c r="AB530" s="7"/>
      <c r="AC530" s="7"/>
      <c r="AD530" s="7"/>
      <c r="AE530" s="7"/>
      <c r="AF530" s="7"/>
      <c r="AG530" s="7"/>
      <c r="AH530" s="7"/>
      <c r="AI530" s="7"/>
      <c r="AJ530" s="19"/>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row>
    <row r="531">
      <c r="A531" s="7"/>
      <c r="B531" s="7"/>
      <c r="C531" s="7"/>
      <c r="D531" s="7"/>
      <c r="E531" s="19"/>
      <c r="F531" s="19"/>
      <c r="G531" s="19"/>
      <c r="H531" s="19"/>
      <c r="I531" s="19"/>
      <c r="J531" s="7"/>
      <c r="K531" s="19"/>
      <c r="L531" s="7"/>
      <c r="M531" s="7"/>
      <c r="N531" s="7"/>
      <c r="O531" s="7"/>
      <c r="P531" s="7"/>
      <c r="Q531" s="7"/>
      <c r="R531" s="7"/>
      <c r="S531" s="7"/>
      <c r="T531" s="7"/>
      <c r="U531" s="7"/>
      <c r="V531" s="388"/>
      <c r="W531" s="388"/>
      <c r="X531" s="388"/>
      <c r="Y531" s="7"/>
      <c r="Z531" s="7"/>
      <c r="AA531" s="7"/>
      <c r="AB531" s="7"/>
      <c r="AC531" s="7"/>
      <c r="AD531" s="7"/>
      <c r="AE531" s="7"/>
      <c r="AF531" s="7"/>
      <c r="AG531" s="7"/>
      <c r="AH531" s="7"/>
      <c r="AI531" s="7"/>
      <c r="AJ531" s="19"/>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row>
    <row r="532">
      <c r="A532" s="7"/>
      <c r="B532" s="7"/>
      <c r="C532" s="7"/>
      <c r="D532" s="7"/>
      <c r="E532" s="19"/>
      <c r="F532" s="19"/>
      <c r="G532" s="19"/>
      <c r="H532" s="19"/>
      <c r="I532" s="19"/>
      <c r="J532" s="7"/>
      <c r="K532" s="19"/>
      <c r="L532" s="7"/>
      <c r="M532" s="7"/>
      <c r="N532" s="7"/>
      <c r="O532" s="7"/>
      <c r="P532" s="7"/>
      <c r="Q532" s="7"/>
      <c r="R532" s="7"/>
      <c r="S532" s="7"/>
      <c r="T532" s="7"/>
      <c r="U532" s="7"/>
      <c r="V532" s="388"/>
      <c r="W532" s="388"/>
      <c r="X532" s="388"/>
      <c r="Y532" s="7"/>
      <c r="Z532" s="7"/>
      <c r="AA532" s="7"/>
      <c r="AB532" s="7"/>
      <c r="AC532" s="7"/>
      <c r="AD532" s="7"/>
      <c r="AE532" s="7"/>
      <c r="AF532" s="7"/>
      <c r="AG532" s="7"/>
      <c r="AH532" s="7"/>
      <c r="AI532" s="7"/>
      <c r="AJ532" s="19"/>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row>
    <row r="533">
      <c r="A533" s="7"/>
      <c r="B533" s="7"/>
      <c r="C533" s="7"/>
      <c r="D533" s="7"/>
      <c r="E533" s="19"/>
      <c r="F533" s="19"/>
      <c r="G533" s="19"/>
      <c r="H533" s="19"/>
      <c r="I533" s="19"/>
      <c r="J533" s="7"/>
      <c r="K533" s="19"/>
      <c r="L533" s="7"/>
      <c r="M533" s="7"/>
      <c r="N533" s="7"/>
      <c r="O533" s="7"/>
      <c r="P533" s="7"/>
      <c r="Q533" s="7"/>
      <c r="R533" s="7"/>
      <c r="S533" s="7"/>
      <c r="T533" s="7"/>
      <c r="U533" s="7"/>
      <c r="V533" s="388"/>
      <c r="W533" s="388"/>
      <c r="X533" s="388"/>
      <c r="Y533" s="7"/>
      <c r="Z533" s="7"/>
      <c r="AA533" s="7"/>
      <c r="AB533" s="7"/>
      <c r="AC533" s="7"/>
      <c r="AD533" s="7"/>
      <c r="AE533" s="7"/>
      <c r="AF533" s="7"/>
      <c r="AG533" s="7"/>
      <c r="AH533" s="7"/>
      <c r="AI533" s="7"/>
      <c r="AJ533" s="19"/>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row>
    <row r="534">
      <c r="A534" s="7"/>
      <c r="B534" s="7"/>
      <c r="C534" s="7"/>
      <c r="D534" s="7"/>
      <c r="E534" s="19"/>
      <c r="F534" s="19"/>
      <c r="G534" s="19"/>
      <c r="H534" s="19"/>
      <c r="I534" s="19"/>
      <c r="J534" s="7"/>
      <c r="K534" s="19"/>
      <c r="L534" s="7"/>
      <c r="M534" s="7"/>
      <c r="N534" s="7"/>
      <c r="O534" s="7"/>
      <c r="P534" s="7"/>
      <c r="Q534" s="7"/>
      <c r="R534" s="7"/>
      <c r="S534" s="7"/>
      <c r="T534" s="7"/>
      <c r="U534" s="7"/>
      <c r="V534" s="388"/>
      <c r="W534" s="388"/>
      <c r="X534" s="388"/>
      <c r="Y534" s="7"/>
      <c r="Z534" s="7"/>
      <c r="AA534" s="7"/>
      <c r="AB534" s="7"/>
      <c r="AC534" s="7"/>
      <c r="AD534" s="7"/>
      <c r="AE534" s="7"/>
      <c r="AF534" s="7"/>
      <c r="AG534" s="7"/>
      <c r="AH534" s="7"/>
      <c r="AI534" s="7"/>
      <c r="AJ534" s="19"/>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row>
    <row r="535">
      <c r="A535" s="7"/>
      <c r="B535" s="7"/>
      <c r="C535" s="7"/>
      <c r="D535" s="7"/>
      <c r="E535" s="19"/>
      <c r="F535" s="19"/>
      <c r="G535" s="19"/>
      <c r="H535" s="19"/>
      <c r="I535" s="19"/>
      <c r="J535" s="7"/>
      <c r="K535" s="19"/>
      <c r="L535" s="7"/>
      <c r="M535" s="7"/>
      <c r="N535" s="7"/>
      <c r="O535" s="7"/>
      <c r="P535" s="7"/>
      <c r="Q535" s="7"/>
      <c r="R535" s="7"/>
      <c r="S535" s="7"/>
      <c r="T535" s="7"/>
      <c r="U535" s="7"/>
      <c r="V535" s="388"/>
      <c r="W535" s="388"/>
      <c r="X535" s="388"/>
      <c r="Y535" s="7"/>
      <c r="Z535" s="7"/>
      <c r="AA535" s="7"/>
      <c r="AB535" s="7"/>
      <c r="AC535" s="7"/>
      <c r="AD535" s="7"/>
      <c r="AE535" s="7"/>
      <c r="AF535" s="7"/>
      <c r="AG535" s="7"/>
      <c r="AH535" s="7"/>
      <c r="AI535" s="7"/>
      <c r="AJ535" s="19"/>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row>
    <row r="536">
      <c r="A536" s="7"/>
      <c r="B536" s="7"/>
      <c r="C536" s="7"/>
      <c r="D536" s="7"/>
      <c r="E536" s="19"/>
      <c r="F536" s="19"/>
      <c r="G536" s="19"/>
      <c r="H536" s="19"/>
      <c r="I536" s="19"/>
      <c r="J536" s="7"/>
      <c r="K536" s="19"/>
      <c r="L536" s="7"/>
      <c r="M536" s="7"/>
      <c r="N536" s="7"/>
      <c r="O536" s="7"/>
      <c r="P536" s="7"/>
      <c r="Q536" s="7"/>
      <c r="R536" s="7"/>
      <c r="S536" s="7"/>
      <c r="T536" s="7"/>
      <c r="U536" s="7"/>
      <c r="V536" s="388"/>
      <c r="W536" s="388"/>
      <c r="X536" s="388"/>
      <c r="Y536" s="7"/>
      <c r="Z536" s="7"/>
      <c r="AA536" s="7"/>
      <c r="AB536" s="7"/>
      <c r="AC536" s="7"/>
      <c r="AD536" s="7"/>
      <c r="AE536" s="7"/>
      <c r="AF536" s="7"/>
      <c r="AG536" s="7"/>
      <c r="AH536" s="7"/>
      <c r="AI536" s="7"/>
      <c r="AJ536" s="19"/>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row>
    <row r="537">
      <c r="A537" s="7"/>
      <c r="B537" s="7"/>
      <c r="C537" s="7"/>
      <c r="D537" s="7"/>
      <c r="E537" s="19"/>
      <c r="F537" s="19"/>
      <c r="G537" s="19"/>
      <c r="H537" s="19"/>
      <c r="I537" s="19"/>
      <c r="J537" s="7"/>
      <c r="K537" s="19"/>
      <c r="L537" s="7"/>
      <c r="M537" s="7"/>
      <c r="N537" s="7"/>
      <c r="O537" s="7"/>
      <c r="P537" s="7"/>
      <c r="Q537" s="7"/>
      <c r="R537" s="7"/>
      <c r="S537" s="7"/>
      <c r="T537" s="7"/>
      <c r="U537" s="7"/>
      <c r="V537" s="388"/>
      <c r="W537" s="388"/>
      <c r="X537" s="388"/>
      <c r="Y537" s="7"/>
      <c r="Z537" s="7"/>
      <c r="AA537" s="7"/>
      <c r="AB537" s="7"/>
      <c r="AC537" s="7"/>
      <c r="AD537" s="7"/>
      <c r="AE537" s="7"/>
      <c r="AF537" s="7"/>
      <c r="AG537" s="7"/>
      <c r="AH537" s="7"/>
      <c r="AI537" s="7"/>
      <c r="AJ537" s="19"/>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row>
    <row r="538">
      <c r="A538" s="7"/>
      <c r="B538" s="7"/>
      <c r="C538" s="7"/>
      <c r="D538" s="7"/>
      <c r="E538" s="19"/>
      <c r="F538" s="19"/>
      <c r="G538" s="19"/>
      <c r="H538" s="19"/>
      <c r="I538" s="19"/>
      <c r="J538" s="7"/>
      <c r="K538" s="19"/>
      <c r="L538" s="7"/>
      <c r="M538" s="7"/>
      <c r="N538" s="7"/>
      <c r="O538" s="7"/>
      <c r="P538" s="7"/>
      <c r="Q538" s="7"/>
      <c r="R538" s="7"/>
      <c r="S538" s="7"/>
      <c r="T538" s="7"/>
      <c r="U538" s="7"/>
      <c r="V538" s="388"/>
      <c r="W538" s="388"/>
      <c r="X538" s="388"/>
      <c r="Y538" s="7"/>
      <c r="Z538" s="7"/>
      <c r="AA538" s="7"/>
      <c r="AB538" s="7"/>
      <c r="AC538" s="7"/>
      <c r="AD538" s="7"/>
      <c r="AE538" s="7"/>
      <c r="AF538" s="7"/>
      <c r="AG538" s="7"/>
      <c r="AH538" s="7"/>
      <c r="AI538" s="7"/>
      <c r="AJ538" s="19"/>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row>
    <row r="539">
      <c r="A539" s="7"/>
      <c r="B539" s="7"/>
      <c r="C539" s="7"/>
      <c r="D539" s="7"/>
      <c r="E539" s="19"/>
      <c r="F539" s="19"/>
      <c r="G539" s="19"/>
      <c r="H539" s="19"/>
      <c r="I539" s="19"/>
      <c r="J539" s="7"/>
      <c r="K539" s="19"/>
      <c r="L539" s="7"/>
      <c r="M539" s="7"/>
      <c r="N539" s="7"/>
      <c r="O539" s="7"/>
      <c r="P539" s="7"/>
      <c r="Q539" s="7"/>
      <c r="R539" s="7"/>
      <c r="S539" s="7"/>
      <c r="T539" s="7"/>
      <c r="U539" s="7"/>
      <c r="V539" s="388"/>
      <c r="W539" s="388"/>
      <c r="X539" s="388"/>
      <c r="Y539" s="7"/>
      <c r="Z539" s="7"/>
      <c r="AA539" s="7"/>
      <c r="AB539" s="7"/>
      <c r="AC539" s="7"/>
      <c r="AD539" s="7"/>
      <c r="AE539" s="7"/>
      <c r="AF539" s="7"/>
      <c r="AG539" s="7"/>
      <c r="AH539" s="7"/>
      <c r="AI539" s="7"/>
      <c r="AJ539" s="19"/>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row>
    <row r="540">
      <c r="A540" s="7"/>
      <c r="B540" s="7"/>
      <c r="C540" s="7"/>
      <c r="D540" s="7"/>
      <c r="E540" s="19"/>
      <c r="F540" s="19"/>
      <c r="G540" s="19"/>
      <c r="H540" s="19"/>
      <c r="I540" s="19"/>
      <c r="J540" s="7"/>
      <c r="K540" s="19"/>
      <c r="L540" s="7"/>
      <c r="M540" s="7"/>
      <c r="N540" s="7"/>
      <c r="O540" s="7"/>
      <c r="P540" s="7"/>
      <c r="Q540" s="7"/>
      <c r="R540" s="7"/>
      <c r="S540" s="7"/>
      <c r="T540" s="7"/>
      <c r="U540" s="7"/>
      <c r="V540" s="388"/>
      <c r="W540" s="388"/>
      <c r="X540" s="388"/>
      <c r="Y540" s="7"/>
      <c r="Z540" s="7"/>
      <c r="AA540" s="7"/>
      <c r="AB540" s="7"/>
      <c r="AC540" s="7"/>
      <c r="AD540" s="7"/>
      <c r="AE540" s="7"/>
      <c r="AF540" s="7"/>
      <c r="AG540" s="7"/>
      <c r="AH540" s="7"/>
      <c r="AI540" s="7"/>
      <c r="AJ540" s="19"/>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row>
    <row r="541">
      <c r="A541" s="7"/>
      <c r="B541" s="7"/>
      <c r="C541" s="7"/>
      <c r="D541" s="7"/>
      <c r="E541" s="19"/>
      <c r="F541" s="19"/>
      <c r="G541" s="19"/>
      <c r="H541" s="19"/>
      <c r="I541" s="19"/>
      <c r="J541" s="7"/>
      <c r="K541" s="19"/>
      <c r="L541" s="7"/>
      <c r="M541" s="7"/>
      <c r="N541" s="7"/>
      <c r="O541" s="7"/>
      <c r="P541" s="7"/>
      <c r="Q541" s="7"/>
      <c r="R541" s="7"/>
      <c r="S541" s="7"/>
      <c r="T541" s="7"/>
      <c r="U541" s="7"/>
      <c r="V541" s="388"/>
      <c r="W541" s="388"/>
      <c r="X541" s="388"/>
      <c r="Y541" s="7"/>
      <c r="Z541" s="7"/>
      <c r="AA541" s="7"/>
      <c r="AB541" s="7"/>
      <c r="AC541" s="7"/>
      <c r="AD541" s="7"/>
      <c r="AE541" s="7"/>
      <c r="AF541" s="7"/>
      <c r="AG541" s="7"/>
      <c r="AH541" s="7"/>
      <c r="AI541" s="7"/>
      <c r="AJ541" s="19"/>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row>
    <row r="542">
      <c r="A542" s="7"/>
      <c r="B542" s="7"/>
      <c r="C542" s="7"/>
      <c r="D542" s="7"/>
      <c r="E542" s="19"/>
      <c r="F542" s="19"/>
      <c r="G542" s="19"/>
      <c r="H542" s="19"/>
      <c r="I542" s="19"/>
      <c r="J542" s="7"/>
      <c r="K542" s="19"/>
      <c r="L542" s="7"/>
      <c r="M542" s="7"/>
      <c r="N542" s="7"/>
      <c r="O542" s="7"/>
      <c r="P542" s="7"/>
      <c r="Q542" s="7"/>
      <c r="R542" s="7"/>
      <c r="S542" s="7"/>
      <c r="T542" s="7"/>
      <c r="U542" s="7"/>
      <c r="V542" s="388"/>
      <c r="W542" s="388"/>
      <c r="X542" s="388"/>
      <c r="Y542" s="7"/>
      <c r="Z542" s="7"/>
      <c r="AA542" s="7"/>
      <c r="AB542" s="7"/>
      <c r="AC542" s="7"/>
      <c r="AD542" s="7"/>
      <c r="AE542" s="7"/>
      <c r="AF542" s="7"/>
      <c r="AG542" s="7"/>
      <c r="AH542" s="7"/>
      <c r="AI542" s="7"/>
      <c r="AJ542" s="19"/>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row>
    <row r="543">
      <c r="A543" s="7"/>
      <c r="B543" s="7"/>
      <c r="C543" s="7"/>
      <c r="D543" s="7"/>
      <c r="E543" s="19"/>
      <c r="F543" s="19"/>
      <c r="G543" s="19"/>
      <c r="H543" s="19"/>
      <c r="I543" s="19"/>
      <c r="J543" s="7"/>
      <c r="K543" s="19"/>
      <c r="L543" s="7"/>
      <c r="M543" s="7"/>
      <c r="N543" s="7"/>
      <c r="O543" s="7"/>
      <c r="P543" s="7"/>
      <c r="Q543" s="7"/>
      <c r="R543" s="7"/>
      <c r="S543" s="7"/>
      <c r="T543" s="7"/>
      <c r="U543" s="7"/>
      <c r="V543" s="388"/>
      <c r="W543" s="388"/>
      <c r="X543" s="388"/>
      <c r="Y543" s="7"/>
      <c r="Z543" s="7"/>
      <c r="AA543" s="7"/>
      <c r="AB543" s="7"/>
      <c r="AC543" s="7"/>
      <c r="AD543" s="7"/>
      <c r="AE543" s="7"/>
      <c r="AF543" s="7"/>
      <c r="AG543" s="7"/>
      <c r="AH543" s="7"/>
      <c r="AI543" s="7"/>
      <c r="AJ543" s="19"/>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row>
    <row r="544">
      <c r="A544" s="7"/>
      <c r="B544" s="7"/>
      <c r="C544" s="7"/>
      <c r="D544" s="7"/>
      <c r="E544" s="19"/>
      <c r="F544" s="19"/>
      <c r="G544" s="19"/>
      <c r="H544" s="19"/>
      <c r="I544" s="19"/>
      <c r="J544" s="7"/>
      <c r="K544" s="19"/>
      <c r="L544" s="7"/>
      <c r="M544" s="7"/>
      <c r="N544" s="7"/>
      <c r="O544" s="7"/>
      <c r="P544" s="7"/>
      <c r="Q544" s="7"/>
      <c r="R544" s="7"/>
      <c r="S544" s="7"/>
      <c r="T544" s="7"/>
      <c r="U544" s="7"/>
      <c r="V544" s="388"/>
      <c r="W544" s="388"/>
      <c r="X544" s="388"/>
      <c r="Y544" s="7"/>
      <c r="Z544" s="7"/>
      <c r="AA544" s="7"/>
      <c r="AB544" s="7"/>
      <c r="AC544" s="7"/>
      <c r="AD544" s="7"/>
      <c r="AE544" s="7"/>
      <c r="AF544" s="7"/>
      <c r="AG544" s="7"/>
      <c r="AH544" s="7"/>
      <c r="AI544" s="7"/>
      <c r="AJ544" s="19"/>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row>
    <row r="545">
      <c r="A545" s="7"/>
      <c r="B545" s="7"/>
      <c r="C545" s="7"/>
      <c r="D545" s="7"/>
      <c r="E545" s="19"/>
      <c r="F545" s="19"/>
      <c r="G545" s="19"/>
      <c r="H545" s="19"/>
      <c r="I545" s="19"/>
      <c r="J545" s="7"/>
      <c r="K545" s="19"/>
      <c r="L545" s="7"/>
      <c r="M545" s="7"/>
      <c r="N545" s="7"/>
      <c r="O545" s="7"/>
      <c r="P545" s="7"/>
      <c r="Q545" s="7"/>
      <c r="R545" s="7"/>
      <c r="S545" s="7"/>
      <c r="T545" s="7"/>
      <c r="U545" s="7"/>
      <c r="V545" s="388"/>
      <c r="W545" s="388"/>
      <c r="X545" s="388"/>
      <c r="Y545" s="7"/>
      <c r="Z545" s="7"/>
      <c r="AA545" s="7"/>
      <c r="AB545" s="7"/>
      <c r="AC545" s="7"/>
      <c r="AD545" s="7"/>
      <c r="AE545" s="7"/>
      <c r="AF545" s="7"/>
      <c r="AG545" s="7"/>
      <c r="AH545" s="7"/>
      <c r="AI545" s="7"/>
      <c r="AJ545" s="19"/>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row>
    <row r="546">
      <c r="A546" s="7"/>
      <c r="B546" s="7"/>
      <c r="C546" s="7"/>
      <c r="D546" s="7"/>
      <c r="E546" s="19"/>
      <c r="F546" s="19"/>
      <c r="G546" s="19"/>
      <c r="H546" s="19"/>
      <c r="I546" s="19"/>
      <c r="J546" s="7"/>
      <c r="K546" s="19"/>
      <c r="L546" s="7"/>
      <c r="M546" s="7"/>
      <c r="N546" s="7"/>
      <c r="O546" s="7"/>
      <c r="P546" s="7"/>
      <c r="Q546" s="7"/>
      <c r="R546" s="7"/>
      <c r="S546" s="7"/>
      <c r="T546" s="7"/>
      <c r="U546" s="7"/>
      <c r="V546" s="388"/>
      <c r="W546" s="388"/>
      <c r="X546" s="388"/>
      <c r="Y546" s="7"/>
      <c r="Z546" s="7"/>
      <c r="AA546" s="7"/>
      <c r="AB546" s="7"/>
      <c r="AC546" s="7"/>
      <c r="AD546" s="7"/>
      <c r="AE546" s="7"/>
      <c r="AF546" s="7"/>
      <c r="AG546" s="7"/>
      <c r="AH546" s="7"/>
      <c r="AI546" s="7"/>
      <c r="AJ546" s="19"/>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row>
    <row r="547">
      <c r="A547" s="7"/>
      <c r="B547" s="7"/>
      <c r="C547" s="7"/>
      <c r="D547" s="7"/>
      <c r="E547" s="19"/>
      <c r="F547" s="19"/>
      <c r="G547" s="19"/>
      <c r="H547" s="19"/>
      <c r="I547" s="19"/>
      <c r="J547" s="7"/>
      <c r="K547" s="19"/>
      <c r="L547" s="7"/>
      <c r="M547" s="7"/>
      <c r="N547" s="7"/>
      <c r="O547" s="7"/>
      <c r="P547" s="7"/>
      <c r="Q547" s="7"/>
      <c r="R547" s="7"/>
      <c r="S547" s="7"/>
      <c r="T547" s="7"/>
      <c r="U547" s="7"/>
      <c r="V547" s="388"/>
      <c r="W547" s="388"/>
      <c r="X547" s="388"/>
      <c r="Y547" s="7"/>
      <c r="Z547" s="7"/>
      <c r="AA547" s="7"/>
      <c r="AB547" s="7"/>
      <c r="AC547" s="7"/>
      <c r="AD547" s="7"/>
      <c r="AE547" s="7"/>
      <c r="AF547" s="7"/>
      <c r="AG547" s="7"/>
      <c r="AH547" s="7"/>
      <c r="AI547" s="7"/>
      <c r="AJ547" s="19"/>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row>
    <row r="548">
      <c r="A548" s="7"/>
      <c r="B548" s="7"/>
      <c r="C548" s="7"/>
      <c r="D548" s="7"/>
      <c r="E548" s="19"/>
      <c r="F548" s="19"/>
      <c r="G548" s="19"/>
      <c r="H548" s="19"/>
      <c r="I548" s="19"/>
      <c r="J548" s="7"/>
      <c r="K548" s="19"/>
      <c r="L548" s="7"/>
      <c r="M548" s="7"/>
      <c r="N548" s="7"/>
      <c r="O548" s="7"/>
      <c r="P548" s="7"/>
      <c r="Q548" s="7"/>
      <c r="R548" s="7"/>
      <c r="S548" s="7"/>
      <c r="T548" s="7"/>
      <c r="U548" s="7"/>
      <c r="V548" s="388"/>
      <c r="W548" s="388"/>
      <c r="X548" s="388"/>
      <c r="Y548" s="7"/>
      <c r="Z548" s="7"/>
      <c r="AA548" s="7"/>
      <c r="AB548" s="7"/>
      <c r="AC548" s="7"/>
      <c r="AD548" s="7"/>
      <c r="AE548" s="7"/>
      <c r="AF548" s="7"/>
      <c r="AG548" s="7"/>
      <c r="AH548" s="7"/>
      <c r="AI548" s="7"/>
      <c r="AJ548" s="19"/>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row>
    <row r="549">
      <c r="A549" s="7"/>
      <c r="B549" s="7"/>
      <c r="C549" s="7"/>
      <c r="D549" s="7"/>
      <c r="E549" s="19"/>
      <c r="F549" s="19"/>
      <c r="G549" s="19"/>
      <c r="H549" s="19"/>
      <c r="I549" s="19"/>
      <c r="J549" s="7"/>
      <c r="K549" s="19"/>
      <c r="L549" s="7"/>
      <c r="M549" s="7"/>
      <c r="N549" s="7"/>
      <c r="O549" s="7"/>
      <c r="P549" s="7"/>
      <c r="Q549" s="7"/>
      <c r="R549" s="7"/>
      <c r="S549" s="7"/>
      <c r="T549" s="7"/>
      <c r="U549" s="7"/>
      <c r="V549" s="388"/>
      <c r="W549" s="388"/>
      <c r="X549" s="388"/>
      <c r="Y549" s="7"/>
      <c r="Z549" s="7"/>
      <c r="AA549" s="7"/>
      <c r="AB549" s="7"/>
      <c r="AC549" s="7"/>
      <c r="AD549" s="7"/>
      <c r="AE549" s="7"/>
      <c r="AF549" s="7"/>
      <c r="AG549" s="7"/>
      <c r="AH549" s="7"/>
      <c r="AI549" s="7"/>
      <c r="AJ549" s="19"/>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row>
    <row r="550">
      <c r="A550" s="7"/>
      <c r="B550" s="7"/>
      <c r="C550" s="7"/>
      <c r="D550" s="7"/>
      <c r="E550" s="19"/>
      <c r="F550" s="19"/>
      <c r="G550" s="19"/>
      <c r="H550" s="19"/>
      <c r="I550" s="19"/>
      <c r="J550" s="7"/>
      <c r="K550" s="19"/>
      <c r="L550" s="7"/>
      <c r="M550" s="7"/>
      <c r="N550" s="7"/>
      <c r="O550" s="7"/>
      <c r="P550" s="7"/>
      <c r="Q550" s="7"/>
      <c r="R550" s="7"/>
      <c r="S550" s="7"/>
      <c r="T550" s="7"/>
      <c r="U550" s="7"/>
      <c r="V550" s="388"/>
      <c r="W550" s="388"/>
      <c r="X550" s="388"/>
      <c r="Y550" s="7"/>
      <c r="Z550" s="7"/>
      <c r="AA550" s="7"/>
      <c r="AB550" s="7"/>
      <c r="AC550" s="7"/>
      <c r="AD550" s="7"/>
      <c r="AE550" s="7"/>
      <c r="AF550" s="7"/>
      <c r="AG550" s="7"/>
      <c r="AH550" s="7"/>
      <c r="AI550" s="7"/>
      <c r="AJ550" s="19"/>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row>
    <row r="551">
      <c r="A551" s="7"/>
      <c r="B551" s="7"/>
      <c r="C551" s="7"/>
      <c r="D551" s="7"/>
      <c r="E551" s="19"/>
      <c r="F551" s="19"/>
      <c r="G551" s="19"/>
      <c r="H551" s="19"/>
      <c r="I551" s="19"/>
      <c r="J551" s="7"/>
      <c r="K551" s="19"/>
      <c r="L551" s="7"/>
      <c r="M551" s="7"/>
      <c r="N551" s="7"/>
      <c r="O551" s="7"/>
      <c r="P551" s="7"/>
      <c r="Q551" s="7"/>
      <c r="R551" s="7"/>
      <c r="S551" s="7"/>
      <c r="T551" s="7"/>
      <c r="U551" s="7"/>
      <c r="V551" s="388"/>
      <c r="W551" s="388"/>
      <c r="X551" s="388"/>
      <c r="Y551" s="7"/>
      <c r="Z551" s="7"/>
      <c r="AA551" s="7"/>
      <c r="AB551" s="7"/>
      <c r="AC551" s="7"/>
      <c r="AD551" s="7"/>
      <c r="AE551" s="7"/>
      <c r="AF551" s="7"/>
      <c r="AG551" s="7"/>
      <c r="AH551" s="7"/>
      <c r="AI551" s="7"/>
      <c r="AJ551" s="19"/>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row>
    <row r="552">
      <c r="A552" s="7"/>
      <c r="B552" s="7"/>
      <c r="C552" s="7"/>
      <c r="D552" s="7"/>
      <c r="E552" s="19"/>
      <c r="F552" s="19"/>
      <c r="G552" s="19"/>
      <c r="H552" s="19"/>
      <c r="I552" s="19"/>
      <c r="J552" s="7"/>
      <c r="K552" s="19"/>
      <c r="L552" s="7"/>
      <c r="M552" s="7"/>
      <c r="N552" s="7"/>
      <c r="O552" s="7"/>
      <c r="P552" s="7"/>
      <c r="Q552" s="7"/>
      <c r="R552" s="7"/>
      <c r="S552" s="7"/>
      <c r="T552" s="7"/>
      <c r="U552" s="7"/>
      <c r="V552" s="388"/>
      <c r="W552" s="388"/>
      <c r="X552" s="388"/>
      <c r="Y552" s="7"/>
      <c r="Z552" s="7"/>
      <c r="AA552" s="7"/>
      <c r="AB552" s="7"/>
      <c r="AC552" s="7"/>
      <c r="AD552" s="7"/>
      <c r="AE552" s="7"/>
      <c r="AF552" s="7"/>
      <c r="AG552" s="7"/>
      <c r="AH552" s="7"/>
      <c r="AI552" s="7"/>
      <c r="AJ552" s="19"/>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row>
    <row r="553">
      <c r="A553" s="7"/>
      <c r="B553" s="7"/>
      <c r="C553" s="7"/>
      <c r="D553" s="7"/>
      <c r="E553" s="19"/>
      <c r="F553" s="19"/>
      <c r="G553" s="19"/>
      <c r="H553" s="19"/>
      <c r="I553" s="19"/>
      <c r="J553" s="7"/>
      <c r="K553" s="19"/>
      <c r="L553" s="7"/>
      <c r="M553" s="7"/>
      <c r="N553" s="7"/>
      <c r="O553" s="7"/>
      <c r="P553" s="7"/>
      <c r="Q553" s="7"/>
      <c r="R553" s="7"/>
      <c r="S553" s="7"/>
      <c r="T553" s="7"/>
      <c r="U553" s="7"/>
      <c r="V553" s="388"/>
      <c r="W553" s="388"/>
      <c r="X553" s="388"/>
      <c r="Y553" s="7"/>
      <c r="Z553" s="7"/>
      <c r="AA553" s="7"/>
      <c r="AB553" s="7"/>
      <c r="AC553" s="7"/>
      <c r="AD553" s="7"/>
      <c r="AE553" s="7"/>
      <c r="AF553" s="7"/>
      <c r="AG553" s="7"/>
      <c r="AH553" s="7"/>
      <c r="AI553" s="7"/>
      <c r="AJ553" s="19"/>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row>
    <row r="554">
      <c r="A554" s="7"/>
      <c r="B554" s="7"/>
      <c r="C554" s="7"/>
      <c r="D554" s="7"/>
      <c r="E554" s="19"/>
      <c r="F554" s="19"/>
      <c r="G554" s="19"/>
      <c r="H554" s="19"/>
      <c r="I554" s="19"/>
      <c r="J554" s="7"/>
      <c r="K554" s="19"/>
      <c r="L554" s="7"/>
      <c r="M554" s="7"/>
      <c r="N554" s="7"/>
      <c r="O554" s="7"/>
      <c r="P554" s="7"/>
      <c r="Q554" s="7"/>
      <c r="R554" s="7"/>
      <c r="S554" s="7"/>
      <c r="T554" s="7"/>
      <c r="U554" s="7"/>
      <c r="V554" s="388"/>
      <c r="W554" s="388"/>
      <c r="X554" s="388"/>
      <c r="Y554" s="7"/>
      <c r="Z554" s="7"/>
      <c r="AA554" s="7"/>
      <c r="AB554" s="7"/>
      <c r="AC554" s="7"/>
      <c r="AD554" s="7"/>
      <c r="AE554" s="7"/>
      <c r="AF554" s="7"/>
      <c r="AG554" s="7"/>
      <c r="AH554" s="7"/>
      <c r="AI554" s="7"/>
      <c r="AJ554" s="19"/>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row>
    <row r="555">
      <c r="A555" s="7"/>
      <c r="B555" s="7"/>
      <c r="C555" s="7"/>
      <c r="D555" s="7"/>
      <c r="E555" s="19"/>
      <c r="F555" s="19"/>
      <c r="G555" s="19"/>
      <c r="H555" s="19"/>
      <c r="I555" s="19"/>
      <c r="J555" s="7"/>
      <c r="K555" s="19"/>
      <c r="L555" s="7"/>
      <c r="M555" s="7"/>
      <c r="N555" s="7"/>
      <c r="O555" s="7"/>
      <c r="P555" s="7"/>
      <c r="Q555" s="7"/>
      <c r="R555" s="7"/>
      <c r="S555" s="7"/>
      <c r="T555" s="7"/>
      <c r="U555" s="7"/>
      <c r="V555" s="388"/>
      <c r="W555" s="388"/>
      <c r="X555" s="388"/>
      <c r="Y555" s="7"/>
      <c r="Z555" s="7"/>
      <c r="AA555" s="7"/>
      <c r="AB555" s="7"/>
      <c r="AC555" s="7"/>
      <c r="AD555" s="7"/>
      <c r="AE555" s="7"/>
      <c r="AF555" s="7"/>
      <c r="AG555" s="7"/>
      <c r="AH555" s="7"/>
      <c r="AI555" s="7"/>
      <c r="AJ555" s="19"/>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row>
    <row r="556">
      <c r="A556" s="7"/>
      <c r="B556" s="7"/>
      <c r="C556" s="7"/>
      <c r="D556" s="7"/>
      <c r="E556" s="19"/>
      <c r="F556" s="19"/>
      <c r="G556" s="19"/>
      <c r="H556" s="19"/>
      <c r="I556" s="19"/>
      <c r="J556" s="7"/>
      <c r="K556" s="19"/>
      <c r="L556" s="7"/>
      <c r="M556" s="7"/>
      <c r="N556" s="7"/>
      <c r="O556" s="7"/>
      <c r="P556" s="7"/>
      <c r="Q556" s="7"/>
      <c r="R556" s="7"/>
      <c r="S556" s="7"/>
      <c r="T556" s="7"/>
      <c r="U556" s="7"/>
      <c r="V556" s="388"/>
      <c r="W556" s="388"/>
      <c r="X556" s="388"/>
      <c r="Y556" s="7"/>
      <c r="Z556" s="7"/>
      <c r="AA556" s="7"/>
      <c r="AB556" s="7"/>
      <c r="AC556" s="7"/>
      <c r="AD556" s="7"/>
      <c r="AE556" s="7"/>
      <c r="AF556" s="7"/>
      <c r="AG556" s="7"/>
      <c r="AH556" s="7"/>
      <c r="AI556" s="7"/>
      <c r="AJ556" s="19"/>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row>
    <row r="557">
      <c r="A557" s="7"/>
      <c r="B557" s="7"/>
      <c r="C557" s="7"/>
      <c r="D557" s="7"/>
      <c r="E557" s="19"/>
      <c r="F557" s="19"/>
      <c r="G557" s="19"/>
      <c r="H557" s="19"/>
      <c r="I557" s="19"/>
      <c r="J557" s="7"/>
      <c r="K557" s="19"/>
      <c r="L557" s="7"/>
      <c r="M557" s="7"/>
      <c r="N557" s="7"/>
      <c r="O557" s="7"/>
      <c r="P557" s="7"/>
      <c r="Q557" s="7"/>
      <c r="R557" s="7"/>
      <c r="S557" s="7"/>
      <c r="T557" s="7"/>
      <c r="U557" s="7"/>
      <c r="V557" s="388"/>
      <c r="W557" s="388"/>
      <c r="X557" s="388"/>
      <c r="Y557" s="7"/>
      <c r="Z557" s="7"/>
      <c r="AA557" s="7"/>
      <c r="AB557" s="7"/>
      <c r="AC557" s="7"/>
      <c r="AD557" s="7"/>
      <c r="AE557" s="7"/>
      <c r="AF557" s="7"/>
      <c r="AG557" s="7"/>
      <c r="AH557" s="7"/>
      <c r="AI557" s="7"/>
      <c r="AJ557" s="19"/>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row>
    <row r="558">
      <c r="A558" s="7"/>
      <c r="B558" s="7"/>
      <c r="C558" s="7"/>
      <c r="D558" s="7"/>
      <c r="E558" s="19"/>
      <c r="F558" s="19"/>
      <c r="G558" s="19"/>
      <c r="H558" s="19"/>
      <c r="I558" s="19"/>
      <c r="J558" s="7"/>
      <c r="K558" s="19"/>
      <c r="L558" s="7"/>
      <c r="M558" s="7"/>
      <c r="N558" s="7"/>
      <c r="O558" s="7"/>
      <c r="P558" s="7"/>
      <c r="Q558" s="7"/>
      <c r="R558" s="7"/>
      <c r="S558" s="7"/>
      <c r="T558" s="7"/>
      <c r="U558" s="7"/>
      <c r="V558" s="388"/>
      <c r="W558" s="388"/>
      <c r="X558" s="388"/>
      <c r="Y558" s="7"/>
      <c r="Z558" s="7"/>
      <c r="AA558" s="7"/>
      <c r="AB558" s="7"/>
      <c r="AC558" s="7"/>
      <c r="AD558" s="7"/>
      <c r="AE558" s="7"/>
      <c r="AF558" s="7"/>
      <c r="AG558" s="7"/>
      <c r="AH558" s="7"/>
      <c r="AI558" s="7"/>
      <c r="AJ558" s="19"/>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row>
    <row r="559">
      <c r="A559" s="7"/>
      <c r="B559" s="7"/>
      <c r="C559" s="7"/>
      <c r="D559" s="7"/>
      <c r="E559" s="19"/>
      <c r="F559" s="19"/>
      <c r="G559" s="19"/>
      <c r="H559" s="19"/>
      <c r="I559" s="19"/>
      <c r="J559" s="7"/>
      <c r="K559" s="19"/>
      <c r="L559" s="7"/>
      <c r="M559" s="7"/>
      <c r="N559" s="7"/>
      <c r="O559" s="7"/>
      <c r="P559" s="7"/>
      <c r="Q559" s="7"/>
      <c r="R559" s="7"/>
      <c r="S559" s="7"/>
      <c r="T559" s="7"/>
      <c r="U559" s="7"/>
      <c r="V559" s="388"/>
      <c r="W559" s="388"/>
      <c r="X559" s="388"/>
      <c r="Y559" s="7"/>
      <c r="Z559" s="7"/>
      <c r="AA559" s="7"/>
      <c r="AB559" s="7"/>
      <c r="AC559" s="7"/>
      <c r="AD559" s="7"/>
      <c r="AE559" s="7"/>
      <c r="AF559" s="7"/>
      <c r="AG559" s="7"/>
      <c r="AH559" s="7"/>
      <c r="AI559" s="7"/>
      <c r="AJ559" s="19"/>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row>
    <row r="560">
      <c r="A560" s="7"/>
      <c r="B560" s="7"/>
      <c r="C560" s="7"/>
      <c r="D560" s="7"/>
      <c r="E560" s="19"/>
      <c r="F560" s="19"/>
      <c r="G560" s="19"/>
      <c r="H560" s="19"/>
      <c r="I560" s="19"/>
      <c r="J560" s="7"/>
      <c r="K560" s="19"/>
      <c r="L560" s="7"/>
      <c r="M560" s="7"/>
      <c r="N560" s="7"/>
      <c r="O560" s="7"/>
      <c r="P560" s="7"/>
      <c r="Q560" s="7"/>
      <c r="R560" s="7"/>
      <c r="S560" s="7"/>
      <c r="T560" s="7"/>
      <c r="U560" s="7"/>
      <c r="V560" s="388"/>
      <c r="W560" s="388"/>
      <c r="X560" s="388"/>
      <c r="Y560" s="7"/>
      <c r="Z560" s="7"/>
      <c r="AA560" s="7"/>
      <c r="AB560" s="7"/>
      <c r="AC560" s="7"/>
      <c r="AD560" s="7"/>
      <c r="AE560" s="7"/>
      <c r="AF560" s="7"/>
      <c r="AG560" s="7"/>
      <c r="AH560" s="7"/>
      <c r="AI560" s="7"/>
      <c r="AJ560" s="19"/>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row>
    <row r="561">
      <c r="A561" s="7"/>
      <c r="B561" s="7"/>
      <c r="C561" s="7"/>
      <c r="D561" s="7"/>
      <c r="E561" s="19"/>
      <c r="F561" s="19"/>
      <c r="G561" s="19"/>
      <c r="H561" s="19"/>
      <c r="I561" s="19"/>
      <c r="J561" s="7"/>
      <c r="K561" s="19"/>
      <c r="L561" s="7"/>
      <c r="M561" s="7"/>
      <c r="N561" s="7"/>
      <c r="O561" s="7"/>
      <c r="P561" s="7"/>
      <c r="Q561" s="7"/>
      <c r="R561" s="7"/>
      <c r="S561" s="7"/>
      <c r="T561" s="7"/>
      <c r="U561" s="7"/>
      <c r="V561" s="388"/>
      <c r="W561" s="388"/>
      <c r="X561" s="388"/>
      <c r="Y561" s="7"/>
      <c r="Z561" s="7"/>
      <c r="AA561" s="7"/>
      <c r="AB561" s="7"/>
      <c r="AC561" s="7"/>
      <c r="AD561" s="7"/>
      <c r="AE561" s="7"/>
      <c r="AF561" s="7"/>
      <c r="AG561" s="7"/>
      <c r="AH561" s="7"/>
      <c r="AI561" s="7"/>
      <c r="AJ561" s="19"/>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row>
    <row r="562">
      <c r="A562" s="7"/>
      <c r="B562" s="7"/>
      <c r="C562" s="7"/>
      <c r="D562" s="7"/>
      <c r="E562" s="19"/>
      <c r="F562" s="19"/>
      <c r="G562" s="19"/>
      <c r="H562" s="19"/>
      <c r="I562" s="19"/>
      <c r="J562" s="7"/>
      <c r="K562" s="19"/>
      <c r="L562" s="7"/>
      <c r="M562" s="7"/>
      <c r="N562" s="7"/>
      <c r="O562" s="7"/>
      <c r="P562" s="7"/>
      <c r="Q562" s="7"/>
      <c r="R562" s="7"/>
      <c r="S562" s="7"/>
      <c r="T562" s="7"/>
      <c r="U562" s="7"/>
      <c r="V562" s="388"/>
      <c r="W562" s="388"/>
      <c r="X562" s="388"/>
      <c r="Y562" s="7"/>
      <c r="Z562" s="7"/>
      <c r="AA562" s="7"/>
      <c r="AB562" s="7"/>
      <c r="AC562" s="7"/>
      <c r="AD562" s="7"/>
      <c r="AE562" s="7"/>
      <c r="AF562" s="7"/>
      <c r="AG562" s="7"/>
      <c r="AH562" s="7"/>
      <c r="AI562" s="7"/>
      <c r="AJ562" s="19"/>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row>
    <row r="563">
      <c r="A563" s="7"/>
      <c r="B563" s="7"/>
      <c r="C563" s="7"/>
      <c r="D563" s="7"/>
      <c r="E563" s="19"/>
      <c r="F563" s="19"/>
      <c r="G563" s="19"/>
      <c r="H563" s="19"/>
      <c r="I563" s="19"/>
      <c r="J563" s="7"/>
      <c r="K563" s="19"/>
      <c r="L563" s="7"/>
      <c r="M563" s="7"/>
      <c r="N563" s="7"/>
      <c r="O563" s="7"/>
      <c r="P563" s="7"/>
      <c r="Q563" s="7"/>
      <c r="R563" s="7"/>
      <c r="S563" s="7"/>
      <c r="T563" s="7"/>
      <c r="U563" s="7"/>
      <c r="V563" s="388"/>
      <c r="W563" s="388"/>
      <c r="X563" s="388"/>
      <c r="Y563" s="7"/>
      <c r="Z563" s="7"/>
      <c r="AA563" s="7"/>
      <c r="AB563" s="7"/>
      <c r="AC563" s="7"/>
      <c r="AD563" s="7"/>
      <c r="AE563" s="7"/>
      <c r="AF563" s="7"/>
      <c r="AG563" s="7"/>
      <c r="AH563" s="7"/>
      <c r="AI563" s="7"/>
      <c r="AJ563" s="19"/>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row>
    <row r="564">
      <c r="A564" s="7"/>
      <c r="B564" s="7"/>
      <c r="C564" s="7"/>
      <c r="D564" s="7"/>
      <c r="E564" s="19"/>
      <c r="F564" s="19"/>
      <c r="G564" s="19"/>
      <c r="H564" s="19"/>
      <c r="I564" s="19"/>
      <c r="J564" s="7"/>
      <c r="K564" s="19"/>
      <c r="L564" s="7"/>
      <c r="M564" s="7"/>
      <c r="N564" s="7"/>
      <c r="O564" s="7"/>
      <c r="P564" s="7"/>
      <c r="Q564" s="7"/>
      <c r="R564" s="7"/>
      <c r="S564" s="7"/>
      <c r="T564" s="7"/>
      <c r="U564" s="7"/>
      <c r="V564" s="388"/>
      <c r="W564" s="388"/>
      <c r="X564" s="388"/>
      <c r="Y564" s="7"/>
      <c r="Z564" s="7"/>
      <c r="AA564" s="7"/>
      <c r="AB564" s="7"/>
      <c r="AC564" s="7"/>
      <c r="AD564" s="7"/>
      <c r="AE564" s="7"/>
      <c r="AF564" s="7"/>
      <c r="AG564" s="7"/>
      <c r="AH564" s="7"/>
      <c r="AI564" s="7"/>
      <c r="AJ564" s="19"/>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row>
    <row r="565">
      <c r="A565" s="7"/>
      <c r="B565" s="7"/>
      <c r="C565" s="7"/>
      <c r="D565" s="7"/>
      <c r="E565" s="19"/>
      <c r="F565" s="19"/>
      <c r="G565" s="19"/>
      <c r="H565" s="19"/>
      <c r="I565" s="19"/>
      <c r="J565" s="7"/>
      <c r="K565" s="19"/>
      <c r="L565" s="7"/>
      <c r="M565" s="7"/>
      <c r="N565" s="7"/>
      <c r="O565" s="7"/>
      <c r="P565" s="7"/>
      <c r="Q565" s="7"/>
      <c r="R565" s="7"/>
      <c r="S565" s="7"/>
      <c r="T565" s="7"/>
      <c r="U565" s="7"/>
      <c r="V565" s="388"/>
      <c r="W565" s="388"/>
      <c r="X565" s="388"/>
      <c r="Y565" s="7"/>
      <c r="Z565" s="7"/>
      <c r="AA565" s="7"/>
      <c r="AB565" s="7"/>
      <c r="AC565" s="7"/>
      <c r="AD565" s="7"/>
      <c r="AE565" s="7"/>
      <c r="AF565" s="7"/>
      <c r="AG565" s="7"/>
      <c r="AH565" s="7"/>
      <c r="AI565" s="7"/>
      <c r="AJ565" s="19"/>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row>
    <row r="566">
      <c r="A566" s="7"/>
      <c r="B566" s="7"/>
      <c r="C566" s="7"/>
      <c r="D566" s="7"/>
      <c r="E566" s="19"/>
      <c r="F566" s="19"/>
      <c r="G566" s="19"/>
      <c r="H566" s="19"/>
      <c r="I566" s="19"/>
      <c r="J566" s="7"/>
      <c r="K566" s="19"/>
      <c r="L566" s="7"/>
      <c r="M566" s="7"/>
      <c r="N566" s="7"/>
      <c r="O566" s="7"/>
      <c r="P566" s="7"/>
      <c r="Q566" s="7"/>
      <c r="R566" s="7"/>
      <c r="S566" s="7"/>
      <c r="T566" s="7"/>
      <c r="U566" s="7"/>
      <c r="V566" s="388"/>
      <c r="W566" s="388"/>
      <c r="X566" s="388"/>
      <c r="Y566" s="7"/>
      <c r="Z566" s="7"/>
      <c r="AA566" s="7"/>
      <c r="AB566" s="7"/>
      <c r="AC566" s="7"/>
      <c r="AD566" s="7"/>
      <c r="AE566" s="7"/>
      <c r="AF566" s="7"/>
      <c r="AG566" s="7"/>
      <c r="AH566" s="7"/>
      <c r="AI566" s="7"/>
      <c r="AJ566" s="19"/>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row>
    <row r="567">
      <c r="A567" s="7"/>
      <c r="B567" s="7"/>
      <c r="C567" s="7"/>
      <c r="D567" s="7"/>
      <c r="E567" s="19"/>
      <c r="F567" s="19"/>
      <c r="G567" s="19"/>
      <c r="H567" s="19"/>
      <c r="I567" s="19"/>
      <c r="J567" s="7"/>
      <c r="K567" s="19"/>
      <c r="L567" s="7"/>
      <c r="M567" s="7"/>
      <c r="N567" s="7"/>
      <c r="O567" s="7"/>
      <c r="P567" s="7"/>
      <c r="Q567" s="7"/>
      <c r="R567" s="7"/>
      <c r="S567" s="7"/>
      <c r="T567" s="7"/>
      <c r="U567" s="7"/>
      <c r="V567" s="388"/>
      <c r="W567" s="388"/>
      <c r="X567" s="388"/>
      <c r="Y567" s="7"/>
      <c r="Z567" s="7"/>
      <c r="AA567" s="7"/>
      <c r="AB567" s="7"/>
      <c r="AC567" s="7"/>
      <c r="AD567" s="7"/>
      <c r="AE567" s="7"/>
      <c r="AF567" s="7"/>
      <c r="AG567" s="7"/>
      <c r="AH567" s="7"/>
      <c r="AI567" s="7"/>
      <c r="AJ567" s="19"/>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row>
    <row r="568">
      <c r="A568" s="7"/>
      <c r="B568" s="7"/>
      <c r="C568" s="7"/>
      <c r="D568" s="7"/>
      <c r="E568" s="19"/>
      <c r="F568" s="19"/>
      <c r="G568" s="19"/>
      <c r="H568" s="19"/>
      <c r="I568" s="19"/>
      <c r="J568" s="7"/>
      <c r="K568" s="19"/>
      <c r="L568" s="7"/>
      <c r="M568" s="7"/>
      <c r="N568" s="7"/>
      <c r="O568" s="7"/>
      <c r="P568" s="7"/>
      <c r="Q568" s="7"/>
      <c r="R568" s="7"/>
      <c r="S568" s="7"/>
      <c r="T568" s="7"/>
      <c r="U568" s="7"/>
      <c r="V568" s="388"/>
      <c r="W568" s="388"/>
      <c r="X568" s="388"/>
      <c r="Y568" s="7"/>
      <c r="Z568" s="7"/>
      <c r="AA568" s="7"/>
      <c r="AB568" s="7"/>
      <c r="AC568" s="7"/>
      <c r="AD568" s="7"/>
      <c r="AE568" s="7"/>
      <c r="AF568" s="7"/>
      <c r="AG568" s="7"/>
      <c r="AH568" s="7"/>
      <c r="AI568" s="7"/>
      <c r="AJ568" s="19"/>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row>
    <row r="569">
      <c r="A569" s="7"/>
      <c r="B569" s="7"/>
      <c r="C569" s="7"/>
      <c r="D569" s="7"/>
      <c r="E569" s="19"/>
      <c r="F569" s="19"/>
      <c r="G569" s="19"/>
      <c r="H569" s="19"/>
      <c r="I569" s="19"/>
      <c r="J569" s="7"/>
      <c r="K569" s="19"/>
      <c r="L569" s="7"/>
      <c r="M569" s="7"/>
      <c r="N569" s="7"/>
      <c r="O569" s="7"/>
      <c r="P569" s="7"/>
      <c r="Q569" s="7"/>
      <c r="R569" s="7"/>
      <c r="S569" s="7"/>
      <c r="T569" s="7"/>
      <c r="U569" s="7"/>
      <c r="V569" s="388"/>
      <c r="W569" s="388"/>
      <c r="X569" s="388"/>
      <c r="Y569" s="7"/>
      <c r="Z569" s="7"/>
      <c r="AA569" s="7"/>
      <c r="AB569" s="7"/>
      <c r="AC569" s="7"/>
      <c r="AD569" s="7"/>
      <c r="AE569" s="7"/>
      <c r="AF569" s="7"/>
      <c r="AG569" s="7"/>
      <c r="AH569" s="7"/>
      <c r="AI569" s="7"/>
      <c r="AJ569" s="19"/>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row>
    <row r="570">
      <c r="A570" s="7"/>
      <c r="B570" s="7"/>
      <c r="C570" s="7"/>
      <c r="D570" s="7"/>
      <c r="E570" s="19"/>
      <c r="F570" s="19"/>
      <c r="G570" s="19"/>
      <c r="H570" s="19"/>
      <c r="I570" s="19"/>
      <c r="J570" s="7"/>
      <c r="K570" s="19"/>
      <c r="L570" s="7"/>
      <c r="M570" s="7"/>
      <c r="N570" s="7"/>
      <c r="O570" s="7"/>
      <c r="P570" s="7"/>
      <c r="Q570" s="7"/>
      <c r="R570" s="7"/>
      <c r="S570" s="7"/>
      <c r="T570" s="7"/>
      <c r="U570" s="7"/>
      <c r="V570" s="388"/>
      <c r="W570" s="388"/>
      <c r="X570" s="388"/>
      <c r="Y570" s="7"/>
      <c r="Z570" s="7"/>
      <c r="AA570" s="7"/>
      <c r="AB570" s="7"/>
      <c r="AC570" s="7"/>
      <c r="AD570" s="7"/>
      <c r="AE570" s="7"/>
      <c r="AF570" s="7"/>
      <c r="AG570" s="7"/>
      <c r="AH570" s="7"/>
      <c r="AI570" s="7"/>
      <c r="AJ570" s="19"/>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row>
    <row r="571">
      <c r="A571" s="7"/>
      <c r="B571" s="7"/>
      <c r="C571" s="7"/>
      <c r="D571" s="7"/>
      <c r="E571" s="19"/>
      <c r="F571" s="19"/>
      <c r="G571" s="19"/>
      <c r="H571" s="19"/>
      <c r="I571" s="19"/>
      <c r="J571" s="7"/>
      <c r="K571" s="19"/>
      <c r="L571" s="7"/>
      <c r="M571" s="7"/>
      <c r="N571" s="7"/>
      <c r="O571" s="7"/>
      <c r="P571" s="7"/>
      <c r="Q571" s="7"/>
      <c r="R571" s="7"/>
      <c r="S571" s="7"/>
      <c r="T571" s="7"/>
      <c r="U571" s="7"/>
      <c r="V571" s="388"/>
      <c r="W571" s="388"/>
      <c r="X571" s="388"/>
      <c r="Y571" s="7"/>
      <c r="Z571" s="7"/>
      <c r="AA571" s="7"/>
      <c r="AB571" s="7"/>
      <c r="AC571" s="7"/>
      <c r="AD571" s="7"/>
      <c r="AE571" s="7"/>
      <c r="AF571" s="7"/>
      <c r="AG571" s="7"/>
      <c r="AH571" s="7"/>
      <c r="AI571" s="7"/>
      <c r="AJ571" s="19"/>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row>
    <row r="572">
      <c r="A572" s="7"/>
      <c r="B572" s="7"/>
      <c r="C572" s="7"/>
      <c r="D572" s="7"/>
      <c r="E572" s="19"/>
      <c r="F572" s="19"/>
      <c r="G572" s="19"/>
      <c r="H572" s="19"/>
      <c r="I572" s="19"/>
      <c r="J572" s="7"/>
      <c r="K572" s="19"/>
      <c r="L572" s="7"/>
      <c r="M572" s="7"/>
      <c r="N572" s="7"/>
      <c r="O572" s="7"/>
      <c r="P572" s="7"/>
      <c r="Q572" s="7"/>
      <c r="R572" s="7"/>
      <c r="S572" s="7"/>
      <c r="T572" s="7"/>
      <c r="U572" s="7"/>
      <c r="V572" s="388"/>
      <c r="W572" s="388"/>
      <c r="X572" s="388"/>
      <c r="Y572" s="7"/>
      <c r="Z572" s="7"/>
      <c r="AA572" s="7"/>
      <c r="AB572" s="7"/>
      <c r="AC572" s="7"/>
      <c r="AD572" s="7"/>
      <c r="AE572" s="7"/>
      <c r="AF572" s="7"/>
      <c r="AG572" s="7"/>
      <c r="AH572" s="7"/>
      <c r="AI572" s="7"/>
      <c r="AJ572" s="19"/>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row>
    <row r="573">
      <c r="A573" s="7"/>
      <c r="B573" s="7"/>
      <c r="C573" s="7"/>
      <c r="D573" s="7"/>
      <c r="E573" s="19"/>
      <c r="F573" s="19"/>
      <c r="G573" s="19"/>
      <c r="H573" s="19"/>
      <c r="I573" s="19"/>
      <c r="J573" s="7"/>
      <c r="K573" s="19"/>
      <c r="L573" s="7"/>
      <c r="M573" s="7"/>
      <c r="N573" s="7"/>
      <c r="O573" s="7"/>
      <c r="P573" s="7"/>
      <c r="Q573" s="7"/>
      <c r="R573" s="7"/>
      <c r="S573" s="7"/>
      <c r="T573" s="7"/>
      <c r="U573" s="7"/>
      <c r="V573" s="388"/>
      <c r="W573" s="388"/>
      <c r="X573" s="388"/>
      <c r="Y573" s="7"/>
      <c r="Z573" s="7"/>
      <c r="AA573" s="7"/>
      <c r="AB573" s="7"/>
      <c r="AC573" s="7"/>
      <c r="AD573" s="7"/>
      <c r="AE573" s="7"/>
      <c r="AF573" s="7"/>
      <c r="AG573" s="7"/>
      <c r="AH573" s="7"/>
      <c r="AI573" s="7"/>
      <c r="AJ573" s="19"/>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row>
    <row r="574">
      <c r="A574" s="7"/>
      <c r="B574" s="7"/>
      <c r="C574" s="7"/>
      <c r="D574" s="7"/>
      <c r="E574" s="19"/>
      <c r="F574" s="19"/>
      <c r="G574" s="19"/>
      <c r="H574" s="19"/>
      <c r="I574" s="19"/>
      <c r="J574" s="7"/>
      <c r="K574" s="19"/>
      <c r="L574" s="7"/>
      <c r="M574" s="7"/>
      <c r="N574" s="7"/>
      <c r="O574" s="7"/>
      <c r="P574" s="7"/>
      <c r="Q574" s="7"/>
      <c r="R574" s="7"/>
      <c r="S574" s="7"/>
      <c r="T574" s="7"/>
      <c r="U574" s="7"/>
      <c r="V574" s="388"/>
      <c r="W574" s="388"/>
      <c r="X574" s="388"/>
      <c r="Y574" s="7"/>
      <c r="Z574" s="7"/>
      <c r="AA574" s="7"/>
      <c r="AB574" s="7"/>
      <c r="AC574" s="7"/>
      <c r="AD574" s="7"/>
      <c r="AE574" s="7"/>
      <c r="AF574" s="7"/>
      <c r="AG574" s="7"/>
      <c r="AH574" s="7"/>
      <c r="AI574" s="7"/>
      <c r="AJ574" s="19"/>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row>
    <row r="575">
      <c r="A575" s="7"/>
      <c r="B575" s="7"/>
      <c r="C575" s="7"/>
      <c r="D575" s="7"/>
      <c r="E575" s="19"/>
      <c r="F575" s="19"/>
      <c r="G575" s="19"/>
      <c r="H575" s="19"/>
      <c r="I575" s="19"/>
      <c r="J575" s="7"/>
      <c r="K575" s="19"/>
      <c r="L575" s="7"/>
      <c r="M575" s="7"/>
      <c r="N575" s="7"/>
      <c r="O575" s="7"/>
      <c r="P575" s="7"/>
      <c r="Q575" s="7"/>
      <c r="R575" s="7"/>
      <c r="S575" s="7"/>
      <c r="T575" s="7"/>
      <c r="U575" s="7"/>
      <c r="V575" s="388"/>
      <c r="W575" s="388"/>
      <c r="X575" s="388"/>
      <c r="Y575" s="7"/>
      <c r="Z575" s="7"/>
      <c r="AA575" s="7"/>
      <c r="AB575" s="7"/>
      <c r="AC575" s="7"/>
      <c r="AD575" s="7"/>
      <c r="AE575" s="7"/>
      <c r="AF575" s="7"/>
      <c r="AG575" s="7"/>
      <c r="AH575" s="7"/>
      <c r="AI575" s="7"/>
      <c r="AJ575" s="19"/>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row>
    <row r="576">
      <c r="A576" s="7"/>
      <c r="B576" s="7"/>
      <c r="C576" s="7"/>
      <c r="D576" s="7"/>
      <c r="E576" s="19"/>
      <c r="F576" s="19"/>
      <c r="G576" s="19"/>
      <c r="H576" s="19"/>
      <c r="I576" s="19"/>
      <c r="J576" s="7"/>
      <c r="K576" s="19"/>
      <c r="L576" s="7"/>
      <c r="M576" s="7"/>
      <c r="N576" s="7"/>
      <c r="O576" s="7"/>
      <c r="P576" s="7"/>
      <c r="Q576" s="7"/>
      <c r="R576" s="7"/>
      <c r="S576" s="7"/>
      <c r="T576" s="7"/>
      <c r="U576" s="7"/>
      <c r="V576" s="388"/>
      <c r="W576" s="388"/>
      <c r="X576" s="388"/>
      <c r="Y576" s="7"/>
      <c r="Z576" s="7"/>
      <c r="AA576" s="7"/>
      <c r="AB576" s="7"/>
      <c r="AC576" s="7"/>
      <c r="AD576" s="7"/>
      <c r="AE576" s="7"/>
      <c r="AF576" s="7"/>
      <c r="AG576" s="7"/>
      <c r="AH576" s="7"/>
      <c r="AI576" s="7"/>
      <c r="AJ576" s="19"/>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row>
    <row r="577">
      <c r="A577" s="7"/>
      <c r="B577" s="7"/>
      <c r="C577" s="7"/>
      <c r="D577" s="7"/>
      <c r="E577" s="19"/>
      <c r="F577" s="19"/>
      <c r="G577" s="19"/>
      <c r="H577" s="19"/>
      <c r="I577" s="19"/>
      <c r="J577" s="7"/>
      <c r="K577" s="19"/>
      <c r="L577" s="7"/>
      <c r="M577" s="7"/>
      <c r="N577" s="7"/>
      <c r="O577" s="7"/>
      <c r="P577" s="7"/>
      <c r="Q577" s="7"/>
      <c r="R577" s="7"/>
      <c r="S577" s="7"/>
      <c r="T577" s="7"/>
      <c r="U577" s="7"/>
      <c r="V577" s="388"/>
      <c r="W577" s="388"/>
      <c r="X577" s="388"/>
      <c r="Y577" s="7"/>
      <c r="Z577" s="7"/>
      <c r="AA577" s="7"/>
      <c r="AB577" s="7"/>
      <c r="AC577" s="7"/>
      <c r="AD577" s="7"/>
      <c r="AE577" s="7"/>
      <c r="AF577" s="7"/>
      <c r="AG577" s="7"/>
      <c r="AH577" s="7"/>
      <c r="AI577" s="7"/>
      <c r="AJ577" s="19"/>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row>
    <row r="578">
      <c r="A578" s="7"/>
      <c r="B578" s="7"/>
      <c r="C578" s="7"/>
      <c r="D578" s="7"/>
      <c r="E578" s="19"/>
      <c r="F578" s="19"/>
      <c r="G578" s="19"/>
      <c r="H578" s="19"/>
      <c r="I578" s="19"/>
      <c r="J578" s="7"/>
      <c r="K578" s="19"/>
      <c r="L578" s="7"/>
      <c r="M578" s="7"/>
      <c r="N578" s="7"/>
      <c r="O578" s="7"/>
      <c r="P578" s="7"/>
      <c r="Q578" s="7"/>
      <c r="R578" s="7"/>
      <c r="S578" s="7"/>
      <c r="T578" s="7"/>
      <c r="U578" s="7"/>
      <c r="V578" s="388"/>
      <c r="W578" s="388"/>
      <c r="X578" s="388"/>
      <c r="Y578" s="7"/>
      <c r="Z578" s="7"/>
      <c r="AA578" s="7"/>
      <c r="AB578" s="7"/>
      <c r="AC578" s="7"/>
      <c r="AD578" s="7"/>
      <c r="AE578" s="7"/>
      <c r="AF578" s="7"/>
      <c r="AG578" s="7"/>
      <c r="AH578" s="7"/>
      <c r="AI578" s="7"/>
      <c r="AJ578" s="19"/>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row>
    <row r="579">
      <c r="A579" s="7"/>
      <c r="B579" s="7"/>
      <c r="C579" s="7"/>
      <c r="D579" s="7"/>
      <c r="E579" s="19"/>
      <c r="F579" s="19"/>
      <c r="G579" s="19"/>
      <c r="H579" s="19"/>
      <c r="I579" s="19"/>
      <c r="J579" s="7"/>
      <c r="K579" s="19"/>
      <c r="L579" s="7"/>
      <c r="M579" s="7"/>
      <c r="N579" s="7"/>
      <c r="O579" s="7"/>
      <c r="P579" s="7"/>
      <c r="Q579" s="7"/>
      <c r="R579" s="7"/>
      <c r="S579" s="7"/>
      <c r="T579" s="7"/>
      <c r="U579" s="7"/>
      <c r="V579" s="388"/>
      <c r="W579" s="388"/>
      <c r="X579" s="388"/>
      <c r="Y579" s="7"/>
      <c r="Z579" s="7"/>
      <c r="AA579" s="7"/>
      <c r="AB579" s="7"/>
      <c r="AC579" s="7"/>
      <c r="AD579" s="7"/>
      <c r="AE579" s="7"/>
      <c r="AF579" s="7"/>
      <c r="AG579" s="7"/>
      <c r="AH579" s="7"/>
      <c r="AI579" s="7"/>
      <c r="AJ579" s="19"/>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row>
    <row r="580">
      <c r="A580" s="7"/>
      <c r="B580" s="7"/>
      <c r="C580" s="7"/>
      <c r="D580" s="7"/>
      <c r="E580" s="19"/>
      <c r="F580" s="19"/>
      <c r="G580" s="19"/>
      <c r="H580" s="19"/>
      <c r="I580" s="19"/>
      <c r="J580" s="7"/>
      <c r="K580" s="19"/>
      <c r="L580" s="7"/>
      <c r="M580" s="7"/>
      <c r="N580" s="7"/>
      <c r="O580" s="7"/>
      <c r="P580" s="7"/>
      <c r="Q580" s="7"/>
      <c r="R580" s="7"/>
      <c r="S580" s="7"/>
      <c r="T580" s="7"/>
      <c r="U580" s="7"/>
      <c r="V580" s="388"/>
      <c r="W580" s="388"/>
      <c r="X580" s="388"/>
      <c r="Y580" s="7"/>
      <c r="Z580" s="7"/>
      <c r="AA580" s="7"/>
      <c r="AB580" s="7"/>
      <c r="AC580" s="7"/>
      <c r="AD580" s="7"/>
      <c r="AE580" s="7"/>
      <c r="AF580" s="7"/>
      <c r="AG580" s="7"/>
      <c r="AH580" s="7"/>
      <c r="AI580" s="7"/>
      <c r="AJ580" s="19"/>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row>
    <row r="581">
      <c r="A581" s="7"/>
      <c r="B581" s="7"/>
      <c r="C581" s="7"/>
      <c r="D581" s="7"/>
      <c r="E581" s="19"/>
      <c r="F581" s="19"/>
      <c r="G581" s="19"/>
      <c r="H581" s="19"/>
      <c r="I581" s="19"/>
      <c r="J581" s="7"/>
      <c r="K581" s="19"/>
      <c r="L581" s="7"/>
      <c r="M581" s="7"/>
      <c r="N581" s="7"/>
      <c r="O581" s="7"/>
      <c r="P581" s="7"/>
      <c r="Q581" s="7"/>
      <c r="R581" s="7"/>
      <c r="S581" s="7"/>
      <c r="T581" s="7"/>
      <c r="U581" s="7"/>
      <c r="V581" s="388"/>
      <c r="W581" s="388"/>
      <c r="X581" s="388"/>
      <c r="Y581" s="7"/>
      <c r="Z581" s="7"/>
      <c r="AA581" s="7"/>
      <c r="AB581" s="7"/>
      <c r="AC581" s="7"/>
      <c r="AD581" s="7"/>
      <c r="AE581" s="7"/>
      <c r="AF581" s="7"/>
      <c r="AG581" s="7"/>
      <c r="AH581" s="7"/>
      <c r="AI581" s="7"/>
      <c r="AJ581" s="19"/>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row>
    <row r="582">
      <c r="A582" s="7"/>
      <c r="B582" s="7"/>
      <c r="C582" s="7"/>
      <c r="D582" s="7"/>
      <c r="E582" s="19"/>
      <c r="F582" s="19"/>
      <c r="G582" s="19"/>
      <c r="H582" s="19"/>
      <c r="I582" s="19"/>
      <c r="J582" s="7"/>
      <c r="K582" s="19"/>
      <c r="L582" s="7"/>
      <c r="M582" s="7"/>
      <c r="N582" s="7"/>
      <c r="O582" s="7"/>
      <c r="P582" s="7"/>
      <c r="Q582" s="7"/>
      <c r="R582" s="7"/>
      <c r="S582" s="7"/>
      <c r="T582" s="7"/>
      <c r="U582" s="7"/>
      <c r="V582" s="388"/>
      <c r="W582" s="388"/>
      <c r="X582" s="388"/>
      <c r="Y582" s="7"/>
      <c r="Z582" s="7"/>
      <c r="AA582" s="7"/>
      <c r="AB582" s="7"/>
      <c r="AC582" s="7"/>
      <c r="AD582" s="7"/>
      <c r="AE582" s="7"/>
      <c r="AF582" s="7"/>
      <c r="AG582" s="7"/>
      <c r="AH582" s="7"/>
      <c r="AI582" s="7"/>
      <c r="AJ582" s="19"/>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row>
    <row r="583">
      <c r="A583" s="7"/>
      <c r="B583" s="7"/>
      <c r="C583" s="7"/>
      <c r="D583" s="7"/>
      <c r="E583" s="19"/>
      <c r="F583" s="19"/>
      <c r="G583" s="19"/>
      <c r="H583" s="19"/>
      <c r="I583" s="19"/>
      <c r="J583" s="7"/>
      <c r="K583" s="19"/>
      <c r="L583" s="7"/>
      <c r="M583" s="7"/>
      <c r="N583" s="7"/>
      <c r="O583" s="7"/>
      <c r="P583" s="7"/>
      <c r="Q583" s="7"/>
      <c r="R583" s="7"/>
      <c r="S583" s="7"/>
      <c r="T583" s="7"/>
      <c r="U583" s="7"/>
      <c r="V583" s="388"/>
      <c r="W583" s="388"/>
      <c r="X583" s="388"/>
      <c r="Y583" s="7"/>
      <c r="Z583" s="7"/>
      <c r="AA583" s="7"/>
      <c r="AB583" s="7"/>
      <c r="AC583" s="7"/>
      <c r="AD583" s="7"/>
      <c r="AE583" s="7"/>
      <c r="AF583" s="7"/>
      <c r="AG583" s="7"/>
      <c r="AH583" s="7"/>
      <c r="AI583" s="7"/>
      <c r="AJ583" s="19"/>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row>
    <row r="584">
      <c r="A584" s="7"/>
      <c r="B584" s="7"/>
      <c r="C584" s="7"/>
      <c r="D584" s="7"/>
      <c r="E584" s="19"/>
      <c r="F584" s="19"/>
      <c r="G584" s="19"/>
      <c r="H584" s="19"/>
      <c r="I584" s="19"/>
      <c r="J584" s="7"/>
      <c r="K584" s="19"/>
      <c r="L584" s="7"/>
      <c r="M584" s="7"/>
      <c r="N584" s="7"/>
      <c r="O584" s="7"/>
      <c r="P584" s="7"/>
      <c r="Q584" s="7"/>
      <c r="R584" s="7"/>
      <c r="S584" s="7"/>
      <c r="T584" s="7"/>
      <c r="U584" s="7"/>
      <c r="V584" s="388"/>
      <c r="W584" s="388"/>
      <c r="X584" s="388"/>
      <c r="Y584" s="7"/>
      <c r="Z584" s="7"/>
      <c r="AA584" s="7"/>
      <c r="AB584" s="7"/>
      <c r="AC584" s="7"/>
      <c r="AD584" s="7"/>
      <c r="AE584" s="7"/>
      <c r="AF584" s="7"/>
      <c r="AG584" s="7"/>
      <c r="AH584" s="7"/>
      <c r="AI584" s="7"/>
      <c r="AJ584" s="19"/>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row>
    <row r="585">
      <c r="A585" s="7"/>
      <c r="B585" s="7"/>
      <c r="C585" s="7"/>
      <c r="D585" s="7"/>
      <c r="E585" s="19"/>
      <c r="F585" s="19"/>
      <c r="G585" s="19"/>
      <c r="H585" s="19"/>
      <c r="I585" s="19"/>
      <c r="J585" s="7"/>
      <c r="K585" s="19"/>
      <c r="L585" s="7"/>
      <c r="M585" s="7"/>
      <c r="N585" s="7"/>
      <c r="O585" s="7"/>
      <c r="P585" s="7"/>
      <c r="Q585" s="7"/>
      <c r="R585" s="7"/>
      <c r="S585" s="7"/>
      <c r="T585" s="7"/>
      <c r="U585" s="7"/>
      <c r="V585" s="388"/>
      <c r="W585" s="388"/>
      <c r="X585" s="388"/>
      <c r="Y585" s="7"/>
      <c r="Z585" s="7"/>
      <c r="AA585" s="7"/>
      <c r="AB585" s="7"/>
      <c r="AC585" s="7"/>
      <c r="AD585" s="7"/>
      <c r="AE585" s="7"/>
      <c r="AF585" s="7"/>
      <c r="AG585" s="7"/>
      <c r="AH585" s="7"/>
      <c r="AI585" s="7"/>
      <c r="AJ585" s="19"/>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row>
    <row r="586">
      <c r="A586" s="7"/>
      <c r="B586" s="7"/>
      <c r="C586" s="7"/>
      <c r="D586" s="7"/>
      <c r="E586" s="19"/>
      <c r="F586" s="19"/>
      <c r="G586" s="19"/>
      <c r="H586" s="19"/>
      <c r="I586" s="19"/>
      <c r="J586" s="7"/>
      <c r="K586" s="19"/>
      <c r="L586" s="7"/>
      <c r="M586" s="7"/>
      <c r="N586" s="7"/>
      <c r="O586" s="7"/>
      <c r="P586" s="7"/>
      <c r="Q586" s="7"/>
      <c r="R586" s="7"/>
      <c r="S586" s="7"/>
      <c r="T586" s="7"/>
      <c r="U586" s="7"/>
      <c r="V586" s="388"/>
      <c r="W586" s="388"/>
      <c r="X586" s="388"/>
      <c r="Y586" s="7"/>
      <c r="Z586" s="7"/>
      <c r="AA586" s="7"/>
      <c r="AB586" s="7"/>
      <c r="AC586" s="7"/>
      <c r="AD586" s="7"/>
      <c r="AE586" s="7"/>
      <c r="AF586" s="7"/>
      <c r="AG586" s="7"/>
      <c r="AH586" s="7"/>
      <c r="AI586" s="7"/>
      <c r="AJ586" s="19"/>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row>
    <row r="587">
      <c r="A587" s="7"/>
      <c r="B587" s="7"/>
      <c r="C587" s="7"/>
      <c r="D587" s="7"/>
      <c r="E587" s="19"/>
      <c r="F587" s="19"/>
      <c r="G587" s="19"/>
      <c r="H587" s="19"/>
      <c r="I587" s="19"/>
      <c r="J587" s="7"/>
      <c r="K587" s="19"/>
      <c r="L587" s="7"/>
      <c r="M587" s="7"/>
      <c r="N587" s="7"/>
      <c r="O587" s="7"/>
      <c r="P587" s="7"/>
      <c r="Q587" s="7"/>
      <c r="R587" s="7"/>
      <c r="S587" s="7"/>
      <c r="T587" s="7"/>
      <c r="U587" s="7"/>
      <c r="V587" s="388"/>
      <c r="W587" s="388"/>
      <c r="X587" s="388"/>
      <c r="Y587" s="7"/>
      <c r="Z587" s="7"/>
      <c r="AA587" s="7"/>
      <c r="AB587" s="7"/>
      <c r="AC587" s="7"/>
      <c r="AD587" s="7"/>
      <c r="AE587" s="7"/>
      <c r="AF587" s="7"/>
      <c r="AG587" s="7"/>
      <c r="AH587" s="7"/>
      <c r="AI587" s="7"/>
      <c r="AJ587" s="19"/>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row>
    <row r="588">
      <c r="A588" s="7"/>
      <c r="B588" s="7"/>
      <c r="C588" s="7"/>
      <c r="D588" s="7"/>
      <c r="E588" s="19"/>
      <c r="F588" s="19"/>
      <c r="G588" s="19"/>
      <c r="H588" s="19"/>
      <c r="I588" s="19"/>
      <c r="J588" s="7"/>
      <c r="K588" s="19"/>
      <c r="L588" s="7"/>
      <c r="M588" s="7"/>
      <c r="N588" s="7"/>
      <c r="O588" s="7"/>
      <c r="P588" s="7"/>
      <c r="Q588" s="7"/>
      <c r="R588" s="7"/>
      <c r="S588" s="7"/>
      <c r="T588" s="7"/>
      <c r="U588" s="7"/>
      <c r="V588" s="388"/>
      <c r="W588" s="388"/>
      <c r="X588" s="388"/>
      <c r="Y588" s="7"/>
      <c r="Z588" s="7"/>
      <c r="AA588" s="7"/>
      <c r="AB588" s="7"/>
      <c r="AC588" s="7"/>
      <c r="AD588" s="7"/>
      <c r="AE588" s="7"/>
      <c r="AF588" s="7"/>
      <c r="AG588" s="7"/>
      <c r="AH588" s="7"/>
      <c r="AI588" s="7"/>
      <c r="AJ588" s="19"/>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row>
    <row r="589">
      <c r="A589" s="7"/>
      <c r="B589" s="7"/>
      <c r="C589" s="7"/>
      <c r="D589" s="7"/>
      <c r="E589" s="19"/>
      <c r="F589" s="19"/>
      <c r="G589" s="19"/>
      <c r="H589" s="19"/>
      <c r="I589" s="19"/>
      <c r="J589" s="7"/>
      <c r="K589" s="19"/>
      <c r="L589" s="7"/>
      <c r="M589" s="7"/>
      <c r="N589" s="7"/>
      <c r="O589" s="7"/>
      <c r="P589" s="7"/>
      <c r="Q589" s="7"/>
      <c r="R589" s="7"/>
      <c r="S589" s="7"/>
      <c r="T589" s="7"/>
      <c r="U589" s="7"/>
      <c r="V589" s="388"/>
      <c r="W589" s="388"/>
      <c r="X589" s="388"/>
      <c r="Y589" s="7"/>
      <c r="Z589" s="7"/>
      <c r="AA589" s="7"/>
      <c r="AB589" s="7"/>
      <c r="AC589" s="7"/>
      <c r="AD589" s="7"/>
      <c r="AE589" s="7"/>
      <c r="AF589" s="7"/>
      <c r="AG589" s="7"/>
      <c r="AH589" s="7"/>
      <c r="AI589" s="7"/>
      <c r="AJ589" s="19"/>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row>
    <row r="590">
      <c r="A590" s="7"/>
      <c r="B590" s="7"/>
      <c r="C590" s="7"/>
      <c r="D590" s="7"/>
      <c r="E590" s="19"/>
      <c r="F590" s="19"/>
      <c r="G590" s="19"/>
      <c r="H590" s="19"/>
      <c r="I590" s="19"/>
      <c r="J590" s="7"/>
      <c r="K590" s="19"/>
      <c r="L590" s="7"/>
      <c r="M590" s="7"/>
      <c r="N590" s="7"/>
      <c r="O590" s="7"/>
      <c r="P590" s="7"/>
      <c r="Q590" s="7"/>
      <c r="R590" s="7"/>
      <c r="S590" s="7"/>
      <c r="T590" s="7"/>
      <c r="U590" s="7"/>
      <c r="V590" s="388"/>
      <c r="W590" s="388"/>
      <c r="X590" s="388"/>
      <c r="Y590" s="7"/>
      <c r="Z590" s="7"/>
      <c r="AA590" s="7"/>
      <c r="AB590" s="7"/>
      <c r="AC590" s="7"/>
      <c r="AD590" s="7"/>
      <c r="AE590" s="7"/>
      <c r="AF590" s="7"/>
      <c r="AG590" s="7"/>
      <c r="AH590" s="7"/>
      <c r="AI590" s="7"/>
      <c r="AJ590" s="19"/>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row>
    <row r="591">
      <c r="A591" s="7"/>
      <c r="B591" s="7"/>
      <c r="C591" s="7"/>
      <c r="D591" s="7"/>
      <c r="E591" s="19"/>
      <c r="F591" s="19"/>
      <c r="G591" s="19"/>
      <c r="H591" s="19"/>
      <c r="I591" s="19"/>
      <c r="J591" s="7"/>
      <c r="K591" s="19"/>
      <c r="L591" s="7"/>
      <c r="M591" s="7"/>
      <c r="N591" s="7"/>
      <c r="O591" s="7"/>
      <c r="P591" s="7"/>
      <c r="Q591" s="7"/>
      <c r="R591" s="7"/>
      <c r="S591" s="7"/>
      <c r="T591" s="7"/>
      <c r="U591" s="7"/>
      <c r="V591" s="388"/>
      <c r="W591" s="388"/>
      <c r="X591" s="388"/>
      <c r="Y591" s="7"/>
      <c r="Z591" s="7"/>
      <c r="AA591" s="7"/>
      <c r="AB591" s="7"/>
      <c r="AC591" s="7"/>
      <c r="AD591" s="7"/>
      <c r="AE591" s="7"/>
      <c r="AF591" s="7"/>
      <c r="AG591" s="7"/>
      <c r="AH591" s="7"/>
      <c r="AI591" s="7"/>
      <c r="AJ591" s="19"/>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row>
    <row r="592">
      <c r="A592" s="7"/>
      <c r="B592" s="7"/>
      <c r="C592" s="7"/>
      <c r="D592" s="7"/>
      <c r="E592" s="19"/>
      <c r="F592" s="19"/>
      <c r="G592" s="19"/>
      <c r="H592" s="19"/>
      <c r="I592" s="19"/>
      <c r="J592" s="7"/>
      <c r="K592" s="19"/>
      <c r="L592" s="7"/>
      <c r="M592" s="7"/>
      <c r="N592" s="7"/>
      <c r="O592" s="7"/>
      <c r="P592" s="7"/>
      <c r="Q592" s="7"/>
      <c r="R592" s="7"/>
      <c r="S592" s="7"/>
      <c r="T592" s="7"/>
      <c r="U592" s="7"/>
      <c r="V592" s="388"/>
      <c r="W592" s="388"/>
      <c r="X592" s="388"/>
      <c r="Y592" s="7"/>
      <c r="Z592" s="7"/>
      <c r="AA592" s="7"/>
      <c r="AB592" s="7"/>
      <c r="AC592" s="7"/>
      <c r="AD592" s="7"/>
      <c r="AE592" s="7"/>
      <c r="AF592" s="7"/>
      <c r="AG592" s="7"/>
      <c r="AH592" s="7"/>
      <c r="AI592" s="7"/>
      <c r="AJ592" s="19"/>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row>
    <row r="593">
      <c r="A593" s="7"/>
      <c r="B593" s="7"/>
      <c r="C593" s="7"/>
      <c r="D593" s="7"/>
      <c r="E593" s="19"/>
      <c r="F593" s="19"/>
      <c r="G593" s="19"/>
      <c r="H593" s="19"/>
      <c r="I593" s="19"/>
      <c r="J593" s="7"/>
      <c r="K593" s="19"/>
      <c r="L593" s="7"/>
      <c r="M593" s="7"/>
      <c r="N593" s="7"/>
      <c r="O593" s="7"/>
      <c r="P593" s="7"/>
      <c r="Q593" s="7"/>
      <c r="R593" s="7"/>
      <c r="S593" s="7"/>
      <c r="T593" s="7"/>
      <c r="U593" s="7"/>
      <c r="V593" s="388"/>
      <c r="W593" s="388"/>
      <c r="X593" s="388"/>
      <c r="Y593" s="7"/>
      <c r="Z593" s="7"/>
      <c r="AA593" s="7"/>
      <c r="AB593" s="7"/>
      <c r="AC593" s="7"/>
      <c r="AD593" s="7"/>
      <c r="AE593" s="7"/>
      <c r="AF593" s="7"/>
      <c r="AG593" s="7"/>
      <c r="AH593" s="7"/>
      <c r="AI593" s="7"/>
      <c r="AJ593" s="19"/>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row>
    <row r="594">
      <c r="A594" s="7"/>
      <c r="B594" s="7"/>
      <c r="C594" s="7"/>
      <c r="D594" s="7"/>
      <c r="E594" s="19"/>
      <c r="F594" s="19"/>
      <c r="G594" s="19"/>
      <c r="H594" s="19"/>
      <c r="I594" s="19"/>
      <c r="J594" s="7"/>
      <c r="K594" s="19"/>
      <c r="L594" s="7"/>
      <c r="M594" s="7"/>
      <c r="N594" s="7"/>
      <c r="O594" s="7"/>
      <c r="P594" s="7"/>
      <c r="Q594" s="7"/>
      <c r="R594" s="7"/>
      <c r="S594" s="7"/>
      <c r="T594" s="7"/>
      <c r="U594" s="7"/>
      <c r="V594" s="388"/>
      <c r="W594" s="388"/>
      <c r="X594" s="388"/>
      <c r="Y594" s="7"/>
      <c r="Z594" s="7"/>
      <c r="AA594" s="7"/>
      <c r="AB594" s="7"/>
      <c r="AC594" s="7"/>
      <c r="AD594" s="7"/>
      <c r="AE594" s="7"/>
      <c r="AF594" s="7"/>
      <c r="AG594" s="7"/>
      <c r="AH594" s="7"/>
      <c r="AI594" s="7"/>
      <c r="AJ594" s="19"/>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row>
    <row r="595">
      <c r="A595" s="7"/>
      <c r="B595" s="7"/>
      <c r="C595" s="7"/>
      <c r="D595" s="7"/>
      <c r="E595" s="19"/>
      <c r="F595" s="19"/>
      <c r="G595" s="19"/>
      <c r="H595" s="19"/>
      <c r="I595" s="19"/>
      <c r="J595" s="7"/>
      <c r="K595" s="19"/>
      <c r="L595" s="7"/>
      <c r="M595" s="7"/>
      <c r="N595" s="7"/>
      <c r="O595" s="7"/>
      <c r="P595" s="7"/>
      <c r="Q595" s="7"/>
      <c r="R595" s="7"/>
      <c r="S595" s="7"/>
      <c r="T595" s="7"/>
      <c r="U595" s="7"/>
      <c r="V595" s="388"/>
      <c r="W595" s="388"/>
      <c r="X595" s="388"/>
      <c r="Y595" s="7"/>
      <c r="Z595" s="7"/>
      <c r="AA595" s="7"/>
      <c r="AB595" s="7"/>
      <c r="AC595" s="7"/>
      <c r="AD595" s="7"/>
      <c r="AE595" s="7"/>
      <c r="AF595" s="7"/>
      <c r="AG595" s="7"/>
      <c r="AH595" s="7"/>
      <c r="AI595" s="7"/>
      <c r="AJ595" s="19"/>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row>
    <row r="596">
      <c r="A596" s="7"/>
      <c r="B596" s="7"/>
      <c r="C596" s="7"/>
      <c r="D596" s="7"/>
      <c r="E596" s="19"/>
      <c r="F596" s="19"/>
      <c r="G596" s="19"/>
      <c r="H596" s="19"/>
      <c r="I596" s="19"/>
      <c r="J596" s="7"/>
      <c r="K596" s="19"/>
      <c r="L596" s="7"/>
      <c r="M596" s="7"/>
      <c r="N596" s="7"/>
      <c r="O596" s="7"/>
      <c r="P596" s="7"/>
      <c r="Q596" s="7"/>
      <c r="R596" s="7"/>
      <c r="S596" s="7"/>
      <c r="T596" s="7"/>
      <c r="U596" s="7"/>
      <c r="V596" s="388"/>
      <c r="W596" s="388"/>
      <c r="X596" s="388"/>
      <c r="Y596" s="7"/>
      <c r="Z596" s="7"/>
      <c r="AA596" s="7"/>
      <c r="AB596" s="7"/>
      <c r="AC596" s="7"/>
      <c r="AD596" s="7"/>
      <c r="AE596" s="7"/>
      <c r="AF596" s="7"/>
      <c r="AG596" s="7"/>
      <c r="AH596" s="7"/>
      <c r="AI596" s="7"/>
      <c r="AJ596" s="19"/>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row>
    <row r="597">
      <c r="A597" s="7"/>
      <c r="B597" s="7"/>
      <c r="C597" s="7"/>
      <c r="D597" s="7"/>
      <c r="E597" s="19"/>
      <c r="F597" s="19"/>
      <c r="G597" s="19"/>
      <c r="H597" s="19"/>
      <c r="I597" s="19"/>
      <c r="J597" s="7"/>
      <c r="K597" s="19"/>
      <c r="L597" s="7"/>
      <c r="M597" s="7"/>
      <c r="N597" s="7"/>
      <c r="O597" s="7"/>
      <c r="P597" s="7"/>
      <c r="Q597" s="7"/>
      <c r="R597" s="7"/>
      <c r="S597" s="7"/>
      <c r="T597" s="7"/>
      <c r="U597" s="7"/>
      <c r="V597" s="388"/>
      <c r="W597" s="388"/>
      <c r="X597" s="388"/>
      <c r="Y597" s="7"/>
      <c r="Z597" s="7"/>
      <c r="AA597" s="7"/>
      <c r="AB597" s="7"/>
      <c r="AC597" s="7"/>
      <c r="AD597" s="7"/>
      <c r="AE597" s="7"/>
      <c r="AF597" s="7"/>
      <c r="AG597" s="7"/>
      <c r="AH597" s="7"/>
      <c r="AI597" s="7"/>
      <c r="AJ597" s="19"/>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row>
    <row r="598">
      <c r="A598" s="7"/>
      <c r="B598" s="7"/>
      <c r="C598" s="7"/>
      <c r="D598" s="7"/>
      <c r="E598" s="19"/>
      <c r="F598" s="19"/>
      <c r="G598" s="19"/>
      <c r="H598" s="19"/>
      <c r="I598" s="19"/>
      <c r="J598" s="7"/>
      <c r="K598" s="19"/>
      <c r="L598" s="7"/>
      <c r="M598" s="7"/>
      <c r="N598" s="7"/>
      <c r="O598" s="7"/>
      <c r="P598" s="7"/>
      <c r="Q598" s="7"/>
      <c r="R598" s="7"/>
      <c r="S598" s="7"/>
      <c r="T598" s="7"/>
      <c r="U598" s="7"/>
      <c r="V598" s="388"/>
      <c r="W598" s="388"/>
      <c r="X598" s="388"/>
      <c r="Y598" s="7"/>
      <c r="Z598" s="7"/>
      <c r="AA598" s="7"/>
      <c r="AB598" s="7"/>
      <c r="AC598" s="7"/>
      <c r="AD598" s="7"/>
      <c r="AE598" s="7"/>
      <c r="AF598" s="7"/>
      <c r="AG598" s="7"/>
      <c r="AH598" s="7"/>
      <c r="AI598" s="7"/>
      <c r="AJ598" s="19"/>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row>
    <row r="599">
      <c r="A599" s="7"/>
      <c r="B599" s="7"/>
      <c r="C599" s="7"/>
      <c r="D599" s="7"/>
      <c r="E599" s="19"/>
      <c r="F599" s="19"/>
      <c r="G599" s="19"/>
      <c r="H599" s="19"/>
      <c r="I599" s="19"/>
      <c r="J599" s="7"/>
      <c r="K599" s="19"/>
      <c r="L599" s="7"/>
      <c r="M599" s="7"/>
      <c r="N599" s="7"/>
      <c r="O599" s="7"/>
      <c r="P599" s="7"/>
      <c r="Q599" s="7"/>
      <c r="R599" s="7"/>
      <c r="S599" s="7"/>
      <c r="T599" s="7"/>
      <c r="U599" s="7"/>
      <c r="V599" s="388"/>
      <c r="W599" s="388"/>
      <c r="X599" s="388"/>
      <c r="Y599" s="7"/>
      <c r="Z599" s="7"/>
      <c r="AA599" s="7"/>
      <c r="AB599" s="7"/>
      <c r="AC599" s="7"/>
      <c r="AD599" s="7"/>
      <c r="AE599" s="7"/>
      <c r="AF599" s="7"/>
      <c r="AG599" s="7"/>
      <c r="AH599" s="7"/>
      <c r="AI599" s="7"/>
      <c r="AJ599" s="19"/>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row>
    <row r="600">
      <c r="A600" s="7"/>
      <c r="B600" s="7"/>
      <c r="C600" s="7"/>
      <c r="D600" s="7"/>
      <c r="E600" s="19"/>
      <c r="F600" s="19"/>
      <c r="G600" s="19"/>
      <c r="H600" s="19"/>
      <c r="I600" s="19"/>
      <c r="J600" s="7"/>
      <c r="K600" s="19"/>
      <c r="L600" s="7"/>
      <c r="M600" s="7"/>
      <c r="N600" s="7"/>
      <c r="O600" s="7"/>
      <c r="P600" s="7"/>
      <c r="Q600" s="7"/>
      <c r="R600" s="7"/>
      <c r="S600" s="7"/>
      <c r="T600" s="7"/>
      <c r="U600" s="7"/>
      <c r="V600" s="388"/>
      <c r="W600" s="388"/>
      <c r="X600" s="388"/>
      <c r="Y600" s="7"/>
      <c r="Z600" s="7"/>
      <c r="AA600" s="7"/>
      <c r="AB600" s="7"/>
      <c r="AC600" s="7"/>
      <c r="AD600" s="7"/>
      <c r="AE600" s="7"/>
      <c r="AF600" s="7"/>
      <c r="AG600" s="7"/>
      <c r="AH600" s="7"/>
      <c r="AI600" s="7"/>
      <c r="AJ600" s="19"/>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row>
    <row r="601">
      <c r="A601" s="7"/>
      <c r="B601" s="7"/>
      <c r="C601" s="7"/>
      <c r="D601" s="7"/>
      <c r="E601" s="19"/>
      <c r="F601" s="19"/>
      <c r="G601" s="19"/>
      <c r="H601" s="19"/>
      <c r="I601" s="19"/>
      <c r="J601" s="7"/>
      <c r="K601" s="19"/>
      <c r="L601" s="7"/>
      <c r="M601" s="7"/>
      <c r="N601" s="7"/>
      <c r="O601" s="7"/>
      <c r="P601" s="7"/>
      <c r="Q601" s="7"/>
      <c r="R601" s="7"/>
      <c r="S601" s="7"/>
      <c r="T601" s="7"/>
      <c r="U601" s="7"/>
      <c r="V601" s="388"/>
      <c r="W601" s="388"/>
      <c r="X601" s="388"/>
      <c r="Y601" s="7"/>
      <c r="Z601" s="7"/>
      <c r="AA601" s="7"/>
      <c r="AB601" s="7"/>
      <c r="AC601" s="7"/>
      <c r="AD601" s="7"/>
      <c r="AE601" s="7"/>
      <c r="AF601" s="7"/>
      <c r="AG601" s="7"/>
      <c r="AH601" s="7"/>
      <c r="AI601" s="7"/>
      <c r="AJ601" s="19"/>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row>
    <row r="602">
      <c r="A602" s="7"/>
      <c r="B602" s="7"/>
      <c r="C602" s="7"/>
      <c r="D602" s="7"/>
      <c r="E602" s="19"/>
      <c r="F602" s="19"/>
      <c r="G602" s="19"/>
      <c r="H602" s="19"/>
      <c r="I602" s="19"/>
      <c r="J602" s="7"/>
      <c r="K602" s="19"/>
      <c r="L602" s="7"/>
      <c r="M602" s="7"/>
      <c r="N602" s="7"/>
      <c r="O602" s="7"/>
      <c r="P602" s="7"/>
      <c r="Q602" s="7"/>
      <c r="R602" s="7"/>
      <c r="S602" s="7"/>
      <c r="T602" s="7"/>
      <c r="U602" s="7"/>
      <c r="V602" s="388"/>
      <c r="W602" s="388"/>
      <c r="X602" s="388"/>
      <c r="Y602" s="7"/>
      <c r="Z602" s="7"/>
      <c r="AA602" s="7"/>
      <c r="AB602" s="7"/>
      <c r="AC602" s="7"/>
      <c r="AD602" s="7"/>
      <c r="AE602" s="7"/>
      <c r="AF602" s="7"/>
      <c r="AG602" s="7"/>
      <c r="AH602" s="7"/>
      <c r="AI602" s="7"/>
      <c r="AJ602" s="19"/>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row>
    <row r="603">
      <c r="A603" s="7"/>
      <c r="B603" s="7"/>
      <c r="C603" s="7"/>
      <c r="D603" s="7"/>
      <c r="E603" s="19"/>
      <c r="F603" s="19"/>
      <c r="G603" s="19"/>
      <c r="H603" s="19"/>
      <c r="I603" s="19"/>
      <c r="J603" s="7"/>
      <c r="K603" s="19"/>
      <c r="L603" s="7"/>
      <c r="M603" s="7"/>
      <c r="N603" s="7"/>
      <c r="O603" s="7"/>
      <c r="P603" s="7"/>
      <c r="Q603" s="7"/>
      <c r="R603" s="7"/>
      <c r="S603" s="7"/>
      <c r="T603" s="7"/>
      <c r="U603" s="7"/>
      <c r="V603" s="388"/>
      <c r="W603" s="388"/>
      <c r="X603" s="388"/>
      <c r="Y603" s="7"/>
      <c r="Z603" s="7"/>
      <c r="AA603" s="7"/>
      <c r="AB603" s="7"/>
      <c r="AC603" s="7"/>
      <c r="AD603" s="7"/>
      <c r="AE603" s="7"/>
      <c r="AF603" s="7"/>
      <c r="AG603" s="7"/>
      <c r="AH603" s="7"/>
      <c r="AI603" s="7"/>
      <c r="AJ603" s="19"/>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row>
    <row r="604">
      <c r="A604" s="7"/>
      <c r="B604" s="7"/>
      <c r="C604" s="7"/>
      <c r="D604" s="7"/>
      <c r="E604" s="19"/>
      <c r="F604" s="19"/>
      <c r="G604" s="19"/>
      <c r="H604" s="19"/>
      <c r="I604" s="19"/>
      <c r="J604" s="7"/>
      <c r="K604" s="19"/>
      <c r="L604" s="7"/>
      <c r="M604" s="7"/>
      <c r="N604" s="7"/>
      <c r="O604" s="7"/>
      <c r="P604" s="7"/>
      <c r="Q604" s="7"/>
      <c r="R604" s="7"/>
      <c r="S604" s="7"/>
      <c r="T604" s="7"/>
      <c r="U604" s="7"/>
      <c r="V604" s="388"/>
      <c r="W604" s="388"/>
      <c r="X604" s="388"/>
      <c r="Y604" s="7"/>
      <c r="Z604" s="7"/>
      <c r="AA604" s="7"/>
      <c r="AB604" s="7"/>
      <c r="AC604" s="7"/>
      <c r="AD604" s="7"/>
      <c r="AE604" s="7"/>
      <c r="AF604" s="7"/>
      <c r="AG604" s="7"/>
      <c r="AH604" s="7"/>
      <c r="AI604" s="7"/>
      <c r="AJ604" s="19"/>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row>
    <row r="605">
      <c r="A605" s="7"/>
      <c r="B605" s="7"/>
      <c r="C605" s="7"/>
      <c r="D605" s="7"/>
      <c r="E605" s="19"/>
      <c r="F605" s="19"/>
      <c r="G605" s="19"/>
      <c r="H605" s="19"/>
      <c r="I605" s="19"/>
      <c r="J605" s="7"/>
      <c r="K605" s="19"/>
      <c r="L605" s="7"/>
      <c r="M605" s="7"/>
      <c r="N605" s="7"/>
      <c r="O605" s="7"/>
      <c r="P605" s="7"/>
      <c r="Q605" s="7"/>
      <c r="R605" s="7"/>
      <c r="S605" s="7"/>
      <c r="T605" s="7"/>
      <c r="U605" s="7"/>
      <c r="V605" s="388"/>
      <c r="W605" s="388"/>
      <c r="X605" s="388"/>
      <c r="Y605" s="7"/>
      <c r="Z605" s="7"/>
      <c r="AA605" s="7"/>
      <c r="AB605" s="7"/>
      <c r="AC605" s="7"/>
      <c r="AD605" s="7"/>
      <c r="AE605" s="7"/>
      <c r="AF605" s="7"/>
      <c r="AG605" s="7"/>
      <c r="AH605" s="7"/>
      <c r="AI605" s="7"/>
      <c r="AJ605" s="19"/>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row>
    <row r="606">
      <c r="A606" s="7"/>
      <c r="B606" s="7"/>
      <c r="C606" s="7"/>
      <c r="D606" s="7"/>
      <c r="E606" s="19"/>
      <c r="F606" s="19"/>
      <c r="G606" s="19"/>
      <c r="H606" s="19"/>
      <c r="I606" s="19"/>
      <c r="J606" s="7"/>
      <c r="K606" s="19"/>
      <c r="L606" s="7"/>
      <c r="M606" s="7"/>
      <c r="N606" s="7"/>
      <c r="O606" s="7"/>
      <c r="P606" s="7"/>
      <c r="Q606" s="7"/>
      <c r="R606" s="7"/>
      <c r="S606" s="7"/>
      <c r="T606" s="7"/>
      <c r="U606" s="7"/>
      <c r="V606" s="388"/>
      <c r="W606" s="388"/>
      <c r="X606" s="388"/>
      <c r="Y606" s="7"/>
      <c r="Z606" s="7"/>
      <c r="AA606" s="7"/>
      <c r="AB606" s="7"/>
      <c r="AC606" s="7"/>
      <c r="AD606" s="7"/>
      <c r="AE606" s="7"/>
      <c r="AF606" s="7"/>
      <c r="AG606" s="7"/>
      <c r="AH606" s="7"/>
      <c r="AI606" s="7"/>
      <c r="AJ606" s="19"/>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row>
    <row r="607">
      <c r="A607" s="7"/>
      <c r="B607" s="7"/>
      <c r="C607" s="7"/>
      <c r="D607" s="7"/>
      <c r="E607" s="19"/>
      <c r="F607" s="19"/>
      <c r="G607" s="19"/>
      <c r="H607" s="19"/>
      <c r="I607" s="19"/>
      <c r="J607" s="7"/>
      <c r="K607" s="19"/>
      <c r="L607" s="7"/>
      <c r="M607" s="7"/>
      <c r="N607" s="7"/>
      <c r="O607" s="7"/>
      <c r="P607" s="7"/>
      <c r="Q607" s="7"/>
      <c r="R607" s="7"/>
      <c r="S607" s="7"/>
      <c r="T607" s="7"/>
      <c r="U607" s="7"/>
      <c r="V607" s="388"/>
      <c r="W607" s="388"/>
      <c r="X607" s="388"/>
      <c r="Y607" s="7"/>
      <c r="Z607" s="7"/>
      <c r="AA607" s="7"/>
      <c r="AB607" s="7"/>
      <c r="AC607" s="7"/>
      <c r="AD607" s="7"/>
      <c r="AE607" s="7"/>
      <c r="AF607" s="7"/>
      <c r="AG607" s="7"/>
      <c r="AH607" s="7"/>
      <c r="AI607" s="7"/>
      <c r="AJ607" s="19"/>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row>
    <row r="608">
      <c r="A608" s="7"/>
      <c r="B608" s="7"/>
      <c r="C608" s="7"/>
      <c r="D608" s="7"/>
      <c r="E608" s="19"/>
      <c r="F608" s="19"/>
      <c r="G608" s="19"/>
      <c r="H608" s="19"/>
      <c r="I608" s="19"/>
      <c r="J608" s="7"/>
      <c r="K608" s="19"/>
      <c r="L608" s="7"/>
      <c r="M608" s="7"/>
      <c r="N608" s="7"/>
      <c r="O608" s="7"/>
      <c r="P608" s="7"/>
      <c r="Q608" s="7"/>
      <c r="R608" s="7"/>
      <c r="S608" s="7"/>
      <c r="T608" s="7"/>
      <c r="U608" s="7"/>
      <c r="V608" s="388"/>
      <c r="W608" s="388"/>
      <c r="X608" s="388"/>
      <c r="Y608" s="7"/>
      <c r="Z608" s="7"/>
      <c r="AA608" s="7"/>
      <c r="AB608" s="7"/>
      <c r="AC608" s="7"/>
      <c r="AD608" s="7"/>
      <c r="AE608" s="7"/>
      <c r="AF608" s="7"/>
      <c r="AG608" s="7"/>
      <c r="AH608" s="7"/>
      <c r="AI608" s="7"/>
      <c r="AJ608" s="19"/>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row>
    <row r="609">
      <c r="A609" s="7"/>
      <c r="B609" s="7"/>
      <c r="C609" s="7"/>
      <c r="D609" s="7"/>
      <c r="E609" s="19"/>
      <c r="F609" s="19"/>
      <c r="G609" s="19"/>
      <c r="H609" s="19"/>
      <c r="I609" s="19"/>
      <c r="J609" s="7"/>
      <c r="K609" s="19"/>
      <c r="L609" s="7"/>
      <c r="M609" s="7"/>
      <c r="N609" s="7"/>
      <c r="O609" s="7"/>
      <c r="P609" s="7"/>
      <c r="Q609" s="7"/>
      <c r="R609" s="7"/>
      <c r="S609" s="7"/>
      <c r="T609" s="7"/>
      <c r="U609" s="7"/>
      <c r="V609" s="388"/>
      <c r="W609" s="388"/>
      <c r="X609" s="388"/>
      <c r="Y609" s="7"/>
      <c r="Z609" s="7"/>
      <c r="AA609" s="7"/>
      <c r="AB609" s="7"/>
      <c r="AC609" s="7"/>
      <c r="AD609" s="7"/>
      <c r="AE609" s="7"/>
      <c r="AF609" s="7"/>
      <c r="AG609" s="7"/>
      <c r="AH609" s="7"/>
      <c r="AI609" s="7"/>
      <c r="AJ609" s="19"/>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row>
    <row r="610">
      <c r="A610" s="7"/>
      <c r="B610" s="7"/>
      <c r="C610" s="7"/>
      <c r="D610" s="7"/>
      <c r="E610" s="19"/>
      <c r="F610" s="19"/>
      <c r="G610" s="19"/>
      <c r="H610" s="19"/>
      <c r="I610" s="19"/>
      <c r="J610" s="7"/>
      <c r="K610" s="19"/>
      <c r="L610" s="7"/>
      <c r="M610" s="7"/>
      <c r="N610" s="7"/>
      <c r="O610" s="7"/>
      <c r="P610" s="7"/>
      <c r="Q610" s="7"/>
      <c r="R610" s="7"/>
      <c r="S610" s="7"/>
      <c r="T610" s="7"/>
      <c r="U610" s="7"/>
      <c r="V610" s="388"/>
      <c r="W610" s="388"/>
      <c r="X610" s="388"/>
      <c r="Y610" s="7"/>
      <c r="Z610" s="7"/>
      <c r="AA610" s="7"/>
      <c r="AB610" s="7"/>
      <c r="AC610" s="7"/>
      <c r="AD610" s="7"/>
      <c r="AE610" s="7"/>
      <c r="AF610" s="7"/>
      <c r="AG610" s="7"/>
      <c r="AH610" s="7"/>
      <c r="AI610" s="7"/>
      <c r="AJ610" s="19"/>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row>
    <row r="611">
      <c r="A611" s="7"/>
      <c r="B611" s="7"/>
      <c r="C611" s="7"/>
      <c r="D611" s="7"/>
      <c r="E611" s="19"/>
      <c r="F611" s="19"/>
      <c r="G611" s="19"/>
      <c r="H611" s="19"/>
      <c r="I611" s="19"/>
      <c r="J611" s="7"/>
      <c r="K611" s="19"/>
      <c r="L611" s="7"/>
      <c r="M611" s="7"/>
      <c r="N611" s="7"/>
      <c r="O611" s="7"/>
      <c r="P611" s="7"/>
      <c r="Q611" s="7"/>
      <c r="R611" s="7"/>
      <c r="S611" s="7"/>
      <c r="T611" s="7"/>
      <c r="U611" s="7"/>
      <c r="V611" s="388"/>
      <c r="W611" s="388"/>
      <c r="X611" s="388"/>
      <c r="Y611" s="7"/>
      <c r="Z611" s="7"/>
      <c r="AA611" s="7"/>
      <c r="AB611" s="7"/>
      <c r="AC611" s="7"/>
      <c r="AD611" s="7"/>
      <c r="AE611" s="7"/>
      <c r="AF611" s="7"/>
      <c r="AG611" s="7"/>
      <c r="AH611" s="7"/>
      <c r="AI611" s="7"/>
      <c r="AJ611" s="19"/>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row>
    <row r="612">
      <c r="A612" s="7"/>
      <c r="B612" s="7"/>
      <c r="C612" s="7"/>
      <c r="D612" s="7"/>
      <c r="E612" s="19"/>
      <c r="F612" s="19"/>
      <c r="G612" s="19"/>
      <c r="H612" s="19"/>
      <c r="I612" s="19"/>
      <c r="J612" s="7"/>
      <c r="K612" s="19"/>
      <c r="L612" s="7"/>
      <c r="M612" s="7"/>
      <c r="N612" s="7"/>
      <c r="O612" s="7"/>
      <c r="P612" s="7"/>
      <c r="Q612" s="7"/>
      <c r="R612" s="7"/>
      <c r="S612" s="7"/>
      <c r="T612" s="7"/>
      <c r="U612" s="7"/>
      <c r="V612" s="388"/>
      <c r="W612" s="388"/>
      <c r="X612" s="388"/>
      <c r="Y612" s="7"/>
      <c r="Z612" s="7"/>
      <c r="AA612" s="7"/>
      <c r="AB612" s="7"/>
      <c r="AC612" s="7"/>
      <c r="AD612" s="7"/>
      <c r="AE612" s="7"/>
      <c r="AF612" s="7"/>
      <c r="AG612" s="7"/>
      <c r="AH612" s="7"/>
      <c r="AI612" s="7"/>
      <c r="AJ612" s="19"/>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row>
    <row r="613">
      <c r="A613" s="7"/>
      <c r="B613" s="7"/>
      <c r="C613" s="7"/>
      <c r="D613" s="7"/>
      <c r="E613" s="19"/>
      <c r="F613" s="19"/>
      <c r="G613" s="19"/>
      <c r="H613" s="19"/>
      <c r="I613" s="19"/>
      <c r="J613" s="7"/>
      <c r="K613" s="19"/>
      <c r="L613" s="7"/>
      <c r="M613" s="7"/>
      <c r="N613" s="7"/>
      <c r="O613" s="7"/>
      <c r="P613" s="7"/>
      <c r="Q613" s="7"/>
      <c r="R613" s="7"/>
      <c r="S613" s="7"/>
      <c r="T613" s="7"/>
      <c r="U613" s="7"/>
      <c r="V613" s="388"/>
      <c r="W613" s="388"/>
      <c r="X613" s="388"/>
      <c r="Y613" s="7"/>
      <c r="Z613" s="7"/>
      <c r="AA613" s="7"/>
      <c r="AB613" s="7"/>
      <c r="AC613" s="7"/>
      <c r="AD613" s="7"/>
      <c r="AE613" s="7"/>
      <c r="AF613" s="7"/>
      <c r="AG613" s="7"/>
      <c r="AH613" s="7"/>
      <c r="AI613" s="7"/>
      <c r="AJ613" s="19"/>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row>
    <row r="614">
      <c r="A614" s="7"/>
      <c r="B614" s="7"/>
      <c r="C614" s="7"/>
      <c r="D614" s="7"/>
      <c r="E614" s="19"/>
      <c r="F614" s="19"/>
      <c r="G614" s="19"/>
      <c r="H614" s="19"/>
      <c r="I614" s="19"/>
      <c r="J614" s="7"/>
      <c r="K614" s="19"/>
      <c r="L614" s="7"/>
      <c r="M614" s="7"/>
      <c r="N614" s="7"/>
      <c r="O614" s="7"/>
      <c r="P614" s="7"/>
      <c r="Q614" s="7"/>
      <c r="R614" s="7"/>
      <c r="S614" s="7"/>
      <c r="T614" s="7"/>
      <c r="U614" s="7"/>
      <c r="V614" s="388"/>
      <c r="W614" s="388"/>
      <c r="X614" s="388"/>
      <c r="Y614" s="7"/>
      <c r="Z614" s="7"/>
      <c r="AA614" s="7"/>
      <c r="AB614" s="7"/>
      <c r="AC614" s="7"/>
      <c r="AD614" s="7"/>
      <c r="AE614" s="7"/>
      <c r="AF614" s="7"/>
      <c r="AG614" s="7"/>
      <c r="AH614" s="7"/>
      <c r="AI614" s="7"/>
      <c r="AJ614" s="19"/>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row>
    <row r="615">
      <c r="A615" s="7"/>
      <c r="B615" s="7"/>
      <c r="C615" s="7"/>
      <c r="D615" s="7"/>
      <c r="E615" s="19"/>
      <c r="F615" s="19"/>
      <c r="G615" s="19"/>
      <c r="H615" s="19"/>
      <c r="I615" s="19"/>
      <c r="J615" s="7"/>
      <c r="K615" s="19"/>
      <c r="L615" s="7"/>
      <c r="M615" s="7"/>
      <c r="N615" s="7"/>
      <c r="O615" s="7"/>
      <c r="P615" s="7"/>
      <c r="Q615" s="7"/>
      <c r="R615" s="7"/>
      <c r="S615" s="7"/>
      <c r="T615" s="7"/>
      <c r="U615" s="7"/>
      <c r="V615" s="388"/>
      <c r="W615" s="388"/>
      <c r="X615" s="388"/>
      <c r="Y615" s="7"/>
      <c r="Z615" s="7"/>
      <c r="AA615" s="7"/>
      <c r="AB615" s="7"/>
      <c r="AC615" s="7"/>
      <c r="AD615" s="7"/>
      <c r="AE615" s="7"/>
      <c r="AF615" s="7"/>
      <c r="AG615" s="7"/>
      <c r="AH615" s="7"/>
      <c r="AI615" s="7"/>
      <c r="AJ615" s="19"/>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row>
    <row r="616">
      <c r="A616" s="7"/>
      <c r="B616" s="7"/>
      <c r="C616" s="7"/>
      <c r="D616" s="7"/>
      <c r="E616" s="19"/>
      <c r="F616" s="19"/>
      <c r="G616" s="19"/>
      <c r="H616" s="19"/>
      <c r="I616" s="19"/>
      <c r="J616" s="7"/>
      <c r="K616" s="19"/>
      <c r="L616" s="7"/>
      <c r="M616" s="7"/>
      <c r="N616" s="7"/>
      <c r="O616" s="7"/>
      <c r="P616" s="7"/>
      <c r="Q616" s="7"/>
      <c r="R616" s="7"/>
      <c r="S616" s="7"/>
      <c r="T616" s="7"/>
      <c r="U616" s="7"/>
      <c r="V616" s="388"/>
      <c r="W616" s="388"/>
      <c r="X616" s="388"/>
      <c r="Y616" s="7"/>
      <c r="Z616" s="7"/>
      <c r="AA616" s="7"/>
      <c r="AB616" s="7"/>
      <c r="AC616" s="7"/>
      <c r="AD616" s="7"/>
      <c r="AE616" s="7"/>
      <c r="AF616" s="7"/>
      <c r="AG616" s="7"/>
      <c r="AH616" s="7"/>
      <c r="AI616" s="7"/>
      <c r="AJ616" s="19"/>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row>
    <row r="617">
      <c r="A617" s="7"/>
      <c r="B617" s="7"/>
      <c r="C617" s="7"/>
      <c r="D617" s="7"/>
      <c r="E617" s="19"/>
      <c r="F617" s="19"/>
      <c r="G617" s="19"/>
      <c r="H617" s="19"/>
      <c r="I617" s="19"/>
      <c r="J617" s="7"/>
      <c r="K617" s="19"/>
      <c r="L617" s="7"/>
      <c r="M617" s="7"/>
      <c r="N617" s="7"/>
      <c r="O617" s="7"/>
      <c r="P617" s="7"/>
      <c r="Q617" s="7"/>
      <c r="R617" s="7"/>
      <c r="S617" s="7"/>
      <c r="T617" s="7"/>
      <c r="U617" s="7"/>
      <c r="V617" s="388"/>
      <c r="W617" s="388"/>
      <c r="X617" s="388"/>
      <c r="Y617" s="7"/>
      <c r="Z617" s="7"/>
      <c r="AA617" s="7"/>
      <c r="AB617" s="7"/>
      <c r="AC617" s="7"/>
      <c r="AD617" s="7"/>
      <c r="AE617" s="7"/>
      <c r="AF617" s="7"/>
      <c r="AG617" s="7"/>
      <c r="AH617" s="7"/>
      <c r="AI617" s="7"/>
      <c r="AJ617" s="19"/>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row>
    <row r="618">
      <c r="A618" s="7"/>
      <c r="B618" s="7"/>
      <c r="C618" s="7"/>
      <c r="D618" s="7"/>
      <c r="E618" s="19"/>
      <c r="F618" s="19"/>
      <c r="G618" s="19"/>
      <c r="H618" s="19"/>
      <c r="I618" s="19"/>
      <c r="J618" s="7"/>
      <c r="K618" s="19"/>
      <c r="L618" s="7"/>
      <c r="M618" s="7"/>
      <c r="N618" s="7"/>
      <c r="O618" s="7"/>
      <c r="P618" s="7"/>
      <c r="Q618" s="7"/>
      <c r="R618" s="7"/>
      <c r="S618" s="7"/>
      <c r="T618" s="7"/>
      <c r="U618" s="7"/>
      <c r="V618" s="388"/>
      <c r="W618" s="388"/>
      <c r="X618" s="388"/>
      <c r="Y618" s="7"/>
      <c r="Z618" s="7"/>
      <c r="AA618" s="7"/>
      <c r="AB618" s="7"/>
      <c r="AC618" s="7"/>
      <c r="AD618" s="7"/>
      <c r="AE618" s="7"/>
      <c r="AF618" s="7"/>
      <c r="AG618" s="7"/>
      <c r="AH618" s="7"/>
      <c r="AI618" s="7"/>
      <c r="AJ618" s="19"/>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row>
    <row r="619">
      <c r="A619" s="7"/>
      <c r="B619" s="7"/>
      <c r="C619" s="7"/>
      <c r="D619" s="7"/>
      <c r="E619" s="19"/>
      <c r="F619" s="19"/>
      <c r="G619" s="19"/>
      <c r="H619" s="19"/>
      <c r="I619" s="19"/>
      <c r="J619" s="7"/>
      <c r="K619" s="19"/>
      <c r="L619" s="7"/>
      <c r="M619" s="7"/>
      <c r="N619" s="7"/>
      <c r="O619" s="7"/>
      <c r="P619" s="7"/>
      <c r="Q619" s="7"/>
      <c r="R619" s="7"/>
      <c r="S619" s="7"/>
      <c r="T619" s="7"/>
      <c r="U619" s="7"/>
      <c r="V619" s="388"/>
      <c r="W619" s="388"/>
      <c r="X619" s="388"/>
      <c r="Y619" s="7"/>
      <c r="Z619" s="7"/>
      <c r="AA619" s="7"/>
      <c r="AB619" s="7"/>
      <c r="AC619" s="7"/>
      <c r="AD619" s="7"/>
      <c r="AE619" s="7"/>
      <c r="AF619" s="7"/>
      <c r="AG619" s="7"/>
      <c r="AH619" s="7"/>
      <c r="AI619" s="7"/>
      <c r="AJ619" s="19"/>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row>
    <row r="620">
      <c r="A620" s="7"/>
      <c r="B620" s="7"/>
      <c r="C620" s="7"/>
      <c r="D620" s="7"/>
      <c r="E620" s="19"/>
      <c r="F620" s="19"/>
      <c r="G620" s="19"/>
      <c r="H620" s="19"/>
      <c r="I620" s="19"/>
      <c r="J620" s="7"/>
      <c r="K620" s="19"/>
      <c r="L620" s="7"/>
      <c r="M620" s="7"/>
      <c r="N620" s="7"/>
      <c r="O620" s="7"/>
      <c r="P620" s="7"/>
      <c r="Q620" s="7"/>
      <c r="R620" s="7"/>
      <c r="S620" s="7"/>
      <c r="T620" s="7"/>
      <c r="U620" s="7"/>
      <c r="V620" s="388"/>
      <c r="W620" s="388"/>
      <c r="X620" s="388"/>
      <c r="Y620" s="7"/>
      <c r="Z620" s="7"/>
      <c r="AA620" s="7"/>
      <c r="AB620" s="7"/>
      <c r="AC620" s="7"/>
      <c r="AD620" s="7"/>
      <c r="AE620" s="7"/>
      <c r="AF620" s="7"/>
      <c r="AG620" s="7"/>
      <c r="AH620" s="7"/>
      <c r="AI620" s="7"/>
      <c r="AJ620" s="19"/>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row>
    <row r="621">
      <c r="A621" s="7"/>
      <c r="B621" s="7"/>
      <c r="C621" s="7"/>
      <c r="D621" s="7"/>
      <c r="E621" s="19"/>
      <c r="F621" s="19"/>
      <c r="G621" s="19"/>
      <c r="H621" s="19"/>
      <c r="I621" s="19"/>
      <c r="J621" s="7"/>
      <c r="K621" s="19"/>
      <c r="L621" s="7"/>
      <c r="M621" s="7"/>
      <c r="N621" s="7"/>
      <c r="O621" s="7"/>
      <c r="P621" s="7"/>
      <c r="Q621" s="7"/>
      <c r="R621" s="7"/>
      <c r="S621" s="7"/>
      <c r="T621" s="7"/>
      <c r="U621" s="7"/>
      <c r="V621" s="388"/>
      <c r="W621" s="388"/>
      <c r="X621" s="388"/>
      <c r="Y621" s="7"/>
      <c r="Z621" s="7"/>
      <c r="AA621" s="7"/>
      <c r="AB621" s="7"/>
      <c r="AC621" s="7"/>
      <c r="AD621" s="7"/>
      <c r="AE621" s="7"/>
      <c r="AF621" s="7"/>
      <c r="AG621" s="7"/>
      <c r="AH621" s="7"/>
      <c r="AI621" s="7"/>
      <c r="AJ621" s="19"/>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row>
    <row r="622">
      <c r="A622" s="7"/>
      <c r="B622" s="7"/>
      <c r="C622" s="7"/>
      <c r="D622" s="7"/>
      <c r="E622" s="19"/>
      <c r="F622" s="19"/>
      <c r="G622" s="19"/>
      <c r="H622" s="19"/>
      <c r="I622" s="19"/>
      <c r="J622" s="7"/>
      <c r="K622" s="19"/>
      <c r="L622" s="7"/>
      <c r="M622" s="7"/>
      <c r="N622" s="7"/>
      <c r="O622" s="7"/>
      <c r="P622" s="7"/>
      <c r="Q622" s="7"/>
      <c r="R622" s="7"/>
      <c r="S622" s="7"/>
      <c r="T622" s="7"/>
      <c r="U622" s="7"/>
      <c r="V622" s="388"/>
      <c r="W622" s="388"/>
      <c r="X622" s="388"/>
      <c r="Y622" s="7"/>
      <c r="Z622" s="7"/>
      <c r="AA622" s="7"/>
      <c r="AB622" s="7"/>
      <c r="AC622" s="7"/>
      <c r="AD622" s="7"/>
      <c r="AE622" s="7"/>
      <c r="AF622" s="7"/>
      <c r="AG622" s="7"/>
      <c r="AH622" s="7"/>
      <c r="AI622" s="7"/>
      <c r="AJ622" s="19"/>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c r="BV622" s="7"/>
      <c r="BW622" s="7"/>
    </row>
    <row r="623">
      <c r="A623" s="7"/>
      <c r="B623" s="7"/>
      <c r="C623" s="7"/>
      <c r="D623" s="7"/>
      <c r="E623" s="19"/>
      <c r="F623" s="19"/>
      <c r="G623" s="19"/>
      <c r="H623" s="19"/>
      <c r="I623" s="19"/>
      <c r="J623" s="7"/>
      <c r="K623" s="19"/>
      <c r="L623" s="7"/>
      <c r="M623" s="7"/>
      <c r="N623" s="7"/>
      <c r="O623" s="7"/>
      <c r="P623" s="7"/>
      <c r="Q623" s="7"/>
      <c r="R623" s="7"/>
      <c r="S623" s="7"/>
      <c r="T623" s="7"/>
      <c r="U623" s="7"/>
      <c r="V623" s="388"/>
      <c r="W623" s="388"/>
      <c r="X623" s="388"/>
      <c r="Y623" s="7"/>
      <c r="Z623" s="7"/>
      <c r="AA623" s="7"/>
      <c r="AB623" s="7"/>
      <c r="AC623" s="7"/>
      <c r="AD623" s="7"/>
      <c r="AE623" s="7"/>
      <c r="AF623" s="7"/>
      <c r="AG623" s="7"/>
      <c r="AH623" s="7"/>
      <c r="AI623" s="7"/>
      <c r="AJ623" s="19"/>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row>
    <row r="624">
      <c r="A624" s="7"/>
      <c r="B624" s="7"/>
      <c r="C624" s="7"/>
      <c r="D624" s="7"/>
      <c r="E624" s="19"/>
      <c r="F624" s="19"/>
      <c r="G624" s="19"/>
      <c r="H624" s="19"/>
      <c r="I624" s="19"/>
      <c r="J624" s="7"/>
      <c r="K624" s="19"/>
      <c r="L624" s="7"/>
      <c r="M624" s="7"/>
      <c r="N624" s="7"/>
      <c r="O624" s="7"/>
      <c r="P624" s="7"/>
      <c r="Q624" s="7"/>
      <c r="R624" s="7"/>
      <c r="S624" s="7"/>
      <c r="T624" s="7"/>
      <c r="U624" s="7"/>
      <c r="V624" s="388"/>
      <c r="W624" s="388"/>
      <c r="X624" s="388"/>
      <c r="Y624" s="7"/>
      <c r="Z624" s="7"/>
      <c r="AA624" s="7"/>
      <c r="AB624" s="7"/>
      <c r="AC624" s="7"/>
      <c r="AD624" s="7"/>
      <c r="AE624" s="7"/>
      <c r="AF624" s="7"/>
      <c r="AG624" s="7"/>
      <c r="AH624" s="7"/>
      <c r="AI624" s="7"/>
      <c r="AJ624" s="19"/>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row>
    <row r="625">
      <c r="A625" s="7"/>
      <c r="B625" s="7"/>
      <c r="C625" s="7"/>
      <c r="D625" s="7"/>
      <c r="E625" s="19"/>
      <c r="F625" s="19"/>
      <c r="G625" s="19"/>
      <c r="H625" s="19"/>
      <c r="I625" s="19"/>
      <c r="J625" s="7"/>
      <c r="K625" s="19"/>
      <c r="L625" s="7"/>
      <c r="M625" s="7"/>
      <c r="N625" s="7"/>
      <c r="O625" s="7"/>
      <c r="P625" s="7"/>
      <c r="Q625" s="7"/>
      <c r="R625" s="7"/>
      <c r="S625" s="7"/>
      <c r="T625" s="7"/>
      <c r="U625" s="7"/>
      <c r="V625" s="388"/>
      <c r="W625" s="388"/>
      <c r="X625" s="388"/>
      <c r="Y625" s="7"/>
      <c r="Z625" s="7"/>
      <c r="AA625" s="7"/>
      <c r="AB625" s="7"/>
      <c r="AC625" s="7"/>
      <c r="AD625" s="7"/>
      <c r="AE625" s="7"/>
      <c r="AF625" s="7"/>
      <c r="AG625" s="7"/>
      <c r="AH625" s="7"/>
      <c r="AI625" s="7"/>
      <c r="AJ625" s="19"/>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row>
    <row r="626">
      <c r="A626" s="7"/>
      <c r="B626" s="7"/>
      <c r="C626" s="7"/>
      <c r="D626" s="7"/>
      <c r="E626" s="19"/>
      <c r="F626" s="19"/>
      <c r="G626" s="19"/>
      <c r="H626" s="19"/>
      <c r="I626" s="19"/>
      <c r="J626" s="7"/>
      <c r="K626" s="19"/>
      <c r="L626" s="7"/>
      <c r="M626" s="7"/>
      <c r="N626" s="7"/>
      <c r="O626" s="7"/>
      <c r="P626" s="7"/>
      <c r="Q626" s="7"/>
      <c r="R626" s="7"/>
      <c r="S626" s="7"/>
      <c r="T626" s="7"/>
      <c r="U626" s="7"/>
      <c r="V626" s="388"/>
      <c r="W626" s="388"/>
      <c r="X626" s="388"/>
      <c r="Y626" s="7"/>
      <c r="Z626" s="7"/>
      <c r="AA626" s="7"/>
      <c r="AB626" s="7"/>
      <c r="AC626" s="7"/>
      <c r="AD626" s="7"/>
      <c r="AE626" s="7"/>
      <c r="AF626" s="7"/>
      <c r="AG626" s="7"/>
      <c r="AH626" s="7"/>
      <c r="AI626" s="7"/>
      <c r="AJ626" s="19"/>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row>
    <row r="627">
      <c r="A627" s="7"/>
      <c r="B627" s="7"/>
      <c r="C627" s="7"/>
      <c r="D627" s="7"/>
      <c r="E627" s="19"/>
      <c r="F627" s="19"/>
      <c r="G627" s="19"/>
      <c r="H627" s="19"/>
      <c r="I627" s="19"/>
      <c r="J627" s="7"/>
      <c r="K627" s="19"/>
      <c r="L627" s="7"/>
      <c r="M627" s="7"/>
      <c r="N627" s="7"/>
      <c r="O627" s="7"/>
      <c r="P627" s="7"/>
      <c r="Q627" s="7"/>
      <c r="R627" s="7"/>
      <c r="S627" s="7"/>
      <c r="T627" s="7"/>
      <c r="U627" s="7"/>
      <c r="V627" s="388"/>
      <c r="W627" s="388"/>
      <c r="X627" s="388"/>
      <c r="Y627" s="7"/>
      <c r="Z627" s="7"/>
      <c r="AA627" s="7"/>
      <c r="AB627" s="7"/>
      <c r="AC627" s="7"/>
      <c r="AD627" s="7"/>
      <c r="AE627" s="7"/>
      <c r="AF627" s="7"/>
      <c r="AG627" s="7"/>
      <c r="AH627" s="7"/>
      <c r="AI627" s="7"/>
      <c r="AJ627" s="19"/>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row>
    <row r="628">
      <c r="A628" s="7"/>
      <c r="B628" s="7"/>
      <c r="C628" s="7"/>
      <c r="D628" s="7"/>
      <c r="E628" s="19"/>
      <c r="F628" s="19"/>
      <c r="G628" s="19"/>
      <c r="H628" s="19"/>
      <c r="I628" s="19"/>
      <c r="J628" s="7"/>
      <c r="K628" s="19"/>
      <c r="L628" s="7"/>
      <c r="M628" s="7"/>
      <c r="N628" s="7"/>
      <c r="O628" s="7"/>
      <c r="P628" s="7"/>
      <c r="Q628" s="7"/>
      <c r="R628" s="7"/>
      <c r="S628" s="7"/>
      <c r="T628" s="7"/>
      <c r="U628" s="7"/>
      <c r="V628" s="388"/>
      <c r="W628" s="388"/>
      <c r="X628" s="388"/>
      <c r="Y628" s="7"/>
      <c r="Z628" s="7"/>
      <c r="AA628" s="7"/>
      <c r="AB628" s="7"/>
      <c r="AC628" s="7"/>
      <c r="AD628" s="7"/>
      <c r="AE628" s="7"/>
      <c r="AF628" s="7"/>
      <c r="AG628" s="7"/>
      <c r="AH628" s="7"/>
      <c r="AI628" s="7"/>
      <c r="AJ628" s="19"/>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row>
    <row r="629">
      <c r="A629" s="7"/>
      <c r="B629" s="7"/>
      <c r="C629" s="7"/>
      <c r="D629" s="7"/>
      <c r="E629" s="19"/>
      <c r="F629" s="19"/>
      <c r="G629" s="19"/>
      <c r="H629" s="19"/>
      <c r="I629" s="19"/>
      <c r="J629" s="7"/>
      <c r="K629" s="19"/>
      <c r="L629" s="7"/>
      <c r="M629" s="7"/>
      <c r="N629" s="7"/>
      <c r="O629" s="7"/>
      <c r="P629" s="7"/>
      <c r="Q629" s="7"/>
      <c r="R629" s="7"/>
      <c r="S629" s="7"/>
      <c r="T629" s="7"/>
      <c r="U629" s="7"/>
      <c r="V629" s="388"/>
      <c r="W629" s="388"/>
      <c r="X629" s="388"/>
      <c r="Y629" s="7"/>
      <c r="Z629" s="7"/>
      <c r="AA629" s="7"/>
      <c r="AB629" s="7"/>
      <c r="AC629" s="7"/>
      <c r="AD629" s="7"/>
      <c r="AE629" s="7"/>
      <c r="AF629" s="7"/>
      <c r="AG629" s="7"/>
      <c r="AH629" s="7"/>
      <c r="AI629" s="7"/>
      <c r="AJ629" s="19"/>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row>
    <row r="630">
      <c r="A630" s="7"/>
      <c r="B630" s="7"/>
      <c r="C630" s="7"/>
      <c r="D630" s="7"/>
      <c r="E630" s="19"/>
      <c r="F630" s="19"/>
      <c r="G630" s="19"/>
      <c r="H630" s="19"/>
      <c r="I630" s="19"/>
      <c r="J630" s="7"/>
      <c r="K630" s="19"/>
      <c r="L630" s="7"/>
      <c r="M630" s="7"/>
      <c r="N630" s="7"/>
      <c r="O630" s="7"/>
      <c r="P630" s="7"/>
      <c r="Q630" s="7"/>
      <c r="R630" s="7"/>
      <c r="S630" s="7"/>
      <c r="T630" s="7"/>
      <c r="U630" s="7"/>
      <c r="V630" s="388"/>
      <c r="W630" s="388"/>
      <c r="X630" s="388"/>
      <c r="Y630" s="7"/>
      <c r="Z630" s="7"/>
      <c r="AA630" s="7"/>
      <c r="AB630" s="7"/>
      <c r="AC630" s="7"/>
      <c r="AD630" s="7"/>
      <c r="AE630" s="7"/>
      <c r="AF630" s="7"/>
      <c r="AG630" s="7"/>
      <c r="AH630" s="7"/>
      <c r="AI630" s="7"/>
      <c r="AJ630" s="19"/>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row>
    <row r="631">
      <c r="A631" s="7"/>
      <c r="B631" s="7"/>
      <c r="C631" s="7"/>
      <c r="D631" s="7"/>
      <c r="E631" s="19"/>
      <c r="F631" s="19"/>
      <c r="G631" s="19"/>
      <c r="H631" s="19"/>
      <c r="I631" s="19"/>
      <c r="J631" s="7"/>
      <c r="K631" s="19"/>
      <c r="L631" s="7"/>
      <c r="M631" s="7"/>
      <c r="N631" s="7"/>
      <c r="O631" s="7"/>
      <c r="P631" s="7"/>
      <c r="Q631" s="7"/>
      <c r="R631" s="7"/>
      <c r="S631" s="7"/>
      <c r="T631" s="7"/>
      <c r="U631" s="7"/>
      <c r="V631" s="388"/>
      <c r="W631" s="388"/>
      <c r="X631" s="388"/>
      <c r="Y631" s="7"/>
      <c r="Z631" s="7"/>
      <c r="AA631" s="7"/>
      <c r="AB631" s="7"/>
      <c r="AC631" s="7"/>
      <c r="AD631" s="7"/>
      <c r="AE631" s="7"/>
      <c r="AF631" s="7"/>
      <c r="AG631" s="7"/>
      <c r="AH631" s="7"/>
      <c r="AI631" s="7"/>
      <c r="AJ631" s="19"/>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row>
    <row r="632">
      <c r="A632" s="7"/>
      <c r="B632" s="7"/>
      <c r="C632" s="7"/>
      <c r="D632" s="7"/>
      <c r="E632" s="19"/>
      <c r="F632" s="19"/>
      <c r="G632" s="19"/>
      <c r="H632" s="19"/>
      <c r="I632" s="19"/>
      <c r="J632" s="7"/>
      <c r="K632" s="19"/>
      <c r="L632" s="7"/>
      <c r="M632" s="7"/>
      <c r="N632" s="7"/>
      <c r="O632" s="7"/>
      <c r="P632" s="7"/>
      <c r="Q632" s="7"/>
      <c r="R632" s="7"/>
      <c r="S632" s="7"/>
      <c r="T632" s="7"/>
      <c r="U632" s="7"/>
      <c r="V632" s="388"/>
      <c r="W632" s="388"/>
      <c r="X632" s="388"/>
      <c r="Y632" s="7"/>
      <c r="Z632" s="7"/>
      <c r="AA632" s="7"/>
      <c r="AB632" s="7"/>
      <c r="AC632" s="7"/>
      <c r="AD632" s="7"/>
      <c r="AE632" s="7"/>
      <c r="AF632" s="7"/>
      <c r="AG632" s="7"/>
      <c r="AH632" s="7"/>
      <c r="AI632" s="7"/>
      <c r="AJ632" s="19"/>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row>
    <row r="633">
      <c r="A633" s="7"/>
      <c r="B633" s="7"/>
      <c r="C633" s="7"/>
      <c r="D633" s="7"/>
      <c r="E633" s="19"/>
      <c r="F633" s="19"/>
      <c r="G633" s="19"/>
      <c r="H633" s="19"/>
      <c r="I633" s="19"/>
      <c r="J633" s="7"/>
      <c r="K633" s="19"/>
      <c r="L633" s="7"/>
      <c r="M633" s="7"/>
      <c r="N633" s="7"/>
      <c r="O633" s="7"/>
      <c r="P633" s="7"/>
      <c r="Q633" s="7"/>
      <c r="R633" s="7"/>
      <c r="S633" s="7"/>
      <c r="T633" s="7"/>
      <c r="U633" s="7"/>
      <c r="V633" s="388"/>
      <c r="W633" s="388"/>
      <c r="X633" s="388"/>
      <c r="Y633" s="7"/>
      <c r="Z633" s="7"/>
      <c r="AA633" s="7"/>
      <c r="AB633" s="7"/>
      <c r="AC633" s="7"/>
      <c r="AD633" s="7"/>
      <c r="AE633" s="7"/>
      <c r="AF633" s="7"/>
      <c r="AG633" s="7"/>
      <c r="AH633" s="7"/>
      <c r="AI633" s="7"/>
      <c r="AJ633" s="19"/>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row>
    <row r="634">
      <c r="A634" s="7"/>
      <c r="B634" s="7"/>
      <c r="C634" s="7"/>
      <c r="D634" s="7"/>
      <c r="E634" s="19"/>
      <c r="F634" s="19"/>
      <c r="G634" s="19"/>
      <c r="H634" s="19"/>
      <c r="I634" s="19"/>
      <c r="J634" s="7"/>
      <c r="K634" s="19"/>
      <c r="L634" s="7"/>
      <c r="M634" s="7"/>
      <c r="N634" s="7"/>
      <c r="O634" s="7"/>
      <c r="P634" s="7"/>
      <c r="Q634" s="7"/>
      <c r="R634" s="7"/>
      <c r="S634" s="7"/>
      <c r="T634" s="7"/>
      <c r="U634" s="7"/>
      <c r="V634" s="388"/>
      <c r="W634" s="388"/>
      <c r="X634" s="388"/>
      <c r="Y634" s="7"/>
      <c r="Z634" s="7"/>
      <c r="AA634" s="7"/>
      <c r="AB634" s="7"/>
      <c r="AC634" s="7"/>
      <c r="AD634" s="7"/>
      <c r="AE634" s="7"/>
      <c r="AF634" s="7"/>
      <c r="AG634" s="7"/>
      <c r="AH634" s="7"/>
      <c r="AI634" s="7"/>
      <c r="AJ634" s="19"/>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row>
    <row r="635">
      <c r="A635" s="7"/>
      <c r="B635" s="7"/>
      <c r="C635" s="7"/>
      <c r="D635" s="7"/>
      <c r="E635" s="19"/>
      <c r="F635" s="19"/>
      <c r="G635" s="19"/>
      <c r="H635" s="19"/>
      <c r="I635" s="19"/>
      <c r="J635" s="7"/>
      <c r="K635" s="19"/>
      <c r="L635" s="7"/>
      <c r="M635" s="7"/>
      <c r="N635" s="7"/>
      <c r="O635" s="7"/>
      <c r="P635" s="7"/>
      <c r="Q635" s="7"/>
      <c r="R635" s="7"/>
      <c r="S635" s="7"/>
      <c r="T635" s="7"/>
      <c r="U635" s="7"/>
      <c r="V635" s="388"/>
      <c r="W635" s="388"/>
      <c r="X635" s="388"/>
      <c r="Y635" s="7"/>
      <c r="Z635" s="7"/>
      <c r="AA635" s="7"/>
      <c r="AB635" s="7"/>
      <c r="AC635" s="7"/>
      <c r="AD635" s="7"/>
      <c r="AE635" s="7"/>
      <c r="AF635" s="7"/>
      <c r="AG635" s="7"/>
      <c r="AH635" s="7"/>
      <c r="AI635" s="7"/>
      <c r="AJ635" s="19"/>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row>
    <row r="636">
      <c r="A636" s="7"/>
      <c r="B636" s="7"/>
      <c r="C636" s="7"/>
      <c r="D636" s="7"/>
      <c r="E636" s="19"/>
      <c r="F636" s="19"/>
      <c r="G636" s="19"/>
      <c r="H636" s="19"/>
      <c r="I636" s="19"/>
      <c r="J636" s="7"/>
      <c r="K636" s="19"/>
      <c r="L636" s="7"/>
      <c r="M636" s="7"/>
      <c r="N636" s="7"/>
      <c r="O636" s="7"/>
      <c r="P636" s="7"/>
      <c r="Q636" s="7"/>
      <c r="R636" s="7"/>
      <c r="S636" s="7"/>
      <c r="T636" s="7"/>
      <c r="U636" s="7"/>
      <c r="V636" s="388"/>
      <c r="W636" s="388"/>
      <c r="X636" s="388"/>
      <c r="Y636" s="7"/>
      <c r="Z636" s="7"/>
      <c r="AA636" s="7"/>
      <c r="AB636" s="7"/>
      <c r="AC636" s="7"/>
      <c r="AD636" s="7"/>
      <c r="AE636" s="7"/>
      <c r="AF636" s="7"/>
      <c r="AG636" s="7"/>
      <c r="AH636" s="7"/>
      <c r="AI636" s="7"/>
      <c r="AJ636" s="19"/>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row>
    <row r="637">
      <c r="A637" s="7"/>
      <c r="B637" s="7"/>
      <c r="C637" s="7"/>
      <c r="D637" s="7"/>
      <c r="E637" s="19"/>
      <c r="F637" s="19"/>
      <c r="G637" s="19"/>
      <c r="H637" s="19"/>
      <c r="I637" s="19"/>
      <c r="J637" s="7"/>
      <c r="K637" s="19"/>
      <c r="L637" s="7"/>
      <c r="M637" s="7"/>
      <c r="N637" s="7"/>
      <c r="O637" s="7"/>
      <c r="P637" s="7"/>
      <c r="Q637" s="7"/>
      <c r="R637" s="7"/>
      <c r="S637" s="7"/>
      <c r="T637" s="7"/>
      <c r="U637" s="7"/>
      <c r="V637" s="388"/>
      <c r="W637" s="388"/>
      <c r="X637" s="388"/>
      <c r="Y637" s="7"/>
      <c r="Z637" s="7"/>
      <c r="AA637" s="7"/>
      <c r="AB637" s="7"/>
      <c r="AC637" s="7"/>
      <c r="AD637" s="7"/>
      <c r="AE637" s="7"/>
      <c r="AF637" s="7"/>
      <c r="AG637" s="7"/>
      <c r="AH637" s="7"/>
      <c r="AI637" s="7"/>
      <c r="AJ637" s="19"/>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row>
    <row r="638">
      <c r="A638" s="7"/>
      <c r="B638" s="7"/>
      <c r="C638" s="7"/>
      <c r="D638" s="7"/>
      <c r="E638" s="19"/>
      <c r="F638" s="19"/>
      <c r="G638" s="19"/>
      <c r="H638" s="19"/>
      <c r="I638" s="19"/>
      <c r="J638" s="7"/>
      <c r="K638" s="19"/>
      <c r="L638" s="7"/>
      <c r="M638" s="7"/>
      <c r="N638" s="7"/>
      <c r="O638" s="7"/>
      <c r="P638" s="7"/>
      <c r="Q638" s="7"/>
      <c r="R638" s="7"/>
      <c r="S638" s="7"/>
      <c r="T638" s="7"/>
      <c r="U638" s="7"/>
      <c r="V638" s="388"/>
      <c r="W638" s="388"/>
      <c r="X638" s="388"/>
      <c r="Y638" s="7"/>
      <c r="Z638" s="7"/>
      <c r="AA638" s="7"/>
      <c r="AB638" s="7"/>
      <c r="AC638" s="7"/>
      <c r="AD638" s="7"/>
      <c r="AE638" s="7"/>
      <c r="AF638" s="7"/>
      <c r="AG638" s="7"/>
      <c r="AH638" s="7"/>
      <c r="AI638" s="7"/>
      <c r="AJ638" s="19"/>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row>
    <row r="639">
      <c r="A639" s="7"/>
      <c r="B639" s="7"/>
      <c r="C639" s="7"/>
      <c r="D639" s="7"/>
      <c r="E639" s="19"/>
      <c r="F639" s="19"/>
      <c r="G639" s="19"/>
      <c r="H639" s="19"/>
      <c r="I639" s="19"/>
      <c r="J639" s="7"/>
      <c r="K639" s="19"/>
      <c r="L639" s="7"/>
      <c r="M639" s="7"/>
      <c r="N639" s="7"/>
      <c r="O639" s="7"/>
      <c r="P639" s="7"/>
      <c r="Q639" s="7"/>
      <c r="R639" s="7"/>
      <c r="S639" s="7"/>
      <c r="T639" s="7"/>
      <c r="U639" s="7"/>
      <c r="V639" s="388"/>
      <c r="W639" s="388"/>
      <c r="X639" s="388"/>
      <c r="Y639" s="7"/>
      <c r="Z639" s="7"/>
      <c r="AA639" s="7"/>
      <c r="AB639" s="7"/>
      <c r="AC639" s="7"/>
      <c r="AD639" s="7"/>
      <c r="AE639" s="7"/>
      <c r="AF639" s="7"/>
      <c r="AG639" s="7"/>
      <c r="AH639" s="7"/>
      <c r="AI639" s="7"/>
      <c r="AJ639" s="19"/>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row>
    <row r="640">
      <c r="A640" s="7"/>
      <c r="B640" s="7"/>
      <c r="C640" s="7"/>
      <c r="D640" s="7"/>
      <c r="E640" s="19"/>
      <c r="F640" s="19"/>
      <c r="G640" s="19"/>
      <c r="H640" s="19"/>
      <c r="I640" s="19"/>
      <c r="J640" s="7"/>
      <c r="K640" s="19"/>
      <c r="L640" s="7"/>
      <c r="M640" s="7"/>
      <c r="N640" s="7"/>
      <c r="O640" s="7"/>
      <c r="P640" s="7"/>
      <c r="Q640" s="7"/>
      <c r="R640" s="7"/>
      <c r="S640" s="7"/>
      <c r="T640" s="7"/>
      <c r="U640" s="7"/>
      <c r="V640" s="388"/>
      <c r="W640" s="388"/>
      <c r="X640" s="388"/>
      <c r="Y640" s="7"/>
      <c r="Z640" s="7"/>
      <c r="AA640" s="7"/>
      <c r="AB640" s="7"/>
      <c r="AC640" s="7"/>
      <c r="AD640" s="7"/>
      <c r="AE640" s="7"/>
      <c r="AF640" s="7"/>
      <c r="AG640" s="7"/>
      <c r="AH640" s="7"/>
      <c r="AI640" s="7"/>
      <c r="AJ640" s="19"/>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row>
    <row r="641">
      <c r="A641" s="7"/>
      <c r="B641" s="7"/>
      <c r="C641" s="7"/>
      <c r="D641" s="7"/>
      <c r="E641" s="19"/>
      <c r="F641" s="19"/>
      <c r="G641" s="19"/>
      <c r="H641" s="19"/>
      <c r="I641" s="19"/>
      <c r="J641" s="7"/>
      <c r="K641" s="19"/>
      <c r="L641" s="7"/>
      <c r="M641" s="7"/>
      <c r="N641" s="7"/>
      <c r="O641" s="7"/>
      <c r="P641" s="7"/>
      <c r="Q641" s="7"/>
      <c r="R641" s="7"/>
      <c r="S641" s="7"/>
      <c r="T641" s="7"/>
      <c r="U641" s="7"/>
      <c r="V641" s="388"/>
      <c r="W641" s="388"/>
      <c r="X641" s="388"/>
      <c r="Y641" s="7"/>
      <c r="Z641" s="7"/>
      <c r="AA641" s="7"/>
      <c r="AB641" s="7"/>
      <c r="AC641" s="7"/>
      <c r="AD641" s="7"/>
      <c r="AE641" s="7"/>
      <c r="AF641" s="7"/>
      <c r="AG641" s="7"/>
      <c r="AH641" s="7"/>
      <c r="AI641" s="7"/>
      <c r="AJ641" s="19"/>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row>
    <row r="642">
      <c r="A642" s="7"/>
      <c r="B642" s="7"/>
      <c r="C642" s="7"/>
      <c r="D642" s="7"/>
      <c r="E642" s="19"/>
      <c r="F642" s="19"/>
      <c r="G642" s="19"/>
      <c r="H642" s="19"/>
      <c r="I642" s="19"/>
      <c r="J642" s="7"/>
      <c r="K642" s="19"/>
      <c r="L642" s="7"/>
      <c r="M642" s="7"/>
      <c r="N642" s="7"/>
      <c r="O642" s="7"/>
      <c r="P642" s="7"/>
      <c r="Q642" s="7"/>
      <c r="R642" s="7"/>
      <c r="S642" s="7"/>
      <c r="T642" s="7"/>
      <c r="U642" s="7"/>
      <c r="V642" s="388"/>
      <c r="W642" s="388"/>
      <c r="X642" s="388"/>
      <c r="Y642" s="7"/>
      <c r="Z642" s="7"/>
      <c r="AA642" s="7"/>
      <c r="AB642" s="7"/>
      <c r="AC642" s="7"/>
      <c r="AD642" s="7"/>
      <c r="AE642" s="7"/>
      <c r="AF642" s="7"/>
      <c r="AG642" s="7"/>
      <c r="AH642" s="7"/>
      <c r="AI642" s="7"/>
      <c r="AJ642" s="19"/>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row>
    <row r="643">
      <c r="A643" s="7"/>
      <c r="B643" s="7"/>
      <c r="C643" s="7"/>
      <c r="D643" s="7"/>
      <c r="E643" s="19"/>
      <c r="F643" s="19"/>
      <c r="G643" s="19"/>
      <c r="H643" s="19"/>
      <c r="I643" s="19"/>
      <c r="J643" s="7"/>
      <c r="K643" s="19"/>
      <c r="L643" s="7"/>
      <c r="M643" s="7"/>
      <c r="N643" s="7"/>
      <c r="O643" s="7"/>
      <c r="P643" s="7"/>
      <c r="Q643" s="7"/>
      <c r="R643" s="7"/>
      <c r="S643" s="7"/>
      <c r="T643" s="7"/>
      <c r="U643" s="7"/>
      <c r="V643" s="388"/>
      <c r="W643" s="388"/>
      <c r="X643" s="388"/>
      <c r="Y643" s="7"/>
      <c r="Z643" s="7"/>
      <c r="AA643" s="7"/>
      <c r="AB643" s="7"/>
      <c r="AC643" s="7"/>
      <c r="AD643" s="7"/>
      <c r="AE643" s="7"/>
      <c r="AF643" s="7"/>
      <c r="AG643" s="7"/>
      <c r="AH643" s="7"/>
      <c r="AI643" s="7"/>
      <c r="AJ643" s="19"/>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row>
    <row r="644">
      <c r="A644" s="7"/>
      <c r="B644" s="7"/>
      <c r="C644" s="7"/>
      <c r="D644" s="7"/>
      <c r="E644" s="19"/>
      <c r="F644" s="19"/>
      <c r="G644" s="19"/>
      <c r="H644" s="19"/>
      <c r="I644" s="19"/>
      <c r="J644" s="7"/>
      <c r="K644" s="19"/>
      <c r="L644" s="7"/>
      <c r="M644" s="7"/>
      <c r="N644" s="7"/>
      <c r="O644" s="7"/>
      <c r="P644" s="7"/>
      <c r="Q644" s="7"/>
      <c r="R644" s="7"/>
      <c r="S644" s="7"/>
      <c r="T644" s="7"/>
      <c r="U644" s="7"/>
      <c r="V644" s="388"/>
      <c r="W644" s="388"/>
      <c r="X644" s="388"/>
      <c r="Y644" s="7"/>
      <c r="Z644" s="7"/>
      <c r="AA644" s="7"/>
      <c r="AB644" s="7"/>
      <c r="AC644" s="7"/>
      <c r="AD644" s="7"/>
      <c r="AE644" s="7"/>
      <c r="AF644" s="7"/>
      <c r="AG644" s="7"/>
      <c r="AH644" s="7"/>
      <c r="AI644" s="7"/>
      <c r="AJ644" s="19"/>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row>
    <row r="645">
      <c r="A645" s="7"/>
      <c r="B645" s="7"/>
      <c r="C645" s="7"/>
      <c r="D645" s="7"/>
      <c r="E645" s="19"/>
      <c r="F645" s="19"/>
      <c r="G645" s="19"/>
      <c r="H645" s="19"/>
      <c r="I645" s="19"/>
      <c r="J645" s="7"/>
      <c r="K645" s="19"/>
      <c r="L645" s="7"/>
      <c r="M645" s="7"/>
      <c r="N645" s="7"/>
      <c r="O645" s="7"/>
      <c r="P645" s="7"/>
      <c r="Q645" s="7"/>
      <c r="R645" s="7"/>
      <c r="S645" s="7"/>
      <c r="T645" s="7"/>
      <c r="U645" s="7"/>
      <c r="V645" s="388"/>
      <c r="W645" s="388"/>
      <c r="X645" s="388"/>
      <c r="Y645" s="7"/>
      <c r="Z645" s="7"/>
      <c r="AA645" s="7"/>
      <c r="AB645" s="7"/>
      <c r="AC645" s="7"/>
      <c r="AD645" s="7"/>
      <c r="AE645" s="7"/>
      <c r="AF645" s="7"/>
      <c r="AG645" s="7"/>
      <c r="AH645" s="7"/>
      <c r="AI645" s="7"/>
      <c r="AJ645" s="19"/>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row>
    <row r="646">
      <c r="A646" s="7"/>
      <c r="B646" s="7"/>
      <c r="C646" s="7"/>
      <c r="D646" s="7"/>
      <c r="E646" s="19"/>
      <c r="F646" s="19"/>
      <c r="G646" s="19"/>
      <c r="H646" s="19"/>
      <c r="I646" s="19"/>
      <c r="J646" s="7"/>
      <c r="K646" s="19"/>
      <c r="L646" s="7"/>
      <c r="M646" s="7"/>
      <c r="N646" s="7"/>
      <c r="O646" s="7"/>
      <c r="P646" s="7"/>
      <c r="Q646" s="7"/>
      <c r="R646" s="7"/>
      <c r="S646" s="7"/>
      <c r="T646" s="7"/>
      <c r="U646" s="7"/>
      <c r="V646" s="388"/>
      <c r="W646" s="388"/>
      <c r="X646" s="388"/>
      <c r="Y646" s="7"/>
      <c r="Z646" s="7"/>
      <c r="AA646" s="7"/>
      <c r="AB646" s="7"/>
      <c r="AC646" s="7"/>
      <c r="AD646" s="7"/>
      <c r="AE646" s="7"/>
      <c r="AF646" s="7"/>
      <c r="AG646" s="7"/>
      <c r="AH646" s="7"/>
      <c r="AI646" s="7"/>
      <c r="AJ646" s="19"/>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row>
    <row r="647">
      <c r="A647" s="7"/>
      <c r="B647" s="7"/>
      <c r="C647" s="7"/>
      <c r="D647" s="7"/>
      <c r="E647" s="19"/>
      <c r="F647" s="19"/>
      <c r="G647" s="19"/>
      <c r="H647" s="19"/>
      <c r="I647" s="19"/>
      <c r="J647" s="7"/>
      <c r="K647" s="19"/>
      <c r="L647" s="7"/>
      <c r="M647" s="7"/>
      <c r="N647" s="7"/>
      <c r="O647" s="7"/>
      <c r="P647" s="7"/>
      <c r="Q647" s="7"/>
      <c r="R647" s="7"/>
      <c r="S647" s="7"/>
      <c r="T647" s="7"/>
      <c r="U647" s="7"/>
      <c r="V647" s="388"/>
      <c r="W647" s="388"/>
      <c r="X647" s="388"/>
      <c r="Y647" s="7"/>
      <c r="Z647" s="7"/>
      <c r="AA647" s="7"/>
      <c r="AB647" s="7"/>
      <c r="AC647" s="7"/>
      <c r="AD647" s="7"/>
      <c r="AE647" s="7"/>
      <c r="AF647" s="7"/>
      <c r="AG647" s="7"/>
      <c r="AH647" s="7"/>
      <c r="AI647" s="7"/>
      <c r="AJ647" s="19"/>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row>
    <row r="648">
      <c r="A648" s="7"/>
      <c r="B648" s="7"/>
      <c r="C648" s="7"/>
      <c r="D648" s="7"/>
      <c r="E648" s="19"/>
      <c r="F648" s="19"/>
      <c r="G648" s="19"/>
      <c r="H648" s="19"/>
      <c r="I648" s="19"/>
      <c r="J648" s="7"/>
      <c r="K648" s="19"/>
      <c r="L648" s="7"/>
      <c r="M648" s="7"/>
      <c r="N648" s="7"/>
      <c r="O648" s="7"/>
      <c r="P648" s="7"/>
      <c r="Q648" s="7"/>
      <c r="R648" s="7"/>
      <c r="S648" s="7"/>
      <c r="T648" s="7"/>
      <c r="U648" s="7"/>
      <c r="V648" s="388"/>
      <c r="W648" s="388"/>
      <c r="X648" s="388"/>
      <c r="Y648" s="7"/>
      <c r="Z648" s="7"/>
      <c r="AA648" s="7"/>
      <c r="AB648" s="7"/>
      <c r="AC648" s="7"/>
      <c r="AD648" s="7"/>
      <c r="AE648" s="7"/>
      <c r="AF648" s="7"/>
      <c r="AG648" s="7"/>
      <c r="AH648" s="7"/>
      <c r="AI648" s="7"/>
      <c r="AJ648" s="19"/>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row>
    <row r="649">
      <c r="A649" s="7"/>
      <c r="B649" s="7"/>
      <c r="C649" s="7"/>
      <c r="D649" s="7"/>
      <c r="E649" s="19"/>
      <c r="F649" s="19"/>
      <c r="G649" s="19"/>
      <c r="H649" s="19"/>
      <c r="I649" s="19"/>
      <c r="J649" s="7"/>
      <c r="K649" s="19"/>
      <c r="L649" s="7"/>
      <c r="M649" s="7"/>
      <c r="N649" s="7"/>
      <c r="O649" s="7"/>
      <c r="P649" s="7"/>
      <c r="Q649" s="7"/>
      <c r="R649" s="7"/>
      <c r="S649" s="7"/>
      <c r="T649" s="7"/>
      <c r="U649" s="7"/>
      <c r="V649" s="388"/>
      <c r="W649" s="388"/>
      <c r="X649" s="388"/>
      <c r="Y649" s="7"/>
      <c r="Z649" s="7"/>
      <c r="AA649" s="7"/>
      <c r="AB649" s="7"/>
      <c r="AC649" s="7"/>
      <c r="AD649" s="7"/>
      <c r="AE649" s="7"/>
      <c r="AF649" s="7"/>
      <c r="AG649" s="7"/>
      <c r="AH649" s="7"/>
      <c r="AI649" s="7"/>
      <c r="AJ649" s="19"/>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row>
    <row r="650">
      <c r="A650" s="7"/>
      <c r="B650" s="7"/>
      <c r="C650" s="7"/>
      <c r="D650" s="7"/>
      <c r="E650" s="19"/>
      <c r="F650" s="19"/>
      <c r="G650" s="19"/>
      <c r="H650" s="19"/>
      <c r="I650" s="19"/>
      <c r="J650" s="7"/>
      <c r="K650" s="19"/>
      <c r="L650" s="7"/>
      <c r="M650" s="7"/>
      <c r="N650" s="7"/>
      <c r="O650" s="7"/>
      <c r="P650" s="7"/>
      <c r="Q650" s="7"/>
      <c r="R650" s="7"/>
      <c r="S650" s="7"/>
      <c r="T650" s="7"/>
      <c r="U650" s="7"/>
      <c r="V650" s="388"/>
      <c r="W650" s="388"/>
      <c r="X650" s="388"/>
      <c r="Y650" s="7"/>
      <c r="Z650" s="7"/>
      <c r="AA650" s="7"/>
      <c r="AB650" s="7"/>
      <c r="AC650" s="7"/>
      <c r="AD650" s="7"/>
      <c r="AE650" s="7"/>
      <c r="AF650" s="7"/>
      <c r="AG650" s="7"/>
      <c r="AH650" s="7"/>
      <c r="AI650" s="7"/>
      <c r="AJ650" s="19"/>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row>
    <row r="651">
      <c r="A651" s="7"/>
      <c r="B651" s="7"/>
      <c r="C651" s="7"/>
      <c r="D651" s="7"/>
      <c r="E651" s="19"/>
      <c r="F651" s="19"/>
      <c r="G651" s="19"/>
      <c r="H651" s="19"/>
      <c r="I651" s="19"/>
      <c r="J651" s="7"/>
      <c r="K651" s="19"/>
      <c r="L651" s="7"/>
      <c r="M651" s="7"/>
      <c r="N651" s="7"/>
      <c r="O651" s="7"/>
      <c r="P651" s="7"/>
      <c r="Q651" s="7"/>
      <c r="R651" s="7"/>
      <c r="S651" s="7"/>
      <c r="T651" s="7"/>
      <c r="U651" s="7"/>
      <c r="V651" s="388"/>
      <c r="W651" s="388"/>
      <c r="X651" s="388"/>
      <c r="Y651" s="7"/>
      <c r="Z651" s="7"/>
      <c r="AA651" s="7"/>
      <c r="AB651" s="7"/>
      <c r="AC651" s="7"/>
      <c r="AD651" s="7"/>
      <c r="AE651" s="7"/>
      <c r="AF651" s="7"/>
      <c r="AG651" s="7"/>
      <c r="AH651" s="7"/>
      <c r="AI651" s="7"/>
      <c r="AJ651" s="19"/>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row>
    <row r="652">
      <c r="A652" s="7"/>
      <c r="B652" s="7"/>
      <c r="C652" s="7"/>
      <c r="D652" s="7"/>
      <c r="E652" s="19"/>
      <c r="F652" s="19"/>
      <c r="G652" s="19"/>
      <c r="H652" s="19"/>
      <c r="I652" s="19"/>
      <c r="J652" s="7"/>
      <c r="K652" s="19"/>
      <c r="L652" s="7"/>
      <c r="M652" s="7"/>
      <c r="N652" s="7"/>
      <c r="O652" s="7"/>
      <c r="P652" s="7"/>
      <c r="Q652" s="7"/>
      <c r="R652" s="7"/>
      <c r="S652" s="7"/>
      <c r="T652" s="7"/>
      <c r="U652" s="7"/>
      <c r="V652" s="388"/>
      <c r="W652" s="388"/>
      <c r="X652" s="388"/>
      <c r="Y652" s="7"/>
      <c r="Z652" s="7"/>
      <c r="AA652" s="7"/>
      <c r="AB652" s="7"/>
      <c r="AC652" s="7"/>
      <c r="AD652" s="7"/>
      <c r="AE652" s="7"/>
      <c r="AF652" s="7"/>
      <c r="AG652" s="7"/>
      <c r="AH652" s="7"/>
      <c r="AI652" s="7"/>
      <c r="AJ652" s="19"/>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row>
    <row r="653">
      <c r="A653" s="7"/>
      <c r="B653" s="7"/>
      <c r="C653" s="7"/>
      <c r="D653" s="7"/>
      <c r="E653" s="19"/>
      <c r="F653" s="19"/>
      <c r="G653" s="19"/>
      <c r="H653" s="19"/>
      <c r="I653" s="19"/>
      <c r="J653" s="7"/>
      <c r="K653" s="19"/>
      <c r="L653" s="7"/>
      <c r="M653" s="7"/>
      <c r="N653" s="7"/>
      <c r="O653" s="7"/>
      <c r="P653" s="7"/>
      <c r="Q653" s="7"/>
      <c r="R653" s="7"/>
      <c r="S653" s="7"/>
      <c r="T653" s="7"/>
      <c r="U653" s="7"/>
      <c r="V653" s="388"/>
      <c r="W653" s="388"/>
      <c r="X653" s="388"/>
      <c r="Y653" s="7"/>
      <c r="Z653" s="7"/>
      <c r="AA653" s="7"/>
      <c r="AB653" s="7"/>
      <c r="AC653" s="7"/>
      <c r="AD653" s="7"/>
      <c r="AE653" s="7"/>
      <c r="AF653" s="7"/>
      <c r="AG653" s="7"/>
      <c r="AH653" s="7"/>
      <c r="AI653" s="7"/>
      <c r="AJ653" s="19"/>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row>
    <row r="654">
      <c r="A654" s="7"/>
      <c r="B654" s="7"/>
      <c r="C654" s="7"/>
      <c r="D654" s="7"/>
      <c r="E654" s="19"/>
      <c r="F654" s="19"/>
      <c r="G654" s="19"/>
      <c r="H654" s="19"/>
      <c r="I654" s="19"/>
      <c r="J654" s="7"/>
      <c r="K654" s="19"/>
      <c r="L654" s="7"/>
      <c r="M654" s="7"/>
      <c r="N654" s="7"/>
      <c r="O654" s="7"/>
      <c r="P654" s="7"/>
      <c r="Q654" s="7"/>
      <c r="R654" s="7"/>
      <c r="S654" s="7"/>
      <c r="T654" s="7"/>
      <c r="U654" s="7"/>
      <c r="V654" s="388"/>
      <c r="W654" s="388"/>
      <c r="X654" s="388"/>
      <c r="Y654" s="7"/>
      <c r="Z654" s="7"/>
      <c r="AA654" s="7"/>
      <c r="AB654" s="7"/>
      <c r="AC654" s="7"/>
      <c r="AD654" s="7"/>
      <c r="AE654" s="7"/>
      <c r="AF654" s="7"/>
      <c r="AG654" s="7"/>
      <c r="AH654" s="7"/>
      <c r="AI654" s="7"/>
      <c r="AJ654" s="19"/>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row>
    <row r="655">
      <c r="A655" s="7"/>
      <c r="B655" s="7"/>
      <c r="C655" s="7"/>
      <c r="D655" s="7"/>
      <c r="E655" s="19"/>
      <c r="F655" s="19"/>
      <c r="G655" s="19"/>
      <c r="H655" s="19"/>
      <c r="I655" s="19"/>
      <c r="J655" s="7"/>
      <c r="K655" s="19"/>
      <c r="L655" s="7"/>
      <c r="M655" s="7"/>
      <c r="N655" s="7"/>
      <c r="O655" s="7"/>
      <c r="P655" s="7"/>
      <c r="Q655" s="7"/>
      <c r="R655" s="7"/>
      <c r="S655" s="7"/>
      <c r="T655" s="7"/>
      <c r="U655" s="7"/>
      <c r="V655" s="388"/>
      <c r="W655" s="388"/>
      <c r="X655" s="388"/>
      <c r="Y655" s="7"/>
      <c r="Z655" s="7"/>
      <c r="AA655" s="7"/>
      <c r="AB655" s="7"/>
      <c r="AC655" s="7"/>
      <c r="AD655" s="7"/>
      <c r="AE655" s="7"/>
      <c r="AF655" s="7"/>
      <c r="AG655" s="7"/>
      <c r="AH655" s="7"/>
      <c r="AI655" s="7"/>
      <c r="AJ655" s="19"/>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row>
    <row r="656">
      <c r="A656" s="7"/>
      <c r="B656" s="7"/>
      <c r="C656" s="7"/>
      <c r="D656" s="7"/>
      <c r="E656" s="19"/>
      <c r="F656" s="19"/>
      <c r="G656" s="19"/>
      <c r="H656" s="19"/>
      <c r="I656" s="19"/>
      <c r="J656" s="7"/>
      <c r="K656" s="19"/>
      <c r="L656" s="7"/>
      <c r="M656" s="7"/>
      <c r="N656" s="7"/>
      <c r="O656" s="7"/>
      <c r="P656" s="7"/>
      <c r="Q656" s="7"/>
      <c r="R656" s="7"/>
      <c r="S656" s="7"/>
      <c r="T656" s="7"/>
      <c r="U656" s="7"/>
      <c r="V656" s="388"/>
      <c r="W656" s="388"/>
      <c r="X656" s="388"/>
      <c r="Y656" s="7"/>
      <c r="Z656" s="7"/>
      <c r="AA656" s="7"/>
      <c r="AB656" s="7"/>
      <c r="AC656" s="7"/>
      <c r="AD656" s="7"/>
      <c r="AE656" s="7"/>
      <c r="AF656" s="7"/>
      <c r="AG656" s="7"/>
      <c r="AH656" s="7"/>
      <c r="AI656" s="7"/>
      <c r="AJ656" s="19"/>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row>
    <row r="657">
      <c r="A657" s="7"/>
      <c r="B657" s="7"/>
      <c r="C657" s="7"/>
      <c r="D657" s="7"/>
      <c r="E657" s="19"/>
      <c r="F657" s="19"/>
      <c r="G657" s="19"/>
      <c r="H657" s="19"/>
      <c r="I657" s="19"/>
      <c r="J657" s="7"/>
      <c r="K657" s="19"/>
      <c r="L657" s="7"/>
      <c r="M657" s="7"/>
      <c r="N657" s="7"/>
      <c r="O657" s="7"/>
      <c r="P657" s="7"/>
      <c r="Q657" s="7"/>
      <c r="R657" s="7"/>
      <c r="S657" s="7"/>
      <c r="T657" s="7"/>
      <c r="U657" s="7"/>
      <c r="V657" s="388"/>
      <c r="W657" s="388"/>
      <c r="X657" s="388"/>
      <c r="Y657" s="7"/>
      <c r="Z657" s="7"/>
      <c r="AA657" s="7"/>
      <c r="AB657" s="7"/>
      <c r="AC657" s="7"/>
      <c r="AD657" s="7"/>
      <c r="AE657" s="7"/>
      <c r="AF657" s="7"/>
      <c r="AG657" s="7"/>
      <c r="AH657" s="7"/>
      <c r="AI657" s="7"/>
      <c r="AJ657" s="19"/>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row>
    <row r="658">
      <c r="A658" s="7"/>
      <c r="B658" s="7"/>
      <c r="C658" s="7"/>
      <c r="D658" s="7"/>
      <c r="E658" s="19"/>
      <c r="F658" s="19"/>
      <c r="G658" s="19"/>
      <c r="H658" s="19"/>
      <c r="I658" s="19"/>
      <c r="J658" s="7"/>
      <c r="K658" s="19"/>
      <c r="L658" s="7"/>
      <c r="M658" s="7"/>
      <c r="N658" s="7"/>
      <c r="O658" s="7"/>
      <c r="P658" s="7"/>
      <c r="Q658" s="7"/>
      <c r="R658" s="7"/>
      <c r="S658" s="7"/>
      <c r="T658" s="7"/>
      <c r="U658" s="7"/>
      <c r="V658" s="388"/>
      <c r="W658" s="388"/>
      <c r="X658" s="388"/>
      <c r="Y658" s="7"/>
      <c r="Z658" s="7"/>
      <c r="AA658" s="7"/>
      <c r="AB658" s="7"/>
      <c r="AC658" s="7"/>
      <c r="AD658" s="7"/>
      <c r="AE658" s="7"/>
      <c r="AF658" s="7"/>
      <c r="AG658" s="7"/>
      <c r="AH658" s="7"/>
      <c r="AI658" s="7"/>
      <c r="AJ658" s="19"/>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row>
    <row r="659">
      <c r="A659" s="7"/>
      <c r="B659" s="7"/>
      <c r="C659" s="7"/>
      <c r="D659" s="7"/>
      <c r="E659" s="19"/>
      <c r="F659" s="19"/>
      <c r="G659" s="19"/>
      <c r="H659" s="19"/>
      <c r="I659" s="19"/>
      <c r="J659" s="7"/>
      <c r="K659" s="19"/>
      <c r="L659" s="7"/>
      <c r="M659" s="7"/>
      <c r="N659" s="7"/>
      <c r="O659" s="7"/>
      <c r="P659" s="7"/>
      <c r="Q659" s="7"/>
      <c r="R659" s="7"/>
      <c r="S659" s="7"/>
      <c r="T659" s="7"/>
      <c r="U659" s="7"/>
      <c r="V659" s="388"/>
      <c r="W659" s="388"/>
      <c r="X659" s="388"/>
      <c r="Y659" s="7"/>
      <c r="Z659" s="7"/>
      <c r="AA659" s="7"/>
      <c r="AB659" s="7"/>
      <c r="AC659" s="7"/>
      <c r="AD659" s="7"/>
      <c r="AE659" s="7"/>
      <c r="AF659" s="7"/>
      <c r="AG659" s="7"/>
      <c r="AH659" s="7"/>
      <c r="AI659" s="7"/>
      <c r="AJ659" s="19"/>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row>
    <row r="660">
      <c r="A660" s="7"/>
      <c r="B660" s="7"/>
      <c r="C660" s="7"/>
      <c r="D660" s="7"/>
      <c r="E660" s="19"/>
      <c r="F660" s="19"/>
      <c r="G660" s="19"/>
      <c r="H660" s="19"/>
      <c r="I660" s="19"/>
      <c r="J660" s="7"/>
      <c r="K660" s="19"/>
      <c r="L660" s="7"/>
      <c r="M660" s="7"/>
      <c r="N660" s="7"/>
      <c r="O660" s="7"/>
      <c r="P660" s="7"/>
      <c r="Q660" s="7"/>
      <c r="R660" s="7"/>
      <c r="S660" s="7"/>
      <c r="T660" s="7"/>
      <c r="U660" s="7"/>
      <c r="V660" s="388"/>
      <c r="W660" s="388"/>
      <c r="X660" s="388"/>
      <c r="Y660" s="7"/>
      <c r="Z660" s="7"/>
      <c r="AA660" s="7"/>
      <c r="AB660" s="7"/>
      <c r="AC660" s="7"/>
      <c r="AD660" s="7"/>
      <c r="AE660" s="7"/>
      <c r="AF660" s="7"/>
      <c r="AG660" s="7"/>
      <c r="AH660" s="7"/>
      <c r="AI660" s="7"/>
      <c r="AJ660" s="19"/>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row>
    <row r="661">
      <c r="A661" s="7"/>
      <c r="B661" s="7"/>
      <c r="C661" s="7"/>
      <c r="D661" s="7"/>
      <c r="E661" s="19"/>
      <c r="F661" s="19"/>
      <c r="G661" s="19"/>
      <c r="H661" s="19"/>
      <c r="I661" s="19"/>
      <c r="J661" s="7"/>
      <c r="K661" s="19"/>
      <c r="L661" s="7"/>
      <c r="M661" s="7"/>
      <c r="N661" s="7"/>
      <c r="O661" s="7"/>
      <c r="P661" s="7"/>
      <c r="Q661" s="7"/>
      <c r="R661" s="7"/>
      <c r="S661" s="7"/>
      <c r="T661" s="7"/>
      <c r="U661" s="7"/>
      <c r="V661" s="388"/>
      <c r="W661" s="388"/>
      <c r="X661" s="388"/>
      <c r="Y661" s="7"/>
      <c r="Z661" s="7"/>
      <c r="AA661" s="7"/>
      <c r="AB661" s="7"/>
      <c r="AC661" s="7"/>
      <c r="AD661" s="7"/>
      <c r="AE661" s="7"/>
      <c r="AF661" s="7"/>
      <c r="AG661" s="7"/>
      <c r="AH661" s="7"/>
      <c r="AI661" s="7"/>
      <c r="AJ661" s="19"/>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row>
    <row r="662">
      <c r="A662" s="7"/>
      <c r="B662" s="7"/>
      <c r="C662" s="7"/>
      <c r="D662" s="7"/>
      <c r="E662" s="19"/>
      <c r="F662" s="19"/>
      <c r="G662" s="19"/>
      <c r="H662" s="19"/>
      <c r="I662" s="19"/>
      <c r="J662" s="7"/>
      <c r="K662" s="19"/>
      <c r="L662" s="7"/>
      <c r="M662" s="7"/>
      <c r="N662" s="7"/>
      <c r="O662" s="7"/>
      <c r="P662" s="7"/>
      <c r="Q662" s="7"/>
      <c r="R662" s="7"/>
      <c r="S662" s="7"/>
      <c r="T662" s="7"/>
      <c r="U662" s="7"/>
      <c r="V662" s="388"/>
      <c r="W662" s="388"/>
      <c r="X662" s="388"/>
      <c r="Y662" s="7"/>
      <c r="Z662" s="7"/>
      <c r="AA662" s="7"/>
      <c r="AB662" s="7"/>
      <c r="AC662" s="7"/>
      <c r="AD662" s="7"/>
      <c r="AE662" s="7"/>
      <c r="AF662" s="7"/>
      <c r="AG662" s="7"/>
      <c r="AH662" s="7"/>
      <c r="AI662" s="7"/>
      <c r="AJ662" s="19"/>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row>
    <row r="663">
      <c r="A663" s="7"/>
      <c r="B663" s="7"/>
      <c r="C663" s="7"/>
      <c r="D663" s="7"/>
      <c r="E663" s="19"/>
      <c r="F663" s="19"/>
      <c r="G663" s="19"/>
      <c r="H663" s="19"/>
      <c r="I663" s="19"/>
      <c r="J663" s="7"/>
      <c r="K663" s="19"/>
      <c r="L663" s="7"/>
      <c r="M663" s="7"/>
      <c r="N663" s="7"/>
      <c r="O663" s="7"/>
      <c r="P663" s="7"/>
      <c r="Q663" s="7"/>
      <c r="R663" s="7"/>
      <c r="S663" s="7"/>
      <c r="T663" s="7"/>
      <c r="U663" s="7"/>
      <c r="V663" s="388"/>
      <c r="W663" s="388"/>
      <c r="X663" s="388"/>
      <c r="Y663" s="7"/>
      <c r="Z663" s="7"/>
      <c r="AA663" s="7"/>
      <c r="AB663" s="7"/>
      <c r="AC663" s="7"/>
      <c r="AD663" s="7"/>
      <c r="AE663" s="7"/>
      <c r="AF663" s="7"/>
      <c r="AG663" s="7"/>
      <c r="AH663" s="7"/>
      <c r="AI663" s="7"/>
      <c r="AJ663" s="19"/>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row>
    <row r="664">
      <c r="A664" s="7"/>
      <c r="B664" s="7"/>
      <c r="C664" s="7"/>
      <c r="D664" s="7"/>
      <c r="E664" s="19"/>
      <c r="F664" s="19"/>
      <c r="G664" s="19"/>
      <c r="H664" s="19"/>
      <c r="I664" s="19"/>
      <c r="J664" s="7"/>
      <c r="K664" s="19"/>
      <c r="L664" s="7"/>
      <c r="M664" s="7"/>
      <c r="N664" s="7"/>
      <c r="O664" s="7"/>
      <c r="P664" s="7"/>
      <c r="Q664" s="7"/>
      <c r="R664" s="7"/>
      <c r="S664" s="7"/>
      <c r="T664" s="7"/>
      <c r="U664" s="7"/>
      <c r="V664" s="388"/>
      <c r="W664" s="388"/>
      <c r="X664" s="388"/>
      <c r="Y664" s="7"/>
      <c r="Z664" s="7"/>
      <c r="AA664" s="7"/>
      <c r="AB664" s="7"/>
      <c r="AC664" s="7"/>
      <c r="AD664" s="7"/>
      <c r="AE664" s="7"/>
      <c r="AF664" s="7"/>
      <c r="AG664" s="7"/>
      <c r="AH664" s="7"/>
      <c r="AI664" s="7"/>
      <c r="AJ664" s="19"/>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row>
    <row r="665">
      <c r="A665" s="7"/>
      <c r="B665" s="7"/>
      <c r="C665" s="7"/>
      <c r="D665" s="7"/>
      <c r="E665" s="19"/>
      <c r="F665" s="19"/>
      <c r="G665" s="19"/>
      <c r="H665" s="19"/>
      <c r="I665" s="19"/>
      <c r="J665" s="7"/>
      <c r="K665" s="19"/>
      <c r="L665" s="7"/>
      <c r="M665" s="7"/>
      <c r="N665" s="7"/>
      <c r="O665" s="7"/>
      <c r="P665" s="7"/>
      <c r="Q665" s="7"/>
      <c r="R665" s="7"/>
      <c r="S665" s="7"/>
      <c r="T665" s="7"/>
      <c r="U665" s="7"/>
      <c r="V665" s="388"/>
      <c r="W665" s="388"/>
      <c r="X665" s="388"/>
      <c r="Y665" s="7"/>
      <c r="Z665" s="7"/>
      <c r="AA665" s="7"/>
      <c r="AB665" s="7"/>
      <c r="AC665" s="7"/>
      <c r="AD665" s="7"/>
      <c r="AE665" s="7"/>
      <c r="AF665" s="7"/>
      <c r="AG665" s="7"/>
      <c r="AH665" s="7"/>
      <c r="AI665" s="7"/>
      <c r="AJ665" s="19"/>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row>
    <row r="666">
      <c r="A666" s="7"/>
      <c r="B666" s="7"/>
      <c r="C666" s="7"/>
      <c r="D666" s="7"/>
      <c r="E666" s="19"/>
      <c r="F666" s="19"/>
      <c r="G666" s="19"/>
      <c r="H666" s="19"/>
      <c r="I666" s="19"/>
      <c r="J666" s="7"/>
      <c r="K666" s="19"/>
      <c r="L666" s="7"/>
      <c r="M666" s="7"/>
      <c r="N666" s="7"/>
      <c r="O666" s="7"/>
      <c r="P666" s="7"/>
      <c r="Q666" s="7"/>
      <c r="R666" s="7"/>
      <c r="S666" s="7"/>
      <c r="T666" s="7"/>
      <c r="U666" s="7"/>
      <c r="V666" s="388"/>
      <c r="W666" s="388"/>
      <c r="X666" s="388"/>
      <c r="Y666" s="7"/>
      <c r="Z666" s="7"/>
      <c r="AA666" s="7"/>
      <c r="AB666" s="7"/>
      <c r="AC666" s="7"/>
      <c r="AD666" s="7"/>
      <c r="AE666" s="7"/>
      <c r="AF666" s="7"/>
      <c r="AG666" s="7"/>
      <c r="AH666" s="7"/>
      <c r="AI666" s="7"/>
      <c r="AJ666" s="19"/>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row>
    <row r="667">
      <c r="A667" s="7"/>
      <c r="B667" s="7"/>
      <c r="C667" s="7"/>
      <c r="D667" s="7"/>
      <c r="E667" s="19"/>
      <c r="F667" s="19"/>
      <c r="G667" s="19"/>
      <c r="H667" s="19"/>
      <c r="I667" s="19"/>
      <c r="J667" s="7"/>
      <c r="K667" s="19"/>
      <c r="L667" s="7"/>
      <c r="M667" s="7"/>
      <c r="N667" s="7"/>
      <c r="O667" s="7"/>
      <c r="P667" s="7"/>
      <c r="Q667" s="7"/>
      <c r="R667" s="7"/>
      <c r="S667" s="7"/>
      <c r="T667" s="7"/>
      <c r="U667" s="7"/>
      <c r="V667" s="388"/>
      <c r="W667" s="388"/>
      <c r="X667" s="388"/>
      <c r="Y667" s="7"/>
      <c r="Z667" s="7"/>
      <c r="AA667" s="7"/>
      <c r="AB667" s="7"/>
      <c r="AC667" s="7"/>
      <c r="AD667" s="7"/>
      <c r="AE667" s="7"/>
      <c r="AF667" s="7"/>
      <c r="AG667" s="7"/>
      <c r="AH667" s="7"/>
      <c r="AI667" s="7"/>
      <c r="AJ667" s="19"/>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row>
    <row r="668">
      <c r="A668" s="7"/>
      <c r="B668" s="7"/>
      <c r="C668" s="7"/>
      <c r="D668" s="7"/>
      <c r="E668" s="19"/>
      <c r="F668" s="19"/>
      <c r="G668" s="19"/>
      <c r="H668" s="19"/>
      <c r="I668" s="19"/>
      <c r="J668" s="7"/>
      <c r="K668" s="19"/>
      <c r="L668" s="7"/>
      <c r="M668" s="7"/>
      <c r="N668" s="7"/>
      <c r="O668" s="7"/>
      <c r="P668" s="7"/>
      <c r="Q668" s="7"/>
      <c r="R668" s="7"/>
      <c r="S668" s="7"/>
      <c r="T668" s="7"/>
      <c r="U668" s="7"/>
      <c r="V668" s="388"/>
      <c r="W668" s="388"/>
      <c r="X668" s="388"/>
      <c r="Y668" s="7"/>
      <c r="Z668" s="7"/>
      <c r="AA668" s="7"/>
      <c r="AB668" s="7"/>
      <c r="AC668" s="7"/>
      <c r="AD668" s="7"/>
      <c r="AE668" s="7"/>
      <c r="AF668" s="7"/>
      <c r="AG668" s="7"/>
      <c r="AH668" s="7"/>
      <c r="AI668" s="7"/>
      <c r="AJ668" s="19"/>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row>
    <row r="669">
      <c r="A669" s="7"/>
      <c r="B669" s="7"/>
      <c r="C669" s="7"/>
      <c r="D669" s="7"/>
      <c r="E669" s="19"/>
      <c r="F669" s="19"/>
      <c r="G669" s="19"/>
      <c r="H669" s="19"/>
      <c r="I669" s="19"/>
      <c r="J669" s="7"/>
      <c r="K669" s="19"/>
      <c r="L669" s="7"/>
      <c r="M669" s="7"/>
      <c r="N669" s="7"/>
      <c r="O669" s="7"/>
      <c r="P669" s="7"/>
      <c r="Q669" s="7"/>
      <c r="R669" s="7"/>
      <c r="S669" s="7"/>
      <c r="T669" s="7"/>
      <c r="U669" s="7"/>
      <c r="V669" s="388"/>
      <c r="W669" s="388"/>
      <c r="X669" s="388"/>
      <c r="Y669" s="7"/>
      <c r="Z669" s="7"/>
      <c r="AA669" s="7"/>
      <c r="AB669" s="7"/>
      <c r="AC669" s="7"/>
      <c r="AD669" s="7"/>
      <c r="AE669" s="7"/>
      <c r="AF669" s="7"/>
      <c r="AG669" s="7"/>
      <c r="AH669" s="7"/>
      <c r="AI669" s="7"/>
      <c r="AJ669" s="19"/>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row>
    <row r="670">
      <c r="A670" s="7"/>
      <c r="B670" s="7"/>
      <c r="C670" s="7"/>
      <c r="D670" s="7"/>
      <c r="E670" s="19"/>
      <c r="F670" s="19"/>
      <c r="G670" s="19"/>
      <c r="H670" s="19"/>
      <c r="I670" s="19"/>
      <c r="J670" s="7"/>
      <c r="K670" s="19"/>
      <c r="L670" s="7"/>
      <c r="M670" s="7"/>
      <c r="N670" s="7"/>
      <c r="O670" s="7"/>
      <c r="P670" s="7"/>
      <c r="Q670" s="7"/>
      <c r="R670" s="7"/>
      <c r="S670" s="7"/>
      <c r="T670" s="7"/>
      <c r="U670" s="7"/>
      <c r="V670" s="388"/>
      <c r="W670" s="388"/>
      <c r="X670" s="388"/>
      <c r="Y670" s="7"/>
      <c r="Z670" s="7"/>
      <c r="AA670" s="7"/>
      <c r="AB670" s="7"/>
      <c r="AC670" s="7"/>
      <c r="AD670" s="7"/>
      <c r="AE670" s="7"/>
      <c r="AF670" s="7"/>
      <c r="AG670" s="7"/>
      <c r="AH670" s="7"/>
      <c r="AI670" s="7"/>
      <c r="AJ670" s="19"/>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row>
    <row r="671">
      <c r="A671" s="7"/>
      <c r="B671" s="7"/>
      <c r="C671" s="7"/>
      <c r="D671" s="7"/>
      <c r="E671" s="19"/>
      <c r="F671" s="19"/>
      <c r="G671" s="19"/>
      <c r="H671" s="19"/>
      <c r="I671" s="19"/>
      <c r="J671" s="7"/>
      <c r="K671" s="19"/>
      <c r="L671" s="7"/>
      <c r="M671" s="7"/>
      <c r="N671" s="7"/>
      <c r="O671" s="7"/>
      <c r="P671" s="7"/>
      <c r="Q671" s="7"/>
      <c r="R671" s="7"/>
      <c r="S671" s="7"/>
      <c r="T671" s="7"/>
      <c r="U671" s="7"/>
      <c r="V671" s="388"/>
      <c r="W671" s="388"/>
      <c r="X671" s="388"/>
      <c r="Y671" s="7"/>
      <c r="Z671" s="7"/>
      <c r="AA671" s="7"/>
      <c r="AB671" s="7"/>
      <c r="AC671" s="7"/>
      <c r="AD671" s="7"/>
      <c r="AE671" s="7"/>
      <c r="AF671" s="7"/>
      <c r="AG671" s="7"/>
      <c r="AH671" s="7"/>
      <c r="AI671" s="7"/>
      <c r="AJ671" s="19"/>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row>
    <row r="672">
      <c r="A672" s="7"/>
      <c r="B672" s="7"/>
      <c r="C672" s="7"/>
      <c r="D672" s="7"/>
      <c r="E672" s="19"/>
      <c r="F672" s="19"/>
      <c r="G672" s="19"/>
      <c r="H672" s="19"/>
      <c r="I672" s="19"/>
      <c r="J672" s="7"/>
      <c r="K672" s="19"/>
      <c r="L672" s="7"/>
      <c r="M672" s="7"/>
      <c r="N672" s="7"/>
      <c r="O672" s="7"/>
      <c r="P672" s="7"/>
      <c r="Q672" s="7"/>
      <c r="R672" s="7"/>
      <c r="S672" s="7"/>
      <c r="T672" s="7"/>
      <c r="U672" s="7"/>
      <c r="V672" s="388"/>
      <c r="W672" s="388"/>
      <c r="X672" s="388"/>
      <c r="Y672" s="7"/>
      <c r="Z672" s="7"/>
      <c r="AA672" s="7"/>
      <c r="AB672" s="7"/>
      <c r="AC672" s="7"/>
      <c r="AD672" s="7"/>
      <c r="AE672" s="7"/>
      <c r="AF672" s="7"/>
      <c r="AG672" s="7"/>
      <c r="AH672" s="7"/>
      <c r="AI672" s="7"/>
      <c r="AJ672" s="19"/>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row>
    <row r="673">
      <c r="A673" s="7"/>
      <c r="B673" s="7"/>
      <c r="C673" s="7"/>
      <c r="D673" s="7"/>
      <c r="E673" s="19"/>
      <c r="F673" s="19"/>
      <c r="G673" s="19"/>
      <c r="H673" s="19"/>
      <c r="I673" s="19"/>
      <c r="J673" s="7"/>
      <c r="K673" s="19"/>
      <c r="L673" s="7"/>
      <c r="M673" s="7"/>
      <c r="N673" s="7"/>
      <c r="O673" s="7"/>
      <c r="P673" s="7"/>
      <c r="Q673" s="7"/>
      <c r="R673" s="7"/>
      <c r="S673" s="7"/>
      <c r="T673" s="7"/>
      <c r="U673" s="7"/>
      <c r="V673" s="388"/>
      <c r="W673" s="388"/>
      <c r="X673" s="388"/>
      <c r="Y673" s="7"/>
      <c r="Z673" s="7"/>
      <c r="AA673" s="7"/>
      <c r="AB673" s="7"/>
      <c r="AC673" s="7"/>
      <c r="AD673" s="7"/>
      <c r="AE673" s="7"/>
      <c r="AF673" s="7"/>
      <c r="AG673" s="7"/>
      <c r="AH673" s="7"/>
      <c r="AI673" s="7"/>
      <c r="AJ673" s="19"/>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row>
    <row r="674">
      <c r="A674" s="7"/>
      <c r="B674" s="7"/>
      <c r="C674" s="7"/>
      <c r="D674" s="7"/>
      <c r="E674" s="19"/>
      <c r="F674" s="19"/>
      <c r="G674" s="19"/>
      <c r="H674" s="19"/>
      <c r="I674" s="19"/>
      <c r="J674" s="7"/>
      <c r="K674" s="19"/>
      <c r="L674" s="7"/>
      <c r="M674" s="7"/>
      <c r="N674" s="7"/>
      <c r="O674" s="7"/>
      <c r="P674" s="7"/>
      <c r="Q674" s="7"/>
      <c r="R674" s="7"/>
      <c r="S674" s="7"/>
      <c r="T674" s="7"/>
      <c r="U674" s="7"/>
      <c r="V674" s="388"/>
      <c r="W674" s="388"/>
      <c r="X674" s="388"/>
      <c r="Y674" s="7"/>
      <c r="Z674" s="7"/>
      <c r="AA674" s="7"/>
      <c r="AB674" s="7"/>
      <c r="AC674" s="7"/>
      <c r="AD674" s="7"/>
      <c r="AE674" s="7"/>
      <c r="AF674" s="7"/>
      <c r="AG674" s="7"/>
      <c r="AH674" s="7"/>
      <c r="AI674" s="7"/>
      <c r="AJ674" s="19"/>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row>
    <row r="675">
      <c r="A675" s="7"/>
      <c r="B675" s="7"/>
      <c r="C675" s="7"/>
      <c r="D675" s="7"/>
      <c r="E675" s="19"/>
      <c r="F675" s="19"/>
      <c r="G675" s="19"/>
      <c r="H675" s="19"/>
      <c r="I675" s="19"/>
      <c r="J675" s="7"/>
      <c r="K675" s="19"/>
      <c r="L675" s="7"/>
      <c r="M675" s="7"/>
      <c r="N675" s="7"/>
      <c r="O675" s="7"/>
      <c r="P675" s="7"/>
      <c r="Q675" s="7"/>
      <c r="R675" s="7"/>
      <c r="S675" s="7"/>
      <c r="T675" s="7"/>
      <c r="U675" s="7"/>
      <c r="V675" s="388"/>
      <c r="W675" s="388"/>
      <c r="X675" s="388"/>
      <c r="Y675" s="7"/>
      <c r="Z675" s="7"/>
      <c r="AA675" s="7"/>
      <c r="AB675" s="7"/>
      <c r="AC675" s="7"/>
      <c r="AD675" s="7"/>
      <c r="AE675" s="7"/>
      <c r="AF675" s="7"/>
      <c r="AG675" s="7"/>
      <c r="AH675" s="7"/>
      <c r="AI675" s="7"/>
      <c r="AJ675" s="19"/>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row>
    <row r="676">
      <c r="A676" s="7"/>
      <c r="B676" s="7"/>
      <c r="C676" s="7"/>
      <c r="D676" s="7"/>
      <c r="E676" s="19"/>
      <c r="F676" s="19"/>
      <c r="G676" s="19"/>
      <c r="H676" s="19"/>
      <c r="I676" s="19"/>
      <c r="J676" s="7"/>
      <c r="K676" s="19"/>
      <c r="L676" s="7"/>
      <c r="M676" s="7"/>
      <c r="N676" s="7"/>
      <c r="O676" s="7"/>
      <c r="P676" s="7"/>
      <c r="Q676" s="7"/>
      <c r="R676" s="7"/>
      <c r="S676" s="7"/>
      <c r="T676" s="7"/>
      <c r="U676" s="7"/>
      <c r="V676" s="388"/>
      <c r="W676" s="388"/>
      <c r="X676" s="388"/>
      <c r="Y676" s="7"/>
      <c r="Z676" s="7"/>
      <c r="AA676" s="7"/>
      <c r="AB676" s="7"/>
      <c r="AC676" s="7"/>
      <c r="AD676" s="7"/>
      <c r="AE676" s="7"/>
      <c r="AF676" s="7"/>
      <c r="AG676" s="7"/>
      <c r="AH676" s="7"/>
      <c r="AI676" s="7"/>
      <c r="AJ676" s="19"/>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row>
    <row r="677">
      <c r="A677" s="7"/>
      <c r="B677" s="7"/>
      <c r="C677" s="7"/>
      <c r="D677" s="7"/>
      <c r="E677" s="19"/>
      <c r="F677" s="19"/>
      <c r="G677" s="19"/>
      <c r="H677" s="19"/>
      <c r="I677" s="19"/>
      <c r="J677" s="7"/>
      <c r="K677" s="19"/>
      <c r="L677" s="7"/>
      <c r="M677" s="7"/>
      <c r="N677" s="7"/>
      <c r="O677" s="7"/>
      <c r="P677" s="7"/>
      <c r="Q677" s="7"/>
      <c r="R677" s="7"/>
      <c r="S677" s="7"/>
      <c r="T677" s="7"/>
      <c r="U677" s="7"/>
      <c r="V677" s="388"/>
      <c r="W677" s="388"/>
      <c r="X677" s="388"/>
      <c r="Y677" s="7"/>
      <c r="Z677" s="7"/>
      <c r="AA677" s="7"/>
      <c r="AB677" s="7"/>
      <c r="AC677" s="7"/>
      <c r="AD677" s="7"/>
      <c r="AE677" s="7"/>
      <c r="AF677" s="7"/>
      <c r="AG677" s="7"/>
      <c r="AH677" s="7"/>
      <c r="AI677" s="7"/>
      <c r="AJ677" s="19"/>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row>
    <row r="678">
      <c r="A678" s="7"/>
      <c r="B678" s="7"/>
      <c r="C678" s="7"/>
      <c r="D678" s="7"/>
      <c r="E678" s="19"/>
      <c r="F678" s="19"/>
      <c r="G678" s="19"/>
      <c r="H678" s="19"/>
      <c r="I678" s="19"/>
      <c r="J678" s="7"/>
      <c r="K678" s="19"/>
      <c r="L678" s="7"/>
      <c r="M678" s="7"/>
      <c r="N678" s="7"/>
      <c r="O678" s="7"/>
      <c r="P678" s="7"/>
      <c r="Q678" s="7"/>
      <c r="R678" s="7"/>
      <c r="S678" s="7"/>
      <c r="T678" s="7"/>
      <c r="U678" s="7"/>
      <c r="V678" s="388"/>
      <c r="W678" s="388"/>
      <c r="X678" s="388"/>
      <c r="Y678" s="7"/>
      <c r="Z678" s="7"/>
      <c r="AA678" s="7"/>
      <c r="AB678" s="7"/>
      <c r="AC678" s="7"/>
      <c r="AD678" s="7"/>
      <c r="AE678" s="7"/>
      <c r="AF678" s="7"/>
      <c r="AG678" s="7"/>
      <c r="AH678" s="7"/>
      <c r="AI678" s="7"/>
      <c r="AJ678" s="19"/>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row>
    <row r="679">
      <c r="A679" s="7"/>
      <c r="B679" s="7"/>
      <c r="C679" s="7"/>
      <c r="D679" s="7"/>
      <c r="E679" s="19"/>
      <c r="F679" s="19"/>
      <c r="G679" s="19"/>
      <c r="H679" s="19"/>
      <c r="I679" s="19"/>
      <c r="J679" s="7"/>
      <c r="K679" s="19"/>
      <c r="L679" s="7"/>
      <c r="M679" s="7"/>
      <c r="N679" s="7"/>
      <c r="O679" s="7"/>
      <c r="P679" s="7"/>
      <c r="Q679" s="7"/>
      <c r="R679" s="7"/>
      <c r="S679" s="7"/>
      <c r="T679" s="7"/>
      <c r="U679" s="7"/>
      <c r="V679" s="388"/>
      <c r="W679" s="388"/>
      <c r="X679" s="388"/>
      <c r="Y679" s="7"/>
      <c r="Z679" s="7"/>
      <c r="AA679" s="7"/>
      <c r="AB679" s="7"/>
      <c r="AC679" s="7"/>
      <c r="AD679" s="7"/>
      <c r="AE679" s="7"/>
      <c r="AF679" s="7"/>
      <c r="AG679" s="7"/>
      <c r="AH679" s="7"/>
      <c r="AI679" s="7"/>
      <c r="AJ679" s="19"/>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row>
    <row r="680">
      <c r="A680" s="7"/>
      <c r="B680" s="7"/>
      <c r="C680" s="7"/>
      <c r="D680" s="7"/>
      <c r="E680" s="19"/>
      <c r="F680" s="19"/>
      <c r="G680" s="19"/>
      <c r="H680" s="19"/>
      <c r="I680" s="19"/>
      <c r="J680" s="7"/>
      <c r="K680" s="19"/>
      <c r="L680" s="7"/>
      <c r="M680" s="7"/>
      <c r="N680" s="7"/>
      <c r="O680" s="7"/>
      <c r="P680" s="7"/>
      <c r="Q680" s="7"/>
      <c r="R680" s="7"/>
      <c r="S680" s="7"/>
      <c r="T680" s="7"/>
      <c r="U680" s="7"/>
      <c r="V680" s="388"/>
      <c r="W680" s="388"/>
      <c r="X680" s="388"/>
      <c r="Y680" s="7"/>
      <c r="Z680" s="7"/>
      <c r="AA680" s="7"/>
      <c r="AB680" s="7"/>
      <c r="AC680" s="7"/>
      <c r="AD680" s="7"/>
      <c r="AE680" s="7"/>
      <c r="AF680" s="7"/>
      <c r="AG680" s="7"/>
      <c r="AH680" s="7"/>
      <c r="AI680" s="7"/>
      <c r="AJ680" s="19"/>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row>
    <row r="681">
      <c r="A681" s="7"/>
      <c r="B681" s="7"/>
      <c r="C681" s="7"/>
      <c r="D681" s="7"/>
      <c r="E681" s="19"/>
      <c r="F681" s="19"/>
      <c r="G681" s="19"/>
      <c r="H681" s="19"/>
      <c r="I681" s="19"/>
      <c r="J681" s="7"/>
      <c r="K681" s="19"/>
      <c r="L681" s="7"/>
      <c r="M681" s="7"/>
      <c r="N681" s="7"/>
      <c r="O681" s="7"/>
      <c r="P681" s="7"/>
      <c r="Q681" s="7"/>
      <c r="R681" s="7"/>
      <c r="S681" s="7"/>
      <c r="T681" s="7"/>
      <c r="U681" s="7"/>
      <c r="V681" s="388"/>
      <c r="W681" s="388"/>
      <c r="X681" s="388"/>
      <c r="Y681" s="7"/>
      <c r="Z681" s="7"/>
      <c r="AA681" s="7"/>
      <c r="AB681" s="7"/>
      <c r="AC681" s="7"/>
      <c r="AD681" s="7"/>
      <c r="AE681" s="7"/>
      <c r="AF681" s="7"/>
      <c r="AG681" s="7"/>
      <c r="AH681" s="7"/>
      <c r="AI681" s="7"/>
      <c r="AJ681" s="19"/>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row>
    <row r="682">
      <c r="A682" s="7"/>
      <c r="B682" s="7"/>
      <c r="C682" s="7"/>
      <c r="D682" s="7"/>
      <c r="E682" s="19"/>
      <c r="F682" s="19"/>
      <c r="G682" s="19"/>
      <c r="H682" s="19"/>
      <c r="I682" s="19"/>
      <c r="J682" s="7"/>
      <c r="K682" s="19"/>
      <c r="L682" s="7"/>
      <c r="M682" s="7"/>
      <c r="N682" s="7"/>
      <c r="O682" s="7"/>
      <c r="P682" s="7"/>
      <c r="Q682" s="7"/>
      <c r="R682" s="7"/>
      <c r="S682" s="7"/>
      <c r="T682" s="7"/>
      <c r="U682" s="7"/>
      <c r="V682" s="388"/>
      <c r="W682" s="388"/>
      <c r="X682" s="388"/>
      <c r="Y682" s="7"/>
      <c r="Z682" s="7"/>
      <c r="AA682" s="7"/>
      <c r="AB682" s="7"/>
      <c r="AC682" s="7"/>
      <c r="AD682" s="7"/>
      <c r="AE682" s="7"/>
      <c r="AF682" s="7"/>
      <c r="AG682" s="7"/>
      <c r="AH682" s="7"/>
      <c r="AI682" s="7"/>
      <c r="AJ682" s="19"/>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row>
    <row r="683">
      <c r="A683" s="7"/>
      <c r="B683" s="7"/>
      <c r="C683" s="7"/>
      <c r="D683" s="7"/>
      <c r="E683" s="19"/>
      <c r="F683" s="19"/>
      <c r="G683" s="19"/>
      <c r="H683" s="19"/>
      <c r="I683" s="19"/>
      <c r="J683" s="7"/>
      <c r="K683" s="19"/>
      <c r="L683" s="7"/>
      <c r="M683" s="7"/>
      <c r="N683" s="7"/>
      <c r="O683" s="7"/>
      <c r="P683" s="7"/>
      <c r="Q683" s="7"/>
      <c r="R683" s="7"/>
      <c r="S683" s="7"/>
      <c r="T683" s="7"/>
      <c r="U683" s="7"/>
      <c r="V683" s="388"/>
      <c r="W683" s="388"/>
      <c r="X683" s="388"/>
      <c r="Y683" s="7"/>
      <c r="Z683" s="7"/>
      <c r="AA683" s="7"/>
      <c r="AB683" s="7"/>
      <c r="AC683" s="7"/>
      <c r="AD683" s="7"/>
      <c r="AE683" s="7"/>
      <c r="AF683" s="7"/>
      <c r="AG683" s="7"/>
      <c r="AH683" s="7"/>
      <c r="AI683" s="7"/>
      <c r="AJ683" s="19"/>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row>
    <row r="684">
      <c r="A684" s="7"/>
      <c r="B684" s="7"/>
      <c r="C684" s="7"/>
      <c r="D684" s="7"/>
      <c r="E684" s="19"/>
      <c r="F684" s="19"/>
      <c r="G684" s="19"/>
      <c r="H684" s="19"/>
      <c r="I684" s="19"/>
      <c r="J684" s="7"/>
      <c r="K684" s="19"/>
      <c r="L684" s="7"/>
      <c r="M684" s="7"/>
      <c r="N684" s="7"/>
      <c r="O684" s="7"/>
      <c r="P684" s="7"/>
      <c r="Q684" s="7"/>
      <c r="R684" s="7"/>
      <c r="S684" s="7"/>
      <c r="T684" s="7"/>
      <c r="U684" s="7"/>
      <c r="V684" s="388"/>
      <c r="W684" s="388"/>
      <c r="X684" s="388"/>
      <c r="Y684" s="7"/>
      <c r="Z684" s="7"/>
      <c r="AA684" s="7"/>
      <c r="AB684" s="7"/>
      <c r="AC684" s="7"/>
      <c r="AD684" s="7"/>
      <c r="AE684" s="7"/>
      <c r="AF684" s="7"/>
      <c r="AG684" s="7"/>
      <c r="AH684" s="7"/>
      <c r="AI684" s="7"/>
      <c r="AJ684" s="19"/>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row>
    <row r="685">
      <c r="A685" s="7"/>
      <c r="B685" s="7"/>
      <c r="C685" s="7"/>
      <c r="D685" s="7"/>
      <c r="E685" s="19"/>
      <c r="F685" s="19"/>
      <c r="G685" s="19"/>
      <c r="H685" s="19"/>
      <c r="I685" s="19"/>
      <c r="J685" s="7"/>
      <c r="K685" s="19"/>
      <c r="L685" s="7"/>
      <c r="M685" s="7"/>
      <c r="N685" s="7"/>
      <c r="O685" s="7"/>
      <c r="P685" s="7"/>
      <c r="Q685" s="7"/>
      <c r="R685" s="7"/>
      <c r="S685" s="7"/>
      <c r="T685" s="7"/>
      <c r="U685" s="7"/>
      <c r="V685" s="388"/>
      <c r="W685" s="388"/>
      <c r="X685" s="388"/>
      <c r="Y685" s="7"/>
      <c r="Z685" s="7"/>
      <c r="AA685" s="7"/>
      <c r="AB685" s="7"/>
      <c r="AC685" s="7"/>
      <c r="AD685" s="7"/>
      <c r="AE685" s="7"/>
      <c r="AF685" s="7"/>
      <c r="AG685" s="7"/>
      <c r="AH685" s="7"/>
      <c r="AI685" s="7"/>
      <c r="AJ685" s="19"/>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row>
    <row r="686">
      <c r="A686" s="7"/>
      <c r="B686" s="7"/>
      <c r="C686" s="7"/>
      <c r="D686" s="7"/>
      <c r="E686" s="19"/>
      <c r="F686" s="19"/>
      <c r="G686" s="19"/>
      <c r="H686" s="19"/>
      <c r="I686" s="19"/>
      <c r="J686" s="7"/>
      <c r="K686" s="19"/>
      <c r="L686" s="7"/>
      <c r="M686" s="7"/>
      <c r="N686" s="7"/>
      <c r="O686" s="7"/>
      <c r="P686" s="7"/>
      <c r="Q686" s="7"/>
      <c r="R686" s="7"/>
      <c r="S686" s="7"/>
      <c r="T686" s="7"/>
      <c r="U686" s="7"/>
      <c r="V686" s="388"/>
      <c r="W686" s="388"/>
      <c r="X686" s="388"/>
      <c r="Y686" s="7"/>
      <c r="Z686" s="7"/>
      <c r="AA686" s="7"/>
      <c r="AB686" s="7"/>
      <c r="AC686" s="7"/>
      <c r="AD686" s="7"/>
      <c r="AE686" s="7"/>
      <c r="AF686" s="7"/>
      <c r="AG686" s="7"/>
      <c r="AH686" s="7"/>
      <c r="AI686" s="7"/>
      <c r="AJ686" s="19"/>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row>
    <row r="687">
      <c r="A687" s="7"/>
      <c r="B687" s="7"/>
      <c r="C687" s="7"/>
      <c r="D687" s="7"/>
      <c r="E687" s="19"/>
      <c r="F687" s="19"/>
      <c r="G687" s="19"/>
      <c r="H687" s="19"/>
      <c r="I687" s="19"/>
      <c r="J687" s="7"/>
      <c r="K687" s="19"/>
      <c r="L687" s="7"/>
      <c r="M687" s="7"/>
      <c r="N687" s="7"/>
      <c r="O687" s="7"/>
      <c r="P687" s="7"/>
      <c r="Q687" s="7"/>
      <c r="R687" s="7"/>
      <c r="S687" s="7"/>
      <c r="T687" s="7"/>
      <c r="U687" s="7"/>
      <c r="V687" s="388"/>
      <c r="W687" s="388"/>
      <c r="X687" s="388"/>
      <c r="Y687" s="7"/>
      <c r="Z687" s="7"/>
      <c r="AA687" s="7"/>
      <c r="AB687" s="7"/>
      <c r="AC687" s="7"/>
      <c r="AD687" s="7"/>
      <c r="AE687" s="7"/>
      <c r="AF687" s="7"/>
      <c r="AG687" s="7"/>
      <c r="AH687" s="7"/>
      <c r="AI687" s="7"/>
      <c r="AJ687" s="19"/>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row>
    <row r="688">
      <c r="A688" s="7"/>
      <c r="B688" s="7"/>
      <c r="C688" s="7"/>
      <c r="D688" s="7"/>
      <c r="E688" s="19"/>
      <c r="F688" s="19"/>
      <c r="G688" s="19"/>
      <c r="H688" s="19"/>
      <c r="I688" s="19"/>
      <c r="J688" s="7"/>
      <c r="K688" s="19"/>
      <c r="L688" s="7"/>
      <c r="M688" s="7"/>
      <c r="N688" s="7"/>
      <c r="O688" s="7"/>
      <c r="P688" s="7"/>
      <c r="Q688" s="7"/>
      <c r="R688" s="7"/>
      <c r="S688" s="7"/>
      <c r="T688" s="7"/>
      <c r="U688" s="7"/>
      <c r="V688" s="388"/>
      <c r="W688" s="388"/>
      <c r="X688" s="388"/>
      <c r="Y688" s="7"/>
      <c r="Z688" s="7"/>
      <c r="AA688" s="7"/>
      <c r="AB688" s="7"/>
      <c r="AC688" s="7"/>
      <c r="AD688" s="7"/>
      <c r="AE688" s="7"/>
      <c r="AF688" s="7"/>
      <c r="AG688" s="7"/>
      <c r="AH688" s="7"/>
      <c r="AI688" s="7"/>
      <c r="AJ688" s="19"/>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row>
    <row r="689">
      <c r="A689" s="7"/>
      <c r="B689" s="7"/>
      <c r="C689" s="7"/>
      <c r="D689" s="7"/>
      <c r="E689" s="19"/>
      <c r="F689" s="19"/>
      <c r="G689" s="19"/>
      <c r="H689" s="19"/>
      <c r="I689" s="19"/>
      <c r="J689" s="7"/>
      <c r="K689" s="19"/>
      <c r="L689" s="7"/>
      <c r="M689" s="7"/>
      <c r="N689" s="7"/>
      <c r="O689" s="7"/>
      <c r="P689" s="7"/>
      <c r="Q689" s="7"/>
      <c r="R689" s="7"/>
      <c r="S689" s="7"/>
      <c r="T689" s="7"/>
      <c r="U689" s="7"/>
      <c r="V689" s="388"/>
      <c r="W689" s="388"/>
      <c r="X689" s="388"/>
      <c r="Y689" s="7"/>
      <c r="Z689" s="7"/>
      <c r="AA689" s="7"/>
      <c r="AB689" s="7"/>
      <c r="AC689" s="7"/>
      <c r="AD689" s="7"/>
      <c r="AE689" s="7"/>
      <c r="AF689" s="7"/>
      <c r="AG689" s="7"/>
      <c r="AH689" s="7"/>
      <c r="AI689" s="7"/>
      <c r="AJ689" s="19"/>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row>
    <row r="690">
      <c r="A690" s="7"/>
      <c r="B690" s="7"/>
      <c r="C690" s="7"/>
      <c r="D690" s="7"/>
      <c r="E690" s="19"/>
      <c r="F690" s="19"/>
      <c r="G690" s="19"/>
      <c r="H690" s="19"/>
      <c r="I690" s="19"/>
      <c r="J690" s="7"/>
      <c r="K690" s="19"/>
      <c r="L690" s="7"/>
      <c r="M690" s="7"/>
      <c r="N690" s="7"/>
      <c r="O690" s="7"/>
      <c r="P690" s="7"/>
      <c r="Q690" s="7"/>
      <c r="R690" s="7"/>
      <c r="S690" s="7"/>
      <c r="T690" s="7"/>
      <c r="U690" s="7"/>
      <c r="V690" s="388"/>
      <c r="W690" s="388"/>
      <c r="X690" s="388"/>
      <c r="Y690" s="7"/>
      <c r="Z690" s="7"/>
      <c r="AA690" s="7"/>
      <c r="AB690" s="7"/>
      <c r="AC690" s="7"/>
      <c r="AD690" s="7"/>
      <c r="AE690" s="7"/>
      <c r="AF690" s="7"/>
      <c r="AG690" s="7"/>
      <c r="AH690" s="7"/>
      <c r="AI690" s="7"/>
      <c r="AJ690" s="19"/>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row>
    <row r="691">
      <c r="A691" s="7"/>
      <c r="B691" s="7"/>
      <c r="C691" s="7"/>
      <c r="D691" s="7"/>
      <c r="E691" s="19"/>
      <c r="F691" s="19"/>
      <c r="G691" s="19"/>
      <c r="H691" s="19"/>
      <c r="I691" s="19"/>
      <c r="J691" s="7"/>
      <c r="K691" s="19"/>
      <c r="L691" s="7"/>
      <c r="M691" s="7"/>
      <c r="N691" s="7"/>
      <c r="O691" s="7"/>
      <c r="P691" s="7"/>
      <c r="Q691" s="7"/>
      <c r="R691" s="7"/>
      <c r="S691" s="7"/>
      <c r="T691" s="7"/>
      <c r="U691" s="7"/>
      <c r="V691" s="388"/>
      <c r="W691" s="388"/>
      <c r="X691" s="388"/>
      <c r="Y691" s="7"/>
      <c r="Z691" s="7"/>
      <c r="AA691" s="7"/>
      <c r="AB691" s="7"/>
      <c r="AC691" s="7"/>
      <c r="AD691" s="7"/>
      <c r="AE691" s="7"/>
      <c r="AF691" s="7"/>
      <c r="AG691" s="7"/>
      <c r="AH691" s="7"/>
      <c r="AI691" s="7"/>
      <c r="AJ691" s="19"/>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row>
    <row r="692">
      <c r="A692" s="7"/>
      <c r="B692" s="7"/>
      <c r="C692" s="7"/>
      <c r="D692" s="7"/>
      <c r="E692" s="19"/>
      <c r="F692" s="19"/>
      <c r="G692" s="19"/>
      <c r="H692" s="19"/>
      <c r="I692" s="19"/>
      <c r="J692" s="7"/>
      <c r="K692" s="19"/>
      <c r="L692" s="7"/>
      <c r="M692" s="7"/>
      <c r="N692" s="7"/>
      <c r="O692" s="7"/>
      <c r="P692" s="7"/>
      <c r="Q692" s="7"/>
      <c r="R692" s="7"/>
      <c r="S692" s="7"/>
      <c r="T692" s="7"/>
      <c r="U692" s="7"/>
      <c r="V692" s="388"/>
      <c r="W692" s="388"/>
      <c r="X692" s="388"/>
      <c r="Y692" s="7"/>
      <c r="Z692" s="7"/>
      <c r="AA692" s="7"/>
      <c r="AB692" s="7"/>
      <c r="AC692" s="7"/>
      <c r="AD692" s="7"/>
      <c r="AE692" s="7"/>
      <c r="AF692" s="7"/>
      <c r="AG692" s="7"/>
      <c r="AH692" s="7"/>
      <c r="AI692" s="7"/>
      <c r="AJ692" s="19"/>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row>
    <row r="693">
      <c r="A693" s="7"/>
      <c r="B693" s="7"/>
      <c r="C693" s="7"/>
      <c r="D693" s="7"/>
      <c r="E693" s="19"/>
      <c r="F693" s="19"/>
      <c r="G693" s="19"/>
      <c r="H693" s="19"/>
      <c r="I693" s="19"/>
      <c r="J693" s="7"/>
      <c r="K693" s="19"/>
      <c r="L693" s="7"/>
      <c r="M693" s="7"/>
      <c r="N693" s="7"/>
      <c r="O693" s="7"/>
      <c r="P693" s="7"/>
      <c r="Q693" s="7"/>
      <c r="R693" s="7"/>
      <c r="S693" s="7"/>
      <c r="T693" s="7"/>
      <c r="U693" s="7"/>
      <c r="V693" s="388"/>
      <c r="W693" s="388"/>
      <c r="X693" s="388"/>
      <c r="Y693" s="7"/>
      <c r="Z693" s="7"/>
      <c r="AA693" s="7"/>
      <c r="AB693" s="7"/>
      <c r="AC693" s="7"/>
      <c r="AD693" s="7"/>
      <c r="AE693" s="7"/>
      <c r="AF693" s="7"/>
      <c r="AG693" s="7"/>
      <c r="AH693" s="7"/>
      <c r="AI693" s="7"/>
      <c r="AJ693" s="19"/>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row>
    <row r="694">
      <c r="A694" s="7"/>
      <c r="B694" s="7"/>
      <c r="C694" s="7"/>
      <c r="D694" s="7"/>
      <c r="E694" s="19"/>
      <c r="F694" s="19"/>
      <c r="G694" s="19"/>
      <c r="H694" s="19"/>
      <c r="I694" s="19"/>
      <c r="J694" s="7"/>
      <c r="K694" s="19"/>
      <c r="L694" s="7"/>
      <c r="M694" s="7"/>
      <c r="N694" s="7"/>
      <c r="O694" s="7"/>
      <c r="P694" s="7"/>
      <c r="Q694" s="7"/>
      <c r="R694" s="7"/>
      <c r="S694" s="7"/>
      <c r="T694" s="7"/>
      <c r="U694" s="7"/>
      <c r="V694" s="388"/>
      <c r="W694" s="388"/>
      <c r="X694" s="388"/>
      <c r="Y694" s="7"/>
      <c r="Z694" s="7"/>
      <c r="AA694" s="7"/>
      <c r="AB694" s="7"/>
      <c r="AC694" s="7"/>
      <c r="AD694" s="7"/>
      <c r="AE694" s="7"/>
      <c r="AF694" s="7"/>
      <c r="AG694" s="7"/>
      <c r="AH694" s="7"/>
      <c r="AI694" s="7"/>
      <c r="AJ694" s="19"/>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row>
    <row r="695">
      <c r="A695" s="7"/>
      <c r="B695" s="7"/>
      <c r="C695" s="7"/>
      <c r="D695" s="7"/>
      <c r="E695" s="19"/>
      <c r="F695" s="19"/>
      <c r="G695" s="19"/>
      <c r="H695" s="19"/>
      <c r="I695" s="19"/>
      <c r="J695" s="7"/>
      <c r="K695" s="19"/>
      <c r="L695" s="7"/>
      <c r="M695" s="7"/>
      <c r="N695" s="7"/>
      <c r="O695" s="7"/>
      <c r="P695" s="7"/>
      <c r="Q695" s="7"/>
      <c r="R695" s="7"/>
      <c r="S695" s="7"/>
      <c r="T695" s="7"/>
      <c r="U695" s="7"/>
      <c r="V695" s="388"/>
      <c r="W695" s="388"/>
      <c r="X695" s="388"/>
      <c r="Y695" s="7"/>
      <c r="Z695" s="7"/>
      <c r="AA695" s="7"/>
      <c r="AB695" s="7"/>
      <c r="AC695" s="7"/>
      <c r="AD695" s="7"/>
      <c r="AE695" s="7"/>
      <c r="AF695" s="7"/>
      <c r="AG695" s="7"/>
      <c r="AH695" s="7"/>
      <c r="AI695" s="7"/>
      <c r="AJ695" s="19"/>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row>
    <row r="696">
      <c r="A696" s="7"/>
      <c r="B696" s="7"/>
      <c r="C696" s="7"/>
      <c r="D696" s="7"/>
      <c r="E696" s="19"/>
      <c r="F696" s="19"/>
      <c r="G696" s="19"/>
      <c r="H696" s="19"/>
      <c r="I696" s="19"/>
      <c r="J696" s="7"/>
      <c r="K696" s="19"/>
      <c r="L696" s="7"/>
      <c r="M696" s="7"/>
      <c r="N696" s="7"/>
      <c r="O696" s="7"/>
      <c r="P696" s="7"/>
      <c r="Q696" s="7"/>
      <c r="R696" s="7"/>
      <c r="S696" s="7"/>
      <c r="T696" s="7"/>
      <c r="U696" s="7"/>
      <c r="V696" s="388"/>
      <c r="W696" s="388"/>
      <c r="X696" s="388"/>
      <c r="Y696" s="7"/>
      <c r="Z696" s="7"/>
      <c r="AA696" s="7"/>
      <c r="AB696" s="7"/>
      <c r="AC696" s="7"/>
      <c r="AD696" s="7"/>
      <c r="AE696" s="7"/>
      <c r="AF696" s="7"/>
      <c r="AG696" s="7"/>
      <c r="AH696" s="7"/>
      <c r="AI696" s="7"/>
      <c r="AJ696" s="19"/>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row>
    <row r="697">
      <c r="A697" s="7"/>
      <c r="B697" s="7"/>
      <c r="C697" s="7"/>
      <c r="D697" s="7"/>
      <c r="E697" s="19"/>
      <c r="F697" s="19"/>
      <c r="G697" s="19"/>
      <c r="H697" s="19"/>
      <c r="I697" s="19"/>
      <c r="J697" s="7"/>
      <c r="K697" s="19"/>
      <c r="L697" s="7"/>
      <c r="M697" s="7"/>
      <c r="N697" s="7"/>
      <c r="O697" s="7"/>
      <c r="P697" s="7"/>
      <c r="Q697" s="7"/>
      <c r="R697" s="7"/>
      <c r="S697" s="7"/>
      <c r="T697" s="7"/>
      <c r="U697" s="7"/>
      <c r="V697" s="388"/>
      <c r="W697" s="388"/>
      <c r="X697" s="388"/>
      <c r="Y697" s="7"/>
      <c r="Z697" s="7"/>
      <c r="AA697" s="7"/>
      <c r="AB697" s="7"/>
      <c r="AC697" s="7"/>
      <c r="AD697" s="7"/>
      <c r="AE697" s="7"/>
      <c r="AF697" s="7"/>
      <c r="AG697" s="7"/>
      <c r="AH697" s="7"/>
      <c r="AI697" s="7"/>
      <c r="AJ697" s="19"/>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row>
    <row r="698">
      <c r="A698" s="7"/>
      <c r="B698" s="7"/>
      <c r="C698" s="7"/>
      <c r="D698" s="7"/>
      <c r="E698" s="19"/>
      <c r="F698" s="19"/>
      <c r="G698" s="19"/>
      <c r="H698" s="19"/>
      <c r="I698" s="19"/>
      <c r="J698" s="7"/>
      <c r="K698" s="19"/>
      <c r="L698" s="7"/>
      <c r="M698" s="7"/>
      <c r="N698" s="7"/>
      <c r="O698" s="7"/>
      <c r="P698" s="7"/>
      <c r="Q698" s="7"/>
      <c r="R698" s="7"/>
      <c r="S698" s="7"/>
      <c r="T698" s="7"/>
      <c r="U698" s="7"/>
      <c r="V698" s="388"/>
      <c r="W698" s="388"/>
      <c r="X698" s="388"/>
      <c r="Y698" s="7"/>
      <c r="Z698" s="7"/>
      <c r="AA698" s="7"/>
      <c r="AB698" s="7"/>
      <c r="AC698" s="7"/>
      <c r="AD698" s="7"/>
      <c r="AE698" s="7"/>
      <c r="AF698" s="7"/>
      <c r="AG698" s="7"/>
      <c r="AH698" s="7"/>
      <c r="AI698" s="7"/>
      <c r="AJ698" s="19"/>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row>
    <row r="699">
      <c r="A699" s="7"/>
      <c r="B699" s="7"/>
      <c r="C699" s="7"/>
      <c r="D699" s="7"/>
      <c r="E699" s="19"/>
      <c r="F699" s="19"/>
      <c r="G699" s="19"/>
      <c r="H699" s="19"/>
      <c r="I699" s="19"/>
      <c r="J699" s="7"/>
      <c r="K699" s="19"/>
      <c r="L699" s="7"/>
      <c r="M699" s="7"/>
      <c r="N699" s="7"/>
      <c r="O699" s="7"/>
      <c r="P699" s="7"/>
      <c r="Q699" s="7"/>
      <c r="R699" s="7"/>
      <c r="S699" s="7"/>
      <c r="T699" s="7"/>
      <c r="U699" s="7"/>
      <c r="V699" s="388"/>
      <c r="W699" s="388"/>
      <c r="X699" s="388"/>
      <c r="Y699" s="7"/>
      <c r="Z699" s="7"/>
      <c r="AA699" s="7"/>
      <c r="AB699" s="7"/>
      <c r="AC699" s="7"/>
      <c r="AD699" s="7"/>
      <c r="AE699" s="7"/>
      <c r="AF699" s="7"/>
      <c r="AG699" s="7"/>
      <c r="AH699" s="7"/>
      <c r="AI699" s="7"/>
      <c r="AJ699" s="19"/>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row>
    <row r="700">
      <c r="A700" s="7"/>
      <c r="B700" s="7"/>
      <c r="C700" s="7"/>
      <c r="D700" s="7"/>
      <c r="E700" s="19"/>
      <c r="F700" s="19"/>
      <c r="G700" s="19"/>
      <c r="H700" s="19"/>
      <c r="I700" s="19"/>
      <c r="J700" s="7"/>
      <c r="K700" s="19"/>
      <c r="L700" s="7"/>
      <c r="M700" s="7"/>
      <c r="N700" s="7"/>
      <c r="O700" s="7"/>
      <c r="P700" s="7"/>
      <c r="Q700" s="7"/>
      <c r="R700" s="7"/>
      <c r="S700" s="7"/>
      <c r="T700" s="7"/>
      <c r="U700" s="7"/>
      <c r="V700" s="388"/>
      <c r="W700" s="388"/>
      <c r="X700" s="388"/>
      <c r="Y700" s="7"/>
      <c r="Z700" s="7"/>
      <c r="AA700" s="7"/>
      <c r="AB700" s="7"/>
      <c r="AC700" s="7"/>
      <c r="AD700" s="7"/>
      <c r="AE700" s="7"/>
      <c r="AF700" s="7"/>
      <c r="AG700" s="7"/>
      <c r="AH700" s="7"/>
      <c r="AI700" s="7"/>
      <c r="AJ700" s="19"/>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row>
    <row r="701">
      <c r="A701" s="7"/>
      <c r="B701" s="7"/>
      <c r="C701" s="7"/>
      <c r="D701" s="7"/>
      <c r="E701" s="19"/>
      <c r="F701" s="19"/>
      <c r="G701" s="19"/>
      <c r="H701" s="19"/>
      <c r="I701" s="19"/>
      <c r="J701" s="7"/>
      <c r="K701" s="19"/>
      <c r="L701" s="7"/>
      <c r="M701" s="7"/>
      <c r="N701" s="7"/>
      <c r="O701" s="7"/>
      <c r="P701" s="7"/>
      <c r="Q701" s="7"/>
      <c r="R701" s="7"/>
      <c r="S701" s="7"/>
      <c r="T701" s="7"/>
      <c r="U701" s="7"/>
      <c r="V701" s="388"/>
      <c r="W701" s="388"/>
      <c r="X701" s="388"/>
      <c r="Y701" s="7"/>
      <c r="Z701" s="7"/>
      <c r="AA701" s="7"/>
      <c r="AB701" s="7"/>
      <c r="AC701" s="7"/>
      <c r="AD701" s="7"/>
      <c r="AE701" s="7"/>
      <c r="AF701" s="7"/>
      <c r="AG701" s="7"/>
      <c r="AH701" s="7"/>
      <c r="AI701" s="7"/>
      <c r="AJ701" s="19"/>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row>
    <row r="702">
      <c r="A702" s="7"/>
      <c r="B702" s="7"/>
      <c r="C702" s="7"/>
      <c r="D702" s="7"/>
      <c r="E702" s="19"/>
      <c r="F702" s="19"/>
      <c r="G702" s="19"/>
      <c r="H702" s="19"/>
      <c r="I702" s="19"/>
      <c r="J702" s="7"/>
      <c r="K702" s="19"/>
      <c r="L702" s="7"/>
      <c r="M702" s="7"/>
      <c r="N702" s="7"/>
      <c r="O702" s="7"/>
      <c r="P702" s="7"/>
      <c r="Q702" s="7"/>
      <c r="R702" s="7"/>
      <c r="S702" s="7"/>
      <c r="T702" s="7"/>
      <c r="U702" s="7"/>
      <c r="V702" s="388"/>
      <c r="W702" s="388"/>
      <c r="X702" s="388"/>
      <c r="Y702" s="7"/>
      <c r="Z702" s="7"/>
      <c r="AA702" s="7"/>
      <c r="AB702" s="7"/>
      <c r="AC702" s="7"/>
      <c r="AD702" s="7"/>
      <c r="AE702" s="7"/>
      <c r="AF702" s="7"/>
      <c r="AG702" s="7"/>
      <c r="AH702" s="7"/>
      <c r="AI702" s="7"/>
      <c r="AJ702" s="19"/>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row>
    <row r="703">
      <c r="A703" s="7"/>
      <c r="B703" s="7"/>
      <c r="C703" s="7"/>
      <c r="D703" s="7"/>
      <c r="E703" s="19"/>
      <c r="F703" s="19"/>
      <c r="G703" s="19"/>
      <c r="H703" s="19"/>
      <c r="I703" s="19"/>
      <c r="J703" s="7"/>
      <c r="K703" s="19"/>
      <c r="L703" s="7"/>
      <c r="M703" s="7"/>
      <c r="N703" s="7"/>
      <c r="O703" s="7"/>
      <c r="P703" s="7"/>
      <c r="Q703" s="7"/>
      <c r="R703" s="7"/>
      <c r="S703" s="7"/>
      <c r="T703" s="7"/>
      <c r="U703" s="7"/>
      <c r="V703" s="388"/>
      <c r="W703" s="388"/>
      <c r="X703" s="388"/>
      <c r="Y703" s="7"/>
      <c r="Z703" s="7"/>
      <c r="AA703" s="7"/>
      <c r="AB703" s="7"/>
      <c r="AC703" s="7"/>
      <c r="AD703" s="7"/>
      <c r="AE703" s="7"/>
      <c r="AF703" s="7"/>
      <c r="AG703" s="7"/>
      <c r="AH703" s="7"/>
      <c r="AI703" s="7"/>
      <c r="AJ703" s="19"/>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row>
    <row r="704">
      <c r="A704" s="7"/>
      <c r="B704" s="7"/>
      <c r="C704" s="7"/>
      <c r="D704" s="7"/>
      <c r="E704" s="19"/>
      <c r="F704" s="19"/>
      <c r="G704" s="19"/>
      <c r="H704" s="19"/>
      <c r="I704" s="19"/>
      <c r="J704" s="7"/>
      <c r="K704" s="19"/>
      <c r="L704" s="7"/>
      <c r="M704" s="7"/>
      <c r="N704" s="7"/>
      <c r="O704" s="7"/>
      <c r="P704" s="7"/>
      <c r="Q704" s="7"/>
      <c r="R704" s="7"/>
      <c r="S704" s="7"/>
      <c r="T704" s="7"/>
      <c r="U704" s="7"/>
      <c r="V704" s="388"/>
      <c r="W704" s="388"/>
      <c r="X704" s="388"/>
      <c r="Y704" s="7"/>
      <c r="Z704" s="7"/>
      <c r="AA704" s="7"/>
      <c r="AB704" s="7"/>
      <c r="AC704" s="7"/>
      <c r="AD704" s="7"/>
      <c r="AE704" s="7"/>
      <c r="AF704" s="7"/>
      <c r="AG704" s="7"/>
      <c r="AH704" s="7"/>
      <c r="AI704" s="7"/>
      <c r="AJ704" s="19"/>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row>
    <row r="705">
      <c r="A705" s="7"/>
      <c r="B705" s="7"/>
      <c r="C705" s="7"/>
      <c r="D705" s="7"/>
      <c r="E705" s="19"/>
      <c r="F705" s="19"/>
      <c r="G705" s="19"/>
      <c r="H705" s="19"/>
      <c r="I705" s="19"/>
      <c r="J705" s="7"/>
      <c r="K705" s="19"/>
      <c r="L705" s="7"/>
      <c r="M705" s="7"/>
      <c r="N705" s="7"/>
      <c r="O705" s="7"/>
      <c r="P705" s="7"/>
      <c r="Q705" s="7"/>
      <c r="R705" s="7"/>
      <c r="S705" s="7"/>
      <c r="T705" s="7"/>
      <c r="U705" s="7"/>
      <c r="V705" s="388"/>
      <c r="W705" s="388"/>
      <c r="X705" s="388"/>
      <c r="Y705" s="7"/>
      <c r="Z705" s="7"/>
      <c r="AA705" s="7"/>
      <c r="AB705" s="7"/>
      <c r="AC705" s="7"/>
      <c r="AD705" s="7"/>
      <c r="AE705" s="7"/>
      <c r="AF705" s="7"/>
      <c r="AG705" s="7"/>
      <c r="AH705" s="7"/>
      <c r="AI705" s="7"/>
      <c r="AJ705" s="19"/>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row>
    <row r="706">
      <c r="A706" s="7"/>
      <c r="B706" s="7"/>
      <c r="C706" s="7"/>
      <c r="D706" s="7"/>
      <c r="E706" s="19"/>
      <c r="F706" s="19"/>
      <c r="G706" s="19"/>
      <c r="H706" s="19"/>
      <c r="I706" s="19"/>
      <c r="J706" s="7"/>
      <c r="K706" s="19"/>
      <c r="L706" s="7"/>
      <c r="M706" s="7"/>
      <c r="N706" s="7"/>
      <c r="O706" s="7"/>
      <c r="P706" s="7"/>
      <c r="Q706" s="7"/>
      <c r="R706" s="7"/>
      <c r="S706" s="7"/>
      <c r="T706" s="7"/>
      <c r="U706" s="7"/>
      <c r="V706" s="388"/>
      <c r="W706" s="388"/>
      <c r="X706" s="388"/>
      <c r="Y706" s="7"/>
      <c r="Z706" s="7"/>
      <c r="AA706" s="7"/>
      <c r="AB706" s="7"/>
      <c r="AC706" s="7"/>
      <c r="AD706" s="7"/>
      <c r="AE706" s="7"/>
      <c r="AF706" s="7"/>
      <c r="AG706" s="7"/>
      <c r="AH706" s="7"/>
      <c r="AI706" s="7"/>
      <c r="AJ706" s="19"/>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row>
    <row r="707">
      <c r="A707" s="7"/>
      <c r="B707" s="7"/>
      <c r="C707" s="7"/>
      <c r="D707" s="7"/>
      <c r="E707" s="19"/>
      <c r="F707" s="19"/>
      <c r="G707" s="19"/>
      <c r="H707" s="19"/>
      <c r="I707" s="19"/>
      <c r="J707" s="7"/>
      <c r="K707" s="19"/>
      <c r="L707" s="7"/>
      <c r="M707" s="7"/>
      <c r="N707" s="7"/>
      <c r="O707" s="7"/>
      <c r="P707" s="7"/>
      <c r="Q707" s="7"/>
      <c r="R707" s="7"/>
      <c r="S707" s="7"/>
      <c r="T707" s="7"/>
      <c r="U707" s="7"/>
      <c r="V707" s="388"/>
      <c r="W707" s="388"/>
      <c r="X707" s="388"/>
      <c r="Y707" s="7"/>
      <c r="Z707" s="7"/>
      <c r="AA707" s="7"/>
      <c r="AB707" s="7"/>
      <c r="AC707" s="7"/>
      <c r="AD707" s="7"/>
      <c r="AE707" s="7"/>
      <c r="AF707" s="7"/>
      <c r="AG707" s="7"/>
      <c r="AH707" s="7"/>
      <c r="AI707" s="7"/>
      <c r="AJ707" s="19"/>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row>
    <row r="708">
      <c r="A708" s="7"/>
      <c r="B708" s="7"/>
      <c r="C708" s="7"/>
      <c r="D708" s="7"/>
      <c r="E708" s="19"/>
      <c r="F708" s="19"/>
      <c r="G708" s="19"/>
      <c r="H708" s="19"/>
      <c r="I708" s="19"/>
      <c r="J708" s="7"/>
      <c r="K708" s="19"/>
      <c r="L708" s="7"/>
      <c r="M708" s="7"/>
      <c r="N708" s="7"/>
      <c r="O708" s="7"/>
      <c r="P708" s="7"/>
      <c r="Q708" s="7"/>
      <c r="R708" s="7"/>
      <c r="S708" s="7"/>
      <c r="T708" s="7"/>
      <c r="U708" s="7"/>
      <c r="V708" s="388"/>
      <c r="W708" s="388"/>
      <c r="X708" s="388"/>
      <c r="Y708" s="7"/>
      <c r="Z708" s="7"/>
      <c r="AA708" s="7"/>
      <c r="AB708" s="7"/>
      <c r="AC708" s="7"/>
      <c r="AD708" s="7"/>
      <c r="AE708" s="7"/>
      <c r="AF708" s="7"/>
      <c r="AG708" s="7"/>
      <c r="AH708" s="7"/>
      <c r="AI708" s="7"/>
      <c r="AJ708" s="19"/>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row>
    <row r="709">
      <c r="A709" s="7"/>
      <c r="B709" s="7"/>
      <c r="C709" s="7"/>
      <c r="D709" s="7"/>
      <c r="E709" s="19"/>
      <c r="F709" s="19"/>
      <c r="G709" s="19"/>
      <c r="H709" s="19"/>
      <c r="I709" s="19"/>
      <c r="J709" s="7"/>
      <c r="K709" s="19"/>
      <c r="L709" s="7"/>
      <c r="M709" s="7"/>
      <c r="N709" s="7"/>
      <c r="O709" s="7"/>
      <c r="P709" s="7"/>
      <c r="Q709" s="7"/>
      <c r="R709" s="7"/>
      <c r="S709" s="7"/>
      <c r="T709" s="7"/>
      <c r="U709" s="7"/>
      <c r="V709" s="388"/>
      <c r="W709" s="388"/>
      <c r="X709" s="388"/>
      <c r="Y709" s="7"/>
      <c r="Z709" s="7"/>
      <c r="AA709" s="7"/>
      <c r="AB709" s="7"/>
      <c r="AC709" s="7"/>
      <c r="AD709" s="7"/>
      <c r="AE709" s="7"/>
      <c r="AF709" s="7"/>
      <c r="AG709" s="7"/>
      <c r="AH709" s="7"/>
      <c r="AI709" s="7"/>
      <c r="AJ709" s="19"/>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row>
    <row r="710">
      <c r="A710" s="7"/>
      <c r="B710" s="7"/>
      <c r="C710" s="7"/>
      <c r="D710" s="7"/>
      <c r="E710" s="19"/>
      <c r="F710" s="19"/>
      <c r="G710" s="19"/>
      <c r="H710" s="19"/>
      <c r="I710" s="19"/>
      <c r="J710" s="7"/>
      <c r="K710" s="19"/>
      <c r="L710" s="7"/>
      <c r="M710" s="7"/>
      <c r="N710" s="7"/>
      <c r="O710" s="7"/>
      <c r="P710" s="7"/>
      <c r="Q710" s="7"/>
      <c r="R710" s="7"/>
      <c r="S710" s="7"/>
      <c r="T710" s="7"/>
      <c r="U710" s="7"/>
      <c r="V710" s="388"/>
      <c r="W710" s="388"/>
      <c r="X710" s="388"/>
      <c r="Y710" s="7"/>
      <c r="Z710" s="7"/>
      <c r="AA710" s="7"/>
      <c r="AB710" s="7"/>
      <c r="AC710" s="7"/>
      <c r="AD710" s="7"/>
      <c r="AE710" s="7"/>
      <c r="AF710" s="7"/>
      <c r="AG710" s="7"/>
      <c r="AH710" s="7"/>
      <c r="AI710" s="7"/>
      <c r="AJ710" s="19"/>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row>
    <row r="711">
      <c r="A711" s="7"/>
      <c r="B711" s="7"/>
      <c r="C711" s="7"/>
      <c r="D711" s="7"/>
      <c r="E711" s="19"/>
      <c r="F711" s="19"/>
      <c r="G711" s="19"/>
      <c r="H711" s="19"/>
      <c r="I711" s="19"/>
      <c r="J711" s="7"/>
      <c r="K711" s="19"/>
      <c r="L711" s="7"/>
      <c r="M711" s="7"/>
      <c r="N711" s="7"/>
      <c r="O711" s="7"/>
      <c r="P711" s="7"/>
      <c r="Q711" s="7"/>
      <c r="R711" s="7"/>
      <c r="S711" s="7"/>
      <c r="T711" s="7"/>
      <c r="U711" s="7"/>
      <c r="V711" s="388"/>
      <c r="W711" s="388"/>
      <c r="X711" s="388"/>
      <c r="Y711" s="7"/>
      <c r="Z711" s="7"/>
      <c r="AA711" s="7"/>
      <c r="AB711" s="7"/>
      <c r="AC711" s="7"/>
      <c r="AD711" s="7"/>
      <c r="AE711" s="7"/>
      <c r="AF711" s="7"/>
      <c r="AG711" s="7"/>
      <c r="AH711" s="7"/>
      <c r="AI711" s="7"/>
      <c r="AJ711" s="19"/>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row>
    <row r="712">
      <c r="A712" s="7"/>
      <c r="B712" s="7"/>
      <c r="C712" s="7"/>
      <c r="D712" s="7"/>
      <c r="E712" s="19"/>
      <c r="F712" s="19"/>
      <c r="G712" s="19"/>
      <c r="H712" s="19"/>
      <c r="I712" s="19"/>
      <c r="J712" s="7"/>
      <c r="K712" s="19"/>
      <c r="L712" s="7"/>
      <c r="M712" s="7"/>
      <c r="N712" s="7"/>
      <c r="O712" s="7"/>
      <c r="P712" s="7"/>
      <c r="Q712" s="7"/>
      <c r="R712" s="7"/>
      <c r="S712" s="7"/>
      <c r="T712" s="7"/>
      <c r="U712" s="7"/>
      <c r="V712" s="388"/>
      <c r="W712" s="388"/>
      <c r="X712" s="388"/>
      <c r="Y712" s="7"/>
      <c r="Z712" s="7"/>
      <c r="AA712" s="7"/>
      <c r="AB712" s="7"/>
      <c r="AC712" s="7"/>
      <c r="AD712" s="7"/>
      <c r="AE712" s="7"/>
      <c r="AF712" s="7"/>
      <c r="AG712" s="7"/>
      <c r="AH712" s="7"/>
      <c r="AI712" s="7"/>
      <c r="AJ712" s="19"/>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row>
    <row r="713">
      <c r="A713" s="7"/>
      <c r="B713" s="7"/>
      <c r="C713" s="7"/>
      <c r="D713" s="7"/>
      <c r="E713" s="19"/>
      <c r="F713" s="19"/>
      <c r="G713" s="19"/>
      <c r="H713" s="19"/>
      <c r="I713" s="19"/>
      <c r="J713" s="7"/>
      <c r="K713" s="19"/>
      <c r="L713" s="7"/>
      <c r="M713" s="7"/>
      <c r="N713" s="7"/>
      <c r="O713" s="7"/>
      <c r="P713" s="7"/>
      <c r="Q713" s="7"/>
      <c r="R713" s="7"/>
      <c r="S713" s="7"/>
      <c r="T713" s="7"/>
      <c r="U713" s="7"/>
      <c r="V713" s="388"/>
      <c r="W713" s="388"/>
      <c r="X713" s="388"/>
      <c r="Y713" s="7"/>
      <c r="Z713" s="7"/>
      <c r="AA713" s="7"/>
      <c r="AB713" s="7"/>
      <c r="AC713" s="7"/>
      <c r="AD713" s="7"/>
      <c r="AE713" s="7"/>
      <c r="AF713" s="7"/>
      <c r="AG713" s="7"/>
      <c r="AH713" s="7"/>
      <c r="AI713" s="7"/>
      <c r="AJ713" s="19"/>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row>
    <row r="714">
      <c r="A714" s="7"/>
      <c r="B714" s="7"/>
      <c r="C714" s="7"/>
      <c r="D714" s="7"/>
      <c r="E714" s="19"/>
      <c r="F714" s="19"/>
      <c r="G714" s="19"/>
      <c r="H714" s="19"/>
      <c r="I714" s="19"/>
      <c r="J714" s="7"/>
      <c r="K714" s="19"/>
      <c r="L714" s="7"/>
      <c r="M714" s="7"/>
      <c r="N714" s="7"/>
      <c r="O714" s="7"/>
      <c r="P714" s="7"/>
      <c r="Q714" s="7"/>
      <c r="R714" s="7"/>
      <c r="S714" s="7"/>
      <c r="T714" s="7"/>
      <c r="U714" s="7"/>
      <c r="V714" s="388"/>
      <c r="W714" s="388"/>
      <c r="X714" s="388"/>
      <c r="Y714" s="7"/>
      <c r="Z714" s="7"/>
      <c r="AA714" s="7"/>
      <c r="AB714" s="7"/>
      <c r="AC714" s="7"/>
      <c r="AD714" s="7"/>
      <c r="AE714" s="7"/>
      <c r="AF714" s="7"/>
      <c r="AG714" s="7"/>
      <c r="AH714" s="7"/>
      <c r="AI714" s="7"/>
      <c r="AJ714" s="19"/>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row>
    <row r="715">
      <c r="A715" s="7"/>
      <c r="B715" s="7"/>
      <c r="C715" s="7"/>
      <c r="D715" s="7"/>
      <c r="E715" s="19"/>
      <c r="F715" s="19"/>
      <c r="G715" s="19"/>
      <c r="H715" s="19"/>
      <c r="I715" s="19"/>
      <c r="J715" s="7"/>
      <c r="K715" s="19"/>
      <c r="L715" s="7"/>
      <c r="M715" s="7"/>
      <c r="N715" s="7"/>
      <c r="O715" s="7"/>
      <c r="P715" s="7"/>
      <c r="Q715" s="7"/>
      <c r="R715" s="7"/>
      <c r="S715" s="7"/>
      <c r="T715" s="7"/>
      <c r="U715" s="7"/>
      <c r="V715" s="388"/>
      <c r="W715" s="388"/>
      <c r="X715" s="388"/>
      <c r="Y715" s="7"/>
      <c r="Z715" s="7"/>
      <c r="AA715" s="7"/>
      <c r="AB715" s="7"/>
      <c r="AC715" s="7"/>
      <c r="AD715" s="7"/>
      <c r="AE715" s="7"/>
      <c r="AF715" s="7"/>
      <c r="AG715" s="7"/>
      <c r="AH715" s="7"/>
      <c r="AI715" s="7"/>
      <c r="AJ715" s="19"/>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row>
    <row r="716">
      <c r="A716" s="7"/>
      <c r="B716" s="7"/>
      <c r="C716" s="7"/>
      <c r="D716" s="7"/>
      <c r="E716" s="19"/>
      <c r="F716" s="19"/>
      <c r="G716" s="19"/>
      <c r="H716" s="19"/>
      <c r="I716" s="19"/>
      <c r="J716" s="7"/>
      <c r="K716" s="19"/>
      <c r="L716" s="7"/>
      <c r="M716" s="7"/>
      <c r="N716" s="7"/>
      <c r="O716" s="7"/>
      <c r="P716" s="7"/>
      <c r="Q716" s="7"/>
      <c r="R716" s="7"/>
      <c r="S716" s="7"/>
      <c r="T716" s="7"/>
      <c r="U716" s="7"/>
      <c r="V716" s="388"/>
      <c r="W716" s="388"/>
      <c r="X716" s="388"/>
      <c r="Y716" s="7"/>
      <c r="Z716" s="7"/>
      <c r="AA716" s="7"/>
      <c r="AB716" s="7"/>
      <c r="AC716" s="7"/>
      <c r="AD716" s="7"/>
      <c r="AE716" s="7"/>
      <c r="AF716" s="7"/>
      <c r="AG716" s="7"/>
      <c r="AH716" s="7"/>
      <c r="AI716" s="7"/>
      <c r="AJ716" s="19"/>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row>
    <row r="717">
      <c r="A717" s="7"/>
      <c r="B717" s="7"/>
      <c r="C717" s="7"/>
      <c r="D717" s="7"/>
      <c r="E717" s="19"/>
      <c r="F717" s="19"/>
      <c r="G717" s="19"/>
      <c r="H717" s="19"/>
      <c r="I717" s="19"/>
      <c r="J717" s="7"/>
      <c r="K717" s="19"/>
      <c r="L717" s="7"/>
      <c r="M717" s="7"/>
      <c r="N717" s="7"/>
      <c r="O717" s="7"/>
      <c r="P717" s="7"/>
      <c r="Q717" s="7"/>
      <c r="R717" s="7"/>
      <c r="S717" s="7"/>
      <c r="T717" s="7"/>
      <c r="U717" s="7"/>
      <c r="V717" s="388"/>
      <c r="W717" s="388"/>
      <c r="X717" s="388"/>
      <c r="Y717" s="7"/>
      <c r="Z717" s="7"/>
      <c r="AA717" s="7"/>
      <c r="AB717" s="7"/>
      <c r="AC717" s="7"/>
      <c r="AD717" s="7"/>
      <c r="AE717" s="7"/>
      <c r="AF717" s="7"/>
      <c r="AG717" s="7"/>
      <c r="AH717" s="7"/>
      <c r="AI717" s="7"/>
      <c r="AJ717" s="19"/>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row>
    <row r="718">
      <c r="A718" s="7"/>
      <c r="B718" s="7"/>
      <c r="C718" s="7"/>
      <c r="D718" s="7"/>
      <c r="E718" s="19"/>
      <c r="F718" s="19"/>
      <c r="G718" s="19"/>
      <c r="H718" s="19"/>
      <c r="I718" s="19"/>
      <c r="J718" s="7"/>
      <c r="K718" s="19"/>
      <c r="L718" s="7"/>
      <c r="M718" s="7"/>
      <c r="N718" s="7"/>
      <c r="O718" s="7"/>
      <c r="P718" s="7"/>
      <c r="Q718" s="7"/>
      <c r="R718" s="7"/>
      <c r="S718" s="7"/>
      <c r="T718" s="7"/>
      <c r="U718" s="7"/>
      <c r="V718" s="388"/>
      <c r="W718" s="388"/>
      <c r="X718" s="388"/>
      <c r="Y718" s="7"/>
      <c r="Z718" s="7"/>
      <c r="AA718" s="7"/>
      <c r="AB718" s="7"/>
      <c r="AC718" s="7"/>
      <c r="AD718" s="7"/>
      <c r="AE718" s="7"/>
      <c r="AF718" s="7"/>
      <c r="AG718" s="7"/>
      <c r="AH718" s="7"/>
      <c r="AI718" s="7"/>
      <c r="AJ718" s="19"/>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row>
    <row r="719">
      <c r="A719" s="7"/>
      <c r="B719" s="7"/>
      <c r="C719" s="7"/>
      <c r="D719" s="7"/>
      <c r="E719" s="19"/>
      <c r="F719" s="19"/>
      <c r="G719" s="19"/>
      <c r="H719" s="19"/>
      <c r="I719" s="19"/>
      <c r="J719" s="7"/>
      <c r="K719" s="19"/>
      <c r="L719" s="7"/>
      <c r="M719" s="7"/>
      <c r="N719" s="7"/>
      <c r="O719" s="7"/>
      <c r="P719" s="7"/>
      <c r="Q719" s="7"/>
      <c r="R719" s="7"/>
      <c r="S719" s="7"/>
      <c r="T719" s="7"/>
      <c r="U719" s="7"/>
      <c r="V719" s="388"/>
      <c r="W719" s="388"/>
      <c r="X719" s="388"/>
      <c r="Y719" s="7"/>
      <c r="Z719" s="7"/>
      <c r="AA719" s="7"/>
      <c r="AB719" s="7"/>
      <c r="AC719" s="7"/>
      <c r="AD719" s="7"/>
      <c r="AE719" s="7"/>
      <c r="AF719" s="7"/>
      <c r="AG719" s="7"/>
      <c r="AH719" s="7"/>
      <c r="AI719" s="7"/>
      <c r="AJ719" s="19"/>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row>
    <row r="720">
      <c r="A720" s="7"/>
      <c r="B720" s="7"/>
      <c r="C720" s="7"/>
      <c r="D720" s="7"/>
      <c r="E720" s="19"/>
      <c r="F720" s="19"/>
      <c r="G720" s="19"/>
      <c r="H720" s="19"/>
      <c r="I720" s="19"/>
      <c r="J720" s="7"/>
      <c r="K720" s="19"/>
      <c r="L720" s="7"/>
      <c r="M720" s="7"/>
      <c r="N720" s="7"/>
      <c r="O720" s="7"/>
      <c r="P720" s="7"/>
      <c r="Q720" s="7"/>
      <c r="R720" s="7"/>
      <c r="S720" s="7"/>
      <c r="T720" s="7"/>
      <c r="U720" s="7"/>
      <c r="V720" s="388"/>
      <c r="W720" s="388"/>
      <c r="X720" s="388"/>
      <c r="Y720" s="7"/>
      <c r="Z720" s="7"/>
      <c r="AA720" s="7"/>
      <c r="AB720" s="7"/>
      <c r="AC720" s="7"/>
      <c r="AD720" s="7"/>
      <c r="AE720" s="7"/>
      <c r="AF720" s="7"/>
      <c r="AG720" s="7"/>
      <c r="AH720" s="7"/>
      <c r="AI720" s="7"/>
      <c r="AJ720" s="19"/>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row>
    <row r="721">
      <c r="A721" s="7"/>
      <c r="B721" s="7"/>
      <c r="C721" s="7"/>
      <c r="D721" s="7"/>
      <c r="E721" s="19"/>
      <c r="F721" s="19"/>
      <c r="G721" s="19"/>
      <c r="H721" s="19"/>
      <c r="I721" s="19"/>
      <c r="J721" s="7"/>
      <c r="K721" s="19"/>
      <c r="L721" s="7"/>
      <c r="M721" s="7"/>
      <c r="N721" s="7"/>
      <c r="O721" s="7"/>
      <c r="P721" s="7"/>
      <c r="Q721" s="7"/>
      <c r="R721" s="7"/>
      <c r="S721" s="7"/>
      <c r="T721" s="7"/>
      <c r="U721" s="7"/>
      <c r="V721" s="388"/>
      <c r="W721" s="388"/>
      <c r="X721" s="388"/>
      <c r="Y721" s="7"/>
      <c r="Z721" s="7"/>
      <c r="AA721" s="7"/>
      <c r="AB721" s="7"/>
      <c r="AC721" s="7"/>
      <c r="AD721" s="7"/>
      <c r="AE721" s="7"/>
      <c r="AF721" s="7"/>
      <c r="AG721" s="7"/>
      <c r="AH721" s="7"/>
      <c r="AI721" s="7"/>
      <c r="AJ721" s="19"/>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row>
    <row r="722">
      <c r="A722" s="7"/>
      <c r="B722" s="7"/>
      <c r="C722" s="7"/>
      <c r="D722" s="7"/>
      <c r="E722" s="19"/>
      <c r="F722" s="19"/>
      <c r="G722" s="19"/>
      <c r="H722" s="19"/>
      <c r="I722" s="19"/>
      <c r="J722" s="7"/>
      <c r="K722" s="19"/>
      <c r="L722" s="7"/>
      <c r="M722" s="7"/>
      <c r="N722" s="7"/>
      <c r="O722" s="7"/>
      <c r="P722" s="7"/>
      <c r="Q722" s="7"/>
      <c r="R722" s="7"/>
      <c r="S722" s="7"/>
      <c r="T722" s="7"/>
      <c r="U722" s="7"/>
      <c r="V722" s="388"/>
      <c r="W722" s="388"/>
      <c r="X722" s="388"/>
      <c r="Y722" s="7"/>
      <c r="Z722" s="7"/>
      <c r="AA722" s="7"/>
      <c r="AB722" s="7"/>
      <c r="AC722" s="7"/>
      <c r="AD722" s="7"/>
      <c r="AE722" s="7"/>
      <c r="AF722" s="7"/>
      <c r="AG722" s="7"/>
      <c r="AH722" s="7"/>
      <c r="AI722" s="7"/>
      <c r="AJ722" s="19"/>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row>
    <row r="723">
      <c r="A723" s="7"/>
      <c r="B723" s="7"/>
      <c r="C723" s="7"/>
      <c r="D723" s="7"/>
      <c r="E723" s="19"/>
      <c r="F723" s="19"/>
      <c r="G723" s="19"/>
      <c r="H723" s="19"/>
      <c r="I723" s="19"/>
      <c r="J723" s="7"/>
      <c r="K723" s="19"/>
      <c r="L723" s="7"/>
      <c r="M723" s="7"/>
      <c r="N723" s="7"/>
      <c r="O723" s="7"/>
      <c r="P723" s="7"/>
      <c r="Q723" s="7"/>
      <c r="R723" s="7"/>
      <c r="S723" s="7"/>
      <c r="T723" s="7"/>
      <c r="U723" s="7"/>
      <c r="V723" s="388"/>
      <c r="W723" s="388"/>
      <c r="X723" s="388"/>
      <c r="Y723" s="7"/>
      <c r="Z723" s="7"/>
      <c r="AA723" s="7"/>
      <c r="AB723" s="7"/>
      <c r="AC723" s="7"/>
      <c r="AD723" s="7"/>
      <c r="AE723" s="7"/>
      <c r="AF723" s="7"/>
      <c r="AG723" s="7"/>
      <c r="AH723" s="7"/>
      <c r="AI723" s="7"/>
      <c r="AJ723" s="19"/>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row>
    <row r="724">
      <c r="A724" s="7"/>
      <c r="B724" s="7"/>
      <c r="C724" s="7"/>
      <c r="D724" s="7"/>
      <c r="E724" s="19"/>
      <c r="F724" s="19"/>
      <c r="G724" s="19"/>
      <c r="H724" s="19"/>
      <c r="I724" s="19"/>
      <c r="J724" s="7"/>
      <c r="K724" s="19"/>
      <c r="L724" s="7"/>
      <c r="M724" s="7"/>
      <c r="N724" s="7"/>
      <c r="O724" s="7"/>
      <c r="P724" s="7"/>
      <c r="Q724" s="7"/>
      <c r="R724" s="7"/>
      <c r="S724" s="7"/>
      <c r="T724" s="7"/>
      <c r="U724" s="7"/>
      <c r="V724" s="388"/>
      <c r="W724" s="388"/>
      <c r="X724" s="388"/>
      <c r="Y724" s="7"/>
      <c r="Z724" s="7"/>
      <c r="AA724" s="7"/>
      <c r="AB724" s="7"/>
      <c r="AC724" s="7"/>
      <c r="AD724" s="7"/>
      <c r="AE724" s="7"/>
      <c r="AF724" s="7"/>
      <c r="AG724" s="7"/>
      <c r="AH724" s="7"/>
      <c r="AI724" s="7"/>
      <c r="AJ724" s="19"/>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row>
    <row r="725">
      <c r="A725" s="7"/>
      <c r="B725" s="7"/>
      <c r="C725" s="7"/>
      <c r="D725" s="7"/>
      <c r="E725" s="19"/>
      <c r="F725" s="19"/>
      <c r="G725" s="19"/>
      <c r="H725" s="19"/>
      <c r="I725" s="19"/>
      <c r="J725" s="7"/>
      <c r="K725" s="19"/>
      <c r="L725" s="7"/>
      <c r="M725" s="7"/>
      <c r="N725" s="7"/>
      <c r="O725" s="7"/>
      <c r="P725" s="7"/>
      <c r="Q725" s="7"/>
      <c r="R725" s="7"/>
      <c r="S725" s="7"/>
      <c r="T725" s="7"/>
      <c r="U725" s="7"/>
      <c r="V725" s="388"/>
      <c r="W725" s="388"/>
      <c r="X725" s="388"/>
      <c r="Y725" s="7"/>
      <c r="Z725" s="7"/>
      <c r="AA725" s="7"/>
      <c r="AB725" s="7"/>
      <c r="AC725" s="7"/>
      <c r="AD725" s="7"/>
      <c r="AE725" s="7"/>
      <c r="AF725" s="7"/>
      <c r="AG725" s="7"/>
      <c r="AH725" s="7"/>
      <c r="AI725" s="7"/>
      <c r="AJ725" s="19"/>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row>
    <row r="726">
      <c r="A726" s="7"/>
      <c r="B726" s="7"/>
      <c r="C726" s="7"/>
      <c r="D726" s="7"/>
      <c r="E726" s="19"/>
      <c r="F726" s="19"/>
      <c r="G726" s="19"/>
      <c r="H726" s="19"/>
      <c r="I726" s="19"/>
      <c r="J726" s="7"/>
      <c r="K726" s="19"/>
      <c r="L726" s="7"/>
      <c r="M726" s="7"/>
      <c r="N726" s="7"/>
      <c r="O726" s="7"/>
      <c r="P726" s="7"/>
      <c r="Q726" s="7"/>
      <c r="R726" s="7"/>
      <c r="S726" s="7"/>
      <c r="T726" s="7"/>
      <c r="U726" s="7"/>
      <c r="V726" s="388"/>
      <c r="W726" s="388"/>
      <c r="X726" s="388"/>
      <c r="Y726" s="7"/>
      <c r="Z726" s="7"/>
      <c r="AA726" s="7"/>
      <c r="AB726" s="7"/>
      <c r="AC726" s="7"/>
      <c r="AD726" s="7"/>
      <c r="AE726" s="7"/>
      <c r="AF726" s="7"/>
      <c r="AG726" s="7"/>
      <c r="AH726" s="7"/>
      <c r="AI726" s="7"/>
      <c r="AJ726" s="19"/>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row>
    <row r="727">
      <c r="A727" s="7"/>
      <c r="B727" s="7"/>
      <c r="C727" s="7"/>
      <c r="D727" s="7"/>
      <c r="E727" s="19"/>
      <c r="F727" s="19"/>
      <c r="G727" s="19"/>
      <c r="H727" s="19"/>
      <c r="I727" s="19"/>
      <c r="J727" s="7"/>
      <c r="K727" s="19"/>
      <c r="L727" s="7"/>
      <c r="M727" s="7"/>
      <c r="N727" s="7"/>
      <c r="O727" s="7"/>
      <c r="P727" s="7"/>
      <c r="Q727" s="7"/>
      <c r="R727" s="7"/>
      <c r="S727" s="7"/>
      <c r="T727" s="7"/>
      <c r="U727" s="7"/>
      <c r="V727" s="388"/>
      <c r="W727" s="388"/>
      <c r="X727" s="388"/>
      <c r="Y727" s="7"/>
      <c r="Z727" s="7"/>
      <c r="AA727" s="7"/>
      <c r="AB727" s="7"/>
      <c r="AC727" s="7"/>
      <c r="AD727" s="7"/>
      <c r="AE727" s="7"/>
      <c r="AF727" s="7"/>
      <c r="AG727" s="7"/>
      <c r="AH727" s="7"/>
      <c r="AI727" s="7"/>
      <c r="AJ727" s="19"/>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row>
    <row r="728">
      <c r="A728" s="7"/>
      <c r="B728" s="7"/>
      <c r="C728" s="7"/>
      <c r="D728" s="7"/>
      <c r="E728" s="19"/>
      <c r="F728" s="19"/>
      <c r="G728" s="19"/>
      <c r="H728" s="19"/>
      <c r="I728" s="19"/>
      <c r="J728" s="7"/>
      <c r="K728" s="19"/>
      <c r="L728" s="7"/>
      <c r="M728" s="7"/>
      <c r="N728" s="7"/>
      <c r="O728" s="7"/>
      <c r="P728" s="7"/>
      <c r="Q728" s="7"/>
      <c r="R728" s="7"/>
      <c r="S728" s="7"/>
      <c r="T728" s="7"/>
      <c r="U728" s="7"/>
      <c r="V728" s="388"/>
      <c r="W728" s="388"/>
      <c r="X728" s="388"/>
      <c r="Y728" s="7"/>
      <c r="Z728" s="7"/>
      <c r="AA728" s="7"/>
      <c r="AB728" s="7"/>
      <c r="AC728" s="7"/>
      <c r="AD728" s="7"/>
      <c r="AE728" s="7"/>
      <c r="AF728" s="7"/>
      <c r="AG728" s="7"/>
      <c r="AH728" s="7"/>
      <c r="AI728" s="7"/>
      <c r="AJ728" s="19"/>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row>
    <row r="729">
      <c r="A729" s="7"/>
      <c r="B729" s="7"/>
      <c r="C729" s="7"/>
      <c r="D729" s="7"/>
      <c r="E729" s="19"/>
      <c r="F729" s="19"/>
      <c r="G729" s="19"/>
      <c r="H729" s="19"/>
      <c r="I729" s="19"/>
      <c r="J729" s="7"/>
      <c r="K729" s="19"/>
      <c r="L729" s="7"/>
      <c r="M729" s="7"/>
      <c r="N729" s="7"/>
      <c r="O729" s="7"/>
      <c r="P729" s="7"/>
      <c r="Q729" s="7"/>
      <c r="R729" s="7"/>
      <c r="S729" s="7"/>
      <c r="T729" s="7"/>
      <c r="U729" s="7"/>
      <c r="V729" s="388"/>
      <c r="W729" s="388"/>
      <c r="X729" s="388"/>
      <c r="Y729" s="7"/>
      <c r="Z729" s="7"/>
      <c r="AA729" s="7"/>
      <c r="AB729" s="7"/>
      <c r="AC729" s="7"/>
      <c r="AD729" s="7"/>
      <c r="AE729" s="7"/>
      <c r="AF729" s="7"/>
      <c r="AG729" s="7"/>
      <c r="AH729" s="7"/>
      <c r="AI729" s="7"/>
      <c r="AJ729" s="19"/>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row>
    <row r="730">
      <c r="A730" s="7"/>
      <c r="B730" s="7"/>
      <c r="C730" s="7"/>
      <c r="D730" s="7"/>
      <c r="E730" s="19"/>
      <c r="F730" s="19"/>
      <c r="G730" s="19"/>
      <c r="H730" s="19"/>
      <c r="I730" s="19"/>
      <c r="J730" s="7"/>
      <c r="K730" s="19"/>
      <c r="L730" s="7"/>
      <c r="M730" s="7"/>
      <c r="N730" s="7"/>
      <c r="O730" s="7"/>
      <c r="P730" s="7"/>
      <c r="Q730" s="7"/>
      <c r="R730" s="7"/>
      <c r="S730" s="7"/>
      <c r="T730" s="7"/>
      <c r="U730" s="7"/>
      <c r="V730" s="388"/>
      <c r="W730" s="388"/>
      <c r="X730" s="388"/>
      <c r="Y730" s="7"/>
      <c r="Z730" s="7"/>
      <c r="AA730" s="7"/>
      <c r="AB730" s="7"/>
      <c r="AC730" s="7"/>
      <c r="AD730" s="7"/>
      <c r="AE730" s="7"/>
      <c r="AF730" s="7"/>
      <c r="AG730" s="7"/>
      <c r="AH730" s="7"/>
      <c r="AI730" s="7"/>
      <c r="AJ730" s="19"/>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row>
    <row r="731">
      <c r="A731" s="7"/>
      <c r="B731" s="7"/>
      <c r="C731" s="7"/>
      <c r="D731" s="7"/>
      <c r="E731" s="19"/>
      <c r="F731" s="19"/>
      <c r="G731" s="19"/>
      <c r="H731" s="19"/>
      <c r="I731" s="19"/>
      <c r="J731" s="7"/>
      <c r="K731" s="19"/>
      <c r="L731" s="7"/>
      <c r="M731" s="7"/>
      <c r="N731" s="7"/>
      <c r="O731" s="7"/>
      <c r="P731" s="7"/>
      <c r="Q731" s="7"/>
      <c r="R731" s="7"/>
      <c r="S731" s="7"/>
      <c r="T731" s="7"/>
      <c r="U731" s="7"/>
      <c r="V731" s="388"/>
      <c r="W731" s="388"/>
      <c r="X731" s="388"/>
      <c r="Y731" s="7"/>
      <c r="Z731" s="7"/>
      <c r="AA731" s="7"/>
      <c r="AB731" s="7"/>
      <c r="AC731" s="7"/>
      <c r="AD731" s="7"/>
      <c r="AE731" s="7"/>
      <c r="AF731" s="7"/>
      <c r="AG731" s="7"/>
      <c r="AH731" s="7"/>
      <c r="AI731" s="7"/>
      <c r="AJ731" s="19"/>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row>
    <row r="732">
      <c r="A732" s="7"/>
      <c r="B732" s="7"/>
      <c r="C732" s="7"/>
      <c r="D732" s="7"/>
      <c r="E732" s="19"/>
      <c r="F732" s="19"/>
      <c r="G732" s="19"/>
      <c r="H732" s="19"/>
      <c r="I732" s="19"/>
      <c r="J732" s="7"/>
      <c r="K732" s="19"/>
      <c r="L732" s="7"/>
      <c r="M732" s="7"/>
      <c r="N732" s="7"/>
      <c r="O732" s="7"/>
      <c r="P732" s="7"/>
      <c r="Q732" s="7"/>
      <c r="R732" s="7"/>
      <c r="S732" s="7"/>
      <c r="T732" s="7"/>
      <c r="U732" s="7"/>
      <c r="V732" s="388"/>
      <c r="W732" s="388"/>
      <c r="X732" s="388"/>
      <c r="Y732" s="7"/>
      <c r="Z732" s="7"/>
      <c r="AA732" s="7"/>
      <c r="AB732" s="7"/>
      <c r="AC732" s="7"/>
      <c r="AD732" s="7"/>
      <c r="AE732" s="7"/>
      <c r="AF732" s="7"/>
      <c r="AG732" s="7"/>
      <c r="AH732" s="7"/>
      <c r="AI732" s="7"/>
      <c r="AJ732" s="19"/>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row>
    <row r="733">
      <c r="A733" s="7"/>
      <c r="B733" s="7"/>
      <c r="C733" s="7"/>
      <c r="D733" s="7"/>
      <c r="E733" s="19"/>
      <c r="F733" s="19"/>
      <c r="G733" s="19"/>
      <c r="H733" s="19"/>
      <c r="I733" s="19"/>
      <c r="J733" s="7"/>
      <c r="K733" s="19"/>
      <c r="L733" s="7"/>
      <c r="M733" s="7"/>
      <c r="N733" s="7"/>
      <c r="O733" s="7"/>
      <c r="P733" s="7"/>
      <c r="Q733" s="7"/>
      <c r="R733" s="7"/>
      <c r="S733" s="7"/>
      <c r="T733" s="7"/>
      <c r="U733" s="7"/>
      <c r="V733" s="388"/>
      <c r="W733" s="388"/>
      <c r="X733" s="388"/>
      <c r="Y733" s="7"/>
      <c r="Z733" s="7"/>
      <c r="AA733" s="7"/>
      <c r="AB733" s="7"/>
      <c r="AC733" s="7"/>
      <c r="AD733" s="7"/>
      <c r="AE733" s="7"/>
      <c r="AF733" s="7"/>
      <c r="AG733" s="7"/>
      <c r="AH733" s="7"/>
      <c r="AI733" s="7"/>
      <c r="AJ733" s="19"/>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row>
    <row r="734">
      <c r="A734" s="7"/>
      <c r="B734" s="7"/>
      <c r="C734" s="7"/>
      <c r="D734" s="7"/>
      <c r="E734" s="19"/>
      <c r="F734" s="19"/>
      <c r="G734" s="19"/>
      <c r="H734" s="19"/>
      <c r="I734" s="19"/>
      <c r="J734" s="7"/>
      <c r="K734" s="19"/>
      <c r="L734" s="7"/>
      <c r="M734" s="7"/>
      <c r="N734" s="7"/>
      <c r="O734" s="7"/>
      <c r="P734" s="7"/>
      <c r="Q734" s="7"/>
      <c r="R734" s="7"/>
      <c r="S734" s="7"/>
      <c r="T734" s="7"/>
      <c r="U734" s="7"/>
      <c r="V734" s="388"/>
      <c r="W734" s="388"/>
      <c r="X734" s="388"/>
      <c r="Y734" s="7"/>
      <c r="Z734" s="7"/>
      <c r="AA734" s="7"/>
      <c r="AB734" s="7"/>
      <c r="AC734" s="7"/>
      <c r="AD734" s="7"/>
      <c r="AE734" s="7"/>
      <c r="AF734" s="7"/>
      <c r="AG734" s="7"/>
      <c r="AH734" s="7"/>
      <c r="AI734" s="7"/>
      <c r="AJ734" s="19"/>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row>
    <row r="735">
      <c r="A735" s="7"/>
      <c r="B735" s="7"/>
      <c r="C735" s="7"/>
      <c r="D735" s="7"/>
      <c r="E735" s="19"/>
      <c r="F735" s="19"/>
      <c r="G735" s="19"/>
      <c r="H735" s="19"/>
      <c r="I735" s="19"/>
      <c r="J735" s="7"/>
      <c r="K735" s="19"/>
      <c r="L735" s="7"/>
      <c r="M735" s="7"/>
      <c r="N735" s="7"/>
      <c r="O735" s="7"/>
      <c r="P735" s="7"/>
      <c r="Q735" s="7"/>
      <c r="R735" s="7"/>
      <c r="S735" s="7"/>
      <c r="T735" s="7"/>
      <c r="U735" s="7"/>
      <c r="V735" s="388"/>
      <c r="W735" s="388"/>
      <c r="X735" s="388"/>
      <c r="Y735" s="7"/>
      <c r="Z735" s="7"/>
      <c r="AA735" s="7"/>
      <c r="AB735" s="7"/>
      <c r="AC735" s="7"/>
      <c r="AD735" s="7"/>
      <c r="AE735" s="7"/>
      <c r="AF735" s="7"/>
      <c r="AG735" s="7"/>
      <c r="AH735" s="7"/>
      <c r="AI735" s="7"/>
      <c r="AJ735" s="19"/>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row>
    <row r="736">
      <c r="A736" s="7"/>
      <c r="B736" s="7"/>
      <c r="C736" s="7"/>
      <c r="D736" s="7"/>
      <c r="E736" s="19"/>
      <c r="F736" s="19"/>
      <c r="G736" s="19"/>
      <c r="H736" s="19"/>
      <c r="I736" s="19"/>
      <c r="J736" s="7"/>
      <c r="K736" s="19"/>
      <c r="L736" s="7"/>
      <c r="M736" s="7"/>
      <c r="N736" s="7"/>
      <c r="O736" s="7"/>
      <c r="P736" s="7"/>
      <c r="Q736" s="7"/>
      <c r="R736" s="7"/>
      <c r="S736" s="7"/>
      <c r="T736" s="7"/>
      <c r="U736" s="7"/>
      <c r="V736" s="388"/>
      <c r="W736" s="388"/>
      <c r="X736" s="388"/>
      <c r="Y736" s="7"/>
      <c r="Z736" s="7"/>
      <c r="AA736" s="7"/>
      <c r="AB736" s="7"/>
      <c r="AC736" s="7"/>
      <c r="AD736" s="7"/>
      <c r="AE736" s="7"/>
      <c r="AF736" s="7"/>
      <c r="AG736" s="7"/>
      <c r="AH736" s="7"/>
      <c r="AI736" s="7"/>
      <c r="AJ736" s="19"/>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row>
    <row r="737">
      <c r="A737" s="7"/>
      <c r="B737" s="7"/>
      <c r="C737" s="7"/>
      <c r="D737" s="7"/>
      <c r="E737" s="19"/>
      <c r="F737" s="19"/>
      <c r="G737" s="19"/>
      <c r="H737" s="19"/>
      <c r="I737" s="19"/>
      <c r="J737" s="7"/>
      <c r="K737" s="19"/>
      <c r="L737" s="7"/>
      <c r="M737" s="7"/>
      <c r="N737" s="7"/>
      <c r="O737" s="7"/>
      <c r="P737" s="7"/>
      <c r="Q737" s="7"/>
      <c r="R737" s="7"/>
      <c r="S737" s="7"/>
      <c r="T737" s="7"/>
      <c r="U737" s="7"/>
      <c r="V737" s="388"/>
      <c r="W737" s="388"/>
      <c r="X737" s="388"/>
      <c r="Y737" s="7"/>
      <c r="Z737" s="7"/>
      <c r="AA737" s="7"/>
      <c r="AB737" s="7"/>
      <c r="AC737" s="7"/>
      <c r="AD737" s="7"/>
      <c r="AE737" s="7"/>
      <c r="AF737" s="7"/>
      <c r="AG737" s="7"/>
      <c r="AH737" s="7"/>
      <c r="AI737" s="7"/>
      <c r="AJ737" s="19"/>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row>
    <row r="738">
      <c r="A738" s="7"/>
      <c r="B738" s="7"/>
      <c r="C738" s="7"/>
      <c r="D738" s="7"/>
      <c r="E738" s="19"/>
      <c r="F738" s="19"/>
      <c r="G738" s="19"/>
      <c r="H738" s="19"/>
      <c r="I738" s="19"/>
      <c r="J738" s="7"/>
      <c r="K738" s="19"/>
      <c r="L738" s="7"/>
      <c r="M738" s="7"/>
      <c r="N738" s="7"/>
      <c r="O738" s="7"/>
      <c r="P738" s="7"/>
      <c r="Q738" s="7"/>
      <c r="R738" s="7"/>
      <c r="S738" s="7"/>
      <c r="T738" s="7"/>
      <c r="U738" s="7"/>
      <c r="V738" s="388"/>
      <c r="W738" s="388"/>
      <c r="X738" s="388"/>
      <c r="Y738" s="7"/>
      <c r="Z738" s="7"/>
      <c r="AA738" s="7"/>
      <c r="AB738" s="7"/>
      <c r="AC738" s="7"/>
      <c r="AD738" s="7"/>
      <c r="AE738" s="7"/>
      <c r="AF738" s="7"/>
      <c r="AG738" s="7"/>
      <c r="AH738" s="7"/>
      <c r="AI738" s="7"/>
      <c r="AJ738" s="19"/>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row>
    <row r="739">
      <c r="A739" s="7"/>
      <c r="B739" s="7"/>
      <c r="C739" s="7"/>
      <c r="D739" s="7"/>
      <c r="E739" s="19"/>
      <c r="F739" s="19"/>
      <c r="G739" s="19"/>
      <c r="H739" s="19"/>
      <c r="I739" s="19"/>
      <c r="J739" s="7"/>
      <c r="K739" s="19"/>
      <c r="L739" s="7"/>
      <c r="M739" s="7"/>
      <c r="N739" s="7"/>
      <c r="O739" s="7"/>
      <c r="P739" s="7"/>
      <c r="Q739" s="7"/>
      <c r="R739" s="7"/>
      <c r="S739" s="7"/>
      <c r="T739" s="7"/>
      <c r="U739" s="7"/>
      <c r="V739" s="388"/>
      <c r="W739" s="388"/>
      <c r="X739" s="388"/>
      <c r="Y739" s="7"/>
      <c r="Z739" s="7"/>
      <c r="AA739" s="7"/>
      <c r="AB739" s="7"/>
      <c r="AC739" s="7"/>
      <c r="AD739" s="7"/>
      <c r="AE739" s="7"/>
      <c r="AF739" s="7"/>
      <c r="AG739" s="7"/>
      <c r="AH739" s="7"/>
      <c r="AI739" s="7"/>
      <c r="AJ739" s="19"/>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row>
    <row r="740">
      <c r="A740" s="7"/>
      <c r="B740" s="7"/>
      <c r="C740" s="7"/>
      <c r="D740" s="7"/>
      <c r="E740" s="19"/>
      <c r="F740" s="19"/>
      <c r="G740" s="19"/>
      <c r="H740" s="19"/>
      <c r="I740" s="19"/>
      <c r="J740" s="7"/>
      <c r="K740" s="19"/>
      <c r="L740" s="7"/>
      <c r="M740" s="7"/>
      <c r="N740" s="7"/>
      <c r="O740" s="7"/>
      <c r="P740" s="7"/>
      <c r="Q740" s="7"/>
      <c r="R740" s="7"/>
      <c r="S740" s="7"/>
      <c r="T740" s="7"/>
      <c r="U740" s="7"/>
      <c r="V740" s="388"/>
      <c r="W740" s="388"/>
      <c r="X740" s="388"/>
      <c r="Y740" s="7"/>
      <c r="Z740" s="7"/>
      <c r="AA740" s="7"/>
      <c r="AB740" s="7"/>
      <c r="AC740" s="7"/>
      <c r="AD740" s="7"/>
      <c r="AE740" s="7"/>
      <c r="AF740" s="7"/>
      <c r="AG740" s="7"/>
      <c r="AH740" s="7"/>
      <c r="AI740" s="7"/>
      <c r="AJ740" s="19"/>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row>
    <row r="741">
      <c r="A741" s="7"/>
      <c r="B741" s="7"/>
      <c r="C741" s="7"/>
      <c r="D741" s="7"/>
      <c r="E741" s="19"/>
      <c r="F741" s="19"/>
      <c r="G741" s="19"/>
      <c r="H741" s="19"/>
      <c r="I741" s="19"/>
      <c r="J741" s="7"/>
      <c r="K741" s="19"/>
      <c r="L741" s="7"/>
      <c r="M741" s="7"/>
      <c r="N741" s="7"/>
      <c r="O741" s="7"/>
      <c r="P741" s="7"/>
      <c r="Q741" s="7"/>
      <c r="R741" s="7"/>
      <c r="S741" s="7"/>
      <c r="T741" s="7"/>
      <c r="U741" s="7"/>
      <c r="V741" s="388"/>
      <c r="W741" s="388"/>
      <c r="X741" s="388"/>
      <c r="Y741" s="7"/>
      <c r="Z741" s="7"/>
      <c r="AA741" s="7"/>
      <c r="AB741" s="7"/>
      <c r="AC741" s="7"/>
      <c r="AD741" s="7"/>
      <c r="AE741" s="7"/>
      <c r="AF741" s="7"/>
      <c r="AG741" s="7"/>
      <c r="AH741" s="7"/>
      <c r="AI741" s="7"/>
      <c r="AJ741" s="19"/>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row>
    <row r="742">
      <c r="A742" s="7"/>
      <c r="B742" s="7"/>
      <c r="C742" s="7"/>
      <c r="D742" s="7"/>
      <c r="E742" s="19"/>
      <c r="F742" s="19"/>
      <c r="G742" s="19"/>
      <c r="H742" s="19"/>
      <c r="I742" s="19"/>
      <c r="J742" s="7"/>
      <c r="K742" s="19"/>
      <c r="L742" s="7"/>
      <c r="M742" s="7"/>
      <c r="N742" s="7"/>
      <c r="O742" s="7"/>
      <c r="P742" s="7"/>
      <c r="Q742" s="7"/>
      <c r="R742" s="7"/>
      <c r="S742" s="7"/>
      <c r="T742" s="7"/>
      <c r="U742" s="7"/>
      <c r="V742" s="388"/>
      <c r="W742" s="388"/>
      <c r="X742" s="388"/>
      <c r="Y742" s="7"/>
      <c r="Z742" s="7"/>
      <c r="AA742" s="7"/>
      <c r="AB742" s="7"/>
      <c r="AC742" s="7"/>
      <c r="AD742" s="7"/>
      <c r="AE742" s="7"/>
      <c r="AF742" s="7"/>
      <c r="AG742" s="7"/>
      <c r="AH742" s="7"/>
      <c r="AI742" s="7"/>
      <c r="AJ742" s="19"/>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row>
    <row r="743">
      <c r="A743" s="7"/>
      <c r="B743" s="7"/>
      <c r="C743" s="7"/>
      <c r="D743" s="7"/>
      <c r="E743" s="19"/>
      <c r="F743" s="19"/>
      <c r="G743" s="19"/>
      <c r="H743" s="19"/>
      <c r="I743" s="19"/>
      <c r="J743" s="7"/>
      <c r="K743" s="19"/>
      <c r="L743" s="7"/>
      <c r="M743" s="7"/>
      <c r="N743" s="7"/>
      <c r="O743" s="7"/>
      <c r="P743" s="7"/>
      <c r="Q743" s="7"/>
      <c r="R743" s="7"/>
      <c r="S743" s="7"/>
      <c r="T743" s="7"/>
      <c r="U743" s="7"/>
      <c r="V743" s="388"/>
      <c r="W743" s="388"/>
      <c r="X743" s="388"/>
      <c r="Y743" s="7"/>
      <c r="Z743" s="7"/>
      <c r="AA743" s="7"/>
      <c r="AB743" s="7"/>
      <c r="AC743" s="7"/>
      <c r="AD743" s="7"/>
      <c r="AE743" s="7"/>
      <c r="AF743" s="7"/>
      <c r="AG743" s="7"/>
      <c r="AH743" s="7"/>
      <c r="AI743" s="7"/>
      <c r="AJ743" s="19"/>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row>
    <row r="744">
      <c r="A744" s="7"/>
      <c r="B744" s="7"/>
      <c r="C744" s="7"/>
      <c r="D744" s="7"/>
      <c r="E744" s="19"/>
      <c r="F744" s="19"/>
      <c r="G744" s="19"/>
      <c r="H744" s="19"/>
      <c r="I744" s="19"/>
      <c r="J744" s="7"/>
      <c r="K744" s="19"/>
      <c r="L744" s="7"/>
      <c r="M744" s="7"/>
      <c r="N744" s="7"/>
      <c r="O744" s="7"/>
      <c r="P744" s="7"/>
      <c r="Q744" s="7"/>
      <c r="R744" s="7"/>
      <c r="S744" s="7"/>
      <c r="T744" s="7"/>
      <c r="U744" s="7"/>
      <c r="V744" s="388"/>
      <c r="W744" s="388"/>
      <c r="X744" s="388"/>
      <c r="Y744" s="7"/>
      <c r="Z744" s="7"/>
      <c r="AA744" s="7"/>
      <c r="AB744" s="7"/>
      <c r="AC744" s="7"/>
      <c r="AD744" s="7"/>
      <c r="AE744" s="7"/>
      <c r="AF744" s="7"/>
      <c r="AG744" s="7"/>
      <c r="AH744" s="7"/>
      <c r="AI744" s="7"/>
      <c r="AJ744" s="19"/>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row>
    <row r="745">
      <c r="A745" s="7"/>
      <c r="B745" s="7"/>
      <c r="C745" s="7"/>
      <c r="D745" s="7"/>
      <c r="E745" s="19"/>
      <c r="F745" s="19"/>
      <c r="G745" s="19"/>
      <c r="H745" s="19"/>
      <c r="I745" s="19"/>
      <c r="J745" s="7"/>
      <c r="K745" s="19"/>
      <c r="L745" s="7"/>
      <c r="M745" s="7"/>
      <c r="N745" s="7"/>
      <c r="O745" s="7"/>
      <c r="P745" s="7"/>
      <c r="Q745" s="7"/>
      <c r="R745" s="7"/>
      <c r="S745" s="7"/>
      <c r="T745" s="7"/>
      <c r="U745" s="7"/>
      <c r="V745" s="388"/>
      <c r="W745" s="388"/>
      <c r="X745" s="388"/>
      <c r="Y745" s="7"/>
      <c r="Z745" s="7"/>
      <c r="AA745" s="7"/>
      <c r="AB745" s="7"/>
      <c r="AC745" s="7"/>
      <c r="AD745" s="7"/>
      <c r="AE745" s="7"/>
      <c r="AF745" s="7"/>
      <c r="AG745" s="7"/>
      <c r="AH745" s="7"/>
      <c r="AI745" s="7"/>
      <c r="AJ745" s="19"/>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row>
    <row r="746">
      <c r="A746" s="7"/>
      <c r="B746" s="7"/>
      <c r="C746" s="7"/>
      <c r="D746" s="7"/>
      <c r="E746" s="19"/>
      <c r="F746" s="19"/>
      <c r="G746" s="19"/>
      <c r="H746" s="19"/>
      <c r="I746" s="19"/>
      <c r="J746" s="7"/>
      <c r="K746" s="19"/>
      <c r="L746" s="7"/>
      <c r="M746" s="7"/>
      <c r="N746" s="7"/>
      <c r="O746" s="7"/>
      <c r="P746" s="7"/>
      <c r="Q746" s="7"/>
      <c r="R746" s="7"/>
      <c r="S746" s="7"/>
      <c r="T746" s="7"/>
      <c r="U746" s="7"/>
      <c r="V746" s="388"/>
      <c r="W746" s="388"/>
      <c r="X746" s="388"/>
      <c r="Y746" s="7"/>
      <c r="Z746" s="7"/>
      <c r="AA746" s="7"/>
      <c r="AB746" s="7"/>
      <c r="AC746" s="7"/>
      <c r="AD746" s="7"/>
      <c r="AE746" s="7"/>
      <c r="AF746" s="7"/>
      <c r="AG746" s="7"/>
      <c r="AH746" s="7"/>
      <c r="AI746" s="7"/>
      <c r="AJ746" s="19"/>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row>
    <row r="747">
      <c r="A747" s="7"/>
      <c r="B747" s="7"/>
      <c r="C747" s="7"/>
      <c r="D747" s="7"/>
      <c r="E747" s="19"/>
      <c r="F747" s="19"/>
      <c r="G747" s="19"/>
      <c r="H747" s="19"/>
      <c r="I747" s="19"/>
      <c r="J747" s="7"/>
      <c r="K747" s="19"/>
      <c r="L747" s="7"/>
      <c r="M747" s="7"/>
      <c r="N747" s="7"/>
      <c r="O747" s="7"/>
      <c r="P747" s="7"/>
      <c r="Q747" s="7"/>
      <c r="R747" s="7"/>
      <c r="S747" s="7"/>
      <c r="T747" s="7"/>
      <c r="U747" s="7"/>
      <c r="V747" s="388"/>
      <c r="W747" s="388"/>
      <c r="X747" s="388"/>
      <c r="Y747" s="7"/>
      <c r="Z747" s="7"/>
      <c r="AA747" s="7"/>
      <c r="AB747" s="7"/>
      <c r="AC747" s="7"/>
      <c r="AD747" s="7"/>
      <c r="AE747" s="7"/>
      <c r="AF747" s="7"/>
      <c r="AG747" s="7"/>
      <c r="AH747" s="7"/>
      <c r="AI747" s="7"/>
      <c r="AJ747" s="19"/>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row>
    <row r="748">
      <c r="A748" s="7"/>
      <c r="B748" s="7"/>
      <c r="C748" s="7"/>
      <c r="D748" s="7"/>
      <c r="E748" s="19"/>
      <c r="F748" s="19"/>
      <c r="G748" s="19"/>
      <c r="H748" s="19"/>
      <c r="I748" s="19"/>
      <c r="J748" s="7"/>
      <c r="K748" s="19"/>
      <c r="L748" s="7"/>
      <c r="M748" s="7"/>
      <c r="N748" s="7"/>
      <c r="O748" s="7"/>
      <c r="P748" s="7"/>
      <c r="Q748" s="7"/>
      <c r="R748" s="7"/>
      <c r="S748" s="7"/>
      <c r="T748" s="7"/>
      <c r="U748" s="7"/>
      <c r="V748" s="388"/>
      <c r="W748" s="388"/>
      <c r="X748" s="388"/>
      <c r="Y748" s="7"/>
      <c r="Z748" s="7"/>
      <c r="AA748" s="7"/>
      <c r="AB748" s="7"/>
      <c r="AC748" s="7"/>
      <c r="AD748" s="7"/>
      <c r="AE748" s="7"/>
      <c r="AF748" s="7"/>
      <c r="AG748" s="7"/>
      <c r="AH748" s="7"/>
      <c r="AI748" s="7"/>
      <c r="AJ748" s="19"/>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row>
    <row r="749">
      <c r="A749" s="7"/>
      <c r="B749" s="7"/>
      <c r="C749" s="7"/>
      <c r="D749" s="7"/>
      <c r="E749" s="19"/>
      <c r="F749" s="19"/>
      <c r="G749" s="19"/>
      <c r="H749" s="19"/>
      <c r="I749" s="19"/>
      <c r="J749" s="7"/>
      <c r="K749" s="19"/>
      <c r="L749" s="7"/>
      <c r="M749" s="7"/>
      <c r="N749" s="7"/>
      <c r="O749" s="7"/>
      <c r="P749" s="7"/>
      <c r="Q749" s="7"/>
      <c r="R749" s="7"/>
      <c r="S749" s="7"/>
      <c r="T749" s="7"/>
      <c r="U749" s="7"/>
      <c r="V749" s="388"/>
      <c r="W749" s="388"/>
      <c r="X749" s="388"/>
      <c r="Y749" s="7"/>
      <c r="Z749" s="7"/>
      <c r="AA749" s="7"/>
      <c r="AB749" s="7"/>
      <c r="AC749" s="7"/>
      <c r="AD749" s="7"/>
      <c r="AE749" s="7"/>
      <c r="AF749" s="7"/>
      <c r="AG749" s="7"/>
      <c r="AH749" s="7"/>
      <c r="AI749" s="7"/>
      <c r="AJ749" s="19"/>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row>
    <row r="750">
      <c r="A750" s="7"/>
      <c r="B750" s="7"/>
      <c r="C750" s="7"/>
      <c r="D750" s="7"/>
      <c r="E750" s="19"/>
      <c r="F750" s="19"/>
      <c r="G750" s="19"/>
      <c r="H750" s="19"/>
      <c r="I750" s="19"/>
      <c r="J750" s="7"/>
      <c r="K750" s="19"/>
      <c r="L750" s="7"/>
      <c r="M750" s="7"/>
      <c r="N750" s="7"/>
      <c r="O750" s="7"/>
      <c r="P750" s="7"/>
      <c r="Q750" s="7"/>
      <c r="R750" s="7"/>
      <c r="S750" s="7"/>
      <c r="T750" s="7"/>
      <c r="U750" s="7"/>
      <c r="V750" s="388"/>
      <c r="W750" s="388"/>
      <c r="X750" s="388"/>
      <c r="Y750" s="7"/>
      <c r="Z750" s="7"/>
      <c r="AA750" s="7"/>
      <c r="AB750" s="7"/>
      <c r="AC750" s="7"/>
      <c r="AD750" s="7"/>
      <c r="AE750" s="7"/>
      <c r="AF750" s="7"/>
      <c r="AG750" s="7"/>
      <c r="AH750" s="7"/>
      <c r="AI750" s="7"/>
      <c r="AJ750" s="19"/>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c r="BN750" s="7"/>
      <c r="BO750" s="7"/>
      <c r="BP750" s="7"/>
      <c r="BQ750" s="7"/>
      <c r="BR750" s="7"/>
      <c r="BS750" s="7"/>
      <c r="BT750" s="7"/>
      <c r="BU750" s="7"/>
      <c r="BV750" s="7"/>
      <c r="BW750" s="7"/>
    </row>
    <row r="751">
      <c r="A751" s="7"/>
      <c r="B751" s="7"/>
      <c r="C751" s="7"/>
      <c r="D751" s="7"/>
      <c r="E751" s="19"/>
      <c r="F751" s="19"/>
      <c r="G751" s="19"/>
      <c r="H751" s="19"/>
      <c r="I751" s="19"/>
      <c r="J751" s="7"/>
      <c r="K751" s="19"/>
      <c r="L751" s="7"/>
      <c r="M751" s="7"/>
      <c r="N751" s="7"/>
      <c r="O751" s="7"/>
      <c r="P751" s="7"/>
      <c r="Q751" s="7"/>
      <c r="R751" s="7"/>
      <c r="S751" s="7"/>
      <c r="T751" s="7"/>
      <c r="U751" s="7"/>
      <c r="V751" s="388"/>
      <c r="W751" s="388"/>
      <c r="X751" s="388"/>
      <c r="Y751" s="7"/>
      <c r="Z751" s="7"/>
      <c r="AA751" s="7"/>
      <c r="AB751" s="7"/>
      <c r="AC751" s="7"/>
      <c r="AD751" s="7"/>
      <c r="AE751" s="7"/>
      <c r="AF751" s="7"/>
      <c r="AG751" s="7"/>
      <c r="AH751" s="7"/>
      <c r="AI751" s="7"/>
      <c r="AJ751" s="19"/>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row>
    <row r="752">
      <c r="A752" s="7"/>
      <c r="B752" s="7"/>
      <c r="C752" s="7"/>
      <c r="D752" s="7"/>
      <c r="E752" s="19"/>
      <c r="F752" s="19"/>
      <c r="G752" s="19"/>
      <c r="H752" s="19"/>
      <c r="I752" s="19"/>
      <c r="J752" s="7"/>
      <c r="K752" s="19"/>
      <c r="L752" s="7"/>
      <c r="M752" s="7"/>
      <c r="N752" s="7"/>
      <c r="O752" s="7"/>
      <c r="P752" s="7"/>
      <c r="Q752" s="7"/>
      <c r="R752" s="7"/>
      <c r="S752" s="7"/>
      <c r="T752" s="7"/>
      <c r="U752" s="7"/>
      <c r="V752" s="388"/>
      <c r="W752" s="388"/>
      <c r="X752" s="388"/>
      <c r="Y752" s="7"/>
      <c r="Z752" s="7"/>
      <c r="AA752" s="7"/>
      <c r="AB752" s="7"/>
      <c r="AC752" s="7"/>
      <c r="AD752" s="7"/>
      <c r="AE752" s="7"/>
      <c r="AF752" s="7"/>
      <c r="AG752" s="7"/>
      <c r="AH752" s="7"/>
      <c r="AI752" s="7"/>
      <c r="AJ752" s="19"/>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c r="BN752" s="7"/>
      <c r="BO752" s="7"/>
      <c r="BP752" s="7"/>
      <c r="BQ752" s="7"/>
      <c r="BR752" s="7"/>
      <c r="BS752" s="7"/>
      <c r="BT752" s="7"/>
      <c r="BU752" s="7"/>
      <c r="BV752" s="7"/>
      <c r="BW752" s="7"/>
    </row>
    <row r="753">
      <c r="A753" s="7"/>
      <c r="B753" s="7"/>
      <c r="C753" s="7"/>
      <c r="D753" s="7"/>
      <c r="E753" s="19"/>
      <c r="F753" s="19"/>
      <c r="G753" s="19"/>
      <c r="H753" s="19"/>
      <c r="I753" s="19"/>
      <c r="J753" s="7"/>
      <c r="K753" s="19"/>
      <c r="L753" s="7"/>
      <c r="M753" s="7"/>
      <c r="N753" s="7"/>
      <c r="O753" s="7"/>
      <c r="P753" s="7"/>
      <c r="Q753" s="7"/>
      <c r="R753" s="7"/>
      <c r="S753" s="7"/>
      <c r="T753" s="7"/>
      <c r="U753" s="7"/>
      <c r="V753" s="388"/>
      <c r="W753" s="388"/>
      <c r="X753" s="388"/>
      <c r="Y753" s="7"/>
      <c r="Z753" s="7"/>
      <c r="AA753" s="7"/>
      <c r="AB753" s="7"/>
      <c r="AC753" s="7"/>
      <c r="AD753" s="7"/>
      <c r="AE753" s="7"/>
      <c r="AF753" s="7"/>
      <c r="AG753" s="7"/>
      <c r="AH753" s="7"/>
      <c r="AI753" s="7"/>
      <c r="AJ753" s="19"/>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row>
    <row r="754">
      <c r="A754" s="7"/>
      <c r="B754" s="7"/>
      <c r="C754" s="7"/>
      <c r="D754" s="7"/>
      <c r="E754" s="19"/>
      <c r="F754" s="19"/>
      <c r="G754" s="19"/>
      <c r="H754" s="19"/>
      <c r="I754" s="19"/>
      <c r="J754" s="7"/>
      <c r="K754" s="19"/>
      <c r="L754" s="7"/>
      <c r="M754" s="7"/>
      <c r="N754" s="7"/>
      <c r="O754" s="7"/>
      <c r="P754" s="7"/>
      <c r="Q754" s="7"/>
      <c r="R754" s="7"/>
      <c r="S754" s="7"/>
      <c r="T754" s="7"/>
      <c r="U754" s="7"/>
      <c r="V754" s="388"/>
      <c r="W754" s="388"/>
      <c r="X754" s="388"/>
      <c r="Y754" s="7"/>
      <c r="Z754" s="7"/>
      <c r="AA754" s="7"/>
      <c r="AB754" s="7"/>
      <c r="AC754" s="7"/>
      <c r="AD754" s="7"/>
      <c r="AE754" s="7"/>
      <c r="AF754" s="7"/>
      <c r="AG754" s="7"/>
      <c r="AH754" s="7"/>
      <c r="AI754" s="7"/>
      <c r="AJ754" s="19"/>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row>
    <row r="755">
      <c r="A755" s="7"/>
      <c r="B755" s="7"/>
      <c r="C755" s="7"/>
      <c r="D755" s="7"/>
      <c r="E755" s="19"/>
      <c r="F755" s="19"/>
      <c r="G755" s="19"/>
      <c r="H755" s="19"/>
      <c r="I755" s="19"/>
      <c r="J755" s="7"/>
      <c r="K755" s="19"/>
      <c r="L755" s="7"/>
      <c r="M755" s="7"/>
      <c r="N755" s="7"/>
      <c r="O755" s="7"/>
      <c r="P755" s="7"/>
      <c r="Q755" s="7"/>
      <c r="R755" s="7"/>
      <c r="S755" s="7"/>
      <c r="T755" s="7"/>
      <c r="U755" s="7"/>
      <c r="V755" s="388"/>
      <c r="W755" s="388"/>
      <c r="X755" s="388"/>
      <c r="Y755" s="7"/>
      <c r="Z755" s="7"/>
      <c r="AA755" s="7"/>
      <c r="AB755" s="7"/>
      <c r="AC755" s="7"/>
      <c r="AD755" s="7"/>
      <c r="AE755" s="7"/>
      <c r="AF755" s="7"/>
      <c r="AG755" s="7"/>
      <c r="AH755" s="7"/>
      <c r="AI755" s="7"/>
      <c r="AJ755" s="19"/>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row>
    <row r="756">
      <c r="A756" s="7"/>
      <c r="B756" s="7"/>
      <c r="C756" s="7"/>
      <c r="D756" s="7"/>
      <c r="E756" s="19"/>
      <c r="F756" s="19"/>
      <c r="G756" s="19"/>
      <c r="H756" s="19"/>
      <c r="I756" s="19"/>
      <c r="J756" s="7"/>
      <c r="K756" s="19"/>
      <c r="L756" s="7"/>
      <c r="M756" s="7"/>
      <c r="N756" s="7"/>
      <c r="O756" s="7"/>
      <c r="P756" s="7"/>
      <c r="Q756" s="7"/>
      <c r="R756" s="7"/>
      <c r="S756" s="7"/>
      <c r="T756" s="7"/>
      <c r="U756" s="7"/>
      <c r="V756" s="388"/>
      <c r="W756" s="388"/>
      <c r="X756" s="388"/>
      <c r="Y756" s="7"/>
      <c r="Z756" s="7"/>
      <c r="AA756" s="7"/>
      <c r="AB756" s="7"/>
      <c r="AC756" s="7"/>
      <c r="AD756" s="7"/>
      <c r="AE756" s="7"/>
      <c r="AF756" s="7"/>
      <c r="AG756" s="7"/>
      <c r="AH756" s="7"/>
      <c r="AI756" s="7"/>
      <c r="AJ756" s="19"/>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row>
    <row r="757">
      <c r="A757" s="7"/>
      <c r="B757" s="7"/>
      <c r="C757" s="7"/>
      <c r="D757" s="7"/>
      <c r="E757" s="19"/>
      <c r="F757" s="19"/>
      <c r="G757" s="19"/>
      <c r="H757" s="19"/>
      <c r="I757" s="19"/>
      <c r="J757" s="7"/>
      <c r="K757" s="19"/>
      <c r="L757" s="7"/>
      <c r="M757" s="7"/>
      <c r="N757" s="7"/>
      <c r="O757" s="7"/>
      <c r="P757" s="7"/>
      <c r="Q757" s="7"/>
      <c r="R757" s="7"/>
      <c r="S757" s="7"/>
      <c r="T757" s="7"/>
      <c r="U757" s="7"/>
      <c r="V757" s="388"/>
      <c r="W757" s="388"/>
      <c r="X757" s="388"/>
      <c r="Y757" s="7"/>
      <c r="Z757" s="7"/>
      <c r="AA757" s="7"/>
      <c r="AB757" s="7"/>
      <c r="AC757" s="7"/>
      <c r="AD757" s="7"/>
      <c r="AE757" s="7"/>
      <c r="AF757" s="7"/>
      <c r="AG757" s="7"/>
      <c r="AH757" s="7"/>
      <c r="AI757" s="7"/>
      <c r="AJ757" s="19"/>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row>
    <row r="758">
      <c r="A758" s="7"/>
      <c r="B758" s="7"/>
      <c r="C758" s="7"/>
      <c r="D758" s="7"/>
      <c r="E758" s="19"/>
      <c r="F758" s="19"/>
      <c r="G758" s="19"/>
      <c r="H758" s="19"/>
      <c r="I758" s="19"/>
      <c r="J758" s="7"/>
      <c r="K758" s="19"/>
      <c r="L758" s="7"/>
      <c r="M758" s="7"/>
      <c r="N758" s="7"/>
      <c r="O758" s="7"/>
      <c r="P758" s="7"/>
      <c r="Q758" s="7"/>
      <c r="R758" s="7"/>
      <c r="S758" s="7"/>
      <c r="T758" s="7"/>
      <c r="U758" s="7"/>
      <c r="V758" s="388"/>
      <c r="W758" s="388"/>
      <c r="X758" s="388"/>
      <c r="Y758" s="7"/>
      <c r="Z758" s="7"/>
      <c r="AA758" s="7"/>
      <c r="AB758" s="7"/>
      <c r="AC758" s="7"/>
      <c r="AD758" s="7"/>
      <c r="AE758" s="7"/>
      <c r="AF758" s="7"/>
      <c r="AG758" s="7"/>
      <c r="AH758" s="7"/>
      <c r="AI758" s="7"/>
      <c r="AJ758" s="19"/>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row>
    <row r="759">
      <c r="A759" s="7"/>
      <c r="B759" s="7"/>
      <c r="C759" s="7"/>
      <c r="D759" s="7"/>
      <c r="E759" s="19"/>
      <c r="F759" s="19"/>
      <c r="G759" s="19"/>
      <c r="H759" s="19"/>
      <c r="I759" s="19"/>
      <c r="J759" s="7"/>
      <c r="K759" s="19"/>
      <c r="L759" s="7"/>
      <c r="M759" s="7"/>
      <c r="N759" s="7"/>
      <c r="O759" s="7"/>
      <c r="P759" s="7"/>
      <c r="Q759" s="7"/>
      <c r="R759" s="7"/>
      <c r="S759" s="7"/>
      <c r="T759" s="7"/>
      <c r="U759" s="7"/>
      <c r="V759" s="388"/>
      <c r="W759" s="388"/>
      <c r="X759" s="388"/>
      <c r="Y759" s="7"/>
      <c r="Z759" s="7"/>
      <c r="AA759" s="7"/>
      <c r="AB759" s="7"/>
      <c r="AC759" s="7"/>
      <c r="AD759" s="7"/>
      <c r="AE759" s="7"/>
      <c r="AF759" s="7"/>
      <c r="AG759" s="7"/>
      <c r="AH759" s="7"/>
      <c r="AI759" s="7"/>
      <c r="AJ759" s="19"/>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row>
    <row r="760">
      <c r="A760" s="7"/>
      <c r="B760" s="7"/>
      <c r="C760" s="7"/>
      <c r="D760" s="7"/>
      <c r="E760" s="19"/>
      <c r="F760" s="19"/>
      <c r="G760" s="19"/>
      <c r="H760" s="19"/>
      <c r="I760" s="19"/>
      <c r="J760" s="7"/>
      <c r="K760" s="19"/>
      <c r="L760" s="7"/>
      <c r="M760" s="7"/>
      <c r="N760" s="7"/>
      <c r="O760" s="7"/>
      <c r="P760" s="7"/>
      <c r="Q760" s="7"/>
      <c r="R760" s="7"/>
      <c r="S760" s="7"/>
      <c r="T760" s="7"/>
      <c r="U760" s="7"/>
      <c r="V760" s="388"/>
      <c r="W760" s="388"/>
      <c r="X760" s="388"/>
      <c r="Y760" s="7"/>
      <c r="Z760" s="7"/>
      <c r="AA760" s="7"/>
      <c r="AB760" s="7"/>
      <c r="AC760" s="7"/>
      <c r="AD760" s="7"/>
      <c r="AE760" s="7"/>
      <c r="AF760" s="7"/>
      <c r="AG760" s="7"/>
      <c r="AH760" s="7"/>
      <c r="AI760" s="7"/>
      <c r="AJ760" s="19"/>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c r="BN760" s="7"/>
      <c r="BO760" s="7"/>
      <c r="BP760" s="7"/>
      <c r="BQ760" s="7"/>
      <c r="BR760" s="7"/>
      <c r="BS760" s="7"/>
      <c r="BT760" s="7"/>
      <c r="BU760" s="7"/>
      <c r="BV760" s="7"/>
      <c r="BW760" s="7"/>
    </row>
    <row r="761">
      <c r="A761" s="7"/>
      <c r="B761" s="7"/>
      <c r="C761" s="7"/>
      <c r="D761" s="7"/>
      <c r="E761" s="19"/>
      <c r="F761" s="19"/>
      <c r="G761" s="19"/>
      <c r="H761" s="19"/>
      <c r="I761" s="19"/>
      <c r="J761" s="7"/>
      <c r="K761" s="19"/>
      <c r="L761" s="7"/>
      <c r="M761" s="7"/>
      <c r="N761" s="7"/>
      <c r="O761" s="7"/>
      <c r="P761" s="7"/>
      <c r="Q761" s="7"/>
      <c r="R761" s="7"/>
      <c r="S761" s="7"/>
      <c r="T761" s="7"/>
      <c r="U761" s="7"/>
      <c r="V761" s="388"/>
      <c r="W761" s="388"/>
      <c r="X761" s="388"/>
      <c r="Y761" s="7"/>
      <c r="Z761" s="7"/>
      <c r="AA761" s="7"/>
      <c r="AB761" s="7"/>
      <c r="AC761" s="7"/>
      <c r="AD761" s="7"/>
      <c r="AE761" s="7"/>
      <c r="AF761" s="7"/>
      <c r="AG761" s="7"/>
      <c r="AH761" s="7"/>
      <c r="AI761" s="7"/>
      <c r="AJ761" s="19"/>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row>
    <row r="762">
      <c r="A762" s="7"/>
      <c r="B762" s="7"/>
      <c r="C762" s="7"/>
      <c r="D762" s="7"/>
      <c r="E762" s="19"/>
      <c r="F762" s="19"/>
      <c r="G762" s="19"/>
      <c r="H762" s="19"/>
      <c r="I762" s="19"/>
      <c r="J762" s="7"/>
      <c r="K762" s="19"/>
      <c r="L762" s="7"/>
      <c r="M762" s="7"/>
      <c r="N762" s="7"/>
      <c r="O762" s="7"/>
      <c r="P762" s="7"/>
      <c r="Q762" s="7"/>
      <c r="R762" s="7"/>
      <c r="S762" s="7"/>
      <c r="T762" s="7"/>
      <c r="U762" s="7"/>
      <c r="V762" s="388"/>
      <c r="W762" s="388"/>
      <c r="X762" s="388"/>
      <c r="Y762" s="7"/>
      <c r="Z762" s="7"/>
      <c r="AA762" s="7"/>
      <c r="AB762" s="7"/>
      <c r="AC762" s="7"/>
      <c r="AD762" s="7"/>
      <c r="AE762" s="7"/>
      <c r="AF762" s="7"/>
      <c r="AG762" s="7"/>
      <c r="AH762" s="7"/>
      <c r="AI762" s="7"/>
      <c r="AJ762" s="19"/>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c r="BN762" s="7"/>
      <c r="BO762" s="7"/>
      <c r="BP762" s="7"/>
      <c r="BQ762" s="7"/>
      <c r="BR762" s="7"/>
      <c r="BS762" s="7"/>
      <c r="BT762" s="7"/>
      <c r="BU762" s="7"/>
      <c r="BV762" s="7"/>
      <c r="BW762" s="7"/>
    </row>
    <row r="763">
      <c r="A763" s="7"/>
      <c r="B763" s="7"/>
      <c r="C763" s="7"/>
      <c r="D763" s="7"/>
      <c r="E763" s="19"/>
      <c r="F763" s="19"/>
      <c r="G763" s="19"/>
      <c r="H763" s="19"/>
      <c r="I763" s="19"/>
      <c r="J763" s="7"/>
      <c r="K763" s="19"/>
      <c r="L763" s="7"/>
      <c r="M763" s="7"/>
      <c r="N763" s="7"/>
      <c r="O763" s="7"/>
      <c r="P763" s="7"/>
      <c r="Q763" s="7"/>
      <c r="R763" s="7"/>
      <c r="S763" s="7"/>
      <c r="T763" s="7"/>
      <c r="U763" s="7"/>
      <c r="V763" s="388"/>
      <c r="W763" s="388"/>
      <c r="X763" s="388"/>
      <c r="Y763" s="7"/>
      <c r="Z763" s="7"/>
      <c r="AA763" s="7"/>
      <c r="AB763" s="7"/>
      <c r="AC763" s="7"/>
      <c r="AD763" s="7"/>
      <c r="AE763" s="7"/>
      <c r="AF763" s="7"/>
      <c r="AG763" s="7"/>
      <c r="AH763" s="7"/>
      <c r="AI763" s="7"/>
      <c r="AJ763" s="19"/>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row>
    <row r="764">
      <c r="A764" s="7"/>
      <c r="B764" s="7"/>
      <c r="C764" s="7"/>
      <c r="D764" s="7"/>
      <c r="E764" s="19"/>
      <c r="F764" s="19"/>
      <c r="G764" s="19"/>
      <c r="H764" s="19"/>
      <c r="I764" s="19"/>
      <c r="J764" s="7"/>
      <c r="K764" s="19"/>
      <c r="L764" s="7"/>
      <c r="M764" s="7"/>
      <c r="N764" s="7"/>
      <c r="O764" s="7"/>
      <c r="P764" s="7"/>
      <c r="Q764" s="7"/>
      <c r="R764" s="7"/>
      <c r="S764" s="7"/>
      <c r="T764" s="7"/>
      <c r="U764" s="7"/>
      <c r="V764" s="388"/>
      <c r="W764" s="388"/>
      <c r="X764" s="388"/>
      <c r="Y764" s="7"/>
      <c r="Z764" s="7"/>
      <c r="AA764" s="7"/>
      <c r="AB764" s="7"/>
      <c r="AC764" s="7"/>
      <c r="AD764" s="7"/>
      <c r="AE764" s="7"/>
      <c r="AF764" s="7"/>
      <c r="AG764" s="7"/>
      <c r="AH764" s="7"/>
      <c r="AI764" s="7"/>
      <c r="AJ764" s="19"/>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row>
    <row r="765">
      <c r="A765" s="7"/>
      <c r="B765" s="7"/>
      <c r="C765" s="7"/>
      <c r="D765" s="7"/>
      <c r="E765" s="19"/>
      <c r="F765" s="19"/>
      <c r="G765" s="19"/>
      <c r="H765" s="19"/>
      <c r="I765" s="19"/>
      <c r="J765" s="7"/>
      <c r="K765" s="19"/>
      <c r="L765" s="7"/>
      <c r="M765" s="7"/>
      <c r="N765" s="7"/>
      <c r="O765" s="7"/>
      <c r="P765" s="7"/>
      <c r="Q765" s="7"/>
      <c r="R765" s="7"/>
      <c r="S765" s="7"/>
      <c r="T765" s="7"/>
      <c r="U765" s="7"/>
      <c r="V765" s="388"/>
      <c r="W765" s="388"/>
      <c r="X765" s="388"/>
      <c r="Y765" s="7"/>
      <c r="Z765" s="7"/>
      <c r="AA765" s="7"/>
      <c r="AB765" s="7"/>
      <c r="AC765" s="7"/>
      <c r="AD765" s="7"/>
      <c r="AE765" s="7"/>
      <c r="AF765" s="7"/>
      <c r="AG765" s="7"/>
      <c r="AH765" s="7"/>
      <c r="AI765" s="7"/>
      <c r="AJ765" s="19"/>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row>
    <row r="766">
      <c r="A766" s="7"/>
      <c r="B766" s="7"/>
      <c r="C766" s="7"/>
      <c r="D766" s="7"/>
      <c r="E766" s="19"/>
      <c r="F766" s="19"/>
      <c r="G766" s="19"/>
      <c r="H766" s="19"/>
      <c r="I766" s="19"/>
      <c r="J766" s="7"/>
      <c r="K766" s="19"/>
      <c r="L766" s="7"/>
      <c r="M766" s="7"/>
      <c r="N766" s="7"/>
      <c r="O766" s="7"/>
      <c r="P766" s="7"/>
      <c r="Q766" s="7"/>
      <c r="R766" s="7"/>
      <c r="S766" s="7"/>
      <c r="T766" s="7"/>
      <c r="U766" s="7"/>
      <c r="V766" s="388"/>
      <c r="W766" s="388"/>
      <c r="X766" s="388"/>
      <c r="Y766" s="7"/>
      <c r="Z766" s="7"/>
      <c r="AA766" s="7"/>
      <c r="AB766" s="7"/>
      <c r="AC766" s="7"/>
      <c r="AD766" s="7"/>
      <c r="AE766" s="7"/>
      <c r="AF766" s="7"/>
      <c r="AG766" s="7"/>
      <c r="AH766" s="7"/>
      <c r="AI766" s="7"/>
      <c r="AJ766" s="19"/>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c r="BN766" s="7"/>
      <c r="BO766" s="7"/>
      <c r="BP766" s="7"/>
      <c r="BQ766" s="7"/>
      <c r="BR766" s="7"/>
      <c r="BS766" s="7"/>
      <c r="BT766" s="7"/>
      <c r="BU766" s="7"/>
      <c r="BV766" s="7"/>
      <c r="BW766" s="7"/>
    </row>
    <row r="767">
      <c r="A767" s="7"/>
      <c r="B767" s="7"/>
      <c r="C767" s="7"/>
      <c r="D767" s="7"/>
      <c r="E767" s="19"/>
      <c r="F767" s="19"/>
      <c r="G767" s="19"/>
      <c r="H767" s="19"/>
      <c r="I767" s="19"/>
      <c r="J767" s="7"/>
      <c r="K767" s="19"/>
      <c r="L767" s="7"/>
      <c r="M767" s="7"/>
      <c r="N767" s="7"/>
      <c r="O767" s="7"/>
      <c r="P767" s="7"/>
      <c r="Q767" s="7"/>
      <c r="R767" s="7"/>
      <c r="S767" s="7"/>
      <c r="T767" s="7"/>
      <c r="U767" s="7"/>
      <c r="V767" s="388"/>
      <c r="W767" s="388"/>
      <c r="X767" s="388"/>
      <c r="Y767" s="7"/>
      <c r="Z767" s="7"/>
      <c r="AA767" s="7"/>
      <c r="AB767" s="7"/>
      <c r="AC767" s="7"/>
      <c r="AD767" s="7"/>
      <c r="AE767" s="7"/>
      <c r="AF767" s="7"/>
      <c r="AG767" s="7"/>
      <c r="AH767" s="7"/>
      <c r="AI767" s="7"/>
      <c r="AJ767" s="19"/>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row>
    <row r="768">
      <c r="A768" s="7"/>
      <c r="B768" s="7"/>
      <c r="C768" s="7"/>
      <c r="D768" s="7"/>
      <c r="E768" s="19"/>
      <c r="F768" s="19"/>
      <c r="G768" s="19"/>
      <c r="H768" s="19"/>
      <c r="I768" s="19"/>
      <c r="J768" s="7"/>
      <c r="K768" s="19"/>
      <c r="L768" s="7"/>
      <c r="M768" s="7"/>
      <c r="N768" s="7"/>
      <c r="O768" s="7"/>
      <c r="P768" s="7"/>
      <c r="Q768" s="7"/>
      <c r="R768" s="7"/>
      <c r="S768" s="7"/>
      <c r="T768" s="7"/>
      <c r="U768" s="7"/>
      <c r="V768" s="388"/>
      <c r="W768" s="388"/>
      <c r="X768" s="388"/>
      <c r="Y768" s="7"/>
      <c r="Z768" s="7"/>
      <c r="AA768" s="7"/>
      <c r="AB768" s="7"/>
      <c r="AC768" s="7"/>
      <c r="AD768" s="7"/>
      <c r="AE768" s="7"/>
      <c r="AF768" s="7"/>
      <c r="AG768" s="7"/>
      <c r="AH768" s="7"/>
      <c r="AI768" s="7"/>
      <c r="AJ768" s="19"/>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c r="BN768" s="7"/>
      <c r="BO768" s="7"/>
      <c r="BP768" s="7"/>
      <c r="BQ768" s="7"/>
      <c r="BR768" s="7"/>
      <c r="BS768" s="7"/>
      <c r="BT768" s="7"/>
      <c r="BU768" s="7"/>
      <c r="BV768" s="7"/>
      <c r="BW768" s="7"/>
    </row>
    <row r="769">
      <c r="A769" s="7"/>
      <c r="B769" s="7"/>
      <c r="C769" s="7"/>
      <c r="D769" s="7"/>
      <c r="E769" s="19"/>
      <c r="F769" s="19"/>
      <c r="G769" s="19"/>
      <c r="H769" s="19"/>
      <c r="I769" s="19"/>
      <c r="J769" s="7"/>
      <c r="K769" s="19"/>
      <c r="L769" s="7"/>
      <c r="M769" s="7"/>
      <c r="N769" s="7"/>
      <c r="O769" s="7"/>
      <c r="P769" s="7"/>
      <c r="Q769" s="7"/>
      <c r="R769" s="7"/>
      <c r="S769" s="7"/>
      <c r="T769" s="7"/>
      <c r="U769" s="7"/>
      <c r="V769" s="388"/>
      <c r="W769" s="388"/>
      <c r="X769" s="388"/>
      <c r="Y769" s="7"/>
      <c r="Z769" s="7"/>
      <c r="AA769" s="7"/>
      <c r="AB769" s="7"/>
      <c r="AC769" s="7"/>
      <c r="AD769" s="7"/>
      <c r="AE769" s="7"/>
      <c r="AF769" s="7"/>
      <c r="AG769" s="7"/>
      <c r="AH769" s="7"/>
      <c r="AI769" s="7"/>
      <c r="AJ769" s="19"/>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row>
    <row r="770">
      <c r="A770" s="7"/>
      <c r="B770" s="7"/>
      <c r="C770" s="7"/>
      <c r="D770" s="7"/>
      <c r="E770" s="19"/>
      <c r="F770" s="19"/>
      <c r="G770" s="19"/>
      <c r="H770" s="19"/>
      <c r="I770" s="19"/>
      <c r="J770" s="7"/>
      <c r="K770" s="19"/>
      <c r="L770" s="7"/>
      <c r="M770" s="7"/>
      <c r="N770" s="7"/>
      <c r="O770" s="7"/>
      <c r="P770" s="7"/>
      <c r="Q770" s="7"/>
      <c r="R770" s="7"/>
      <c r="S770" s="7"/>
      <c r="T770" s="7"/>
      <c r="U770" s="7"/>
      <c r="V770" s="388"/>
      <c r="W770" s="388"/>
      <c r="X770" s="388"/>
      <c r="Y770" s="7"/>
      <c r="Z770" s="7"/>
      <c r="AA770" s="7"/>
      <c r="AB770" s="7"/>
      <c r="AC770" s="7"/>
      <c r="AD770" s="7"/>
      <c r="AE770" s="7"/>
      <c r="AF770" s="7"/>
      <c r="AG770" s="7"/>
      <c r="AH770" s="7"/>
      <c r="AI770" s="7"/>
      <c r="AJ770" s="19"/>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c r="BN770" s="7"/>
      <c r="BO770" s="7"/>
      <c r="BP770" s="7"/>
      <c r="BQ770" s="7"/>
      <c r="BR770" s="7"/>
      <c r="BS770" s="7"/>
      <c r="BT770" s="7"/>
      <c r="BU770" s="7"/>
      <c r="BV770" s="7"/>
      <c r="BW770" s="7"/>
    </row>
    <row r="771">
      <c r="A771" s="7"/>
      <c r="B771" s="7"/>
      <c r="C771" s="7"/>
      <c r="D771" s="7"/>
      <c r="E771" s="19"/>
      <c r="F771" s="19"/>
      <c r="G771" s="19"/>
      <c r="H771" s="19"/>
      <c r="I771" s="19"/>
      <c r="J771" s="7"/>
      <c r="K771" s="19"/>
      <c r="L771" s="7"/>
      <c r="M771" s="7"/>
      <c r="N771" s="7"/>
      <c r="O771" s="7"/>
      <c r="P771" s="7"/>
      <c r="Q771" s="7"/>
      <c r="R771" s="7"/>
      <c r="S771" s="7"/>
      <c r="T771" s="7"/>
      <c r="U771" s="7"/>
      <c r="V771" s="388"/>
      <c r="W771" s="388"/>
      <c r="X771" s="388"/>
      <c r="Y771" s="7"/>
      <c r="Z771" s="7"/>
      <c r="AA771" s="7"/>
      <c r="AB771" s="7"/>
      <c r="AC771" s="7"/>
      <c r="AD771" s="7"/>
      <c r="AE771" s="7"/>
      <c r="AF771" s="7"/>
      <c r="AG771" s="7"/>
      <c r="AH771" s="7"/>
      <c r="AI771" s="7"/>
      <c r="AJ771" s="19"/>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row>
    <row r="772">
      <c r="A772" s="7"/>
      <c r="B772" s="7"/>
      <c r="C772" s="7"/>
      <c r="D772" s="7"/>
      <c r="E772" s="19"/>
      <c r="F772" s="19"/>
      <c r="G772" s="19"/>
      <c r="H772" s="19"/>
      <c r="I772" s="19"/>
      <c r="J772" s="7"/>
      <c r="K772" s="19"/>
      <c r="L772" s="7"/>
      <c r="M772" s="7"/>
      <c r="N772" s="7"/>
      <c r="O772" s="7"/>
      <c r="P772" s="7"/>
      <c r="Q772" s="7"/>
      <c r="R772" s="7"/>
      <c r="S772" s="7"/>
      <c r="T772" s="7"/>
      <c r="U772" s="7"/>
      <c r="V772" s="388"/>
      <c r="W772" s="388"/>
      <c r="X772" s="388"/>
      <c r="Y772" s="7"/>
      <c r="Z772" s="7"/>
      <c r="AA772" s="7"/>
      <c r="AB772" s="7"/>
      <c r="AC772" s="7"/>
      <c r="AD772" s="7"/>
      <c r="AE772" s="7"/>
      <c r="AF772" s="7"/>
      <c r="AG772" s="7"/>
      <c r="AH772" s="7"/>
      <c r="AI772" s="7"/>
      <c r="AJ772" s="19"/>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c r="BN772" s="7"/>
      <c r="BO772" s="7"/>
      <c r="BP772" s="7"/>
      <c r="BQ772" s="7"/>
      <c r="BR772" s="7"/>
      <c r="BS772" s="7"/>
      <c r="BT772" s="7"/>
      <c r="BU772" s="7"/>
      <c r="BV772" s="7"/>
      <c r="BW772" s="7"/>
    </row>
    <row r="773">
      <c r="A773" s="7"/>
      <c r="B773" s="7"/>
      <c r="C773" s="7"/>
      <c r="D773" s="7"/>
      <c r="E773" s="19"/>
      <c r="F773" s="19"/>
      <c r="G773" s="19"/>
      <c r="H773" s="19"/>
      <c r="I773" s="19"/>
      <c r="J773" s="7"/>
      <c r="K773" s="19"/>
      <c r="L773" s="7"/>
      <c r="M773" s="7"/>
      <c r="N773" s="7"/>
      <c r="O773" s="7"/>
      <c r="P773" s="7"/>
      <c r="Q773" s="7"/>
      <c r="R773" s="7"/>
      <c r="S773" s="7"/>
      <c r="T773" s="7"/>
      <c r="U773" s="7"/>
      <c r="V773" s="388"/>
      <c r="W773" s="388"/>
      <c r="X773" s="388"/>
      <c r="Y773" s="7"/>
      <c r="Z773" s="7"/>
      <c r="AA773" s="7"/>
      <c r="AB773" s="7"/>
      <c r="AC773" s="7"/>
      <c r="AD773" s="7"/>
      <c r="AE773" s="7"/>
      <c r="AF773" s="7"/>
      <c r="AG773" s="7"/>
      <c r="AH773" s="7"/>
      <c r="AI773" s="7"/>
      <c r="AJ773" s="19"/>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row>
    <row r="774">
      <c r="A774" s="7"/>
      <c r="B774" s="7"/>
      <c r="C774" s="7"/>
      <c r="D774" s="7"/>
      <c r="E774" s="19"/>
      <c r="F774" s="19"/>
      <c r="G774" s="19"/>
      <c r="H774" s="19"/>
      <c r="I774" s="19"/>
      <c r="J774" s="7"/>
      <c r="K774" s="19"/>
      <c r="L774" s="7"/>
      <c r="M774" s="7"/>
      <c r="N774" s="7"/>
      <c r="O774" s="7"/>
      <c r="P774" s="7"/>
      <c r="Q774" s="7"/>
      <c r="R774" s="7"/>
      <c r="S774" s="7"/>
      <c r="T774" s="7"/>
      <c r="U774" s="7"/>
      <c r="V774" s="388"/>
      <c r="W774" s="388"/>
      <c r="X774" s="388"/>
      <c r="Y774" s="7"/>
      <c r="Z774" s="7"/>
      <c r="AA774" s="7"/>
      <c r="AB774" s="7"/>
      <c r="AC774" s="7"/>
      <c r="AD774" s="7"/>
      <c r="AE774" s="7"/>
      <c r="AF774" s="7"/>
      <c r="AG774" s="7"/>
      <c r="AH774" s="7"/>
      <c r="AI774" s="7"/>
      <c r="AJ774" s="19"/>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row>
    <row r="775">
      <c r="A775" s="7"/>
      <c r="B775" s="7"/>
      <c r="C775" s="7"/>
      <c r="D775" s="7"/>
      <c r="E775" s="19"/>
      <c r="F775" s="19"/>
      <c r="G775" s="19"/>
      <c r="H775" s="19"/>
      <c r="I775" s="19"/>
      <c r="J775" s="7"/>
      <c r="K775" s="19"/>
      <c r="L775" s="7"/>
      <c r="M775" s="7"/>
      <c r="N775" s="7"/>
      <c r="O775" s="7"/>
      <c r="P775" s="7"/>
      <c r="Q775" s="7"/>
      <c r="R775" s="7"/>
      <c r="S775" s="7"/>
      <c r="T775" s="7"/>
      <c r="U775" s="7"/>
      <c r="V775" s="388"/>
      <c r="W775" s="388"/>
      <c r="X775" s="388"/>
      <c r="Y775" s="7"/>
      <c r="Z775" s="7"/>
      <c r="AA775" s="7"/>
      <c r="AB775" s="7"/>
      <c r="AC775" s="7"/>
      <c r="AD775" s="7"/>
      <c r="AE775" s="7"/>
      <c r="AF775" s="7"/>
      <c r="AG775" s="7"/>
      <c r="AH775" s="7"/>
      <c r="AI775" s="7"/>
      <c r="AJ775" s="19"/>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row>
    <row r="776">
      <c r="A776" s="7"/>
      <c r="B776" s="7"/>
      <c r="C776" s="7"/>
      <c r="D776" s="7"/>
      <c r="E776" s="19"/>
      <c r="F776" s="19"/>
      <c r="G776" s="19"/>
      <c r="H776" s="19"/>
      <c r="I776" s="19"/>
      <c r="J776" s="7"/>
      <c r="K776" s="19"/>
      <c r="L776" s="7"/>
      <c r="M776" s="7"/>
      <c r="N776" s="7"/>
      <c r="O776" s="7"/>
      <c r="P776" s="7"/>
      <c r="Q776" s="7"/>
      <c r="R776" s="7"/>
      <c r="S776" s="7"/>
      <c r="T776" s="7"/>
      <c r="U776" s="7"/>
      <c r="V776" s="388"/>
      <c r="W776" s="388"/>
      <c r="X776" s="388"/>
      <c r="Y776" s="7"/>
      <c r="Z776" s="7"/>
      <c r="AA776" s="7"/>
      <c r="AB776" s="7"/>
      <c r="AC776" s="7"/>
      <c r="AD776" s="7"/>
      <c r="AE776" s="7"/>
      <c r="AF776" s="7"/>
      <c r="AG776" s="7"/>
      <c r="AH776" s="7"/>
      <c r="AI776" s="7"/>
      <c r="AJ776" s="19"/>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row>
    <row r="777">
      <c r="A777" s="7"/>
      <c r="B777" s="7"/>
      <c r="C777" s="7"/>
      <c r="D777" s="7"/>
      <c r="E777" s="19"/>
      <c r="F777" s="19"/>
      <c r="G777" s="19"/>
      <c r="H777" s="19"/>
      <c r="I777" s="19"/>
      <c r="J777" s="7"/>
      <c r="K777" s="19"/>
      <c r="L777" s="7"/>
      <c r="M777" s="7"/>
      <c r="N777" s="7"/>
      <c r="O777" s="7"/>
      <c r="P777" s="7"/>
      <c r="Q777" s="7"/>
      <c r="R777" s="7"/>
      <c r="S777" s="7"/>
      <c r="T777" s="7"/>
      <c r="U777" s="7"/>
      <c r="V777" s="388"/>
      <c r="W777" s="388"/>
      <c r="X777" s="388"/>
      <c r="Y777" s="7"/>
      <c r="Z777" s="7"/>
      <c r="AA777" s="7"/>
      <c r="AB777" s="7"/>
      <c r="AC777" s="7"/>
      <c r="AD777" s="7"/>
      <c r="AE777" s="7"/>
      <c r="AF777" s="7"/>
      <c r="AG777" s="7"/>
      <c r="AH777" s="7"/>
      <c r="AI777" s="7"/>
      <c r="AJ777" s="19"/>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row>
    <row r="778">
      <c r="A778" s="7"/>
      <c r="B778" s="7"/>
      <c r="C778" s="7"/>
      <c r="D778" s="7"/>
      <c r="E778" s="19"/>
      <c r="F778" s="19"/>
      <c r="G778" s="19"/>
      <c r="H778" s="19"/>
      <c r="I778" s="19"/>
      <c r="J778" s="7"/>
      <c r="K778" s="19"/>
      <c r="L778" s="7"/>
      <c r="M778" s="7"/>
      <c r="N778" s="7"/>
      <c r="O778" s="7"/>
      <c r="P778" s="7"/>
      <c r="Q778" s="7"/>
      <c r="R778" s="7"/>
      <c r="S778" s="7"/>
      <c r="T778" s="7"/>
      <c r="U778" s="7"/>
      <c r="V778" s="388"/>
      <c r="W778" s="388"/>
      <c r="X778" s="388"/>
      <c r="Y778" s="7"/>
      <c r="Z778" s="7"/>
      <c r="AA778" s="7"/>
      <c r="AB778" s="7"/>
      <c r="AC778" s="7"/>
      <c r="AD778" s="7"/>
      <c r="AE778" s="7"/>
      <c r="AF778" s="7"/>
      <c r="AG778" s="7"/>
      <c r="AH778" s="7"/>
      <c r="AI778" s="7"/>
      <c r="AJ778" s="19"/>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row>
    <row r="779">
      <c r="A779" s="7"/>
      <c r="B779" s="7"/>
      <c r="C779" s="7"/>
      <c r="D779" s="7"/>
      <c r="E779" s="19"/>
      <c r="F779" s="19"/>
      <c r="G779" s="19"/>
      <c r="H779" s="19"/>
      <c r="I779" s="19"/>
      <c r="J779" s="7"/>
      <c r="K779" s="19"/>
      <c r="L779" s="7"/>
      <c r="M779" s="7"/>
      <c r="N779" s="7"/>
      <c r="O779" s="7"/>
      <c r="P779" s="7"/>
      <c r="Q779" s="7"/>
      <c r="R779" s="7"/>
      <c r="S779" s="7"/>
      <c r="T779" s="7"/>
      <c r="U779" s="7"/>
      <c r="V779" s="388"/>
      <c r="W779" s="388"/>
      <c r="X779" s="388"/>
      <c r="Y779" s="7"/>
      <c r="Z779" s="7"/>
      <c r="AA779" s="7"/>
      <c r="AB779" s="7"/>
      <c r="AC779" s="7"/>
      <c r="AD779" s="7"/>
      <c r="AE779" s="7"/>
      <c r="AF779" s="7"/>
      <c r="AG779" s="7"/>
      <c r="AH779" s="7"/>
      <c r="AI779" s="7"/>
      <c r="AJ779" s="19"/>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row>
    <row r="780">
      <c r="A780" s="7"/>
      <c r="B780" s="7"/>
      <c r="C780" s="7"/>
      <c r="D780" s="7"/>
      <c r="E780" s="19"/>
      <c r="F780" s="19"/>
      <c r="G780" s="19"/>
      <c r="H780" s="19"/>
      <c r="I780" s="19"/>
      <c r="J780" s="7"/>
      <c r="K780" s="19"/>
      <c r="L780" s="7"/>
      <c r="M780" s="7"/>
      <c r="N780" s="7"/>
      <c r="O780" s="7"/>
      <c r="P780" s="7"/>
      <c r="Q780" s="7"/>
      <c r="R780" s="7"/>
      <c r="S780" s="7"/>
      <c r="T780" s="7"/>
      <c r="U780" s="7"/>
      <c r="V780" s="388"/>
      <c r="W780" s="388"/>
      <c r="X780" s="388"/>
      <c r="Y780" s="7"/>
      <c r="Z780" s="7"/>
      <c r="AA780" s="7"/>
      <c r="AB780" s="7"/>
      <c r="AC780" s="7"/>
      <c r="AD780" s="7"/>
      <c r="AE780" s="7"/>
      <c r="AF780" s="7"/>
      <c r="AG780" s="7"/>
      <c r="AH780" s="7"/>
      <c r="AI780" s="7"/>
      <c r="AJ780" s="19"/>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c r="BN780" s="7"/>
      <c r="BO780" s="7"/>
      <c r="BP780" s="7"/>
      <c r="BQ780" s="7"/>
      <c r="BR780" s="7"/>
      <c r="BS780" s="7"/>
      <c r="BT780" s="7"/>
      <c r="BU780" s="7"/>
      <c r="BV780" s="7"/>
      <c r="BW780" s="7"/>
    </row>
    <row r="781">
      <c r="A781" s="7"/>
      <c r="B781" s="7"/>
      <c r="C781" s="7"/>
      <c r="D781" s="7"/>
      <c r="E781" s="19"/>
      <c r="F781" s="19"/>
      <c r="G781" s="19"/>
      <c r="H781" s="19"/>
      <c r="I781" s="19"/>
      <c r="J781" s="7"/>
      <c r="K781" s="19"/>
      <c r="L781" s="7"/>
      <c r="M781" s="7"/>
      <c r="N781" s="7"/>
      <c r="O781" s="7"/>
      <c r="P781" s="7"/>
      <c r="Q781" s="7"/>
      <c r="R781" s="7"/>
      <c r="S781" s="7"/>
      <c r="T781" s="7"/>
      <c r="U781" s="7"/>
      <c r="V781" s="388"/>
      <c r="W781" s="388"/>
      <c r="X781" s="388"/>
      <c r="Y781" s="7"/>
      <c r="Z781" s="7"/>
      <c r="AA781" s="7"/>
      <c r="AB781" s="7"/>
      <c r="AC781" s="7"/>
      <c r="AD781" s="7"/>
      <c r="AE781" s="7"/>
      <c r="AF781" s="7"/>
      <c r="AG781" s="7"/>
      <c r="AH781" s="7"/>
      <c r="AI781" s="7"/>
      <c r="AJ781" s="19"/>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row>
    <row r="782">
      <c r="A782" s="7"/>
      <c r="B782" s="7"/>
      <c r="C782" s="7"/>
      <c r="D782" s="7"/>
      <c r="E782" s="19"/>
      <c r="F782" s="19"/>
      <c r="G782" s="19"/>
      <c r="H782" s="19"/>
      <c r="I782" s="19"/>
      <c r="J782" s="7"/>
      <c r="K782" s="19"/>
      <c r="L782" s="7"/>
      <c r="M782" s="7"/>
      <c r="N782" s="7"/>
      <c r="O782" s="7"/>
      <c r="P782" s="7"/>
      <c r="Q782" s="7"/>
      <c r="R782" s="7"/>
      <c r="S782" s="7"/>
      <c r="T782" s="7"/>
      <c r="U782" s="7"/>
      <c r="V782" s="388"/>
      <c r="W782" s="388"/>
      <c r="X782" s="388"/>
      <c r="Y782" s="7"/>
      <c r="Z782" s="7"/>
      <c r="AA782" s="7"/>
      <c r="AB782" s="7"/>
      <c r="AC782" s="7"/>
      <c r="AD782" s="7"/>
      <c r="AE782" s="7"/>
      <c r="AF782" s="7"/>
      <c r="AG782" s="7"/>
      <c r="AH782" s="7"/>
      <c r="AI782" s="7"/>
      <c r="AJ782" s="19"/>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row>
    <row r="783">
      <c r="A783" s="7"/>
      <c r="B783" s="7"/>
      <c r="C783" s="7"/>
      <c r="D783" s="7"/>
      <c r="E783" s="19"/>
      <c r="F783" s="19"/>
      <c r="G783" s="19"/>
      <c r="H783" s="19"/>
      <c r="I783" s="19"/>
      <c r="J783" s="7"/>
      <c r="K783" s="19"/>
      <c r="L783" s="7"/>
      <c r="M783" s="7"/>
      <c r="N783" s="7"/>
      <c r="O783" s="7"/>
      <c r="P783" s="7"/>
      <c r="Q783" s="7"/>
      <c r="R783" s="7"/>
      <c r="S783" s="7"/>
      <c r="T783" s="7"/>
      <c r="U783" s="7"/>
      <c r="V783" s="388"/>
      <c r="W783" s="388"/>
      <c r="X783" s="388"/>
      <c r="Y783" s="7"/>
      <c r="Z783" s="7"/>
      <c r="AA783" s="7"/>
      <c r="AB783" s="7"/>
      <c r="AC783" s="7"/>
      <c r="AD783" s="7"/>
      <c r="AE783" s="7"/>
      <c r="AF783" s="7"/>
      <c r="AG783" s="7"/>
      <c r="AH783" s="7"/>
      <c r="AI783" s="7"/>
      <c r="AJ783" s="19"/>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row>
    <row r="784">
      <c r="A784" s="7"/>
      <c r="B784" s="7"/>
      <c r="C784" s="7"/>
      <c r="D784" s="7"/>
      <c r="E784" s="19"/>
      <c r="F784" s="19"/>
      <c r="G784" s="19"/>
      <c r="H784" s="19"/>
      <c r="I784" s="19"/>
      <c r="J784" s="7"/>
      <c r="K784" s="19"/>
      <c r="L784" s="7"/>
      <c r="M784" s="7"/>
      <c r="N784" s="7"/>
      <c r="O784" s="7"/>
      <c r="P784" s="7"/>
      <c r="Q784" s="7"/>
      <c r="R784" s="7"/>
      <c r="S784" s="7"/>
      <c r="T784" s="7"/>
      <c r="U784" s="7"/>
      <c r="V784" s="388"/>
      <c r="W784" s="388"/>
      <c r="X784" s="388"/>
      <c r="Y784" s="7"/>
      <c r="Z784" s="7"/>
      <c r="AA784" s="7"/>
      <c r="AB784" s="7"/>
      <c r="AC784" s="7"/>
      <c r="AD784" s="7"/>
      <c r="AE784" s="7"/>
      <c r="AF784" s="7"/>
      <c r="AG784" s="7"/>
      <c r="AH784" s="7"/>
      <c r="AI784" s="7"/>
      <c r="AJ784" s="19"/>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c r="BN784" s="7"/>
      <c r="BO784" s="7"/>
      <c r="BP784" s="7"/>
      <c r="BQ784" s="7"/>
      <c r="BR784" s="7"/>
      <c r="BS784" s="7"/>
      <c r="BT784" s="7"/>
      <c r="BU784" s="7"/>
      <c r="BV784" s="7"/>
      <c r="BW784" s="7"/>
    </row>
    <row r="785">
      <c r="A785" s="7"/>
      <c r="B785" s="7"/>
      <c r="C785" s="7"/>
      <c r="D785" s="7"/>
      <c r="E785" s="19"/>
      <c r="F785" s="19"/>
      <c r="G785" s="19"/>
      <c r="H785" s="19"/>
      <c r="I785" s="19"/>
      <c r="J785" s="7"/>
      <c r="K785" s="19"/>
      <c r="L785" s="7"/>
      <c r="M785" s="7"/>
      <c r="N785" s="7"/>
      <c r="O785" s="7"/>
      <c r="P785" s="7"/>
      <c r="Q785" s="7"/>
      <c r="R785" s="7"/>
      <c r="S785" s="7"/>
      <c r="T785" s="7"/>
      <c r="U785" s="7"/>
      <c r="V785" s="388"/>
      <c r="W785" s="388"/>
      <c r="X785" s="388"/>
      <c r="Y785" s="7"/>
      <c r="Z785" s="7"/>
      <c r="AA785" s="7"/>
      <c r="AB785" s="7"/>
      <c r="AC785" s="7"/>
      <c r="AD785" s="7"/>
      <c r="AE785" s="7"/>
      <c r="AF785" s="7"/>
      <c r="AG785" s="7"/>
      <c r="AH785" s="7"/>
      <c r="AI785" s="7"/>
      <c r="AJ785" s="19"/>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row>
    <row r="786">
      <c r="A786" s="7"/>
      <c r="B786" s="7"/>
      <c r="C786" s="7"/>
      <c r="D786" s="7"/>
      <c r="E786" s="19"/>
      <c r="F786" s="19"/>
      <c r="G786" s="19"/>
      <c r="H786" s="19"/>
      <c r="I786" s="19"/>
      <c r="J786" s="7"/>
      <c r="K786" s="19"/>
      <c r="L786" s="7"/>
      <c r="M786" s="7"/>
      <c r="N786" s="7"/>
      <c r="O786" s="7"/>
      <c r="P786" s="7"/>
      <c r="Q786" s="7"/>
      <c r="R786" s="7"/>
      <c r="S786" s="7"/>
      <c r="T786" s="7"/>
      <c r="U786" s="7"/>
      <c r="V786" s="388"/>
      <c r="W786" s="388"/>
      <c r="X786" s="388"/>
      <c r="Y786" s="7"/>
      <c r="Z786" s="7"/>
      <c r="AA786" s="7"/>
      <c r="AB786" s="7"/>
      <c r="AC786" s="7"/>
      <c r="AD786" s="7"/>
      <c r="AE786" s="7"/>
      <c r="AF786" s="7"/>
      <c r="AG786" s="7"/>
      <c r="AH786" s="7"/>
      <c r="AI786" s="7"/>
      <c r="AJ786" s="19"/>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c r="BN786" s="7"/>
      <c r="BO786" s="7"/>
      <c r="BP786" s="7"/>
      <c r="BQ786" s="7"/>
      <c r="BR786" s="7"/>
      <c r="BS786" s="7"/>
      <c r="BT786" s="7"/>
      <c r="BU786" s="7"/>
      <c r="BV786" s="7"/>
      <c r="BW786" s="7"/>
    </row>
    <row r="787">
      <c r="A787" s="7"/>
      <c r="B787" s="7"/>
      <c r="C787" s="7"/>
      <c r="D787" s="7"/>
      <c r="E787" s="19"/>
      <c r="F787" s="19"/>
      <c r="G787" s="19"/>
      <c r="H787" s="19"/>
      <c r="I787" s="19"/>
      <c r="J787" s="7"/>
      <c r="K787" s="19"/>
      <c r="L787" s="7"/>
      <c r="M787" s="7"/>
      <c r="N787" s="7"/>
      <c r="O787" s="7"/>
      <c r="P787" s="7"/>
      <c r="Q787" s="7"/>
      <c r="R787" s="7"/>
      <c r="S787" s="7"/>
      <c r="T787" s="7"/>
      <c r="U787" s="7"/>
      <c r="V787" s="388"/>
      <c r="W787" s="388"/>
      <c r="X787" s="388"/>
      <c r="Y787" s="7"/>
      <c r="Z787" s="7"/>
      <c r="AA787" s="7"/>
      <c r="AB787" s="7"/>
      <c r="AC787" s="7"/>
      <c r="AD787" s="7"/>
      <c r="AE787" s="7"/>
      <c r="AF787" s="7"/>
      <c r="AG787" s="7"/>
      <c r="AH787" s="7"/>
      <c r="AI787" s="7"/>
      <c r="AJ787" s="19"/>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row>
    <row r="788">
      <c r="A788" s="7"/>
      <c r="B788" s="7"/>
      <c r="C788" s="7"/>
      <c r="D788" s="7"/>
      <c r="E788" s="19"/>
      <c r="F788" s="19"/>
      <c r="G788" s="19"/>
      <c r="H788" s="19"/>
      <c r="I788" s="19"/>
      <c r="J788" s="7"/>
      <c r="K788" s="19"/>
      <c r="L788" s="7"/>
      <c r="M788" s="7"/>
      <c r="N788" s="7"/>
      <c r="O788" s="7"/>
      <c r="P788" s="7"/>
      <c r="Q788" s="7"/>
      <c r="R788" s="7"/>
      <c r="S788" s="7"/>
      <c r="T788" s="7"/>
      <c r="U788" s="7"/>
      <c r="V788" s="388"/>
      <c r="W788" s="388"/>
      <c r="X788" s="388"/>
      <c r="Y788" s="7"/>
      <c r="Z788" s="7"/>
      <c r="AA788" s="7"/>
      <c r="AB788" s="7"/>
      <c r="AC788" s="7"/>
      <c r="AD788" s="7"/>
      <c r="AE788" s="7"/>
      <c r="AF788" s="7"/>
      <c r="AG788" s="7"/>
      <c r="AH788" s="7"/>
      <c r="AI788" s="7"/>
      <c r="AJ788" s="19"/>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c r="BN788" s="7"/>
      <c r="BO788" s="7"/>
      <c r="BP788" s="7"/>
      <c r="BQ788" s="7"/>
      <c r="BR788" s="7"/>
      <c r="BS788" s="7"/>
      <c r="BT788" s="7"/>
      <c r="BU788" s="7"/>
      <c r="BV788" s="7"/>
      <c r="BW788" s="7"/>
    </row>
    <row r="789">
      <c r="A789" s="7"/>
      <c r="B789" s="7"/>
      <c r="C789" s="7"/>
      <c r="D789" s="7"/>
      <c r="E789" s="19"/>
      <c r="F789" s="19"/>
      <c r="G789" s="19"/>
      <c r="H789" s="19"/>
      <c r="I789" s="19"/>
      <c r="J789" s="7"/>
      <c r="K789" s="19"/>
      <c r="L789" s="7"/>
      <c r="M789" s="7"/>
      <c r="N789" s="7"/>
      <c r="O789" s="7"/>
      <c r="P789" s="7"/>
      <c r="Q789" s="7"/>
      <c r="R789" s="7"/>
      <c r="S789" s="7"/>
      <c r="T789" s="7"/>
      <c r="U789" s="7"/>
      <c r="V789" s="388"/>
      <c r="W789" s="388"/>
      <c r="X789" s="388"/>
      <c r="Y789" s="7"/>
      <c r="Z789" s="7"/>
      <c r="AA789" s="7"/>
      <c r="AB789" s="7"/>
      <c r="AC789" s="7"/>
      <c r="AD789" s="7"/>
      <c r="AE789" s="7"/>
      <c r="AF789" s="7"/>
      <c r="AG789" s="7"/>
      <c r="AH789" s="7"/>
      <c r="AI789" s="7"/>
      <c r="AJ789" s="19"/>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row>
    <row r="790">
      <c r="A790" s="7"/>
      <c r="B790" s="7"/>
      <c r="C790" s="7"/>
      <c r="D790" s="7"/>
      <c r="E790" s="19"/>
      <c r="F790" s="19"/>
      <c r="G790" s="19"/>
      <c r="H790" s="19"/>
      <c r="I790" s="19"/>
      <c r="J790" s="7"/>
      <c r="K790" s="19"/>
      <c r="L790" s="7"/>
      <c r="M790" s="7"/>
      <c r="N790" s="7"/>
      <c r="O790" s="7"/>
      <c r="P790" s="7"/>
      <c r="Q790" s="7"/>
      <c r="R790" s="7"/>
      <c r="S790" s="7"/>
      <c r="T790" s="7"/>
      <c r="U790" s="7"/>
      <c r="V790" s="388"/>
      <c r="W790" s="388"/>
      <c r="X790" s="388"/>
      <c r="Y790" s="7"/>
      <c r="Z790" s="7"/>
      <c r="AA790" s="7"/>
      <c r="AB790" s="7"/>
      <c r="AC790" s="7"/>
      <c r="AD790" s="7"/>
      <c r="AE790" s="7"/>
      <c r="AF790" s="7"/>
      <c r="AG790" s="7"/>
      <c r="AH790" s="7"/>
      <c r="AI790" s="7"/>
      <c r="AJ790" s="19"/>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c r="BN790" s="7"/>
      <c r="BO790" s="7"/>
      <c r="BP790" s="7"/>
      <c r="BQ790" s="7"/>
      <c r="BR790" s="7"/>
      <c r="BS790" s="7"/>
      <c r="BT790" s="7"/>
      <c r="BU790" s="7"/>
      <c r="BV790" s="7"/>
      <c r="BW790" s="7"/>
    </row>
    <row r="791">
      <c r="A791" s="7"/>
      <c r="B791" s="7"/>
      <c r="C791" s="7"/>
      <c r="D791" s="7"/>
      <c r="E791" s="19"/>
      <c r="F791" s="19"/>
      <c r="G791" s="19"/>
      <c r="H791" s="19"/>
      <c r="I791" s="19"/>
      <c r="J791" s="7"/>
      <c r="K791" s="19"/>
      <c r="L791" s="7"/>
      <c r="M791" s="7"/>
      <c r="N791" s="7"/>
      <c r="O791" s="7"/>
      <c r="P791" s="7"/>
      <c r="Q791" s="7"/>
      <c r="R791" s="7"/>
      <c r="S791" s="7"/>
      <c r="T791" s="7"/>
      <c r="U791" s="7"/>
      <c r="V791" s="388"/>
      <c r="W791" s="388"/>
      <c r="X791" s="388"/>
      <c r="Y791" s="7"/>
      <c r="Z791" s="7"/>
      <c r="AA791" s="7"/>
      <c r="AB791" s="7"/>
      <c r="AC791" s="7"/>
      <c r="AD791" s="7"/>
      <c r="AE791" s="7"/>
      <c r="AF791" s="7"/>
      <c r="AG791" s="7"/>
      <c r="AH791" s="7"/>
      <c r="AI791" s="7"/>
      <c r="AJ791" s="19"/>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row>
    <row r="792">
      <c r="A792" s="7"/>
      <c r="B792" s="7"/>
      <c r="C792" s="7"/>
      <c r="D792" s="7"/>
      <c r="E792" s="19"/>
      <c r="F792" s="19"/>
      <c r="G792" s="19"/>
      <c r="H792" s="19"/>
      <c r="I792" s="19"/>
      <c r="J792" s="7"/>
      <c r="K792" s="19"/>
      <c r="L792" s="7"/>
      <c r="M792" s="7"/>
      <c r="N792" s="7"/>
      <c r="O792" s="7"/>
      <c r="P792" s="7"/>
      <c r="Q792" s="7"/>
      <c r="R792" s="7"/>
      <c r="S792" s="7"/>
      <c r="T792" s="7"/>
      <c r="U792" s="7"/>
      <c r="V792" s="388"/>
      <c r="W792" s="388"/>
      <c r="X792" s="388"/>
      <c r="Y792" s="7"/>
      <c r="Z792" s="7"/>
      <c r="AA792" s="7"/>
      <c r="AB792" s="7"/>
      <c r="AC792" s="7"/>
      <c r="AD792" s="7"/>
      <c r="AE792" s="7"/>
      <c r="AF792" s="7"/>
      <c r="AG792" s="7"/>
      <c r="AH792" s="7"/>
      <c r="AI792" s="7"/>
      <c r="AJ792" s="19"/>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c r="BN792" s="7"/>
      <c r="BO792" s="7"/>
      <c r="BP792" s="7"/>
      <c r="BQ792" s="7"/>
      <c r="BR792" s="7"/>
      <c r="BS792" s="7"/>
      <c r="BT792" s="7"/>
      <c r="BU792" s="7"/>
      <c r="BV792" s="7"/>
      <c r="BW792" s="7"/>
    </row>
    <row r="793">
      <c r="A793" s="7"/>
      <c r="B793" s="7"/>
      <c r="C793" s="7"/>
      <c r="D793" s="7"/>
      <c r="E793" s="19"/>
      <c r="F793" s="19"/>
      <c r="G793" s="19"/>
      <c r="H793" s="19"/>
      <c r="I793" s="19"/>
      <c r="J793" s="7"/>
      <c r="K793" s="19"/>
      <c r="L793" s="7"/>
      <c r="M793" s="7"/>
      <c r="N793" s="7"/>
      <c r="O793" s="7"/>
      <c r="P793" s="7"/>
      <c r="Q793" s="7"/>
      <c r="R793" s="7"/>
      <c r="S793" s="7"/>
      <c r="T793" s="7"/>
      <c r="U793" s="7"/>
      <c r="V793" s="388"/>
      <c r="W793" s="388"/>
      <c r="X793" s="388"/>
      <c r="Y793" s="7"/>
      <c r="Z793" s="7"/>
      <c r="AA793" s="7"/>
      <c r="AB793" s="7"/>
      <c r="AC793" s="7"/>
      <c r="AD793" s="7"/>
      <c r="AE793" s="7"/>
      <c r="AF793" s="7"/>
      <c r="AG793" s="7"/>
      <c r="AH793" s="7"/>
      <c r="AI793" s="7"/>
      <c r="AJ793" s="19"/>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row>
    <row r="794">
      <c r="A794" s="7"/>
      <c r="B794" s="7"/>
      <c r="C794" s="7"/>
      <c r="D794" s="7"/>
      <c r="E794" s="19"/>
      <c r="F794" s="19"/>
      <c r="G794" s="19"/>
      <c r="H794" s="19"/>
      <c r="I794" s="19"/>
      <c r="J794" s="7"/>
      <c r="K794" s="19"/>
      <c r="L794" s="7"/>
      <c r="M794" s="7"/>
      <c r="N794" s="7"/>
      <c r="O794" s="7"/>
      <c r="P794" s="7"/>
      <c r="Q794" s="7"/>
      <c r="R794" s="7"/>
      <c r="S794" s="7"/>
      <c r="T794" s="7"/>
      <c r="U794" s="7"/>
      <c r="V794" s="388"/>
      <c r="W794" s="388"/>
      <c r="X794" s="388"/>
      <c r="Y794" s="7"/>
      <c r="Z794" s="7"/>
      <c r="AA794" s="7"/>
      <c r="AB794" s="7"/>
      <c r="AC794" s="7"/>
      <c r="AD794" s="7"/>
      <c r="AE794" s="7"/>
      <c r="AF794" s="7"/>
      <c r="AG794" s="7"/>
      <c r="AH794" s="7"/>
      <c r="AI794" s="7"/>
      <c r="AJ794" s="19"/>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c r="BN794" s="7"/>
      <c r="BO794" s="7"/>
      <c r="BP794" s="7"/>
      <c r="BQ794" s="7"/>
      <c r="BR794" s="7"/>
      <c r="BS794" s="7"/>
      <c r="BT794" s="7"/>
      <c r="BU794" s="7"/>
      <c r="BV794" s="7"/>
      <c r="BW794" s="7"/>
    </row>
    <row r="795">
      <c r="A795" s="7"/>
      <c r="B795" s="7"/>
      <c r="C795" s="7"/>
      <c r="D795" s="7"/>
      <c r="E795" s="19"/>
      <c r="F795" s="19"/>
      <c r="G795" s="19"/>
      <c r="H795" s="19"/>
      <c r="I795" s="19"/>
      <c r="J795" s="7"/>
      <c r="K795" s="19"/>
      <c r="L795" s="7"/>
      <c r="M795" s="7"/>
      <c r="N795" s="7"/>
      <c r="O795" s="7"/>
      <c r="P795" s="7"/>
      <c r="Q795" s="7"/>
      <c r="R795" s="7"/>
      <c r="S795" s="7"/>
      <c r="T795" s="7"/>
      <c r="U795" s="7"/>
      <c r="V795" s="388"/>
      <c r="W795" s="388"/>
      <c r="X795" s="388"/>
      <c r="Y795" s="7"/>
      <c r="Z795" s="7"/>
      <c r="AA795" s="7"/>
      <c r="AB795" s="7"/>
      <c r="AC795" s="7"/>
      <c r="AD795" s="7"/>
      <c r="AE795" s="7"/>
      <c r="AF795" s="7"/>
      <c r="AG795" s="7"/>
      <c r="AH795" s="7"/>
      <c r="AI795" s="7"/>
      <c r="AJ795" s="19"/>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row>
    <row r="796">
      <c r="A796" s="7"/>
      <c r="B796" s="7"/>
      <c r="C796" s="7"/>
      <c r="D796" s="7"/>
      <c r="E796" s="19"/>
      <c r="F796" s="19"/>
      <c r="G796" s="19"/>
      <c r="H796" s="19"/>
      <c r="I796" s="19"/>
      <c r="J796" s="7"/>
      <c r="K796" s="19"/>
      <c r="L796" s="7"/>
      <c r="M796" s="7"/>
      <c r="N796" s="7"/>
      <c r="O796" s="7"/>
      <c r="P796" s="7"/>
      <c r="Q796" s="7"/>
      <c r="R796" s="7"/>
      <c r="S796" s="7"/>
      <c r="T796" s="7"/>
      <c r="U796" s="7"/>
      <c r="V796" s="388"/>
      <c r="W796" s="388"/>
      <c r="X796" s="388"/>
      <c r="Y796" s="7"/>
      <c r="Z796" s="7"/>
      <c r="AA796" s="7"/>
      <c r="AB796" s="7"/>
      <c r="AC796" s="7"/>
      <c r="AD796" s="7"/>
      <c r="AE796" s="7"/>
      <c r="AF796" s="7"/>
      <c r="AG796" s="7"/>
      <c r="AH796" s="7"/>
      <c r="AI796" s="7"/>
      <c r="AJ796" s="19"/>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c r="BN796" s="7"/>
      <c r="BO796" s="7"/>
      <c r="BP796" s="7"/>
      <c r="BQ796" s="7"/>
      <c r="BR796" s="7"/>
      <c r="BS796" s="7"/>
      <c r="BT796" s="7"/>
      <c r="BU796" s="7"/>
      <c r="BV796" s="7"/>
      <c r="BW796" s="7"/>
    </row>
    <row r="797">
      <c r="A797" s="7"/>
      <c r="B797" s="7"/>
      <c r="C797" s="7"/>
      <c r="D797" s="7"/>
      <c r="E797" s="19"/>
      <c r="F797" s="19"/>
      <c r="G797" s="19"/>
      <c r="H797" s="19"/>
      <c r="I797" s="19"/>
      <c r="J797" s="7"/>
      <c r="K797" s="19"/>
      <c r="L797" s="7"/>
      <c r="M797" s="7"/>
      <c r="N797" s="7"/>
      <c r="O797" s="7"/>
      <c r="P797" s="7"/>
      <c r="Q797" s="7"/>
      <c r="R797" s="7"/>
      <c r="S797" s="7"/>
      <c r="T797" s="7"/>
      <c r="U797" s="7"/>
      <c r="V797" s="388"/>
      <c r="W797" s="388"/>
      <c r="X797" s="388"/>
      <c r="Y797" s="7"/>
      <c r="Z797" s="7"/>
      <c r="AA797" s="7"/>
      <c r="AB797" s="7"/>
      <c r="AC797" s="7"/>
      <c r="AD797" s="7"/>
      <c r="AE797" s="7"/>
      <c r="AF797" s="7"/>
      <c r="AG797" s="7"/>
      <c r="AH797" s="7"/>
      <c r="AI797" s="7"/>
      <c r="AJ797" s="19"/>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row>
    <row r="798">
      <c r="A798" s="7"/>
      <c r="B798" s="7"/>
      <c r="C798" s="7"/>
      <c r="D798" s="7"/>
      <c r="E798" s="19"/>
      <c r="F798" s="19"/>
      <c r="G798" s="19"/>
      <c r="H798" s="19"/>
      <c r="I798" s="19"/>
      <c r="J798" s="7"/>
      <c r="K798" s="19"/>
      <c r="L798" s="7"/>
      <c r="M798" s="7"/>
      <c r="N798" s="7"/>
      <c r="O798" s="7"/>
      <c r="P798" s="7"/>
      <c r="Q798" s="7"/>
      <c r="R798" s="7"/>
      <c r="S798" s="7"/>
      <c r="T798" s="7"/>
      <c r="U798" s="7"/>
      <c r="V798" s="388"/>
      <c r="W798" s="388"/>
      <c r="X798" s="388"/>
      <c r="Y798" s="7"/>
      <c r="Z798" s="7"/>
      <c r="AA798" s="7"/>
      <c r="AB798" s="7"/>
      <c r="AC798" s="7"/>
      <c r="AD798" s="7"/>
      <c r="AE798" s="7"/>
      <c r="AF798" s="7"/>
      <c r="AG798" s="7"/>
      <c r="AH798" s="7"/>
      <c r="AI798" s="7"/>
      <c r="AJ798" s="19"/>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c r="BN798" s="7"/>
      <c r="BO798" s="7"/>
      <c r="BP798" s="7"/>
      <c r="BQ798" s="7"/>
      <c r="BR798" s="7"/>
      <c r="BS798" s="7"/>
      <c r="BT798" s="7"/>
      <c r="BU798" s="7"/>
      <c r="BV798" s="7"/>
      <c r="BW798" s="7"/>
    </row>
    <row r="799">
      <c r="A799" s="7"/>
      <c r="B799" s="7"/>
      <c r="C799" s="7"/>
      <c r="D799" s="7"/>
      <c r="E799" s="19"/>
      <c r="F799" s="19"/>
      <c r="G799" s="19"/>
      <c r="H799" s="19"/>
      <c r="I799" s="19"/>
      <c r="J799" s="7"/>
      <c r="K799" s="19"/>
      <c r="L799" s="7"/>
      <c r="M799" s="7"/>
      <c r="N799" s="7"/>
      <c r="O799" s="7"/>
      <c r="P799" s="7"/>
      <c r="Q799" s="7"/>
      <c r="R799" s="7"/>
      <c r="S799" s="7"/>
      <c r="T799" s="7"/>
      <c r="U799" s="7"/>
      <c r="V799" s="388"/>
      <c r="W799" s="388"/>
      <c r="X799" s="388"/>
      <c r="Y799" s="7"/>
      <c r="Z799" s="7"/>
      <c r="AA799" s="7"/>
      <c r="AB799" s="7"/>
      <c r="AC799" s="7"/>
      <c r="AD799" s="7"/>
      <c r="AE799" s="7"/>
      <c r="AF799" s="7"/>
      <c r="AG799" s="7"/>
      <c r="AH799" s="7"/>
      <c r="AI799" s="7"/>
      <c r="AJ799" s="19"/>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row>
    <row r="800">
      <c r="A800" s="7"/>
      <c r="B800" s="7"/>
      <c r="C800" s="7"/>
      <c r="D800" s="7"/>
      <c r="E800" s="19"/>
      <c r="F800" s="19"/>
      <c r="G800" s="19"/>
      <c r="H800" s="19"/>
      <c r="I800" s="19"/>
      <c r="J800" s="7"/>
      <c r="K800" s="19"/>
      <c r="L800" s="7"/>
      <c r="M800" s="7"/>
      <c r="N800" s="7"/>
      <c r="O800" s="7"/>
      <c r="P800" s="7"/>
      <c r="Q800" s="7"/>
      <c r="R800" s="7"/>
      <c r="S800" s="7"/>
      <c r="T800" s="7"/>
      <c r="U800" s="7"/>
      <c r="V800" s="388"/>
      <c r="W800" s="388"/>
      <c r="X800" s="388"/>
      <c r="Y800" s="7"/>
      <c r="Z800" s="7"/>
      <c r="AA800" s="7"/>
      <c r="AB800" s="7"/>
      <c r="AC800" s="7"/>
      <c r="AD800" s="7"/>
      <c r="AE800" s="7"/>
      <c r="AF800" s="7"/>
      <c r="AG800" s="7"/>
      <c r="AH800" s="7"/>
      <c r="AI800" s="7"/>
      <c r="AJ800" s="19"/>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c r="BN800" s="7"/>
      <c r="BO800" s="7"/>
      <c r="BP800" s="7"/>
      <c r="BQ800" s="7"/>
      <c r="BR800" s="7"/>
      <c r="BS800" s="7"/>
      <c r="BT800" s="7"/>
      <c r="BU800" s="7"/>
      <c r="BV800" s="7"/>
      <c r="BW800" s="7"/>
    </row>
    <row r="801">
      <c r="A801" s="7"/>
      <c r="B801" s="7"/>
      <c r="C801" s="7"/>
      <c r="D801" s="7"/>
      <c r="E801" s="19"/>
      <c r="F801" s="19"/>
      <c r="G801" s="19"/>
      <c r="H801" s="19"/>
      <c r="I801" s="19"/>
      <c r="J801" s="7"/>
      <c r="K801" s="19"/>
      <c r="L801" s="7"/>
      <c r="M801" s="7"/>
      <c r="N801" s="7"/>
      <c r="O801" s="7"/>
      <c r="P801" s="7"/>
      <c r="Q801" s="7"/>
      <c r="R801" s="7"/>
      <c r="S801" s="7"/>
      <c r="T801" s="7"/>
      <c r="U801" s="7"/>
      <c r="V801" s="388"/>
      <c r="W801" s="388"/>
      <c r="X801" s="388"/>
      <c r="Y801" s="7"/>
      <c r="Z801" s="7"/>
      <c r="AA801" s="7"/>
      <c r="AB801" s="7"/>
      <c r="AC801" s="7"/>
      <c r="AD801" s="7"/>
      <c r="AE801" s="7"/>
      <c r="AF801" s="7"/>
      <c r="AG801" s="7"/>
      <c r="AH801" s="7"/>
      <c r="AI801" s="7"/>
      <c r="AJ801" s="19"/>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row>
    <row r="802">
      <c r="A802" s="7"/>
      <c r="B802" s="7"/>
      <c r="C802" s="7"/>
      <c r="D802" s="7"/>
      <c r="E802" s="19"/>
      <c r="F802" s="19"/>
      <c r="G802" s="19"/>
      <c r="H802" s="19"/>
      <c r="I802" s="19"/>
      <c r="J802" s="7"/>
      <c r="K802" s="19"/>
      <c r="L802" s="7"/>
      <c r="M802" s="7"/>
      <c r="N802" s="7"/>
      <c r="O802" s="7"/>
      <c r="P802" s="7"/>
      <c r="Q802" s="7"/>
      <c r="R802" s="7"/>
      <c r="S802" s="7"/>
      <c r="T802" s="7"/>
      <c r="U802" s="7"/>
      <c r="V802" s="388"/>
      <c r="W802" s="388"/>
      <c r="X802" s="388"/>
      <c r="Y802" s="7"/>
      <c r="Z802" s="7"/>
      <c r="AA802" s="7"/>
      <c r="AB802" s="7"/>
      <c r="AC802" s="7"/>
      <c r="AD802" s="7"/>
      <c r="AE802" s="7"/>
      <c r="AF802" s="7"/>
      <c r="AG802" s="7"/>
      <c r="AH802" s="7"/>
      <c r="AI802" s="7"/>
      <c r="AJ802" s="19"/>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c r="BN802" s="7"/>
      <c r="BO802" s="7"/>
      <c r="BP802" s="7"/>
      <c r="BQ802" s="7"/>
      <c r="BR802" s="7"/>
      <c r="BS802" s="7"/>
      <c r="BT802" s="7"/>
      <c r="BU802" s="7"/>
      <c r="BV802" s="7"/>
      <c r="BW802" s="7"/>
    </row>
    <row r="803">
      <c r="A803" s="7"/>
      <c r="B803" s="7"/>
      <c r="C803" s="7"/>
      <c r="D803" s="7"/>
      <c r="E803" s="19"/>
      <c r="F803" s="19"/>
      <c r="G803" s="19"/>
      <c r="H803" s="19"/>
      <c r="I803" s="19"/>
      <c r="J803" s="7"/>
      <c r="K803" s="19"/>
      <c r="L803" s="7"/>
      <c r="M803" s="7"/>
      <c r="N803" s="7"/>
      <c r="O803" s="7"/>
      <c r="P803" s="7"/>
      <c r="Q803" s="7"/>
      <c r="R803" s="7"/>
      <c r="S803" s="7"/>
      <c r="T803" s="7"/>
      <c r="U803" s="7"/>
      <c r="V803" s="388"/>
      <c r="W803" s="388"/>
      <c r="X803" s="388"/>
      <c r="Y803" s="7"/>
      <c r="Z803" s="7"/>
      <c r="AA803" s="7"/>
      <c r="AB803" s="7"/>
      <c r="AC803" s="7"/>
      <c r="AD803" s="7"/>
      <c r="AE803" s="7"/>
      <c r="AF803" s="7"/>
      <c r="AG803" s="7"/>
      <c r="AH803" s="7"/>
      <c r="AI803" s="7"/>
      <c r="AJ803" s="19"/>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row>
    <row r="804">
      <c r="A804" s="7"/>
      <c r="B804" s="7"/>
      <c r="C804" s="7"/>
      <c r="D804" s="7"/>
      <c r="E804" s="19"/>
      <c r="F804" s="19"/>
      <c r="G804" s="19"/>
      <c r="H804" s="19"/>
      <c r="I804" s="19"/>
      <c r="J804" s="7"/>
      <c r="K804" s="19"/>
      <c r="L804" s="7"/>
      <c r="M804" s="7"/>
      <c r="N804" s="7"/>
      <c r="O804" s="7"/>
      <c r="P804" s="7"/>
      <c r="Q804" s="7"/>
      <c r="R804" s="7"/>
      <c r="S804" s="7"/>
      <c r="T804" s="7"/>
      <c r="U804" s="7"/>
      <c r="V804" s="388"/>
      <c r="W804" s="388"/>
      <c r="X804" s="388"/>
      <c r="Y804" s="7"/>
      <c r="Z804" s="7"/>
      <c r="AA804" s="7"/>
      <c r="AB804" s="7"/>
      <c r="AC804" s="7"/>
      <c r="AD804" s="7"/>
      <c r="AE804" s="7"/>
      <c r="AF804" s="7"/>
      <c r="AG804" s="7"/>
      <c r="AH804" s="7"/>
      <c r="AI804" s="7"/>
      <c r="AJ804" s="19"/>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c r="BN804" s="7"/>
      <c r="BO804" s="7"/>
      <c r="BP804" s="7"/>
      <c r="BQ804" s="7"/>
      <c r="BR804" s="7"/>
      <c r="BS804" s="7"/>
      <c r="BT804" s="7"/>
      <c r="BU804" s="7"/>
      <c r="BV804" s="7"/>
      <c r="BW804" s="7"/>
    </row>
    <row r="805">
      <c r="A805" s="7"/>
      <c r="B805" s="7"/>
      <c r="C805" s="7"/>
      <c r="D805" s="7"/>
      <c r="E805" s="19"/>
      <c r="F805" s="19"/>
      <c r="G805" s="19"/>
      <c r="H805" s="19"/>
      <c r="I805" s="19"/>
      <c r="J805" s="7"/>
      <c r="K805" s="19"/>
      <c r="L805" s="7"/>
      <c r="M805" s="7"/>
      <c r="N805" s="7"/>
      <c r="O805" s="7"/>
      <c r="P805" s="7"/>
      <c r="Q805" s="7"/>
      <c r="R805" s="7"/>
      <c r="S805" s="7"/>
      <c r="T805" s="7"/>
      <c r="U805" s="7"/>
      <c r="V805" s="388"/>
      <c r="W805" s="388"/>
      <c r="X805" s="388"/>
      <c r="Y805" s="7"/>
      <c r="Z805" s="7"/>
      <c r="AA805" s="7"/>
      <c r="AB805" s="7"/>
      <c r="AC805" s="7"/>
      <c r="AD805" s="7"/>
      <c r="AE805" s="7"/>
      <c r="AF805" s="7"/>
      <c r="AG805" s="7"/>
      <c r="AH805" s="7"/>
      <c r="AI805" s="7"/>
      <c r="AJ805" s="19"/>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row>
    <row r="806">
      <c r="A806" s="7"/>
      <c r="B806" s="7"/>
      <c r="C806" s="7"/>
      <c r="D806" s="7"/>
      <c r="E806" s="19"/>
      <c r="F806" s="19"/>
      <c r="G806" s="19"/>
      <c r="H806" s="19"/>
      <c r="I806" s="19"/>
      <c r="J806" s="7"/>
      <c r="K806" s="19"/>
      <c r="L806" s="7"/>
      <c r="M806" s="7"/>
      <c r="N806" s="7"/>
      <c r="O806" s="7"/>
      <c r="P806" s="7"/>
      <c r="Q806" s="7"/>
      <c r="R806" s="7"/>
      <c r="S806" s="7"/>
      <c r="T806" s="7"/>
      <c r="U806" s="7"/>
      <c r="V806" s="388"/>
      <c r="W806" s="388"/>
      <c r="X806" s="388"/>
      <c r="Y806" s="7"/>
      <c r="Z806" s="7"/>
      <c r="AA806" s="7"/>
      <c r="AB806" s="7"/>
      <c r="AC806" s="7"/>
      <c r="AD806" s="7"/>
      <c r="AE806" s="7"/>
      <c r="AF806" s="7"/>
      <c r="AG806" s="7"/>
      <c r="AH806" s="7"/>
      <c r="AI806" s="7"/>
      <c r="AJ806" s="19"/>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c r="BN806" s="7"/>
      <c r="BO806" s="7"/>
      <c r="BP806" s="7"/>
      <c r="BQ806" s="7"/>
      <c r="BR806" s="7"/>
      <c r="BS806" s="7"/>
      <c r="BT806" s="7"/>
      <c r="BU806" s="7"/>
      <c r="BV806" s="7"/>
      <c r="BW806" s="7"/>
    </row>
    <row r="807">
      <c r="A807" s="7"/>
      <c r="B807" s="7"/>
      <c r="C807" s="7"/>
      <c r="D807" s="7"/>
      <c r="E807" s="19"/>
      <c r="F807" s="19"/>
      <c r="G807" s="19"/>
      <c r="H807" s="19"/>
      <c r="I807" s="19"/>
      <c r="J807" s="7"/>
      <c r="K807" s="19"/>
      <c r="L807" s="7"/>
      <c r="M807" s="7"/>
      <c r="N807" s="7"/>
      <c r="O807" s="7"/>
      <c r="P807" s="7"/>
      <c r="Q807" s="7"/>
      <c r="R807" s="7"/>
      <c r="S807" s="7"/>
      <c r="T807" s="7"/>
      <c r="U807" s="7"/>
      <c r="V807" s="388"/>
      <c r="W807" s="388"/>
      <c r="X807" s="388"/>
      <c r="Y807" s="7"/>
      <c r="Z807" s="7"/>
      <c r="AA807" s="7"/>
      <c r="AB807" s="7"/>
      <c r="AC807" s="7"/>
      <c r="AD807" s="7"/>
      <c r="AE807" s="7"/>
      <c r="AF807" s="7"/>
      <c r="AG807" s="7"/>
      <c r="AH807" s="7"/>
      <c r="AI807" s="7"/>
      <c r="AJ807" s="19"/>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row>
    <row r="808">
      <c r="A808" s="7"/>
      <c r="B808" s="7"/>
      <c r="C808" s="7"/>
      <c r="D808" s="7"/>
      <c r="E808" s="19"/>
      <c r="F808" s="19"/>
      <c r="G808" s="19"/>
      <c r="H808" s="19"/>
      <c r="I808" s="19"/>
      <c r="J808" s="7"/>
      <c r="K808" s="19"/>
      <c r="L808" s="7"/>
      <c r="M808" s="7"/>
      <c r="N808" s="7"/>
      <c r="O808" s="7"/>
      <c r="P808" s="7"/>
      <c r="Q808" s="7"/>
      <c r="R808" s="7"/>
      <c r="S808" s="7"/>
      <c r="T808" s="7"/>
      <c r="U808" s="7"/>
      <c r="V808" s="388"/>
      <c r="W808" s="388"/>
      <c r="X808" s="388"/>
      <c r="Y808" s="7"/>
      <c r="Z808" s="7"/>
      <c r="AA808" s="7"/>
      <c r="AB808" s="7"/>
      <c r="AC808" s="7"/>
      <c r="AD808" s="7"/>
      <c r="AE808" s="7"/>
      <c r="AF808" s="7"/>
      <c r="AG808" s="7"/>
      <c r="AH808" s="7"/>
      <c r="AI808" s="7"/>
      <c r="AJ808" s="19"/>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c r="BN808" s="7"/>
      <c r="BO808" s="7"/>
      <c r="BP808" s="7"/>
      <c r="BQ808" s="7"/>
      <c r="BR808" s="7"/>
      <c r="BS808" s="7"/>
      <c r="BT808" s="7"/>
      <c r="BU808" s="7"/>
      <c r="BV808" s="7"/>
      <c r="BW808" s="7"/>
    </row>
    <row r="809">
      <c r="A809" s="7"/>
      <c r="B809" s="7"/>
      <c r="C809" s="7"/>
      <c r="D809" s="7"/>
      <c r="E809" s="19"/>
      <c r="F809" s="19"/>
      <c r="G809" s="19"/>
      <c r="H809" s="19"/>
      <c r="I809" s="19"/>
      <c r="J809" s="7"/>
      <c r="K809" s="19"/>
      <c r="L809" s="7"/>
      <c r="M809" s="7"/>
      <c r="N809" s="7"/>
      <c r="O809" s="7"/>
      <c r="P809" s="7"/>
      <c r="Q809" s="7"/>
      <c r="R809" s="7"/>
      <c r="S809" s="7"/>
      <c r="T809" s="7"/>
      <c r="U809" s="7"/>
      <c r="V809" s="388"/>
      <c r="W809" s="388"/>
      <c r="X809" s="388"/>
      <c r="Y809" s="7"/>
      <c r="Z809" s="7"/>
      <c r="AA809" s="7"/>
      <c r="AB809" s="7"/>
      <c r="AC809" s="7"/>
      <c r="AD809" s="7"/>
      <c r="AE809" s="7"/>
      <c r="AF809" s="7"/>
      <c r="AG809" s="7"/>
      <c r="AH809" s="7"/>
      <c r="AI809" s="7"/>
      <c r="AJ809" s="19"/>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row>
    <row r="810">
      <c r="A810" s="7"/>
      <c r="B810" s="7"/>
      <c r="C810" s="7"/>
      <c r="D810" s="7"/>
      <c r="E810" s="19"/>
      <c r="F810" s="19"/>
      <c r="G810" s="19"/>
      <c r="H810" s="19"/>
      <c r="I810" s="19"/>
      <c r="J810" s="7"/>
      <c r="K810" s="19"/>
      <c r="L810" s="7"/>
      <c r="M810" s="7"/>
      <c r="N810" s="7"/>
      <c r="O810" s="7"/>
      <c r="P810" s="7"/>
      <c r="Q810" s="7"/>
      <c r="R810" s="7"/>
      <c r="S810" s="7"/>
      <c r="T810" s="7"/>
      <c r="U810" s="7"/>
      <c r="V810" s="388"/>
      <c r="W810" s="388"/>
      <c r="X810" s="388"/>
      <c r="Y810" s="7"/>
      <c r="Z810" s="7"/>
      <c r="AA810" s="7"/>
      <c r="AB810" s="7"/>
      <c r="AC810" s="7"/>
      <c r="AD810" s="7"/>
      <c r="AE810" s="7"/>
      <c r="AF810" s="7"/>
      <c r="AG810" s="7"/>
      <c r="AH810" s="7"/>
      <c r="AI810" s="7"/>
      <c r="AJ810" s="19"/>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c r="BN810" s="7"/>
      <c r="BO810" s="7"/>
      <c r="BP810" s="7"/>
      <c r="BQ810" s="7"/>
      <c r="BR810" s="7"/>
      <c r="BS810" s="7"/>
      <c r="BT810" s="7"/>
      <c r="BU810" s="7"/>
      <c r="BV810" s="7"/>
      <c r="BW810" s="7"/>
    </row>
    <row r="811">
      <c r="A811" s="7"/>
      <c r="B811" s="7"/>
      <c r="C811" s="7"/>
      <c r="D811" s="7"/>
      <c r="E811" s="19"/>
      <c r="F811" s="19"/>
      <c r="G811" s="19"/>
      <c r="H811" s="19"/>
      <c r="I811" s="19"/>
      <c r="J811" s="7"/>
      <c r="K811" s="19"/>
      <c r="L811" s="7"/>
      <c r="M811" s="7"/>
      <c r="N811" s="7"/>
      <c r="O811" s="7"/>
      <c r="P811" s="7"/>
      <c r="Q811" s="7"/>
      <c r="R811" s="7"/>
      <c r="S811" s="7"/>
      <c r="T811" s="7"/>
      <c r="U811" s="7"/>
      <c r="V811" s="388"/>
      <c r="W811" s="388"/>
      <c r="X811" s="388"/>
      <c r="Y811" s="7"/>
      <c r="Z811" s="7"/>
      <c r="AA811" s="7"/>
      <c r="AB811" s="7"/>
      <c r="AC811" s="7"/>
      <c r="AD811" s="7"/>
      <c r="AE811" s="7"/>
      <c r="AF811" s="7"/>
      <c r="AG811" s="7"/>
      <c r="AH811" s="7"/>
      <c r="AI811" s="7"/>
      <c r="AJ811" s="19"/>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row>
    <row r="812">
      <c r="A812" s="7"/>
      <c r="B812" s="7"/>
      <c r="C812" s="7"/>
      <c r="D812" s="7"/>
      <c r="E812" s="19"/>
      <c r="F812" s="19"/>
      <c r="G812" s="19"/>
      <c r="H812" s="19"/>
      <c r="I812" s="19"/>
      <c r="J812" s="7"/>
      <c r="K812" s="19"/>
      <c r="L812" s="7"/>
      <c r="M812" s="7"/>
      <c r="N812" s="7"/>
      <c r="O812" s="7"/>
      <c r="P812" s="7"/>
      <c r="Q812" s="7"/>
      <c r="R812" s="7"/>
      <c r="S812" s="7"/>
      <c r="T812" s="7"/>
      <c r="U812" s="7"/>
      <c r="V812" s="388"/>
      <c r="W812" s="388"/>
      <c r="X812" s="388"/>
      <c r="Y812" s="7"/>
      <c r="Z812" s="7"/>
      <c r="AA812" s="7"/>
      <c r="AB812" s="7"/>
      <c r="AC812" s="7"/>
      <c r="AD812" s="7"/>
      <c r="AE812" s="7"/>
      <c r="AF812" s="7"/>
      <c r="AG812" s="7"/>
      <c r="AH812" s="7"/>
      <c r="AI812" s="7"/>
      <c r="AJ812" s="19"/>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c r="BN812" s="7"/>
      <c r="BO812" s="7"/>
      <c r="BP812" s="7"/>
      <c r="BQ812" s="7"/>
      <c r="BR812" s="7"/>
      <c r="BS812" s="7"/>
      <c r="BT812" s="7"/>
      <c r="BU812" s="7"/>
      <c r="BV812" s="7"/>
      <c r="BW812" s="7"/>
    </row>
    <row r="813">
      <c r="A813" s="7"/>
      <c r="B813" s="7"/>
      <c r="C813" s="7"/>
      <c r="D813" s="7"/>
      <c r="E813" s="19"/>
      <c r="F813" s="19"/>
      <c r="G813" s="19"/>
      <c r="H813" s="19"/>
      <c r="I813" s="19"/>
      <c r="J813" s="7"/>
      <c r="K813" s="19"/>
      <c r="L813" s="7"/>
      <c r="M813" s="7"/>
      <c r="N813" s="7"/>
      <c r="O813" s="7"/>
      <c r="P813" s="7"/>
      <c r="Q813" s="7"/>
      <c r="R813" s="7"/>
      <c r="S813" s="7"/>
      <c r="T813" s="7"/>
      <c r="U813" s="7"/>
      <c r="V813" s="388"/>
      <c r="W813" s="388"/>
      <c r="X813" s="388"/>
      <c r="Y813" s="7"/>
      <c r="Z813" s="7"/>
      <c r="AA813" s="7"/>
      <c r="AB813" s="7"/>
      <c r="AC813" s="7"/>
      <c r="AD813" s="7"/>
      <c r="AE813" s="7"/>
      <c r="AF813" s="7"/>
      <c r="AG813" s="7"/>
      <c r="AH813" s="7"/>
      <c r="AI813" s="7"/>
      <c r="AJ813" s="19"/>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row>
    <row r="814">
      <c r="A814" s="7"/>
      <c r="B814" s="7"/>
      <c r="C814" s="7"/>
      <c r="D814" s="7"/>
      <c r="E814" s="19"/>
      <c r="F814" s="19"/>
      <c r="G814" s="19"/>
      <c r="H814" s="19"/>
      <c r="I814" s="19"/>
      <c r="J814" s="7"/>
      <c r="K814" s="19"/>
      <c r="L814" s="7"/>
      <c r="M814" s="7"/>
      <c r="N814" s="7"/>
      <c r="O814" s="7"/>
      <c r="P814" s="7"/>
      <c r="Q814" s="7"/>
      <c r="R814" s="7"/>
      <c r="S814" s="7"/>
      <c r="T814" s="7"/>
      <c r="U814" s="7"/>
      <c r="V814" s="388"/>
      <c r="W814" s="388"/>
      <c r="X814" s="388"/>
      <c r="Y814" s="7"/>
      <c r="Z814" s="7"/>
      <c r="AA814" s="7"/>
      <c r="AB814" s="7"/>
      <c r="AC814" s="7"/>
      <c r="AD814" s="7"/>
      <c r="AE814" s="7"/>
      <c r="AF814" s="7"/>
      <c r="AG814" s="7"/>
      <c r="AH814" s="7"/>
      <c r="AI814" s="7"/>
      <c r="AJ814" s="19"/>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c r="BN814" s="7"/>
      <c r="BO814" s="7"/>
      <c r="BP814" s="7"/>
      <c r="BQ814" s="7"/>
      <c r="BR814" s="7"/>
      <c r="BS814" s="7"/>
      <c r="BT814" s="7"/>
      <c r="BU814" s="7"/>
      <c r="BV814" s="7"/>
      <c r="BW814" s="7"/>
    </row>
    <row r="815">
      <c r="A815" s="7"/>
      <c r="B815" s="7"/>
      <c r="C815" s="7"/>
      <c r="D815" s="7"/>
      <c r="E815" s="19"/>
      <c r="F815" s="19"/>
      <c r="G815" s="19"/>
      <c r="H815" s="19"/>
      <c r="I815" s="19"/>
      <c r="J815" s="7"/>
      <c r="K815" s="19"/>
      <c r="L815" s="7"/>
      <c r="M815" s="7"/>
      <c r="N815" s="7"/>
      <c r="O815" s="7"/>
      <c r="P815" s="7"/>
      <c r="Q815" s="7"/>
      <c r="R815" s="7"/>
      <c r="S815" s="7"/>
      <c r="T815" s="7"/>
      <c r="U815" s="7"/>
      <c r="V815" s="388"/>
      <c r="W815" s="388"/>
      <c r="X815" s="388"/>
      <c r="Y815" s="7"/>
      <c r="Z815" s="7"/>
      <c r="AA815" s="7"/>
      <c r="AB815" s="7"/>
      <c r="AC815" s="7"/>
      <c r="AD815" s="7"/>
      <c r="AE815" s="7"/>
      <c r="AF815" s="7"/>
      <c r="AG815" s="7"/>
      <c r="AH815" s="7"/>
      <c r="AI815" s="7"/>
      <c r="AJ815" s="19"/>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row>
    <row r="816">
      <c r="A816" s="7"/>
      <c r="B816" s="7"/>
      <c r="C816" s="7"/>
      <c r="D816" s="7"/>
      <c r="E816" s="19"/>
      <c r="F816" s="19"/>
      <c r="G816" s="19"/>
      <c r="H816" s="19"/>
      <c r="I816" s="19"/>
      <c r="J816" s="7"/>
      <c r="K816" s="19"/>
      <c r="L816" s="7"/>
      <c r="M816" s="7"/>
      <c r="N816" s="7"/>
      <c r="O816" s="7"/>
      <c r="P816" s="7"/>
      <c r="Q816" s="7"/>
      <c r="R816" s="7"/>
      <c r="S816" s="7"/>
      <c r="T816" s="7"/>
      <c r="U816" s="7"/>
      <c r="V816" s="388"/>
      <c r="W816" s="388"/>
      <c r="X816" s="388"/>
      <c r="Y816" s="7"/>
      <c r="Z816" s="7"/>
      <c r="AA816" s="7"/>
      <c r="AB816" s="7"/>
      <c r="AC816" s="7"/>
      <c r="AD816" s="7"/>
      <c r="AE816" s="7"/>
      <c r="AF816" s="7"/>
      <c r="AG816" s="7"/>
      <c r="AH816" s="7"/>
      <c r="AI816" s="7"/>
      <c r="AJ816" s="19"/>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c r="BN816" s="7"/>
      <c r="BO816" s="7"/>
      <c r="BP816" s="7"/>
      <c r="BQ816" s="7"/>
      <c r="BR816" s="7"/>
      <c r="BS816" s="7"/>
      <c r="BT816" s="7"/>
      <c r="BU816" s="7"/>
      <c r="BV816" s="7"/>
      <c r="BW816" s="7"/>
    </row>
    <row r="817">
      <c r="A817" s="7"/>
      <c r="B817" s="7"/>
      <c r="C817" s="7"/>
      <c r="D817" s="7"/>
      <c r="E817" s="19"/>
      <c r="F817" s="19"/>
      <c r="G817" s="19"/>
      <c r="H817" s="19"/>
      <c r="I817" s="19"/>
      <c r="J817" s="7"/>
      <c r="K817" s="19"/>
      <c r="L817" s="7"/>
      <c r="M817" s="7"/>
      <c r="N817" s="7"/>
      <c r="O817" s="7"/>
      <c r="P817" s="7"/>
      <c r="Q817" s="7"/>
      <c r="R817" s="7"/>
      <c r="S817" s="7"/>
      <c r="T817" s="7"/>
      <c r="U817" s="7"/>
      <c r="V817" s="388"/>
      <c r="W817" s="388"/>
      <c r="X817" s="388"/>
      <c r="Y817" s="7"/>
      <c r="Z817" s="7"/>
      <c r="AA817" s="7"/>
      <c r="AB817" s="7"/>
      <c r="AC817" s="7"/>
      <c r="AD817" s="7"/>
      <c r="AE817" s="7"/>
      <c r="AF817" s="7"/>
      <c r="AG817" s="7"/>
      <c r="AH817" s="7"/>
      <c r="AI817" s="7"/>
      <c r="AJ817" s="19"/>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row>
    <row r="818">
      <c r="A818" s="7"/>
      <c r="B818" s="7"/>
      <c r="C818" s="7"/>
      <c r="D818" s="7"/>
      <c r="E818" s="19"/>
      <c r="F818" s="19"/>
      <c r="G818" s="19"/>
      <c r="H818" s="19"/>
      <c r="I818" s="19"/>
      <c r="J818" s="7"/>
      <c r="K818" s="19"/>
      <c r="L818" s="7"/>
      <c r="M818" s="7"/>
      <c r="N818" s="7"/>
      <c r="O818" s="7"/>
      <c r="P818" s="7"/>
      <c r="Q818" s="7"/>
      <c r="R818" s="7"/>
      <c r="S818" s="7"/>
      <c r="T818" s="7"/>
      <c r="U818" s="7"/>
      <c r="V818" s="388"/>
      <c r="W818" s="388"/>
      <c r="X818" s="388"/>
      <c r="Y818" s="7"/>
      <c r="Z818" s="7"/>
      <c r="AA818" s="7"/>
      <c r="AB818" s="7"/>
      <c r="AC818" s="7"/>
      <c r="AD818" s="7"/>
      <c r="AE818" s="7"/>
      <c r="AF818" s="7"/>
      <c r="AG818" s="7"/>
      <c r="AH818" s="7"/>
      <c r="AI818" s="7"/>
      <c r="AJ818" s="19"/>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c r="BN818" s="7"/>
      <c r="BO818" s="7"/>
      <c r="BP818" s="7"/>
      <c r="BQ818" s="7"/>
      <c r="BR818" s="7"/>
      <c r="BS818" s="7"/>
      <c r="BT818" s="7"/>
      <c r="BU818" s="7"/>
      <c r="BV818" s="7"/>
      <c r="BW818" s="7"/>
    </row>
    <row r="819">
      <c r="A819" s="7"/>
      <c r="B819" s="7"/>
      <c r="C819" s="7"/>
      <c r="D819" s="7"/>
      <c r="E819" s="19"/>
      <c r="F819" s="19"/>
      <c r="G819" s="19"/>
      <c r="H819" s="19"/>
      <c r="I819" s="19"/>
      <c r="J819" s="7"/>
      <c r="K819" s="19"/>
      <c r="L819" s="7"/>
      <c r="M819" s="7"/>
      <c r="N819" s="7"/>
      <c r="O819" s="7"/>
      <c r="P819" s="7"/>
      <c r="Q819" s="7"/>
      <c r="R819" s="7"/>
      <c r="S819" s="7"/>
      <c r="T819" s="7"/>
      <c r="U819" s="7"/>
      <c r="V819" s="388"/>
      <c r="W819" s="388"/>
      <c r="X819" s="388"/>
      <c r="Y819" s="7"/>
      <c r="Z819" s="7"/>
      <c r="AA819" s="7"/>
      <c r="AB819" s="7"/>
      <c r="AC819" s="7"/>
      <c r="AD819" s="7"/>
      <c r="AE819" s="7"/>
      <c r="AF819" s="7"/>
      <c r="AG819" s="7"/>
      <c r="AH819" s="7"/>
      <c r="AI819" s="7"/>
      <c r="AJ819" s="19"/>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row>
    <row r="820">
      <c r="A820" s="7"/>
      <c r="B820" s="7"/>
      <c r="C820" s="7"/>
      <c r="D820" s="7"/>
      <c r="E820" s="19"/>
      <c r="F820" s="19"/>
      <c r="G820" s="19"/>
      <c r="H820" s="19"/>
      <c r="I820" s="19"/>
      <c r="J820" s="7"/>
      <c r="K820" s="19"/>
      <c r="L820" s="7"/>
      <c r="M820" s="7"/>
      <c r="N820" s="7"/>
      <c r="O820" s="7"/>
      <c r="P820" s="7"/>
      <c r="Q820" s="7"/>
      <c r="R820" s="7"/>
      <c r="S820" s="7"/>
      <c r="T820" s="7"/>
      <c r="U820" s="7"/>
      <c r="V820" s="388"/>
      <c r="W820" s="388"/>
      <c r="X820" s="388"/>
      <c r="Y820" s="7"/>
      <c r="Z820" s="7"/>
      <c r="AA820" s="7"/>
      <c r="AB820" s="7"/>
      <c r="AC820" s="7"/>
      <c r="AD820" s="7"/>
      <c r="AE820" s="7"/>
      <c r="AF820" s="7"/>
      <c r="AG820" s="7"/>
      <c r="AH820" s="7"/>
      <c r="AI820" s="7"/>
      <c r="AJ820" s="19"/>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row>
    <row r="821">
      <c r="A821" s="7"/>
      <c r="B821" s="7"/>
      <c r="C821" s="7"/>
      <c r="D821" s="7"/>
      <c r="E821" s="19"/>
      <c r="F821" s="19"/>
      <c r="G821" s="19"/>
      <c r="H821" s="19"/>
      <c r="I821" s="19"/>
      <c r="J821" s="7"/>
      <c r="K821" s="19"/>
      <c r="L821" s="7"/>
      <c r="M821" s="7"/>
      <c r="N821" s="7"/>
      <c r="O821" s="7"/>
      <c r="P821" s="7"/>
      <c r="Q821" s="7"/>
      <c r="R821" s="7"/>
      <c r="S821" s="7"/>
      <c r="T821" s="7"/>
      <c r="U821" s="7"/>
      <c r="V821" s="388"/>
      <c r="W821" s="388"/>
      <c r="X821" s="388"/>
      <c r="Y821" s="7"/>
      <c r="Z821" s="7"/>
      <c r="AA821" s="7"/>
      <c r="AB821" s="7"/>
      <c r="AC821" s="7"/>
      <c r="AD821" s="7"/>
      <c r="AE821" s="7"/>
      <c r="AF821" s="7"/>
      <c r="AG821" s="7"/>
      <c r="AH821" s="7"/>
      <c r="AI821" s="7"/>
      <c r="AJ821" s="19"/>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row>
    <row r="822">
      <c r="A822" s="7"/>
      <c r="B822" s="7"/>
      <c r="C822" s="7"/>
      <c r="D822" s="7"/>
      <c r="E822" s="19"/>
      <c r="F822" s="19"/>
      <c r="G822" s="19"/>
      <c r="H822" s="19"/>
      <c r="I822" s="19"/>
      <c r="J822" s="7"/>
      <c r="K822" s="19"/>
      <c r="L822" s="7"/>
      <c r="M822" s="7"/>
      <c r="N822" s="7"/>
      <c r="O822" s="7"/>
      <c r="P822" s="7"/>
      <c r="Q822" s="7"/>
      <c r="R822" s="7"/>
      <c r="S822" s="7"/>
      <c r="T822" s="7"/>
      <c r="U822" s="7"/>
      <c r="V822" s="388"/>
      <c r="W822" s="388"/>
      <c r="X822" s="388"/>
      <c r="Y822" s="7"/>
      <c r="Z822" s="7"/>
      <c r="AA822" s="7"/>
      <c r="AB822" s="7"/>
      <c r="AC822" s="7"/>
      <c r="AD822" s="7"/>
      <c r="AE822" s="7"/>
      <c r="AF822" s="7"/>
      <c r="AG822" s="7"/>
      <c r="AH822" s="7"/>
      <c r="AI822" s="7"/>
      <c r="AJ822" s="19"/>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row>
    <row r="823">
      <c r="A823" s="7"/>
      <c r="B823" s="7"/>
      <c r="C823" s="7"/>
      <c r="D823" s="7"/>
      <c r="E823" s="19"/>
      <c r="F823" s="19"/>
      <c r="G823" s="19"/>
      <c r="H823" s="19"/>
      <c r="I823" s="19"/>
      <c r="J823" s="7"/>
      <c r="K823" s="19"/>
      <c r="L823" s="7"/>
      <c r="M823" s="7"/>
      <c r="N823" s="7"/>
      <c r="O823" s="7"/>
      <c r="P823" s="7"/>
      <c r="Q823" s="7"/>
      <c r="R823" s="7"/>
      <c r="S823" s="7"/>
      <c r="T823" s="7"/>
      <c r="U823" s="7"/>
      <c r="V823" s="388"/>
      <c r="W823" s="388"/>
      <c r="X823" s="388"/>
      <c r="Y823" s="7"/>
      <c r="Z823" s="7"/>
      <c r="AA823" s="7"/>
      <c r="AB823" s="7"/>
      <c r="AC823" s="7"/>
      <c r="AD823" s="7"/>
      <c r="AE823" s="7"/>
      <c r="AF823" s="7"/>
      <c r="AG823" s="7"/>
      <c r="AH823" s="7"/>
      <c r="AI823" s="7"/>
      <c r="AJ823" s="19"/>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row>
    <row r="824">
      <c r="A824" s="7"/>
      <c r="B824" s="7"/>
      <c r="C824" s="7"/>
      <c r="D824" s="7"/>
      <c r="E824" s="19"/>
      <c r="F824" s="19"/>
      <c r="G824" s="19"/>
      <c r="H824" s="19"/>
      <c r="I824" s="19"/>
      <c r="J824" s="7"/>
      <c r="K824" s="19"/>
      <c r="L824" s="7"/>
      <c r="M824" s="7"/>
      <c r="N824" s="7"/>
      <c r="O824" s="7"/>
      <c r="P824" s="7"/>
      <c r="Q824" s="7"/>
      <c r="R824" s="7"/>
      <c r="S824" s="7"/>
      <c r="T824" s="7"/>
      <c r="U824" s="7"/>
      <c r="V824" s="388"/>
      <c r="W824" s="388"/>
      <c r="X824" s="388"/>
      <c r="Y824" s="7"/>
      <c r="Z824" s="7"/>
      <c r="AA824" s="7"/>
      <c r="AB824" s="7"/>
      <c r="AC824" s="7"/>
      <c r="AD824" s="7"/>
      <c r="AE824" s="7"/>
      <c r="AF824" s="7"/>
      <c r="AG824" s="7"/>
      <c r="AH824" s="7"/>
      <c r="AI824" s="7"/>
      <c r="AJ824" s="19"/>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row>
    <row r="825">
      <c r="A825" s="7"/>
      <c r="B825" s="7"/>
      <c r="C825" s="7"/>
      <c r="D825" s="7"/>
      <c r="E825" s="19"/>
      <c r="F825" s="19"/>
      <c r="G825" s="19"/>
      <c r="H825" s="19"/>
      <c r="I825" s="19"/>
      <c r="J825" s="7"/>
      <c r="K825" s="19"/>
      <c r="L825" s="7"/>
      <c r="M825" s="7"/>
      <c r="N825" s="7"/>
      <c r="O825" s="7"/>
      <c r="P825" s="7"/>
      <c r="Q825" s="7"/>
      <c r="R825" s="7"/>
      <c r="S825" s="7"/>
      <c r="T825" s="7"/>
      <c r="U825" s="7"/>
      <c r="V825" s="388"/>
      <c r="W825" s="388"/>
      <c r="X825" s="388"/>
      <c r="Y825" s="7"/>
      <c r="Z825" s="7"/>
      <c r="AA825" s="7"/>
      <c r="AB825" s="7"/>
      <c r="AC825" s="7"/>
      <c r="AD825" s="7"/>
      <c r="AE825" s="7"/>
      <c r="AF825" s="7"/>
      <c r="AG825" s="7"/>
      <c r="AH825" s="7"/>
      <c r="AI825" s="7"/>
      <c r="AJ825" s="19"/>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row>
    <row r="826">
      <c r="A826" s="7"/>
      <c r="B826" s="7"/>
      <c r="C826" s="7"/>
      <c r="D826" s="7"/>
      <c r="E826" s="19"/>
      <c r="F826" s="19"/>
      <c r="G826" s="19"/>
      <c r="H826" s="19"/>
      <c r="I826" s="19"/>
      <c r="J826" s="7"/>
      <c r="K826" s="19"/>
      <c r="L826" s="7"/>
      <c r="M826" s="7"/>
      <c r="N826" s="7"/>
      <c r="O826" s="7"/>
      <c r="P826" s="7"/>
      <c r="Q826" s="7"/>
      <c r="R826" s="7"/>
      <c r="S826" s="7"/>
      <c r="T826" s="7"/>
      <c r="U826" s="7"/>
      <c r="V826" s="388"/>
      <c r="W826" s="388"/>
      <c r="X826" s="388"/>
      <c r="Y826" s="7"/>
      <c r="Z826" s="7"/>
      <c r="AA826" s="7"/>
      <c r="AB826" s="7"/>
      <c r="AC826" s="7"/>
      <c r="AD826" s="7"/>
      <c r="AE826" s="7"/>
      <c r="AF826" s="7"/>
      <c r="AG826" s="7"/>
      <c r="AH826" s="7"/>
      <c r="AI826" s="7"/>
      <c r="AJ826" s="19"/>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row>
    <row r="827">
      <c r="A827" s="7"/>
      <c r="B827" s="7"/>
      <c r="C827" s="7"/>
      <c r="D827" s="7"/>
      <c r="E827" s="19"/>
      <c r="F827" s="19"/>
      <c r="G827" s="19"/>
      <c r="H827" s="19"/>
      <c r="I827" s="19"/>
      <c r="J827" s="7"/>
      <c r="K827" s="19"/>
      <c r="L827" s="7"/>
      <c r="M827" s="7"/>
      <c r="N827" s="7"/>
      <c r="O827" s="7"/>
      <c r="P827" s="7"/>
      <c r="Q827" s="7"/>
      <c r="R827" s="7"/>
      <c r="S827" s="7"/>
      <c r="T827" s="7"/>
      <c r="U827" s="7"/>
      <c r="V827" s="388"/>
      <c r="W827" s="388"/>
      <c r="X827" s="388"/>
      <c r="Y827" s="7"/>
      <c r="Z827" s="7"/>
      <c r="AA827" s="7"/>
      <c r="AB827" s="7"/>
      <c r="AC827" s="7"/>
      <c r="AD827" s="7"/>
      <c r="AE827" s="7"/>
      <c r="AF827" s="7"/>
      <c r="AG827" s="7"/>
      <c r="AH827" s="7"/>
      <c r="AI827" s="7"/>
      <c r="AJ827" s="19"/>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row>
    <row r="828">
      <c r="A828" s="7"/>
      <c r="B828" s="7"/>
      <c r="C828" s="7"/>
      <c r="D828" s="7"/>
      <c r="E828" s="19"/>
      <c r="F828" s="19"/>
      <c r="G828" s="19"/>
      <c r="H828" s="19"/>
      <c r="I828" s="19"/>
      <c r="J828" s="7"/>
      <c r="K828" s="19"/>
      <c r="L828" s="7"/>
      <c r="M828" s="7"/>
      <c r="N828" s="7"/>
      <c r="O828" s="7"/>
      <c r="P828" s="7"/>
      <c r="Q828" s="7"/>
      <c r="R828" s="7"/>
      <c r="S828" s="7"/>
      <c r="T828" s="7"/>
      <c r="U828" s="7"/>
      <c r="V828" s="388"/>
      <c r="W828" s="388"/>
      <c r="X828" s="388"/>
      <c r="Y828" s="7"/>
      <c r="Z828" s="7"/>
      <c r="AA828" s="7"/>
      <c r="AB828" s="7"/>
      <c r="AC828" s="7"/>
      <c r="AD828" s="7"/>
      <c r="AE828" s="7"/>
      <c r="AF828" s="7"/>
      <c r="AG828" s="7"/>
      <c r="AH828" s="7"/>
      <c r="AI828" s="7"/>
      <c r="AJ828" s="19"/>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row>
    <row r="829">
      <c r="A829" s="7"/>
      <c r="B829" s="7"/>
      <c r="C829" s="7"/>
      <c r="D829" s="7"/>
      <c r="E829" s="19"/>
      <c r="F829" s="19"/>
      <c r="G829" s="19"/>
      <c r="H829" s="19"/>
      <c r="I829" s="19"/>
      <c r="J829" s="7"/>
      <c r="K829" s="19"/>
      <c r="L829" s="7"/>
      <c r="M829" s="7"/>
      <c r="N829" s="7"/>
      <c r="O829" s="7"/>
      <c r="P829" s="7"/>
      <c r="Q829" s="7"/>
      <c r="R829" s="7"/>
      <c r="S829" s="7"/>
      <c r="T829" s="7"/>
      <c r="U829" s="7"/>
      <c r="V829" s="388"/>
      <c r="W829" s="388"/>
      <c r="X829" s="388"/>
      <c r="Y829" s="7"/>
      <c r="Z829" s="7"/>
      <c r="AA829" s="7"/>
      <c r="AB829" s="7"/>
      <c r="AC829" s="7"/>
      <c r="AD829" s="7"/>
      <c r="AE829" s="7"/>
      <c r="AF829" s="7"/>
      <c r="AG829" s="7"/>
      <c r="AH829" s="7"/>
      <c r="AI829" s="7"/>
      <c r="AJ829" s="19"/>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row>
    <row r="830">
      <c r="A830" s="7"/>
      <c r="B830" s="7"/>
      <c r="C830" s="7"/>
      <c r="D830" s="7"/>
      <c r="E830" s="19"/>
      <c r="F830" s="19"/>
      <c r="G830" s="19"/>
      <c r="H830" s="19"/>
      <c r="I830" s="19"/>
      <c r="J830" s="7"/>
      <c r="K830" s="19"/>
      <c r="L830" s="7"/>
      <c r="M830" s="7"/>
      <c r="N830" s="7"/>
      <c r="O830" s="7"/>
      <c r="P830" s="7"/>
      <c r="Q830" s="7"/>
      <c r="R830" s="7"/>
      <c r="S830" s="7"/>
      <c r="T830" s="7"/>
      <c r="U830" s="7"/>
      <c r="V830" s="388"/>
      <c r="W830" s="388"/>
      <c r="X830" s="388"/>
      <c r="Y830" s="7"/>
      <c r="Z830" s="7"/>
      <c r="AA830" s="7"/>
      <c r="AB830" s="7"/>
      <c r="AC830" s="7"/>
      <c r="AD830" s="7"/>
      <c r="AE830" s="7"/>
      <c r="AF830" s="7"/>
      <c r="AG830" s="7"/>
      <c r="AH830" s="7"/>
      <c r="AI830" s="7"/>
      <c r="AJ830" s="19"/>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c r="BN830" s="7"/>
      <c r="BO830" s="7"/>
      <c r="BP830" s="7"/>
      <c r="BQ830" s="7"/>
      <c r="BR830" s="7"/>
      <c r="BS830" s="7"/>
      <c r="BT830" s="7"/>
      <c r="BU830" s="7"/>
      <c r="BV830" s="7"/>
      <c r="BW830" s="7"/>
    </row>
    <row r="831">
      <c r="A831" s="7"/>
      <c r="B831" s="7"/>
      <c r="C831" s="7"/>
      <c r="D831" s="7"/>
      <c r="E831" s="19"/>
      <c r="F831" s="19"/>
      <c r="G831" s="19"/>
      <c r="H831" s="19"/>
      <c r="I831" s="19"/>
      <c r="J831" s="7"/>
      <c r="K831" s="19"/>
      <c r="L831" s="7"/>
      <c r="M831" s="7"/>
      <c r="N831" s="7"/>
      <c r="O831" s="7"/>
      <c r="P831" s="7"/>
      <c r="Q831" s="7"/>
      <c r="R831" s="7"/>
      <c r="S831" s="7"/>
      <c r="T831" s="7"/>
      <c r="U831" s="7"/>
      <c r="V831" s="388"/>
      <c r="W831" s="388"/>
      <c r="X831" s="388"/>
      <c r="Y831" s="7"/>
      <c r="Z831" s="7"/>
      <c r="AA831" s="7"/>
      <c r="AB831" s="7"/>
      <c r="AC831" s="7"/>
      <c r="AD831" s="7"/>
      <c r="AE831" s="7"/>
      <c r="AF831" s="7"/>
      <c r="AG831" s="7"/>
      <c r="AH831" s="7"/>
      <c r="AI831" s="7"/>
      <c r="AJ831" s="19"/>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row>
    <row r="832">
      <c r="A832" s="7"/>
      <c r="B832" s="7"/>
      <c r="C832" s="7"/>
      <c r="D832" s="7"/>
      <c r="E832" s="19"/>
      <c r="F832" s="19"/>
      <c r="G832" s="19"/>
      <c r="H832" s="19"/>
      <c r="I832" s="19"/>
      <c r="J832" s="7"/>
      <c r="K832" s="19"/>
      <c r="L832" s="7"/>
      <c r="M832" s="7"/>
      <c r="N832" s="7"/>
      <c r="O832" s="7"/>
      <c r="P832" s="7"/>
      <c r="Q832" s="7"/>
      <c r="R832" s="7"/>
      <c r="S832" s="7"/>
      <c r="T832" s="7"/>
      <c r="U832" s="7"/>
      <c r="V832" s="388"/>
      <c r="W832" s="388"/>
      <c r="X832" s="388"/>
      <c r="Y832" s="7"/>
      <c r="Z832" s="7"/>
      <c r="AA832" s="7"/>
      <c r="AB832" s="7"/>
      <c r="AC832" s="7"/>
      <c r="AD832" s="7"/>
      <c r="AE832" s="7"/>
      <c r="AF832" s="7"/>
      <c r="AG832" s="7"/>
      <c r="AH832" s="7"/>
      <c r="AI832" s="7"/>
      <c r="AJ832" s="19"/>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c r="BN832" s="7"/>
      <c r="BO832" s="7"/>
      <c r="BP832" s="7"/>
      <c r="BQ832" s="7"/>
      <c r="BR832" s="7"/>
      <c r="BS832" s="7"/>
      <c r="BT832" s="7"/>
      <c r="BU832" s="7"/>
      <c r="BV832" s="7"/>
      <c r="BW832" s="7"/>
    </row>
    <row r="833">
      <c r="A833" s="7"/>
      <c r="B833" s="7"/>
      <c r="C833" s="7"/>
      <c r="D833" s="7"/>
      <c r="E833" s="19"/>
      <c r="F833" s="19"/>
      <c r="G833" s="19"/>
      <c r="H833" s="19"/>
      <c r="I833" s="19"/>
      <c r="J833" s="7"/>
      <c r="K833" s="19"/>
      <c r="L833" s="7"/>
      <c r="M833" s="7"/>
      <c r="N833" s="7"/>
      <c r="O833" s="7"/>
      <c r="P833" s="7"/>
      <c r="Q833" s="7"/>
      <c r="R833" s="7"/>
      <c r="S833" s="7"/>
      <c r="T833" s="7"/>
      <c r="U833" s="7"/>
      <c r="V833" s="388"/>
      <c r="W833" s="388"/>
      <c r="X833" s="388"/>
      <c r="Y833" s="7"/>
      <c r="Z833" s="7"/>
      <c r="AA833" s="7"/>
      <c r="AB833" s="7"/>
      <c r="AC833" s="7"/>
      <c r="AD833" s="7"/>
      <c r="AE833" s="7"/>
      <c r="AF833" s="7"/>
      <c r="AG833" s="7"/>
      <c r="AH833" s="7"/>
      <c r="AI833" s="7"/>
      <c r="AJ833" s="19"/>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row>
    <row r="834">
      <c r="A834" s="7"/>
      <c r="B834" s="7"/>
      <c r="C834" s="7"/>
      <c r="D834" s="7"/>
      <c r="E834" s="19"/>
      <c r="F834" s="19"/>
      <c r="G834" s="19"/>
      <c r="H834" s="19"/>
      <c r="I834" s="19"/>
      <c r="J834" s="7"/>
      <c r="K834" s="19"/>
      <c r="L834" s="7"/>
      <c r="M834" s="7"/>
      <c r="N834" s="7"/>
      <c r="O834" s="7"/>
      <c r="P834" s="7"/>
      <c r="Q834" s="7"/>
      <c r="R834" s="7"/>
      <c r="S834" s="7"/>
      <c r="T834" s="7"/>
      <c r="U834" s="7"/>
      <c r="V834" s="388"/>
      <c r="W834" s="388"/>
      <c r="X834" s="388"/>
      <c r="Y834" s="7"/>
      <c r="Z834" s="7"/>
      <c r="AA834" s="7"/>
      <c r="AB834" s="7"/>
      <c r="AC834" s="7"/>
      <c r="AD834" s="7"/>
      <c r="AE834" s="7"/>
      <c r="AF834" s="7"/>
      <c r="AG834" s="7"/>
      <c r="AH834" s="7"/>
      <c r="AI834" s="7"/>
      <c r="AJ834" s="19"/>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c r="BN834" s="7"/>
      <c r="BO834" s="7"/>
      <c r="BP834" s="7"/>
      <c r="BQ834" s="7"/>
      <c r="BR834" s="7"/>
      <c r="BS834" s="7"/>
      <c r="BT834" s="7"/>
      <c r="BU834" s="7"/>
      <c r="BV834" s="7"/>
      <c r="BW834" s="7"/>
    </row>
    <row r="835">
      <c r="A835" s="7"/>
      <c r="B835" s="7"/>
      <c r="C835" s="7"/>
      <c r="D835" s="7"/>
      <c r="E835" s="19"/>
      <c r="F835" s="19"/>
      <c r="G835" s="19"/>
      <c r="H835" s="19"/>
      <c r="I835" s="19"/>
      <c r="J835" s="7"/>
      <c r="K835" s="19"/>
      <c r="L835" s="7"/>
      <c r="M835" s="7"/>
      <c r="N835" s="7"/>
      <c r="O835" s="7"/>
      <c r="P835" s="7"/>
      <c r="Q835" s="7"/>
      <c r="R835" s="7"/>
      <c r="S835" s="7"/>
      <c r="T835" s="7"/>
      <c r="U835" s="7"/>
      <c r="V835" s="388"/>
      <c r="W835" s="388"/>
      <c r="X835" s="388"/>
      <c r="Y835" s="7"/>
      <c r="Z835" s="7"/>
      <c r="AA835" s="7"/>
      <c r="AB835" s="7"/>
      <c r="AC835" s="7"/>
      <c r="AD835" s="7"/>
      <c r="AE835" s="7"/>
      <c r="AF835" s="7"/>
      <c r="AG835" s="7"/>
      <c r="AH835" s="7"/>
      <c r="AI835" s="7"/>
      <c r="AJ835" s="19"/>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row>
    <row r="836">
      <c r="A836" s="7"/>
      <c r="B836" s="7"/>
      <c r="C836" s="7"/>
      <c r="D836" s="7"/>
      <c r="E836" s="19"/>
      <c r="F836" s="19"/>
      <c r="G836" s="19"/>
      <c r="H836" s="19"/>
      <c r="I836" s="19"/>
      <c r="J836" s="7"/>
      <c r="K836" s="19"/>
      <c r="L836" s="7"/>
      <c r="M836" s="7"/>
      <c r="N836" s="7"/>
      <c r="O836" s="7"/>
      <c r="P836" s="7"/>
      <c r="Q836" s="7"/>
      <c r="R836" s="7"/>
      <c r="S836" s="7"/>
      <c r="T836" s="7"/>
      <c r="U836" s="7"/>
      <c r="V836" s="388"/>
      <c r="W836" s="388"/>
      <c r="X836" s="388"/>
      <c r="Y836" s="7"/>
      <c r="Z836" s="7"/>
      <c r="AA836" s="7"/>
      <c r="AB836" s="7"/>
      <c r="AC836" s="7"/>
      <c r="AD836" s="7"/>
      <c r="AE836" s="7"/>
      <c r="AF836" s="7"/>
      <c r="AG836" s="7"/>
      <c r="AH836" s="7"/>
      <c r="AI836" s="7"/>
      <c r="AJ836" s="19"/>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c r="BN836" s="7"/>
      <c r="BO836" s="7"/>
      <c r="BP836" s="7"/>
      <c r="BQ836" s="7"/>
      <c r="BR836" s="7"/>
      <c r="BS836" s="7"/>
      <c r="BT836" s="7"/>
      <c r="BU836" s="7"/>
      <c r="BV836" s="7"/>
      <c r="BW836" s="7"/>
    </row>
    <row r="837">
      <c r="A837" s="7"/>
      <c r="B837" s="7"/>
      <c r="C837" s="7"/>
      <c r="D837" s="7"/>
      <c r="E837" s="19"/>
      <c r="F837" s="19"/>
      <c r="G837" s="19"/>
      <c r="H837" s="19"/>
      <c r="I837" s="19"/>
      <c r="J837" s="7"/>
      <c r="K837" s="19"/>
      <c r="L837" s="7"/>
      <c r="M837" s="7"/>
      <c r="N837" s="7"/>
      <c r="O837" s="7"/>
      <c r="P837" s="7"/>
      <c r="Q837" s="7"/>
      <c r="R837" s="7"/>
      <c r="S837" s="7"/>
      <c r="T837" s="7"/>
      <c r="U837" s="7"/>
      <c r="V837" s="388"/>
      <c r="W837" s="388"/>
      <c r="X837" s="388"/>
      <c r="Y837" s="7"/>
      <c r="Z837" s="7"/>
      <c r="AA837" s="7"/>
      <c r="AB837" s="7"/>
      <c r="AC837" s="7"/>
      <c r="AD837" s="7"/>
      <c r="AE837" s="7"/>
      <c r="AF837" s="7"/>
      <c r="AG837" s="7"/>
      <c r="AH837" s="7"/>
      <c r="AI837" s="7"/>
      <c r="AJ837" s="19"/>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row>
    <row r="838">
      <c r="A838" s="7"/>
      <c r="B838" s="7"/>
      <c r="C838" s="7"/>
      <c r="D838" s="7"/>
      <c r="E838" s="19"/>
      <c r="F838" s="19"/>
      <c r="G838" s="19"/>
      <c r="H838" s="19"/>
      <c r="I838" s="19"/>
      <c r="J838" s="7"/>
      <c r="K838" s="19"/>
      <c r="L838" s="7"/>
      <c r="M838" s="7"/>
      <c r="N838" s="7"/>
      <c r="O838" s="7"/>
      <c r="P838" s="7"/>
      <c r="Q838" s="7"/>
      <c r="R838" s="7"/>
      <c r="S838" s="7"/>
      <c r="T838" s="7"/>
      <c r="U838" s="7"/>
      <c r="V838" s="388"/>
      <c r="W838" s="388"/>
      <c r="X838" s="388"/>
      <c r="Y838" s="7"/>
      <c r="Z838" s="7"/>
      <c r="AA838" s="7"/>
      <c r="AB838" s="7"/>
      <c r="AC838" s="7"/>
      <c r="AD838" s="7"/>
      <c r="AE838" s="7"/>
      <c r="AF838" s="7"/>
      <c r="AG838" s="7"/>
      <c r="AH838" s="7"/>
      <c r="AI838" s="7"/>
      <c r="AJ838" s="19"/>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c r="BN838" s="7"/>
      <c r="BO838" s="7"/>
      <c r="BP838" s="7"/>
      <c r="BQ838" s="7"/>
      <c r="BR838" s="7"/>
      <c r="BS838" s="7"/>
      <c r="BT838" s="7"/>
      <c r="BU838" s="7"/>
      <c r="BV838" s="7"/>
      <c r="BW838" s="7"/>
    </row>
    <row r="839">
      <c r="A839" s="7"/>
      <c r="B839" s="7"/>
      <c r="C839" s="7"/>
      <c r="D839" s="7"/>
      <c r="E839" s="19"/>
      <c r="F839" s="19"/>
      <c r="G839" s="19"/>
      <c r="H839" s="19"/>
      <c r="I839" s="19"/>
      <c r="J839" s="7"/>
      <c r="K839" s="19"/>
      <c r="L839" s="7"/>
      <c r="M839" s="7"/>
      <c r="N839" s="7"/>
      <c r="O839" s="7"/>
      <c r="P839" s="7"/>
      <c r="Q839" s="7"/>
      <c r="R839" s="7"/>
      <c r="S839" s="7"/>
      <c r="T839" s="7"/>
      <c r="U839" s="7"/>
      <c r="V839" s="388"/>
      <c r="W839" s="388"/>
      <c r="X839" s="388"/>
      <c r="Y839" s="7"/>
      <c r="Z839" s="7"/>
      <c r="AA839" s="7"/>
      <c r="AB839" s="7"/>
      <c r="AC839" s="7"/>
      <c r="AD839" s="7"/>
      <c r="AE839" s="7"/>
      <c r="AF839" s="7"/>
      <c r="AG839" s="7"/>
      <c r="AH839" s="7"/>
      <c r="AI839" s="7"/>
      <c r="AJ839" s="19"/>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row>
    <row r="840">
      <c r="A840" s="7"/>
      <c r="B840" s="7"/>
      <c r="C840" s="7"/>
      <c r="D840" s="7"/>
      <c r="E840" s="19"/>
      <c r="F840" s="19"/>
      <c r="G840" s="19"/>
      <c r="H840" s="19"/>
      <c r="I840" s="19"/>
      <c r="J840" s="7"/>
      <c r="K840" s="19"/>
      <c r="L840" s="7"/>
      <c r="M840" s="7"/>
      <c r="N840" s="7"/>
      <c r="O840" s="7"/>
      <c r="P840" s="7"/>
      <c r="Q840" s="7"/>
      <c r="R840" s="7"/>
      <c r="S840" s="7"/>
      <c r="T840" s="7"/>
      <c r="U840" s="7"/>
      <c r="V840" s="388"/>
      <c r="W840" s="388"/>
      <c r="X840" s="388"/>
      <c r="Y840" s="7"/>
      <c r="Z840" s="7"/>
      <c r="AA840" s="7"/>
      <c r="AB840" s="7"/>
      <c r="AC840" s="7"/>
      <c r="AD840" s="7"/>
      <c r="AE840" s="7"/>
      <c r="AF840" s="7"/>
      <c r="AG840" s="7"/>
      <c r="AH840" s="7"/>
      <c r="AI840" s="7"/>
      <c r="AJ840" s="19"/>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c r="BN840" s="7"/>
      <c r="BO840" s="7"/>
      <c r="BP840" s="7"/>
      <c r="BQ840" s="7"/>
      <c r="BR840" s="7"/>
      <c r="BS840" s="7"/>
      <c r="BT840" s="7"/>
      <c r="BU840" s="7"/>
      <c r="BV840" s="7"/>
      <c r="BW840" s="7"/>
    </row>
    <row r="841">
      <c r="A841" s="7"/>
      <c r="B841" s="7"/>
      <c r="C841" s="7"/>
      <c r="D841" s="7"/>
      <c r="E841" s="19"/>
      <c r="F841" s="19"/>
      <c r="G841" s="19"/>
      <c r="H841" s="19"/>
      <c r="I841" s="19"/>
      <c r="J841" s="7"/>
      <c r="K841" s="19"/>
      <c r="L841" s="7"/>
      <c r="M841" s="7"/>
      <c r="N841" s="7"/>
      <c r="O841" s="7"/>
      <c r="P841" s="7"/>
      <c r="Q841" s="7"/>
      <c r="R841" s="7"/>
      <c r="S841" s="7"/>
      <c r="T841" s="7"/>
      <c r="U841" s="7"/>
      <c r="V841" s="388"/>
      <c r="W841" s="388"/>
      <c r="X841" s="388"/>
      <c r="Y841" s="7"/>
      <c r="Z841" s="7"/>
      <c r="AA841" s="7"/>
      <c r="AB841" s="7"/>
      <c r="AC841" s="7"/>
      <c r="AD841" s="7"/>
      <c r="AE841" s="7"/>
      <c r="AF841" s="7"/>
      <c r="AG841" s="7"/>
      <c r="AH841" s="7"/>
      <c r="AI841" s="7"/>
      <c r="AJ841" s="19"/>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row>
    <row r="842">
      <c r="A842" s="7"/>
      <c r="B842" s="7"/>
      <c r="C842" s="7"/>
      <c r="D842" s="7"/>
      <c r="E842" s="19"/>
      <c r="F842" s="19"/>
      <c r="G842" s="19"/>
      <c r="H842" s="19"/>
      <c r="I842" s="19"/>
      <c r="J842" s="7"/>
      <c r="K842" s="19"/>
      <c r="L842" s="7"/>
      <c r="M842" s="7"/>
      <c r="N842" s="7"/>
      <c r="O842" s="7"/>
      <c r="P842" s="7"/>
      <c r="Q842" s="7"/>
      <c r="R842" s="7"/>
      <c r="S842" s="7"/>
      <c r="T842" s="7"/>
      <c r="U842" s="7"/>
      <c r="V842" s="388"/>
      <c r="W842" s="388"/>
      <c r="X842" s="388"/>
      <c r="Y842" s="7"/>
      <c r="Z842" s="7"/>
      <c r="AA842" s="7"/>
      <c r="AB842" s="7"/>
      <c r="AC842" s="7"/>
      <c r="AD842" s="7"/>
      <c r="AE842" s="7"/>
      <c r="AF842" s="7"/>
      <c r="AG842" s="7"/>
      <c r="AH842" s="7"/>
      <c r="AI842" s="7"/>
      <c r="AJ842" s="19"/>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c r="BN842" s="7"/>
      <c r="BO842" s="7"/>
      <c r="BP842" s="7"/>
      <c r="BQ842" s="7"/>
      <c r="BR842" s="7"/>
      <c r="BS842" s="7"/>
      <c r="BT842" s="7"/>
      <c r="BU842" s="7"/>
      <c r="BV842" s="7"/>
      <c r="BW842" s="7"/>
    </row>
    <row r="843">
      <c r="A843" s="7"/>
      <c r="B843" s="7"/>
      <c r="C843" s="7"/>
      <c r="D843" s="7"/>
      <c r="E843" s="19"/>
      <c r="F843" s="19"/>
      <c r="G843" s="19"/>
      <c r="H843" s="19"/>
      <c r="I843" s="19"/>
      <c r="J843" s="7"/>
      <c r="K843" s="19"/>
      <c r="L843" s="7"/>
      <c r="M843" s="7"/>
      <c r="N843" s="7"/>
      <c r="O843" s="7"/>
      <c r="P843" s="7"/>
      <c r="Q843" s="7"/>
      <c r="R843" s="7"/>
      <c r="S843" s="7"/>
      <c r="T843" s="7"/>
      <c r="U843" s="7"/>
      <c r="V843" s="388"/>
      <c r="W843" s="388"/>
      <c r="X843" s="388"/>
      <c r="Y843" s="7"/>
      <c r="Z843" s="7"/>
      <c r="AA843" s="7"/>
      <c r="AB843" s="7"/>
      <c r="AC843" s="7"/>
      <c r="AD843" s="7"/>
      <c r="AE843" s="7"/>
      <c r="AF843" s="7"/>
      <c r="AG843" s="7"/>
      <c r="AH843" s="7"/>
      <c r="AI843" s="7"/>
      <c r="AJ843" s="19"/>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row>
    <row r="844">
      <c r="A844" s="7"/>
      <c r="B844" s="7"/>
      <c r="C844" s="7"/>
      <c r="D844" s="7"/>
      <c r="E844" s="19"/>
      <c r="F844" s="19"/>
      <c r="G844" s="19"/>
      <c r="H844" s="19"/>
      <c r="I844" s="19"/>
      <c r="J844" s="7"/>
      <c r="K844" s="19"/>
      <c r="L844" s="7"/>
      <c r="M844" s="7"/>
      <c r="N844" s="7"/>
      <c r="O844" s="7"/>
      <c r="P844" s="7"/>
      <c r="Q844" s="7"/>
      <c r="R844" s="7"/>
      <c r="S844" s="7"/>
      <c r="T844" s="7"/>
      <c r="U844" s="7"/>
      <c r="V844" s="388"/>
      <c r="W844" s="388"/>
      <c r="X844" s="388"/>
      <c r="Y844" s="7"/>
      <c r="Z844" s="7"/>
      <c r="AA844" s="7"/>
      <c r="AB844" s="7"/>
      <c r="AC844" s="7"/>
      <c r="AD844" s="7"/>
      <c r="AE844" s="7"/>
      <c r="AF844" s="7"/>
      <c r="AG844" s="7"/>
      <c r="AH844" s="7"/>
      <c r="AI844" s="7"/>
      <c r="AJ844" s="19"/>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c r="BN844" s="7"/>
      <c r="BO844" s="7"/>
      <c r="BP844" s="7"/>
      <c r="BQ844" s="7"/>
      <c r="BR844" s="7"/>
      <c r="BS844" s="7"/>
      <c r="BT844" s="7"/>
      <c r="BU844" s="7"/>
      <c r="BV844" s="7"/>
      <c r="BW844" s="7"/>
    </row>
    <row r="845">
      <c r="A845" s="7"/>
      <c r="B845" s="7"/>
      <c r="C845" s="7"/>
      <c r="D845" s="7"/>
      <c r="E845" s="19"/>
      <c r="F845" s="19"/>
      <c r="G845" s="19"/>
      <c r="H845" s="19"/>
      <c r="I845" s="19"/>
      <c r="J845" s="7"/>
      <c r="K845" s="19"/>
      <c r="L845" s="7"/>
      <c r="M845" s="7"/>
      <c r="N845" s="7"/>
      <c r="O845" s="7"/>
      <c r="P845" s="7"/>
      <c r="Q845" s="7"/>
      <c r="R845" s="7"/>
      <c r="S845" s="7"/>
      <c r="T845" s="7"/>
      <c r="U845" s="7"/>
      <c r="V845" s="388"/>
      <c r="W845" s="388"/>
      <c r="X845" s="388"/>
      <c r="Y845" s="7"/>
      <c r="Z845" s="7"/>
      <c r="AA845" s="7"/>
      <c r="AB845" s="7"/>
      <c r="AC845" s="7"/>
      <c r="AD845" s="7"/>
      <c r="AE845" s="7"/>
      <c r="AF845" s="7"/>
      <c r="AG845" s="7"/>
      <c r="AH845" s="7"/>
      <c r="AI845" s="7"/>
      <c r="AJ845" s="19"/>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row>
    <row r="846">
      <c r="A846" s="7"/>
      <c r="B846" s="7"/>
      <c r="C846" s="7"/>
      <c r="D846" s="7"/>
      <c r="E846" s="19"/>
      <c r="F846" s="19"/>
      <c r="G846" s="19"/>
      <c r="H846" s="19"/>
      <c r="I846" s="19"/>
      <c r="J846" s="7"/>
      <c r="K846" s="19"/>
      <c r="L846" s="7"/>
      <c r="M846" s="7"/>
      <c r="N846" s="7"/>
      <c r="O846" s="7"/>
      <c r="P846" s="7"/>
      <c r="Q846" s="7"/>
      <c r="R846" s="7"/>
      <c r="S846" s="7"/>
      <c r="T846" s="7"/>
      <c r="U846" s="7"/>
      <c r="V846" s="388"/>
      <c r="W846" s="388"/>
      <c r="X846" s="388"/>
      <c r="Y846" s="7"/>
      <c r="Z846" s="7"/>
      <c r="AA846" s="7"/>
      <c r="AB846" s="7"/>
      <c r="AC846" s="7"/>
      <c r="AD846" s="7"/>
      <c r="AE846" s="7"/>
      <c r="AF846" s="7"/>
      <c r="AG846" s="7"/>
      <c r="AH846" s="7"/>
      <c r="AI846" s="7"/>
      <c r="AJ846" s="19"/>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c r="BN846" s="7"/>
      <c r="BO846" s="7"/>
      <c r="BP846" s="7"/>
      <c r="BQ846" s="7"/>
      <c r="BR846" s="7"/>
      <c r="BS846" s="7"/>
      <c r="BT846" s="7"/>
      <c r="BU846" s="7"/>
      <c r="BV846" s="7"/>
      <c r="BW846" s="7"/>
    </row>
    <row r="847">
      <c r="A847" s="7"/>
      <c r="B847" s="7"/>
      <c r="C847" s="7"/>
      <c r="D847" s="7"/>
      <c r="E847" s="19"/>
      <c r="F847" s="19"/>
      <c r="G847" s="19"/>
      <c r="H847" s="19"/>
      <c r="I847" s="19"/>
      <c r="J847" s="7"/>
      <c r="K847" s="19"/>
      <c r="L847" s="7"/>
      <c r="M847" s="7"/>
      <c r="N847" s="7"/>
      <c r="O847" s="7"/>
      <c r="P847" s="7"/>
      <c r="Q847" s="7"/>
      <c r="R847" s="7"/>
      <c r="S847" s="7"/>
      <c r="T847" s="7"/>
      <c r="U847" s="7"/>
      <c r="V847" s="388"/>
      <c r="W847" s="388"/>
      <c r="X847" s="388"/>
      <c r="Y847" s="7"/>
      <c r="Z847" s="7"/>
      <c r="AA847" s="7"/>
      <c r="AB847" s="7"/>
      <c r="AC847" s="7"/>
      <c r="AD847" s="7"/>
      <c r="AE847" s="7"/>
      <c r="AF847" s="7"/>
      <c r="AG847" s="7"/>
      <c r="AH847" s="7"/>
      <c r="AI847" s="7"/>
      <c r="AJ847" s="19"/>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row>
    <row r="848">
      <c r="A848" s="7"/>
      <c r="B848" s="7"/>
      <c r="C848" s="7"/>
      <c r="D848" s="7"/>
      <c r="E848" s="19"/>
      <c r="F848" s="19"/>
      <c r="G848" s="19"/>
      <c r="H848" s="19"/>
      <c r="I848" s="19"/>
      <c r="J848" s="7"/>
      <c r="K848" s="19"/>
      <c r="L848" s="7"/>
      <c r="M848" s="7"/>
      <c r="N848" s="7"/>
      <c r="O848" s="7"/>
      <c r="P848" s="7"/>
      <c r="Q848" s="7"/>
      <c r="R848" s="7"/>
      <c r="S848" s="7"/>
      <c r="T848" s="7"/>
      <c r="U848" s="7"/>
      <c r="V848" s="388"/>
      <c r="W848" s="388"/>
      <c r="X848" s="388"/>
      <c r="Y848" s="7"/>
      <c r="Z848" s="7"/>
      <c r="AA848" s="7"/>
      <c r="AB848" s="7"/>
      <c r="AC848" s="7"/>
      <c r="AD848" s="7"/>
      <c r="AE848" s="7"/>
      <c r="AF848" s="7"/>
      <c r="AG848" s="7"/>
      <c r="AH848" s="7"/>
      <c r="AI848" s="7"/>
      <c r="AJ848" s="19"/>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row>
    <row r="849">
      <c r="A849" s="7"/>
      <c r="B849" s="7"/>
      <c r="C849" s="7"/>
      <c r="D849" s="7"/>
      <c r="E849" s="19"/>
      <c r="F849" s="19"/>
      <c r="G849" s="19"/>
      <c r="H849" s="19"/>
      <c r="I849" s="19"/>
      <c r="J849" s="7"/>
      <c r="K849" s="19"/>
      <c r="L849" s="7"/>
      <c r="M849" s="7"/>
      <c r="N849" s="7"/>
      <c r="O849" s="7"/>
      <c r="P849" s="7"/>
      <c r="Q849" s="7"/>
      <c r="R849" s="7"/>
      <c r="S849" s="7"/>
      <c r="T849" s="7"/>
      <c r="U849" s="7"/>
      <c r="V849" s="388"/>
      <c r="W849" s="388"/>
      <c r="X849" s="388"/>
      <c r="Y849" s="7"/>
      <c r="Z849" s="7"/>
      <c r="AA849" s="7"/>
      <c r="AB849" s="7"/>
      <c r="AC849" s="7"/>
      <c r="AD849" s="7"/>
      <c r="AE849" s="7"/>
      <c r="AF849" s="7"/>
      <c r="AG849" s="7"/>
      <c r="AH849" s="7"/>
      <c r="AI849" s="7"/>
      <c r="AJ849" s="19"/>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row>
    <row r="850">
      <c r="A850" s="7"/>
      <c r="B850" s="7"/>
      <c r="C850" s="7"/>
      <c r="D850" s="7"/>
      <c r="E850" s="19"/>
      <c r="F850" s="19"/>
      <c r="G850" s="19"/>
      <c r="H850" s="19"/>
      <c r="I850" s="19"/>
      <c r="J850" s="7"/>
      <c r="K850" s="19"/>
      <c r="L850" s="7"/>
      <c r="M850" s="7"/>
      <c r="N850" s="7"/>
      <c r="O850" s="7"/>
      <c r="P850" s="7"/>
      <c r="Q850" s="7"/>
      <c r="R850" s="7"/>
      <c r="S850" s="7"/>
      <c r="T850" s="7"/>
      <c r="U850" s="7"/>
      <c r="V850" s="388"/>
      <c r="W850" s="388"/>
      <c r="X850" s="388"/>
      <c r="Y850" s="7"/>
      <c r="Z850" s="7"/>
      <c r="AA850" s="7"/>
      <c r="AB850" s="7"/>
      <c r="AC850" s="7"/>
      <c r="AD850" s="7"/>
      <c r="AE850" s="7"/>
      <c r="AF850" s="7"/>
      <c r="AG850" s="7"/>
      <c r="AH850" s="7"/>
      <c r="AI850" s="7"/>
      <c r="AJ850" s="19"/>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c r="BN850" s="7"/>
      <c r="BO850" s="7"/>
      <c r="BP850" s="7"/>
      <c r="BQ850" s="7"/>
      <c r="BR850" s="7"/>
      <c r="BS850" s="7"/>
      <c r="BT850" s="7"/>
      <c r="BU850" s="7"/>
      <c r="BV850" s="7"/>
      <c r="BW850" s="7"/>
    </row>
    <row r="851">
      <c r="A851" s="7"/>
      <c r="B851" s="7"/>
      <c r="C851" s="7"/>
      <c r="D851" s="7"/>
      <c r="E851" s="19"/>
      <c r="F851" s="19"/>
      <c r="G851" s="19"/>
      <c r="H851" s="19"/>
      <c r="I851" s="19"/>
      <c r="J851" s="7"/>
      <c r="K851" s="19"/>
      <c r="L851" s="7"/>
      <c r="M851" s="7"/>
      <c r="N851" s="7"/>
      <c r="O851" s="7"/>
      <c r="P851" s="7"/>
      <c r="Q851" s="7"/>
      <c r="R851" s="7"/>
      <c r="S851" s="7"/>
      <c r="T851" s="7"/>
      <c r="U851" s="7"/>
      <c r="V851" s="388"/>
      <c r="W851" s="388"/>
      <c r="X851" s="388"/>
      <c r="Y851" s="7"/>
      <c r="Z851" s="7"/>
      <c r="AA851" s="7"/>
      <c r="AB851" s="7"/>
      <c r="AC851" s="7"/>
      <c r="AD851" s="7"/>
      <c r="AE851" s="7"/>
      <c r="AF851" s="7"/>
      <c r="AG851" s="7"/>
      <c r="AH851" s="7"/>
      <c r="AI851" s="7"/>
      <c r="AJ851" s="19"/>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row>
    <row r="852">
      <c r="A852" s="7"/>
      <c r="B852" s="7"/>
      <c r="C852" s="7"/>
      <c r="D852" s="7"/>
      <c r="E852" s="19"/>
      <c r="F852" s="19"/>
      <c r="G852" s="19"/>
      <c r="H852" s="19"/>
      <c r="I852" s="19"/>
      <c r="J852" s="7"/>
      <c r="K852" s="19"/>
      <c r="L852" s="7"/>
      <c r="M852" s="7"/>
      <c r="N852" s="7"/>
      <c r="O852" s="7"/>
      <c r="P852" s="7"/>
      <c r="Q852" s="7"/>
      <c r="R852" s="7"/>
      <c r="S852" s="7"/>
      <c r="T852" s="7"/>
      <c r="U852" s="7"/>
      <c r="V852" s="388"/>
      <c r="W852" s="388"/>
      <c r="X852" s="388"/>
      <c r="Y852" s="7"/>
      <c r="Z852" s="7"/>
      <c r="AA852" s="7"/>
      <c r="AB852" s="7"/>
      <c r="AC852" s="7"/>
      <c r="AD852" s="7"/>
      <c r="AE852" s="7"/>
      <c r="AF852" s="7"/>
      <c r="AG852" s="7"/>
      <c r="AH852" s="7"/>
      <c r="AI852" s="7"/>
      <c r="AJ852" s="19"/>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c r="BN852" s="7"/>
      <c r="BO852" s="7"/>
      <c r="BP852" s="7"/>
      <c r="BQ852" s="7"/>
      <c r="BR852" s="7"/>
      <c r="BS852" s="7"/>
      <c r="BT852" s="7"/>
      <c r="BU852" s="7"/>
      <c r="BV852" s="7"/>
      <c r="BW852" s="7"/>
    </row>
    <row r="853">
      <c r="A853" s="7"/>
      <c r="B853" s="7"/>
      <c r="C853" s="7"/>
      <c r="D853" s="7"/>
      <c r="E853" s="19"/>
      <c r="F853" s="19"/>
      <c r="G853" s="19"/>
      <c r="H853" s="19"/>
      <c r="I853" s="19"/>
      <c r="J853" s="7"/>
      <c r="K853" s="19"/>
      <c r="L853" s="7"/>
      <c r="M853" s="7"/>
      <c r="N853" s="7"/>
      <c r="O853" s="7"/>
      <c r="P853" s="7"/>
      <c r="Q853" s="7"/>
      <c r="R853" s="7"/>
      <c r="S853" s="7"/>
      <c r="T853" s="7"/>
      <c r="U853" s="7"/>
      <c r="V853" s="388"/>
      <c r="W853" s="388"/>
      <c r="X853" s="388"/>
      <c r="Y853" s="7"/>
      <c r="Z853" s="7"/>
      <c r="AA853" s="7"/>
      <c r="AB853" s="7"/>
      <c r="AC853" s="7"/>
      <c r="AD853" s="7"/>
      <c r="AE853" s="7"/>
      <c r="AF853" s="7"/>
      <c r="AG853" s="7"/>
      <c r="AH853" s="7"/>
      <c r="AI853" s="7"/>
      <c r="AJ853" s="19"/>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row>
    <row r="854">
      <c r="A854" s="7"/>
      <c r="B854" s="7"/>
      <c r="C854" s="7"/>
      <c r="D854" s="7"/>
      <c r="E854" s="19"/>
      <c r="F854" s="19"/>
      <c r="G854" s="19"/>
      <c r="H854" s="19"/>
      <c r="I854" s="19"/>
      <c r="J854" s="7"/>
      <c r="K854" s="19"/>
      <c r="L854" s="7"/>
      <c r="M854" s="7"/>
      <c r="N854" s="7"/>
      <c r="O854" s="7"/>
      <c r="P854" s="7"/>
      <c r="Q854" s="7"/>
      <c r="R854" s="7"/>
      <c r="S854" s="7"/>
      <c r="T854" s="7"/>
      <c r="U854" s="7"/>
      <c r="V854" s="388"/>
      <c r="W854" s="388"/>
      <c r="X854" s="388"/>
      <c r="Y854" s="7"/>
      <c r="Z854" s="7"/>
      <c r="AA854" s="7"/>
      <c r="AB854" s="7"/>
      <c r="AC854" s="7"/>
      <c r="AD854" s="7"/>
      <c r="AE854" s="7"/>
      <c r="AF854" s="7"/>
      <c r="AG854" s="7"/>
      <c r="AH854" s="7"/>
      <c r="AI854" s="7"/>
      <c r="AJ854" s="19"/>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c r="BN854" s="7"/>
      <c r="BO854" s="7"/>
      <c r="BP854" s="7"/>
      <c r="BQ854" s="7"/>
      <c r="BR854" s="7"/>
      <c r="BS854" s="7"/>
      <c r="BT854" s="7"/>
      <c r="BU854" s="7"/>
      <c r="BV854" s="7"/>
      <c r="BW854" s="7"/>
    </row>
    <row r="855">
      <c r="A855" s="7"/>
      <c r="B855" s="7"/>
      <c r="C855" s="7"/>
      <c r="D855" s="7"/>
      <c r="E855" s="19"/>
      <c r="F855" s="19"/>
      <c r="G855" s="19"/>
      <c r="H855" s="19"/>
      <c r="I855" s="19"/>
      <c r="J855" s="7"/>
      <c r="K855" s="19"/>
      <c r="L855" s="7"/>
      <c r="M855" s="7"/>
      <c r="N855" s="7"/>
      <c r="O855" s="7"/>
      <c r="P855" s="7"/>
      <c r="Q855" s="7"/>
      <c r="R855" s="7"/>
      <c r="S855" s="7"/>
      <c r="T855" s="7"/>
      <c r="U855" s="7"/>
      <c r="V855" s="388"/>
      <c r="W855" s="388"/>
      <c r="X855" s="388"/>
      <c r="Y855" s="7"/>
      <c r="Z855" s="7"/>
      <c r="AA855" s="7"/>
      <c r="AB855" s="7"/>
      <c r="AC855" s="7"/>
      <c r="AD855" s="7"/>
      <c r="AE855" s="7"/>
      <c r="AF855" s="7"/>
      <c r="AG855" s="7"/>
      <c r="AH855" s="7"/>
      <c r="AI855" s="7"/>
      <c r="AJ855" s="19"/>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row>
    <row r="856">
      <c r="A856" s="7"/>
      <c r="B856" s="7"/>
      <c r="C856" s="7"/>
      <c r="D856" s="7"/>
      <c r="E856" s="19"/>
      <c r="F856" s="19"/>
      <c r="G856" s="19"/>
      <c r="H856" s="19"/>
      <c r="I856" s="19"/>
      <c r="J856" s="7"/>
      <c r="K856" s="19"/>
      <c r="L856" s="7"/>
      <c r="M856" s="7"/>
      <c r="N856" s="7"/>
      <c r="O856" s="7"/>
      <c r="P856" s="7"/>
      <c r="Q856" s="7"/>
      <c r="R856" s="7"/>
      <c r="S856" s="7"/>
      <c r="T856" s="7"/>
      <c r="U856" s="7"/>
      <c r="V856" s="388"/>
      <c r="W856" s="388"/>
      <c r="X856" s="388"/>
      <c r="Y856" s="7"/>
      <c r="Z856" s="7"/>
      <c r="AA856" s="7"/>
      <c r="AB856" s="7"/>
      <c r="AC856" s="7"/>
      <c r="AD856" s="7"/>
      <c r="AE856" s="7"/>
      <c r="AF856" s="7"/>
      <c r="AG856" s="7"/>
      <c r="AH856" s="7"/>
      <c r="AI856" s="7"/>
      <c r="AJ856" s="19"/>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c r="BN856" s="7"/>
      <c r="BO856" s="7"/>
      <c r="BP856" s="7"/>
      <c r="BQ856" s="7"/>
      <c r="BR856" s="7"/>
      <c r="BS856" s="7"/>
      <c r="BT856" s="7"/>
      <c r="BU856" s="7"/>
      <c r="BV856" s="7"/>
      <c r="BW856" s="7"/>
    </row>
    <row r="857">
      <c r="A857" s="7"/>
      <c r="B857" s="7"/>
      <c r="C857" s="7"/>
      <c r="D857" s="7"/>
      <c r="E857" s="19"/>
      <c r="F857" s="19"/>
      <c r="G857" s="19"/>
      <c r="H857" s="19"/>
      <c r="I857" s="19"/>
      <c r="J857" s="7"/>
      <c r="K857" s="19"/>
      <c r="L857" s="7"/>
      <c r="M857" s="7"/>
      <c r="N857" s="7"/>
      <c r="O857" s="7"/>
      <c r="P857" s="7"/>
      <c r="Q857" s="7"/>
      <c r="R857" s="7"/>
      <c r="S857" s="7"/>
      <c r="T857" s="7"/>
      <c r="U857" s="7"/>
      <c r="V857" s="388"/>
      <c r="W857" s="388"/>
      <c r="X857" s="388"/>
      <c r="Y857" s="7"/>
      <c r="Z857" s="7"/>
      <c r="AA857" s="7"/>
      <c r="AB857" s="7"/>
      <c r="AC857" s="7"/>
      <c r="AD857" s="7"/>
      <c r="AE857" s="7"/>
      <c r="AF857" s="7"/>
      <c r="AG857" s="7"/>
      <c r="AH857" s="7"/>
      <c r="AI857" s="7"/>
      <c r="AJ857" s="19"/>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row>
    <row r="858">
      <c r="A858" s="7"/>
      <c r="B858" s="7"/>
      <c r="C858" s="7"/>
      <c r="D858" s="7"/>
      <c r="E858" s="19"/>
      <c r="F858" s="19"/>
      <c r="G858" s="19"/>
      <c r="H858" s="19"/>
      <c r="I858" s="19"/>
      <c r="J858" s="7"/>
      <c r="K858" s="19"/>
      <c r="L858" s="7"/>
      <c r="M858" s="7"/>
      <c r="N858" s="7"/>
      <c r="O858" s="7"/>
      <c r="P858" s="7"/>
      <c r="Q858" s="7"/>
      <c r="R858" s="7"/>
      <c r="S858" s="7"/>
      <c r="T858" s="7"/>
      <c r="U858" s="7"/>
      <c r="V858" s="388"/>
      <c r="W858" s="388"/>
      <c r="X858" s="388"/>
      <c r="Y858" s="7"/>
      <c r="Z858" s="7"/>
      <c r="AA858" s="7"/>
      <c r="AB858" s="7"/>
      <c r="AC858" s="7"/>
      <c r="AD858" s="7"/>
      <c r="AE858" s="7"/>
      <c r="AF858" s="7"/>
      <c r="AG858" s="7"/>
      <c r="AH858" s="7"/>
      <c r="AI858" s="7"/>
      <c r="AJ858" s="19"/>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c r="BN858" s="7"/>
      <c r="BO858" s="7"/>
      <c r="BP858" s="7"/>
      <c r="BQ858" s="7"/>
      <c r="BR858" s="7"/>
      <c r="BS858" s="7"/>
      <c r="BT858" s="7"/>
      <c r="BU858" s="7"/>
      <c r="BV858" s="7"/>
      <c r="BW858" s="7"/>
    </row>
    <row r="859">
      <c r="A859" s="7"/>
      <c r="B859" s="7"/>
      <c r="C859" s="7"/>
      <c r="D859" s="7"/>
      <c r="E859" s="19"/>
      <c r="F859" s="19"/>
      <c r="G859" s="19"/>
      <c r="H859" s="19"/>
      <c r="I859" s="19"/>
      <c r="J859" s="7"/>
      <c r="K859" s="19"/>
      <c r="L859" s="7"/>
      <c r="M859" s="7"/>
      <c r="N859" s="7"/>
      <c r="O859" s="7"/>
      <c r="P859" s="7"/>
      <c r="Q859" s="7"/>
      <c r="R859" s="7"/>
      <c r="S859" s="7"/>
      <c r="T859" s="7"/>
      <c r="U859" s="7"/>
      <c r="V859" s="388"/>
      <c r="W859" s="388"/>
      <c r="X859" s="388"/>
      <c r="Y859" s="7"/>
      <c r="Z859" s="7"/>
      <c r="AA859" s="7"/>
      <c r="AB859" s="7"/>
      <c r="AC859" s="7"/>
      <c r="AD859" s="7"/>
      <c r="AE859" s="7"/>
      <c r="AF859" s="7"/>
      <c r="AG859" s="7"/>
      <c r="AH859" s="7"/>
      <c r="AI859" s="7"/>
      <c r="AJ859" s="19"/>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row>
    <row r="860">
      <c r="A860" s="7"/>
      <c r="B860" s="7"/>
      <c r="C860" s="7"/>
      <c r="D860" s="7"/>
      <c r="E860" s="19"/>
      <c r="F860" s="19"/>
      <c r="G860" s="19"/>
      <c r="H860" s="19"/>
      <c r="I860" s="19"/>
      <c r="J860" s="7"/>
      <c r="K860" s="19"/>
      <c r="L860" s="7"/>
      <c r="M860" s="7"/>
      <c r="N860" s="7"/>
      <c r="O860" s="7"/>
      <c r="P860" s="7"/>
      <c r="Q860" s="7"/>
      <c r="R860" s="7"/>
      <c r="S860" s="7"/>
      <c r="T860" s="7"/>
      <c r="U860" s="7"/>
      <c r="V860" s="388"/>
      <c r="W860" s="388"/>
      <c r="X860" s="388"/>
      <c r="Y860" s="7"/>
      <c r="Z860" s="7"/>
      <c r="AA860" s="7"/>
      <c r="AB860" s="7"/>
      <c r="AC860" s="7"/>
      <c r="AD860" s="7"/>
      <c r="AE860" s="7"/>
      <c r="AF860" s="7"/>
      <c r="AG860" s="7"/>
      <c r="AH860" s="7"/>
      <c r="AI860" s="7"/>
      <c r="AJ860" s="19"/>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c r="BN860" s="7"/>
      <c r="BO860" s="7"/>
      <c r="BP860" s="7"/>
      <c r="BQ860" s="7"/>
      <c r="BR860" s="7"/>
      <c r="BS860" s="7"/>
      <c r="BT860" s="7"/>
      <c r="BU860" s="7"/>
      <c r="BV860" s="7"/>
      <c r="BW860" s="7"/>
    </row>
    <row r="861">
      <c r="A861" s="7"/>
      <c r="B861" s="7"/>
      <c r="C861" s="7"/>
      <c r="D861" s="7"/>
      <c r="E861" s="19"/>
      <c r="F861" s="19"/>
      <c r="G861" s="19"/>
      <c r="H861" s="19"/>
      <c r="I861" s="19"/>
      <c r="J861" s="7"/>
      <c r="K861" s="19"/>
      <c r="L861" s="7"/>
      <c r="M861" s="7"/>
      <c r="N861" s="7"/>
      <c r="O861" s="7"/>
      <c r="P861" s="7"/>
      <c r="Q861" s="7"/>
      <c r="R861" s="7"/>
      <c r="S861" s="7"/>
      <c r="T861" s="7"/>
      <c r="U861" s="7"/>
      <c r="V861" s="388"/>
      <c r="W861" s="388"/>
      <c r="X861" s="388"/>
      <c r="Y861" s="7"/>
      <c r="Z861" s="7"/>
      <c r="AA861" s="7"/>
      <c r="AB861" s="7"/>
      <c r="AC861" s="7"/>
      <c r="AD861" s="7"/>
      <c r="AE861" s="7"/>
      <c r="AF861" s="7"/>
      <c r="AG861" s="7"/>
      <c r="AH861" s="7"/>
      <c r="AI861" s="7"/>
      <c r="AJ861" s="19"/>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row>
    <row r="862">
      <c r="A862" s="7"/>
      <c r="B862" s="7"/>
      <c r="C862" s="7"/>
      <c r="D862" s="7"/>
      <c r="E862" s="19"/>
      <c r="F862" s="19"/>
      <c r="G862" s="19"/>
      <c r="H862" s="19"/>
      <c r="I862" s="19"/>
      <c r="J862" s="7"/>
      <c r="K862" s="19"/>
      <c r="L862" s="7"/>
      <c r="M862" s="7"/>
      <c r="N862" s="7"/>
      <c r="O862" s="7"/>
      <c r="P862" s="7"/>
      <c r="Q862" s="7"/>
      <c r="R862" s="7"/>
      <c r="S862" s="7"/>
      <c r="T862" s="7"/>
      <c r="U862" s="7"/>
      <c r="V862" s="388"/>
      <c r="W862" s="388"/>
      <c r="X862" s="388"/>
      <c r="Y862" s="7"/>
      <c r="Z862" s="7"/>
      <c r="AA862" s="7"/>
      <c r="AB862" s="7"/>
      <c r="AC862" s="7"/>
      <c r="AD862" s="7"/>
      <c r="AE862" s="7"/>
      <c r="AF862" s="7"/>
      <c r="AG862" s="7"/>
      <c r="AH862" s="7"/>
      <c r="AI862" s="7"/>
      <c r="AJ862" s="19"/>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c r="BN862" s="7"/>
      <c r="BO862" s="7"/>
      <c r="BP862" s="7"/>
      <c r="BQ862" s="7"/>
      <c r="BR862" s="7"/>
      <c r="BS862" s="7"/>
      <c r="BT862" s="7"/>
      <c r="BU862" s="7"/>
      <c r="BV862" s="7"/>
      <c r="BW862" s="7"/>
    </row>
    <row r="863">
      <c r="A863" s="7"/>
      <c r="B863" s="7"/>
      <c r="C863" s="7"/>
      <c r="D863" s="7"/>
      <c r="E863" s="19"/>
      <c r="F863" s="19"/>
      <c r="G863" s="19"/>
      <c r="H863" s="19"/>
      <c r="I863" s="19"/>
      <c r="J863" s="7"/>
      <c r="K863" s="19"/>
      <c r="L863" s="7"/>
      <c r="M863" s="7"/>
      <c r="N863" s="7"/>
      <c r="O863" s="7"/>
      <c r="P863" s="7"/>
      <c r="Q863" s="7"/>
      <c r="R863" s="7"/>
      <c r="S863" s="7"/>
      <c r="T863" s="7"/>
      <c r="U863" s="7"/>
      <c r="V863" s="388"/>
      <c r="W863" s="388"/>
      <c r="X863" s="388"/>
      <c r="Y863" s="7"/>
      <c r="Z863" s="7"/>
      <c r="AA863" s="7"/>
      <c r="AB863" s="7"/>
      <c r="AC863" s="7"/>
      <c r="AD863" s="7"/>
      <c r="AE863" s="7"/>
      <c r="AF863" s="7"/>
      <c r="AG863" s="7"/>
      <c r="AH863" s="7"/>
      <c r="AI863" s="7"/>
      <c r="AJ863" s="19"/>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row>
    <row r="864">
      <c r="A864" s="7"/>
      <c r="B864" s="7"/>
      <c r="C864" s="7"/>
      <c r="D864" s="7"/>
      <c r="E864" s="19"/>
      <c r="F864" s="19"/>
      <c r="G864" s="19"/>
      <c r="H864" s="19"/>
      <c r="I864" s="19"/>
      <c r="J864" s="7"/>
      <c r="K864" s="19"/>
      <c r="L864" s="7"/>
      <c r="M864" s="7"/>
      <c r="N864" s="7"/>
      <c r="O864" s="7"/>
      <c r="P864" s="7"/>
      <c r="Q864" s="7"/>
      <c r="R864" s="7"/>
      <c r="S864" s="7"/>
      <c r="T864" s="7"/>
      <c r="U864" s="7"/>
      <c r="V864" s="388"/>
      <c r="W864" s="388"/>
      <c r="X864" s="388"/>
      <c r="Y864" s="7"/>
      <c r="Z864" s="7"/>
      <c r="AA864" s="7"/>
      <c r="AB864" s="7"/>
      <c r="AC864" s="7"/>
      <c r="AD864" s="7"/>
      <c r="AE864" s="7"/>
      <c r="AF864" s="7"/>
      <c r="AG864" s="7"/>
      <c r="AH864" s="7"/>
      <c r="AI864" s="7"/>
      <c r="AJ864" s="19"/>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c r="BN864" s="7"/>
      <c r="BO864" s="7"/>
      <c r="BP864" s="7"/>
      <c r="BQ864" s="7"/>
      <c r="BR864" s="7"/>
      <c r="BS864" s="7"/>
      <c r="BT864" s="7"/>
      <c r="BU864" s="7"/>
      <c r="BV864" s="7"/>
      <c r="BW864" s="7"/>
    </row>
    <row r="865">
      <c r="A865" s="7"/>
      <c r="B865" s="7"/>
      <c r="C865" s="7"/>
      <c r="D865" s="7"/>
      <c r="E865" s="19"/>
      <c r="F865" s="19"/>
      <c r="G865" s="19"/>
      <c r="H865" s="19"/>
      <c r="I865" s="19"/>
      <c r="J865" s="7"/>
      <c r="K865" s="19"/>
      <c r="L865" s="7"/>
      <c r="M865" s="7"/>
      <c r="N865" s="7"/>
      <c r="O865" s="7"/>
      <c r="P865" s="7"/>
      <c r="Q865" s="7"/>
      <c r="R865" s="7"/>
      <c r="S865" s="7"/>
      <c r="T865" s="7"/>
      <c r="U865" s="7"/>
      <c r="V865" s="388"/>
      <c r="W865" s="388"/>
      <c r="X865" s="388"/>
      <c r="Y865" s="7"/>
      <c r="Z865" s="7"/>
      <c r="AA865" s="7"/>
      <c r="AB865" s="7"/>
      <c r="AC865" s="7"/>
      <c r="AD865" s="7"/>
      <c r="AE865" s="7"/>
      <c r="AF865" s="7"/>
      <c r="AG865" s="7"/>
      <c r="AH865" s="7"/>
      <c r="AI865" s="7"/>
      <c r="AJ865" s="19"/>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row>
    <row r="866">
      <c r="A866" s="7"/>
      <c r="B866" s="7"/>
      <c r="C866" s="7"/>
      <c r="D866" s="7"/>
      <c r="E866" s="19"/>
      <c r="F866" s="19"/>
      <c r="G866" s="19"/>
      <c r="H866" s="19"/>
      <c r="I866" s="19"/>
      <c r="J866" s="7"/>
      <c r="K866" s="19"/>
      <c r="L866" s="7"/>
      <c r="M866" s="7"/>
      <c r="N866" s="7"/>
      <c r="O866" s="7"/>
      <c r="P866" s="7"/>
      <c r="Q866" s="7"/>
      <c r="R866" s="7"/>
      <c r="S866" s="7"/>
      <c r="T866" s="7"/>
      <c r="U866" s="7"/>
      <c r="V866" s="388"/>
      <c r="W866" s="388"/>
      <c r="X866" s="388"/>
      <c r="Y866" s="7"/>
      <c r="Z866" s="7"/>
      <c r="AA866" s="7"/>
      <c r="AB866" s="7"/>
      <c r="AC866" s="7"/>
      <c r="AD866" s="7"/>
      <c r="AE866" s="7"/>
      <c r="AF866" s="7"/>
      <c r="AG866" s="7"/>
      <c r="AH866" s="7"/>
      <c r="AI866" s="7"/>
      <c r="AJ866" s="19"/>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c r="BN866" s="7"/>
      <c r="BO866" s="7"/>
      <c r="BP866" s="7"/>
      <c r="BQ866" s="7"/>
      <c r="BR866" s="7"/>
      <c r="BS866" s="7"/>
      <c r="BT866" s="7"/>
      <c r="BU866" s="7"/>
      <c r="BV866" s="7"/>
      <c r="BW866" s="7"/>
    </row>
    <row r="867">
      <c r="A867" s="7"/>
      <c r="B867" s="7"/>
      <c r="C867" s="7"/>
      <c r="D867" s="7"/>
      <c r="E867" s="19"/>
      <c r="F867" s="19"/>
      <c r="G867" s="19"/>
      <c r="H867" s="19"/>
      <c r="I867" s="19"/>
      <c r="J867" s="7"/>
      <c r="K867" s="19"/>
      <c r="L867" s="7"/>
      <c r="M867" s="7"/>
      <c r="N867" s="7"/>
      <c r="O867" s="7"/>
      <c r="P867" s="7"/>
      <c r="Q867" s="7"/>
      <c r="R867" s="7"/>
      <c r="S867" s="7"/>
      <c r="T867" s="7"/>
      <c r="U867" s="7"/>
      <c r="V867" s="388"/>
      <c r="W867" s="388"/>
      <c r="X867" s="388"/>
      <c r="Y867" s="7"/>
      <c r="Z867" s="7"/>
      <c r="AA867" s="7"/>
      <c r="AB867" s="7"/>
      <c r="AC867" s="7"/>
      <c r="AD867" s="7"/>
      <c r="AE867" s="7"/>
      <c r="AF867" s="7"/>
      <c r="AG867" s="7"/>
      <c r="AH867" s="7"/>
      <c r="AI867" s="7"/>
      <c r="AJ867" s="19"/>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row>
    <row r="868">
      <c r="A868" s="7"/>
      <c r="B868" s="7"/>
      <c r="C868" s="7"/>
      <c r="D868" s="7"/>
      <c r="E868" s="19"/>
      <c r="F868" s="19"/>
      <c r="G868" s="19"/>
      <c r="H868" s="19"/>
      <c r="I868" s="19"/>
      <c r="J868" s="7"/>
      <c r="K868" s="19"/>
      <c r="L868" s="7"/>
      <c r="M868" s="7"/>
      <c r="N868" s="7"/>
      <c r="O868" s="7"/>
      <c r="P868" s="7"/>
      <c r="Q868" s="7"/>
      <c r="R868" s="7"/>
      <c r="S868" s="7"/>
      <c r="T868" s="7"/>
      <c r="U868" s="7"/>
      <c r="V868" s="388"/>
      <c r="W868" s="388"/>
      <c r="X868" s="388"/>
      <c r="Y868" s="7"/>
      <c r="Z868" s="7"/>
      <c r="AA868" s="7"/>
      <c r="AB868" s="7"/>
      <c r="AC868" s="7"/>
      <c r="AD868" s="7"/>
      <c r="AE868" s="7"/>
      <c r="AF868" s="7"/>
      <c r="AG868" s="7"/>
      <c r="AH868" s="7"/>
      <c r="AI868" s="7"/>
      <c r="AJ868" s="19"/>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c r="BN868" s="7"/>
      <c r="BO868" s="7"/>
      <c r="BP868" s="7"/>
      <c r="BQ868" s="7"/>
      <c r="BR868" s="7"/>
      <c r="BS868" s="7"/>
      <c r="BT868" s="7"/>
      <c r="BU868" s="7"/>
      <c r="BV868" s="7"/>
      <c r="BW868" s="7"/>
    </row>
    <row r="869">
      <c r="A869" s="7"/>
      <c r="B869" s="7"/>
      <c r="C869" s="7"/>
      <c r="D869" s="7"/>
      <c r="E869" s="19"/>
      <c r="F869" s="19"/>
      <c r="G869" s="19"/>
      <c r="H869" s="19"/>
      <c r="I869" s="19"/>
      <c r="J869" s="7"/>
      <c r="K869" s="19"/>
      <c r="L869" s="7"/>
      <c r="M869" s="7"/>
      <c r="N869" s="7"/>
      <c r="O869" s="7"/>
      <c r="P869" s="7"/>
      <c r="Q869" s="7"/>
      <c r="R869" s="7"/>
      <c r="S869" s="7"/>
      <c r="T869" s="7"/>
      <c r="U869" s="7"/>
      <c r="V869" s="388"/>
      <c r="W869" s="388"/>
      <c r="X869" s="388"/>
      <c r="Y869" s="7"/>
      <c r="Z869" s="7"/>
      <c r="AA869" s="7"/>
      <c r="AB869" s="7"/>
      <c r="AC869" s="7"/>
      <c r="AD869" s="7"/>
      <c r="AE869" s="7"/>
      <c r="AF869" s="7"/>
      <c r="AG869" s="7"/>
      <c r="AH869" s="7"/>
      <c r="AI869" s="7"/>
      <c r="AJ869" s="19"/>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row>
    <row r="870">
      <c r="A870" s="7"/>
      <c r="B870" s="7"/>
      <c r="C870" s="7"/>
      <c r="D870" s="7"/>
      <c r="E870" s="19"/>
      <c r="F870" s="19"/>
      <c r="G870" s="19"/>
      <c r="H870" s="19"/>
      <c r="I870" s="19"/>
      <c r="J870" s="7"/>
      <c r="K870" s="19"/>
      <c r="L870" s="7"/>
      <c r="M870" s="7"/>
      <c r="N870" s="7"/>
      <c r="O870" s="7"/>
      <c r="P870" s="7"/>
      <c r="Q870" s="7"/>
      <c r="R870" s="7"/>
      <c r="S870" s="7"/>
      <c r="T870" s="7"/>
      <c r="U870" s="7"/>
      <c r="V870" s="388"/>
      <c r="W870" s="388"/>
      <c r="X870" s="388"/>
      <c r="Y870" s="7"/>
      <c r="Z870" s="7"/>
      <c r="AA870" s="7"/>
      <c r="AB870" s="7"/>
      <c r="AC870" s="7"/>
      <c r="AD870" s="7"/>
      <c r="AE870" s="7"/>
      <c r="AF870" s="7"/>
      <c r="AG870" s="7"/>
      <c r="AH870" s="7"/>
      <c r="AI870" s="7"/>
      <c r="AJ870" s="19"/>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c r="BN870" s="7"/>
      <c r="BO870" s="7"/>
      <c r="BP870" s="7"/>
      <c r="BQ870" s="7"/>
      <c r="BR870" s="7"/>
      <c r="BS870" s="7"/>
      <c r="BT870" s="7"/>
      <c r="BU870" s="7"/>
      <c r="BV870" s="7"/>
      <c r="BW870" s="7"/>
    </row>
    <row r="871">
      <c r="A871" s="7"/>
      <c r="B871" s="7"/>
      <c r="C871" s="7"/>
      <c r="D871" s="7"/>
      <c r="E871" s="19"/>
      <c r="F871" s="19"/>
      <c r="G871" s="19"/>
      <c r="H871" s="19"/>
      <c r="I871" s="19"/>
      <c r="J871" s="7"/>
      <c r="K871" s="19"/>
      <c r="L871" s="7"/>
      <c r="M871" s="7"/>
      <c r="N871" s="7"/>
      <c r="O871" s="7"/>
      <c r="P871" s="7"/>
      <c r="Q871" s="7"/>
      <c r="R871" s="7"/>
      <c r="S871" s="7"/>
      <c r="T871" s="7"/>
      <c r="U871" s="7"/>
      <c r="V871" s="388"/>
      <c r="W871" s="388"/>
      <c r="X871" s="388"/>
      <c r="Y871" s="7"/>
      <c r="Z871" s="7"/>
      <c r="AA871" s="7"/>
      <c r="AB871" s="7"/>
      <c r="AC871" s="7"/>
      <c r="AD871" s="7"/>
      <c r="AE871" s="7"/>
      <c r="AF871" s="7"/>
      <c r="AG871" s="7"/>
      <c r="AH871" s="7"/>
      <c r="AI871" s="7"/>
      <c r="AJ871" s="19"/>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row>
    <row r="872">
      <c r="A872" s="7"/>
      <c r="B872" s="7"/>
      <c r="C872" s="7"/>
      <c r="D872" s="7"/>
      <c r="E872" s="19"/>
      <c r="F872" s="19"/>
      <c r="G872" s="19"/>
      <c r="H872" s="19"/>
      <c r="I872" s="19"/>
      <c r="J872" s="7"/>
      <c r="K872" s="19"/>
      <c r="L872" s="7"/>
      <c r="M872" s="7"/>
      <c r="N872" s="7"/>
      <c r="O872" s="7"/>
      <c r="P872" s="7"/>
      <c r="Q872" s="7"/>
      <c r="R872" s="7"/>
      <c r="S872" s="7"/>
      <c r="T872" s="7"/>
      <c r="U872" s="7"/>
      <c r="V872" s="388"/>
      <c r="W872" s="388"/>
      <c r="X872" s="388"/>
      <c r="Y872" s="7"/>
      <c r="Z872" s="7"/>
      <c r="AA872" s="7"/>
      <c r="AB872" s="7"/>
      <c r="AC872" s="7"/>
      <c r="AD872" s="7"/>
      <c r="AE872" s="7"/>
      <c r="AF872" s="7"/>
      <c r="AG872" s="7"/>
      <c r="AH872" s="7"/>
      <c r="AI872" s="7"/>
      <c r="AJ872" s="19"/>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row>
    <row r="873">
      <c r="A873" s="7"/>
      <c r="B873" s="7"/>
      <c r="C873" s="7"/>
      <c r="D873" s="7"/>
      <c r="E873" s="19"/>
      <c r="F873" s="19"/>
      <c r="G873" s="19"/>
      <c r="H873" s="19"/>
      <c r="I873" s="19"/>
      <c r="J873" s="7"/>
      <c r="K873" s="19"/>
      <c r="L873" s="7"/>
      <c r="M873" s="7"/>
      <c r="N873" s="7"/>
      <c r="O873" s="7"/>
      <c r="P873" s="7"/>
      <c r="Q873" s="7"/>
      <c r="R873" s="7"/>
      <c r="S873" s="7"/>
      <c r="T873" s="7"/>
      <c r="U873" s="7"/>
      <c r="V873" s="388"/>
      <c r="W873" s="388"/>
      <c r="X873" s="388"/>
      <c r="Y873" s="7"/>
      <c r="Z873" s="7"/>
      <c r="AA873" s="7"/>
      <c r="AB873" s="7"/>
      <c r="AC873" s="7"/>
      <c r="AD873" s="7"/>
      <c r="AE873" s="7"/>
      <c r="AF873" s="7"/>
      <c r="AG873" s="7"/>
      <c r="AH873" s="7"/>
      <c r="AI873" s="7"/>
      <c r="AJ873" s="19"/>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row>
    <row r="874">
      <c r="A874" s="7"/>
      <c r="B874" s="7"/>
      <c r="C874" s="7"/>
      <c r="D874" s="7"/>
      <c r="E874" s="19"/>
      <c r="F874" s="19"/>
      <c r="G874" s="19"/>
      <c r="H874" s="19"/>
      <c r="I874" s="19"/>
      <c r="J874" s="7"/>
      <c r="K874" s="19"/>
      <c r="L874" s="7"/>
      <c r="M874" s="7"/>
      <c r="N874" s="7"/>
      <c r="O874" s="7"/>
      <c r="P874" s="7"/>
      <c r="Q874" s="7"/>
      <c r="R874" s="7"/>
      <c r="S874" s="7"/>
      <c r="T874" s="7"/>
      <c r="U874" s="7"/>
      <c r="V874" s="388"/>
      <c r="W874" s="388"/>
      <c r="X874" s="388"/>
      <c r="Y874" s="7"/>
      <c r="Z874" s="7"/>
      <c r="AA874" s="7"/>
      <c r="AB874" s="7"/>
      <c r="AC874" s="7"/>
      <c r="AD874" s="7"/>
      <c r="AE874" s="7"/>
      <c r="AF874" s="7"/>
      <c r="AG874" s="7"/>
      <c r="AH874" s="7"/>
      <c r="AI874" s="7"/>
      <c r="AJ874" s="19"/>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c r="BN874" s="7"/>
      <c r="BO874" s="7"/>
      <c r="BP874" s="7"/>
      <c r="BQ874" s="7"/>
      <c r="BR874" s="7"/>
      <c r="BS874" s="7"/>
      <c r="BT874" s="7"/>
      <c r="BU874" s="7"/>
      <c r="BV874" s="7"/>
      <c r="BW874" s="7"/>
    </row>
    <row r="875">
      <c r="A875" s="7"/>
      <c r="B875" s="7"/>
      <c r="C875" s="7"/>
      <c r="D875" s="7"/>
      <c r="E875" s="19"/>
      <c r="F875" s="19"/>
      <c r="G875" s="19"/>
      <c r="H875" s="19"/>
      <c r="I875" s="19"/>
      <c r="J875" s="7"/>
      <c r="K875" s="19"/>
      <c r="L875" s="7"/>
      <c r="M875" s="7"/>
      <c r="N875" s="7"/>
      <c r="O875" s="7"/>
      <c r="P875" s="7"/>
      <c r="Q875" s="7"/>
      <c r="R875" s="7"/>
      <c r="S875" s="7"/>
      <c r="T875" s="7"/>
      <c r="U875" s="7"/>
      <c r="V875" s="388"/>
      <c r="W875" s="388"/>
      <c r="X875" s="388"/>
      <c r="Y875" s="7"/>
      <c r="Z875" s="7"/>
      <c r="AA875" s="7"/>
      <c r="AB875" s="7"/>
      <c r="AC875" s="7"/>
      <c r="AD875" s="7"/>
      <c r="AE875" s="7"/>
      <c r="AF875" s="7"/>
      <c r="AG875" s="7"/>
      <c r="AH875" s="7"/>
      <c r="AI875" s="7"/>
      <c r="AJ875" s="19"/>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row>
    <row r="876">
      <c r="A876" s="7"/>
      <c r="B876" s="7"/>
      <c r="C876" s="7"/>
      <c r="D876" s="7"/>
      <c r="E876" s="19"/>
      <c r="F876" s="19"/>
      <c r="G876" s="19"/>
      <c r="H876" s="19"/>
      <c r="I876" s="19"/>
      <c r="J876" s="7"/>
      <c r="K876" s="19"/>
      <c r="L876" s="7"/>
      <c r="M876" s="7"/>
      <c r="N876" s="7"/>
      <c r="O876" s="7"/>
      <c r="P876" s="7"/>
      <c r="Q876" s="7"/>
      <c r="R876" s="7"/>
      <c r="S876" s="7"/>
      <c r="T876" s="7"/>
      <c r="U876" s="7"/>
      <c r="V876" s="388"/>
      <c r="W876" s="388"/>
      <c r="X876" s="388"/>
      <c r="Y876" s="7"/>
      <c r="Z876" s="7"/>
      <c r="AA876" s="7"/>
      <c r="AB876" s="7"/>
      <c r="AC876" s="7"/>
      <c r="AD876" s="7"/>
      <c r="AE876" s="7"/>
      <c r="AF876" s="7"/>
      <c r="AG876" s="7"/>
      <c r="AH876" s="7"/>
      <c r="AI876" s="7"/>
      <c r="AJ876" s="19"/>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c r="BN876" s="7"/>
      <c r="BO876" s="7"/>
      <c r="BP876" s="7"/>
      <c r="BQ876" s="7"/>
      <c r="BR876" s="7"/>
      <c r="BS876" s="7"/>
      <c r="BT876" s="7"/>
      <c r="BU876" s="7"/>
      <c r="BV876" s="7"/>
      <c r="BW876" s="7"/>
    </row>
    <row r="877">
      <c r="A877" s="7"/>
      <c r="B877" s="7"/>
      <c r="C877" s="7"/>
      <c r="D877" s="7"/>
      <c r="E877" s="19"/>
      <c r="F877" s="19"/>
      <c r="G877" s="19"/>
      <c r="H877" s="19"/>
      <c r="I877" s="19"/>
      <c r="J877" s="7"/>
      <c r="K877" s="19"/>
      <c r="L877" s="7"/>
      <c r="M877" s="7"/>
      <c r="N877" s="7"/>
      <c r="O877" s="7"/>
      <c r="P877" s="7"/>
      <c r="Q877" s="7"/>
      <c r="R877" s="7"/>
      <c r="S877" s="7"/>
      <c r="T877" s="7"/>
      <c r="U877" s="7"/>
      <c r="V877" s="388"/>
      <c r="W877" s="388"/>
      <c r="X877" s="388"/>
      <c r="Y877" s="7"/>
      <c r="Z877" s="7"/>
      <c r="AA877" s="7"/>
      <c r="AB877" s="7"/>
      <c r="AC877" s="7"/>
      <c r="AD877" s="7"/>
      <c r="AE877" s="7"/>
      <c r="AF877" s="7"/>
      <c r="AG877" s="7"/>
      <c r="AH877" s="7"/>
      <c r="AI877" s="7"/>
      <c r="AJ877" s="19"/>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row>
    <row r="878">
      <c r="A878" s="7"/>
      <c r="B878" s="7"/>
      <c r="C878" s="7"/>
      <c r="D878" s="7"/>
      <c r="E878" s="19"/>
      <c r="F878" s="19"/>
      <c r="G878" s="19"/>
      <c r="H878" s="19"/>
      <c r="I878" s="19"/>
      <c r="J878" s="7"/>
      <c r="K878" s="19"/>
      <c r="L878" s="7"/>
      <c r="M878" s="7"/>
      <c r="N878" s="7"/>
      <c r="O878" s="7"/>
      <c r="P878" s="7"/>
      <c r="Q878" s="7"/>
      <c r="R878" s="7"/>
      <c r="S878" s="7"/>
      <c r="T878" s="7"/>
      <c r="U878" s="7"/>
      <c r="V878" s="388"/>
      <c r="W878" s="388"/>
      <c r="X878" s="388"/>
      <c r="Y878" s="7"/>
      <c r="Z878" s="7"/>
      <c r="AA878" s="7"/>
      <c r="AB878" s="7"/>
      <c r="AC878" s="7"/>
      <c r="AD878" s="7"/>
      <c r="AE878" s="7"/>
      <c r="AF878" s="7"/>
      <c r="AG878" s="7"/>
      <c r="AH878" s="7"/>
      <c r="AI878" s="7"/>
      <c r="AJ878" s="19"/>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c r="BN878" s="7"/>
      <c r="BO878" s="7"/>
      <c r="BP878" s="7"/>
      <c r="BQ878" s="7"/>
      <c r="BR878" s="7"/>
      <c r="BS878" s="7"/>
      <c r="BT878" s="7"/>
      <c r="BU878" s="7"/>
      <c r="BV878" s="7"/>
      <c r="BW878" s="7"/>
    </row>
    <row r="879">
      <c r="A879" s="7"/>
      <c r="B879" s="7"/>
      <c r="C879" s="7"/>
      <c r="D879" s="7"/>
      <c r="E879" s="19"/>
      <c r="F879" s="19"/>
      <c r="G879" s="19"/>
      <c r="H879" s="19"/>
      <c r="I879" s="19"/>
      <c r="J879" s="7"/>
      <c r="K879" s="19"/>
      <c r="L879" s="7"/>
      <c r="M879" s="7"/>
      <c r="N879" s="7"/>
      <c r="O879" s="7"/>
      <c r="P879" s="7"/>
      <c r="Q879" s="7"/>
      <c r="R879" s="7"/>
      <c r="S879" s="7"/>
      <c r="T879" s="7"/>
      <c r="U879" s="7"/>
      <c r="V879" s="388"/>
      <c r="W879" s="388"/>
      <c r="X879" s="388"/>
      <c r="Y879" s="7"/>
      <c r="Z879" s="7"/>
      <c r="AA879" s="7"/>
      <c r="AB879" s="7"/>
      <c r="AC879" s="7"/>
      <c r="AD879" s="7"/>
      <c r="AE879" s="7"/>
      <c r="AF879" s="7"/>
      <c r="AG879" s="7"/>
      <c r="AH879" s="7"/>
      <c r="AI879" s="7"/>
      <c r="AJ879" s="19"/>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row>
    <row r="880">
      <c r="A880" s="7"/>
      <c r="B880" s="7"/>
      <c r="C880" s="7"/>
      <c r="D880" s="7"/>
      <c r="E880" s="19"/>
      <c r="F880" s="19"/>
      <c r="G880" s="19"/>
      <c r="H880" s="19"/>
      <c r="I880" s="19"/>
      <c r="J880" s="7"/>
      <c r="K880" s="19"/>
      <c r="L880" s="7"/>
      <c r="M880" s="7"/>
      <c r="N880" s="7"/>
      <c r="O880" s="7"/>
      <c r="P880" s="7"/>
      <c r="Q880" s="7"/>
      <c r="R880" s="7"/>
      <c r="S880" s="7"/>
      <c r="T880" s="7"/>
      <c r="U880" s="7"/>
      <c r="V880" s="388"/>
      <c r="W880" s="388"/>
      <c r="X880" s="388"/>
      <c r="Y880" s="7"/>
      <c r="Z880" s="7"/>
      <c r="AA880" s="7"/>
      <c r="AB880" s="7"/>
      <c r="AC880" s="7"/>
      <c r="AD880" s="7"/>
      <c r="AE880" s="7"/>
      <c r="AF880" s="7"/>
      <c r="AG880" s="7"/>
      <c r="AH880" s="7"/>
      <c r="AI880" s="7"/>
      <c r="AJ880" s="19"/>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c r="BN880" s="7"/>
      <c r="BO880" s="7"/>
      <c r="BP880" s="7"/>
      <c r="BQ880" s="7"/>
      <c r="BR880" s="7"/>
      <c r="BS880" s="7"/>
      <c r="BT880" s="7"/>
      <c r="BU880" s="7"/>
      <c r="BV880" s="7"/>
      <c r="BW880" s="7"/>
    </row>
    <row r="881">
      <c r="A881" s="7"/>
      <c r="B881" s="7"/>
      <c r="C881" s="7"/>
      <c r="D881" s="7"/>
      <c r="E881" s="19"/>
      <c r="F881" s="19"/>
      <c r="G881" s="19"/>
      <c r="H881" s="19"/>
      <c r="I881" s="19"/>
      <c r="J881" s="7"/>
      <c r="K881" s="19"/>
      <c r="L881" s="7"/>
      <c r="M881" s="7"/>
      <c r="N881" s="7"/>
      <c r="O881" s="7"/>
      <c r="P881" s="7"/>
      <c r="Q881" s="7"/>
      <c r="R881" s="7"/>
      <c r="S881" s="7"/>
      <c r="T881" s="7"/>
      <c r="U881" s="7"/>
      <c r="V881" s="388"/>
      <c r="W881" s="388"/>
      <c r="X881" s="388"/>
      <c r="Y881" s="7"/>
      <c r="Z881" s="7"/>
      <c r="AA881" s="7"/>
      <c r="AB881" s="7"/>
      <c r="AC881" s="7"/>
      <c r="AD881" s="7"/>
      <c r="AE881" s="7"/>
      <c r="AF881" s="7"/>
      <c r="AG881" s="7"/>
      <c r="AH881" s="7"/>
      <c r="AI881" s="7"/>
      <c r="AJ881" s="19"/>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row>
    <row r="882">
      <c r="A882" s="7"/>
      <c r="B882" s="7"/>
      <c r="C882" s="7"/>
      <c r="D882" s="7"/>
      <c r="E882" s="19"/>
      <c r="F882" s="19"/>
      <c r="G882" s="19"/>
      <c r="H882" s="19"/>
      <c r="I882" s="19"/>
      <c r="J882" s="7"/>
      <c r="K882" s="19"/>
      <c r="L882" s="7"/>
      <c r="M882" s="7"/>
      <c r="N882" s="7"/>
      <c r="O882" s="7"/>
      <c r="P882" s="7"/>
      <c r="Q882" s="7"/>
      <c r="R882" s="7"/>
      <c r="S882" s="7"/>
      <c r="T882" s="7"/>
      <c r="U882" s="7"/>
      <c r="V882" s="388"/>
      <c r="W882" s="388"/>
      <c r="X882" s="388"/>
      <c r="Y882" s="7"/>
      <c r="Z882" s="7"/>
      <c r="AA882" s="7"/>
      <c r="AB882" s="7"/>
      <c r="AC882" s="7"/>
      <c r="AD882" s="7"/>
      <c r="AE882" s="7"/>
      <c r="AF882" s="7"/>
      <c r="AG882" s="7"/>
      <c r="AH882" s="7"/>
      <c r="AI882" s="7"/>
      <c r="AJ882" s="19"/>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c r="BN882" s="7"/>
      <c r="BO882" s="7"/>
      <c r="BP882" s="7"/>
      <c r="BQ882" s="7"/>
      <c r="BR882" s="7"/>
      <c r="BS882" s="7"/>
      <c r="BT882" s="7"/>
      <c r="BU882" s="7"/>
      <c r="BV882" s="7"/>
      <c r="BW882" s="7"/>
    </row>
    <row r="883">
      <c r="A883" s="7"/>
      <c r="B883" s="7"/>
      <c r="C883" s="7"/>
      <c r="D883" s="7"/>
      <c r="E883" s="19"/>
      <c r="F883" s="19"/>
      <c r="G883" s="19"/>
      <c r="H883" s="19"/>
      <c r="I883" s="19"/>
      <c r="J883" s="7"/>
      <c r="K883" s="19"/>
      <c r="L883" s="7"/>
      <c r="M883" s="7"/>
      <c r="N883" s="7"/>
      <c r="O883" s="7"/>
      <c r="P883" s="7"/>
      <c r="Q883" s="7"/>
      <c r="R883" s="7"/>
      <c r="S883" s="7"/>
      <c r="T883" s="7"/>
      <c r="U883" s="7"/>
      <c r="V883" s="388"/>
      <c r="W883" s="388"/>
      <c r="X883" s="388"/>
      <c r="Y883" s="7"/>
      <c r="Z883" s="7"/>
      <c r="AA883" s="7"/>
      <c r="AB883" s="7"/>
      <c r="AC883" s="7"/>
      <c r="AD883" s="7"/>
      <c r="AE883" s="7"/>
      <c r="AF883" s="7"/>
      <c r="AG883" s="7"/>
      <c r="AH883" s="7"/>
      <c r="AI883" s="7"/>
      <c r="AJ883" s="19"/>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row>
    <row r="884">
      <c r="A884" s="7"/>
      <c r="B884" s="7"/>
      <c r="C884" s="7"/>
      <c r="D884" s="7"/>
      <c r="E884" s="19"/>
      <c r="F884" s="19"/>
      <c r="G884" s="19"/>
      <c r="H884" s="19"/>
      <c r="I884" s="19"/>
      <c r="J884" s="7"/>
      <c r="K884" s="19"/>
      <c r="L884" s="7"/>
      <c r="M884" s="7"/>
      <c r="N884" s="7"/>
      <c r="O884" s="7"/>
      <c r="P884" s="7"/>
      <c r="Q884" s="7"/>
      <c r="R884" s="7"/>
      <c r="S884" s="7"/>
      <c r="T884" s="7"/>
      <c r="U884" s="7"/>
      <c r="V884" s="388"/>
      <c r="W884" s="388"/>
      <c r="X884" s="388"/>
      <c r="Y884" s="7"/>
      <c r="Z884" s="7"/>
      <c r="AA884" s="7"/>
      <c r="AB884" s="7"/>
      <c r="AC884" s="7"/>
      <c r="AD884" s="7"/>
      <c r="AE884" s="7"/>
      <c r="AF884" s="7"/>
      <c r="AG884" s="7"/>
      <c r="AH884" s="7"/>
      <c r="AI884" s="7"/>
      <c r="AJ884" s="19"/>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c r="BN884" s="7"/>
      <c r="BO884" s="7"/>
      <c r="BP884" s="7"/>
      <c r="BQ884" s="7"/>
      <c r="BR884" s="7"/>
      <c r="BS884" s="7"/>
      <c r="BT884" s="7"/>
      <c r="BU884" s="7"/>
      <c r="BV884" s="7"/>
      <c r="BW884" s="7"/>
    </row>
    <row r="885">
      <c r="A885" s="7"/>
      <c r="B885" s="7"/>
      <c r="C885" s="7"/>
      <c r="D885" s="7"/>
      <c r="E885" s="19"/>
      <c r="F885" s="19"/>
      <c r="G885" s="19"/>
      <c r="H885" s="19"/>
      <c r="I885" s="19"/>
      <c r="J885" s="7"/>
      <c r="K885" s="19"/>
      <c r="L885" s="7"/>
      <c r="M885" s="7"/>
      <c r="N885" s="7"/>
      <c r="O885" s="7"/>
      <c r="P885" s="7"/>
      <c r="Q885" s="7"/>
      <c r="R885" s="7"/>
      <c r="S885" s="7"/>
      <c r="T885" s="7"/>
      <c r="U885" s="7"/>
      <c r="V885" s="388"/>
      <c r="W885" s="388"/>
      <c r="X885" s="388"/>
      <c r="Y885" s="7"/>
      <c r="Z885" s="7"/>
      <c r="AA885" s="7"/>
      <c r="AB885" s="7"/>
      <c r="AC885" s="7"/>
      <c r="AD885" s="7"/>
      <c r="AE885" s="7"/>
      <c r="AF885" s="7"/>
      <c r="AG885" s="7"/>
      <c r="AH885" s="7"/>
      <c r="AI885" s="7"/>
      <c r="AJ885" s="19"/>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row>
    <row r="886">
      <c r="A886" s="7"/>
      <c r="B886" s="7"/>
      <c r="C886" s="7"/>
      <c r="D886" s="7"/>
      <c r="E886" s="19"/>
      <c r="F886" s="19"/>
      <c r="G886" s="19"/>
      <c r="H886" s="19"/>
      <c r="I886" s="19"/>
      <c r="J886" s="7"/>
      <c r="K886" s="19"/>
      <c r="L886" s="7"/>
      <c r="M886" s="7"/>
      <c r="N886" s="7"/>
      <c r="O886" s="7"/>
      <c r="P886" s="7"/>
      <c r="Q886" s="7"/>
      <c r="R886" s="7"/>
      <c r="S886" s="7"/>
      <c r="T886" s="7"/>
      <c r="U886" s="7"/>
      <c r="V886" s="388"/>
      <c r="W886" s="388"/>
      <c r="X886" s="388"/>
      <c r="Y886" s="7"/>
      <c r="Z886" s="7"/>
      <c r="AA886" s="7"/>
      <c r="AB886" s="7"/>
      <c r="AC886" s="7"/>
      <c r="AD886" s="7"/>
      <c r="AE886" s="7"/>
      <c r="AF886" s="7"/>
      <c r="AG886" s="7"/>
      <c r="AH886" s="7"/>
      <c r="AI886" s="7"/>
      <c r="AJ886" s="19"/>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c r="BN886" s="7"/>
      <c r="BO886" s="7"/>
      <c r="BP886" s="7"/>
      <c r="BQ886" s="7"/>
      <c r="BR886" s="7"/>
      <c r="BS886" s="7"/>
      <c r="BT886" s="7"/>
      <c r="BU886" s="7"/>
      <c r="BV886" s="7"/>
      <c r="BW886" s="7"/>
    </row>
    <row r="887">
      <c r="A887" s="7"/>
      <c r="B887" s="7"/>
      <c r="C887" s="7"/>
      <c r="D887" s="7"/>
      <c r="E887" s="19"/>
      <c r="F887" s="19"/>
      <c r="G887" s="19"/>
      <c r="H887" s="19"/>
      <c r="I887" s="19"/>
      <c r="J887" s="7"/>
      <c r="K887" s="19"/>
      <c r="L887" s="7"/>
      <c r="M887" s="7"/>
      <c r="N887" s="7"/>
      <c r="O887" s="7"/>
      <c r="P887" s="7"/>
      <c r="Q887" s="7"/>
      <c r="R887" s="7"/>
      <c r="S887" s="7"/>
      <c r="T887" s="7"/>
      <c r="U887" s="7"/>
      <c r="V887" s="388"/>
      <c r="W887" s="388"/>
      <c r="X887" s="388"/>
      <c r="Y887" s="7"/>
      <c r="Z887" s="7"/>
      <c r="AA887" s="7"/>
      <c r="AB887" s="7"/>
      <c r="AC887" s="7"/>
      <c r="AD887" s="7"/>
      <c r="AE887" s="7"/>
      <c r="AF887" s="7"/>
      <c r="AG887" s="7"/>
      <c r="AH887" s="7"/>
      <c r="AI887" s="7"/>
      <c r="AJ887" s="19"/>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row>
    <row r="888">
      <c r="A888" s="7"/>
      <c r="B888" s="7"/>
      <c r="C888" s="7"/>
      <c r="D888" s="7"/>
      <c r="E888" s="19"/>
      <c r="F888" s="19"/>
      <c r="G888" s="19"/>
      <c r="H888" s="19"/>
      <c r="I888" s="19"/>
      <c r="J888" s="7"/>
      <c r="K888" s="19"/>
      <c r="L888" s="7"/>
      <c r="M888" s="7"/>
      <c r="N888" s="7"/>
      <c r="O888" s="7"/>
      <c r="P888" s="7"/>
      <c r="Q888" s="7"/>
      <c r="R888" s="7"/>
      <c r="S888" s="7"/>
      <c r="T888" s="7"/>
      <c r="U888" s="7"/>
      <c r="V888" s="388"/>
      <c r="W888" s="388"/>
      <c r="X888" s="388"/>
      <c r="Y888" s="7"/>
      <c r="Z888" s="7"/>
      <c r="AA888" s="7"/>
      <c r="AB888" s="7"/>
      <c r="AC888" s="7"/>
      <c r="AD888" s="7"/>
      <c r="AE888" s="7"/>
      <c r="AF888" s="7"/>
      <c r="AG888" s="7"/>
      <c r="AH888" s="7"/>
      <c r="AI888" s="7"/>
      <c r="AJ888" s="19"/>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c r="BN888" s="7"/>
      <c r="BO888" s="7"/>
      <c r="BP888" s="7"/>
      <c r="BQ888" s="7"/>
      <c r="BR888" s="7"/>
      <c r="BS888" s="7"/>
      <c r="BT888" s="7"/>
      <c r="BU888" s="7"/>
      <c r="BV888" s="7"/>
      <c r="BW888" s="7"/>
    </row>
    <row r="889">
      <c r="A889" s="7"/>
      <c r="B889" s="7"/>
      <c r="C889" s="7"/>
      <c r="D889" s="7"/>
      <c r="E889" s="19"/>
      <c r="F889" s="19"/>
      <c r="G889" s="19"/>
      <c r="H889" s="19"/>
      <c r="I889" s="19"/>
      <c r="J889" s="7"/>
      <c r="K889" s="19"/>
      <c r="L889" s="7"/>
      <c r="M889" s="7"/>
      <c r="N889" s="7"/>
      <c r="O889" s="7"/>
      <c r="P889" s="7"/>
      <c r="Q889" s="7"/>
      <c r="R889" s="7"/>
      <c r="S889" s="7"/>
      <c r="T889" s="7"/>
      <c r="U889" s="7"/>
      <c r="V889" s="388"/>
      <c r="W889" s="388"/>
      <c r="X889" s="388"/>
      <c r="Y889" s="7"/>
      <c r="Z889" s="7"/>
      <c r="AA889" s="7"/>
      <c r="AB889" s="7"/>
      <c r="AC889" s="7"/>
      <c r="AD889" s="7"/>
      <c r="AE889" s="7"/>
      <c r="AF889" s="7"/>
      <c r="AG889" s="7"/>
      <c r="AH889" s="7"/>
      <c r="AI889" s="7"/>
      <c r="AJ889" s="19"/>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row>
    <row r="890">
      <c r="A890" s="7"/>
      <c r="B890" s="7"/>
      <c r="C890" s="7"/>
      <c r="D890" s="7"/>
      <c r="E890" s="19"/>
      <c r="F890" s="19"/>
      <c r="G890" s="19"/>
      <c r="H890" s="19"/>
      <c r="I890" s="19"/>
      <c r="J890" s="7"/>
      <c r="K890" s="19"/>
      <c r="L890" s="7"/>
      <c r="M890" s="7"/>
      <c r="N890" s="7"/>
      <c r="O890" s="7"/>
      <c r="P890" s="7"/>
      <c r="Q890" s="7"/>
      <c r="R890" s="7"/>
      <c r="S890" s="7"/>
      <c r="T890" s="7"/>
      <c r="U890" s="7"/>
      <c r="V890" s="388"/>
      <c r="W890" s="388"/>
      <c r="X890" s="388"/>
      <c r="Y890" s="7"/>
      <c r="Z890" s="7"/>
      <c r="AA890" s="7"/>
      <c r="AB890" s="7"/>
      <c r="AC890" s="7"/>
      <c r="AD890" s="7"/>
      <c r="AE890" s="7"/>
      <c r="AF890" s="7"/>
      <c r="AG890" s="7"/>
      <c r="AH890" s="7"/>
      <c r="AI890" s="7"/>
      <c r="AJ890" s="19"/>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c r="BN890" s="7"/>
      <c r="BO890" s="7"/>
      <c r="BP890" s="7"/>
      <c r="BQ890" s="7"/>
      <c r="BR890" s="7"/>
      <c r="BS890" s="7"/>
      <c r="BT890" s="7"/>
      <c r="BU890" s="7"/>
      <c r="BV890" s="7"/>
      <c r="BW890" s="7"/>
    </row>
    <row r="891">
      <c r="A891" s="7"/>
      <c r="B891" s="7"/>
      <c r="C891" s="7"/>
      <c r="D891" s="7"/>
      <c r="E891" s="19"/>
      <c r="F891" s="19"/>
      <c r="G891" s="19"/>
      <c r="H891" s="19"/>
      <c r="I891" s="19"/>
      <c r="J891" s="7"/>
      <c r="K891" s="19"/>
      <c r="L891" s="7"/>
      <c r="M891" s="7"/>
      <c r="N891" s="7"/>
      <c r="O891" s="7"/>
      <c r="P891" s="7"/>
      <c r="Q891" s="7"/>
      <c r="R891" s="7"/>
      <c r="S891" s="7"/>
      <c r="T891" s="7"/>
      <c r="U891" s="7"/>
      <c r="V891" s="388"/>
      <c r="W891" s="388"/>
      <c r="X891" s="388"/>
      <c r="Y891" s="7"/>
      <c r="Z891" s="7"/>
      <c r="AA891" s="7"/>
      <c r="AB891" s="7"/>
      <c r="AC891" s="7"/>
      <c r="AD891" s="7"/>
      <c r="AE891" s="7"/>
      <c r="AF891" s="7"/>
      <c r="AG891" s="7"/>
      <c r="AH891" s="7"/>
      <c r="AI891" s="7"/>
      <c r="AJ891" s="19"/>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row>
    <row r="892">
      <c r="A892" s="7"/>
      <c r="B892" s="7"/>
      <c r="C892" s="7"/>
      <c r="D892" s="7"/>
      <c r="E892" s="19"/>
      <c r="F892" s="19"/>
      <c r="G892" s="19"/>
      <c r="H892" s="19"/>
      <c r="I892" s="19"/>
      <c r="J892" s="7"/>
      <c r="K892" s="19"/>
      <c r="L892" s="7"/>
      <c r="M892" s="7"/>
      <c r="N892" s="7"/>
      <c r="O892" s="7"/>
      <c r="P892" s="7"/>
      <c r="Q892" s="7"/>
      <c r="R892" s="7"/>
      <c r="S892" s="7"/>
      <c r="T892" s="7"/>
      <c r="U892" s="7"/>
      <c r="V892" s="388"/>
      <c r="W892" s="388"/>
      <c r="X892" s="388"/>
      <c r="Y892" s="7"/>
      <c r="Z892" s="7"/>
      <c r="AA892" s="7"/>
      <c r="AB892" s="7"/>
      <c r="AC892" s="7"/>
      <c r="AD892" s="7"/>
      <c r="AE892" s="7"/>
      <c r="AF892" s="7"/>
      <c r="AG892" s="7"/>
      <c r="AH892" s="7"/>
      <c r="AI892" s="7"/>
      <c r="AJ892" s="19"/>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c r="BN892" s="7"/>
      <c r="BO892" s="7"/>
      <c r="BP892" s="7"/>
      <c r="BQ892" s="7"/>
      <c r="BR892" s="7"/>
      <c r="BS892" s="7"/>
      <c r="BT892" s="7"/>
      <c r="BU892" s="7"/>
      <c r="BV892" s="7"/>
      <c r="BW892" s="7"/>
    </row>
    <row r="893">
      <c r="A893" s="7"/>
      <c r="B893" s="7"/>
      <c r="C893" s="7"/>
      <c r="D893" s="7"/>
      <c r="E893" s="19"/>
      <c r="F893" s="19"/>
      <c r="G893" s="19"/>
      <c r="H893" s="19"/>
      <c r="I893" s="19"/>
      <c r="J893" s="7"/>
      <c r="K893" s="19"/>
      <c r="L893" s="7"/>
      <c r="M893" s="7"/>
      <c r="N893" s="7"/>
      <c r="O893" s="7"/>
      <c r="P893" s="7"/>
      <c r="Q893" s="7"/>
      <c r="R893" s="7"/>
      <c r="S893" s="7"/>
      <c r="T893" s="7"/>
      <c r="U893" s="7"/>
      <c r="V893" s="388"/>
      <c r="W893" s="388"/>
      <c r="X893" s="388"/>
      <c r="Y893" s="7"/>
      <c r="Z893" s="7"/>
      <c r="AA893" s="7"/>
      <c r="AB893" s="7"/>
      <c r="AC893" s="7"/>
      <c r="AD893" s="7"/>
      <c r="AE893" s="7"/>
      <c r="AF893" s="7"/>
      <c r="AG893" s="7"/>
      <c r="AH893" s="7"/>
      <c r="AI893" s="7"/>
      <c r="AJ893" s="19"/>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row>
    <row r="894">
      <c r="A894" s="7"/>
      <c r="B894" s="7"/>
      <c r="C894" s="7"/>
      <c r="D894" s="7"/>
      <c r="E894" s="19"/>
      <c r="F894" s="19"/>
      <c r="G894" s="19"/>
      <c r="H894" s="19"/>
      <c r="I894" s="19"/>
      <c r="J894" s="7"/>
      <c r="K894" s="19"/>
      <c r="L894" s="7"/>
      <c r="M894" s="7"/>
      <c r="N894" s="7"/>
      <c r="O894" s="7"/>
      <c r="P894" s="7"/>
      <c r="Q894" s="7"/>
      <c r="R894" s="7"/>
      <c r="S894" s="7"/>
      <c r="T894" s="7"/>
      <c r="U894" s="7"/>
      <c r="V894" s="388"/>
      <c r="W894" s="388"/>
      <c r="X894" s="388"/>
      <c r="Y894" s="7"/>
      <c r="Z894" s="7"/>
      <c r="AA894" s="7"/>
      <c r="AB894" s="7"/>
      <c r="AC894" s="7"/>
      <c r="AD894" s="7"/>
      <c r="AE894" s="7"/>
      <c r="AF894" s="7"/>
      <c r="AG894" s="7"/>
      <c r="AH894" s="7"/>
      <c r="AI894" s="7"/>
      <c r="AJ894" s="19"/>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c r="BN894" s="7"/>
      <c r="BO894" s="7"/>
      <c r="BP894" s="7"/>
      <c r="BQ894" s="7"/>
      <c r="BR894" s="7"/>
      <c r="BS894" s="7"/>
      <c r="BT894" s="7"/>
      <c r="BU894" s="7"/>
      <c r="BV894" s="7"/>
      <c r="BW894" s="7"/>
    </row>
    <row r="895">
      <c r="A895" s="7"/>
      <c r="B895" s="7"/>
      <c r="C895" s="7"/>
      <c r="D895" s="7"/>
      <c r="E895" s="19"/>
      <c r="F895" s="19"/>
      <c r="G895" s="19"/>
      <c r="H895" s="19"/>
      <c r="I895" s="19"/>
      <c r="J895" s="7"/>
      <c r="K895" s="19"/>
      <c r="L895" s="7"/>
      <c r="M895" s="7"/>
      <c r="N895" s="7"/>
      <c r="O895" s="7"/>
      <c r="P895" s="7"/>
      <c r="Q895" s="7"/>
      <c r="R895" s="7"/>
      <c r="S895" s="7"/>
      <c r="T895" s="7"/>
      <c r="U895" s="7"/>
      <c r="V895" s="388"/>
      <c r="W895" s="388"/>
      <c r="X895" s="388"/>
      <c r="Y895" s="7"/>
      <c r="Z895" s="7"/>
      <c r="AA895" s="7"/>
      <c r="AB895" s="7"/>
      <c r="AC895" s="7"/>
      <c r="AD895" s="7"/>
      <c r="AE895" s="7"/>
      <c r="AF895" s="7"/>
      <c r="AG895" s="7"/>
      <c r="AH895" s="7"/>
      <c r="AI895" s="7"/>
      <c r="AJ895" s="19"/>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row>
    <row r="896">
      <c r="A896" s="7"/>
      <c r="B896" s="7"/>
      <c r="C896" s="7"/>
      <c r="D896" s="7"/>
      <c r="E896" s="19"/>
      <c r="F896" s="19"/>
      <c r="G896" s="19"/>
      <c r="H896" s="19"/>
      <c r="I896" s="19"/>
      <c r="J896" s="7"/>
      <c r="K896" s="19"/>
      <c r="L896" s="7"/>
      <c r="M896" s="7"/>
      <c r="N896" s="7"/>
      <c r="O896" s="7"/>
      <c r="P896" s="7"/>
      <c r="Q896" s="7"/>
      <c r="R896" s="7"/>
      <c r="S896" s="7"/>
      <c r="T896" s="7"/>
      <c r="U896" s="7"/>
      <c r="V896" s="388"/>
      <c r="W896" s="388"/>
      <c r="X896" s="388"/>
      <c r="Y896" s="7"/>
      <c r="Z896" s="7"/>
      <c r="AA896" s="7"/>
      <c r="AB896" s="7"/>
      <c r="AC896" s="7"/>
      <c r="AD896" s="7"/>
      <c r="AE896" s="7"/>
      <c r="AF896" s="7"/>
      <c r="AG896" s="7"/>
      <c r="AH896" s="7"/>
      <c r="AI896" s="7"/>
      <c r="AJ896" s="19"/>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c r="BN896" s="7"/>
      <c r="BO896" s="7"/>
      <c r="BP896" s="7"/>
      <c r="BQ896" s="7"/>
      <c r="BR896" s="7"/>
      <c r="BS896" s="7"/>
      <c r="BT896" s="7"/>
      <c r="BU896" s="7"/>
      <c r="BV896" s="7"/>
      <c r="BW896" s="7"/>
    </row>
    <row r="897">
      <c r="A897" s="7"/>
      <c r="B897" s="7"/>
      <c r="C897" s="7"/>
      <c r="D897" s="7"/>
      <c r="E897" s="19"/>
      <c r="F897" s="19"/>
      <c r="G897" s="19"/>
      <c r="H897" s="19"/>
      <c r="I897" s="19"/>
      <c r="J897" s="7"/>
      <c r="K897" s="19"/>
      <c r="L897" s="7"/>
      <c r="M897" s="7"/>
      <c r="N897" s="7"/>
      <c r="O897" s="7"/>
      <c r="P897" s="7"/>
      <c r="Q897" s="7"/>
      <c r="R897" s="7"/>
      <c r="S897" s="7"/>
      <c r="T897" s="7"/>
      <c r="U897" s="7"/>
      <c r="V897" s="388"/>
      <c r="W897" s="388"/>
      <c r="X897" s="388"/>
      <c r="Y897" s="7"/>
      <c r="Z897" s="7"/>
      <c r="AA897" s="7"/>
      <c r="AB897" s="7"/>
      <c r="AC897" s="7"/>
      <c r="AD897" s="7"/>
      <c r="AE897" s="7"/>
      <c r="AF897" s="7"/>
      <c r="AG897" s="7"/>
      <c r="AH897" s="7"/>
      <c r="AI897" s="7"/>
      <c r="AJ897" s="19"/>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row>
    <row r="898">
      <c r="A898" s="7"/>
      <c r="B898" s="7"/>
      <c r="C898" s="7"/>
      <c r="D898" s="7"/>
      <c r="E898" s="19"/>
      <c r="F898" s="19"/>
      <c r="G898" s="19"/>
      <c r="H898" s="19"/>
      <c r="I898" s="19"/>
      <c r="J898" s="7"/>
      <c r="K898" s="19"/>
      <c r="L898" s="7"/>
      <c r="M898" s="7"/>
      <c r="N898" s="7"/>
      <c r="O898" s="7"/>
      <c r="P898" s="7"/>
      <c r="Q898" s="7"/>
      <c r="R898" s="7"/>
      <c r="S898" s="7"/>
      <c r="T898" s="7"/>
      <c r="U898" s="7"/>
      <c r="V898" s="388"/>
      <c r="W898" s="388"/>
      <c r="X898" s="388"/>
      <c r="Y898" s="7"/>
      <c r="Z898" s="7"/>
      <c r="AA898" s="7"/>
      <c r="AB898" s="7"/>
      <c r="AC898" s="7"/>
      <c r="AD898" s="7"/>
      <c r="AE898" s="7"/>
      <c r="AF898" s="7"/>
      <c r="AG898" s="7"/>
      <c r="AH898" s="7"/>
      <c r="AI898" s="7"/>
      <c r="AJ898" s="19"/>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row>
    <row r="899">
      <c r="A899" s="7"/>
      <c r="B899" s="7"/>
      <c r="C899" s="7"/>
      <c r="D899" s="7"/>
      <c r="E899" s="19"/>
      <c r="F899" s="19"/>
      <c r="G899" s="19"/>
      <c r="H899" s="19"/>
      <c r="I899" s="19"/>
      <c r="J899" s="7"/>
      <c r="K899" s="19"/>
      <c r="L899" s="7"/>
      <c r="M899" s="7"/>
      <c r="N899" s="7"/>
      <c r="O899" s="7"/>
      <c r="P899" s="7"/>
      <c r="Q899" s="7"/>
      <c r="R899" s="7"/>
      <c r="S899" s="7"/>
      <c r="T899" s="7"/>
      <c r="U899" s="7"/>
      <c r="V899" s="388"/>
      <c r="W899" s="388"/>
      <c r="X899" s="388"/>
      <c r="Y899" s="7"/>
      <c r="Z899" s="7"/>
      <c r="AA899" s="7"/>
      <c r="AB899" s="7"/>
      <c r="AC899" s="7"/>
      <c r="AD899" s="7"/>
      <c r="AE899" s="7"/>
      <c r="AF899" s="7"/>
      <c r="AG899" s="7"/>
      <c r="AH899" s="7"/>
      <c r="AI899" s="7"/>
      <c r="AJ899" s="19"/>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row>
    <row r="900">
      <c r="A900" s="7"/>
      <c r="B900" s="7"/>
      <c r="C900" s="7"/>
      <c r="D900" s="7"/>
      <c r="E900" s="19"/>
      <c r="F900" s="19"/>
      <c r="G900" s="19"/>
      <c r="H900" s="19"/>
      <c r="I900" s="19"/>
      <c r="J900" s="7"/>
      <c r="K900" s="19"/>
      <c r="L900" s="7"/>
      <c r="M900" s="7"/>
      <c r="N900" s="7"/>
      <c r="O900" s="7"/>
      <c r="P900" s="7"/>
      <c r="Q900" s="7"/>
      <c r="R900" s="7"/>
      <c r="S900" s="7"/>
      <c r="T900" s="7"/>
      <c r="U900" s="7"/>
      <c r="V900" s="388"/>
      <c r="W900" s="388"/>
      <c r="X900" s="388"/>
      <c r="Y900" s="7"/>
      <c r="Z900" s="7"/>
      <c r="AA900" s="7"/>
      <c r="AB900" s="7"/>
      <c r="AC900" s="7"/>
      <c r="AD900" s="7"/>
      <c r="AE900" s="7"/>
      <c r="AF900" s="7"/>
      <c r="AG900" s="7"/>
      <c r="AH900" s="7"/>
      <c r="AI900" s="7"/>
      <c r="AJ900" s="19"/>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c r="BN900" s="7"/>
      <c r="BO900" s="7"/>
      <c r="BP900" s="7"/>
      <c r="BQ900" s="7"/>
      <c r="BR900" s="7"/>
      <c r="BS900" s="7"/>
      <c r="BT900" s="7"/>
      <c r="BU900" s="7"/>
      <c r="BV900" s="7"/>
      <c r="BW900" s="7"/>
    </row>
    <row r="901">
      <c r="A901" s="7"/>
      <c r="B901" s="7"/>
      <c r="C901" s="7"/>
      <c r="D901" s="7"/>
      <c r="E901" s="19"/>
      <c r="F901" s="19"/>
      <c r="G901" s="19"/>
      <c r="H901" s="19"/>
      <c r="I901" s="19"/>
      <c r="J901" s="7"/>
      <c r="K901" s="19"/>
      <c r="L901" s="7"/>
      <c r="M901" s="7"/>
      <c r="N901" s="7"/>
      <c r="O901" s="7"/>
      <c r="P901" s="7"/>
      <c r="Q901" s="7"/>
      <c r="R901" s="7"/>
      <c r="S901" s="7"/>
      <c r="T901" s="7"/>
      <c r="U901" s="7"/>
      <c r="V901" s="388"/>
      <c r="W901" s="388"/>
      <c r="X901" s="388"/>
      <c r="Y901" s="7"/>
      <c r="Z901" s="7"/>
      <c r="AA901" s="7"/>
      <c r="AB901" s="7"/>
      <c r="AC901" s="7"/>
      <c r="AD901" s="7"/>
      <c r="AE901" s="7"/>
      <c r="AF901" s="7"/>
      <c r="AG901" s="7"/>
      <c r="AH901" s="7"/>
      <c r="AI901" s="7"/>
      <c r="AJ901" s="19"/>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row>
    <row r="902">
      <c r="A902" s="7"/>
      <c r="B902" s="7"/>
      <c r="C902" s="7"/>
      <c r="D902" s="7"/>
      <c r="E902" s="19"/>
      <c r="F902" s="19"/>
      <c r="G902" s="19"/>
      <c r="H902" s="19"/>
      <c r="I902" s="19"/>
      <c r="J902" s="7"/>
      <c r="K902" s="19"/>
      <c r="L902" s="7"/>
      <c r="M902" s="7"/>
      <c r="N902" s="7"/>
      <c r="O902" s="7"/>
      <c r="P902" s="7"/>
      <c r="Q902" s="7"/>
      <c r="R902" s="7"/>
      <c r="S902" s="7"/>
      <c r="T902" s="7"/>
      <c r="U902" s="7"/>
      <c r="V902" s="388"/>
      <c r="W902" s="388"/>
      <c r="X902" s="388"/>
      <c r="Y902" s="7"/>
      <c r="Z902" s="7"/>
      <c r="AA902" s="7"/>
      <c r="AB902" s="7"/>
      <c r="AC902" s="7"/>
      <c r="AD902" s="7"/>
      <c r="AE902" s="7"/>
      <c r="AF902" s="7"/>
      <c r="AG902" s="7"/>
      <c r="AH902" s="7"/>
      <c r="AI902" s="7"/>
      <c r="AJ902" s="19"/>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c r="BN902" s="7"/>
      <c r="BO902" s="7"/>
      <c r="BP902" s="7"/>
      <c r="BQ902" s="7"/>
      <c r="BR902" s="7"/>
      <c r="BS902" s="7"/>
      <c r="BT902" s="7"/>
      <c r="BU902" s="7"/>
      <c r="BV902" s="7"/>
      <c r="BW902" s="7"/>
    </row>
    <row r="903">
      <c r="A903" s="7"/>
      <c r="B903" s="7"/>
      <c r="C903" s="7"/>
      <c r="D903" s="7"/>
      <c r="E903" s="19"/>
      <c r="F903" s="19"/>
      <c r="G903" s="19"/>
      <c r="H903" s="19"/>
      <c r="I903" s="19"/>
      <c r="J903" s="7"/>
      <c r="K903" s="19"/>
      <c r="L903" s="7"/>
      <c r="M903" s="7"/>
      <c r="N903" s="7"/>
      <c r="O903" s="7"/>
      <c r="P903" s="7"/>
      <c r="Q903" s="7"/>
      <c r="R903" s="7"/>
      <c r="S903" s="7"/>
      <c r="T903" s="7"/>
      <c r="U903" s="7"/>
      <c r="V903" s="388"/>
      <c r="W903" s="388"/>
      <c r="X903" s="388"/>
      <c r="Y903" s="7"/>
      <c r="Z903" s="7"/>
      <c r="AA903" s="7"/>
      <c r="AB903" s="7"/>
      <c r="AC903" s="7"/>
      <c r="AD903" s="7"/>
      <c r="AE903" s="7"/>
      <c r="AF903" s="7"/>
      <c r="AG903" s="7"/>
      <c r="AH903" s="7"/>
      <c r="AI903" s="7"/>
      <c r="AJ903" s="19"/>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row>
    <row r="904">
      <c r="A904" s="7"/>
      <c r="B904" s="7"/>
      <c r="C904" s="7"/>
      <c r="D904" s="7"/>
      <c r="E904" s="19"/>
      <c r="F904" s="19"/>
      <c r="G904" s="19"/>
      <c r="H904" s="19"/>
      <c r="I904" s="19"/>
      <c r="J904" s="7"/>
      <c r="K904" s="19"/>
      <c r="L904" s="7"/>
      <c r="M904" s="7"/>
      <c r="N904" s="7"/>
      <c r="O904" s="7"/>
      <c r="P904" s="7"/>
      <c r="Q904" s="7"/>
      <c r="R904" s="7"/>
      <c r="S904" s="7"/>
      <c r="T904" s="7"/>
      <c r="U904" s="7"/>
      <c r="V904" s="388"/>
      <c r="W904" s="388"/>
      <c r="X904" s="388"/>
      <c r="Y904" s="7"/>
      <c r="Z904" s="7"/>
      <c r="AA904" s="7"/>
      <c r="AB904" s="7"/>
      <c r="AC904" s="7"/>
      <c r="AD904" s="7"/>
      <c r="AE904" s="7"/>
      <c r="AF904" s="7"/>
      <c r="AG904" s="7"/>
      <c r="AH904" s="7"/>
      <c r="AI904" s="7"/>
      <c r="AJ904" s="19"/>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c r="BN904" s="7"/>
      <c r="BO904" s="7"/>
      <c r="BP904" s="7"/>
      <c r="BQ904" s="7"/>
      <c r="BR904" s="7"/>
      <c r="BS904" s="7"/>
      <c r="BT904" s="7"/>
      <c r="BU904" s="7"/>
      <c r="BV904" s="7"/>
      <c r="BW904" s="7"/>
    </row>
    <row r="905">
      <c r="A905" s="7"/>
      <c r="B905" s="7"/>
      <c r="C905" s="7"/>
      <c r="D905" s="7"/>
      <c r="E905" s="19"/>
      <c r="F905" s="19"/>
      <c r="G905" s="19"/>
      <c r="H905" s="19"/>
      <c r="I905" s="19"/>
      <c r="J905" s="7"/>
      <c r="K905" s="19"/>
      <c r="L905" s="7"/>
      <c r="M905" s="7"/>
      <c r="N905" s="7"/>
      <c r="O905" s="7"/>
      <c r="P905" s="7"/>
      <c r="Q905" s="7"/>
      <c r="R905" s="7"/>
      <c r="S905" s="7"/>
      <c r="T905" s="7"/>
      <c r="U905" s="7"/>
      <c r="V905" s="388"/>
      <c r="W905" s="388"/>
      <c r="X905" s="388"/>
      <c r="Y905" s="7"/>
      <c r="Z905" s="7"/>
      <c r="AA905" s="7"/>
      <c r="AB905" s="7"/>
      <c r="AC905" s="7"/>
      <c r="AD905" s="7"/>
      <c r="AE905" s="7"/>
      <c r="AF905" s="7"/>
      <c r="AG905" s="7"/>
      <c r="AH905" s="7"/>
      <c r="AI905" s="7"/>
      <c r="AJ905" s="19"/>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row>
    <row r="906">
      <c r="A906" s="7"/>
      <c r="B906" s="7"/>
      <c r="C906" s="7"/>
      <c r="D906" s="7"/>
      <c r="E906" s="19"/>
      <c r="F906" s="19"/>
      <c r="G906" s="19"/>
      <c r="H906" s="19"/>
      <c r="I906" s="19"/>
      <c r="J906" s="7"/>
      <c r="K906" s="19"/>
      <c r="L906" s="7"/>
      <c r="M906" s="7"/>
      <c r="N906" s="7"/>
      <c r="O906" s="7"/>
      <c r="P906" s="7"/>
      <c r="Q906" s="7"/>
      <c r="R906" s="7"/>
      <c r="S906" s="7"/>
      <c r="T906" s="7"/>
      <c r="U906" s="7"/>
      <c r="V906" s="388"/>
      <c r="W906" s="388"/>
      <c r="X906" s="388"/>
      <c r="Y906" s="7"/>
      <c r="Z906" s="7"/>
      <c r="AA906" s="7"/>
      <c r="AB906" s="7"/>
      <c r="AC906" s="7"/>
      <c r="AD906" s="7"/>
      <c r="AE906" s="7"/>
      <c r="AF906" s="7"/>
      <c r="AG906" s="7"/>
      <c r="AH906" s="7"/>
      <c r="AI906" s="7"/>
      <c r="AJ906" s="19"/>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c r="BN906" s="7"/>
      <c r="BO906" s="7"/>
      <c r="BP906" s="7"/>
      <c r="BQ906" s="7"/>
      <c r="BR906" s="7"/>
      <c r="BS906" s="7"/>
      <c r="BT906" s="7"/>
      <c r="BU906" s="7"/>
      <c r="BV906" s="7"/>
      <c r="BW906" s="7"/>
    </row>
    <row r="907">
      <c r="A907" s="7"/>
      <c r="B907" s="7"/>
      <c r="C907" s="7"/>
      <c r="D907" s="7"/>
      <c r="E907" s="19"/>
      <c r="F907" s="19"/>
      <c r="G907" s="19"/>
      <c r="H907" s="19"/>
      <c r="I907" s="19"/>
      <c r="J907" s="7"/>
      <c r="K907" s="19"/>
      <c r="L907" s="7"/>
      <c r="M907" s="7"/>
      <c r="N907" s="7"/>
      <c r="O907" s="7"/>
      <c r="P907" s="7"/>
      <c r="Q907" s="7"/>
      <c r="R907" s="7"/>
      <c r="S907" s="7"/>
      <c r="T907" s="7"/>
      <c r="U907" s="7"/>
      <c r="V907" s="388"/>
      <c r="W907" s="388"/>
      <c r="X907" s="388"/>
      <c r="Y907" s="7"/>
      <c r="Z907" s="7"/>
      <c r="AA907" s="7"/>
      <c r="AB907" s="7"/>
      <c r="AC907" s="7"/>
      <c r="AD907" s="7"/>
      <c r="AE907" s="7"/>
      <c r="AF907" s="7"/>
      <c r="AG907" s="7"/>
      <c r="AH907" s="7"/>
      <c r="AI907" s="7"/>
      <c r="AJ907" s="19"/>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row>
    <row r="908">
      <c r="A908" s="7"/>
      <c r="B908" s="7"/>
      <c r="C908" s="7"/>
      <c r="D908" s="7"/>
      <c r="E908" s="19"/>
      <c r="F908" s="19"/>
      <c r="G908" s="19"/>
      <c r="H908" s="19"/>
      <c r="I908" s="19"/>
      <c r="J908" s="7"/>
      <c r="K908" s="19"/>
      <c r="L908" s="7"/>
      <c r="M908" s="7"/>
      <c r="N908" s="7"/>
      <c r="O908" s="7"/>
      <c r="P908" s="7"/>
      <c r="Q908" s="7"/>
      <c r="R908" s="7"/>
      <c r="S908" s="7"/>
      <c r="T908" s="7"/>
      <c r="U908" s="7"/>
      <c r="V908" s="388"/>
      <c r="W908" s="388"/>
      <c r="X908" s="388"/>
      <c r="Y908" s="7"/>
      <c r="Z908" s="7"/>
      <c r="AA908" s="7"/>
      <c r="AB908" s="7"/>
      <c r="AC908" s="7"/>
      <c r="AD908" s="7"/>
      <c r="AE908" s="7"/>
      <c r="AF908" s="7"/>
      <c r="AG908" s="7"/>
      <c r="AH908" s="7"/>
      <c r="AI908" s="7"/>
      <c r="AJ908" s="19"/>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c r="BN908" s="7"/>
      <c r="BO908" s="7"/>
      <c r="BP908" s="7"/>
      <c r="BQ908" s="7"/>
      <c r="BR908" s="7"/>
      <c r="BS908" s="7"/>
      <c r="BT908" s="7"/>
      <c r="BU908" s="7"/>
      <c r="BV908" s="7"/>
      <c r="BW908" s="7"/>
    </row>
    <row r="909">
      <c r="A909" s="7"/>
      <c r="B909" s="7"/>
      <c r="C909" s="7"/>
      <c r="D909" s="7"/>
      <c r="E909" s="19"/>
      <c r="F909" s="19"/>
      <c r="G909" s="19"/>
      <c r="H909" s="19"/>
      <c r="I909" s="19"/>
      <c r="J909" s="7"/>
      <c r="K909" s="19"/>
      <c r="L909" s="7"/>
      <c r="M909" s="7"/>
      <c r="N909" s="7"/>
      <c r="O909" s="7"/>
      <c r="P909" s="7"/>
      <c r="Q909" s="7"/>
      <c r="R909" s="7"/>
      <c r="S909" s="7"/>
      <c r="T909" s="7"/>
      <c r="U909" s="7"/>
      <c r="V909" s="388"/>
      <c r="W909" s="388"/>
      <c r="X909" s="388"/>
      <c r="Y909" s="7"/>
      <c r="Z909" s="7"/>
      <c r="AA909" s="7"/>
      <c r="AB909" s="7"/>
      <c r="AC909" s="7"/>
      <c r="AD909" s="7"/>
      <c r="AE909" s="7"/>
      <c r="AF909" s="7"/>
      <c r="AG909" s="7"/>
      <c r="AH909" s="7"/>
      <c r="AI909" s="7"/>
      <c r="AJ909" s="19"/>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row>
    <row r="910">
      <c r="A910" s="7"/>
      <c r="B910" s="7"/>
      <c r="C910" s="7"/>
      <c r="D910" s="7"/>
      <c r="E910" s="19"/>
      <c r="F910" s="19"/>
      <c r="G910" s="19"/>
      <c r="H910" s="19"/>
      <c r="I910" s="19"/>
      <c r="J910" s="7"/>
      <c r="K910" s="19"/>
      <c r="L910" s="7"/>
      <c r="M910" s="7"/>
      <c r="N910" s="7"/>
      <c r="O910" s="7"/>
      <c r="P910" s="7"/>
      <c r="Q910" s="7"/>
      <c r="R910" s="7"/>
      <c r="S910" s="7"/>
      <c r="T910" s="7"/>
      <c r="U910" s="7"/>
      <c r="V910" s="388"/>
      <c r="W910" s="388"/>
      <c r="X910" s="388"/>
      <c r="Y910" s="7"/>
      <c r="Z910" s="7"/>
      <c r="AA910" s="7"/>
      <c r="AB910" s="7"/>
      <c r="AC910" s="7"/>
      <c r="AD910" s="7"/>
      <c r="AE910" s="7"/>
      <c r="AF910" s="7"/>
      <c r="AG910" s="7"/>
      <c r="AH910" s="7"/>
      <c r="AI910" s="7"/>
      <c r="AJ910" s="19"/>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c r="BN910" s="7"/>
      <c r="BO910" s="7"/>
      <c r="BP910" s="7"/>
      <c r="BQ910" s="7"/>
      <c r="BR910" s="7"/>
      <c r="BS910" s="7"/>
      <c r="BT910" s="7"/>
      <c r="BU910" s="7"/>
      <c r="BV910" s="7"/>
      <c r="BW910" s="7"/>
    </row>
    <row r="911">
      <c r="A911" s="7"/>
      <c r="B911" s="7"/>
      <c r="C911" s="7"/>
      <c r="D911" s="7"/>
      <c r="E911" s="19"/>
      <c r="F911" s="19"/>
      <c r="G911" s="19"/>
      <c r="H911" s="19"/>
      <c r="I911" s="19"/>
      <c r="J911" s="7"/>
      <c r="K911" s="19"/>
      <c r="L911" s="7"/>
      <c r="M911" s="7"/>
      <c r="N911" s="7"/>
      <c r="O911" s="7"/>
      <c r="P911" s="7"/>
      <c r="Q911" s="7"/>
      <c r="R911" s="7"/>
      <c r="S911" s="7"/>
      <c r="T911" s="7"/>
      <c r="U911" s="7"/>
      <c r="V911" s="388"/>
      <c r="W911" s="388"/>
      <c r="X911" s="388"/>
      <c r="Y911" s="7"/>
      <c r="Z911" s="7"/>
      <c r="AA911" s="7"/>
      <c r="AB911" s="7"/>
      <c r="AC911" s="7"/>
      <c r="AD911" s="7"/>
      <c r="AE911" s="7"/>
      <c r="AF911" s="7"/>
      <c r="AG911" s="7"/>
      <c r="AH911" s="7"/>
      <c r="AI911" s="7"/>
      <c r="AJ911" s="19"/>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row>
    <row r="912">
      <c r="A912" s="7"/>
      <c r="B912" s="7"/>
      <c r="C912" s="7"/>
      <c r="D912" s="7"/>
      <c r="E912" s="19"/>
      <c r="F912" s="19"/>
      <c r="G912" s="19"/>
      <c r="H912" s="19"/>
      <c r="I912" s="19"/>
      <c r="J912" s="7"/>
      <c r="K912" s="19"/>
      <c r="L912" s="7"/>
      <c r="M912" s="7"/>
      <c r="N912" s="7"/>
      <c r="O912" s="7"/>
      <c r="P912" s="7"/>
      <c r="Q912" s="7"/>
      <c r="R912" s="7"/>
      <c r="S912" s="7"/>
      <c r="T912" s="7"/>
      <c r="U912" s="7"/>
      <c r="V912" s="388"/>
      <c r="W912" s="388"/>
      <c r="X912" s="388"/>
      <c r="Y912" s="7"/>
      <c r="Z912" s="7"/>
      <c r="AA912" s="7"/>
      <c r="AB912" s="7"/>
      <c r="AC912" s="7"/>
      <c r="AD912" s="7"/>
      <c r="AE912" s="7"/>
      <c r="AF912" s="7"/>
      <c r="AG912" s="7"/>
      <c r="AH912" s="7"/>
      <c r="AI912" s="7"/>
      <c r="AJ912" s="19"/>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c r="BN912" s="7"/>
      <c r="BO912" s="7"/>
      <c r="BP912" s="7"/>
      <c r="BQ912" s="7"/>
      <c r="BR912" s="7"/>
      <c r="BS912" s="7"/>
      <c r="BT912" s="7"/>
      <c r="BU912" s="7"/>
      <c r="BV912" s="7"/>
      <c r="BW912" s="7"/>
    </row>
    <row r="913">
      <c r="A913" s="7"/>
      <c r="B913" s="7"/>
      <c r="C913" s="7"/>
      <c r="D913" s="7"/>
      <c r="E913" s="19"/>
      <c r="F913" s="19"/>
      <c r="G913" s="19"/>
      <c r="H913" s="19"/>
      <c r="I913" s="19"/>
      <c r="J913" s="7"/>
      <c r="K913" s="19"/>
      <c r="L913" s="7"/>
      <c r="M913" s="7"/>
      <c r="N913" s="7"/>
      <c r="O913" s="7"/>
      <c r="P913" s="7"/>
      <c r="Q913" s="7"/>
      <c r="R913" s="7"/>
      <c r="S913" s="7"/>
      <c r="T913" s="7"/>
      <c r="U913" s="7"/>
      <c r="V913" s="388"/>
      <c r="W913" s="388"/>
      <c r="X913" s="388"/>
      <c r="Y913" s="7"/>
      <c r="Z913" s="7"/>
      <c r="AA913" s="7"/>
      <c r="AB913" s="7"/>
      <c r="AC913" s="7"/>
      <c r="AD913" s="7"/>
      <c r="AE913" s="7"/>
      <c r="AF913" s="7"/>
      <c r="AG913" s="7"/>
      <c r="AH913" s="7"/>
      <c r="AI913" s="7"/>
      <c r="AJ913" s="19"/>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row>
    <row r="914">
      <c r="A914" s="7"/>
      <c r="B914" s="7"/>
      <c r="C914" s="7"/>
      <c r="D914" s="7"/>
      <c r="E914" s="19"/>
      <c r="F914" s="19"/>
      <c r="G914" s="19"/>
      <c r="H914" s="19"/>
      <c r="I914" s="19"/>
      <c r="J914" s="7"/>
      <c r="K914" s="19"/>
      <c r="L914" s="7"/>
      <c r="M914" s="7"/>
      <c r="N914" s="7"/>
      <c r="O914" s="7"/>
      <c r="P914" s="7"/>
      <c r="Q914" s="7"/>
      <c r="R914" s="7"/>
      <c r="S914" s="7"/>
      <c r="T914" s="7"/>
      <c r="U914" s="7"/>
      <c r="V914" s="388"/>
      <c r="W914" s="388"/>
      <c r="X914" s="388"/>
      <c r="Y914" s="7"/>
      <c r="Z914" s="7"/>
      <c r="AA914" s="7"/>
      <c r="AB914" s="7"/>
      <c r="AC914" s="7"/>
      <c r="AD914" s="7"/>
      <c r="AE914" s="7"/>
      <c r="AF914" s="7"/>
      <c r="AG914" s="7"/>
      <c r="AH914" s="7"/>
      <c r="AI914" s="7"/>
      <c r="AJ914" s="19"/>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c r="BN914" s="7"/>
      <c r="BO914" s="7"/>
      <c r="BP914" s="7"/>
      <c r="BQ914" s="7"/>
      <c r="BR914" s="7"/>
      <c r="BS914" s="7"/>
      <c r="BT914" s="7"/>
      <c r="BU914" s="7"/>
      <c r="BV914" s="7"/>
      <c r="BW914" s="7"/>
    </row>
    <row r="915">
      <c r="A915" s="7"/>
      <c r="B915" s="7"/>
      <c r="C915" s="7"/>
      <c r="D915" s="7"/>
      <c r="E915" s="19"/>
      <c r="F915" s="19"/>
      <c r="G915" s="19"/>
      <c r="H915" s="19"/>
      <c r="I915" s="19"/>
      <c r="J915" s="7"/>
      <c r="K915" s="19"/>
      <c r="L915" s="7"/>
      <c r="M915" s="7"/>
      <c r="N915" s="7"/>
      <c r="O915" s="7"/>
      <c r="P915" s="7"/>
      <c r="Q915" s="7"/>
      <c r="R915" s="7"/>
      <c r="S915" s="7"/>
      <c r="T915" s="7"/>
      <c r="U915" s="7"/>
      <c r="V915" s="388"/>
      <c r="W915" s="388"/>
      <c r="X915" s="388"/>
      <c r="Y915" s="7"/>
      <c r="Z915" s="7"/>
      <c r="AA915" s="7"/>
      <c r="AB915" s="7"/>
      <c r="AC915" s="7"/>
      <c r="AD915" s="7"/>
      <c r="AE915" s="7"/>
      <c r="AF915" s="7"/>
      <c r="AG915" s="7"/>
      <c r="AH915" s="7"/>
      <c r="AI915" s="7"/>
      <c r="AJ915" s="19"/>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row>
    <row r="916">
      <c r="A916" s="7"/>
      <c r="B916" s="7"/>
      <c r="C916" s="7"/>
      <c r="D916" s="7"/>
      <c r="E916" s="19"/>
      <c r="F916" s="19"/>
      <c r="G916" s="19"/>
      <c r="H916" s="19"/>
      <c r="I916" s="19"/>
      <c r="J916" s="7"/>
      <c r="K916" s="19"/>
      <c r="L916" s="7"/>
      <c r="M916" s="7"/>
      <c r="N916" s="7"/>
      <c r="O916" s="7"/>
      <c r="P916" s="7"/>
      <c r="Q916" s="7"/>
      <c r="R916" s="7"/>
      <c r="S916" s="7"/>
      <c r="T916" s="7"/>
      <c r="U916" s="7"/>
      <c r="V916" s="388"/>
      <c r="W916" s="388"/>
      <c r="X916" s="388"/>
      <c r="Y916" s="7"/>
      <c r="Z916" s="7"/>
      <c r="AA916" s="7"/>
      <c r="AB916" s="7"/>
      <c r="AC916" s="7"/>
      <c r="AD916" s="7"/>
      <c r="AE916" s="7"/>
      <c r="AF916" s="7"/>
      <c r="AG916" s="7"/>
      <c r="AH916" s="7"/>
      <c r="AI916" s="7"/>
      <c r="AJ916" s="19"/>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c r="BN916" s="7"/>
      <c r="BO916" s="7"/>
      <c r="BP916" s="7"/>
      <c r="BQ916" s="7"/>
      <c r="BR916" s="7"/>
      <c r="BS916" s="7"/>
      <c r="BT916" s="7"/>
      <c r="BU916" s="7"/>
      <c r="BV916" s="7"/>
      <c r="BW916" s="7"/>
    </row>
    <row r="917">
      <c r="A917" s="7"/>
      <c r="B917" s="7"/>
      <c r="C917" s="7"/>
      <c r="D917" s="7"/>
      <c r="E917" s="19"/>
      <c r="F917" s="19"/>
      <c r="G917" s="19"/>
      <c r="H917" s="19"/>
      <c r="I917" s="19"/>
      <c r="J917" s="7"/>
      <c r="K917" s="19"/>
      <c r="L917" s="7"/>
      <c r="M917" s="7"/>
      <c r="N917" s="7"/>
      <c r="O917" s="7"/>
      <c r="P917" s="7"/>
      <c r="Q917" s="7"/>
      <c r="R917" s="7"/>
      <c r="S917" s="7"/>
      <c r="T917" s="7"/>
      <c r="U917" s="7"/>
      <c r="V917" s="388"/>
      <c r="W917" s="388"/>
      <c r="X917" s="388"/>
      <c r="Y917" s="7"/>
      <c r="Z917" s="7"/>
      <c r="AA917" s="7"/>
      <c r="AB917" s="7"/>
      <c r="AC917" s="7"/>
      <c r="AD917" s="7"/>
      <c r="AE917" s="7"/>
      <c r="AF917" s="7"/>
      <c r="AG917" s="7"/>
      <c r="AH917" s="7"/>
      <c r="AI917" s="7"/>
      <c r="AJ917" s="19"/>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row>
    <row r="918">
      <c r="A918" s="7"/>
      <c r="B918" s="7"/>
      <c r="C918" s="7"/>
      <c r="D918" s="7"/>
      <c r="E918" s="19"/>
      <c r="F918" s="19"/>
      <c r="G918" s="19"/>
      <c r="H918" s="19"/>
      <c r="I918" s="19"/>
      <c r="J918" s="7"/>
      <c r="K918" s="19"/>
      <c r="L918" s="7"/>
      <c r="M918" s="7"/>
      <c r="N918" s="7"/>
      <c r="O918" s="7"/>
      <c r="P918" s="7"/>
      <c r="Q918" s="7"/>
      <c r="R918" s="7"/>
      <c r="S918" s="7"/>
      <c r="T918" s="7"/>
      <c r="U918" s="7"/>
      <c r="V918" s="388"/>
      <c r="W918" s="388"/>
      <c r="X918" s="388"/>
      <c r="Y918" s="7"/>
      <c r="Z918" s="7"/>
      <c r="AA918" s="7"/>
      <c r="AB918" s="7"/>
      <c r="AC918" s="7"/>
      <c r="AD918" s="7"/>
      <c r="AE918" s="7"/>
      <c r="AF918" s="7"/>
      <c r="AG918" s="7"/>
      <c r="AH918" s="7"/>
      <c r="AI918" s="7"/>
      <c r="AJ918" s="19"/>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c r="BN918" s="7"/>
      <c r="BO918" s="7"/>
      <c r="BP918" s="7"/>
      <c r="BQ918" s="7"/>
      <c r="BR918" s="7"/>
      <c r="BS918" s="7"/>
      <c r="BT918" s="7"/>
      <c r="BU918" s="7"/>
      <c r="BV918" s="7"/>
      <c r="BW918" s="7"/>
    </row>
    <row r="919">
      <c r="A919" s="7"/>
      <c r="B919" s="7"/>
      <c r="C919" s="7"/>
      <c r="D919" s="7"/>
      <c r="E919" s="19"/>
      <c r="F919" s="19"/>
      <c r="G919" s="19"/>
      <c r="H919" s="19"/>
      <c r="I919" s="19"/>
      <c r="J919" s="7"/>
      <c r="K919" s="19"/>
      <c r="L919" s="7"/>
      <c r="M919" s="7"/>
      <c r="N919" s="7"/>
      <c r="O919" s="7"/>
      <c r="P919" s="7"/>
      <c r="Q919" s="7"/>
      <c r="R919" s="7"/>
      <c r="S919" s="7"/>
      <c r="T919" s="7"/>
      <c r="U919" s="7"/>
      <c r="V919" s="388"/>
      <c r="W919" s="388"/>
      <c r="X919" s="388"/>
      <c r="Y919" s="7"/>
      <c r="Z919" s="7"/>
      <c r="AA919" s="7"/>
      <c r="AB919" s="7"/>
      <c r="AC919" s="7"/>
      <c r="AD919" s="7"/>
      <c r="AE919" s="7"/>
      <c r="AF919" s="7"/>
      <c r="AG919" s="7"/>
      <c r="AH919" s="7"/>
      <c r="AI919" s="7"/>
      <c r="AJ919" s="19"/>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row>
    <row r="920">
      <c r="A920" s="7"/>
      <c r="B920" s="7"/>
      <c r="C920" s="7"/>
      <c r="D920" s="7"/>
      <c r="E920" s="19"/>
      <c r="F920" s="19"/>
      <c r="G920" s="19"/>
      <c r="H920" s="19"/>
      <c r="I920" s="19"/>
      <c r="J920" s="7"/>
      <c r="K920" s="19"/>
      <c r="L920" s="7"/>
      <c r="M920" s="7"/>
      <c r="N920" s="7"/>
      <c r="O920" s="7"/>
      <c r="P920" s="7"/>
      <c r="Q920" s="7"/>
      <c r="R920" s="7"/>
      <c r="S920" s="7"/>
      <c r="T920" s="7"/>
      <c r="U920" s="7"/>
      <c r="V920" s="388"/>
      <c r="W920" s="388"/>
      <c r="X920" s="388"/>
      <c r="Y920" s="7"/>
      <c r="Z920" s="7"/>
      <c r="AA920" s="7"/>
      <c r="AB920" s="7"/>
      <c r="AC920" s="7"/>
      <c r="AD920" s="7"/>
      <c r="AE920" s="7"/>
      <c r="AF920" s="7"/>
      <c r="AG920" s="7"/>
      <c r="AH920" s="7"/>
      <c r="AI920" s="7"/>
      <c r="AJ920" s="19"/>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c r="BN920" s="7"/>
      <c r="BO920" s="7"/>
      <c r="BP920" s="7"/>
      <c r="BQ920" s="7"/>
      <c r="BR920" s="7"/>
      <c r="BS920" s="7"/>
      <c r="BT920" s="7"/>
      <c r="BU920" s="7"/>
      <c r="BV920" s="7"/>
      <c r="BW920" s="7"/>
    </row>
    <row r="921">
      <c r="A921" s="7"/>
      <c r="B921" s="7"/>
      <c r="C921" s="7"/>
      <c r="D921" s="7"/>
      <c r="E921" s="19"/>
      <c r="F921" s="19"/>
      <c r="G921" s="19"/>
      <c r="H921" s="19"/>
      <c r="I921" s="19"/>
      <c r="J921" s="7"/>
      <c r="K921" s="19"/>
      <c r="L921" s="7"/>
      <c r="M921" s="7"/>
      <c r="N921" s="7"/>
      <c r="O921" s="7"/>
      <c r="P921" s="7"/>
      <c r="Q921" s="7"/>
      <c r="R921" s="7"/>
      <c r="S921" s="7"/>
      <c r="T921" s="7"/>
      <c r="U921" s="7"/>
      <c r="V921" s="388"/>
      <c r="W921" s="388"/>
      <c r="X921" s="388"/>
      <c r="Y921" s="7"/>
      <c r="Z921" s="7"/>
      <c r="AA921" s="7"/>
      <c r="AB921" s="7"/>
      <c r="AC921" s="7"/>
      <c r="AD921" s="7"/>
      <c r="AE921" s="7"/>
      <c r="AF921" s="7"/>
      <c r="AG921" s="7"/>
      <c r="AH921" s="7"/>
      <c r="AI921" s="7"/>
      <c r="AJ921" s="19"/>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row>
    <row r="922">
      <c r="A922" s="7"/>
      <c r="B922" s="7"/>
      <c r="C922" s="7"/>
      <c r="D922" s="7"/>
      <c r="E922" s="19"/>
      <c r="F922" s="19"/>
      <c r="G922" s="19"/>
      <c r="H922" s="19"/>
      <c r="I922" s="19"/>
      <c r="J922" s="7"/>
      <c r="K922" s="19"/>
      <c r="L922" s="7"/>
      <c r="M922" s="7"/>
      <c r="N922" s="7"/>
      <c r="O922" s="7"/>
      <c r="P922" s="7"/>
      <c r="Q922" s="7"/>
      <c r="R922" s="7"/>
      <c r="S922" s="7"/>
      <c r="T922" s="7"/>
      <c r="U922" s="7"/>
      <c r="V922" s="388"/>
      <c r="W922" s="388"/>
      <c r="X922" s="388"/>
      <c r="Y922" s="7"/>
      <c r="Z922" s="7"/>
      <c r="AA922" s="7"/>
      <c r="AB922" s="7"/>
      <c r="AC922" s="7"/>
      <c r="AD922" s="7"/>
      <c r="AE922" s="7"/>
      <c r="AF922" s="7"/>
      <c r="AG922" s="7"/>
      <c r="AH922" s="7"/>
      <c r="AI922" s="7"/>
      <c r="AJ922" s="19"/>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c r="BN922" s="7"/>
      <c r="BO922" s="7"/>
      <c r="BP922" s="7"/>
      <c r="BQ922" s="7"/>
      <c r="BR922" s="7"/>
      <c r="BS922" s="7"/>
      <c r="BT922" s="7"/>
      <c r="BU922" s="7"/>
      <c r="BV922" s="7"/>
      <c r="BW922" s="7"/>
    </row>
    <row r="923">
      <c r="A923" s="7"/>
      <c r="B923" s="7"/>
      <c r="C923" s="7"/>
      <c r="D923" s="7"/>
      <c r="E923" s="19"/>
      <c r="F923" s="19"/>
      <c r="G923" s="19"/>
      <c r="H923" s="19"/>
      <c r="I923" s="19"/>
      <c r="J923" s="7"/>
      <c r="K923" s="19"/>
      <c r="L923" s="7"/>
      <c r="M923" s="7"/>
      <c r="N923" s="7"/>
      <c r="O923" s="7"/>
      <c r="P923" s="7"/>
      <c r="Q923" s="7"/>
      <c r="R923" s="7"/>
      <c r="S923" s="7"/>
      <c r="T923" s="7"/>
      <c r="U923" s="7"/>
      <c r="V923" s="388"/>
      <c r="W923" s="388"/>
      <c r="X923" s="388"/>
      <c r="Y923" s="7"/>
      <c r="Z923" s="7"/>
      <c r="AA923" s="7"/>
      <c r="AB923" s="7"/>
      <c r="AC923" s="7"/>
      <c r="AD923" s="7"/>
      <c r="AE923" s="7"/>
      <c r="AF923" s="7"/>
      <c r="AG923" s="7"/>
      <c r="AH923" s="7"/>
      <c r="AI923" s="7"/>
      <c r="AJ923" s="19"/>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row>
    <row r="924">
      <c r="A924" s="7"/>
      <c r="B924" s="7"/>
      <c r="C924" s="7"/>
      <c r="D924" s="7"/>
      <c r="E924" s="19"/>
      <c r="F924" s="19"/>
      <c r="G924" s="19"/>
      <c r="H924" s="19"/>
      <c r="I924" s="19"/>
      <c r="J924" s="7"/>
      <c r="K924" s="19"/>
      <c r="L924" s="7"/>
      <c r="M924" s="7"/>
      <c r="N924" s="7"/>
      <c r="O924" s="7"/>
      <c r="P924" s="7"/>
      <c r="Q924" s="7"/>
      <c r="R924" s="7"/>
      <c r="S924" s="7"/>
      <c r="T924" s="7"/>
      <c r="U924" s="7"/>
      <c r="V924" s="388"/>
      <c r="W924" s="388"/>
      <c r="X924" s="388"/>
      <c r="Y924" s="7"/>
      <c r="Z924" s="7"/>
      <c r="AA924" s="7"/>
      <c r="AB924" s="7"/>
      <c r="AC924" s="7"/>
      <c r="AD924" s="7"/>
      <c r="AE924" s="7"/>
      <c r="AF924" s="7"/>
      <c r="AG924" s="7"/>
      <c r="AH924" s="7"/>
      <c r="AI924" s="7"/>
      <c r="AJ924" s="19"/>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c r="BN924" s="7"/>
      <c r="BO924" s="7"/>
      <c r="BP924" s="7"/>
      <c r="BQ924" s="7"/>
      <c r="BR924" s="7"/>
      <c r="BS924" s="7"/>
      <c r="BT924" s="7"/>
      <c r="BU924" s="7"/>
      <c r="BV924" s="7"/>
      <c r="BW924" s="7"/>
    </row>
    <row r="925">
      <c r="A925" s="7"/>
      <c r="B925" s="7"/>
      <c r="C925" s="7"/>
      <c r="D925" s="7"/>
      <c r="E925" s="19"/>
      <c r="F925" s="19"/>
      <c r="G925" s="19"/>
      <c r="H925" s="19"/>
      <c r="I925" s="19"/>
      <c r="J925" s="7"/>
      <c r="K925" s="19"/>
      <c r="L925" s="7"/>
      <c r="M925" s="7"/>
      <c r="N925" s="7"/>
      <c r="O925" s="7"/>
      <c r="P925" s="7"/>
      <c r="Q925" s="7"/>
      <c r="R925" s="7"/>
      <c r="S925" s="7"/>
      <c r="T925" s="7"/>
      <c r="U925" s="7"/>
      <c r="V925" s="388"/>
      <c r="W925" s="388"/>
      <c r="X925" s="388"/>
      <c r="Y925" s="7"/>
      <c r="Z925" s="7"/>
      <c r="AA925" s="7"/>
      <c r="AB925" s="7"/>
      <c r="AC925" s="7"/>
      <c r="AD925" s="7"/>
      <c r="AE925" s="7"/>
      <c r="AF925" s="7"/>
      <c r="AG925" s="7"/>
      <c r="AH925" s="7"/>
      <c r="AI925" s="7"/>
      <c r="AJ925" s="19"/>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row>
    <row r="926">
      <c r="A926" s="7"/>
      <c r="B926" s="7"/>
      <c r="C926" s="7"/>
      <c r="D926" s="7"/>
      <c r="E926" s="19"/>
      <c r="F926" s="19"/>
      <c r="G926" s="19"/>
      <c r="H926" s="19"/>
      <c r="I926" s="19"/>
      <c r="J926" s="7"/>
      <c r="K926" s="19"/>
      <c r="L926" s="7"/>
      <c r="M926" s="7"/>
      <c r="N926" s="7"/>
      <c r="O926" s="7"/>
      <c r="P926" s="7"/>
      <c r="Q926" s="7"/>
      <c r="R926" s="7"/>
      <c r="S926" s="7"/>
      <c r="T926" s="7"/>
      <c r="U926" s="7"/>
      <c r="V926" s="388"/>
      <c r="W926" s="388"/>
      <c r="X926" s="388"/>
      <c r="Y926" s="7"/>
      <c r="Z926" s="7"/>
      <c r="AA926" s="7"/>
      <c r="AB926" s="7"/>
      <c r="AC926" s="7"/>
      <c r="AD926" s="7"/>
      <c r="AE926" s="7"/>
      <c r="AF926" s="7"/>
      <c r="AG926" s="7"/>
      <c r="AH926" s="7"/>
      <c r="AI926" s="7"/>
      <c r="AJ926" s="19"/>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row>
    <row r="927">
      <c r="A927" s="7"/>
      <c r="B927" s="7"/>
      <c r="C927" s="7"/>
      <c r="D927" s="7"/>
      <c r="E927" s="19"/>
      <c r="F927" s="19"/>
      <c r="G927" s="19"/>
      <c r="H927" s="19"/>
      <c r="I927" s="19"/>
      <c r="J927" s="7"/>
      <c r="K927" s="19"/>
      <c r="L927" s="7"/>
      <c r="M927" s="7"/>
      <c r="N927" s="7"/>
      <c r="O927" s="7"/>
      <c r="P927" s="7"/>
      <c r="Q927" s="7"/>
      <c r="R927" s="7"/>
      <c r="S927" s="7"/>
      <c r="T927" s="7"/>
      <c r="U927" s="7"/>
      <c r="V927" s="388"/>
      <c r="W927" s="388"/>
      <c r="X927" s="388"/>
      <c r="Y927" s="7"/>
      <c r="Z927" s="7"/>
      <c r="AA927" s="7"/>
      <c r="AB927" s="7"/>
      <c r="AC927" s="7"/>
      <c r="AD927" s="7"/>
      <c r="AE927" s="7"/>
      <c r="AF927" s="7"/>
      <c r="AG927" s="7"/>
      <c r="AH927" s="7"/>
      <c r="AI927" s="7"/>
      <c r="AJ927" s="19"/>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row>
    <row r="928">
      <c r="A928" s="7"/>
      <c r="B928" s="7"/>
      <c r="C928" s="7"/>
      <c r="D928" s="7"/>
      <c r="E928" s="19"/>
      <c r="F928" s="19"/>
      <c r="G928" s="19"/>
      <c r="H928" s="19"/>
      <c r="I928" s="19"/>
      <c r="J928" s="7"/>
      <c r="K928" s="19"/>
      <c r="L928" s="7"/>
      <c r="M928" s="7"/>
      <c r="N928" s="7"/>
      <c r="O928" s="7"/>
      <c r="P928" s="7"/>
      <c r="Q928" s="7"/>
      <c r="R928" s="7"/>
      <c r="S928" s="7"/>
      <c r="T928" s="7"/>
      <c r="U928" s="7"/>
      <c r="V928" s="388"/>
      <c r="W928" s="388"/>
      <c r="X928" s="388"/>
      <c r="Y928" s="7"/>
      <c r="Z928" s="7"/>
      <c r="AA928" s="7"/>
      <c r="AB928" s="7"/>
      <c r="AC928" s="7"/>
      <c r="AD928" s="7"/>
      <c r="AE928" s="7"/>
      <c r="AF928" s="7"/>
      <c r="AG928" s="7"/>
      <c r="AH928" s="7"/>
      <c r="AI928" s="7"/>
      <c r="AJ928" s="19"/>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c r="BN928" s="7"/>
      <c r="BO928" s="7"/>
      <c r="BP928" s="7"/>
      <c r="BQ928" s="7"/>
      <c r="BR928" s="7"/>
      <c r="BS928" s="7"/>
      <c r="BT928" s="7"/>
      <c r="BU928" s="7"/>
      <c r="BV928" s="7"/>
      <c r="BW928" s="7"/>
    </row>
    <row r="929">
      <c r="A929" s="7"/>
      <c r="B929" s="7"/>
      <c r="C929" s="7"/>
      <c r="D929" s="7"/>
      <c r="E929" s="19"/>
      <c r="F929" s="19"/>
      <c r="G929" s="19"/>
      <c r="H929" s="19"/>
      <c r="I929" s="19"/>
      <c r="J929" s="7"/>
      <c r="K929" s="19"/>
      <c r="L929" s="7"/>
      <c r="M929" s="7"/>
      <c r="N929" s="7"/>
      <c r="O929" s="7"/>
      <c r="P929" s="7"/>
      <c r="Q929" s="7"/>
      <c r="R929" s="7"/>
      <c r="S929" s="7"/>
      <c r="T929" s="7"/>
      <c r="U929" s="7"/>
      <c r="V929" s="388"/>
      <c r="W929" s="388"/>
      <c r="X929" s="388"/>
      <c r="Y929" s="7"/>
      <c r="Z929" s="7"/>
      <c r="AA929" s="7"/>
      <c r="AB929" s="7"/>
      <c r="AC929" s="7"/>
      <c r="AD929" s="7"/>
      <c r="AE929" s="7"/>
      <c r="AF929" s="7"/>
      <c r="AG929" s="7"/>
      <c r="AH929" s="7"/>
      <c r="AI929" s="7"/>
      <c r="AJ929" s="19"/>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row>
    <row r="930">
      <c r="A930" s="7"/>
      <c r="B930" s="7"/>
      <c r="C930" s="7"/>
      <c r="D930" s="7"/>
      <c r="E930" s="19"/>
      <c r="F930" s="19"/>
      <c r="G930" s="19"/>
      <c r="H930" s="19"/>
      <c r="I930" s="19"/>
      <c r="J930" s="7"/>
      <c r="K930" s="19"/>
      <c r="L930" s="7"/>
      <c r="M930" s="7"/>
      <c r="N930" s="7"/>
      <c r="O930" s="7"/>
      <c r="P930" s="7"/>
      <c r="Q930" s="7"/>
      <c r="R930" s="7"/>
      <c r="S930" s="7"/>
      <c r="T930" s="7"/>
      <c r="U930" s="7"/>
      <c r="V930" s="388"/>
      <c r="W930" s="388"/>
      <c r="X930" s="388"/>
      <c r="Y930" s="7"/>
      <c r="Z930" s="7"/>
      <c r="AA930" s="7"/>
      <c r="AB930" s="7"/>
      <c r="AC930" s="7"/>
      <c r="AD930" s="7"/>
      <c r="AE930" s="7"/>
      <c r="AF930" s="7"/>
      <c r="AG930" s="7"/>
      <c r="AH930" s="7"/>
      <c r="AI930" s="7"/>
      <c r="AJ930" s="19"/>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c r="BN930" s="7"/>
      <c r="BO930" s="7"/>
      <c r="BP930" s="7"/>
      <c r="BQ930" s="7"/>
      <c r="BR930" s="7"/>
      <c r="BS930" s="7"/>
      <c r="BT930" s="7"/>
      <c r="BU930" s="7"/>
      <c r="BV930" s="7"/>
      <c r="BW930" s="7"/>
    </row>
    <row r="931">
      <c r="A931" s="7"/>
      <c r="B931" s="7"/>
      <c r="C931" s="7"/>
      <c r="D931" s="7"/>
      <c r="E931" s="19"/>
      <c r="F931" s="19"/>
      <c r="G931" s="19"/>
      <c r="H931" s="19"/>
      <c r="I931" s="19"/>
      <c r="J931" s="7"/>
      <c r="K931" s="19"/>
      <c r="L931" s="7"/>
      <c r="M931" s="7"/>
      <c r="N931" s="7"/>
      <c r="O931" s="7"/>
      <c r="P931" s="7"/>
      <c r="Q931" s="7"/>
      <c r="R931" s="7"/>
      <c r="S931" s="7"/>
      <c r="T931" s="7"/>
      <c r="U931" s="7"/>
      <c r="V931" s="388"/>
      <c r="W931" s="388"/>
      <c r="X931" s="388"/>
      <c r="Y931" s="7"/>
      <c r="Z931" s="7"/>
      <c r="AA931" s="7"/>
      <c r="AB931" s="7"/>
      <c r="AC931" s="7"/>
      <c r="AD931" s="7"/>
      <c r="AE931" s="7"/>
      <c r="AF931" s="7"/>
      <c r="AG931" s="7"/>
      <c r="AH931" s="7"/>
      <c r="AI931" s="7"/>
      <c r="AJ931" s="19"/>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row>
    <row r="932">
      <c r="A932" s="7"/>
      <c r="B932" s="7"/>
      <c r="C932" s="7"/>
      <c r="D932" s="7"/>
      <c r="E932" s="19"/>
      <c r="F932" s="19"/>
      <c r="G932" s="19"/>
      <c r="H932" s="19"/>
      <c r="I932" s="19"/>
      <c r="J932" s="7"/>
      <c r="K932" s="19"/>
      <c r="L932" s="7"/>
      <c r="M932" s="7"/>
      <c r="N932" s="7"/>
      <c r="O932" s="7"/>
      <c r="P932" s="7"/>
      <c r="Q932" s="7"/>
      <c r="R932" s="7"/>
      <c r="S932" s="7"/>
      <c r="T932" s="7"/>
      <c r="U932" s="7"/>
      <c r="V932" s="388"/>
      <c r="W932" s="388"/>
      <c r="X932" s="388"/>
      <c r="Y932" s="7"/>
      <c r="Z932" s="7"/>
      <c r="AA932" s="7"/>
      <c r="AB932" s="7"/>
      <c r="AC932" s="7"/>
      <c r="AD932" s="7"/>
      <c r="AE932" s="7"/>
      <c r="AF932" s="7"/>
      <c r="AG932" s="7"/>
      <c r="AH932" s="7"/>
      <c r="AI932" s="7"/>
      <c r="AJ932" s="19"/>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c r="BN932" s="7"/>
      <c r="BO932" s="7"/>
      <c r="BP932" s="7"/>
      <c r="BQ932" s="7"/>
      <c r="BR932" s="7"/>
      <c r="BS932" s="7"/>
      <c r="BT932" s="7"/>
      <c r="BU932" s="7"/>
      <c r="BV932" s="7"/>
      <c r="BW932" s="7"/>
    </row>
    <row r="933">
      <c r="A933" s="7"/>
      <c r="B933" s="7"/>
      <c r="C933" s="7"/>
      <c r="D933" s="7"/>
      <c r="E933" s="19"/>
      <c r="F933" s="19"/>
      <c r="G933" s="19"/>
      <c r="H933" s="19"/>
      <c r="I933" s="19"/>
      <c r="J933" s="7"/>
      <c r="K933" s="19"/>
      <c r="L933" s="7"/>
      <c r="M933" s="7"/>
      <c r="N933" s="7"/>
      <c r="O933" s="7"/>
      <c r="P933" s="7"/>
      <c r="Q933" s="7"/>
      <c r="R933" s="7"/>
      <c r="S933" s="7"/>
      <c r="T933" s="7"/>
      <c r="U933" s="7"/>
      <c r="V933" s="388"/>
      <c r="W933" s="388"/>
      <c r="X933" s="388"/>
      <c r="Y933" s="7"/>
      <c r="Z933" s="7"/>
      <c r="AA933" s="7"/>
      <c r="AB933" s="7"/>
      <c r="AC933" s="7"/>
      <c r="AD933" s="7"/>
      <c r="AE933" s="7"/>
      <c r="AF933" s="7"/>
      <c r="AG933" s="7"/>
      <c r="AH933" s="7"/>
      <c r="AI933" s="7"/>
      <c r="AJ933" s="19"/>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row>
    <row r="934">
      <c r="A934" s="7"/>
      <c r="B934" s="7"/>
      <c r="C934" s="7"/>
      <c r="D934" s="7"/>
      <c r="E934" s="19"/>
      <c r="F934" s="19"/>
      <c r="G934" s="19"/>
      <c r="H934" s="19"/>
      <c r="I934" s="19"/>
      <c r="J934" s="7"/>
      <c r="K934" s="19"/>
      <c r="L934" s="7"/>
      <c r="M934" s="7"/>
      <c r="N934" s="7"/>
      <c r="O934" s="7"/>
      <c r="P934" s="7"/>
      <c r="Q934" s="7"/>
      <c r="R934" s="7"/>
      <c r="S934" s="7"/>
      <c r="T934" s="7"/>
      <c r="U934" s="7"/>
      <c r="V934" s="388"/>
      <c r="W934" s="388"/>
      <c r="X934" s="388"/>
      <c r="Y934" s="7"/>
      <c r="Z934" s="7"/>
      <c r="AA934" s="7"/>
      <c r="AB934" s="7"/>
      <c r="AC934" s="7"/>
      <c r="AD934" s="7"/>
      <c r="AE934" s="7"/>
      <c r="AF934" s="7"/>
      <c r="AG934" s="7"/>
      <c r="AH934" s="7"/>
      <c r="AI934" s="7"/>
      <c r="AJ934" s="19"/>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c r="BN934" s="7"/>
      <c r="BO934" s="7"/>
      <c r="BP934" s="7"/>
      <c r="BQ934" s="7"/>
      <c r="BR934" s="7"/>
      <c r="BS934" s="7"/>
      <c r="BT934" s="7"/>
      <c r="BU934" s="7"/>
      <c r="BV934" s="7"/>
      <c r="BW934" s="7"/>
    </row>
    <row r="935">
      <c r="A935" s="7"/>
      <c r="B935" s="7"/>
      <c r="C935" s="7"/>
      <c r="D935" s="7"/>
      <c r="E935" s="19"/>
      <c r="F935" s="19"/>
      <c r="G935" s="19"/>
      <c r="H935" s="19"/>
      <c r="I935" s="19"/>
      <c r="J935" s="7"/>
      <c r="K935" s="19"/>
      <c r="L935" s="7"/>
      <c r="M935" s="7"/>
      <c r="N935" s="7"/>
      <c r="O935" s="7"/>
      <c r="P935" s="7"/>
      <c r="Q935" s="7"/>
      <c r="R935" s="7"/>
      <c r="S935" s="7"/>
      <c r="T935" s="7"/>
      <c r="U935" s="7"/>
      <c r="V935" s="388"/>
      <c r="W935" s="388"/>
      <c r="X935" s="388"/>
      <c r="Y935" s="7"/>
      <c r="Z935" s="7"/>
      <c r="AA935" s="7"/>
      <c r="AB935" s="7"/>
      <c r="AC935" s="7"/>
      <c r="AD935" s="7"/>
      <c r="AE935" s="7"/>
      <c r="AF935" s="7"/>
      <c r="AG935" s="7"/>
      <c r="AH935" s="7"/>
      <c r="AI935" s="7"/>
      <c r="AJ935" s="19"/>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row>
    <row r="936">
      <c r="A936" s="7"/>
      <c r="B936" s="7"/>
      <c r="C936" s="7"/>
      <c r="D936" s="7"/>
      <c r="E936" s="19"/>
      <c r="F936" s="19"/>
      <c r="G936" s="19"/>
      <c r="H936" s="19"/>
      <c r="I936" s="19"/>
      <c r="J936" s="7"/>
      <c r="K936" s="19"/>
      <c r="L936" s="7"/>
      <c r="M936" s="7"/>
      <c r="N936" s="7"/>
      <c r="O936" s="7"/>
      <c r="P936" s="7"/>
      <c r="Q936" s="7"/>
      <c r="R936" s="7"/>
      <c r="S936" s="7"/>
      <c r="T936" s="7"/>
      <c r="U936" s="7"/>
      <c r="V936" s="388"/>
      <c r="W936" s="388"/>
      <c r="X936" s="388"/>
      <c r="Y936" s="7"/>
      <c r="Z936" s="7"/>
      <c r="AA936" s="7"/>
      <c r="AB936" s="7"/>
      <c r="AC936" s="7"/>
      <c r="AD936" s="7"/>
      <c r="AE936" s="7"/>
      <c r="AF936" s="7"/>
      <c r="AG936" s="7"/>
      <c r="AH936" s="7"/>
      <c r="AI936" s="7"/>
      <c r="AJ936" s="19"/>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c r="BN936" s="7"/>
      <c r="BO936" s="7"/>
      <c r="BP936" s="7"/>
      <c r="BQ936" s="7"/>
      <c r="BR936" s="7"/>
      <c r="BS936" s="7"/>
      <c r="BT936" s="7"/>
      <c r="BU936" s="7"/>
      <c r="BV936" s="7"/>
      <c r="BW936" s="7"/>
    </row>
    <row r="937">
      <c r="A937" s="7"/>
      <c r="B937" s="7"/>
      <c r="C937" s="7"/>
      <c r="D937" s="7"/>
      <c r="E937" s="19"/>
      <c r="F937" s="19"/>
      <c r="G937" s="19"/>
      <c r="H937" s="19"/>
      <c r="I937" s="19"/>
      <c r="J937" s="7"/>
      <c r="K937" s="19"/>
      <c r="L937" s="7"/>
      <c r="M937" s="7"/>
      <c r="N937" s="7"/>
      <c r="O937" s="7"/>
      <c r="P937" s="7"/>
      <c r="Q937" s="7"/>
      <c r="R937" s="7"/>
      <c r="S937" s="7"/>
      <c r="T937" s="7"/>
      <c r="U937" s="7"/>
      <c r="V937" s="388"/>
      <c r="W937" s="388"/>
      <c r="X937" s="388"/>
      <c r="Y937" s="7"/>
      <c r="Z937" s="7"/>
      <c r="AA937" s="7"/>
      <c r="AB937" s="7"/>
      <c r="AC937" s="7"/>
      <c r="AD937" s="7"/>
      <c r="AE937" s="7"/>
      <c r="AF937" s="7"/>
      <c r="AG937" s="7"/>
      <c r="AH937" s="7"/>
      <c r="AI937" s="7"/>
      <c r="AJ937" s="19"/>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row>
    <row r="938">
      <c r="A938" s="7"/>
      <c r="B938" s="7"/>
      <c r="C938" s="7"/>
      <c r="D938" s="7"/>
      <c r="E938" s="19"/>
      <c r="F938" s="19"/>
      <c r="G938" s="19"/>
      <c r="H938" s="19"/>
      <c r="I938" s="19"/>
      <c r="J938" s="7"/>
      <c r="K938" s="19"/>
      <c r="L938" s="7"/>
      <c r="M938" s="7"/>
      <c r="N938" s="7"/>
      <c r="O938" s="7"/>
      <c r="P938" s="7"/>
      <c r="Q938" s="7"/>
      <c r="R938" s="7"/>
      <c r="S938" s="7"/>
      <c r="T938" s="7"/>
      <c r="U938" s="7"/>
      <c r="V938" s="388"/>
      <c r="W938" s="388"/>
      <c r="X938" s="388"/>
      <c r="Y938" s="7"/>
      <c r="Z938" s="7"/>
      <c r="AA938" s="7"/>
      <c r="AB938" s="7"/>
      <c r="AC938" s="7"/>
      <c r="AD938" s="7"/>
      <c r="AE938" s="7"/>
      <c r="AF938" s="7"/>
      <c r="AG938" s="7"/>
      <c r="AH938" s="7"/>
      <c r="AI938" s="7"/>
      <c r="AJ938" s="19"/>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c r="BN938" s="7"/>
      <c r="BO938" s="7"/>
      <c r="BP938" s="7"/>
      <c r="BQ938" s="7"/>
      <c r="BR938" s="7"/>
      <c r="BS938" s="7"/>
      <c r="BT938" s="7"/>
      <c r="BU938" s="7"/>
      <c r="BV938" s="7"/>
      <c r="BW938" s="7"/>
    </row>
    <row r="939">
      <c r="A939" s="7"/>
      <c r="B939" s="7"/>
      <c r="C939" s="7"/>
      <c r="D939" s="7"/>
      <c r="E939" s="19"/>
      <c r="F939" s="19"/>
      <c r="G939" s="19"/>
      <c r="H939" s="19"/>
      <c r="I939" s="19"/>
      <c r="J939" s="7"/>
      <c r="K939" s="19"/>
      <c r="L939" s="7"/>
      <c r="M939" s="7"/>
      <c r="N939" s="7"/>
      <c r="O939" s="7"/>
      <c r="P939" s="7"/>
      <c r="Q939" s="7"/>
      <c r="R939" s="7"/>
      <c r="S939" s="7"/>
      <c r="T939" s="7"/>
      <c r="U939" s="7"/>
      <c r="V939" s="388"/>
      <c r="W939" s="388"/>
      <c r="X939" s="388"/>
      <c r="Y939" s="7"/>
      <c r="Z939" s="7"/>
      <c r="AA939" s="7"/>
      <c r="AB939" s="7"/>
      <c r="AC939" s="7"/>
      <c r="AD939" s="7"/>
      <c r="AE939" s="7"/>
      <c r="AF939" s="7"/>
      <c r="AG939" s="7"/>
      <c r="AH939" s="7"/>
      <c r="AI939" s="7"/>
      <c r="AJ939" s="19"/>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row>
    <row r="940">
      <c r="A940" s="7"/>
      <c r="B940" s="7"/>
      <c r="C940" s="7"/>
      <c r="D940" s="7"/>
      <c r="E940" s="19"/>
      <c r="F940" s="19"/>
      <c r="G940" s="19"/>
      <c r="H940" s="19"/>
      <c r="I940" s="19"/>
      <c r="J940" s="7"/>
      <c r="K940" s="19"/>
      <c r="L940" s="7"/>
      <c r="M940" s="7"/>
      <c r="N940" s="7"/>
      <c r="O940" s="7"/>
      <c r="P940" s="7"/>
      <c r="Q940" s="7"/>
      <c r="R940" s="7"/>
      <c r="S940" s="7"/>
      <c r="T940" s="7"/>
      <c r="U940" s="7"/>
      <c r="V940" s="388"/>
      <c r="W940" s="388"/>
      <c r="X940" s="388"/>
      <c r="Y940" s="7"/>
      <c r="Z940" s="7"/>
      <c r="AA940" s="7"/>
      <c r="AB940" s="7"/>
      <c r="AC940" s="7"/>
      <c r="AD940" s="7"/>
      <c r="AE940" s="7"/>
      <c r="AF940" s="7"/>
      <c r="AG940" s="7"/>
      <c r="AH940" s="7"/>
      <c r="AI940" s="7"/>
      <c r="AJ940" s="19"/>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c r="BN940" s="7"/>
      <c r="BO940" s="7"/>
      <c r="BP940" s="7"/>
      <c r="BQ940" s="7"/>
      <c r="BR940" s="7"/>
      <c r="BS940" s="7"/>
      <c r="BT940" s="7"/>
      <c r="BU940" s="7"/>
      <c r="BV940" s="7"/>
      <c r="BW940" s="7"/>
    </row>
    <row r="941">
      <c r="A941" s="7"/>
      <c r="B941" s="7"/>
      <c r="C941" s="7"/>
      <c r="D941" s="7"/>
      <c r="E941" s="19"/>
      <c r="F941" s="19"/>
      <c r="G941" s="19"/>
      <c r="H941" s="19"/>
      <c r="I941" s="19"/>
      <c r="J941" s="7"/>
      <c r="K941" s="19"/>
      <c r="L941" s="7"/>
      <c r="M941" s="7"/>
      <c r="N941" s="7"/>
      <c r="O941" s="7"/>
      <c r="P941" s="7"/>
      <c r="Q941" s="7"/>
      <c r="R941" s="7"/>
      <c r="S941" s="7"/>
      <c r="T941" s="7"/>
      <c r="U941" s="7"/>
      <c r="V941" s="388"/>
      <c r="W941" s="388"/>
      <c r="X941" s="388"/>
      <c r="Y941" s="7"/>
      <c r="Z941" s="7"/>
      <c r="AA941" s="7"/>
      <c r="AB941" s="7"/>
      <c r="AC941" s="7"/>
      <c r="AD941" s="7"/>
      <c r="AE941" s="7"/>
      <c r="AF941" s="7"/>
      <c r="AG941" s="7"/>
      <c r="AH941" s="7"/>
      <c r="AI941" s="7"/>
      <c r="AJ941" s="19"/>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row>
    <row r="942">
      <c r="A942" s="7"/>
      <c r="B942" s="7"/>
      <c r="C942" s="7"/>
      <c r="D942" s="7"/>
      <c r="E942" s="19"/>
      <c r="F942" s="19"/>
      <c r="G942" s="19"/>
      <c r="H942" s="19"/>
      <c r="I942" s="19"/>
      <c r="J942" s="7"/>
      <c r="K942" s="19"/>
      <c r="L942" s="7"/>
      <c r="M942" s="7"/>
      <c r="N942" s="7"/>
      <c r="O942" s="7"/>
      <c r="P942" s="7"/>
      <c r="Q942" s="7"/>
      <c r="R942" s="7"/>
      <c r="S942" s="7"/>
      <c r="T942" s="7"/>
      <c r="U942" s="7"/>
      <c r="V942" s="388"/>
      <c r="W942" s="388"/>
      <c r="X942" s="388"/>
      <c r="Y942" s="7"/>
      <c r="Z942" s="7"/>
      <c r="AA942" s="7"/>
      <c r="AB942" s="7"/>
      <c r="AC942" s="7"/>
      <c r="AD942" s="7"/>
      <c r="AE942" s="7"/>
      <c r="AF942" s="7"/>
      <c r="AG942" s="7"/>
      <c r="AH942" s="7"/>
      <c r="AI942" s="7"/>
      <c r="AJ942" s="19"/>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c r="BN942" s="7"/>
      <c r="BO942" s="7"/>
      <c r="BP942" s="7"/>
      <c r="BQ942" s="7"/>
      <c r="BR942" s="7"/>
      <c r="BS942" s="7"/>
      <c r="BT942" s="7"/>
      <c r="BU942" s="7"/>
      <c r="BV942" s="7"/>
      <c r="BW942" s="7"/>
    </row>
    <row r="943">
      <c r="A943" s="7"/>
      <c r="B943" s="7"/>
      <c r="C943" s="7"/>
      <c r="D943" s="7"/>
      <c r="E943" s="19"/>
      <c r="F943" s="19"/>
      <c r="G943" s="19"/>
      <c r="H943" s="19"/>
      <c r="I943" s="19"/>
      <c r="J943" s="7"/>
      <c r="K943" s="19"/>
      <c r="L943" s="7"/>
      <c r="M943" s="7"/>
      <c r="N943" s="7"/>
      <c r="O943" s="7"/>
      <c r="P943" s="7"/>
      <c r="Q943" s="7"/>
      <c r="R943" s="7"/>
      <c r="S943" s="7"/>
      <c r="T943" s="7"/>
      <c r="U943" s="7"/>
      <c r="V943" s="388"/>
      <c r="W943" s="388"/>
      <c r="X943" s="388"/>
      <c r="Y943" s="7"/>
      <c r="Z943" s="7"/>
      <c r="AA943" s="7"/>
      <c r="AB943" s="7"/>
      <c r="AC943" s="7"/>
      <c r="AD943" s="7"/>
      <c r="AE943" s="7"/>
      <c r="AF943" s="7"/>
      <c r="AG943" s="7"/>
      <c r="AH943" s="7"/>
      <c r="AI943" s="7"/>
      <c r="AJ943" s="19"/>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row>
    <row r="944">
      <c r="A944" s="7"/>
      <c r="B944" s="7"/>
      <c r="C944" s="7"/>
      <c r="D944" s="7"/>
      <c r="E944" s="19"/>
      <c r="F944" s="19"/>
      <c r="G944" s="19"/>
      <c r="H944" s="19"/>
      <c r="I944" s="19"/>
      <c r="J944" s="7"/>
      <c r="K944" s="19"/>
      <c r="L944" s="7"/>
      <c r="M944" s="7"/>
      <c r="N944" s="7"/>
      <c r="O944" s="7"/>
      <c r="P944" s="7"/>
      <c r="Q944" s="7"/>
      <c r="R944" s="7"/>
      <c r="S944" s="7"/>
      <c r="T944" s="7"/>
      <c r="U944" s="7"/>
      <c r="V944" s="388"/>
      <c r="W944" s="388"/>
      <c r="X944" s="388"/>
      <c r="Y944" s="7"/>
      <c r="Z944" s="7"/>
      <c r="AA944" s="7"/>
      <c r="AB944" s="7"/>
      <c r="AC944" s="7"/>
      <c r="AD944" s="7"/>
      <c r="AE944" s="7"/>
      <c r="AF944" s="7"/>
      <c r="AG944" s="7"/>
      <c r="AH944" s="7"/>
      <c r="AI944" s="7"/>
      <c r="AJ944" s="19"/>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c r="BN944" s="7"/>
      <c r="BO944" s="7"/>
      <c r="BP944" s="7"/>
      <c r="BQ944" s="7"/>
      <c r="BR944" s="7"/>
      <c r="BS944" s="7"/>
      <c r="BT944" s="7"/>
      <c r="BU944" s="7"/>
      <c r="BV944" s="7"/>
      <c r="BW944" s="7"/>
    </row>
    <row r="945">
      <c r="A945" s="7"/>
      <c r="B945" s="7"/>
      <c r="C945" s="7"/>
      <c r="D945" s="7"/>
      <c r="E945" s="19"/>
      <c r="F945" s="19"/>
      <c r="G945" s="19"/>
      <c r="H945" s="19"/>
      <c r="I945" s="19"/>
      <c r="J945" s="7"/>
      <c r="K945" s="19"/>
      <c r="L945" s="7"/>
      <c r="M945" s="7"/>
      <c r="N945" s="7"/>
      <c r="O945" s="7"/>
      <c r="P945" s="7"/>
      <c r="Q945" s="7"/>
      <c r="R945" s="7"/>
      <c r="S945" s="7"/>
      <c r="T945" s="7"/>
      <c r="U945" s="7"/>
      <c r="V945" s="388"/>
      <c r="W945" s="388"/>
      <c r="X945" s="388"/>
      <c r="Y945" s="7"/>
      <c r="Z945" s="7"/>
      <c r="AA945" s="7"/>
      <c r="AB945" s="7"/>
      <c r="AC945" s="7"/>
      <c r="AD945" s="7"/>
      <c r="AE945" s="7"/>
      <c r="AF945" s="7"/>
      <c r="AG945" s="7"/>
      <c r="AH945" s="7"/>
      <c r="AI945" s="7"/>
      <c r="AJ945" s="19"/>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row>
    <row r="946">
      <c r="A946" s="7"/>
      <c r="B946" s="7"/>
      <c r="C946" s="7"/>
      <c r="D946" s="7"/>
      <c r="E946" s="19"/>
      <c r="F946" s="19"/>
      <c r="G946" s="19"/>
      <c r="H946" s="19"/>
      <c r="I946" s="19"/>
      <c r="J946" s="7"/>
      <c r="K946" s="19"/>
      <c r="L946" s="7"/>
      <c r="M946" s="7"/>
      <c r="N946" s="7"/>
      <c r="O946" s="7"/>
      <c r="P946" s="7"/>
      <c r="Q946" s="7"/>
      <c r="R946" s="7"/>
      <c r="S946" s="7"/>
      <c r="T946" s="7"/>
      <c r="U946" s="7"/>
      <c r="V946" s="388"/>
      <c r="W946" s="388"/>
      <c r="X946" s="388"/>
      <c r="Y946" s="7"/>
      <c r="Z946" s="7"/>
      <c r="AA946" s="7"/>
      <c r="AB946" s="7"/>
      <c r="AC946" s="7"/>
      <c r="AD946" s="7"/>
      <c r="AE946" s="7"/>
      <c r="AF946" s="7"/>
      <c r="AG946" s="7"/>
      <c r="AH946" s="7"/>
      <c r="AI946" s="7"/>
      <c r="AJ946" s="19"/>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c r="BN946" s="7"/>
      <c r="BO946" s="7"/>
      <c r="BP946" s="7"/>
      <c r="BQ946" s="7"/>
      <c r="BR946" s="7"/>
      <c r="BS946" s="7"/>
      <c r="BT946" s="7"/>
      <c r="BU946" s="7"/>
      <c r="BV946" s="7"/>
      <c r="BW946" s="7"/>
    </row>
    <row r="947">
      <c r="A947" s="7"/>
      <c r="B947" s="7"/>
      <c r="C947" s="7"/>
      <c r="D947" s="7"/>
      <c r="E947" s="19"/>
      <c r="F947" s="19"/>
      <c r="G947" s="19"/>
      <c r="H947" s="19"/>
      <c r="I947" s="19"/>
      <c r="J947" s="7"/>
      <c r="K947" s="19"/>
      <c r="L947" s="7"/>
      <c r="M947" s="7"/>
      <c r="N947" s="7"/>
      <c r="O947" s="7"/>
      <c r="P947" s="7"/>
      <c r="Q947" s="7"/>
      <c r="R947" s="7"/>
      <c r="S947" s="7"/>
      <c r="T947" s="7"/>
      <c r="U947" s="7"/>
      <c r="V947" s="388"/>
      <c r="W947" s="388"/>
      <c r="X947" s="388"/>
      <c r="Y947" s="7"/>
      <c r="Z947" s="7"/>
      <c r="AA947" s="7"/>
      <c r="AB947" s="7"/>
      <c r="AC947" s="7"/>
      <c r="AD947" s="7"/>
      <c r="AE947" s="7"/>
      <c r="AF947" s="7"/>
      <c r="AG947" s="7"/>
      <c r="AH947" s="7"/>
      <c r="AI947" s="7"/>
      <c r="AJ947" s="19"/>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row>
    <row r="948">
      <c r="A948" s="7"/>
      <c r="B948" s="7"/>
      <c r="C948" s="7"/>
      <c r="D948" s="7"/>
      <c r="E948" s="19"/>
      <c r="F948" s="19"/>
      <c r="G948" s="19"/>
      <c r="H948" s="19"/>
      <c r="I948" s="19"/>
      <c r="J948" s="7"/>
      <c r="K948" s="19"/>
      <c r="L948" s="7"/>
      <c r="M948" s="7"/>
      <c r="N948" s="7"/>
      <c r="O948" s="7"/>
      <c r="P948" s="7"/>
      <c r="Q948" s="7"/>
      <c r="R948" s="7"/>
      <c r="S948" s="7"/>
      <c r="T948" s="7"/>
      <c r="U948" s="7"/>
      <c r="V948" s="388"/>
      <c r="W948" s="388"/>
      <c r="X948" s="388"/>
      <c r="Y948" s="7"/>
      <c r="Z948" s="7"/>
      <c r="AA948" s="7"/>
      <c r="AB948" s="7"/>
      <c r="AC948" s="7"/>
      <c r="AD948" s="7"/>
      <c r="AE948" s="7"/>
      <c r="AF948" s="7"/>
      <c r="AG948" s="7"/>
      <c r="AH948" s="7"/>
      <c r="AI948" s="7"/>
      <c r="AJ948" s="19"/>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c r="BN948" s="7"/>
      <c r="BO948" s="7"/>
      <c r="BP948" s="7"/>
      <c r="BQ948" s="7"/>
      <c r="BR948" s="7"/>
      <c r="BS948" s="7"/>
      <c r="BT948" s="7"/>
      <c r="BU948" s="7"/>
      <c r="BV948" s="7"/>
      <c r="BW948" s="7"/>
    </row>
    <row r="949">
      <c r="A949" s="7"/>
      <c r="B949" s="7"/>
      <c r="C949" s="7"/>
      <c r="D949" s="7"/>
      <c r="E949" s="19"/>
      <c r="F949" s="19"/>
      <c r="G949" s="19"/>
      <c r="H949" s="19"/>
      <c r="I949" s="19"/>
      <c r="J949" s="7"/>
      <c r="K949" s="19"/>
      <c r="L949" s="7"/>
      <c r="M949" s="7"/>
      <c r="N949" s="7"/>
      <c r="O949" s="7"/>
      <c r="P949" s="7"/>
      <c r="Q949" s="7"/>
      <c r="R949" s="7"/>
      <c r="S949" s="7"/>
      <c r="T949" s="7"/>
      <c r="U949" s="7"/>
      <c r="V949" s="388"/>
      <c r="W949" s="388"/>
      <c r="X949" s="388"/>
      <c r="Y949" s="7"/>
      <c r="Z949" s="7"/>
      <c r="AA949" s="7"/>
      <c r="AB949" s="7"/>
      <c r="AC949" s="7"/>
      <c r="AD949" s="7"/>
      <c r="AE949" s="7"/>
      <c r="AF949" s="7"/>
      <c r="AG949" s="7"/>
      <c r="AH949" s="7"/>
      <c r="AI949" s="7"/>
      <c r="AJ949" s="19"/>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row>
    <row r="950">
      <c r="A950" s="7"/>
      <c r="B950" s="7"/>
      <c r="C950" s="7"/>
      <c r="D950" s="7"/>
      <c r="E950" s="19"/>
      <c r="F950" s="19"/>
      <c r="G950" s="19"/>
      <c r="H950" s="19"/>
      <c r="I950" s="19"/>
      <c r="J950" s="7"/>
      <c r="K950" s="19"/>
      <c r="L950" s="7"/>
      <c r="M950" s="7"/>
      <c r="N950" s="7"/>
      <c r="O950" s="7"/>
      <c r="P950" s="7"/>
      <c r="Q950" s="7"/>
      <c r="R950" s="7"/>
      <c r="S950" s="7"/>
      <c r="T950" s="7"/>
      <c r="U950" s="7"/>
      <c r="V950" s="388"/>
      <c r="W950" s="388"/>
      <c r="X950" s="388"/>
      <c r="Y950" s="7"/>
      <c r="Z950" s="7"/>
      <c r="AA950" s="7"/>
      <c r="AB950" s="7"/>
      <c r="AC950" s="7"/>
      <c r="AD950" s="7"/>
      <c r="AE950" s="7"/>
      <c r="AF950" s="7"/>
      <c r="AG950" s="7"/>
      <c r="AH950" s="7"/>
      <c r="AI950" s="7"/>
      <c r="AJ950" s="19"/>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c r="BN950" s="7"/>
      <c r="BO950" s="7"/>
      <c r="BP950" s="7"/>
      <c r="BQ950" s="7"/>
      <c r="BR950" s="7"/>
      <c r="BS950" s="7"/>
      <c r="BT950" s="7"/>
      <c r="BU950" s="7"/>
      <c r="BV950" s="7"/>
      <c r="BW950" s="7"/>
    </row>
    <row r="951">
      <c r="A951" s="7"/>
      <c r="B951" s="7"/>
      <c r="C951" s="7"/>
      <c r="D951" s="7"/>
      <c r="E951" s="19"/>
      <c r="F951" s="19"/>
      <c r="G951" s="19"/>
      <c r="H951" s="19"/>
      <c r="I951" s="19"/>
      <c r="J951" s="7"/>
      <c r="K951" s="19"/>
      <c r="L951" s="7"/>
      <c r="M951" s="7"/>
      <c r="N951" s="7"/>
      <c r="O951" s="7"/>
      <c r="P951" s="7"/>
      <c r="Q951" s="7"/>
      <c r="R951" s="7"/>
      <c r="S951" s="7"/>
      <c r="T951" s="7"/>
      <c r="U951" s="7"/>
      <c r="V951" s="388"/>
      <c r="W951" s="388"/>
      <c r="X951" s="388"/>
      <c r="Y951" s="7"/>
      <c r="Z951" s="7"/>
      <c r="AA951" s="7"/>
      <c r="AB951" s="7"/>
      <c r="AC951" s="7"/>
      <c r="AD951" s="7"/>
      <c r="AE951" s="7"/>
      <c r="AF951" s="7"/>
      <c r="AG951" s="7"/>
      <c r="AH951" s="7"/>
      <c r="AI951" s="7"/>
      <c r="AJ951" s="19"/>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row>
    <row r="952">
      <c r="A952" s="7"/>
      <c r="B952" s="7"/>
      <c r="C952" s="7"/>
      <c r="D952" s="7"/>
      <c r="E952" s="19"/>
      <c r="F952" s="19"/>
      <c r="G952" s="19"/>
      <c r="H952" s="19"/>
      <c r="I952" s="19"/>
      <c r="J952" s="7"/>
      <c r="K952" s="19"/>
      <c r="L952" s="7"/>
      <c r="M952" s="7"/>
      <c r="N952" s="7"/>
      <c r="O952" s="7"/>
      <c r="P952" s="7"/>
      <c r="Q952" s="7"/>
      <c r="R952" s="7"/>
      <c r="S952" s="7"/>
      <c r="T952" s="7"/>
      <c r="U952" s="7"/>
      <c r="V952" s="388"/>
      <c r="W952" s="388"/>
      <c r="X952" s="388"/>
      <c r="Y952" s="7"/>
      <c r="Z952" s="7"/>
      <c r="AA952" s="7"/>
      <c r="AB952" s="7"/>
      <c r="AC952" s="7"/>
      <c r="AD952" s="7"/>
      <c r="AE952" s="7"/>
      <c r="AF952" s="7"/>
      <c r="AG952" s="7"/>
      <c r="AH952" s="7"/>
      <c r="AI952" s="7"/>
      <c r="AJ952" s="19"/>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c r="BN952" s="7"/>
      <c r="BO952" s="7"/>
      <c r="BP952" s="7"/>
      <c r="BQ952" s="7"/>
      <c r="BR952" s="7"/>
      <c r="BS952" s="7"/>
      <c r="BT952" s="7"/>
      <c r="BU952" s="7"/>
      <c r="BV952" s="7"/>
      <c r="BW952" s="7"/>
    </row>
    <row r="953">
      <c r="A953" s="7"/>
      <c r="B953" s="7"/>
      <c r="C953" s="7"/>
      <c r="D953" s="7"/>
      <c r="E953" s="19"/>
      <c r="F953" s="19"/>
      <c r="G953" s="19"/>
      <c r="H953" s="19"/>
      <c r="I953" s="19"/>
      <c r="J953" s="7"/>
      <c r="K953" s="19"/>
      <c r="L953" s="7"/>
      <c r="M953" s="7"/>
      <c r="N953" s="7"/>
      <c r="O953" s="7"/>
      <c r="P953" s="7"/>
      <c r="Q953" s="7"/>
      <c r="R953" s="7"/>
      <c r="S953" s="7"/>
      <c r="T953" s="7"/>
      <c r="U953" s="7"/>
      <c r="V953" s="388"/>
      <c r="W953" s="388"/>
      <c r="X953" s="388"/>
      <c r="Y953" s="7"/>
      <c r="Z953" s="7"/>
      <c r="AA953" s="7"/>
      <c r="AB953" s="7"/>
      <c r="AC953" s="7"/>
      <c r="AD953" s="7"/>
      <c r="AE953" s="7"/>
      <c r="AF953" s="7"/>
      <c r="AG953" s="7"/>
      <c r="AH953" s="7"/>
      <c r="AI953" s="7"/>
      <c r="AJ953" s="19"/>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row>
    <row r="954">
      <c r="A954" s="7"/>
      <c r="B954" s="7"/>
      <c r="C954" s="7"/>
      <c r="D954" s="7"/>
      <c r="E954" s="19"/>
      <c r="F954" s="19"/>
      <c r="G954" s="19"/>
      <c r="H954" s="19"/>
      <c r="I954" s="19"/>
      <c r="J954" s="7"/>
      <c r="K954" s="19"/>
      <c r="L954" s="7"/>
      <c r="M954" s="7"/>
      <c r="N954" s="7"/>
      <c r="O954" s="7"/>
      <c r="P954" s="7"/>
      <c r="Q954" s="7"/>
      <c r="R954" s="7"/>
      <c r="S954" s="7"/>
      <c r="T954" s="7"/>
      <c r="U954" s="7"/>
      <c r="V954" s="388"/>
      <c r="W954" s="388"/>
      <c r="X954" s="388"/>
      <c r="Y954" s="7"/>
      <c r="Z954" s="7"/>
      <c r="AA954" s="7"/>
      <c r="AB954" s="7"/>
      <c r="AC954" s="7"/>
      <c r="AD954" s="7"/>
      <c r="AE954" s="7"/>
      <c r="AF954" s="7"/>
      <c r="AG954" s="7"/>
      <c r="AH954" s="7"/>
      <c r="AI954" s="7"/>
      <c r="AJ954" s="19"/>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c r="BN954" s="7"/>
      <c r="BO954" s="7"/>
      <c r="BP954" s="7"/>
      <c r="BQ954" s="7"/>
      <c r="BR954" s="7"/>
      <c r="BS954" s="7"/>
      <c r="BT954" s="7"/>
      <c r="BU954" s="7"/>
      <c r="BV954" s="7"/>
      <c r="BW954" s="7"/>
    </row>
    <row r="955">
      <c r="A955" s="7"/>
      <c r="B955" s="7"/>
      <c r="C955" s="7"/>
      <c r="D955" s="7"/>
      <c r="E955" s="19"/>
      <c r="F955" s="19"/>
      <c r="G955" s="19"/>
      <c r="H955" s="19"/>
      <c r="I955" s="19"/>
      <c r="J955" s="7"/>
      <c r="K955" s="19"/>
      <c r="L955" s="7"/>
      <c r="M955" s="7"/>
      <c r="N955" s="7"/>
      <c r="O955" s="7"/>
      <c r="P955" s="7"/>
      <c r="Q955" s="7"/>
      <c r="R955" s="7"/>
      <c r="S955" s="7"/>
      <c r="T955" s="7"/>
      <c r="U955" s="7"/>
      <c r="V955" s="388"/>
      <c r="W955" s="388"/>
      <c r="X955" s="388"/>
      <c r="Y955" s="7"/>
      <c r="Z955" s="7"/>
      <c r="AA955" s="7"/>
      <c r="AB955" s="7"/>
      <c r="AC955" s="7"/>
      <c r="AD955" s="7"/>
      <c r="AE955" s="7"/>
      <c r="AF955" s="7"/>
      <c r="AG955" s="7"/>
      <c r="AH955" s="7"/>
      <c r="AI955" s="7"/>
      <c r="AJ955" s="19"/>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row>
    <row r="956">
      <c r="A956" s="7"/>
      <c r="B956" s="7"/>
      <c r="C956" s="7"/>
      <c r="D956" s="7"/>
      <c r="E956" s="19"/>
      <c r="F956" s="19"/>
      <c r="G956" s="19"/>
      <c r="H956" s="19"/>
      <c r="I956" s="19"/>
      <c r="J956" s="7"/>
      <c r="K956" s="19"/>
      <c r="L956" s="7"/>
      <c r="M956" s="7"/>
      <c r="N956" s="7"/>
      <c r="O956" s="7"/>
      <c r="P956" s="7"/>
      <c r="Q956" s="7"/>
      <c r="R956" s="7"/>
      <c r="S956" s="7"/>
      <c r="T956" s="7"/>
      <c r="U956" s="7"/>
      <c r="V956" s="388"/>
      <c r="W956" s="388"/>
      <c r="X956" s="388"/>
      <c r="Y956" s="7"/>
      <c r="Z956" s="7"/>
      <c r="AA956" s="7"/>
      <c r="AB956" s="7"/>
      <c r="AC956" s="7"/>
      <c r="AD956" s="7"/>
      <c r="AE956" s="7"/>
      <c r="AF956" s="7"/>
      <c r="AG956" s="7"/>
      <c r="AH956" s="7"/>
      <c r="AI956" s="7"/>
      <c r="AJ956" s="19"/>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c r="BN956" s="7"/>
      <c r="BO956" s="7"/>
      <c r="BP956" s="7"/>
      <c r="BQ956" s="7"/>
      <c r="BR956" s="7"/>
      <c r="BS956" s="7"/>
      <c r="BT956" s="7"/>
      <c r="BU956" s="7"/>
      <c r="BV956" s="7"/>
      <c r="BW956" s="7"/>
    </row>
    <row r="957">
      <c r="A957" s="7"/>
      <c r="B957" s="7"/>
      <c r="C957" s="7"/>
      <c r="D957" s="7"/>
      <c r="E957" s="19"/>
      <c r="F957" s="19"/>
      <c r="G957" s="19"/>
      <c r="H957" s="19"/>
      <c r="I957" s="19"/>
      <c r="J957" s="7"/>
      <c r="K957" s="19"/>
      <c r="L957" s="7"/>
      <c r="M957" s="7"/>
      <c r="N957" s="7"/>
      <c r="O957" s="7"/>
      <c r="P957" s="7"/>
      <c r="Q957" s="7"/>
      <c r="R957" s="7"/>
      <c r="S957" s="7"/>
      <c r="T957" s="7"/>
      <c r="U957" s="7"/>
      <c r="V957" s="388"/>
      <c r="W957" s="388"/>
      <c r="X957" s="388"/>
      <c r="Y957" s="7"/>
      <c r="Z957" s="7"/>
      <c r="AA957" s="7"/>
      <c r="AB957" s="7"/>
      <c r="AC957" s="7"/>
      <c r="AD957" s="7"/>
      <c r="AE957" s="7"/>
      <c r="AF957" s="7"/>
      <c r="AG957" s="7"/>
      <c r="AH957" s="7"/>
      <c r="AI957" s="7"/>
      <c r="AJ957" s="19"/>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row>
    <row r="958">
      <c r="A958" s="7"/>
      <c r="B958" s="7"/>
      <c r="C958" s="7"/>
      <c r="D958" s="7"/>
      <c r="E958" s="19"/>
      <c r="F958" s="19"/>
      <c r="G958" s="19"/>
      <c r="H958" s="19"/>
      <c r="I958" s="19"/>
      <c r="J958" s="7"/>
      <c r="K958" s="19"/>
      <c r="L958" s="7"/>
      <c r="M958" s="7"/>
      <c r="N958" s="7"/>
      <c r="O958" s="7"/>
      <c r="P958" s="7"/>
      <c r="Q958" s="7"/>
      <c r="R958" s="7"/>
      <c r="S958" s="7"/>
      <c r="T958" s="7"/>
      <c r="U958" s="7"/>
      <c r="V958" s="388"/>
      <c r="W958" s="388"/>
      <c r="X958" s="388"/>
      <c r="Y958" s="7"/>
      <c r="Z958" s="7"/>
      <c r="AA958" s="7"/>
      <c r="AB958" s="7"/>
      <c r="AC958" s="7"/>
      <c r="AD958" s="7"/>
      <c r="AE958" s="7"/>
      <c r="AF958" s="7"/>
      <c r="AG958" s="7"/>
      <c r="AH958" s="7"/>
      <c r="AI958" s="7"/>
      <c r="AJ958" s="19"/>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c r="BN958" s="7"/>
      <c r="BO958" s="7"/>
      <c r="BP958" s="7"/>
      <c r="BQ958" s="7"/>
      <c r="BR958" s="7"/>
      <c r="BS958" s="7"/>
      <c r="BT958" s="7"/>
      <c r="BU958" s="7"/>
      <c r="BV958" s="7"/>
      <c r="BW958" s="7"/>
    </row>
    <row r="959">
      <c r="A959" s="7"/>
      <c r="B959" s="7"/>
      <c r="C959" s="7"/>
      <c r="D959" s="7"/>
      <c r="E959" s="19"/>
      <c r="F959" s="19"/>
      <c r="G959" s="19"/>
      <c r="H959" s="19"/>
      <c r="I959" s="19"/>
      <c r="J959" s="7"/>
      <c r="K959" s="19"/>
      <c r="L959" s="7"/>
      <c r="M959" s="7"/>
      <c r="N959" s="7"/>
      <c r="O959" s="7"/>
      <c r="P959" s="7"/>
      <c r="Q959" s="7"/>
      <c r="R959" s="7"/>
      <c r="S959" s="7"/>
      <c r="T959" s="7"/>
      <c r="U959" s="7"/>
      <c r="V959" s="388"/>
      <c r="W959" s="388"/>
      <c r="X959" s="388"/>
      <c r="Y959" s="7"/>
      <c r="Z959" s="7"/>
      <c r="AA959" s="7"/>
      <c r="AB959" s="7"/>
      <c r="AC959" s="7"/>
      <c r="AD959" s="7"/>
      <c r="AE959" s="7"/>
      <c r="AF959" s="7"/>
      <c r="AG959" s="7"/>
      <c r="AH959" s="7"/>
      <c r="AI959" s="7"/>
      <c r="AJ959" s="19"/>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row>
    <row r="960">
      <c r="A960" s="7"/>
      <c r="B960" s="7"/>
      <c r="C960" s="7"/>
      <c r="D960" s="7"/>
      <c r="E960" s="19"/>
      <c r="F960" s="19"/>
      <c r="G960" s="19"/>
      <c r="H960" s="19"/>
      <c r="I960" s="19"/>
      <c r="J960" s="7"/>
      <c r="K960" s="19"/>
      <c r="L960" s="7"/>
      <c r="M960" s="7"/>
      <c r="N960" s="7"/>
      <c r="O960" s="7"/>
      <c r="P960" s="7"/>
      <c r="Q960" s="7"/>
      <c r="R960" s="7"/>
      <c r="S960" s="7"/>
      <c r="T960" s="7"/>
      <c r="U960" s="7"/>
      <c r="V960" s="388"/>
      <c r="W960" s="388"/>
      <c r="X960" s="388"/>
      <c r="Y960" s="7"/>
      <c r="Z960" s="7"/>
      <c r="AA960" s="7"/>
      <c r="AB960" s="7"/>
      <c r="AC960" s="7"/>
      <c r="AD960" s="7"/>
      <c r="AE960" s="7"/>
      <c r="AF960" s="7"/>
      <c r="AG960" s="7"/>
      <c r="AH960" s="7"/>
      <c r="AI960" s="7"/>
      <c r="AJ960" s="19"/>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row>
    <row r="961">
      <c r="A961" s="7"/>
      <c r="B961" s="7"/>
      <c r="C961" s="7"/>
      <c r="D961" s="7"/>
      <c r="E961" s="19"/>
      <c r="F961" s="19"/>
      <c r="G961" s="19"/>
      <c r="H961" s="19"/>
      <c r="I961" s="19"/>
      <c r="J961" s="7"/>
      <c r="K961" s="19"/>
      <c r="L961" s="7"/>
      <c r="M961" s="7"/>
      <c r="N961" s="7"/>
      <c r="O961" s="7"/>
      <c r="P961" s="7"/>
      <c r="Q961" s="7"/>
      <c r="R961" s="7"/>
      <c r="S961" s="7"/>
      <c r="T961" s="7"/>
      <c r="U961" s="7"/>
      <c r="V961" s="388"/>
      <c r="W961" s="388"/>
      <c r="X961" s="388"/>
      <c r="Y961" s="7"/>
      <c r="Z961" s="7"/>
      <c r="AA961" s="7"/>
      <c r="AB961" s="7"/>
      <c r="AC961" s="7"/>
      <c r="AD961" s="7"/>
      <c r="AE961" s="7"/>
      <c r="AF961" s="7"/>
      <c r="AG961" s="7"/>
      <c r="AH961" s="7"/>
      <c r="AI961" s="7"/>
      <c r="AJ961" s="19"/>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row>
    <row r="962">
      <c r="A962" s="7"/>
      <c r="B962" s="7"/>
      <c r="C962" s="7"/>
      <c r="D962" s="7"/>
      <c r="E962" s="19"/>
      <c r="F962" s="19"/>
      <c r="G962" s="19"/>
      <c r="H962" s="19"/>
      <c r="I962" s="19"/>
      <c r="J962" s="7"/>
      <c r="K962" s="19"/>
      <c r="L962" s="7"/>
      <c r="M962" s="7"/>
      <c r="N962" s="7"/>
      <c r="O962" s="7"/>
      <c r="P962" s="7"/>
      <c r="Q962" s="7"/>
      <c r="R962" s="7"/>
      <c r="S962" s="7"/>
      <c r="T962" s="7"/>
      <c r="U962" s="7"/>
      <c r="V962" s="388"/>
      <c r="W962" s="388"/>
      <c r="X962" s="388"/>
      <c r="Y962" s="7"/>
      <c r="Z962" s="7"/>
      <c r="AA962" s="7"/>
      <c r="AB962" s="7"/>
      <c r="AC962" s="7"/>
      <c r="AD962" s="7"/>
      <c r="AE962" s="7"/>
      <c r="AF962" s="7"/>
      <c r="AG962" s="7"/>
      <c r="AH962" s="7"/>
      <c r="AI962" s="7"/>
      <c r="AJ962" s="19"/>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c r="BN962" s="7"/>
      <c r="BO962" s="7"/>
      <c r="BP962" s="7"/>
      <c r="BQ962" s="7"/>
      <c r="BR962" s="7"/>
      <c r="BS962" s="7"/>
      <c r="BT962" s="7"/>
      <c r="BU962" s="7"/>
      <c r="BV962" s="7"/>
      <c r="BW962" s="7"/>
    </row>
    <row r="963">
      <c r="A963" s="7"/>
      <c r="B963" s="7"/>
      <c r="C963" s="7"/>
      <c r="D963" s="7"/>
      <c r="E963" s="19"/>
      <c r="F963" s="19"/>
      <c r="G963" s="19"/>
      <c r="H963" s="19"/>
      <c r="I963" s="19"/>
      <c r="J963" s="7"/>
      <c r="K963" s="19"/>
      <c r="L963" s="7"/>
      <c r="M963" s="7"/>
      <c r="N963" s="7"/>
      <c r="O963" s="7"/>
      <c r="P963" s="7"/>
      <c r="Q963" s="7"/>
      <c r="R963" s="7"/>
      <c r="S963" s="7"/>
      <c r="T963" s="7"/>
      <c r="U963" s="7"/>
      <c r="V963" s="388"/>
      <c r="W963" s="388"/>
      <c r="X963" s="388"/>
      <c r="Y963" s="7"/>
      <c r="Z963" s="7"/>
      <c r="AA963" s="7"/>
      <c r="AB963" s="7"/>
      <c r="AC963" s="7"/>
      <c r="AD963" s="7"/>
      <c r="AE963" s="7"/>
      <c r="AF963" s="7"/>
      <c r="AG963" s="7"/>
      <c r="AH963" s="7"/>
      <c r="AI963" s="7"/>
      <c r="AJ963" s="19"/>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row>
    <row r="964">
      <c r="A964" s="7"/>
      <c r="B964" s="7"/>
      <c r="C964" s="7"/>
      <c r="D964" s="7"/>
      <c r="E964" s="19"/>
      <c r="F964" s="19"/>
      <c r="G964" s="19"/>
      <c r="H964" s="19"/>
      <c r="I964" s="19"/>
      <c r="J964" s="7"/>
      <c r="K964" s="19"/>
      <c r="L964" s="7"/>
      <c r="M964" s="7"/>
      <c r="N964" s="7"/>
      <c r="O964" s="7"/>
      <c r="P964" s="7"/>
      <c r="Q964" s="7"/>
      <c r="R964" s="7"/>
      <c r="S964" s="7"/>
      <c r="T964" s="7"/>
      <c r="U964" s="7"/>
      <c r="V964" s="388"/>
      <c r="W964" s="388"/>
      <c r="X964" s="388"/>
      <c r="Y964" s="7"/>
      <c r="Z964" s="7"/>
      <c r="AA964" s="7"/>
      <c r="AB964" s="7"/>
      <c r="AC964" s="7"/>
      <c r="AD964" s="7"/>
      <c r="AE964" s="7"/>
      <c r="AF964" s="7"/>
      <c r="AG964" s="7"/>
      <c r="AH964" s="7"/>
      <c r="AI964" s="7"/>
      <c r="AJ964" s="19"/>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c r="BN964" s="7"/>
      <c r="BO964" s="7"/>
      <c r="BP964" s="7"/>
      <c r="BQ964" s="7"/>
      <c r="BR964" s="7"/>
      <c r="BS964" s="7"/>
      <c r="BT964" s="7"/>
      <c r="BU964" s="7"/>
      <c r="BV964" s="7"/>
      <c r="BW964" s="7"/>
    </row>
    <row r="965">
      <c r="A965" s="7"/>
      <c r="B965" s="7"/>
      <c r="C965" s="7"/>
      <c r="D965" s="7"/>
      <c r="E965" s="19"/>
      <c r="F965" s="19"/>
      <c r="G965" s="19"/>
      <c r="H965" s="19"/>
      <c r="I965" s="19"/>
      <c r="J965" s="7"/>
      <c r="K965" s="19"/>
      <c r="L965" s="7"/>
      <c r="M965" s="7"/>
      <c r="N965" s="7"/>
      <c r="O965" s="7"/>
      <c r="P965" s="7"/>
      <c r="Q965" s="7"/>
      <c r="R965" s="7"/>
      <c r="S965" s="7"/>
      <c r="T965" s="7"/>
      <c r="U965" s="7"/>
      <c r="V965" s="388"/>
      <c r="W965" s="388"/>
      <c r="X965" s="388"/>
      <c r="Y965" s="7"/>
      <c r="Z965" s="7"/>
      <c r="AA965" s="7"/>
      <c r="AB965" s="7"/>
      <c r="AC965" s="7"/>
      <c r="AD965" s="7"/>
      <c r="AE965" s="7"/>
      <c r="AF965" s="7"/>
      <c r="AG965" s="7"/>
      <c r="AH965" s="7"/>
      <c r="AI965" s="7"/>
      <c r="AJ965" s="19"/>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row>
    <row r="966">
      <c r="A966" s="7"/>
      <c r="B966" s="7"/>
      <c r="C966" s="7"/>
      <c r="D966" s="7"/>
      <c r="E966" s="19"/>
      <c r="F966" s="19"/>
      <c r="G966" s="19"/>
      <c r="H966" s="19"/>
      <c r="I966" s="19"/>
      <c r="J966" s="7"/>
      <c r="K966" s="19"/>
      <c r="L966" s="7"/>
      <c r="M966" s="7"/>
      <c r="N966" s="7"/>
      <c r="O966" s="7"/>
      <c r="P966" s="7"/>
      <c r="Q966" s="7"/>
      <c r="R966" s="7"/>
      <c r="S966" s="7"/>
      <c r="T966" s="7"/>
      <c r="U966" s="7"/>
      <c r="V966" s="388"/>
      <c r="W966" s="388"/>
      <c r="X966" s="388"/>
      <c r="Y966" s="7"/>
      <c r="Z966" s="7"/>
      <c r="AA966" s="7"/>
      <c r="AB966" s="7"/>
      <c r="AC966" s="7"/>
      <c r="AD966" s="7"/>
      <c r="AE966" s="7"/>
      <c r="AF966" s="7"/>
      <c r="AG966" s="7"/>
      <c r="AH966" s="7"/>
      <c r="AI966" s="7"/>
      <c r="AJ966" s="19"/>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c r="BN966" s="7"/>
      <c r="BO966" s="7"/>
      <c r="BP966" s="7"/>
      <c r="BQ966" s="7"/>
      <c r="BR966" s="7"/>
      <c r="BS966" s="7"/>
      <c r="BT966" s="7"/>
      <c r="BU966" s="7"/>
      <c r="BV966" s="7"/>
      <c r="BW966" s="7"/>
    </row>
    <row r="967">
      <c r="A967" s="7"/>
      <c r="B967" s="7"/>
      <c r="C967" s="7"/>
      <c r="D967" s="7"/>
      <c r="E967" s="19"/>
      <c r="F967" s="19"/>
      <c r="G967" s="19"/>
      <c r="H967" s="19"/>
      <c r="I967" s="19"/>
      <c r="J967" s="7"/>
      <c r="K967" s="19"/>
      <c r="L967" s="7"/>
      <c r="M967" s="7"/>
      <c r="N967" s="7"/>
      <c r="O967" s="7"/>
      <c r="P967" s="7"/>
      <c r="Q967" s="7"/>
      <c r="R967" s="7"/>
      <c r="S967" s="7"/>
      <c r="T967" s="7"/>
      <c r="U967" s="7"/>
      <c r="V967" s="388"/>
      <c r="W967" s="388"/>
      <c r="X967" s="388"/>
      <c r="Y967" s="7"/>
      <c r="Z967" s="7"/>
      <c r="AA967" s="7"/>
      <c r="AB967" s="7"/>
      <c r="AC967" s="7"/>
      <c r="AD967" s="7"/>
      <c r="AE967" s="7"/>
      <c r="AF967" s="7"/>
      <c r="AG967" s="7"/>
      <c r="AH967" s="7"/>
      <c r="AI967" s="7"/>
      <c r="AJ967" s="19"/>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row>
    <row r="968">
      <c r="A968" s="7"/>
      <c r="B968" s="7"/>
      <c r="C968" s="7"/>
      <c r="D968" s="7"/>
      <c r="E968" s="19"/>
      <c r="F968" s="19"/>
      <c r="G968" s="19"/>
      <c r="H968" s="19"/>
      <c r="I968" s="19"/>
      <c r="J968" s="7"/>
      <c r="K968" s="19"/>
      <c r="L968" s="7"/>
      <c r="M968" s="7"/>
      <c r="N968" s="7"/>
      <c r="O968" s="7"/>
      <c r="P968" s="7"/>
      <c r="Q968" s="7"/>
      <c r="R968" s="7"/>
      <c r="S968" s="7"/>
      <c r="T968" s="7"/>
      <c r="U968" s="7"/>
      <c r="V968" s="388"/>
      <c r="W968" s="388"/>
      <c r="X968" s="388"/>
      <c r="Y968" s="7"/>
      <c r="Z968" s="7"/>
      <c r="AA968" s="7"/>
      <c r="AB968" s="7"/>
      <c r="AC968" s="7"/>
      <c r="AD968" s="7"/>
      <c r="AE968" s="7"/>
      <c r="AF968" s="7"/>
      <c r="AG968" s="7"/>
      <c r="AH968" s="7"/>
      <c r="AI968" s="7"/>
      <c r="AJ968" s="19"/>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c r="BN968" s="7"/>
      <c r="BO968" s="7"/>
      <c r="BP968" s="7"/>
      <c r="BQ968" s="7"/>
      <c r="BR968" s="7"/>
      <c r="BS968" s="7"/>
      <c r="BT968" s="7"/>
      <c r="BU968" s="7"/>
      <c r="BV968" s="7"/>
      <c r="BW968" s="7"/>
    </row>
    <row r="969">
      <c r="A969" s="7"/>
      <c r="B969" s="7"/>
      <c r="C969" s="7"/>
      <c r="D969" s="7"/>
      <c r="E969" s="19"/>
      <c r="F969" s="19"/>
      <c r="G969" s="19"/>
      <c r="H969" s="19"/>
      <c r="I969" s="19"/>
      <c r="J969" s="7"/>
      <c r="K969" s="19"/>
      <c r="L969" s="7"/>
      <c r="M969" s="7"/>
      <c r="N969" s="7"/>
      <c r="O969" s="7"/>
      <c r="P969" s="7"/>
      <c r="Q969" s="7"/>
      <c r="R969" s="7"/>
      <c r="S969" s="7"/>
      <c r="T969" s="7"/>
      <c r="U969" s="7"/>
      <c r="V969" s="388"/>
      <c r="W969" s="388"/>
      <c r="X969" s="388"/>
      <c r="Y969" s="7"/>
      <c r="Z969" s="7"/>
      <c r="AA969" s="7"/>
      <c r="AB969" s="7"/>
      <c r="AC969" s="7"/>
      <c r="AD969" s="7"/>
      <c r="AE969" s="7"/>
      <c r="AF969" s="7"/>
      <c r="AG969" s="7"/>
      <c r="AH969" s="7"/>
      <c r="AI969" s="7"/>
      <c r="AJ969" s="19"/>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row>
    <row r="970">
      <c r="A970" s="7"/>
      <c r="B970" s="7"/>
      <c r="C970" s="7"/>
      <c r="D970" s="7"/>
      <c r="E970" s="19"/>
      <c r="F970" s="19"/>
      <c r="G970" s="19"/>
      <c r="H970" s="19"/>
      <c r="I970" s="19"/>
      <c r="J970" s="7"/>
      <c r="K970" s="19"/>
      <c r="L970" s="7"/>
      <c r="M970" s="7"/>
      <c r="N970" s="7"/>
      <c r="O970" s="7"/>
      <c r="P970" s="7"/>
      <c r="Q970" s="7"/>
      <c r="R970" s="7"/>
      <c r="S970" s="7"/>
      <c r="T970" s="7"/>
      <c r="U970" s="7"/>
      <c r="V970" s="388"/>
      <c r="W970" s="388"/>
      <c r="X970" s="388"/>
      <c r="Y970" s="7"/>
      <c r="Z970" s="7"/>
      <c r="AA970" s="7"/>
      <c r="AB970" s="7"/>
      <c r="AC970" s="7"/>
      <c r="AD970" s="7"/>
      <c r="AE970" s="7"/>
      <c r="AF970" s="7"/>
      <c r="AG970" s="7"/>
      <c r="AH970" s="7"/>
      <c r="AI970" s="7"/>
      <c r="AJ970" s="19"/>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row>
    <row r="971">
      <c r="A971" s="7"/>
      <c r="B971" s="7"/>
      <c r="C971" s="7"/>
      <c r="D971" s="7"/>
      <c r="E971" s="19"/>
      <c r="F971" s="19"/>
      <c r="G971" s="19"/>
      <c r="H971" s="19"/>
      <c r="I971" s="19"/>
      <c r="J971" s="7"/>
      <c r="K971" s="19"/>
      <c r="L971" s="7"/>
      <c r="M971" s="7"/>
      <c r="N971" s="7"/>
      <c r="O971" s="7"/>
      <c r="P971" s="7"/>
      <c r="Q971" s="7"/>
      <c r="R971" s="7"/>
      <c r="S971" s="7"/>
      <c r="T971" s="7"/>
      <c r="U971" s="7"/>
      <c r="V971" s="388"/>
      <c r="W971" s="388"/>
      <c r="X971" s="388"/>
      <c r="Y971" s="7"/>
      <c r="Z971" s="7"/>
      <c r="AA971" s="7"/>
      <c r="AB971" s="7"/>
      <c r="AC971" s="7"/>
      <c r="AD971" s="7"/>
      <c r="AE971" s="7"/>
      <c r="AF971" s="7"/>
      <c r="AG971" s="7"/>
      <c r="AH971" s="7"/>
      <c r="AI971" s="7"/>
      <c r="AJ971" s="19"/>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row>
    <row r="972">
      <c r="A972" s="7"/>
      <c r="B972" s="7"/>
      <c r="C972" s="7"/>
      <c r="D972" s="7"/>
      <c r="E972" s="19"/>
      <c r="F972" s="19"/>
      <c r="G972" s="19"/>
      <c r="H972" s="19"/>
      <c r="I972" s="19"/>
      <c r="J972" s="7"/>
      <c r="K972" s="19"/>
      <c r="L972" s="7"/>
      <c r="M972" s="7"/>
      <c r="N972" s="7"/>
      <c r="O972" s="7"/>
      <c r="P972" s="7"/>
      <c r="Q972" s="7"/>
      <c r="R972" s="7"/>
      <c r="S972" s="7"/>
      <c r="T972" s="7"/>
      <c r="U972" s="7"/>
      <c r="V972" s="388"/>
      <c r="W972" s="388"/>
      <c r="X972" s="388"/>
      <c r="Y972" s="7"/>
      <c r="Z972" s="7"/>
      <c r="AA972" s="7"/>
      <c r="AB972" s="7"/>
      <c r="AC972" s="7"/>
      <c r="AD972" s="7"/>
      <c r="AE972" s="7"/>
      <c r="AF972" s="7"/>
      <c r="AG972" s="7"/>
      <c r="AH972" s="7"/>
      <c r="AI972" s="7"/>
      <c r="AJ972" s="19"/>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c r="BN972" s="7"/>
      <c r="BO972" s="7"/>
      <c r="BP972" s="7"/>
      <c r="BQ972" s="7"/>
      <c r="BR972" s="7"/>
      <c r="BS972" s="7"/>
      <c r="BT972" s="7"/>
      <c r="BU972" s="7"/>
      <c r="BV972" s="7"/>
      <c r="BW972" s="7"/>
    </row>
    <row r="973">
      <c r="A973" s="7"/>
      <c r="B973" s="7"/>
      <c r="C973" s="7"/>
      <c r="D973" s="7"/>
      <c r="E973" s="19"/>
      <c r="F973" s="19"/>
      <c r="G973" s="19"/>
      <c r="H973" s="19"/>
      <c r="I973" s="19"/>
      <c r="J973" s="7"/>
      <c r="K973" s="19"/>
      <c r="L973" s="7"/>
      <c r="M973" s="7"/>
      <c r="N973" s="7"/>
      <c r="O973" s="7"/>
      <c r="P973" s="7"/>
      <c r="Q973" s="7"/>
      <c r="R973" s="7"/>
      <c r="S973" s="7"/>
      <c r="T973" s="7"/>
      <c r="U973" s="7"/>
      <c r="V973" s="388"/>
      <c r="W973" s="388"/>
      <c r="X973" s="388"/>
      <c r="Y973" s="7"/>
      <c r="Z973" s="7"/>
      <c r="AA973" s="7"/>
      <c r="AB973" s="7"/>
      <c r="AC973" s="7"/>
      <c r="AD973" s="7"/>
      <c r="AE973" s="7"/>
      <c r="AF973" s="7"/>
      <c r="AG973" s="7"/>
      <c r="AH973" s="7"/>
      <c r="AI973" s="7"/>
      <c r="AJ973" s="19"/>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row>
    <row r="974">
      <c r="A974" s="7"/>
      <c r="B974" s="7"/>
      <c r="C974" s="7"/>
      <c r="D974" s="7"/>
      <c r="E974" s="19"/>
      <c r="F974" s="19"/>
      <c r="G974" s="19"/>
      <c r="H974" s="19"/>
      <c r="I974" s="19"/>
      <c r="J974" s="7"/>
      <c r="K974" s="19"/>
      <c r="L974" s="7"/>
      <c r="M974" s="7"/>
      <c r="N974" s="7"/>
      <c r="O974" s="7"/>
      <c r="P974" s="7"/>
      <c r="Q974" s="7"/>
      <c r="R974" s="7"/>
      <c r="S974" s="7"/>
      <c r="T974" s="7"/>
      <c r="U974" s="7"/>
      <c r="V974" s="388"/>
      <c r="W974" s="388"/>
      <c r="X974" s="388"/>
      <c r="Y974" s="7"/>
      <c r="Z974" s="7"/>
      <c r="AA974" s="7"/>
      <c r="AB974" s="7"/>
      <c r="AC974" s="7"/>
      <c r="AD974" s="7"/>
      <c r="AE974" s="7"/>
      <c r="AF974" s="7"/>
      <c r="AG974" s="7"/>
      <c r="AH974" s="7"/>
      <c r="AI974" s="7"/>
      <c r="AJ974" s="19"/>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c r="BN974" s="7"/>
      <c r="BO974" s="7"/>
      <c r="BP974" s="7"/>
      <c r="BQ974" s="7"/>
      <c r="BR974" s="7"/>
      <c r="BS974" s="7"/>
      <c r="BT974" s="7"/>
      <c r="BU974" s="7"/>
      <c r="BV974" s="7"/>
      <c r="BW974" s="7"/>
    </row>
    <row r="975">
      <c r="A975" s="7"/>
      <c r="B975" s="7"/>
      <c r="C975" s="7"/>
      <c r="D975" s="7"/>
      <c r="E975" s="19"/>
      <c r="F975" s="19"/>
      <c r="G975" s="19"/>
      <c r="H975" s="19"/>
      <c r="I975" s="19"/>
      <c r="J975" s="7"/>
      <c r="K975" s="19"/>
      <c r="L975" s="7"/>
      <c r="M975" s="7"/>
      <c r="N975" s="7"/>
      <c r="O975" s="7"/>
      <c r="P975" s="7"/>
      <c r="Q975" s="7"/>
      <c r="R975" s="7"/>
      <c r="S975" s="7"/>
      <c r="T975" s="7"/>
      <c r="U975" s="7"/>
      <c r="V975" s="388"/>
      <c r="W975" s="388"/>
      <c r="X975" s="388"/>
      <c r="Y975" s="7"/>
      <c r="Z975" s="7"/>
      <c r="AA975" s="7"/>
      <c r="AB975" s="7"/>
      <c r="AC975" s="7"/>
      <c r="AD975" s="7"/>
      <c r="AE975" s="7"/>
      <c r="AF975" s="7"/>
      <c r="AG975" s="7"/>
      <c r="AH975" s="7"/>
      <c r="AI975" s="7"/>
      <c r="AJ975" s="19"/>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row>
    <row r="976">
      <c r="A976" s="7"/>
      <c r="B976" s="7"/>
      <c r="C976" s="7"/>
      <c r="D976" s="7"/>
      <c r="E976" s="19"/>
      <c r="F976" s="19"/>
      <c r="G976" s="19"/>
      <c r="H976" s="19"/>
      <c r="I976" s="19"/>
      <c r="J976" s="7"/>
      <c r="K976" s="19"/>
      <c r="L976" s="7"/>
      <c r="M976" s="7"/>
      <c r="N976" s="7"/>
      <c r="O976" s="7"/>
      <c r="P976" s="7"/>
      <c r="Q976" s="7"/>
      <c r="R976" s="7"/>
      <c r="S976" s="7"/>
      <c r="T976" s="7"/>
      <c r="U976" s="7"/>
      <c r="V976" s="388"/>
      <c r="W976" s="388"/>
      <c r="X976" s="388"/>
      <c r="Y976" s="7"/>
      <c r="Z976" s="7"/>
      <c r="AA976" s="7"/>
      <c r="AB976" s="7"/>
      <c r="AC976" s="7"/>
      <c r="AD976" s="7"/>
      <c r="AE976" s="7"/>
      <c r="AF976" s="7"/>
      <c r="AG976" s="7"/>
      <c r="AH976" s="7"/>
      <c r="AI976" s="7"/>
      <c r="AJ976" s="19"/>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c r="BN976" s="7"/>
      <c r="BO976" s="7"/>
      <c r="BP976" s="7"/>
      <c r="BQ976" s="7"/>
      <c r="BR976" s="7"/>
      <c r="BS976" s="7"/>
      <c r="BT976" s="7"/>
      <c r="BU976" s="7"/>
      <c r="BV976" s="7"/>
      <c r="BW976" s="7"/>
    </row>
    <row r="977">
      <c r="A977" s="7"/>
      <c r="B977" s="7"/>
      <c r="C977" s="7"/>
      <c r="D977" s="7"/>
      <c r="E977" s="19"/>
      <c r="F977" s="19"/>
      <c r="G977" s="19"/>
      <c r="H977" s="19"/>
      <c r="I977" s="19"/>
      <c r="J977" s="7"/>
      <c r="K977" s="19"/>
      <c r="L977" s="7"/>
      <c r="M977" s="7"/>
      <c r="N977" s="7"/>
      <c r="O977" s="7"/>
      <c r="P977" s="7"/>
      <c r="Q977" s="7"/>
      <c r="R977" s="7"/>
      <c r="S977" s="7"/>
      <c r="T977" s="7"/>
      <c r="U977" s="7"/>
      <c r="V977" s="388"/>
      <c r="W977" s="388"/>
      <c r="X977" s="388"/>
      <c r="Y977" s="7"/>
      <c r="Z977" s="7"/>
      <c r="AA977" s="7"/>
      <c r="AB977" s="7"/>
      <c r="AC977" s="7"/>
      <c r="AD977" s="7"/>
      <c r="AE977" s="7"/>
      <c r="AF977" s="7"/>
      <c r="AG977" s="7"/>
      <c r="AH977" s="7"/>
      <c r="AI977" s="7"/>
      <c r="AJ977" s="19"/>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row>
    <row r="978">
      <c r="A978" s="7"/>
      <c r="B978" s="7"/>
      <c r="C978" s="7"/>
      <c r="D978" s="7"/>
      <c r="E978" s="19"/>
      <c r="F978" s="19"/>
      <c r="G978" s="19"/>
      <c r="H978" s="19"/>
      <c r="I978" s="19"/>
      <c r="J978" s="7"/>
      <c r="K978" s="19"/>
      <c r="L978" s="7"/>
      <c r="M978" s="7"/>
      <c r="N978" s="7"/>
      <c r="O978" s="7"/>
      <c r="P978" s="7"/>
      <c r="Q978" s="7"/>
      <c r="R978" s="7"/>
      <c r="S978" s="7"/>
      <c r="T978" s="7"/>
      <c r="U978" s="7"/>
      <c r="V978" s="388"/>
      <c r="W978" s="388"/>
      <c r="X978" s="388"/>
      <c r="Y978" s="7"/>
      <c r="Z978" s="7"/>
      <c r="AA978" s="7"/>
      <c r="AB978" s="7"/>
      <c r="AC978" s="7"/>
      <c r="AD978" s="7"/>
      <c r="AE978" s="7"/>
      <c r="AF978" s="7"/>
      <c r="AG978" s="7"/>
      <c r="AH978" s="7"/>
      <c r="AI978" s="7"/>
      <c r="AJ978" s="19"/>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c r="BN978" s="7"/>
      <c r="BO978" s="7"/>
      <c r="BP978" s="7"/>
      <c r="BQ978" s="7"/>
      <c r="BR978" s="7"/>
      <c r="BS978" s="7"/>
      <c r="BT978" s="7"/>
      <c r="BU978" s="7"/>
      <c r="BV978" s="7"/>
      <c r="BW978" s="7"/>
    </row>
    <row r="979">
      <c r="A979" s="7"/>
      <c r="B979" s="7"/>
      <c r="C979" s="7"/>
      <c r="D979" s="7"/>
      <c r="E979" s="19"/>
      <c r="F979" s="19"/>
      <c r="G979" s="19"/>
      <c r="H979" s="19"/>
      <c r="I979" s="19"/>
      <c r="J979" s="7"/>
      <c r="K979" s="19"/>
      <c r="L979" s="7"/>
      <c r="M979" s="7"/>
      <c r="N979" s="7"/>
      <c r="O979" s="7"/>
      <c r="P979" s="7"/>
      <c r="Q979" s="7"/>
      <c r="R979" s="7"/>
      <c r="S979" s="7"/>
      <c r="T979" s="7"/>
      <c r="U979" s="7"/>
      <c r="V979" s="388"/>
      <c r="W979" s="388"/>
      <c r="X979" s="388"/>
      <c r="Y979" s="7"/>
      <c r="Z979" s="7"/>
      <c r="AA979" s="7"/>
      <c r="AB979" s="7"/>
      <c r="AC979" s="7"/>
      <c r="AD979" s="7"/>
      <c r="AE979" s="7"/>
      <c r="AF979" s="7"/>
      <c r="AG979" s="7"/>
      <c r="AH979" s="7"/>
      <c r="AI979" s="7"/>
      <c r="AJ979" s="19"/>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row>
    <row r="980">
      <c r="A980" s="7"/>
      <c r="B980" s="7"/>
      <c r="C980" s="7"/>
      <c r="D980" s="7"/>
      <c r="E980" s="19"/>
      <c r="F980" s="19"/>
      <c r="G980" s="19"/>
      <c r="H980" s="19"/>
      <c r="I980" s="19"/>
      <c r="J980" s="7"/>
      <c r="K980" s="19"/>
      <c r="L980" s="7"/>
      <c r="M980" s="7"/>
      <c r="N980" s="7"/>
      <c r="O980" s="7"/>
      <c r="P980" s="7"/>
      <c r="Q980" s="7"/>
      <c r="R980" s="7"/>
      <c r="S980" s="7"/>
      <c r="T980" s="7"/>
      <c r="U980" s="7"/>
      <c r="V980" s="388"/>
      <c r="W980" s="388"/>
      <c r="X980" s="388"/>
      <c r="Y980" s="7"/>
      <c r="Z980" s="7"/>
      <c r="AA980" s="7"/>
      <c r="AB980" s="7"/>
      <c r="AC980" s="7"/>
      <c r="AD980" s="7"/>
      <c r="AE980" s="7"/>
      <c r="AF980" s="7"/>
      <c r="AG980" s="7"/>
      <c r="AH980" s="7"/>
      <c r="AI980" s="7"/>
      <c r="AJ980" s="19"/>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c r="BN980" s="7"/>
      <c r="BO980" s="7"/>
      <c r="BP980" s="7"/>
      <c r="BQ980" s="7"/>
      <c r="BR980" s="7"/>
      <c r="BS980" s="7"/>
      <c r="BT980" s="7"/>
      <c r="BU980" s="7"/>
      <c r="BV980" s="7"/>
      <c r="BW980" s="7"/>
    </row>
    <row r="981">
      <c r="A981" s="7"/>
      <c r="B981" s="7"/>
      <c r="C981" s="7"/>
      <c r="D981" s="7"/>
      <c r="E981" s="19"/>
      <c r="F981" s="19"/>
      <c r="G981" s="19"/>
      <c r="H981" s="19"/>
      <c r="I981" s="19"/>
      <c r="J981" s="7"/>
      <c r="K981" s="19"/>
      <c r="L981" s="7"/>
      <c r="M981" s="7"/>
      <c r="N981" s="7"/>
      <c r="O981" s="7"/>
      <c r="P981" s="7"/>
      <c r="Q981" s="7"/>
      <c r="R981" s="7"/>
      <c r="S981" s="7"/>
      <c r="T981" s="7"/>
      <c r="U981" s="7"/>
      <c r="V981" s="388"/>
      <c r="W981" s="388"/>
      <c r="X981" s="388"/>
      <c r="Y981" s="7"/>
      <c r="Z981" s="7"/>
      <c r="AA981" s="7"/>
      <c r="AB981" s="7"/>
      <c r="AC981" s="7"/>
      <c r="AD981" s="7"/>
      <c r="AE981" s="7"/>
      <c r="AF981" s="7"/>
      <c r="AG981" s="7"/>
      <c r="AH981" s="7"/>
      <c r="AI981" s="7"/>
      <c r="AJ981" s="19"/>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row>
    <row r="982">
      <c r="A982" s="7"/>
      <c r="B982" s="7"/>
      <c r="C982" s="7"/>
      <c r="D982" s="7"/>
      <c r="E982" s="19"/>
      <c r="F982" s="19"/>
      <c r="G982" s="19"/>
      <c r="H982" s="19"/>
      <c r="I982" s="19"/>
      <c r="J982" s="7"/>
      <c r="K982" s="19"/>
      <c r="L982" s="7"/>
      <c r="M982" s="7"/>
      <c r="N982" s="7"/>
      <c r="O982" s="7"/>
      <c r="P982" s="7"/>
      <c r="Q982" s="7"/>
      <c r="R982" s="7"/>
      <c r="S982" s="7"/>
      <c r="T982" s="7"/>
      <c r="U982" s="7"/>
      <c r="V982" s="388"/>
      <c r="W982" s="388"/>
      <c r="X982" s="388"/>
      <c r="Y982" s="7"/>
      <c r="Z982" s="7"/>
      <c r="AA982" s="7"/>
      <c r="AB982" s="7"/>
      <c r="AC982" s="7"/>
      <c r="AD982" s="7"/>
      <c r="AE982" s="7"/>
      <c r="AF982" s="7"/>
      <c r="AG982" s="7"/>
      <c r="AH982" s="7"/>
      <c r="AI982" s="7"/>
      <c r="AJ982" s="19"/>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c r="BN982" s="7"/>
      <c r="BO982" s="7"/>
      <c r="BP982" s="7"/>
      <c r="BQ982" s="7"/>
      <c r="BR982" s="7"/>
      <c r="BS982" s="7"/>
      <c r="BT982" s="7"/>
      <c r="BU982" s="7"/>
      <c r="BV982" s="7"/>
      <c r="BW982" s="7"/>
    </row>
    <row r="983">
      <c r="A983" s="7"/>
      <c r="B983" s="7"/>
      <c r="C983" s="7"/>
      <c r="D983" s="7"/>
      <c r="E983" s="19"/>
      <c r="F983" s="19"/>
      <c r="G983" s="19"/>
      <c r="H983" s="19"/>
      <c r="I983" s="19"/>
      <c r="J983" s="7"/>
      <c r="K983" s="19"/>
      <c r="L983" s="7"/>
      <c r="M983" s="7"/>
      <c r="N983" s="7"/>
      <c r="O983" s="7"/>
      <c r="P983" s="7"/>
      <c r="Q983" s="7"/>
      <c r="R983" s="7"/>
      <c r="S983" s="7"/>
      <c r="T983" s="7"/>
      <c r="U983" s="7"/>
      <c r="V983" s="388"/>
      <c r="W983" s="388"/>
      <c r="X983" s="388"/>
      <c r="Y983" s="7"/>
      <c r="Z983" s="7"/>
      <c r="AA983" s="7"/>
      <c r="AB983" s="7"/>
      <c r="AC983" s="7"/>
      <c r="AD983" s="7"/>
      <c r="AE983" s="7"/>
      <c r="AF983" s="7"/>
      <c r="AG983" s="7"/>
      <c r="AH983" s="7"/>
      <c r="AI983" s="7"/>
      <c r="AJ983" s="19"/>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row>
    <row r="984">
      <c r="A984" s="7"/>
      <c r="B984" s="7"/>
      <c r="C984" s="7"/>
      <c r="D984" s="7"/>
      <c r="E984" s="19"/>
      <c r="F984" s="19"/>
      <c r="G984" s="19"/>
      <c r="H984" s="19"/>
      <c r="I984" s="19"/>
      <c r="J984" s="7"/>
      <c r="K984" s="19"/>
      <c r="L984" s="7"/>
      <c r="M984" s="7"/>
      <c r="N984" s="7"/>
      <c r="O984" s="7"/>
      <c r="P984" s="7"/>
      <c r="Q984" s="7"/>
      <c r="R984" s="7"/>
      <c r="S984" s="7"/>
      <c r="T984" s="7"/>
      <c r="U984" s="7"/>
      <c r="V984" s="388"/>
      <c r="W984" s="388"/>
      <c r="X984" s="388"/>
      <c r="Y984" s="7"/>
      <c r="Z984" s="7"/>
      <c r="AA984" s="7"/>
      <c r="AB984" s="7"/>
      <c r="AC984" s="7"/>
      <c r="AD984" s="7"/>
      <c r="AE984" s="7"/>
      <c r="AF984" s="7"/>
      <c r="AG984" s="7"/>
      <c r="AH984" s="7"/>
      <c r="AI984" s="7"/>
      <c r="AJ984" s="19"/>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row>
    <row r="985">
      <c r="A985" s="7"/>
      <c r="B985" s="7"/>
      <c r="C985" s="7"/>
      <c r="D985" s="7"/>
      <c r="E985" s="19"/>
      <c r="F985" s="19"/>
      <c r="G985" s="19"/>
      <c r="H985" s="19"/>
      <c r="I985" s="19"/>
      <c r="J985" s="7"/>
      <c r="K985" s="19"/>
      <c r="L985" s="7"/>
      <c r="M985" s="7"/>
      <c r="N985" s="7"/>
      <c r="O985" s="7"/>
      <c r="P985" s="7"/>
      <c r="Q985" s="7"/>
      <c r="R985" s="7"/>
      <c r="S985" s="7"/>
      <c r="T985" s="7"/>
      <c r="U985" s="7"/>
      <c r="V985" s="388"/>
      <c r="W985" s="388"/>
      <c r="X985" s="388"/>
      <c r="Y985" s="7"/>
      <c r="Z985" s="7"/>
      <c r="AA985" s="7"/>
      <c r="AB985" s="7"/>
      <c r="AC985" s="7"/>
      <c r="AD985" s="7"/>
      <c r="AE985" s="7"/>
      <c r="AF985" s="7"/>
      <c r="AG985" s="7"/>
      <c r="AH985" s="7"/>
      <c r="AI985" s="7"/>
      <c r="AJ985" s="19"/>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row>
    <row r="986">
      <c r="A986" s="7"/>
      <c r="B986" s="7"/>
      <c r="C986" s="7"/>
      <c r="D986" s="7"/>
      <c r="E986" s="19"/>
      <c r="F986" s="19"/>
      <c r="G986" s="19"/>
      <c r="H986" s="19"/>
      <c r="I986" s="19"/>
      <c r="J986" s="7"/>
      <c r="K986" s="19"/>
      <c r="L986" s="7"/>
      <c r="M986" s="7"/>
      <c r="N986" s="7"/>
      <c r="O986" s="7"/>
      <c r="P986" s="7"/>
      <c r="Q986" s="7"/>
      <c r="R986" s="7"/>
      <c r="S986" s="7"/>
      <c r="T986" s="7"/>
      <c r="U986" s="7"/>
      <c r="V986" s="388"/>
      <c r="W986" s="388"/>
      <c r="X986" s="388"/>
      <c r="Y986" s="7"/>
      <c r="Z986" s="7"/>
      <c r="AA986" s="7"/>
      <c r="AB986" s="7"/>
      <c r="AC986" s="7"/>
      <c r="AD986" s="7"/>
      <c r="AE986" s="7"/>
      <c r="AF986" s="7"/>
      <c r="AG986" s="7"/>
      <c r="AH986" s="7"/>
      <c r="AI986" s="7"/>
      <c r="AJ986" s="19"/>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row>
    <row r="987">
      <c r="A987" s="7"/>
      <c r="B987" s="7"/>
      <c r="C987" s="7"/>
      <c r="D987" s="7"/>
      <c r="E987" s="19"/>
      <c r="F987" s="19"/>
      <c r="G987" s="19"/>
      <c r="H987" s="19"/>
      <c r="I987" s="19"/>
      <c r="J987" s="7"/>
      <c r="K987" s="19"/>
      <c r="L987" s="7"/>
      <c r="M987" s="7"/>
      <c r="N987" s="7"/>
      <c r="O987" s="7"/>
      <c r="P987" s="7"/>
      <c r="Q987" s="7"/>
      <c r="R987" s="7"/>
      <c r="S987" s="7"/>
      <c r="T987" s="7"/>
      <c r="U987" s="7"/>
      <c r="V987" s="388"/>
      <c r="W987" s="388"/>
      <c r="X987" s="388"/>
      <c r="Y987" s="7"/>
      <c r="Z987" s="7"/>
      <c r="AA987" s="7"/>
      <c r="AB987" s="7"/>
      <c r="AC987" s="7"/>
      <c r="AD987" s="7"/>
      <c r="AE987" s="7"/>
      <c r="AF987" s="7"/>
      <c r="AG987" s="7"/>
      <c r="AH987" s="7"/>
      <c r="AI987" s="7"/>
      <c r="AJ987" s="19"/>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row>
    <row r="988">
      <c r="A988" s="7"/>
      <c r="B988" s="7"/>
      <c r="C988" s="7"/>
      <c r="D988" s="7"/>
      <c r="E988" s="19"/>
      <c r="F988" s="19"/>
      <c r="G988" s="19"/>
      <c r="H988" s="19"/>
      <c r="I988" s="19"/>
      <c r="J988" s="7"/>
      <c r="K988" s="19"/>
      <c r="L988" s="7"/>
      <c r="M988" s="7"/>
      <c r="N988" s="7"/>
      <c r="O988" s="7"/>
      <c r="P988" s="7"/>
      <c r="Q988" s="7"/>
      <c r="R988" s="7"/>
      <c r="S988" s="7"/>
      <c r="T988" s="7"/>
      <c r="U988" s="7"/>
      <c r="V988" s="388"/>
      <c r="W988" s="388"/>
      <c r="X988" s="388"/>
      <c r="Y988" s="7"/>
      <c r="Z988" s="7"/>
      <c r="AA988" s="7"/>
      <c r="AB988" s="7"/>
      <c r="AC988" s="7"/>
      <c r="AD988" s="7"/>
      <c r="AE988" s="7"/>
      <c r="AF988" s="7"/>
      <c r="AG988" s="7"/>
      <c r="AH988" s="7"/>
      <c r="AI988" s="7"/>
      <c r="AJ988" s="19"/>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c r="BN988" s="7"/>
      <c r="BO988" s="7"/>
      <c r="BP988" s="7"/>
      <c r="BQ988" s="7"/>
      <c r="BR988" s="7"/>
      <c r="BS988" s="7"/>
      <c r="BT988" s="7"/>
      <c r="BU988" s="7"/>
      <c r="BV988" s="7"/>
      <c r="BW988" s="7"/>
    </row>
    <row r="989">
      <c r="A989" s="7"/>
      <c r="B989" s="7"/>
      <c r="C989" s="7"/>
      <c r="D989" s="7"/>
      <c r="E989" s="19"/>
      <c r="F989" s="19"/>
      <c r="G989" s="19"/>
      <c r="H989" s="19"/>
      <c r="I989" s="19"/>
      <c r="J989" s="7"/>
      <c r="K989" s="19"/>
      <c r="L989" s="7"/>
      <c r="M989" s="7"/>
      <c r="N989" s="7"/>
      <c r="O989" s="7"/>
      <c r="P989" s="7"/>
      <c r="Q989" s="7"/>
      <c r="R989" s="7"/>
      <c r="S989" s="7"/>
      <c r="T989" s="7"/>
      <c r="U989" s="7"/>
      <c r="V989" s="388"/>
      <c r="W989" s="388"/>
      <c r="X989" s="388"/>
      <c r="Y989" s="7"/>
      <c r="Z989" s="7"/>
      <c r="AA989" s="7"/>
      <c r="AB989" s="7"/>
      <c r="AC989" s="7"/>
      <c r="AD989" s="7"/>
      <c r="AE989" s="7"/>
      <c r="AF989" s="7"/>
      <c r="AG989" s="7"/>
      <c r="AH989" s="7"/>
      <c r="AI989" s="7"/>
      <c r="AJ989" s="19"/>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row>
    <row r="990">
      <c r="A990" s="7"/>
      <c r="B990" s="7"/>
      <c r="C990" s="7"/>
      <c r="D990" s="7"/>
      <c r="E990" s="19"/>
      <c r="F990" s="19"/>
      <c r="G990" s="19"/>
      <c r="H990" s="19"/>
      <c r="I990" s="19"/>
      <c r="J990" s="7"/>
      <c r="K990" s="19"/>
      <c r="L990" s="7"/>
      <c r="M990" s="7"/>
      <c r="N990" s="7"/>
      <c r="O990" s="7"/>
      <c r="P990" s="7"/>
      <c r="Q990" s="7"/>
      <c r="R990" s="7"/>
      <c r="S990" s="7"/>
      <c r="T990" s="7"/>
      <c r="U990" s="7"/>
      <c r="V990" s="388"/>
      <c r="W990" s="388"/>
      <c r="X990" s="388"/>
      <c r="Y990" s="7"/>
      <c r="Z990" s="7"/>
      <c r="AA990" s="7"/>
      <c r="AB990" s="7"/>
      <c r="AC990" s="7"/>
      <c r="AD990" s="7"/>
      <c r="AE990" s="7"/>
      <c r="AF990" s="7"/>
      <c r="AG990" s="7"/>
      <c r="AH990" s="7"/>
      <c r="AI990" s="7"/>
      <c r="AJ990" s="19"/>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row>
    <row r="991">
      <c r="A991" s="7"/>
      <c r="B991" s="7"/>
      <c r="C991" s="7"/>
      <c r="D991" s="7"/>
      <c r="E991" s="19"/>
      <c r="F991" s="19"/>
      <c r="G991" s="19"/>
      <c r="H991" s="19"/>
      <c r="I991" s="19"/>
      <c r="J991" s="7"/>
      <c r="K991" s="19"/>
      <c r="L991" s="7"/>
      <c r="M991" s="7"/>
      <c r="N991" s="7"/>
      <c r="O991" s="7"/>
      <c r="P991" s="7"/>
      <c r="Q991" s="7"/>
      <c r="R991" s="7"/>
      <c r="S991" s="7"/>
      <c r="T991" s="7"/>
      <c r="U991" s="7"/>
      <c r="V991" s="388"/>
      <c r="W991" s="388"/>
      <c r="X991" s="388"/>
      <c r="Y991" s="7"/>
      <c r="Z991" s="7"/>
      <c r="AA991" s="7"/>
      <c r="AB991" s="7"/>
      <c r="AC991" s="7"/>
      <c r="AD991" s="7"/>
      <c r="AE991" s="7"/>
      <c r="AF991" s="7"/>
      <c r="AG991" s="7"/>
      <c r="AH991" s="7"/>
      <c r="AI991" s="7"/>
      <c r="AJ991" s="19"/>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row>
    <row r="992">
      <c r="A992" s="7"/>
      <c r="B992" s="7"/>
      <c r="C992" s="7"/>
      <c r="D992" s="7"/>
      <c r="E992" s="19"/>
      <c r="F992" s="19"/>
      <c r="G992" s="19"/>
      <c r="H992" s="19"/>
      <c r="I992" s="19"/>
      <c r="J992" s="7"/>
      <c r="K992" s="19"/>
      <c r="L992" s="7"/>
      <c r="M992" s="7"/>
      <c r="N992" s="7"/>
      <c r="O992" s="7"/>
      <c r="P992" s="7"/>
      <c r="Q992" s="7"/>
      <c r="R992" s="7"/>
      <c r="S992" s="7"/>
      <c r="T992" s="7"/>
      <c r="U992" s="7"/>
      <c r="V992" s="388"/>
      <c r="W992" s="388"/>
      <c r="X992" s="388"/>
      <c r="Y992" s="7"/>
      <c r="Z992" s="7"/>
      <c r="AA992" s="7"/>
      <c r="AB992" s="7"/>
      <c r="AC992" s="7"/>
      <c r="AD992" s="7"/>
      <c r="AE992" s="7"/>
      <c r="AF992" s="7"/>
      <c r="AG992" s="7"/>
      <c r="AH992" s="7"/>
      <c r="AI992" s="7"/>
      <c r="AJ992" s="19"/>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c r="BN992" s="7"/>
      <c r="BO992" s="7"/>
      <c r="BP992" s="7"/>
      <c r="BQ992" s="7"/>
      <c r="BR992" s="7"/>
      <c r="BS992" s="7"/>
      <c r="BT992" s="7"/>
      <c r="BU992" s="7"/>
      <c r="BV992" s="7"/>
      <c r="BW992" s="7"/>
    </row>
    <row r="993">
      <c r="A993" s="7"/>
      <c r="B993" s="7"/>
      <c r="C993" s="7"/>
      <c r="D993" s="7"/>
      <c r="E993" s="19"/>
      <c r="F993" s="19"/>
      <c r="G993" s="19"/>
      <c r="H993" s="19"/>
      <c r="I993" s="19"/>
      <c r="J993" s="7"/>
      <c r="K993" s="19"/>
      <c r="L993" s="7"/>
      <c r="M993" s="7"/>
      <c r="N993" s="7"/>
      <c r="O993" s="7"/>
      <c r="P993" s="7"/>
      <c r="Q993" s="7"/>
      <c r="R993" s="7"/>
      <c r="S993" s="7"/>
      <c r="T993" s="7"/>
      <c r="U993" s="7"/>
      <c r="V993" s="388"/>
      <c r="W993" s="388"/>
      <c r="X993" s="388"/>
      <c r="Y993" s="7"/>
      <c r="Z993" s="7"/>
      <c r="AA993" s="7"/>
      <c r="AB993" s="7"/>
      <c r="AC993" s="7"/>
      <c r="AD993" s="7"/>
      <c r="AE993" s="7"/>
      <c r="AF993" s="7"/>
      <c r="AG993" s="7"/>
      <c r="AH993" s="7"/>
      <c r="AI993" s="7"/>
      <c r="AJ993" s="19"/>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row>
    <row r="994">
      <c r="A994" s="7"/>
      <c r="B994" s="7"/>
      <c r="C994" s="7"/>
      <c r="D994" s="7"/>
      <c r="E994" s="19"/>
      <c r="F994" s="19"/>
      <c r="G994" s="19"/>
      <c r="H994" s="19"/>
      <c r="I994" s="19"/>
      <c r="J994" s="7"/>
      <c r="K994" s="19"/>
      <c r="L994" s="7"/>
      <c r="M994" s="7"/>
      <c r="N994" s="7"/>
      <c r="O994" s="7"/>
      <c r="P994" s="7"/>
      <c r="Q994" s="7"/>
      <c r="R994" s="7"/>
      <c r="S994" s="7"/>
      <c r="T994" s="7"/>
      <c r="U994" s="7"/>
      <c r="V994" s="388"/>
      <c r="W994" s="388"/>
      <c r="X994" s="388"/>
      <c r="Y994" s="7"/>
      <c r="Z994" s="7"/>
      <c r="AA994" s="7"/>
      <c r="AB994" s="7"/>
      <c r="AC994" s="7"/>
      <c r="AD994" s="7"/>
      <c r="AE994" s="7"/>
      <c r="AF994" s="7"/>
      <c r="AG994" s="7"/>
      <c r="AH994" s="7"/>
      <c r="AI994" s="7"/>
      <c r="AJ994" s="19"/>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c r="BN994" s="7"/>
      <c r="BO994" s="7"/>
      <c r="BP994" s="7"/>
      <c r="BQ994" s="7"/>
      <c r="BR994" s="7"/>
      <c r="BS994" s="7"/>
      <c r="BT994" s="7"/>
      <c r="BU994" s="7"/>
      <c r="BV994" s="7"/>
      <c r="BW994" s="7"/>
    </row>
    <row r="995">
      <c r="A995" s="7"/>
      <c r="B995" s="7"/>
      <c r="C995" s="7"/>
      <c r="D995" s="7"/>
      <c r="E995" s="19"/>
      <c r="F995" s="19"/>
      <c r="G995" s="19"/>
      <c r="H995" s="19"/>
      <c r="I995" s="19"/>
      <c r="J995" s="7"/>
      <c r="K995" s="19"/>
      <c r="L995" s="7"/>
      <c r="M995" s="7"/>
      <c r="N995" s="7"/>
      <c r="O995" s="7"/>
      <c r="P995" s="7"/>
      <c r="Q995" s="7"/>
      <c r="R995" s="7"/>
      <c r="S995" s="7"/>
      <c r="T995" s="7"/>
      <c r="U995" s="7"/>
      <c r="V995" s="388"/>
      <c r="W995" s="388"/>
      <c r="X995" s="388"/>
      <c r="Y995" s="7"/>
      <c r="Z995" s="7"/>
      <c r="AA995" s="7"/>
      <c r="AB995" s="7"/>
      <c r="AC995" s="7"/>
      <c r="AD995" s="7"/>
      <c r="AE995" s="7"/>
      <c r="AF995" s="7"/>
      <c r="AG995" s="7"/>
      <c r="AH995" s="7"/>
      <c r="AI995" s="7"/>
      <c r="AJ995" s="19"/>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row>
    <row r="996">
      <c r="A996" s="7"/>
      <c r="B996" s="7"/>
      <c r="C996" s="7"/>
      <c r="D996" s="7"/>
      <c r="E996" s="19"/>
      <c r="F996" s="19"/>
      <c r="G996" s="19"/>
      <c r="H996" s="19"/>
      <c r="I996" s="19"/>
      <c r="J996" s="7"/>
      <c r="K996" s="19"/>
      <c r="L996" s="7"/>
      <c r="M996" s="7"/>
      <c r="N996" s="7"/>
      <c r="O996" s="7"/>
      <c r="P996" s="7"/>
      <c r="Q996" s="7"/>
      <c r="R996" s="7"/>
      <c r="S996" s="7"/>
      <c r="T996" s="7"/>
      <c r="U996" s="7"/>
      <c r="V996" s="388"/>
      <c r="W996" s="388"/>
      <c r="X996" s="388"/>
      <c r="Y996" s="7"/>
      <c r="Z996" s="7"/>
      <c r="AA996" s="7"/>
      <c r="AB996" s="7"/>
      <c r="AC996" s="7"/>
      <c r="AD996" s="7"/>
      <c r="AE996" s="7"/>
      <c r="AF996" s="7"/>
      <c r="AG996" s="7"/>
      <c r="AH996" s="7"/>
      <c r="AI996" s="7"/>
      <c r="AJ996" s="19"/>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c r="BN996" s="7"/>
      <c r="BO996" s="7"/>
      <c r="BP996" s="7"/>
      <c r="BQ996" s="7"/>
      <c r="BR996" s="7"/>
      <c r="BS996" s="7"/>
      <c r="BT996" s="7"/>
      <c r="BU996" s="7"/>
      <c r="BV996" s="7"/>
      <c r="BW996" s="7"/>
    </row>
    <row r="997">
      <c r="A997" s="7"/>
      <c r="B997" s="7"/>
      <c r="C997" s="7"/>
      <c r="D997" s="7"/>
      <c r="E997" s="19"/>
      <c r="F997" s="19"/>
      <c r="G997" s="19"/>
      <c r="H997" s="19"/>
      <c r="I997" s="19"/>
      <c r="J997" s="7"/>
      <c r="K997" s="19"/>
      <c r="L997" s="7"/>
      <c r="M997" s="7"/>
      <c r="N997" s="7"/>
      <c r="O997" s="7"/>
      <c r="P997" s="7"/>
      <c r="Q997" s="7"/>
      <c r="R997" s="7"/>
      <c r="S997" s="7"/>
      <c r="T997" s="7"/>
      <c r="U997" s="7"/>
      <c r="V997" s="388"/>
      <c r="W997" s="388"/>
      <c r="X997" s="388"/>
      <c r="Y997" s="7"/>
      <c r="Z997" s="7"/>
      <c r="AA997" s="7"/>
      <c r="AB997" s="7"/>
      <c r="AC997" s="7"/>
      <c r="AD997" s="7"/>
      <c r="AE997" s="7"/>
      <c r="AF997" s="7"/>
      <c r="AG997" s="7"/>
      <c r="AH997" s="7"/>
      <c r="AI997" s="7"/>
      <c r="AJ997" s="19"/>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row>
    <row r="998">
      <c r="A998" s="7"/>
      <c r="B998" s="7"/>
      <c r="C998" s="7"/>
      <c r="D998" s="7"/>
      <c r="E998" s="19"/>
      <c r="F998" s="19"/>
      <c r="G998" s="19"/>
      <c r="H998" s="19"/>
      <c r="I998" s="19"/>
      <c r="J998" s="7"/>
      <c r="K998" s="19"/>
      <c r="L998" s="7"/>
      <c r="M998" s="7"/>
      <c r="N998" s="7"/>
      <c r="O998" s="7"/>
      <c r="P998" s="7"/>
      <c r="Q998" s="7"/>
      <c r="R998" s="7"/>
      <c r="S998" s="7"/>
      <c r="T998" s="7"/>
      <c r="U998" s="7"/>
      <c r="V998" s="388"/>
      <c r="W998" s="388"/>
      <c r="X998" s="388"/>
      <c r="Y998" s="7"/>
      <c r="Z998" s="7"/>
      <c r="AA998" s="7"/>
      <c r="AB998" s="7"/>
      <c r="AC998" s="7"/>
      <c r="AD998" s="7"/>
      <c r="AE998" s="7"/>
      <c r="AF998" s="7"/>
      <c r="AG998" s="7"/>
      <c r="AH998" s="7"/>
      <c r="AI998" s="7"/>
      <c r="AJ998" s="19"/>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c r="BN998" s="7"/>
      <c r="BO998" s="7"/>
      <c r="BP998" s="7"/>
      <c r="BQ998" s="7"/>
      <c r="BR998" s="7"/>
      <c r="BS998" s="7"/>
      <c r="BT998" s="7"/>
      <c r="BU998" s="7"/>
      <c r="BV998" s="7"/>
      <c r="BW998" s="7"/>
    </row>
    <row r="999">
      <c r="A999" s="7"/>
      <c r="B999" s="7"/>
      <c r="C999" s="7"/>
      <c r="D999" s="7"/>
      <c r="E999" s="19"/>
      <c r="F999" s="19"/>
      <c r="G999" s="19"/>
      <c r="H999" s="19"/>
      <c r="I999" s="19"/>
      <c r="J999" s="7"/>
      <c r="K999" s="19"/>
      <c r="L999" s="7"/>
      <c r="M999" s="7"/>
      <c r="N999" s="7"/>
      <c r="O999" s="7"/>
      <c r="P999" s="7"/>
      <c r="Q999" s="7"/>
      <c r="R999" s="7"/>
      <c r="S999" s="7"/>
      <c r="T999" s="7"/>
      <c r="U999" s="7"/>
      <c r="V999" s="388"/>
      <c r="W999" s="388"/>
      <c r="X999" s="388"/>
      <c r="Y999" s="7"/>
      <c r="Z999" s="7"/>
      <c r="AA999" s="7"/>
      <c r="AB999" s="7"/>
      <c r="AC999" s="7"/>
      <c r="AD999" s="7"/>
      <c r="AE999" s="7"/>
      <c r="AF999" s="7"/>
      <c r="AG999" s="7"/>
      <c r="AH999" s="7"/>
      <c r="AI999" s="7"/>
      <c r="AJ999" s="19"/>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row>
    <row r="1000">
      <c r="A1000" s="7"/>
      <c r="B1000" s="7"/>
      <c r="C1000" s="7"/>
      <c r="D1000" s="7"/>
      <c r="E1000" s="19"/>
      <c r="F1000" s="19"/>
      <c r="G1000" s="19"/>
      <c r="H1000" s="19"/>
      <c r="I1000" s="19"/>
      <c r="J1000" s="7"/>
      <c r="K1000" s="19"/>
      <c r="L1000" s="7"/>
      <c r="M1000" s="7"/>
      <c r="N1000" s="7"/>
      <c r="O1000" s="7"/>
      <c r="P1000" s="7"/>
      <c r="Q1000" s="7"/>
      <c r="R1000" s="7"/>
      <c r="S1000" s="7"/>
      <c r="T1000" s="7"/>
      <c r="U1000" s="7"/>
      <c r="V1000" s="388"/>
      <c r="W1000" s="388"/>
      <c r="X1000" s="388"/>
      <c r="Y1000" s="7"/>
      <c r="Z1000" s="7"/>
      <c r="AA1000" s="7"/>
      <c r="AB1000" s="7"/>
      <c r="AC1000" s="7"/>
      <c r="AD1000" s="7"/>
      <c r="AE1000" s="7"/>
      <c r="AF1000" s="7"/>
      <c r="AG1000" s="7"/>
      <c r="AH1000" s="7"/>
      <c r="AI1000" s="7"/>
      <c r="AJ1000" s="19"/>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c r="BW1000" s="7"/>
    </row>
    <row r="1001">
      <c r="A1001" s="7"/>
      <c r="B1001" s="7"/>
      <c r="C1001" s="7"/>
      <c r="D1001" s="7"/>
      <c r="E1001" s="19"/>
      <c r="F1001" s="19"/>
      <c r="G1001" s="19"/>
      <c r="H1001" s="19"/>
      <c r="I1001" s="19"/>
      <c r="J1001" s="7"/>
      <c r="K1001" s="19"/>
      <c r="L1001" s="7"/>
      <c r="M1001" s="7"/>
      <c r="N1001" s="7"/>
      <c r="O1001" s="7"/>
      <c r="P1001" s="7"/>
      <c r="Q1001" s="7"/>
      <c r="R1001" s="7"/>
      <c r="S1001" s="7"/>
      <c r="T1001" s="7"/>
      <c r="U1001" s="7"/>
      <c r="V1001" s="388"/>
      <c r="W1001" s="388"/>
      <c r="X1001" s="388"/>
      <c r="Y1001" s="7"/>
      <c r="Z1001" s="7"/>
      <c r="AA1001" s="7"/>
      <c r="AB1001" s="7"/>
      <c r="AC1001" s="7"/>
      <c r="AD1001" s="7"/>
      <c r="AE1001" s="7"/>
      <c r="AF1001" s="7"/>
      <c r="AG1001" s="7"/>
      <c r="AH1001" s="7"/>
      <c r="AI1001" s="7"/>
      <c r="AJ1001" s="19"/>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c r="BN1001" s="7"/>
      <c r="BO1001" s="7"/>
      <c r="BP1001" s="7"/>
      <c r="BQ1001" s="7"/>
      <c r="BR1001" s="7"/>
      <c r="BS1001" s="7"/>
      <c r="BT1001" s="7"/>
      <c r="BU1001" s="7"/>
      <c r="BV1001" s="7"/>
      <c r="BW1001" s="7"/>
    </row>
    <row r="1002">
      <c r="A1002" s="7"/>
      <c r="B1002" s="7"/>
      <c r="C1002" s="7"/>
      <c r="D1002" s="7"/>
      <c r="E1002" s="19"/>
      <c r="F1002" s="19"/>
      <c r="G1002" s="19"/>
      <c r="H1002" s="19"/>
      <c r="I1002" s="19"/>
      <c r="J1002" s="7"/>
      <c r="K1002" s="19"/>
      <c r="L1002" s="7"/>
      <c r="M1002" s="7"/>
      <c r="N1002" s="7"/>
      <c r="O1002" s="7"/>
      <c r="P1002" s="7"/>
      <c r="Q1002" s="7"/>
      <c r="R1002" s="7"/>
      <c r="S1002" s="7"/>
      <c r="T1002" s="7"/>
      <c r="U1002" s="7"/>
      <c r="V1002" s="388"/>
      <c r="W1002" s="388"/>
      <c r="X1002" s="388"/>
      <c r="Y1002" s="7"/>
      <c r="Z1002" s="7"/>
      <c r="AA1002" s="7"/>
      <c r="AB1002" s="7"/>
      <c r="AC1002" s="7"/>
      <c r="AD1002" s="7"/>
      <c r="AE1002" s="7"/>
      <c r="AF1002" s="7"/>
      <c r="AG1002" s="7"/>
      <c r="AH1002" s="7"/>
      <c r="AI1002" s="7"/>
      <c r="AJ1002" s="19"/>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c r="BN1002" s="7"/>
      <c r="BO1002" s="7"/>
      <c r="BP1002" s="7"/>
      <c r="BQ1002" s="7"/>
      <c r="BR1002" s="7"/>
      <c r="BS1002" s="7"/>
      <c r="BT1002" s="7"/>
      <c r="BU1002" s="7"/>
      <c r="BV1002" s="7"/>
      <c r="BW1002" s="7"/>
    </row>
    <row r="1003">
      <c r="A1003" s="7"/>
      <c r="B1003" s="7"/>
      <c r="C1003" s="7"/>
      <c r="D1003" s="7"/>
      <c r="E1003" s="19"/>
      <c r="F1003" s="19"/>
      <c r="G1003" s="19"/>
      <c r="H1003" s="19"/>
      <c r="I1003" s="19"/>
      <c r="J1003" s="7"/>
      <c r="K1003" s="19"/>
      <c r="L1003" s="7"/>
      <c r="M1003" s="7"/>
      <c r="N1003" s="7"/>
      <c r="O1003" s="7"/>
      <c r="P1003" s="7"/>
      <c r="Q1003" s="7"/>
      <c r="R1003" s="7"/>
      <c r="S1003" s="7"/>
      <c r="T1003" s="7"/>
      <c r="U1003" s="7"/>
      <c r="V1003" s="388"/>
      <c r="W1003" s="388"/>
      <c r="X1003" s="388"/>
      <c r="Y1003" s="7"/>
      <c r="Z1003" s="7"/>
      <c r="AA1003" s="7"/>
      <c r="AB1003" s="7"/>
      <c r="AC1003" s="7"/>
      <c r="AD1003" s="7"/>
      <c r="AE1003" s="7"/>
      <c r="AF1003" s="7"/>
      <c r="AG1003" s="7"/>
      <c r="AH1003" s="7"/>
      <c r="AI1003" s="7"/>
      <c r="AJ1003" s="19"/>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c r="BN1003" s="7"/>
      <c r="BO1003" s="7"/>
      <c r="BP1003" s="7"/>
      <c r="BQ1003" s="7"/>
      <c r="BR1003" s="7"/>
      <c r="BS1003" s="7"/>
      <c r="BT1003" s="7"/>
      <c r="BU1003" s="7"/>
      <c r="BV1003" s="7"/>
      <c r="BW1003" s="7"/>
    </row>
    <row r="1004">
      <c r="A1004" s="7"/>
      <c r="B1004" s="7"/>
      <c r="C1004" s="7"/>
      <c r="D1004" s="7"/>
      <c r="E1004" s="19"/>
      <c r="F1004" s="19"/>
      <c r="G1004" s="19"/>
      <c r="H1004" s="19"/>
      <c r="I1004" s="19"/>
      <c r="J1004" s="7"/>
      <c r="K1004" s="19"/>
      <c r="L1004" s="7"/>
      <c r="M1004" s="7"/>
      <c r="N1004" s="7"/>
      <c r="O1004" s="7"/>
      <c r="P1004" s="7"/>
      <c r="Q1004" s="7"/>
      <c r="R1004" s="7"/>
      <c r="S1004" s="7"/>
      <c r="T1004" s="7"/>
      <c r="U1004" s="7"/>
      <c r="V1004" s="388"/>
      <c r="W1004" s="388"/>
      <c r="X1004" s="388"/>
      <c r="Y1004" s="7"/>
      <c r="Z1004" s="7"/>
      <c r="AA1004" s="7"/>
      <c r="AB1004" s="7"/>
      <c r="AC1004" s="7"/>
      <c r="AD1004" s="7"/>
      <c r="AE1004" s="7"/>
      <c r="AF1004" s="7"/>
      <c r="AG1004" s="7"/>
      <c r="AH1004" s="7"/>
      <c r="AI1004" s="7"/>
      <c r="AJ1004" s="19"/>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c r="BN1004" s="7"/>
      <c r="BO1004" s="7"/>
      <c r="BP1004" s="7"/>
      <c r="BQ1004" s="7"/>
      <c r="BR1004" s="7"/>
      <c r="BS1004" s="7"/>
      <c r="BT1004" s="7"/>
      <c r="BU1004" s="7"/>
      <c r="BV1004" s="7"/>
      <c r="BW1004" s="7"/>
    </row>
    <row r="1005">
      <c r="A1005" s="7"/>
      <c r="B1005" s="7"/>
      <c r="C1005" s="7"/>
      <c r="D1005" s="7"/>
      <c r="E1005" s="19"/>
      <c r="F1005" s="19"/>
      <c r="G1005" s="19"/>
      <c r="H1005" s="19"/>
      <c r="I1005" s="19"/>
      <c r="J1005" s="7"/>
      <c r="K1005" s="19"/>
      <c r="L1005" s="7"/>
      <c r="M1005" s="7"/>
      <c r="N1005" s="7"/>
      <c r="O1005" s="7"/>
      <c r="P1005" s="7"/>
      <c r="Q1005" s="7"/>
      <c r="R1005" s="7"/>
      <c r="S1005" s="7"/>
      <c r="T1005" s="7"/>
      <c r="U1005" s="7"/>
      <c r="V1005" s="388"/>
      <c r="W1005" s="388"/>
      <c r="X1005" s="388"/>
      <c r="Y1005" s="7"/>
      <c r="Z1005" s="7"/>
      <c r="AA1005" s="7"/>
      <c r="AB1005" s="7"/>
      <c r="AC1005" s="7"/>
      <c r="AD1005" s="7"/>
      <c r="AE1005" s="7"/>
      <c r="AF1005" s="7"/>
      <c r="AG1005" s="7"/>
      <c r="AH1005" s="7"/>
      <c r="AI1005" s="7"/>
      <c r="AJ1005" s="19"/>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c r="BW1005" s="7"/>
    </row>
    <row r="1006">
      <c r="A1006" s="7"/>
      <c r="B1006" s="7"/>
      <c r="C1006" s="7"/>
      <c r="D1006" s="7"/>
      <c r="E1006" s="19"/>
      <c r="F1006" s="19"/>
      <c r="G1006" s="19"/>
      <c r="H1006" s="19"/>
      <c r="I1006" s="19"/>
      <c r="J1006" s="7"/>
      <c r="K1006" s="19"/>
      <c r="L1006" s="7"/>
      <c r="M1006" s="7"/>
      <c r="N1006" s="7"/>
      <c r="O1006" s="7"/>
      <c r="P1006" s="7"/>
      <c r="Q1006" s="7"/>
      <c r="R1006" s="7"/>
      <c r="S1006" s="7"/>
      <c r="T1006" s="7"/>
      <c r="U1006" s="7"/>
      <c r="V1006" s="388"/>
      <c r="W1006" s="388"/>
      <c r="X1006" s="388"/>
      <c r="Y1006" s="7"/>
      <c r="Z1006" s="7"/>
      <c r="AA1006" s="7"/>
      <c r="AB1006" s="7"/>
      <c r="AC1006" s="7"/>
      <c r="AD1006" s="7"/>
      <c r="AE1006" s="7"/>
      <c r="AF1006" s="7"/>
      <c r="AG1006" s="7"/>
      <c r="AH1006" s="7"/>
      <c r="AI1006" s="7"/>
      <c r="AJ1006" s="19"/>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c r="BN1006" s="7"/>
      <c r="BO1006" s="7"/>
      <c r="BP1006" s="7"/>
      <c r="BQ1006" s="7"/>
      <c r="BR1006" s="7"/>
      <c r="BS1006" s="7"/>
      <c r="BT1006" s="7"/>
      <c r="BU1006" s="7"/>
      <c r="BV1006" s="7"/>
      <c r="BW1006" s="7"/>
    </row>
    <row r="1007">
      <c r="A1007" s="7"/>
      <c r="B1007" s="7"/>
      <c r="C1007" s="7"/>
      <c r="D1007" s="7"/>
      <c r="E1007" s="19"/>
      <c r="F1007" s="19"/>
      <c r="G1007" s="19"/>
      <c r="H1007" s="19"/>
      <c r="I1007" s="19"/>
      <c r="J1007" s="7"/>
      <c r="K1007" s="19"/>
      <c r="L1007" s="7"/>
      <c r="M1007" s="7"/>
      <c r="N1007" s="7"/>
      <c r="O1007" s="7"/>
      <c r="P1007" s="7"/>
      <c r="Q1007" s="7"/>
      <c r="R1007" s="7"/>
      <c r="S1007" s="7"/>
      <c r="T1007" s="7"/>
      <c r="U1007" s="7"/>
      <c r="V1007" s="388"/>
      <c r="W1007" s="388"/>
      <c r="X1007" s="388"/>
      <c r="Y1007" s="7"/>
      <c r="Z1007" s="7"/>
      <c r="AA1007" s="7"/>
      <c r="AB1007" s="7"/>
      <c r="AC1007" s="7"/>
      <c r="AD1007" s="7"/>
      <c r="AE1007" s="7"/>
      <c r="AF1007" s="7"/>
      <c r="AG1007" s="7"/>
      <c r="AH1007" s="7"/>
      <c r="AI1007" s="7"/>
      <c r="AJ1007" s="19"/>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c r="BN1007" s="7"/>
      <c r="BO1007" s="7"/>
      <c r="BP1007" s="7"/>
      <c r="BQ1007" s="7"/>
      <c r="BR1007" s="7"/>
      <c r="BS1007" s="7"/>
      <c r="BT1007" s="7"/>
      <c r="BU1007" s="7"/>
      <c r="BV1007" s="7"/>
      <c r="BW1007" s="7"/>
    </row>
    <row r="1008">
      <c r="A1008" s="7"/>
      <c r="B1008" s="7"/>
      <c r="C1008" s="7"/>
      <c r="D1008" s="7"/>
      <c r="E1008" s="19"/>
      <c r="F1008" s="19"/>
      <c r="G1008" s="19"/>
      <c r="H1008" s="19"/>
      <c r="I1008" s="19"/>
      <c r="J1008" s="7"/>
      <c r="K1008" s="19"/>
      <c r="L1008" s="7"/>
      <c r="M1008" s="7"/>
      <c r="N1008" s="7"/>
      <c r="O1008" s="7"/>
      <c r="P1008" s="7"/>
      <c r="Q1008" s="7"/>
      <c r="R1008" s="7"/>
      <c r="S1008" s="7"/>
      <c r="T1008" s="7"/>
      <c r="U1008" s="7"/>
      <c r="V1008" s="388"/>
      <c r="W1008" s="388"/>
      <c r="X1008" s="388"/>
      <c r="Y1008" s="7"/>
      <c r="Z1008" s="7"/>
      <c r="AA1008" s="7"/>
      <c r="AB1008" s="7"/>
      <c r="AC1008" s="7"/>
      <c r="AD1008" s="7"/>
      <c r="AE1008" s="7"/>
      <c r="AF1008" s="7"/>
      <c r="AG1008" s="7"/>
      <c r="AH1008" s="7"/>
      <c r="AI1008" s="7"/>
      <c r="AJ1008" s="19"/>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c r="BN1008" s="7"/>
      <c r="BO1008" s="7"/>
      <c r="BP1008" s="7"/>
      <c r="BQ1008" s="7"/>
      <c r="BR1008" s="7"/>
      <c r="BS1008" s="7"/>
      <c r="BT1008" s="7"/>
      <c r="BU1008" s="7"/>
      <c r="BV1008" s="7"/>
      <c r="BW1008" s="7"/>
    </row>
    <row r="1009">
      <c r="A1009" s="7"/>
      <c r="B1009" s="7"/>
      <c r="C1009" s="7"/>
      <c r="D1009" s="7"/>
      <c r="E1009" s="19"/>
      <c r="F1009" s="19"/>
      <c r="G1009" s="19"/>
      <c r="H1009" s="19"/>
      <c r="I1009" s="19"/>
      <c r="J1009" s="7"/>
      <c r="K1009" s="19"/>
      <c r="L1009" s="7"/>
      <c r="M1009" s="7"/>
      <c r="N1009" s="7"/>
      <c r="O1009" s="7"/>
      <c r="P1009" s="7"/>
      <c r="Q1009" s="7"/>
      <c r="R1009" s="7"/>
      <c r="S1009" s="7"/>
      <c r="T1009" s="7"/>
      <c r="U1009" s="7"/>
      <c r="V1009" s="388"/>
      <c r="W1009" s="388"/>
      <c r="X1009" s="388"/>
      <c r="Y1009" s="7"/>
      <c r="Z1009" s="7"/>
      <c r="AA1009" s="7"/>
      <c r="AB1009" s="7"/>
      <c r="AC1009" s="7"/>
      <c r="AD1009" s="7"/>
      <c r="AE1009" s="7"/>
      <c r="AF1009" s="7"/>
      <c r="AG1009" s="7"/>
      <c r="AH1009" s="7"/>
      <c r="AI1009" s="7"/>
      <c r="AJ1009" s="19"/>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c r="BW1009" s="7"/>
    </row>
    <row r="1010">
      <c r="A1010" s="7"/>
      <c r="B1010" s="7"/>
      <c r="C1010" s="7"/>
      <c r="D1010" s="7"/>
      <c r="E1010" s="19"/>
      <c r="F1010" s="19"/>
      <c r="G1010" s="19"/>
      <c r="H1010" s="19"/>
      <c r="I1010" s="19"/>
      <c r="J1010" s="7"/>
      <c r="K1010" s="19"/>
      <c r="L1010" s="7"/>
      <c r="M1010" s="7"/>
      <c r="N1010" s="7"/>
      <c r="O1010" s="7"/>
      <c r="P1010" s="7"/>
      <c r="Q1010" s="7"/>
      <c r="R1010" s="7"/>
      <c r="S1010" s="7"/>
      <c r="T1010" s="7"/>
      <c r="U1010" s="7"/>
      <c r="V1010" s="388"/>
      <c r="W1010" s="388"/>
      <c r="X1010" s="388"/>
      <c r="Y1010" s="7"/>
      <c r="Z1010" s="7"/>
      <c r="AA1010" s="7"/>
      <c r="AB1010" s="7"/>
      <c r="AC1010" s="7"/>
      <c r="AD1010" s="7"/>
      <c r="AE1010" s="7"/>
      <c r="AF1010" s="7"/>
      <c r="AG1010" s="7"/>
      <c r="AH1010" s="7"/>
      <c r="AI1010" s="7"/>
      <c r="AJ1010" s="19"/>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c r="BN1010" s="7"/>
      <c r="BO1010" s="7"/>
      <c r="BP1010" s="7"/>
      <c r="BQ1010" s="7"/>
      <c r="BR1010" s="7"/>
      <c r="BS1010" s="7"/>
      <c r="BT1010" s="7"/>
      <c r="BU1010" s="7"/>
      <c r="BV1010" s="7"/>
      <c r="BW1010" s="7"/>
    </row>
    <row r="1011">
      <c r="A1011" s="7"/>
      <c r="B1011" s="7"/>
      <c r="C1011" s="7"/>
      <c r="D1011" s="7"/>
      <c r="E1011" s="19"/>
      <c r="F1011" s="19"/>
      <c r="G1011" s="19"/>
      <c r="H1011" s="19"/>
      <c r="I1011" s="19"/>
      <c r="J1011" s="7"/>
      <c r="K1011" s="19"/>
      <c r="L1011" s="7"/>
      <c r="M1011" s="7"/>
      <c r="N1011" s="7"/>
      <c r="O1011" s="7"/>
      <c r="P1011" s="7"/>
      <c r="Q1011" s="7"/>
      <c r="R1011" s="7"/>
      <c r="S1011" s="7"/>
      <c r="T1011" s="7"/>
      <c r="U1011" s="7"/>
      <c r="V1011" s="388"/>
      <c r="W1011" s="388"/>
      <c r="X1011" s="388"/>
      <c r="Y1011" s="7"/>
      <c r="Z1011" s="7"/>
      <c r="AA1011" s="7"/>
      <c r="AB1011" s="7"/>
      <c r="AC1011" s="7"/>
      <c r="AD1011" s="7"/>
      <c r="AE1011" s="7"/>
      <c r="AF1011" s="7"/>
      <c r="AG1011" s="7"/>
      <c r="AH1011" s="7"/>
      <c r="AI1011" s="7"/>
      <c r="AJ1011" s="19"/>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row>
    <row r="1012">
      <c r="A1012" s="7"/>
      <c r="B1012" s="7"/>
      <c r="C1012" s="7"/>
      <c r="D1012" s="7"/>
      <c r="E1012" s="19"/>
      <c r="F1012" s="19"/>
      <c r="G1012" s="19"/>
      <c r="H1012" s="19"/>
      <c r="I1012" s="19"/>
      <c r="J1012" s="7"/>
      <c r="K1012" s="19"/>
      <c r="L1012" s="7"/>
      <c r="M1012" s="7"/>
      <c r="N1012" s="7"/>
      <c r="O1012" s="7"/>
      <c r="P1012" s="7"/>
      <c r="Q1012" s="7"/>
      <c r="R1012" s="7"/>
      <c r="S1012" s="7"/>
      <c r="T1012" s="7"/>
      <c r="U1012" s="7"/>
      <c r="V1012" s="388"/>
      <c r="W1012" s="388"/>
      <c r="X1012" s="388"/>
      <c r="Y1012" s="7"/>
      <c r="Z1012" s="7"/>
      <c r="AA1012" s="7"/>
      <c r="AB1012" s="7"/>
      <c r="AC1012" s="7"/>
      <c r="AD1012" s="7"/>
      <c r="AE1012" s="7"/>
      <c r="AF1012" s="7"/>
      <c r="AG1012" s="7"/>
      <c r="AH1012" s="7"/>
      <c r="AI1012" s="7"/>
      <c r="AJ1012" s="19"/>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c r="BN1012" s="7"/>
      <c r="BO1012" s="7"/>
      <c r="BP1012" s="7"/>
      <c r="BQ1012" s="7"/>
      <c r="BR1012" s="7"/>
      <c r="BS1012" s="7"/>
      <c r="BT1012" s="7"/>
      <c r="BU1012" s="7"/>
      <c r="BV1012" s="7"/>
      <c r="BW1012" s="7"/>
    </row>
    <row r="1013">
      <c r="A1013" s="7"/>
      <c r="B1013" s="7"/>
      <c r="C1013" s="7"/>
      <c r="D1013" s="7"/>
      <c r="E1013" s="19"/>
      <c r="F1013" s="19"/>
      <c r="G1013" s="19"/>
      <c r="H1013" s="19"/>
      <c r="I1013" s="19"/>
      <c r="J1013" s="7"/>
      <c r="K1013" s="19"/>
      <c r="L1013" s="7"/>
      <c r="M1013" s="7"/>
      <c r="N1013" s="7"/>
      <c r="O1013" s="7"/>
      <c r="P1013" s="7"/>
      <c r="Q1013" s="7"/>
      <c r="R1013" s="7"/>
      <c r="S1013" s="7"/>
      <c r="T1013" s="7"/>
      <c r="U1013" s="7"/>
      <c r="V1013" s="388"/>
      <c r="W1013" s="388"/>
      <c r="X1013" s="388"/>
      <c r="Y1013" s="7"/>
      <c r="Z1013" s="7"/>
      <c r="AA1013" s="7"/>
      <c r="AB1013" s="7"/>
      <c r="AC1013" s="7"/>
      <c r="AD1013" s="7"/>
      <c r="AE1013" s="7"/>
      <c r="AF1013" s="7"/>
      <c r="AG1013" s="7"/>
      <c r="AH1013" s="7"/>
      <c r="AI1013" s="7"/>
      <c r="AJ1013" s="19"/>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c r="BW1013" s="7"/>
    </row>
    <row r="1014">
      <c r="A1014" s="7"/>
      <c r="B1014" s="7"/>
      <c r="C1014" s="7"/>
      <c r="D1014" s="7"/>
      <c r="E1014" s="19"/>
      <c r="F1014" s="19"/>
      <c r="G1014" s="19"/>
      <c r="H1014" s="19"/>
      <c r="I1014" s="19"/>
      <c r="J1014" s="7"/>
      <c r="K1014" s="19"/>
      <c r="L1014" s="7"/>
      <c r="M1014" s="7"/>
      <c r="N1014" s="7"/>
      <c r="O1014" s="7"/>
      <c r="P1014" s="7"/>
      <c r="Q1014" s="7"/>
      <c r="R1014" s="7"/>
      <c r="S1014" s="7"/>
      <c r="T1014" s="7"/>
      <c r="U1014" s="7"/>
      <c r="V1014" s="388"/>
      <c r="W1014" s="388"/>
      <c r="X1014" s="388"/>
      <c r="Y1014" s="7"/>
      <c r="Z1014" s="7"/>
      <c r="AA1014" s="7"/>
      <c r="AB1014" s="7"/>
      <c r="AC1014" s="7"/>
      <c r="AD1014" s="7"/>
      <c r="AE1014" s="7"/>
      <c r="AF1014" s="7"/>
      <c r="AG1014" s="7"/>
      <c r="AH1014" s="7"/>
      <c r="AI1014" s="7"/>
      <c r="AJ1014" s="19"/>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c r="BL1014" s="7"/>
      <c r="BM1014" s="7"/>
      <c r="BN1014" s="7"/>
      <c r="BO1014" s="7"/>
      <c r="BP1014" s="7"/>
      <c r="BQ1014" s="7"/>
      <c r="BR1014" s="7"/>
      <c r="BS1014" s="7"/>
      <c r="BT1014" s="7"/>
      <c r="BU1014" s="7"/>
      <c r="BV1014" s="7"/>
      <c r="BW1014" s="7"/>
    </row>
    <row r="1015">
      <c r="A1015" s="7"/>
      <c r="B1015" s="7"/>
      <c r="C1015" s="7"/>
      <c r="D1015" s="7"/>
      <c r="E1015" s="19"/>
      <c r="F1015" s="19"/>
      <c r="G1015" s="19"/>
      <c r="H1015" s="19"/>
      <c r="I1015" s="19"/>
      <c r="J1015" s="7"/>
      <c r="K1015" s="19"/>
      <c r="L1015" s="7"/>
      <c r="M1015" s="7"/>
      <c r="N1015" s="7"/>
      <c r="O1015" s="7"/>
      <c r="P1015" s="7"/>
      <c r="Q1015" s="7"/>
      <c r="R1015" s="7"/>
      <c r="S1015" s="7"/>
      <c r="T1015" s="7"/>
      <c r="U1015" s="7"/>
      <c r="V1015" s="388"/>
      <c r="W1015" s="388"/>
      <c r="X1015" s="388"/>
      <c r="Y1015" s="7"/>
      <c r="Z1015" s="7"/>
      <c r="AA1015" s="7"/>
      <c r="AB1015" s="7"/>
      <c r="AC1015" s="7"/>
      <c r="AD1015" s="7"/>
      <c r="AE1015" s="7"/>
      <c r="AF1015" s="7"/>
      <c r="AG1015" s="7"/>
      <c r="AH1015" s="7"/>
      <c r="AI1015" s="7"/>
      <c r="AJ1015" s="19"/>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row>
  </sheetData>
  <autoFilter ref="$A$19:$D$416">
    <filterColumn colId="3">
      <filters>
        <filter val="11"/>
        <filter val="12"/>
        <filter val="9"/>
        <filter val="10"/>
      </filters>
    </filterColumn>
  </autoFilter>
  <customSheetViews>
    <customSheetView guid="{6D15F1E6-DDFE-4508-9ABE-42B10AE6644D}" filter="1" showAutoFilter="1">
      <autoFilter ref="$AB$18:$AB$19"/>
    </customSheetView>
  </customSheetViews>
  <mergeCells count="122">
    <mergeCell ref="AL2:AM2"/>
    <mergeCell ref="AN2:AO2"/>
    <mergeCell ref="AP2:AQ2"/>
    <mergeCell ref="AR2:AS2"/>
    <mergeCell ref="AT2:AU2"/>
    <mergeCell ref="AV2:AW2"/>
    <mergeCell ref="X2:Y2"/>
    <mergeCell ref="Z2:AA2"/>
    <mergeCell ref="AB2:AC2"/>
    <mergeCell ref="AD2:AE2"/>
    <mergeCell ref="AF2:AG2"/>
    <mergeCell ref="AH2:AI2"/>
    <mergeCell ref="AJ2:AK2"/>
    <mergeCell ref="X3:Y3"/>
    <mergeCell ref="Z3:AA3"/>
    <mergeCell ref="AB3:AC3"/>
    <mergeCell ref="AD3:AE3"/>
    <mergeCell ref="AF3:AG3"/>
    <mergeCell ref="AH3:AI3"/>
    <mergeCell ref="AJ3:AK3"/>
    <mergeCell ref="X4:Y4"/>
    <mergeCell ref="X5:Y5"/>
    <mergeCell ref="X6:Y6"/>
    <mergeCell ref="Z5:AA5"/>
    <mergeCell ref="AB5:AC5"/>
    <mergeCell ref="Z6:AA6"/>
    <mergeCell ref="AB6:AC6"/>
    <mergeCell ref="AD5:AE5"/>
    <mergeCell ref="AF5:AG5"/>
    <mergeCell ref="AD6:AE6"/>
    <mergeCell ref="AF6:AG6"/>
    <mergeCell ref="AH5:AI5"/>
    <mergeCell ref="AJ5:AK5"/>
    <mergeCell ref="AH6:AI6"/>
    <mergeCell ref="AJ6:AK6"/>
    <mergeCell ref="X11:Y11"/>
    <mergeCell ref="Z11:AA11"/>
    <mergeCell ref="AB11:AC11"/>
    <mergeCell ref="AD11:AE11"/>
    <mergeCell ref="AF11:AG11"/>
    <mergeCell ref="AH11:AI11"/>
    <mergeCell ref="AJ11:AK11"/>
    <mergeCell ref="X12:Y12"/>
    <mergeCell ref="Z12:AA12"/>
    <mergeCell ref="AB12:AC12"/>
    <mergeCell ref="AD12:AE12"/>
    <mergeCell ref="AF12:AG12"/>
    <mergeCell ref="AH12:AI12"/>
    <mergeCell ref="AJ12:AK12"/>
    <mergeCell ref="X14:Y14"/>
    <mergeCell ref="Z14:AA14"/>
    <mergeCell ref="AB14:AC14"/>
    <mergeCell ref="AD14:AE14"/>
    <mergeCell ref="AF14:AG14"/>
    <mergeCell ref="AH14:AI14"/>
    <mergeCell ref="AJ14:AK14"/>
    <mergeCell ref="AL15:AM15"/>
    <mergeCell ref="AN15:AO15"/>
    <mergeCell ref="AP15:AQ15"/>
    <mergeCell ref="AR15:AS15"/>
    <mergeCell ref="AT15:AU15"/>
    <mergeCell ref="AV15:AW15"/>
    <mergeCell ref="AY21:AZ21"/>
    <mergeCell ref="AA16:AB16"/>
    <mergeCell ref="AC16:AE16"/>
    <mergeCell ref="AF16:AG16"/>
    <mergeCell ref="AA17:AB17"/>
    <mergeCell ref="AC17:AE17"/>
    <mergeCell ref="AF17:AG17"/>
    <mergeCell ref="AH17:AI17"/>
    <mergeCell ref="X15:Y15"/>
    <mergeCell ref="Z15:AA15"/>
    <mergeCell ref="AB15:AC15"/>
    <mergeCell ref="AD15:AE15"/>
    <mergeCell ref="AF15:AG15"/>
    <mergeCell ref="AH15:AI15"/>
    <mergeCell ref="AJ15:AK15"/>
    <mergeCell ref="AB7:AC7"/>
    <mergeCell ref="AD7:AE7"/>
    <mergeCell ref="AB8:AC8"/>
    <mergeCell ref="AD8:AE8"/>
    <mergeCell ref="AB9:AC9"/>
    <mergeCell ref="AD9:AE9"/>
    <mergeCell ref="AF7:AG7"/>
    <mergeCell ref="AH7:AI7"/>
    <mergeCell ref="AF8:AG8"/>
    <mergeCell ref="AH8:AI8"/>
    <mergeCell ref="AJ8:AK8"/>
    <mergeCell ref="AF9:AG9"/>
    <mergeCell ref="AH9:AI9"/>
    <mergeCell ref="AJ9:AK9"/>
    <mergeCell ref="AB4:AC4"/>
    <mergeCell ref="AD4:AE4"/>
    <mergeCell ref="AF4:AG4"/>
    <mergeCell ref="AH4:AI4"/>
    <mergeCell ref="AJ4:AK4"/>
    <mergeCell ref="F5:G5"/>
    <mergeCell ref="F7:G7"/>
    <mergeCell ref="AJ7:AK7"/>
    <mergeCell ref="B11:C11"/>
    <mergeCell ref="F11:G11"/>
    <mergeCell ref="X10:Y10"/>
    <mergeCell ref="Z10:AA10"/>
    <mergeCell ref="AB10:AC10"/>
    <mergeCell ref="AD10:AE10"/>
    <mergeCell ref="AF10:AG10"/>
    <mergeCell ref="AH10:AI10"/>
    <mergeCell ref="AJ10:AK10"/>
    <mergeCell ref="Z4:AA4"/>
    <mergeCell ref="X7:Y7"/>
    <mergeCell ref="Z7:AA7"/>
    <mergeCell ref="X8:Y8"/>
    <mergeCell ref="Z8:AA8"/>
    <mergeCell ref="X9:Y9"/>
    <mergeCell ref="Z9:AA9"/>
    <mergeCell ref="X13:Y13"/>
    <mergeCell ref="Z13:AA13"/>
    <mergeCell ref="AB13:AC13"/>
    <mergeCell ref="AD13:AE13"/>
    <mergeCell ref="AF13:AG13"/>
    <mergeCell ref="AH13:AI13"/>
    <mergeCell ref="AJ13:AK13"/>
  </mergeCells>
  <conditionalFormatting sqref="K3:U14">
    <cfRule type="containsBlanks" dxfId="2" priority="1">
      <formula>LEN(TRIM(K3))=0</formula>
    </cfRule>
  </conditionalFormatting>
  <conditionalFormatting sqref="K1:U14">
    <cfRule type="cellIs" dxfId="3" priority="2" operator="equal">
      <formula>0</formula>
    </cfRule>
  </conditionalFormatting>
  <conditionalFormatting sqref="U1:U14 BI21:BJ21">
    <cfRule type="colorScale" priority="3">
      <colorScale>
        <cfvo type="min"/>
        <cfvo type="formula" val="0.5"/>
        <cfvo type="max"/>
        <color rgb="FFFF0000"/>
        <color rgb="FFFFFFFF"/>
        <color rgb="FF00FF00"/>
      </colorScale>
    </cfRule>
  </conditionalFormatting>
  <conditionalFormatting sqref="T1:T14">
    <cfRule type="colorScale" priority="4">
      <colorScale>
        <cfvo type="formula" val="2"/>
        <cfvo type="formula" val="4.5"/>
        <cfvo type="formula" val="8"/>
        <color rgb="FFFF0000"/>
        <color rgb="FFFFFFFF"/>
        <color rgb="FF00FF00"/>
      </colorScale>
    </cfRule>
  </conditionalFormatting>
  <conditionalFormatting sqref="K1:U14">
    <cfRule type="colorScale" priority="5">
      <colorScale>
        <cfvo type="min"/>
        <cfvo type="formula" val="0"/>
        <cfvo type="max"/>
        <color rgb="FFFF0000"/>
        <color rgb="FFFFFFFF"/>
        <color rgb="FF00FF00"/>
      </colorScale>
    </cfRule>
  </conditionalFormatting>
  <conditionalFormatting sqref="Z20:AH408">
    <cfRule type="cellIs" dxfId="4" priority="6" operator="equal">
      <formula>0</formula>
    </cfRule>
  </conditionalFormatting>
  <conditionalFormatting sqref="AE20:AE408">
    <cfRule type="colorScale" priority="7">
      <colorScale>
        <cfvo type="min"/>
        <cfvo type="formula" val="0"/>
        <cfvo type="max"/>
        <color rgb="FFFF0000"/>
        <color rgb="FFFFFF00"/>
        <color rgb="FF00FF00"/>
      </colorScale>
    </cfRule>
  </conditionalFormatting>
  <conditionalFormatting sqref="Z20:Z416">
    <cfRule type="colorScale" priority="8">
      <colorScale>
        <cfvo type="min"/>
        <cfvo type="formula" val="0"/>
        <cfvo type="max"/>
        <color rgb="FFFF0000"/>
        <color rgb="FFFFFF00"/>
        <color rgb="FF00FF00"/>
      </colorScale>
    </cfRule>
  </conditionalFormatting>
  <conditionalFormatting sqref="M20:N416">
    <cfRule type="colorScale" priority="9">
      <colorScale>
        <cfvo type="min"/>
        <cfvo type="formula" val="0"/>
        <cfvo type="max"/>
        <color rgb="FFFF0000"/>
        <color rgb="FFFFFF00"/>
        <color rgb="FF00FF00"/>
      </colorScale>
    </cfRule>
  </conditionalFormatting>
  <conditionalFormatting sqref="A20:C480">
    <cfRule type="cellIs" dxfId="5" priority="10" operator="equal">
      <formula>2</formula>
    </cfRule>
  </conditionalFormatting>
  <conditionalFormatting sqref="A20:C480">
    <cfRule type="cellIs" dxfId="4" priority="11" operator="equal">
      <formula>3</formula>
    </cfRule>
  </conditionalFormatting>
  <conditionalFormatting sqref="A20:C480">
    <cfRule type="cellIs" dxfId="0" priority="12" operator="equal">
      <formula>4</formula>
    </cfRule>
  </conditionalFormatting>
  <conditionalFormatting sqref="A20:C480">
    <cfRule type="cellIs" dxfId="6" priority="13" operator="equal">
      <formula>5</formula>
    </cfRule>
  </conditionalFormatting>
  <conditionalFormatting sqref="D20:D435">
    <cfRule type="colorScale" priority="14">
      <colorScale>
        <cfvo type="min"/>
        <cfvo type="percentile" val="50"/>
        <cfvo type="max"/>
        <color rgb="FFFF0000"/>
        <color rgb="FFFFFF00"/>
        <color rgb="FF00FF00"/>
      </colorScale>
    </cfRule>
  </conditionalFormatting>
  <conditionalFormatting sqref="AA20:AA408">
    <cfRule type="colorScale" priority="15">
      <colorScale>
        <cfvo type="min"/>
        <cfvo type="formula" val="0"/>
        <cfvo type="max"/>
        <color rgb="FFFF0000"/>
        <color rgb="FFFFFF00"/>
        <color rgb="FF00FF00"/>
      </colorScale>
    </cfRule>
  </conditionalFormatting>
  <conditionalFormatting sqref="O20:O408">
    <cfRule type="cellIs" dxfId="4" priority="16" operator="equal">
      <formula>0</formula>
    </cfRule>
  </conditionalFormatting>
  <conditionalFormatting sqref="O20:O408">
    <cfRule type="colorScale" priority="17">
      <colorScale>
        <cfvo type="min"/>
        <cfvo type="formula" val="0"/>
        <cfvo type="max"/>
        <color rgb="FFFF0000"/>
        <color rgb="FFFFFF00"/>
        <color rgb="FF00FF00"/>
      </colorScale>
    </cfRule>
  </conditionalFormatting>
  <conditionalFormatting sqref="AB20:AB408">
    <cfRule type="colorScale" priority="18">
      <colorScale>
        <cfvo type="min"/>
        <cfvo type="formula" val="0"/>
        <cfvo type="max"/>
        <color rgb="FFFF0000"/>
        <color rgb="FFFFFF00"/>
        <color rgb="FF00FF00"/>
      </colorScale>
    </cfRule>
  </conditionalFormatting>
  <conditionalFormatting sqref="AC20:AC408">
    <cfRule type="colorScale" priority="19">
      <colorScale>
        <cfvo type="min"/>
        <cfvo type="formula" val="0"/>
        <cfvo type="max"/>
        <color rgb="FFFF0000"/>
        <color rgb="FFFFFF00"/>
        <color rgb="FF00FF00"/>
      </colorScale>
    </cfRule>
  </conditionalFormatting>
  <conditionalFormatting sqref="AD20:AD408">
    <cfRule type="colorScale" priority="20">
      <colorScale>
        <cfvo type="min"/>
        <cfvo type="formula" val="0"/>
        <cfvo type="max"/>
        <color rgb="FFFF0000"/>
        <color rgb="FFFFFF00"/>
        <color rgb="FF00FF00"/>
      </colorScale>
    </cfRule>
  </conditionalFormatting>
  <conditionalFormatting sqref="AF20:AF408">
    <cfRule type="colorScale" priority="21">
      <colorScale>
        <cfvo type="min"/>
        <cfvo type="formula" val="0"/>
        <cfvo type="max"/>
        <color rgb="FFFF0000"/>
        <color rgb="FFFFFF00"/>
        <color rgb="FF00FF00"/>
      </colorScale>
    </cfRule>
  </conditionalFormatting>
  <conditionalFormatting sqref="AG20:AG408">
    <cfRule type="colorScale" priority="22">
      <colorScale>
        <cfvo type="min"/>
        <cfvo type="formula" val="0"/>
        <cfvo type="max"/>
        <color rgb="FFFF0000"/>
        <color rgb="FFFFFF00"/>
        <color rgb="FF00FF00"/>
      </colorScale>
    </cfRule>
  </conditionalFormatting>
  <conditionalFormatting sqref="AH20:AH408">
    <cfRule type="colorScale" priority="23">
      <colorScale>
        <cfvo type="min"/>
        <cfvo type="formula" val="0"/>
        <cfvo type="max"/>
        <color rgb="FFFF0000"/>
        <color rgb="FFFFFF00"/>
        <color rgb="FF00FF00"/>
      </colorScale>
    </cfRule>
  </conditionalFormatting>
  <conditionalFormatting sqref="K15:S15">
    <cfRule type="colorScale" priority="24">
      <colorScale>
        <cfvo type="min"/>
        <cfvo type="percentile" val="50"/>
        <cfvo type="max"/>
        <color rgb="FFFF0000"/>
        <color rgb="FFFFFF00"/>
        <color rgb="FF00FF00"/>
      </colorScale>
    </cfRule>
  </conditionalFormatting>
  <dataValidations>
    <dataValidation type="list" allowBlank="1" sqref="AA17">
      <formula1>'Final Update'!$M$11:$M$32</formula1>
    </dataValidation>
    <dataValidation type="list" allowBlank="1" showErrorMessage="1" sqref="AH17">
      <formula1>"BBM,HASHTAG"</formula1>
    </dataValidation>
    <dataValidation type="list" allowBlank="1" sqref="AK22">
      <formula1>"100,75,50,25,0"</formula1>
    </dataValidation>
    <dataValidation type="list" allowBlank="1" sqref="AK23:AK35">
      <formula1>"100,75,50,25,0"</formula1>
    </dataValidation>
    <dataValidation type="list" allowBlank="1" showErrorMessage="1" sqref="G3">
      <formula1>"1,2,3,4,5,6,7,8,9,10,11,12"</formula1>
    </dataValidation>
    <dataValidation type="list" allowBlank="1" sqref="K17:S17">
      <formula1>'Final Update'!$U$7:$U$16</formula1>
    </dataValidation>
    <dataValidation type="list" allowBlank="1" showErrorMessage="1" sqref="AF17">
      <formula1>"50,100,156,168,182,196,400"</formula1>
    </dataValidation>
    <dataValidation type="list" allowBlank="1" showErrorMessage="1" sqref="F7 G15">
      <formula1>Projections!$J$20:$J1015</formula1>
    </dataValidation>
    <dataValidation type="list" allowBlank="1" showErrorMessage="1" sqref="G6">
      <formula1>"1,2,3,4,5,6,7,8,9,10,11,12,13,14"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15" max="16" width="20.0"/>
    <col customWidth="1" min="17" max="17" width="6.13"/>
    <col customWidth="1" min="18" max="18" width="5.88"/>
    <col customWidth="1" min="19" max="19" width="5.75"/>
    <col customWidth="1" min="20" max="20" width="7.75"/>
    <col customWidth="1" min="21" max="29" width="6.63"/>
    <col customWidth="1" min="30" max="30" width="7.38"/>
    <col customWidth="1" min="31" max="31" width="4.75"/>
    <col customWidth="1" min="32" max="32" width="6.88"/>
    <col customWidth="1" min="33" max="33" width="4.75"/>
    <col customWidth="1" min="34" max="34" width="6.63"/>
    <col customWidth="1" min="35" max="35" width="4.75"/>
    <col customWidth="1" min="36" max="36" width="5.25"/>
    <col customWidth="1" min="37" max="37" width="4.75"/>
    <col customWidth="1" min="38" max="44" width="5.25"/>
  </cols>
  <sheetData>
    <row r="1">
      <c r="A1" s="2" t="s">
        <v>1</v>
      </c>
      <c r="B1" s="11">
        <f t="shared" ref="B1:H1" si="1">AVERAGE(V21:V171)</f>
        <v>17.46688742</v>
      </c>
      <c r="C1" s="11">
        <f t="shared" si="1"/>
        <v>1.749006623</v>
      </c>
      <c r="D1" s="11">
        <f t="shared" si="1"/>
        <v>6.068874172</v>
      </c>
      <c r="E1" s="11">
        <f t="shared" si="1"/>
        <v>3.935761589</v>
      </c>
      <c r="F1" s="11">
        <f t="shared" si="1"/>
        <v>0.9761589404</v>
      </c>
      <c r="G1" s="11">
        <f t="shared" si="1"/>
        <v>0.7450331126</v>
      </c>
      <c r="H1" s="15">
        <f t="shared" si="1"/>
        <v>0.4968807947</v>
      </c>
      <c r="I1" s="11">
        <f>AVERAGE(AP21:AP171)</f>
        <v>13.07417219</v>
      </c>
      <c r="J1" s="15">
        <f>AVERAGE(AC21:AC171)</f>
        <v>0.7949139073</v>
      </c>
      <c r="K1" s="11">
        <f>AVERAGE(AQ21:AQ171)</f>
        <v>3.659602649</v>
      </c>
      <c r="L1">
        <f>AVERAGE(UpdateHashtag!$L$2:$L$151)</f>
        <v>1.748666667</v>
      </c>
      <c r="M1">
        <f>SUM(UpdateHashtag!R2:R202)</f>
        <v>363.7</v>
      </c>
      <c r="N1" s="24">
        <f>Team!Z1</f>
        <v>150</v>
      </c>
    </row>
    <row r="2">
      <c r="A2" s="2" t="s">
        <v>62</v>
      </c>
      <c r="B2" s="11">
        <f t="shared" ref="B2:H2" si="2">STDEV(V21:V171)</f>
        <v>5.535626696</v>
      </c>
      <c r="C2" s="11">
        <f t="shared" si="2"/>
        <v>1.004779747</v>
      </c>
      <c r="D2" s="11">
        <f t="shared" si="2"/>
        <v>2.549305407</v>
      </c>
      <c r="E2" s="11">
        <f t="shared" si="2"/>
        <v>2.194822525</v>
      </c>
      <c r="F2" s="11">
        <f t="shared" si="2"/>
        <v>0.301265909</v>
      </c>
      <c r="G2" s="11">
        <f t="shared" si="2"/>
        <v>0.5605579056</v>
      </c>
      <c r="H2" s="11">
        <f t="shared" si="2"/>
        <v>0.06526161987</v>
      </c>
      <c r="J2" s="11">
        <f>STDEV(AC21:AC171)</f>
        <v>0.07715939696</v>
      </c>
      <c r="L2" s="11">
        <f>STDEV(UpdateHashtag!$L$2:$L$151)</f>
        <v>1.00813714</v>
      </c>
      <c r="O2" s="30" t="s">
        <v>85</v>
      </c>
      <c r="P2" s="30"/>
      <c r="Q2" s="30" t="s">
        <v>88</v>
      </c>
      <c r="R2" s="30" t="s">
        <v>90</v>
      </c>
      <c r="S2" s="30" t="s">
        <v>92</v>
      </c>
      <c r="T2" s="30"/>
      <c r="U2" s="30" t="s">
        <v>97</v>
      </c>
    </row>
    <row r="3">
      <c r="A3" t="str">
        <f>UpdateHashtag!B1</f>
        <v>ADP</v>
      </c>
      <c r="B3" s="32" t="s">
        <v>108</v>
      </c>
      <c r="C3" s="32" t="s">
        <v>110</v>
      </c>
      <c r="D3" s="32" t="s">
        <v>112</v>
      </c>
      <c r="E3" s="32" t="s">
        <v>113</v>
      </c>
      <c r="F3" s="32" t="s">
        <v>114</v>
      </c>
      <c r="G3" s="32" t="s">
        <v>115</v>
      </c>
      <c r="H3" s="32" t="s">
        <v>117</v>
      </c>
      <c r="I3" s="32" t="s">
        <v>118</v>
      </c>
      <c r="J3" s="32" t="s">
        <v>119</v>
      </c>
      <c r="K3" s="32" t="s">
        <v>120</v>
      </c>
      <c r="L3" s="32" t="s">
        <v>121</v>
      </c>
      <c r="N3" s="36"/>
      <c r="O3" s="37" t="s">
        <v>85</v>
      </c>
      <c r="P3" s="37"/>
      <c r="Q3" s="37"/>
      <c r="R3" s="37" t="s">
        <v>90</v>
      </c>
      <c r="S3" s="37" t="s">
        <v>92</v>
      </c>
      <c r="T3" s="37"/>
      <c r="U3" s="37" t="s">
        <v>97</v>
      </c>
    </row>
    <row r="4">
      <c r="A4" s="40" t="str">
        <f t="shared" ref="A4:A1002" si="3">P21</f>
        <v>Victor Wembanyama</v>
      </c>
      <c r="B4" s="42">
        <f t="shared" ref="B4:B1002" si="4">(V21-$B$1)/$B$2</f>
        <v>1.198258652</v>
      </c>
      <c r="C4" s="43">
        <f t="shared" ref="C4:C1002" si="5">(W21-$C$1)/$C$2</f>
        <v>0.2497993996</v>
      </c>
      <c r="D4" s="42">
        <f t="shared" ref="D4:D1002" si="6">(X21-$D$1)/$D$2</f>
        <v>2.169659945</v>
      </c>
      <c r="E4" s="42">
        <f t="shared" ref="E4:E1002" si="7">(Y21-$E$1)/$E$2</f>
        <v>0.2115152388</v>
      </c>
      <c r="F4" s="42">
        <f t="shared" ref="F4:F1002" si="8">(Z21-$F$1)/$F$2</f>
        <v>1.40686698</v>
      </c>
      <c r="G4" s="42">
        <f t="shared" ref="G4:G1002" si="9">(AA21-$G$1)/$G$2</f>
        <v>5.628262229</v>
      </c>
      <c r="H4" s="42">
        <f t="shared" ref="H4:H1002" si="10">(AB21-$H$1)/$H$2*AP21/$I$1</f>
        <v>-0.5205826259</v>
      </c>
      <c r="I4" s="42">
        <f>UpdateHashtag!S2</f>
        <v>18.6</v>
      </c>
      <c r="J4" s="47">
        <f t="shared" ref="J4:J1002" si="11">(AC21-$J$1)/$J$2*AQ21/$K$1</f>
        <v>0.1405309879</v>
      </c>
      <c r="K4" s="48">
        <f>UpdateHashtag!T2</f>
        <v>5.6</v>
      </c>
      <c r="L4" s="42">
        <f t="shared" ref="L4:L1002" si="12">(AD21-$L$1)/$L$2</f>
        <v>1.638004661</v>
      </c>
    </row>
    <row r="5">
      <c r="A5" s="40" t="str">
        <f t="shared" si="3"/>
        <v>Nikola Jokic</v>
      </c>
      <c r="B5" s="42">
        <f t="shared" si="4"/>
        <v>1.667943503</v>
      </c>
      <c r="C5" s="43">
        <f t="shared" si="5"/>
        <v>-0.6459192917</v>
      </c>
      <c r="D5" s="42">
        <f t="shared" si="6"/>
        <v>2.3657918</v>
      </c>
      <c r="E5" s="42">
        <f t="shared" si="7"/>
        <v>2.307356678</v>
      </c>
      <c r="F5" s="42">
        <f t="shared" si="8"/>
        <v>1.40686698</v>
      </c>
      <c r="G5" s="42">
        <f t="shared" si="9"/>
        <v>0.2764511674</v>
      </c>
      <c r="H5" s="42">
        <f t="shared" si="10"/>
        <v>1.838309047</v>
      </c>
      <c r="I5" s="42">
        <f>UpdateHashtag!S3</f>
        <v>17.8</v>
      </c>
      <c r="J5" s="47">
        <f t="shared" si="11"/>
        <v>0.4947338081</v>
      </c>
      <c r="K5" s="48">
        <f>UpdateHashtag!T3</f>
        <v>5.8</v>
      </c>
      <c r="L5" s="42">
        <f t="shared" si="12"/>
        <v>1.241233245</v>
      </c>
    </row>
    <row r="6">
      <c r="A6" s="40" t="str">
        <f t="shared" si="3"/>
        <v>Shai Gilgeous-Alexander</v>
      </c>
      <c r="B6" s="42">
        <f t="shared" si="4"/>
        <v>2.246017166</v>
      </c>
      <c r="C6" s="43">
        <f t="shared" si="5"/>
        <v>-0.3473463946</v>
      </c>
      <c r="D6" s="42">
        <f t="shared" si="6"/>
        <v>-0.3800541785</v>
      </c>
      <c r="E6" s="42">
        <f t="shared" si="7"/>
        <v>1.168312418</v>
      </c>
      <c r="F6" s="42">
        <f t="shared" si="8"/>
        <v>3.066530371</v>
      </c>
      <c r="G6" s="42">
        <f t="shared" si="9"/>
        <v>0.2764511674</v>
      </c>
      <c r="H6" s="42">
        <f t="shared" si="10"/>
        <v>0.6197828013</v>
      </c>
      <c r="I6" s="42">
        <f>UpdateHashtag!S4</f>
        <v>19.5</v>
      </c>
      <c r="J6" s="47">
        <f t="shared" si="11"/>
        <v>2.772194196</v>
      </c>
      <c r="K6" s="48">
        <f>UpdateHashtag!T4</f>
        <v>9.2</v>
      </c>
      <c r="L6" s="42">
        <f t="shared" si="12"/>
        <v>0.6460761218</v>
      </c>
    </row>
    <row r="7">
      <c r="A7" s="40" t="str">
        <f t="shared" si="3"/>
        <v>Luka Doncic</v>
      </c>
      <c r="B7" s="42">
        <f t="shared" si="4"/>
        <v>3.058933254</v>
      </c>
      <c r="C7" s="43">
        <f t="shared" si="5"/>
        <v>2.339809679</v>
      </c>
      <c r="D7" s="42">
        <f t="shared" si="6"/>
        <v>1.267453409</v>
      </c>
      <c r="E7" s="42">
        <f t="shared" si="7"/>
        <v>2.717412612</v>
      </c>
      <c r="F7" s="42">
        <f t="shared" si="8"/>
        <v>1.40686698</v>
      </c>
      <c r="G7" s="42">
        <f t="shared" si="9"/>
        <v>-0.4371236408</v>
      </c>
      <c r="H7" s="42">
        <f t="shared" si="10"/>
        <v>-0.1585228256</v>
      </c>
      <c r="I7" s="42">
        <f>UpdateHashtag!S5</f>
        <v>23</v>
      </c>
      <c r="J7" s="47">
        <f t="shared" si="11"/>
        <v>-0.1000978399</v>
      </c>
      <c r="K7" s="48">
        <f>UpdateHashtag!T5</f>
        <v>9.7</v>
      </c>
      <c r="L7" s="42">
        <f t="shared" si="12"/>
        <v>2.034776076</v>
      </c>
    </row>
    <row r="8">
      <c r="A8" s="40" t="str">
        <f t="shared" si="3"/>
        <v>Anthony Davis</v>
      </c>
      <c r="B8" s="42">
        <f t="shared" si="4"/>
        <v>1.396971474</v>
      </c>
      <c r="C8" s="43">
        <f t="shared" si="5"/>
        <v>-1.342589385</v>
      </c>
      <c r="D8" s="42">
        <f t="shared" si="6"/>
        <v>2.601150027</v>
      </c>
      <c r="E8" s="42">
        <f t="shared" si="7"/>
        <v>-0.1529789245</v>
      </c>
      <c r="F8" s="42">
        <f t="shared" si="8"/>
        <v>0.743001624</v>
      </c>
      <c r="G8" s="42">
        <f t="shared" si="9"/>
        <v>2.773962996</v>
      </c>
      <c r="H8" s="42">
        <f t="shared" si="10"/>
        <v>1.237664012</v>
      </c>
      <c r="I8" s="42">
        <f>UpdateHashtag!S6</f>
        <v>17</v>
      </c>
      <c r="J8" s="47">
        <f t="shared" si="11"/>
        <v>0.1831921807</v>
      </c>
      <c r="K8" s="48">
        <f>UpdateHashtag!T6</f>
        <v>7.3</v>
      </c>
      <c r="L8" s="42">
        <f t="shared" si="12"/>
        <v>0.34849756</v>
      </c>
      <c r="U8" s="2">
        <v>2.0</v>
      </c>
    </row>
    <row r="9">
      <c r="A9" s="40" t="str">
        <f t="shared" si="3"/>
        <v>Joel Embiid</v>
      </c>
      <c r="B9" s="42">
        <f t="shared" si="4"/>
        <v>1.920850731</v>
      </c>
      <c r="C9" s="43">
        <f t="shared" si="5"/>
        <v>-0.4468706937</v>
      </c>
      <c r="D9" s="42">
        <f t="shared" si="6"/>
        <v>1.542038007</v>
      </c>
      <c r="E9" s="42">
        <f t="shared" si="7"/>
        <v>-0.01629361326</v>
      </c>
      <c r="F9" s="42">
        <f t="shared" si="8"/>
        <v>-0.2527964105</v>
      </c>
      <c r="G9" s="42">
        <f t="shared" si="9"/>
        <v>1.168419678</v>
      </c>
      <c r="H9" s="42">
        <f t="shared" si="10"/>
        <v>0.4356304113</v>
      </c>
      <c r="I9" s="42">
        <f>UpdateHashtag!S7</f>
        <v>17.6</v>
      </c>
      <c r="J9" s="47">
        <f t="shared" si="11"/>
        <v>2.667581634</v>
      </c>
      <c r="K9" s="48">
        <f>UpdateHashtag!T7</f>
        <v>9.9</v>
      </c>
      <c r="L9" s="42">
        <f t="shared" si="12"/>
        <v>1.538811807</v>
      </c>
      <c r="U9" s="66">
        <v>1.75</v>
      </c>
    </row>
    <row r="10">
      <c r="A10" s="40" t="str">
        <f t="shared" si="3"/>
        <v>Giannis Antetokounmpo</v>
      </c>
      <c r="B10" s="42">
        <f t="shared" si="4"/>
        <v>2.46279479</v>
      </c>
      <c r="C10" s="43">
        <f t="shared" si="5"/>
        <v>-1.143540787</v>
      </c>
      <c r="D10" s="42">
        <f t="shared" si="6"/>
        <v>2.248112687</v>
      </c>
      <c r="E10" s="42">
        <f t="shared" si="7"/>
        <v>1.259435959</v>
      </c>
      <c r="F10" s="42">
        <f t="shared" si="8"/>
        <v>0.743001624</v>
      </c>
      <c r="G10" s="42">
        <f t="shared" si="9"/>
        <v>0.6332385715</v>
      </c>
      <c r="H10" s="42">
        <f t="shared" si="10"/>
        <v>2.635465261</v>
      </c>
      <c r="I10" s="42">
        <f>UpdateHashtag!S8</f>
        <v>19.2</v>
      </c>
      <c r="J10" s="47">
        <f t="shared" si="11"/>
        <v>-4.607725436</v>
      </c>
      <c r="K10" s="48">
        <f>UpdateHashtag!T8</f>
        <v>10.5</v>
      </c>
      <c r="L10" s="42">
        <f t="shared" si="12"/>
        <v>1.638004661</v>
      </c>
      <c r="U10" s="67">
        <v>1.5</v>
      </c>
    </row>
    <row r="11">
      <c r="A11" s="40" t="str">
        <f t="shared" si="3"/>
        <v>Tyrese Haliburton</v>
      </c>
      <c r="B11" s="42">
        <f t="shared" si="4"/>
        <v>0.6563145932</v>
      </c>
      <c r="C11" s="43">
        <f t="shared" si="5"/>
        <v>1.24504239</v>
      </c>
      <c r="D11" s="42">
        <f t="shared" si="6"/>
        <v>-0.850770632</v>
      </c>
      <c r="E11" s="42">
        <f t="shared" si="7"/>
        <v>3.264153857</v>
      </c>
      <c r="F11" s="42">
        <f t="shared" si="8"/>
        <v>1.40686698</v>
      </c>
      <c r="G11" s="42">
        <f t="shared" si="9"/>
        <v>-0.08033623669</v>
      </c>
      <c r="H11" s="42">
        <f t="shared" si="10"/>
        <v>-0.2537855436</v>
      </c>
      <c r="I11" s="42">
        <f>UpdateHashtag!S9</f>
        <v>15.6</v>
      </c>
      <c r="J11" s="47">
        <f t="shared" si="11"/>
        <v>0.8315297359</v>
      </c>
      <c r="K11" s="48">
        <f>UpdateHashtag!T9</f>
        <v>3.5</v>
      </c>
      <c r="L11" s="42">
        <f t="shared" si="12"/>
        <v>0.7452689757</v>
      </c>
      <c r="M11" s="2" t="s">
        <v>2</v>
      </c>
      <c r="U11" s="68">
        <v>1.25</v>
      </c>
      <c r="Y11" s="32"/>
      <c r="Z11" s="69"/>
    </row>
    <row r="12">
      <c r="A12" s="40" t="str">
        <f t="shared" si="3"/>
        <v>Trae Young</v>
      </c>
      <c r="B12" s="42">
        <f t="shared" si="4"/>
        <v>1.920850731</v>
      </c>
      <c r="C12" s="43">
        <f t="shared" si="5"/>
        <v>1.643139586</v>
      </c>
      <c r="D12" s="42">
        <f t="shared" si="6"/>
        <v>-1.243034343</v>
      </c>
      <c r="E12" s="42">
        <f t="shared" si="7"/>
        <v>3.127468546</v>
      </c>
      <c r="F12" s="42">
        <f t="shared" si="8"/>
        <v>0.743001624</v>
      </c>
      <c r="G12" s="42">
        <f t="shared" si="9"/>
        <v>-0.9723047469</v>
      </c>
      <c r="H12" s="42">
        <f t="shared" si="10"/>
        <v>-1.482786839</v>
      </c>
      <c r="I12" s="42">
        <f>UpdateHashtag!S10</f>
        <v>19.5</v>
      </c>
      <c r="J12" s="47">
        <f t="shared" si="11"/>
        <v>2.587240688</v>
      </c>
      <c r="K12" s="48">
        <f>UpdateHashtag!T10</f>
        <v>8.9</v>
      </c>
      <c r="L12" s="42">
        <f t="shared" si="12"/>
        <v>2.431547492</v>
      </c>
      <c r="M12" t="str">
        <f t="array" ref="M12:M30">transpose(Projections!M19:AE19)</f>
        <v>LeagV</v>
      </c>
      <c r="U12" s="72">
        <v>1.0</v>
      </c>
      <c r="Y12" s="73"/>
      <c r="Z12" s="73"/>
    </row>
    <row r="13">
      <c r="A13" s="40" t="str">
        <f t="shared" si="3"/>
        <v>Jayson Tatum</v>
      </c>
      <c r="B13" s="42">
        <f t="shared" si="4"/>
        <v>1.884721127</v>
      </c>
      <c r="C13" s="43">
        <f t="shared" si="5"/>
        <v>1.145518091</v>
      </c>
      <c r="D13" s="42">
        <f t="shared" si="6"/>
        <v>1.149774295</v>
      </c>
      <c r="E13" s="42">
        <f t="shared" si="7"/>
        <v>0.5304476318</v>
      </c>
      <c r="F13" s="42">
        <f t="shared" si="8"/>
        <v>0.4110689458</v>
      </c>
      <c r="G13" s="42">
        <f t="shared" si="9"/>
        <v>-0.08033623669</v>
      </c>
      <c r="H13" s="42">
        <f t="shared" si="10"/>
        <v>-0.6567939692</v>
      </c>
      <c r="I13" s="42">
        <f>UpdateHashtag!S11</f>
        <v>20.1</v>
      </c>
      <c r="J13" s="47">
        <f t="shared" si="11"/>
        <v>1.062172233</v>
      </c>
      <c r="K13" s="48">
        <f>UpdateHashtag!T11</f>
        <v>7.3</v>
      </c>
      <c r="L13" s="42">
        <f t="shared" si="12"/>
        <v>0.7452689757</v>
      </c>
      <c r="M13" t="s">
        <v>77</v>
      </c>
      <c r="U13" s="68">
        <v>0.75</v>
      </c>
    </row>
    <row r="14">
      <c r="A14" s="40" t="str">
        <f t="shared" si="3"/>
        <v>James Harden</v>
      </c>
      <c r="B14" s="42">
        <f t="shared" si="4"/>
        <v>0.5298609794</v>
      </c>
      <c r="C14" s="43">
        <f t="shared" si="5"/>
        <v>1.045993792</v>
      </c>
      <c r="D14" s="42">
        <f t="shared" si="6"/>
        <v>0.01220953273</v>
      </c>
      <c r="E14" s="42">
        <f t="shared" si="7"/>
        <v>2.945221464</v>
      </c>
      <c r="F14" s="42">
        <f t="shared" si="8"/>
        <v>0.4110689458</v>
      </c>
      <c r="G14" s="42">
        <f t="shared" si="9"/>
        <v>-0.08033623669</v>
      </c>
      <c r="H14" s="42">
        <f t="shared" si="10"/>
        <v>-1.021323509</v>
      </c>
      <c r="I14" s="42">
        <f>UpdateHashtag!S12</f>
        <v>14.8</v>
      </c>
      <c r="J14" s="47">
        <f t="shared" si="11"/>
        <v>1.428099259</v>
      </c>
      <c r="K14" s="48">
        <f>UpdateHashtag!T12</f>
        <v>5.3</v>
      </c>
      <c r="L14" s="42">
        <f t="shared" si="12"/>
        <v>1.142040391</v>
      </c>
      <c r="M14" t="s">
        <v>80</v>
      </c>
      <c r="U14" s="68">
        <v>0.5</v>
      </c>
    </row>
    <row r="15">
      <c r="A15" s="40" t="str">
        <f t="shared" si="3"/>
        <v>Stephen Curry</v>
      </c>
      <c r="B15" s="42">
        <f t="shared" si="4"/>
        <v>1.613749097</v>
      </c>
      <c r="C15" s="43">
        <f t="shared" si="5"/>
        <v>3.036479772</v>
      </c>
      <c r="D15" s="42">
        <f t="shared" si="6"/>
        <v>-0.6154124053</v>
      </c>
      <c r="E15" s="42">
        <f t="shared" si="7"/>
        <v>0.6215711726</v>
      </c>
      <c r="F15" s="42">
        <f t="shared" si="8"/>
        <v>-0.5847290887</v>
      </c>
      <c r="G15" s="42">
        <f t="shared" si="9"/>
        <v>-0.6155173428</v>
      </c>
      <c r="H15" s="42">
        <f t="shared" si="10"/>
        <v>-0.6110471256</v>
      </c>
      <c r="I15" s="42">
        <f>UpdateHashtag!S13</f>
        <v>18.7</v>
      </c>
      <c r="J15" s="47">
        <f t="shared" si="11"/>
        <v>1.917957167</v>
      </c>
      <c r="K15" s="48">
        <f>UpdateHashtag!T13</f>
        <v>4.4</v>
      </c>
      <c r="L15" s="42">
        <f t="shared" si="12"/>
        <v>1.042847537</v>
      </c>
      <c r="M15" t="s">
        <v>13</v>
      </c>
      <c r="U15" s="68">
        <v>0.25</v>
      </c>
      <c r="V15">
        <f>COLUMN(K1)</f>
        <v>11</v>
      </c>
    </row>
    <row r="16">
      <c r="A16" s="40" t="str">
        <f t="shared" si="3"/>
        <v>Donovan Mitchell</v>
      </c>
      <c r="B16" s="42">
        <f t="shared" si="4"/>
        <v>1.577619493</v>
      </c>
      <c r="C16" s="43">
        <f t="shared" si="5"/>
        <v>1.543615287</v>
      </c>
      <c r="D16" s="42">
        <f t="shared" si="6"/>
        <v>-0.6546387764</v>
      </c>
      <c r="E16" s="42">
        <f t="shared" si="7"/>
        <v>0.6671329431</v>
      </c>
      <c r="F16" s="42">
        <f t="shared" si="8"/>
        <v>2.070732337</v>
      </c>
      <c r="G16" s="42">
        <f t="shared" si="9"/>
        <v>-0.6155173428</v>
      </c>
      <c r="H16" s="42">
        <f t="shared" si="10"/>
        <v>-0.6600421969</v>
      </c>
      <c r="I16" s="42">
        <f>UpdateHashtag!S14</f>
        <v>19.5</v>
      </c>
      <c r="J16" s="47">
        <f t="shared" si="11"/>
        <v>1.35942623</v>
      </c>
      <c r="K16" s="48">
        <f>UpdateHashtag!T14</f>
        <v>5.4</v>
      </c>
      <c r="L16" s="42">
        <f t="shared" si="12"/>
        <v>1.042847537</v>
      </c>
      <c r="M16" t="s">
        <v>99</v>
      </c>
      <c r="U16" s="68">
        <v>0.0</v>
      </c>
    </row>
    <row r="17">
      <c r="A17" s="40" t="str">
        <f t="shared" si="3"/>
        <v>Kyrie Irving</v>
      </c>
      <c r="B17" s="42">
        <f t="shared" si="4"/>
        <v>1.288582662</v>
      </c>
      <c r="C17" s="43">
        <f t="shared" si="5"/>
        <v>1.24504239</v>
      </c>
      <c r="D17" s="42">
        <f t="shared" si="6"/>
        <v>-0.4585069208</v>
      </c>
      <c r="E17" s="42">
        <f t="shared" si="7"/>
        <v>0.5760094022</v>
      </c>
      <c r="F17" s="42">
        <f t="shared" si="8"/>
        <v>0.743001624</v>
      </c>
      <c r="G17" s="42">
        <f t="shared" si="9"/>
        <v>-0.2587299387</v>
      </c>
      <c r="H17" s="42">
        <f t="shared" si="10"/>
        <v>-0.04099985184</v>
      </c>
      <c r="I17" s="42">
        <f>UpdateHashtag!S15</f>
        <v>18.6</v>
      </c>
      <c r="J17" s="47">
        <f t="shared" si="11"/>
        <v>1.428997513</v>
      </c>
      <c r="K17" s="48">
        <f>UpdateHashtag!T15</f>
        <v>3.6</v>
      </c>
      <c r="L17" s="42">
        <f t="shared" si="12"/>
        <v>0.05091899834</v>
      </c>
      <c r="M17" t="s">
        <v>101</v>
      </c>
    </row>
    <row r="18">
      <c r="A18" s="40" t="str">
        <f t="shared" si="3"/>
        <v>Kevin Durant</v>
      </c>
      <c r="B18" s="42">
        <f t="shared" si="4"/>
        <v>1.487295483</v>
      </c>
      <c r="C18" s="43">
        <f t="shared" si="5"/>
        <v>0.3493236986</v>
      </c>
      <c r="D18" s="42">
        <f t="shared" si="6"/>
        <v>0.1298886461</v>
      </c>
      <c r="E18" s="42">
        <f t="shared" si="7"/>
        <v>0.3937623205</v>
      </c>
      <c r="F18" s="42">
        <f t="shared" si="8"/>
        <v>-0.5847290887</v>
      </c>
      <c r="G18" s="42">
        <f t="shared" si="9"/>
        <v>0.8116322736</v>
      </c>
      <c r="H18" s="42">
        <f t="shared" si="10"/>
        <v>0.4958518543</v>
      </c>
      <c r="I18" s="42">
        <f>UpdateHashtag!S16</f>
        <v>18.3</v>
      </c>
      <c r="J18" s="47">
        <f t="shared" si="11"/>
        <v>0.9950447639</v>
      </c>
      <c r="K18" s="48">
        <f>UpdateHashtag!T16</f>
        <v>5.5</v>
      </c>
      <c r="L18" s="42">
        <f t="shared" si="12"/>
        <v>1.439618953</v>
      </c>
      <c r="M18" t="s">
        <v>15</v>
      </c>
      <c r="Q18" s="30"/>
      <c r="R18" s="85"/>
      <c r="S18" s="30"/>
      <c r="T18" s="30"/>
      <c r="U18" s="30" t="s">
        <v>13</v>
      </c>
      <c r="V18" s="85">
        <v>3.0</v>
      </c>
      <c r="W18" s="30" t="s">
        <v>101</v>
      </c>
      <c r="X18" s="30" t="s">
        <v>15</v>
      </c>
      <c r="Y18" s="30" t="s">
        <v>16</v>
      </c>
      <c r="Z18" s="30" t="s">
        <v>226</v>
      </c>
      <c r="AA18" s="30" t="s">
        <v>9</v>
      </c>
      <c r="AB18" s="30" t="s">
        <v>11</v>
      </c>
      <c r="AC18" s="30" t="s">
        <v>18</v>
      </c>
    </row>
    <row r="19">
      <c r="A19" s="40" t="str">
        <f t="shared" si="3"/>
        <v>LeBron James</v>
      </c>
      <c r="B19" s="42">
        <f t="shared" si="4"/>
        <v>1.396971474</v>
      </c>
      <c r="C19" s="43">
        <f t="shared" si="5"/>
        <v>0.3493236986</v>
      </c>
      <c r="D19" s="42">
        <f t="shared" si="6"/>
        <v>0.4436996151</v>
      </c>
      <c r="E19" s="42">
        <f t="shared" si="7"/>
        <v>1.942862515</v>
      </c>
      <c r="F19" s="42">
        <f t="shared" si="8"/>
        <v>0.4110689458</v>
      </c>
      <c r="G19" s="42">
        <f t="shared" si="9"/>
        <v>-0.4371236408</v>
      </c>
      <c r="H19" s="42">
        <f t="shared" si="10"/>
        <v>0.7862930848</v>
      </c>
      <c r="I19" s="42">
        <f>UpdateHashtag!S17</f>
        <v>17.6</v>
      </c>
      <c r="J19" s="47">
        <f t="shared" si="11"/>
        <v>-0.732074511</v>
      </c>
      <c r="K19" s="48">
        <f>UpdateHashtag!T17</f>
        <v>5.6</v>
      </c>
      <c r="L19" s="42">
        <f t="shared" si="12"/>
        <v>1.538811807</v>
      </c>
      <c r="M19" t="s">
        <v>16</v>
      </c>
      <c r="U19" s="2">
        <f>Projections!K17</f>
        <v>1</v>
      </c>
      <c r="V19" s="2">
        <f>Projections!L17</f>
        <v>1</v>
      </c>
      <c r="W19" s="2">
        <f>Projections!M17</f>
        <v>1</v>
      </c>
      <c r="X19" s="2">
        <f>Projections!N17</f>
        <v>1</v>
      </c>
      <c r="Y19" s="2">
        <f>Projections!O17</f>
        <v>1</v>
      </c>
      <c r="Z19" s="2">
        <f>Projections!P17</f>
        <v>1</v>
      </c>
      <c r="AA19" s="2">
        <f>Projections!Q17</f>
        <v>1</v>
      </c>
      <c r="AB19" s="2">
        <f>Projections!R17</f>
        <v>1</v>
      </c>
      <c r="AC19" s="2">
        <f>Projections!S17</f>
        <v>0.25</v>
      </c>
    </row>
    <row r="20">
      <c r="A20" s="40" t="str">
        <f t="shared" si="3"/>
        <v>Scottie Barnes</v>
      </c>
      <c r="B20" s="42">
        <f t="shared" si="4"/>
        <v>0.2950185539</v>
      </c>
      <c r="C20" s="43">
        <f t="shared" si="5"/>
        <v>-0.04877349754</v>
      </c>
      <c r="D20" s="42">
        <f t="shared" si="6"/>
        <v>0.8751896975</v>
      </c>
      <c r="E20" s="42">
        <f t="shared" si="7"/>
        <v>0.9405035656</v>
      </c>
      <c r="F20" s="42">
        <f t="shared" si="8"/>
        <v>1.074934302</v>
      </c>
      <c r="G20" s="42">
        <f t="shared" si="9"/>
        <v>1.34681338</v>
      </c>
      <c r="H20" s="42">
        <f t="shared" si="10"/>
        <v>-0.3038664622</v>
      </c>
      <c r="I20" s="42">
        <f>UpdateHashtag!S18</f>
        <v>14.5</v>
      </c>
      <c r="J20" s="47">
        <f t="shared" si="11"/>
        <v>-0.06098744677</v>
      </c>
      <c r="K20" s="48">
        <f>UpdateHashtag!T18</f>
        <v>4.4</v>
      </c>
      <c r="L20" s="42">
        <f t="shared" si="12"/>
        <v>0.6460761218</v>
      </c>
      <c r="M20" t="s">
        <v>17</v>
      </c>
      <c r="N20" s="94"/>
      <c r="O20" s="95" t="s">
        <v>2</v>
      </c>
      <c r="P20" s="96" t="s">
        <v>227</v>
      </c>
      <c r="Q20" s="69" t="s">
        <v>6</v>
      </c>
      <c r="R20" s="96" t="s">
        <v>228</v>
      </c>
      <c r="S20" s="32" t="s">
        <v>79</v>
      </c>
      <c r="T20" s="96" t="s">
        <v>77</v>
      </c>
      <c r="U20" s="96" t="s">
        <v>80</v>
      </c>
      <c r="V20" s="97" t="s">
        <v>13</v>
      </c>
      <c r="W20" s="97" t="s">
        <v>99</v>
      </c>
      <c r="X20" s="97" t="s">
        <v>101</v>
      </c>
      <c r="Y20" s="97" t="s">
        <v>15</v>
      </c>
      <c r="Z20" s="97" t="s">
        <v>16</v>
      </c>
      <c r="AA20" s="97" t="s">
        <v>17</v>
      </c>
      <c r="AB20" s="97" t="s">
        <v>9</v>
      </c>
      <c r="AC20" s="97" t="s">
        <v>11</v>
      </c>
      <c r="AD20" s="69" t="s">
        <v>18</v>
      </c>
      <c r="AE20" s="32" t="s">
        <v>108</v>
      </c>
      <c r="AF20" s="32" t="s">
        <v>110</v>
      </c>
      <c r="AG20" s="32" t="s">
        <v>112</v>
      </c>
      <c r="AH20" s="32" t="s">
        <v>113</v>
      </c>
      <c r="AI20" s="32" t="s">
        <v>114</v>
      </c>
      <c r="AJ20" s="32" t="s">
        <v>115</v>
      </c>
      <c r="AK20" s="32" t="s">
        <v>117</v>
      </c>
      <c r="AL20" s="32" t="s">
        <v>119</v>
      </c>
      <c r="AM20" s="97" t="s">
        <v>121</v>
      </c>
      <c r="AN20" s="97" t="s">
        <v>229</v>
      </c>
      <c r="AO20" s="97" t="s">
        <v>230</v>
      </c>
      <c r="AP20" s="36" t="s">
        <v>19</v>
      </c>
      <c r="AQ20" s="36" t="s">
        <v>20</v>
      </c>
      <c r="AR20" s="69" t="s">
        <v>231</v>
      </c>
    </row>
    <row r="21">
      <c r="A21" s="40" t="str">
        <f t="shared" si="3"/>
        <v>Damian Lillard</v>
      </c>
      <c r="B21" s="42">
        <f t="shared" si="4"/>
        <v>1.342777068</v>
      </c>
      <c r="C21" s="43">
        <f t="shared" si="5"/>
        <v>1.344566689</v>
      </c>
      <c r="D21" s="42">
        <f t="shared" si="6"/>
        <v>-0.6154124053</v>
      </c>
      <c r="E21" s="42">
        <f t="shared" si="7"/>
        <v>1.44168304</v>
      </c>
      <c r="F21" s="42">
        <f t="shared" si="8"/>
        <v>-0.2527964105</v>
      </c>
      <c r="G21" s="42">
        <f t="shared" si="9"/>
        <v>-0.7939110449</v>
      </c>
      <c r="H21" s="42">
        <f t="shared" si="10"/>
        <v>-1.353518242</v>
      </c>
      <c r="I21" s="42">
        <f>UpdateHashtag!S19</f>
        <v>17.8</v>
      </c>
      <c r="J21" s="47">
        <f t="shared" si="11"/>
        <v>3.051295493</v>
      </c>
      <c r="K21" s="48">
        <f>UpdateHashtag!T19</f>
        <v>7</v>
      </c>
      <c r="L21" s="42">
        <f t="shared" si="12"/>
        <v>1.142040391</v>
      </c>
      <c r="M21" t="s">
        <v>9</v>
      </c>
      <c r="N21" s="100">
        <f t="shared" ref="N21:N1002" si="13">MATCH(S21,$AR$21:$AR1002,0)</f>
        <v>1</v>
      </c>
      <c r="O21" s="94">
        <f t="array" ref="O21">INDIRECT("Update"&amp;Projections!$AH$17&amp;"!B"&amp;ROW(B2))</f>
        <v>2</v>
      </c>
      <c r="P21" s="101" t="str">
        <f t="array" ref="P21">INDIRECT("Update"&amp;Projections!$AH$17&amp;"!C"&amp;ROW(B2))</f>
        <v>Victor Wembanyama</v>
      </c>
      <c r="Q21" s="94">
        <f>UpdateBBM!F2</f>
        <v>71</v>
      </c>
      <c r="R21" s="105" t="str">
        <f t="array" ref="R21">INDIRECT("Update"&amp;Projections!$AH$17&amp;"!D"&amp;ROW(B2))</f>
        <v>C</v>
      </c>
      <c r="S21" s="73">
        <f t="shared" ref="S21:S1002" si="14">(V21-$B$1)/$B$2+(W21-$C$1)/$C$2+(X21-$D$1)/$D$2+(Y21-$E$1)/$E$2+(Z21-$F$1)/$F$2+(AA21-$G$1)/$G$2+(AB21-$H$1)/$H$2*AP21/$I$1+(AC21-$J$1)/$J$2*AQ21/$K$1-(AD21-$L$1)/$L$2*0.25-AN21</f>
        <v>10.59539227</v>
      </c>
      <c r="T21" s="73">
        <f>SUM(AE21:AM21)-IFERROR(IFS(Projections!$I$17,AN21,Projections!$J$17,AO21),"")</f>
        <v>10.59539227</v>
      </c>
      <c r="U21" s="73">
        <f t="shared" ref="U21:U1002" si="15">T21-S21</f>
        <v>0</v>
      </c>
      <c r="V21" s="73">
        <f t="array" ref="V21">INDIRECT("Update"&amp;Projections!$AH$17&amp;"!M"&amp;ROW(B2))</f>
        <v>24.1</v>
      </c>
      <c r="W21" s="73">
        <f t="array" ref="W21">INDIRECT("Update"&amp;Projections!$AH$17&amp;"!L"&amp;ROW(B2))</f>
        <v>2</v>
      </c>
      <c r="X21" s="73">
        <f t="array" ref="X21">INDIRECT("Update"&amp;Projections!$AH$17&amp;"!N"&amp;ROW(B2))</f>
        <v>11.6</v>
      </c>
      <c r="Y21" s="73">
        <f t="array" ref="Y21">INDIRECT("Update"&amp;Projections!$AH$17&amp;"!O"&amp;ROW(B2))</f>
        <v>4.4</v>
      </c>
      <c r="Z21" s="73">
        <f t="array" ref="Z21">INDIRECT("Update"&amp;Projections!$AH$17&amp;"!P"&amp;ROW(B2))</f>
        <v>1.4</v>
      </c>
      <c r="AA21" s="73">
        <f t="array" ref="AA21">INDIRECT("Update"&amp;Projections!$AH$17&amp;"!Q"&amp;ROW(B2))</f>
        <v>3.9</v>
      </c>
      <c r="AB21" s="107">
        <f t="array" ref="AB21">INDIRECT("Update"&amp;Projections!$AH$17&amp;"!I"&amp;ROW(B2))</f>
        <v>0.473</v>
      </c>
      <c r="AC21" s="107">
        <f t="array" ref="AC21">INDIRECT("Update"&amp;Projections!$AH$17&amp;"!K"&amp;ROW(B2))</f>
        <v>0.802</v>
      </c>
      <c r="AD21" s="73">
        <f t="array" ref="AD21">INDIRECT("Update"&amp;Projections!$AH$17&amp;"!R"&amp;ROW(B2))</f>
        <v>3.4</v>
      </c>
      <c r="AE21" s="73">
        <f t="shared" ref="AE21:AE1002" si="16">U$19*(V21-$B$1)/$B$2</f>
        <v>1.198258652</v>
      </c>
      <c r="AF21" s="73">
        <f t="shared" ref="AF21:AF1002" si="17">V$19*(W21-$C$1)/$C$2</f>
        <v>0.2497993996</v>
      </c>
      <c r="AG21" s="73">
        <f t="shared" ref="AG21:AG1002" si="18">W$19*(X21-$D$1)/$D$2</f>
        <v>2.169659945</v>
      </c>
      <c r="AH21" s="73">
        <f t="shared" ref="AH21:AH1002" si="19">X$19*(Y21-$E$1)/$E$2</f>
        <v>0.2115152388</v>
      </c>
      <c r="AI21" s="73">
        <f t="shared" ref="AI21:AI1002" si="20">Y$19*(Z21-$F$1)/$F$2</f>
        <v>1.40686698</v>
      </c>
      <c r="AJ21" s="73">
        <f t="shared" ref="AJ21:AJ1002" si="21">Z$19*(AA21-$G$1)/$G$2</f>
        <v>5.628262229</v>
      </c>
      <c r="AK21" s="73">
        <f t="shared" ref="AK21:AK1002" si="22">AA$19*(AB21-$H$1)/$H$2*AP21/$I$1</f>
        <v>-0.5205826259</v>
      </c>
      <c r="AL21" s="73">
        <f t="shared" ref="AL21:AL1002" si="23">AB$19*(AC21-$J$1)/$J$2*AQ21/$K$1</f>
        <v>0.1405309879</v>
      </c>
      <c r="AM21" s="73">
        <f t="shared" ref="AM21:AM1002" si="24">-AC$19*(AD21-$L$1)/$L$2</f>
        <v>-0.4095011652</v>
      </c>
      <c r="AN21" s="120">
        <f t="shared" ref="AN21:AN1002" si="25">MIN(AE21:AM21)</f>
        <v>-0.5205826259</v>
      </c>
      <c r="AO21" s="120">
        <f t="shared" ref="AO21:AO1002" si="26">small(AE21:AM21,2)+AN21</f>
        <v>-0.9300837911</v>
      </c>
      <c r="AP21" s="120">
        <f t="array" ref="AP21">INDIRECT("Update"&amp;Projections!$AH$17&amp;"!S"&amp;ROW(B2))</f>
        <v>18.6</v>
      </c>
      <c r="AQ21" s="120">
        <f t="array" ref="AQ21">INDIRECT("Update"&amp;Projections!$AH$17&amp;"!T"&amp;ROW(B2))</f>
        <v>5.6</v>
      </c>
      <c r="AR21" s="100">
        <f t="shared" ref="AR21:AR1002" si="27">LARGE($S$21:$S1002,ROW(AX21)-20)</f>
        <v>10.59539227</v>
      </c>
    </row>
    <row r="22">
      <c r="A22" s="40" t="str">
        <f t="shared" si="3"/>
        <v>Devin Booker</v>
      </c>
      <c r="B22" s="42">
        <f t="shared" si="4"/>
        <v>1.866656325</v>
      </c>
      <c r="C22" s="43">
        <f t="shared" si="5"/>
        <v>0.4488479976</v>
      </c>
      <c r="D22" s="42">
        <f t="shared" si="6"/>
        <v>-0.6154124053</v>
      </c>
      <c r="E22" s="42">
        <f t="shared" si="7"/>
        <v>0.7126947135</v>
      </c>
      <c r="F22" s="42">
        <f t="shared" si="8"/>
        <v>0.07913626764</v>
      </c>
      <c r="G22" s="42">
        <f t="shared" si="9"/>
        <v>-0.6155173428</v>
      </c>
      <c r="H22" s="42">
        <f t="shared" si="10"/>
        <v>-0.1620923834</v>
      </c>
      <c r="I22" s="42">
        <f>UpdateHashtag!S20</f>
        <v>20.1</v>
      </c>
      <c r="J22" s="47">
        <f t="shared" si="11"/>
        <v>1.880441585</v>
      </c>
      <c r="K22" s="48">
        <f>UpdateHashtag!T20</f>
        <v>6.8</v>
      </c>
      <c r="L22" s="42">
        <f t="shared" si="12"/>
        <v>0.9436546835</v>
      </c>
      <c r="M22" t="s">
        <v>11</v>
      </c>
      <c r="N22" s="100">
        <f t="shared" si="13"/>
        <v>3</v>
      </c>
      <c r="O22" s="94">
        <f t="array" ref="O22">INDIRECT("Update"&amp;Projections!$AH$17&amp;"!B"&amp;ROW(B3))</f>
        <v>2.4</v>
      </c>
      <c r="P22" s="101" t="str">
        <f t="array" ref="P22">INDIRECT("Update"&amp;Projections!$AH$17&amp;"!C"&amp;ROW(B3))</f>
        <v>Nikola Jokic</v>
      </c>
      <c r="Q22" s="94">
        <f>UpdateBBM!F3</f>
        <v>71</v>
      </c>
      <c r="R22" s="105" t="str">
        <f t="array" ref="R22">INDIRECT("Update"&amp;Projections!$AH$17&amp;"!D"&amp;ROW(B3))</f>
        <v>C</v>
      </c>
      <c r="S22" s="73">
        <f t="shared" si="14"/>
        <v>10.04714467</v>
      </c>
      <c r="T22" s="73">
        <f>SUM(AE22:AM22)-IFERROR(IFS(Projections!$I$17,AN22,Projections!$J$17,AO22),"")</f>
        <v>10.04714467</v>
      </c>
      <c r="U22" s="73">
        <f t="shared" si="15"/>
        <v>0</v>
      </c>
      <c r="V22" s="73">
        <f t="array" ref="V22">INDIRECT("Update"&amp;Projections!$AH$17&amp;"!M"&amp;ROW(B3))</f>
        <v>26.7</v>
      </c>
      <c r="W22" s="73">
        <f t="array" ref="W22">INDIRECT("Update"&amp;Projections!$AH$17&amp;"!L"&amp;ROW(B3))</f>
        <v>1.1</v>
      </c>
      <c r="X22" s="73">
        <f t="array" ref="X22">INDIRECT("Update"&amp;Projections!$AH$17&amp;"!N"&amp;ROW(B3))</f>
        <v>12.1</v>
      </c>
      <c r="Y22" s="73">
        <f t="array" ref="Y22">INDIRECT("Update"&amp;Projections!$AH$17&amp;"!O"&amp;ROW(B3))</f>
        <v>9</v>
      </c>
      <c r="Z22" s="73">
        <f t="array" ref="Z22">INDIRECT("Update"&amp;Projections!$AH$17&amp;"!P"&amp;ROW(B3))</f>
        <v>1.4</v>
      </c>
      <c r="AA22" s="73">
        <f t="array" ref="AA22">INDIRECT("Update"&amp;Projections!$AH$17&amp;"!Q"&amp;ROW(B3))</f>
        <v>0.9</v>
      </c>
      <c r="AB22" s="107">
        <f t="array" ref="AB22">INDIRECT("Update"&amp;Projections!$AH$17&amp;"!I"&amp;ROW(B3))</f>
        <v>0.585</v>
      </c>
      <c r="AC22" s="107">
        <f t="array" ref="AC22">INDIRECT("Update"&amp;Projections!$AH$17&amp;"!K"&amp;ROW(B3))</f>
        <v>0.819</v>
      </c>
      <c r="AD22" s="73">
        <f t="array" ref="AD22">INDIRECT("Update"&amp;Projections!$AH$17&amp;"!R"&amp;ROW(B3))</f>
        <v>3</v>
      </c>
      <c r="AE22" s="73">
        <f t="shared" si="16"/>
        <v>1.667943503</v>
      </c>
      <c r="AF22" s="73">
        <f t="shared" si="17"/>
        <v>-0.6459192917</v>
      </c>
      <c r="AG22" s="73">
        <f t="shared" si="18"/>
        <v>2.3657918</v>
      </c>
      <c r="AH22" s="73">
        <f t="shared" si="19"/>
        <v>2.307356678</v>
      </c>
      <c r="AI22" s="73">
        <f t="shared" si="20"/>
        <v>1.40686698</v>
      </c>
      <c r="AJ22" s="73">
        <f t="shared" si="21"/>
        <v>0.2764511674</v>
      </c>
      <c r="AK22" s="73">
        <f t="shared" si="22"/>
        <v>1.838309047</v>
      </c>
      <c r="AL22" s="73">
        <f t="shared" si="23"/>
        <v>0.4947338081</v>
      </c>
      <c r="AM22" s="73">
        <f t="shared" si="24"/>
        <v>-0.3103083113</v>
      </c>
      <c r="AN22" s="120">
        <f t="shared" si="25"/>
        <v>-0.6459192917</v>
      </c>
      <c r="AO22" s="120">
        <f t="shared" si="26"/>
        <v>-0.956227603</v>
      </c>
      <c r="AP22" s="120">
        <f t="array" ref="AP22">INDIRECT("Update"&amp;Projections!$AH$17&amp;"!S"&amp;ROW(B3))</f>
        <v>17.8</v>
      </c>
      <c r="AQ22" s="120">
        <f t="array" ref="AQ22">INDIRECT("Update"&amp;Projections!$AH$17&amp;"!T"&amp;ROW(B3))</f>
        <v>5.8</v>
      </c>
      <c r="AR22" s="100">
        <f t="shared" si="27"/>
        <v>10.09473163</v>
      </c>
    </row>
    <row r="23">
      <c r="A23" s="40" t="str">
        <f t="shared" si="3"/>
        <v>LaMelo Ball</v>
      </c>
      <c r="B23" s="42">
        <f t="shared" si="4"/>
        <v>1.035675434</v>
      </c>
      <c r="C23" s="43">
        <f t="shared" si="5"/>
        <v>1.842188184</v>
      </c>
      <c r="D23" s="42">
        <f t="shared" si="6"/>
        <v>-0.1446959518</v>
      </c>
      <c r="E23" s="42">
        <f t="shared" si="7"/>
        <v>2.125109597</v>
      </c>
      <c r="F23" s="42">
        <f t="shared" si="8"/>
        <v>2.070732337</v>
      </c>
      <c r="G23" s="42">
        <f t="shared" si="9"/>
        <v>-0.7939110449</v>
      </c>
      <c r="H23" s="42">
        <f t="shared" si="10"/>
        <v>-1.572486821</v>
      </c>
      <c r="I23" s="42">
        <f>UpdateHashtag!S21</f>
        <v>19.2</v>
      </c>
      <c r="J23" s="47">
        <f t="shared" si="11"/>
        <v>0.81352948</v>
      </c>
      <c r="K23" s="48">
        <f>UpdateHashtag!T21</f>
        <v>3.7</v>
      </c>
      <c r="L23" s="42">
        <f t="shared" si="12"/>
        <v>1.737197515</v>
      </c>
      <c r="M23" t="s">
        <v>18</v>
      </c>
      <c r="N23" s="100">
        <f t="shared" si="13"/>
        <v>4</v>
      </c>
      <c r="O23" s="94">
        <f t="array" ref="O23">INDIRECT("Update"&amp;Projections!$AH$17&amp;"!B"&amp;ROW(B4))</f>
        <v>4.5</v>
      </c>
      <c r="P23" s="101" t="str">
        <f t="array" ref="P23">INDIRECT("Update"&amp;Projections!$AH$17&amp;"!C"&amp;ROW(B4))</f>
        <v>Shai Gilgeous-Alexander</v>
      </c>
      <c r="Q23" s="94">
        <f>UpdateBBM!F4</f>
        <v>71</v>
      </c>
      <c r="R23" s="105" t="str">
        <f t="array" ref="R23">INDIRECT("Update"&amp;Projections!$AH$17&amp;"!D"&amp;ROW(B4))</f>
        <v>PG</v>
      </c>
      <c r="S23" s="73">
        <f t="shared" si="14"/>
        <v>9.640422695</v>
      </c>
      <c r="T23" s="73">
        <f>SUM(AE23:AM23)-IFERROR(IFS(Projections!$I$17,AN23,Projections!$J$17,AO23),"")</f>
        <v>9.640422695</v>
      </c>
      <c r="U23" s="73">
        <f t="shared" si="15"/>
        <v>0</v>
      </c>
      <c r="V23" s="73">
        <f t="array" ref="V23">INDIRECT("Update"&amp;Projections!$AH$17&amp;"!M"&amp;ROW(B4))</f>
        <v>29.9</v>
      </c>
      <c r="W23" s="73">
        <f t="array" ref="W23">INDIRECT("Update"&amp;Projections!$AH$17&amp;"!L"&amp;ROW(B4))</f>
        <v>1.4</v>
      </c>
      <c r="X23" s="73">
        <f t="array" ref="X23">INDIRECT("Update"&amp;Projections!$AH$17&amp;"!N"&amp;ROW(B4))</f>
        <v>5.1</v>
      </c>
      <c r="Y23" s="73">
        <f t="array" ref="Y23">INDIRECT("Update"&amp;Projections!$AH$17&amp;"!O"&amp;ROW(B4))</f>
        <v>6.5</v>
      </c>
      <c r="Z23" s="73">
        <f t="array" ref="Z23">INDIRECT("Update"&amp;Projections!$AH$17&amp;"!P"&amp;ROW(B4))</f>
        <v>1.9</v>
      </c>
      <c r="AA23" s="73">
        <f t="array" ref="AA23">INDIRECT("Update"&amp;Projections!$AH$17&amp;"!Q"&amp;ROW(B4))</f>
        <v>0.9</v>
      </c>
      <c r="AB23" s="107">
        <f t="array" ref="AB23">INDIRECT("Update"&amp;Projections!$AH$17&amp;"!I"&amp;ROW(B4))</f>
        <v>0.524</v>
      </c>
      <c r="AC23" s="107">
        <f t="array" ref="AC23">INDIRECT("Update"&amp;Projections!$AH$17&amp;"!K"&amp;ROW(B4))</f>
        <v>0.88</v>
      </c>
      <c r="AD23" s="73">
        <f t="array" ref="AD23">INDIRECT("Update"&amp;Projections!$AH$17&amp;"!R"&amp;ROW(B4))</f>
        <v>2.4</v>
      </c>
      <c r="AE23" s="73">
        <f t="shared" si="16"/>
        <v>2.246017166</v>
      </c>
      <c r="AF23" s="73">
        <f t="shared" si="17"/>
        <v>-0.3473463946</v>
      </c>
      <c r="AG23" s="73">
        <f t="shared" si="18"/>
        <v>-0.3800541785</v>
      </c>
      <c r="AH23" s="73">
        <f t="shared" si="19"/>
        <v>1.168312418</v>
      </c>
      <c r="AI23" s="73">
        <f t="shared" si="20"/>
        <v>3.066530371</v>
      </c>
      <c r="AJ23" s="73">
        <f t="shared" si="21"/>
        <v>0.2764511674</v>
      </c>
      <c r="AK23" s="73">
        <f t="shared" si="22"/>
        <v>0.6197828013</v>
      </c>
      <c r="AL23" s="73">
        <f t="shared" si="23"/>
        <v>2.772194196</v>
      </c>
      <c r="AM23" s="73">
        <f t="shared" si="24"/>
        <v>-0.1615190304</v>
      </c>
      <c r="AN23" s="120">
        <f t="shared" si="25"/>
        <v>-0.3800541785</v>
      </c>
      <c r="AO23" s="120">
        <f t="shared" si="26"/>
        <v>-0.7274005731</v>
      </c>
      <c r="AP23" s="120">
        <f t="array" ref="AP23">INDIRECT("Update"&amp;Projections!$AH$17&amp;"!S"&amp;ROW(B4))</f>
        <v>19.5</v>
      </c>
      <c r="AQ23" s="120">
        <f t="array" ref="AQ23">INDIRECT("Update"&amp;Projections!$AH$17&amp;"!T"&amp;ROW(B4))</f>
        <v>9.2</v>
      </c>
      <c r="AR23" s="100">
        <f t="shared" si="27"/>
        <v>10.04714467</v>
      </c>
    </row>
    <row r="24">
      <c r="A24" s="40" t="str">
        <f t="shared" si="3"/>
        <v>Karl-Anthony Towns</v>
      </c>
      <c r="B24" s="42">
        <f t="shared" si="4"/>
        <v>0.7105089991</v>
      </c>
      <c r="C24" s="43">
        <f t="shared" si="5"/>
        <v>0.4488479976</v>
      </c>
      <c r="D24" s="42">
        <f t="shared" si="6"/>
        <v>1.345906151</v>
      </c>
      <c r="E24" s="42">
        <f t="shared" si="7"/>
        <v>-0.2896642358</v>
      </c>
      <c r="F24" s="42">
        <f t="shared" si="8"/>
        <v>-0.9166617668</v>
      </c>
      <c r="G24" s="42">
        <f t="shared" si="9"/>
        <v>0.4548448695</v>
      </c>
      <c r="H24" s="42">
        <f t="shared" si="10"/>
        <v>0.07145014314</v>
      </c>
      <c r="I24" s="42">
        <f>UpdateHashtag!S22</f>
        <v>14.8</v>
      </c>
      <c r="J24" s="47">
        <f t="shared" si="11"/>
        <v>1.410331189</v>
      </c>
      <c r="K24" s="48">
        <f>UpdateHashtag!T22</f>
        <v>5.1</v>
      </c>
      <c r="L24" s="42">
        <f t="shared" si="12"/>
        <v>1.142040391</v>
      </c>
      <c r="M24" t="s">
        <v>108</v>
      </c>
      <c r="N24" s="100">
        <f t="shared" si="13"/>
        <v>2</v>
      </c>
      <c r="O24" s="94">
        <f t="array" ref="O24">INDIRECT("Update"&amp;Projections!$AH$17&amp;"!B"&amp;ROW(B5))</f>
        <v>3.8</v>
      </c>
      <c r="P24" s="101" t="str">
        <f t="array" ref="P24">INDIRECT("Update"&amp;Projections!$AH$17&amp;"!C"&amp;ROW(B5))</f>
        <v>Luka Doncic</v>
      </c>
      <c r="Q24" s="94">
        <f>UpdateBBM!F5</f>
        <v>66</v>
      </c>
      <c r="R24" s="105" t="str">
        <f t="array" ref="R24">INDIRECT("Update"&amp;Projections!$AH$17&amp;"!D"&amp;ROW(B5))</f>
        <v>PG,SG</v>
      </c>
      <c r="S24" s="73">
        <f t="shared" si="14"/>
        <v>10.09473163</v>
      </c>
      <c r="T24" s="73">
        <f>SUM(AE24:AM24)-IFERROR(IFS(Projections!$I$17,AN24,Projections!$J$17,AO24),"")</f>
        <v>10.09473163</v>
      </c>
      <c r="U24" s="73">
        <f t="shared" si="15"/>
        <v>0</v>
      </c>
      <c r="V24" s="73">
        <f t="array" ref="V24">INDIRECT("Update"&amp;Projections!$AH$17&amp;"!M"&amp;ROW(B5))</f>
        <v>34.4</v>
      </c>
      <c r="W24" s="73">
        <f t="array" ref="W24">INDIRECT("Update"&amp;Projections!$AH$17&amp;"!L"&amp;ROW(B5))</f>
        <v>4.1</v>
      </c>
      <c r="X24" s="73">
        <f t="array" ref="X24">INDIRECT("Update"&amp;Projections!$AH$17&amp;"!N"&amp;ROW(B5))</f>
        <v>9.3</v>
      </c>
      <c r="Y24" s="73">
        <f t="array" ref="Y24">INDIRECT("Update"&amp;Projections!$AH$17&amp;"!O"&amp;ROW(B5))</f>
        <v>9.9</v>
      </c>
      <c r="Z24" s="73">
        <f t="array" ref="Z24">INDIRECT("Update"&amp;Projections!$AH$17&amp;"!P"&amp;ROW(B5))</f>
        <v>1.4</v>
      </c>
      <c r="AA24" s="73">
        <f t="array" ref="AA24">INDIRECT("Update"&amp;Projections!$AH$17&amp;"!Q"&amp;ROW(B5))</f>
        <v>0.5</v>
      </c>
      <c r="AB24" s="107">
        <f t="array" ref="AB24">INDIRECT("Update"&amp;Projections!$AH$17&amp;"!I"&amp;ROW(B5))</f>
        <v>0.491</v>
      </c>
      <c r="AC24" s="107">
        <f t="array" ref="AC24">INDIRECT("Update"&amp;Projections!$AH$17&amp;"!K"&amp;ROW(B5))</f>
        <v>0.792</v>
      </c>
      <c r="AD24" s="73">
        <f t="array" ref="AD24">INDIRECT("Update"&amp;Projections!$AH$17&amp;"!R"&amp;ROW(B5))</f>
        <v>3.8</v>
      </c>
      <c r="AE24" s="73">
        <f t="shared" si="16"/>
        <v>3.058933254</v>
      </c>
      <c r="AF24" s="73">
        <f t="shared" si="17"/>
        <v>2.339809679</v>
      </c>
      <c r="AG24" s="73">
        <f t="shared" si="18"/>
        <v>1.267453409</v>
      </c>
      <c r="AH24" s="73">
        <f t="shared" si="19"/>
        <v>2.717412612</v>
      </c>
      <c r="AI24" s="73">
        <f t="shared" si="20"/>
        <v>1.40686698</v>
      </c>
      <c r="AJ24" s="73">
        <f t="shared" si="21"/>
        <v>-0.4371236408</v>
      </c>
      <c r="AK24" s="73">
        <f t="shared" si="22"/>
        <v>-0.1585228256</v>
      </c>
      <c r="AL24" s="73">
        <f t="shared" si="23"/>
        <v>-0.1000978399</v>
      </c>
      <c r="AM24" s="73">
        <f t="shared" si="24"/>
        <v>-0.5086940191</v>
      </c>
      <c r="AN24" s="120">
        <f t="shared" si="25"/>
        <v>-0.5086940191</v>
      </c>
      <c r="AO24" s="120">
        <f t="shared" si="26"/>
        <v>-0.9458176599</v>
      </c>
      <c r="AP24" s="120">
        <f t="array" ref="AP24">INDIRECT("Update"&amp;Projections!$AH$17&amp;"!S"&amp;ROW(B5))</f>
        <v>23</v>
      </c>
      <c r="AQ24" s="120">
        <f t="array" ref="AQ24">INDIRECT("Update"&amp;Projections!$AH$17&amp;"!T"&amp;ROW(B5))</f>
        <v>9.7</v>
      </c>
      <c r="AR24" s="100">
        <f t="shared" si="27"/>
        <v>9.640422695</v>
      </c>
    </row>
    <row r="25">
      <c r="A25" s="40" t="str">
        <f t="shared" si="3"/>
        <v>Domantas Sabonis</v>
      </c>
      <c r="B25" s="42">
        <f t="shared" si="4"/>
        <v>0.240824148</v>
      </c>
      <c r="C25" s="43">
        <f t="shared" si="5"/>
        <v>-1.342589385</v>
      </c>
      <c r="D25" s="42">
        <f t="shared" si="6"/>
        <v>2.797281883</v>
      </c>
      <c r="E25" s="42">
        <f t="shared" si="7"/>
        <v>1.806177204</v>
      </c>
      <c r="F25" s="42">
        <f t="shared" si="8"/>
        <v>-0.2527964105</v>
      </c>
      <c r="G25" s="42">
        <f t="shared" si="9"/>
        <v>-0.2587299387</v>
      </c>
      <c r="H25" s="42">
        <f t="shared" si="10"/>
        <v>1.462355215</v>
      </c>
      <c r="I25" s="42">
        <f>UpdateHashtag!S23</f>
        <v>12.1</v>
      </c>
      <c r="J25" s="47">
        <f t="shared" si="11"/>
        <v>-1.337009755</v>
      </c>
      <c r="K25" s="48">
        <f>UpdateHashtag!T23</f>
        <v>5.4</v>
      </c>
      <c r="L25" s="42">
        <f t="shared" si="12"/>
        <v>1.439618953</v>
      </c>
      <c r="M25" t="s">
        <v>110</v>
      </c>
      <c r="N25" s="100">
        <f t="shared" si="13"/>
        <v>5</v>
      </c>
      <c r="O25" s="94">
        <f t="array" ref="O25">INDIRECT("Update"&amp;Projections!$AH$17&amp;"!B"&amp;ROW(B6))</f>
        <v>7.4</v>
      </c>
      <c r="P25" s="101" t="str">
        <f t="array" ref="P25">INDIRECT("Update"&amp;Projections!$AH$17&amp;"!C"&amp;ROW(B6))</f>
        <v>Anthony Davis</v>
      </c>
      <c r="Q25" s="94">
        <f>UpdateBBM!F6</f>
        <v>58</v>
      </c>
      <c r="R25" s="105" t="str">
        <f t="array" ref="R25">INDIRECT("Update"&amp;Projections!$AH$17&amp;"!D"&amp;ROW(B6))</f>
        <v>PF,C</v>
      </c>
      <c r="S25" s="73">
        <f t="shared" si="14"/>
        <v>8.695838999</v>
      </c>
      <c r="T25" s="73">
        <f>SUM(AE25:AM25)-IFERROR(IFS(Projections!$I$17,AN25,Projections!$J$17,AO25),"")</f>
        <v>8.695838999</v>
      </c>
      <c r="U25" s="73">
        <f t="shared" si="15"/>
        <v>0</v>
      </c>
      <c r="V25" s="73">
        <f t="array" ref="V25">INDIRECT("Update"&amp;Projections!$AH$17&amp;"!M"&amp;ROW(B6))</f>
        <v>25.2</v>
      </c>
      <c r="W25" s="73">
        <f t="array" ref="W25">INDIRECT("Update"&amp;Projections!$AH$17&amp;"!L"&amp;ROW(B6))</f>
        <v>0.4</v>
      </c>
      <c r="X25" s="73">
        <f t="array" ref="X25">INDIRECT("Update"&amp;Projections!$AH$17&amp;"!N"&amp;ROW(B6))</f>
        <v>12.7</v>
      </c>
      <c r="Y25" s="73">
        <f t="array" ref="Y25">INDIRECT("Update"&amp;Projections!$AH$17&amp;"!O"&amp;ROW(B6))</f>
        <v>3.6</v>
      </c>
      <c r="Z25" s="73">
        <f t="array" ref="Z25">INDIRECT("Update"&amp;Projections!$AH$17&amp;"!P"&amp;ROW(B6))</f>
        <v>1.2</v>
      </c>
      <c r="AA25" s="73">
        <f t="array" ref="AA25">INDIRECT("Update"&amp;Projections!$AH$17&amp;"!Q"&amp;ROW(B6))</f>
        <v>2.3</v>
      </c>
      <c r="AB25" s="107">
        <f t="array" ref="AB25">INDIRECT("Update"&amp;Projections!$AH$17&amp;"!I"&amp;ROW(B6))</f>
        <v>0.559</v>
      </c>
      <c r="AC25" s="107">
        <f t="array" ref="AC25">INDIRECT("Update"&amp;Projections!$AH$17&amp;"!K"&amp;ROW(B6))</f>
        <v>0.802</v>
      </c>
      <c r="AD25" s="73">
        <f t="array" ref="AD25">INDIRECT("Update"&amp;Projections!$AH$17&amp;"!R"&amp;ROW(B6))</f>
        <v>2.1</v>
      </c>
      <c r="AE25" s="73">
        <f t="shared" si="16"/>
        <v>1.396971474</v>
      </c>
      <c r="AF25" s="73">
        <f t="shared" si="17"/>
        <v>-1.342589385</v>
      </c>
      <c r="AG25" s="73">
        <f t="shared" si="18"/>
        <v>2.601150027</v>
      </c>
      <c r="AH25" s="73">
        <f t="shared" si="19"/>
        <v>-0.1529789245</v>
      </c>
      <c r="AI25" s="73">
        <f t="shared" si="20"/>
        <v>0.743001624</v>
      </c>
      <c r="AJ25" s="73">
        <f t="shared" si="21"/>
        <v>2.773962996</v>
      </c>
      <c r="AK25" s="73">
        <f t="shared" si="22"/>
        <v>1.237664012</v>
      </c>
      <c r="AL25" s="73">
        <f t="shared" si="23"/>
        <v>0.1831921807</v>
      </c>
      <c r="AM25" s="73">
        <f t="shared" si="24"/>
        <v>-0.08712439001</v>
      </c>
      <c r="AN25" s="120">
        <f t="shared" si="25"/>
        <v>-1.342589385</v>
      </c>
      <c r="AO25" s="120">
        <f t="shared" si="26"/>
        <v>-1.495568309</v>
      </c>
      <c r="AP25" s="120">
        <f t="array" ref="AP25">INDIRECT("Update"&amp;Projections!$AH$17&amp;"!S"&amp;ROW(B6))</f>
        <v>17</v>
      </c>
      <c r="AQ25" s="120">
        <f t="array" ref="AQ25">INDIRECT("Update"&amp;Projections!$AH$17&amp;"!T"&amp;ROW(B6))</f>
        <v>7.3</v>
      </c>
      <c r="AR25" s="100">
        <f t="shared" si="27"/>
        <v>8.695838999</v>
      </c>
    </row>
    <row r="26">
      <c r="A26" s="40" t="str">
        <f t="shared" si="3"/>
        <v>Lauri Markkanen</v>
      </c>
      <c r="B26" s="42">
        <f t="shared" si="4"/>
        <v>1.27051786</v>
      </c>
      <c r="C26" s="43">
        <f t="shared" si="5"/>
        <v>1.344566689</v>
      </c>
      <c r="D26" s="42">
        <f t="shared" si="6"/>
        <v>0.9144160686</v>
      </c>
      <c r="E26" s="42">
        <f t="shared" si="7"/>
        <v>-0.9275290217</v>
      </c>
      <c r="F26" s="42">
        <f t="shared" si="8"/>
        <v>-0.5847290887</v>
      </c>
      <c r="G26" s="42">
        <f t="shared" si="9"/>
        <v>-0.4371236408</v>
      </c>
      <c r="H26" s="42">
        <f t="shared" si="10"/>
        <v>-0.2781879998</v>
      </c>
      <c r="I26" s="42">
        <f>UpdateHashtag!S24</f>
        <v>17.1</v>
      </c>
      <c r="J26" s="47">
        <f t="shared" si="11"/>
        <v>1.766750327</v>
      </c>
      <c r="K26" s="48">
        <f>UpdateHashtag!T24</f>
        <v>5.6</v>
      </c>
      <c r="L26" s="42">
        <f t="shared" si="12"/>
        <v>-0.04827385557</v>
      </c>
      <c r="M26" t="s">
        <v>112</v>
      </c>
      <c r="N26" s="100">
        <f t="shared" si="13"/>
        <v>8</v>
      </c>
      <c r="O26" s="94">
        <f t="array" ref="O26">INDIRECT("Update"&amp;Projections!$AH$17&amp;"!B"&amp;ROW(B7))</f>
        <v>9.6</v>
      </c>
      <c r="P26" s="101" t="str">
        <f t="array" ref="P26">INDIRECT("Update"&amp;Projections!$AH$17&amp;"!C"&amp;ROW(B7))</f>
        <v>Joel Embiid</v>
      </c>
      <c r="Q26" s="94">
        <f>UpdateBBM!F7</f>
        <v>54</v>
      </c>
      <c r="R26" s="105" t="str">
        <f t="array" ref="R26">INDIRECT("Update"&amp;Projections!$AH$17&amp;"!D"&amp;ROW(B7))</f>
        <v>C</v>
      </c>
      <c r="S26" s="73">
        <f t="shared" si="14"/>
        <v>7.080727485</v>
      </c>
      <c r="T26" s="73">
        <f>SUM(AE26:AM26)-IFERROR(IFS(Projections!$I$17,AN26,Projections!$J$17,AO26),"")</f>
        <v>7.080727485</v>
      </c>
      <c r="U26" s="73">
        <f t="shared" si="15"/>
        <v>0</v>
      </c>
      <c r="V26" s="73">
        <f t="array" ref="V26">INDIRECT("Update"&amp;Projections!$AH$17&amp;"!M"&amp;ROW(B7))</f>
        <v>28.1</v>
      </c>
      <c r="W26" s="73">
        <f t="array" ref="W26">INDIRECT("Update"&amp;Projections!$AH$17&amp;"!L"&amp;ROW(B7))</f>
        <v>1.3</v>
      </c>
      <c r="X26" s="73">
        <f t="array" ref="X26">INDIRECT("Update"&amp;Projections!$AH$17&amp;"!N"&amp;ROW(B7))</f>
        <v>10</v>
      </c>
      <c r="Y26" s="73">
        <f t="array" ref="Y26">INDIRECT("Update"&amp;Projections!$AH$17&amp;"!O"&amp;ROW(B7))</f>
        <v>3.9</v>
      </c>
      <c r="Z26" s="73">
        <f t="array" ref="Z26">INDIRECT("Update"&amp;Projections!$AH$17&amp;"!P"&amp;ROW(B7))</f>
        <v>0.9</v>
      </c>
      <c r="AA26" s="73">
        <f t="array" ref="AA26">INDIRECT("Update"&amp;Projections!$AH$17&amp;"!Q"&amp;ROW(B7))</f>
        <v>1.4</v>
      </c>
      <c r="AB26" s="107">
        <f t="array" ref="AB26">INDIRECT("Update"&amp;Projections!$AH$17&amp;"!I"&amp;ROW(B7))</f>
        <v>0.518</v>
      </c>
      <c r="AC26" s="107">
        <f t="array" ref="AC26">INDIRECT("Update"&amp;Projections!$AH$17&amp;"!K"&amp;ROW(B7))</f>
        <v>0.871</v>
      </c>
      <c r="AD26" s="73">
        <f t="array" ref="AD26">INDIRECT("Update"&amp;Projections!$AH$17&amp;"!R"&amp;ROW(B7))</f>
        <v>3.3</v>
      </c>
      <c r="AE26" s="73">
        <f t="shared" si="16"/>
        <v>1.920850731</v>
      </c>
      <c r="AF26" s="73">
        <f t="shared" si="17"/>
        <v>-0.4468706937</v>
      </c>
      <c r="AG26" s="73">
        <f t="shared" si="18"/>
        <v>1.542038007</v>
      </c>
      <c r="AH26" s="73">
        <f t="shared" si="19"/>
        <v>-0.01629361326</v>
      </c>
      <c r="AI26" s="73">
        <f t="shared" si="20"/>
        <v>-0.2527964105</v>
      </c>
      <c r="AJ26" s="73">
        <f t="shared" si="21"/>
        <v>1.168419678</v>
      </c>
      <c r="AK26" s="73">
        <f t="shared" si="22"/>
        <v>0.4356304113</v>
      </c>
      <c r="AL26" s="73">
        <f t="shared" si="23"/>
        <v>2.667581634</v>
      </c>
      <c r="AM26" s="73">
        <f t="shared" si="24"/>
        <v>-0.3847029517</v>
      </c>
      <c r="AN26" s="120">
        <f t="shared" si="25"/>
        <v>-0.4468706937</v>
      </c>
      <c r="AO26" s="120">
        <f t="shared" si="26"/>
        <v>-0.8315736454</v>
      </c>
      <c r="AP26" s="120">
        <f t="array" ref="AP26">INDIRECT("Update"&amp;Projections!$AH$17&amp;"!S"&amp;ROW(B7))</f>
        <v>17.6</v>
      </c>
      <c r="AQ26" s="120">
        <f t="array" ref="AQ26">INDIRECT("Update"&amp;Projections!$AH$17&amp;"!T"&amp;ROW(B7))</f>
        <v>9.9</v>
      </c>
      <c r="AR26" s="100">
        <f t="shared" si="27"/>
        <v>8.429006939</v>
      </c>
    </row>
    <row r="27">
      <c r="A27" s="40" t="str">
        <f t="shared" si="3"/>
        <v>Chet Holmgren</v>
      </c>
      <c r="B27" s="42">
        <f t="shared" si="4"/>
        <v>-0.01208307946</v>
      </c>
      <c r="C27" s="43">
        <f t="shared" si="5"/>
        <v>-0.04877349754</v>
      </c>
      <c r="D27" s="42">
        <f t="shared" si="6"/>
        <v>0.7967369552</v>
      </c>
      <c r="E27" s="42">
        <f t="shared" si="7"/>
        <v>-0.6085966288</v>
      </c>
      <c r="F27" s="42">
        <f t="shared" si="8"/>
        <v>-0.9166617668</v>
      </c>
      <c r="G27" s="42">
        <f t="shared" si="9"/>
        <v>2.773962996</v>
      </c>
      <c r="H27" s="42">
        <f t="shared" si="10"/>
        <v>0.4735520144</v>
      </c>
      <c r="I27" s="42">
        <f>UpdateHashtag!S25</f>
        <v>12.2</v>
      </c>
      <c r="J27" s="47">
        <f t="shared" si="11"/>
        <v>-0.0237228128</v>
      </c>
      <c r="K27" s="48">
        <f>UpdateHashtag!T25</f>
        <v>3.5</v>
      </c>
      <c r="L27" s="42">
        <f t="shared" si="12"/>
        <v>-0.04827385557</v>
      </c>
      <c r="M27" t="s">
        <v>113</v>
      </c>
      <c r="N27" s="100">
        <f t="shared" si="13"/>
        <v>6</v>
      </c>
      <c r="O27" s="94">
        <f t="array" ref="O27">INDIRECT("Update"&amp;Projections!$AH$17&amp;"!B"&amp;ROW(B8))</f>
        <v>6.7</v>
      </c>
      <c r="P27" s="101" t="str">
        <f t="array" ref="P27">INDIRECT("Update"&amp;Projections!$AH$17&amp;"!C"&amp;ROW(B8))</f>
        <v>Giannis Antetokounmpo</v>
      </c>
      <c r="Q27" s="94">
        <f>UpdateBBM!F8</f>
        <v>66</v>
      </c>
      <c r="R27" s="105" t="str">
        <f t="array" ref="R27">INDIRECT("Update"&amp;Projections!$AH$17&amp;"!D"&amp;ROW(B8))</f>
        <v>PF,C</v>
      </c>
      <c r="S27" s="73">
        <f t="shared" si="14"/>
        <v>8.429006939</v>
      </c>
      <c r="T27" s="73">
        <f>SUM(AE27:AM27)-IFERROR(IFS(Projections!$I$17,AN27,Projections!$J$17,AO27),"")</f>
        <v>8.429006939</v>
      </c>
      <c r="U27" s="73">
        <f t="shared" si="15"/>
        <v>0</v>
      </c>
      <c r="V27" s="73">
        <f t="array" ref="V27">INDIRECT("Update"&amp;Projections!$AH$17&amp;"!M"&amp;ROW(B8))</f>
        <v>31.1</v>
      </c>
      <c r="W27" s="73">
        <f t="array" ref="W27">INDIRECT("Update"&amp;Projections!$AH$17&amp;"!L"&amp;ROW(B8))</f>
        <v>0.6</v>
      </c>
      <c r="X27" s="73">
        <f t="array" ref="X27">INDIRECT("Update"&amp;Projections!$AH$17&amp;"!N"&amp;ROW(B8))</f>
        <v>11.8</v>
      </c>
      <c r="Y27" s="73">
        <f t="array" ref="Y27">INDIRECT("Update"&amp;Projections!$AH$17&amp;"!O"&amp;ROW(B8))</f>
        <v>6.7</v>
      </c>
      <c r="Z27" s="73">
        <f t="array" ref="Z27">INDIRECT("Update"&amp;Projections!$AH$17&amp;"!P"&amp;ROW(B8))</f>
        <v>1.2</v>
      </c>
      <c r="AA27" s="73">
        <f t="array" ref="AA27">INDIRECT("Update"&amp;Projections!$AH$17&amp;"!Q"&amp;ROW(B8))</f>
        <v>1.1</v>
      </c>
      <c r="AB27" s="107">
        <f t="array" ref="AB27">INDIRECT("Update"&amp;Projections!$AH$17&amp;"!I"&amp;ROW(B8))</f>
        <v>0.614</v>
      </c>
      <c r="AC27" s="107">
        <f t="array" ref="AC27">INDIRECT("Update"&amp;Projections!$AH$17&amp;"!K"&amp;ROW(B8))</f>
        <v>0.671</v>
      </c>
      <c r="AD27" s="73">
        <f t="array" ref="AD27">INDIRECT("Update"&amp;Projections!$AH$17&amp;"!R"&amp;ROW(B8))</f>
        <v>3.4</v>
      </c>
      <c r="AE27" s="73">
        <f t="shared" si="16"/>
        <v>2.46279479</v>
      </c>
      <c r="AF27" s="73">
        <f t="shared" si="17"/>
        <v>-1.143540787</v>
      </c>
      <c r="AG27" s="73">
        <f t="shared" si="18"/>
        <v>2.248112687</v>
      </c>
      <c r="AH27" s="73">
        <f t="shared" si="19"/>
        <v>1.259435959</v>
      </c>
      <c r="AI27" s="73">
        <f t="shared" si="20"/>
        <v>0.743001624</v>
      </c>
      <c r="AJ27" s="73">
        <f t="shared" si="21"/>
        <v>0.6332385715</v>
      </c>
      <c r="AK27" s="73">
        <f t="shared" si="22"/>
        <v>2.635465261</v>
      </c>
      <c r="AL27" s="73">
        <f t="shared" si="23"/>
        <v>-4.607725436</v>
      </c>
      <c r="AM27" s="73">
        <f t="shared" si="24"/>
        <v>-0.4095011652</v>
      </c>
      <c r="AN27" s="120">
        <f t="shared" si="25"/>
        <v>-4.607725436</v>
      </c>
      <c r="AO27" s="120">
        <f t="shared" si="26"/>
        <v>-5.751266223</v>
      </c>
      <c r="AP27" s="120">
        <f t="array" ref="AP27">INDIRECT("Update"&amp;Projections!$AH$17&amp;"!S"&amp;ROW(B8))</f>
        <v>19.2</v>
      </c>
      <c r="AQ27" s="120">
        <f t="array" ref="AQ27">INDIRECT("Update"&amp;Projections!$AH$17&amp;"!T"&amp;ROW(B8))</f>
        <v>10.5</v>
      </c>
      <c r="AR27" s="100">
        <f t="shared" si="27"/>
        <v>7.198475211</v>
      </c>
    </row>
    <row r="28">
      <c r="A28" s="40" t="str">
        <f t="shared" si="3"/>
        <v>Jalen Brunson</v>
      </c>
      <c r="B28" s="42">
        <f t="shared" si="4"/>
        <v>1.848591523</v>
      </c>
      <c r="C28" s="43">
        <f t="shared" si="5"/>
        <v>0.9464694928</v>
      </c>
      <c r="D28" s="42">
        <f t="shared" si="6"/>
        <v>-0.9292233743</v>
      </c>
      <c r="E28" s="42">
        <f t="shared" si="7"/>
        <v>1.39612127</v>
      </c>
      <c r="F28" s="42">
        <f t="shared" si="8"/>
        <v>-0.2527964105</v>
      </c>
      <c r="G28" s="42">
        <f t="shared" si="9"/>
        <v>-0.9723047469</v>
      </c>
      <c r="H28" s="42">
        <f t="shared" si="10"/>
        <v>-0.3064549542</v>
      </c>
      <c r="I28" s="42">
        <f>UpdateHashtag!S26</f>
        <v>20.3</v>
      </c>
      <c r="J28" s="47">
        <f t="shared" si="11"/>
        <v>0.9992147255</v>
      </c>
      <c r="K28" s="48">
        <f>UpdateHashtag!T26</f>
        <v>6.4</v>
      </c>
      <c r="L28" s="42">
        <f t="shared" si="12"/>
        <v>0.5468832679</v>
      </c>
      <c r="M28" t="s">
        <v>114</v>
      </c>
      <c r="N28" s="100">
        <f t="shared" si="13"/>
        <v>9</v>
      </c>
      <c r="O28" s="94">
        <f t="array" ref="O28">INDIRECT("Update"&amp;Projections!$AH$17&amp;"!B"&amp;ROW(B9))</f>
        <v>8.4</v>
      </c>
      <c r="P28" s="101" t="str">
        <f t="array" ref="P28">INDIRECT("Update"&amp;Projections!$AH$17&amp;"!C"&amp;ROW(B9))</f>
        <v>Tyrese Haliburton</v>
      </c>
      <c r="Q28" s="94">
        <f>UpdateBBM!F9</f>
        <v>61</v>
      </c>
      <c r="R28" s="105" t="str">
        <f t="array" ref="R28">INDIRECT("Update"&amp;Projections!$AH$17&amp;"!D"&amp;ROW(B9))</f>
        <v>PG,SG</v>
      </c>
      <c r="S28" s="73">
        <f t="shared" si="14"/>
        <v>6.883468532</v>
      </c>
      <c r="T28" s="73">
        <f>SUM(AE28:AM28)-IFERROR(IFS(Projections!$I$17,AN28,Projections!$J$17,AO28),"")</f>
        <v>6.883468532</v>
      </c>
      <c r="U28" s="73">
        <f t="shared" si="15"/>
        <v>0</v>
      </c>
      <c r="V28" s="73">
        <f t="array" ref="V28">INDIRECT("Update"&amp;Projections!$AH$17&amp;"!M"&amp;ROW(B9))</f>
        <v>21.1</v>
      </c>
      <c r="W28" s="73">
        <f t="array" ref="W28">INDIRECT("Update"&amp;Projections!$AH$17&amp;"!L"&amp;ROW(B9))</f>
        <v>3</v>
      </c>
      <c r="X28" s="73">
        <f t="array" ref="X28">INDIRECT("Update"&amp;Projections!$AH$17&amp;"!N"&amp;ROW(B9))</f>
        <v>3.9</v>
      </c>
      <c r="Y28" s="73">
        <f t="array" ref="Y28">INDIRECT("Update"&amp;Projections!$AH$17&amp;"!O"&amp;ROW(B9))</f>
        <v>11.1</v>
      </c>
      <c r="Z28" s="73">
        <f t="array" ref="Z28">INDIRECT("Update"&amp;Projections!$AH$17&amp;"!P"&amp;ROW(B9))</f>
        <v>1.4</v>
      </c>
      <c r="AA28" s="73">
        <f t="array" ref="AA28">INDIRECT("Update"&amp;Projections!$AH$17&amp;"!Q"&amp;ROW(B9))</f>
        <v>0.7</v>
      </c>
      <c r="AB28" s="107">
        <f t="array" ref="AB28">INDIRECT("Update"&amp;Projections!$AH$17&amp;"!I"&amp;ROW(B9))</f>
        <v>0.483</v>
      </c>
      <c r="AC28" s="107">
        <f t="array" ref="AC28">INDIRECT("Update"&amp;Projections!$AH$17&amp;"!K"&amp;ROW(B9))</f>
        <v>0.862</v>
      </c>
      <c r="AD28" s="73">
        <f t="array" ref="AD28">INDIRECT("Update"&amp;Projections!$AH$17&amp;"!R"&amp;ROW(B9))</f>
        <v>2.5</v>
      </c>
      <c r="AE28" s="73">
        <f t="shared" si="16"/>
        <v>0.6563145932</v>
      </c>
      <c r="AF28" s="73">
        <f t="shared" si="17"/>
        <v>1.24504239</v>
      </c>
      <c r="AG28" s="73">
        <f t="shared" si="18"/>
        <v>-0.850770632</v>
      </c>
      <c r="AH28" s="73">
        <f t="shared" si="19"/>
        <v>3.264153857</v>
      </c>
      <c r="AI28" s="73">
        <f t="shared" si="20"/>
        <v>1.40686698</v>
      </c>
      <c r="AJ28" s="73">
        <f t="shared" si="21"/>
        <v>-0.08033623669</v>
      </c>
      <c r="AK28" s="73">
        <f t="shared" si="22"/>
        <v>-0.2537855436</v>
      </c>
      <c r="AL28" s="73">
        <f t="shared" si="23"/>
        <v>0.8315297359</v>
      </c>
      <c r="AM28" s="73">
        <f t="shared" si="24"/>
        <v>-0.1863172439</v>
      </c>
      <c r="AN28" s="120">
        <f t="shared" si="25"/>
        <v>-0.850770632</v>
      </c>
      <c r="AO28" s="120">
        <f t="shared" si="26"/>
        <v>-1.104556176</v>
      </c>
      <c r="AP28" s="120">
        <f t="array" ref="AP28">INDIRECT("Update"&amp;Projections!$AH$17&amp;"!S"&amp;ROW(B9))</f>
        <v>15.6</v>
      </c>
      <c r="AQ28" s="120">
        <f t="array" ref="AQ28">INDIRECT("Update"&amp;Projections!$AH$17&amp;"!T"&amp;ROW(B9))</f>
        <v>3.5</v>
      </c>
      <c r="AR28" s="100">
        <f t="shared" si="27"/>
        <v>7.080727485</v>
      </c>
    </row>
    <row r="29">
      <c r="A29" s="40" t="str">
        <f t="shared" si="3"/>
        <v>Anthony Edwards</v>
      </c>
      <c r="B29" s="42">
        <f t="shared" si="4"/>
        <v>1.577619493</v>
      </c>
      <c r="C29" s="43">
        <f t="shared" si="5"/>
        <v>0.7474208947</v>
      </c>
      <c r="D29" s="42">
        <f t="shared" si="6"/>
        <v>-0.223148694</v>
      </c>
      <c r="E29" s="42">
        <f t="shared" si="7"/>
        <v>0.5760094022</v>
      </c>
      <c r="F29" s="42">
        <f t="shared" si="8"/>
        <v>1.40686698</v>
      </c>
      <c r="G29" s="42">
        <f t="shared" si="9"/>
        <v>-0.08033623669</v>
      </c>
      <c r="H29" s="42">
        <f t="shared" si="10"/>
        <v>-0.8774537996</v>
      </c>
      <c r="I29" s="42">
        <f>UpdateHashtag!S27</f>
        <v>20.3</v>
      </c>
      <c r="J29" s="47">
        <f t="shared" si="11"/>
        <v>0.6067340973</v>
      </c>
      <c r="K29" s="48">
        <f>UpdateHashtag!T27</f>
        <v>6.1</v>
      </c>
      <c r="L29" s="42">
        <f t="shared" si="12"/>
        <v>1.340426099</v>
      </c>
      <c r="M29" t="s">
        <v>115</v>
      </c>
      <c r="N29" s="100">
        <f t="shared" si="13"/>
        <v>7</v>
      </c>
      <c r="O29" s="94">
        <f t="array" ref="O29">INDIRECT("Update"&amp;Projections!$AH$17&amp;"!B"&amp;ROW(B10))</f>
        <v>12.5</v>
      </c>
      <c r="P29" s="101" t="str">
        <f t="array" ref="P29">INDIRECT("Update"&amp;Projections!$AH$17&amp;"!C"&amp;ROW(B10))</f>
        <v>Trae Young</v>
      </c>
      <c r="Q29" s="94">
        <f>UpdateBBM!F10</f>
        <v>71</v>
      </c>
      <c r="R29" s="105" t="str">
        <f t="array" ref="R29">INDIRECT("Update"&amp;Projections!$AH$17&amp;"!D"&amp;ROW(B10))</f>
        <v>PG</v>
      </c>
      <c r="S29" s="73">
        <f t="shared" si="14"/>
        <v>7.198475211</v>
      </c>
      <c r="T29" s="73">
        <f>SUM(AE29:AM29)-IFERROR(IFS(Projections!$I$17,AN29,Projections!$J$17,AO29),"")</f>
        <v>7.198475211</v>
      </c>
      <c r="U29" s="73">
        <f t="shared" si="15"/>
        <v>0</v>
      </c>
      <c r="V29" s="73">
        <f t="array" ref="V29">INDIRECT("Update"&amp;Projections!$AH$17&amp;"!M"&amp;ROW(B10))</f>
        <v>28.1</v>
      </c>
      <c r="W29" s="73">
        <f t="array" ref="W29">INDIRECT("Update"&amp;Projections!$AH$17&amp;"!L"&amp;ROW(B10))</f>
        <v>3.4</v>
      </c>
      <c r="X29" s="73">
        <f t="array" ref="X29">INDIRECT("Update"&amp;Projections!$AH$17&amp;"!N"&amp;ROW(B10))</f>
        <v>2.9</v>
      </c>
      <c r="Y29" s="73">
        <f t="array" ref="Y29">INDIRECT("Update"&amp;Projections!$AH$17&amp;"!O"&amp;ROW(B10))</f>
        <v>10.8</v>
      </c>
      <c r="Z29" s="73">
        <f t="array" ref="Z29">INDIRECT("Update"&amp;Projections!$AH$17&amp;"!P"&amp;ROW(B10))</f>
        <v>1.2</v>
      </c>
      <c r="AA29" s="73">
        <f t="array" ref="AA29">INDIRECT("Update"&amp;Projections!$AH$17&amp;"!Q"&amp;ROW(B10))</f>
        <v>0.2</v>
      </c>
      <c r="AB29" s="107">
        <f t="array" ref="AB29">INDIRECT("Update"&amp;Projections!$AH$17&amp;"!I"&amp;ROW(B10))</f>
        <v>0.432</v>
      </c>
      <c r="AC29" s="107">
        <f t="array" ref="AC29">INDIRECT("Update"&amp;Projections!$AH$17&amp;"!K"&amp;ROW(B10))</f>
        <v>0.877</v>
      </c>
      <c r="AD29" s="73">
        <f t="array" ref="AD29">INDIRECT("Update"&amp;Projections!$AH$17&amp;"!R"&amp;ROW(B10))</f>
        <v>4.2</v>
      </c>
      <c r="AE29" s="73">
        <f t="shared" si="16"/>
        <v>1.920850731</v>
      </c>
      <c r="AF29" s="73">
        <f t="shared" si="17"/>
        <v>1.643139586</v>
      </c>
      <c r="AG29" s="73">
        <f t="shared" si="18"/>
        <v>-1.243034343</v>
      </c>
      <c r="AH29" s="73">
        <f t="shared" si="19"/>
        <v>3.127468546</v>
      </c>
      <c r="AI29" s="73">
        <f t="shared" si="20"/>
        <v>0.743001624</v>
      </c>
      <c r="AJ29" s="73">
        <f t="shared" si="21"/>
        <v>-0.9723047469</v>
      </c>
      <c r="AK29" s="73">
        <f t="shared" si="22"/>
        <v>-1.482786839</v>
      </c>
      <c r="AL29" s="73">
        <f t="shared" si="23"/>
        <v>2.587240688</v>
      </c>
      <c r="AM29" s="73">
        <f t="shared" si="24"/>
        <v>-0.607886873</v>
      </c>
      <c r="AN29" s="120">
        <f t="shared" si="25"/>
        <v>-1.482786839</v>
      </c>
      <c r="AO29" s="120">
        <f t="shared" si="26"/>
        <v>-2.725821182</v>
      </c>
      <c r="AP29" s="120">
        <f t="array" ref="AP29">INDIRECT("Update"&amp;Projections!$AH$17&amp;"!S"&amp;ROW(B10))</f>
        <v>19.5</v>
      </c>
      <c r="AQ29" s="120">
        <f t="array" ref="AQ29">INDIRECT("Update"&amp;Projections!$AH$17&amp;"!T"&amp;ROW(B10))</f>
        <v>8.9</v>
      </c>
      <c r="AR29" s="100">
        <f t="shared" si="27"/>
        <v>6.883468532</v>
      </c>
    </row>
    <row r="30">
      <c r="A30" s="40" t="str">
        <f t="shared" si="3"/>
        <v>Paul George</v>
      </c>
      <c r="B30" s="42">
        <f t="shared" si="4"/>
        <v>0.8369626128</v>
      </c>
      <c r="C30" s="43">
        <f t="shared" si="5"/>
        <v>1.24504239</v>
      </c>
      <c r="D30" s="42">
        <f t="shared" si="6"/>
        <v>-0.4192805496</v>
      </c>
      <c r="E30" s="42">
        <f t="shared" si="7"/>
        <v>-0.2441024654</v>
      </c>
      <c r="F30" s="42">
        <f t="shared" si="8"/>
        <v>1.40686698</v>
      </c>
      <c r="G30" s="42">
        <f t="shared" si="9"/>
        <v>-0.6155173428</v>
      </c>
      <c r="H30" s="42">
        <f t="shared" si="10"/>
        <v>-0.6165112888</v>
      </c>
      <c r="I30" s="42">
        <f>UpdateHashtag!S28</f>
        <v>16.5</v>
      </c>
      <c r="J30" s="47">
        <f t="shared" si="11"/>
        <v>1.432752354</v>
      </c>
      <c r="K30" s="48">
        <f>UpdateHashtag!T28</f>
        <v>4.3</v>
      </c>
      <c r="L30" s="42">
        <f t="shared" si="12"/>
        <v>0.6460761218</v>
      </c>
      <c r="M30" t="s">
        <v>117</v>
      </c>
      <c r="N30" s="100">
        <f t="shared" si="13"/>
        <v>12</v>
      </c>
      <c r="O30" s="94">
        <f t="array" ref="O30">INDIRECT("Update"&amp;Projections!$AH$17&amp;"!B"&amp;ROW(B11))</f>
        <v>9.5</v>
      </c>
      <c r="P30" s="101" t="str">
        <f t="array" ref="P30">INDIRECT("Update"&amp;Projections!$AH$17&amp;"!C"&amp;ROW(B11))</f>
        <v>Jayson Tatum</v>
      </c>
      <c r="Q30" s="94">
        <f>UpdateBBM!F11</f>
        <v>66</v>
      </c>
      <c r="R30" s="105" t="str">
        <f t="array" ref="R30">INDIRECT("Update"&amp;Projections!$AH$17&amp;"!D"&amp;ROW(B11))</f>
        <v>SF,PF</v>
      </c>
      <c r="S30" s="73">
        <f t="shared" si="14"/>
        <v>5.917048843</v>
      </c>
      <c r="T30" s="73">
        <f>SUM(AE30:AM30)-IFERROR(IFS(Projections!$I$17,AN30,Projections!$J$17,AO30),"")</f>
        <v>5.917048843</v>
      </c>
      <c r="U30" s="73">
        <f t="shared" si="15"/>
        <v>0</v>
      </c>
      <c r="V30" s="73">
        <f t="array" ref="V30">INDIRECT("Update"&amp;Projections!$AH$17&amp;"!M"&amp;ROW(B11))</f>
        <v>27.9</v>
      </c>
      <c r="W30" s="73">
        <f t="array" ref="W30">INDIRECT("Update"&amp;Projections!$AH$17&amp;"!L"&amp;ROW(B11))</f>
        <v>2.9</v>
      </c>
      <c r="X30" s="73">
        <f t="array" ref="X30">INDIRECT("Update"&amp;Projections!$AH$17&amp;"!N"&amp;ROW(B11))</f>
        <v>9</v>
      </c>
      <c r="Y30" s="73">
        <f t="array" ref="Y30">INDIRECT("Update"&amp;Projections!$AH$17&amp;"!O"&amp;ROW(B11))</f>
        <v>5.1</v>
      </c>
      <c r="Z30" s="73">
        <f t="array" ref="Z30">INDIRECT("Update"&amp;Projections!$AH$17&amp;"!P"&amp;ROW(B11))</f>
        <v>1.1</v>
      </c>
      <c r="AA30" s="73">
        <f t="array" ref="AA30">INDIRECT("Update"&amp;Projections!$AH$17&amp;"!Q"&amp;ROW(B11))</f>
        <v>0.7</v>
      </c>
      <c r="AB30" s="107">
        <f t="array" ref="AB30">INDIRECT("Update"&amp;Projections!$AH$17&amp;"!I"&amp;ROW(B11))</f>
        <v>0.469</v>
      </c>
      <c r="AC30" s="107">
        <f t="array" ref="AC30">INDIRECT("Update"&amp;Projections!$AH$17&amp;"!K"&amp;ROW(B11))</f>
        <v>0.836</v>
      </c>
      <c r="AD30" s="73">
        <f t="array" ref="AD30">INDIRECT("Update"&amp;Projections!$AH$17&amp;"!R"&amp;ROW(B11))</f>
        <v>2.5</v>
      </c>
      <c r="AE30" s="73">
        <f t="shared" si="16"/>
        <v>1.884721127</v>
      </c>
      <c r="AF30" s="73">
        <f t="shared" si="17"/>
        <v>1.145518091</v>
      </c>
      <c r="AG30" s="73">
        <f t="shared" si="18"/>
        <v>1.149774295</v>
      </c>
      <c r="AH30" s="73">
        <f t="shared" si="19"/>
        <v>0.5304476318</v>
      </c>
      <c r="AI30" s="73">
        <f t="shared" si="20"/>
        <v>0.4110689458</v>
      </c>
      <c r="AJ30" s="73">
        <f t="shared" si="21"/>
        <v>-0.08033623669</v>
      </c>
      <c r="AK30" s="73">
        <f t="shared" si="22"/>
        <v>-0.6567939692</v>
      </c>
      <c r="AL30" s="73">
        <f t="shared" si="23"/>
        <v>1.062172233</v>
      </c>
      <c r="AM30" s="73">
        <f t="shared" si="24"/>
        <v>-0.1863172439</v>
      </c>
      <c r="AN30" s="120">
        <f t="shared" si="25"/>
        <v>-0.6567939692</v>
      </c>
      <c r="AO30" s="120">
        <f t="shared" si="26"/>
        <v>-0.8431112131</v>
      </c>
      <c r="AP30" s="120">
        <f t="array" ref="AP30">INDIRECT("Update"&amp;Projections!$AH$17&amp;"!S"&amp;ROW(B11))</f>
        <v>20.1</v>
      </c>
      <c r="AQ30" s="120">
        <f t="array" ref="AQ30">INDIRECT("Update"&amp;Projections!$AH$17&amp;"!T"&amp;ROW(B11))</f>
        <v>7.3</v>
      </c>
      <c r="AR30" s="100">
        <f t="shared" si="27"/>
        <v>6.514328656</v>
      </c>
    </row>
    <row r="31">
      <c r="A31" s="40" t="str">
        <f t="shared" si="3"/>
        <v>Jalen Williams</v>
      </c>
      <c r="B31" s="42">
        <f t="shared" si="4"/>
        <v>0.4576017716</v>
      </c>
      <c r="C31" s="43">
        <f t="shared" si="5"/>
        <v>-0.04877349754</v>
      </c>
      <c r="D31" s="42">
        <f t="shared" si="6"/>
        <v>-0.5761860341</v>
      </c>
      <c r="E31" s="42">
        <f t="shared" si="7"/>
        <v>0.439324091</v>
      </c>
      <c r="F31" s="42">
        <f t="shared" si="8"/>
        <v>0.743001624</v>
      </c>
      <c r="G31" s="42">
        <f t="shared" si="9"/>
        <v>-0.2587299387</v>
      </c>
      <c r="H31" s="42">
        <f t="shared" si="10"/>
        <v>0.6647922933</v>
      </c>
      <c r="I31" s="42">
        <f>UpdateHashtag!S29</f>
        <v>14.5</v>
      </c>
      <c r="J31" s="47">
        <f t="shared" si="11"/>
        <v>0.3261388382</v>
      </c>
      <c r="K31" s="48">
        <f>UpdateHashtag!T29</f>
        <v>3.4</v>
      </c>
      <c r="L31" s="42">
        <f t="shared" si="12"/>
        <v>0.05091899834</v>
      </c>
      <c r="N31" s="100">
        <f t="shared" si="13"/>
        <v>11</v>
      </c>
      <c r="O31" s="94">
        <f t="array" ref="O31">INDIRECT("Update"&amp;Projections!$AH$17&amp;"!B"&amp;ROW(B12))</f>
        <v>16.2</v>
      </c>
      <c r="P31" s="101" t="str">
        <f t="array" ref="P31">INDIRECT("Update"&amp;Projections!$AH$17&amp;"!C"&amp;ROW(B12))</f>
        <v>James Harden</v>
      </c>
      <c r="Q31" s="94">
        <f>UpdateBBM!F12</f>
        <v>62</v>
      </c>
      <c r="R31" s="105" t="str">
        <f t="array" ref="R31">INDIRECT("Update"&amp;Projections!$AH$17&amp;"!D"&amp;ROW(B12))</f>
        <v>PG,SG</v>
      </c>
      <c r="S31" s="73">
        <f t="shared" si="14"/>
        <v>6.006607638</v>
      </c>
      <c r="T31" s="73">
        <f>SUM(AE31:AM31)-IFERROR(IFS(Projections!$I$17,AN31,Projections!$J$17,AO31),"")</f>
        <v>6.006607638</v>
      </c>
      <c r="U31" s="73">
        <f t="shared" si="15"/>
        <v>0</v>
      </c>
      <c r="V31" s="73">
        <f t="array" ref="V31">INDIRECT("Update"&amp;Projections!$AH$17&amp;"!M"&amp;ROW(B12))</f>
        <v>20.4</v>
      </c>
      <c r="W31" s="73">
        <f t="array" ref="W31">INDIRECT("Update"&amp;Projections!$AH$17&amp;"!L"&amp;ROW(B12))</f>
        <v>2.8</v>
      </c>
      <c r="X31" s="73">
        <f t="array" ref="X31">INDIRECT("Update"&amp;Projections!$AH$17&amp;"!N"&amp;ROW(B12))</f>
        <v>6.1</v>
      </c>
      <c r="Y31" s="73">
        <f t="array" ref="Y31">INDIRECT("Update"&amp;Projections!$AH$17&amp;"!O"&amp;ROW(B12))</f>
        <v>10.4</v>
      </c>
      <c r="Z31" s="73">
        <f t="array" ref="Z31">INDIRECT("Update"&amp;Projections!$AH$17&amp;"!P"&amp;ROW(B12))</f>
        <v>1.1</v>
      </c>
      <c r="AA31" s="73">
        <f t="array" ref="AA31">INDIRECT("Update"&amp;Projections!$AH$17&amp;"!Q"&amp;ROW(B12))</f>
        <v>0.7</v>
      </c>
      <c r="AB31" s="107">
        <f t="array" ref="AB31">INDIRECT("Update"&amp;Projections!$AH$17&amp;"!I"&amp;ROW(B12))</f>
        <v>0.438</v>
      </c>
      <c r="AC31" s="107">
        <f t="array" ref="AC31">INDIRECT("Update"&amp;Projections!$AH$17&amp;"!K"&amp;ROW(B12))</f>
        <v>0.871</v>
      </c>
      <c r="AD31" s="73">
        <f t="array" ref="AD31">INDIRECT("Update"&amp;Projections!$AH$17&amp;"!R"&amp;ROW(B12))</f>
        <v>2.9</v>
      </c>
      <c r="AE31" s="73">
        <f t="shared" si="16"/>
        <v>0.5298609794</v>
      </c>
      <c r="AF31" s="73">
        <f t="shared" si="17"/>
        <v>1.045993792</v>
      </c>
      <c r="AG31" s="73">
        <f t="shared" si="18"/>
        <v>0.01220953273</v>
      </c>
      <c r="AH31" s="73">
        <f t="shared" si="19"/>
        <v>2.945221464</v>
      </c>
      <c r="AI31" s="73">
        <f t="shared" si="20"/>
        <v>0.4110689458</v>
      </c>
      <c r="AJ31" s="73">
        <f t="shared" si="21"/>
        <v>-0.08033623669</v>
      </c>
      <c r="AK31" s="73">
        <f t="shared" si="22"/>
        <v>-1.021323509</v>
      </c>
      <c r="AL31" s="73">
        <f t="shared" si="23"/>
        <v>1.428099259</v>
      </c>
      <c r="AM31" s="73">
        <f t="shared" si="24"/>
        <v>-0.2855100978</v>
      </c>
      <c r="AN31" s="120">
        <f t="shared" si="25"/>
        <v>-1.021323509</v>
      </c>
      <c r="AO31" s="120">
        <f t="shared" si="26"/>
        <v>-1.306833607</v>
      </c>
      <c r="AP31" s="120">
        <f t="array" ref="AP31">INDIRECT("Update"&amp;Projections!$AH$17&amp;"!S"&amp;ROW(B12))</f>
        <v>14.8</v>
      </c>
      <c r="AQ31" s="120">
        <f t="array" ref="AQ31">INDIRECT("Update"&amp;Projections!$AH$17&amp;"!T"&amp;ROW(B12))</f>
        <v>5.3</v>
      </c>
      <c r="AR31" s="100">
        <f t="shared" si="27"/>
        <v>6.006607638</v>
      </c>
    </row>
    <row r="32">
      <c r="A32" s="40" t="str">
        <f t="shared" si="3"/>
        <v>Jimmy Butler</v>
      </c>
      <c r="B32" s="42">
        <f t="shared" si="4"/>
        <v>0.5840553853</v>
      </c>
      <c r="C32" s="43">
        <f t="shared" si="5"/>
        <v>-0.9444921888</v>
      </c>
      <c r="D32" s="42">
        <f t="shared" si="6"/>
        <v>-0.2623750651</v>
      </c>
      <c r="E32" s="42">
        <f t="shared" si="7"/>
        <v>0.5304476318</v>
      </c>
      <c r="F32" s="42">
        <f t="shared" si="8"/>
        <v>1.074934302</v>
      </c>
      <c r="G32" s="42">
        <f t="shared" si="9"/>
        <v>-0.7939110449</v>
      </c>
      <c r="H32" s="42">
        <f t="shared" si="10"/>
        <v>-0.07550790525</v>
      </c>
      <c r="I32" s="42">
        <f>UpdateHashtag!S30</f>
        <v>13.2</v>
      </c>
      <c r="J32" s="47">
        <f t="shared" si="11"/>
        <v>1.723598964</v>
      </c>
      <c r="K32" s="48">
        <f>UpdateHashtag!T30</f>
        <v>8.1</v>
      </c>
      <c r="L32" s="42">
        <f t="shared" si="12"/>
        <v>-0.1474667095</v>
      </c>
      <c r="M32" s="2" t="s">
        <v>121</v>
      </c>
      <c r="N32" s="100">
        <f t="shared" si="13"/>
        <v>15</v>
      </c>
      <c r="O32" s="94">
        <f t="array" ref="O32">INDIRECT("Update"&amp;Projections!$AH$17&amp;"!B"&amp;ROW(B13))</f>
        <v>12.4</v>
      </c>
      <c r="P32" s="101" t="str">
        <f t="array" ref="P32">INDIRECT("Update"&amp;Projections!$AH$17&amp;"!C"&amp;ROW(B13))</f>
        <v>Stephen Curry</v>
      </c>
      <c r="Q32" s="94">
        <f>UpdateBBM!F13</f>
        <v>42</v>
      </c>
      <c r="R32" s="105" t="str">
        <f t="array" ref="R32">INDIRECT("Update"&amp;Projections!$AH$17&amp;"!D"&amp;ROW(B13))</f>
        <v>PG,SG</v>
      </c>
      <c r="S32" s="73">
        <f t="shared" si="14"/>
        <v>5.117856705</v>
      </c>
      <c r="T32" s="73">
        <f>SUM(AE32:AM32)-IFERROR(IFS(Projections!$I$17,AN32,Projections!$J$17,AO32),"")</f>
        <v>5.117856705</v>
      </c>
      <c r="U32" s="73">
        <f t="shared" si="15"/>
        <v>0</v>
      </c>
      <c r="V32" s="73">
        <f t="array" ref="V32">INDIRECT("Update"&amp;Projections!$AH$17&amp;"!M"&amp;ROW(B13))</f>
        <v>26.4</v>
      </c>
      <c r="W32" s="73">
        <f t="array" ref="W32">INDIRECT("Update"&amp;Projections!$AH$17&amp;"!L"&amp;ROW(B13))</f>
        <v>4.8</v>
      </c>
      <c r="X32" s="73">
        <f t="array" ref="X32">INDIRECT("Update"&amp;Projections!$AH$17&amp;"!N"&amp;ROW(B13))</f>
        <v>4.5</v>
      </c>
      <c r="Y32" s="73">
        <f t="array" ref="Y32">INDIRECT("Update"&amp;Projections!$AH$17&amp;"!O"&amp;ROW(B13))</f>
        <v>5.3</v>
      </c>
      <c r="Z32" s="73">
        <f t="array" ref="Z32">INDIRECT("Update"&amp;Projections!$AH$17&amp;"!P"&amp;ROW(B13))</f>
        <v>0.8</v>
      </c>
      <c r="AA32" s="73">
        <f t="array" ref="AA32">INDIRECT("Update"&amp;Projections!$AH$17&amp;"!Q"&amp;ROW(B13))</f>
        <v>0.4</v>
      </c>
      <c r="AB32" s="107">
        <f t="array" ref="AB32">INDIRECT("Update"&amp;Projections!$AH$17&amp;"!I"&amp;ROW(B13))</f>
        <v>0.469</v>
      </c>
      <c r="AC32" s="107">
        <f t="array" ref="AC32">INDIRECT("Update"&amp;Projections!$AH$17&amp;"!K"&amp;ROW(B13))</f>
        <v>0.918</v>
      </c>
      <c r="AD32" s="73">
        <f t="array" ref="AD32">INDIRECT("Update"&amp;Projections!$AH$17&amp;"!R"&amp;ROW(B13))</f>
        <v>2.8</v>
      </c>
      <c r="AE32" s="73">
        <f t="shared" si="16"/>
        <v>1.613749097</v>
      </c>
      <c r="AF32" s="73">
        <f t="shared" si="17"/>
        <v>3.036479772</v>
      </c>
      <c r="AG32" s="73">
        <f t="shared" si="18"/>
        <v>-0.6154124053</v>
      </c>
      <c r="AH32" s="73">
        <f t="shared" si="19"/>
        <v>0.6215711726</v>
      </c>
      <c r="AI32" s="73">
        <f t="shared" si="20"/>
        <v>-0.5847290887</v>
      </c>
      <c r="AJ32" s="73">
        <f t="shared" si="21"/>
        <v>-0.6155173428</v>
      </c>
      <c r="AK32" s="73">
        <f t="shared" si="22"/>
        <v>-0.6110471256</v>
      </c>
      <c r="AL32" s="73">
        <f t="shared" si="23"/>
        <v>1.917957167</v>
      </c>
      <c r="AM32" s="73">
        <f t="shared" si="24"/>
        <v>-0.2607118843</v>
      </c>
      <c r="AN32" s="120">
        <f t="shared" si="25"/>
        <v>-0.6155173428</v>
      </c>
      <c r="AO32" s="120">
        <f t="shared" si="26"/>
        <v>-1.230929748</v>
      </c>
      <c r="AP32" s="120">
        <f t="array" ref="AP32">INDIRECT("Update"&amp;Projections!$AH$17&amp;"!S"&amp;ROW(B13))</f>
        <v>18.7</v>
      </c>
      <c r="AQ32" s="120">
        <f t="array" ref="AQ32">INDIRECT("Update"&amp;Projections!$AH$17&amp;"!T"&amp;ROW(B13))</f>
        <v>4.4</v>
      </c>
      <c r="AR32" s="100">
        <f t="shared" si="27"/>
        <v>5.917048843</v>
      </c>
    </row>
    <row r="33">
      <c r="A33" s="40" t="str">
        <f t="shared" si="3"/>
        <v>Jaren Jackson Jr.</v>
      </c>
      <c r="B33" s="42">
        <f t="shared" si="4"/>
        <v>0.6924441971</v>
      </c>
      <c r="C33" s="43">
        <f t="shared" si="5"/>
        <v>-0.04877349754</v>
      </c>
      <c r="D33" s="42">
        <f t="shared" si="6"/>
        <v>0.09066227498</v>
      </c>
      <c r="E33" s="42">
        <f t="shared" si="7"/>
        <v>-1.018652563</v>
      </c>
      <c r="F33" s="42">
        <f t="shared" si="8"/>
        <v>0.743001624</v>
      </c>
      <c r="G33" s="42">
        <f t="shared" si="9"/>
        <v>2.060388188</v>
      </c>
      <c r="H33" s="42">
        <f t="shared" si="10"/>
        <v>-0.5009186238</v>
      </c>
      <c r="I33" s="42">
        <f>UpdateHashtag!S31</f>
        <v>15.9</v>
      </c>
      <c r="J33" s="47">
        <f t="shared" si="11"/>
        <v>0.1044694981</v>
      </c>
      <c r="K33" s="48">
        <f>UpdateHashtag!T31</f>
        <v>5.8</v>
      </c>
      <c r="L33" s="42">
        <f t="shared" si="12"/>
        <v>0.34849756</v>
      </c>
      <c r="N33" s="100">
        <f t="shared" si="13"/>
        <v>13</v>
      </c>
      <c r="O33" s="94">
        <f t="array" ref="O33">INDIRECT("Update"&amp;Projections!$AH$17&amp;"!B"&amp;ROW(B14))</f>
        <v>17</v>
      </c>
      <c r="P33" s="101" t="str">
        <f t="array" ref="P33">INDIRECT("Update"&amp;Projections!$AH$17&amp;"!C"&amp;ROW(B14))</f>
        <v>Donovan Mitchell</v>
      </c>
      <c r="Q33" s="94">
        <f>UpdateBBM!F14</f>
        <v>71</v>
      </c>
      <c r="R33" s="105" t="str">
        <f t="array" ref="R33">INDIRECT("Update"&amp;Projections!$AH$17&amp;"!D"&amp;ROW(B14))</f>
        <v>PG,SG</v>
      </c>
      <c r="S33" s="73">
        <f t="shared" si="14"/>
        <v>5.687658287</v>
      </c>
      <c r="T33" s="73">
        <f>SUM(AE33:AM33)-IFERROR(IFS(Projections!$I$17,AN33,Projections!$J$17,AO33),"")</f>
        <v>5.687658287</v>
      </c>
      <c r="U33" s="73">
        <f t="shared" si="15"/>
        <v>0</v>
      </c>
      <c r="V33" s="73">
        <f t="array" ref="V33">INDIRECT("Update"&amp;Projections!$AH$17&amp;"!M"&amp;ROW(B14))</f>
        <v>26.2</v>
      </c>
      <c r="W33" s="73">
        <f t="array" ref="W33">INDIRECT("Update"&amp;Projections!$AH$17&amp;"!L"&amp;ROW(B14))</f>
        <v>3.3</v>
      </c>
      <c r="X33" s="73">
        <f t="array" ref="X33">INDIRECT("Update"&amp;Projections!$AH$17&amp;"!N"&amp;ROW(B14))</f>
        <v>4.4</v>
      </c>
      <c r="Y33" s="73">
        <f t="array" ref="Y33">INDIRECT("Update"&amp;Projections!$AH$17&amp;"!O"&amp;ROW(B14))</f>
        <v>5.4</v>
      </c>
      <c r="Z33" s="73">
        <f t="array" ref="Z33">INDIRECT("Update"&amp;Projections!$AH$17&amp;"!P"&amp;ROW(B14))</f>
        <v>1.6</v>
      </c>
      <c r="AA33" s="73">
        <f t="array" ref="AA33">INDIRECT("Update"&amp;Projections!$AH$17&amp;"!Q"&amp;ROW(B14))</f>
        <v>0.4</v>
      </c>
      <c r="AB33" s="107">
        <f t="array" ref="AB33">INDIRECT("Update"&amp;Projections!$AH$17&amp;"!I"&amp;ROW(B14))</f>
        <v>0.468</v>
      </c>
      <c r="AC33" s="107">
        <f t="array" ref="AC33">INDIRECT("Update"&amp;Projections!$AH$17&amp;"!K"&amp;ROW(B14))</f>
        <v>0.866</v>
      </c>
      <c r="AD33" s="73">
        <f t="array" ref="AD33">INDIRECT("Update"&amp;Projections!$AH$17&amp;"!R"&amp;ROW(B14))</f>
        <v>2.8</v>
      </c>
      <c r="AE33" s="73">
        <f t="shared" si="16"/>
        <v>1.577619493</v>
      </c>
      <c r="AF33" s="73">
        <f t="shared" si="17"/>
        <v>1.543615287</v>
      </c>
      <c r="AG33" s="73">
        <f t="shared" si="18"/>
        <v>-0.6546387764</v>
      </c>
      <c r="AH33" s="73">
        <f t="shared" si="19"/>
        <v>0.6671329431</v>
      </c>
      <c r="AI33" s="73">
        <f t="shared" si="20"/>
        <v>2.070732337</v>
      </c>
      <c r="AJ33" s="73">
        <f t="shared" si="21"/>
        <v>-0.6155173428</v>
      </c>
      <c r="AK33" s="73">
        <f t="shared" si="22"/>
        <v>-0.6600421969</v>
      </c>
      <c r="AL33" s="73">
        <f t="shared" si="23"/>
        <v>1.35942623</v>
      </c>
      <c r="AM33" s="73">
        <f t="shared" si="24"/>
        <v>-0.2607118843</v>
      </c>
      <c r="AN33" s="120">
        <f t="shared" si="25"/>
        <v>-0.6600421969</v>
      </c>
      <c r="AO33" s="120">
        <f t="shared" si="26"/>
        <v>-1.314680973</v>
      </c>
      <c r="AP33" s="120">
        <f t="array" ref="AP33">INDIRECT("Update"&amp;Projections!$AH$17&amp;"!S"&amp;ROW(B14))</f>
        <v>19.5</v>
      </c>
      <c r="AQ33" s="120">
        <f t="array" ref="AQ33">INDIRECT("Update"&amp;Projections!$AH$17&amp;"!T"&amp;ROW(B14))</f>
        <v>5.4</v>
      </c>
      <c r="AR33" s="100">
        <f t="shared" si="27"/>
        <v>5.687658287</v>
      </c>
    </row>
    <row r="34">
      <c r="A34" s="40" t="str">
        <f t="shared" si="3"/>
        <v>Tyrese Maxey</v>
      </c>
      <c r="B34" s="42">
        <f t="shared" si="4"/>
        <v>1.252453058</v>
      </c>
      <c r="C34" s="43">
        <f t="shared" si="5"/>
        <v>1.24504239</v>
      </c>
      <c r="D34" s="42">
        <f t="shared" si="6"/>
        <v>-1.007676117</v>
      </c>
      <c r="E34" s="42">
        <f t="shared" si="7"/>
        <v>0.8949417952</v>
      </c>
      <c r="F34" s="42">
        <f t="shared" si="8"/>
        <v>0.07913626764</v>
      </c>
      <c r="G34" s="42">
        <f t="shared" si="9"/>
        <v>-0.7939110449</v>
      </c>
      <c r="H34" s="42">
        <f t="shared" si="10"/>
        <v>-0.7685500776</v>
      </c>
      <c r="I34" s="42">
        <f>UpdateHashtag!S32</f>
        <v>18.8</v>
      </c>
      <c r="J34" s="47">
        <f t="shared" si="11"/>
        <v>1.089387213</v>
      </c>
      <c r="K34" s="48">
        <f>UpdateHashtag!T32</f>
        <v>4.8</v>
      </c>
      <c r="L34" s="42">
        <f t="shared" si="12"/>
        <v>-0.1474667095</v>
      </c>
      <c r="N34" s="100">
        <f t="shared" si="13"/>
        <v>16</v>
      </c>
      <c r="O34" s="94">
        <f t="array" ref="O34">INDIRECT("Update"&amp;Projections!$AH$17&amp;"!B"&amp;ROW(B15))</f>
        <v>26.6</v>
      </c>
      <c r="P34" s="101" t="str">
        <f t="array" ref="P34">INDIRECT("Update"&amp;Projections!$AH$17&amp;"!C"&amp;ROW(B15))</f>
        <v>Kyrie Irving</v>
      </c>
      <c r="Q34" s="94">
        <f>UpdateBBM!F15</f>
        <v>66</v>
      </c>
      <c r="R34" s="105" t="str">
        <f t="array" ref="R34">INDIRECT("Update"&amp;Projections!$AH$17&amp;"!D"&amp;ROW(B15))</f>
        <v>PG,SG</v>
      </c>
      <c r="S34" s="73">
        <f t="shared" si="14"/>
        <v>4.96917405</v>
      </c>
      <c r="T34" s="73">
        <f>SUM(AE34:AM34)-IFERROR(IFS(Projections!$I$17,AN34,Projections!$J$17,AO34),"")</f>
        <v>4.96917405</v>
      </c>
      <c r="U34" s="73">
        <f t="shared" si="15"/>
        <v>0</v>
      </c>
      <c r="V34" s="73">
        <f t="array" ref="V34">INDIRECT("Update"&amp;Projections!$AH$17&amp;"!M"&amp;ROW(B15))</f>
        <v>24.6</v>
      </c>
      <c r="W34" s="73">
        <f t="array" ref="W34">INDIRECT("Update"&amp;Projections!$AH$17&amp;"!L"&amp;ROW(B15))</f>
        <v>3</v>
      </c>
      <c r="X34" s="73">
        <f t="array" ref="X34">INDIRECT("Update"&amp;Projections!$AH$17&amp;"!N"&amp;ROW(B15))</f>
        <v>4.9</v>
      </c>
      <c r="Y34" s="73">
        <f t="array" ref="Y34">INDIRECT("Update"&amp;Projections!$AH$17&amp;"!O"&amp;ROW(B15))</f>
        <v>5.2</v>
      </c>
      <c r="Z34" s="73">
        <f t="array" ref="Z34">INDIRECT("Update"&amp;Projections!$AH$17&amp;"!P"&amp;ROW(B15))</f>
        <v>1.2</v>
      </c>
      <c r="AA34" s="73">
        <f t="array" ref="AA34">INDIRECT("Update"&amp;Projections!$AH$17&amp;"!Q"&amp;ROW(B15))</f>
        <v>0.6</v>
      </c>
      <c r="AB34" s="107">
        <f t="array" ref="AB34">INDIRECT("Update"&amp;Projections!$AH$17&amp;"!I"&amp;ROW(B15))</f>
        <v>0.495</v>
      </c>
      <c r="AC34" s="107">
        <f t="array" ref="AC34">INDIRECT("Update"&amp;Projections!$AH$17&amp;"!K"&amp;ROW(B15))</f>
        <v>0.907</v>
      </c>
      <c r="AD34" s="73">
        <f t="array" ref="AD34">INDIRECT("Update"&amp;Projections!$AH$17&amp;"!R"&amp;ROW(B15))</f>
        <v>1.8</v>
      </c>
      <c r="AE34" s="73">
        <f t="shared" si="16"/>
        <v>1.288582662</v>
      </c>
      <c r="AF34" s="73">
        <f t="shared" si="17"/>
        <v>1.24504239</v>
      </c>
      <c r="AG34" s="73">
        <f t="shared" si="18"/>
        <v>-0.4585069208</v>
      </c>
      <c r="AH34" s="73">
        <f t="shared" si="19"/>
        <v>0.5760094022</v>
      </c>
      <c r="AI34" s="73">
        <f t="shared" si="20"/>
        <v>0.743001624</v>
      </c>
      <c r="AJ34" s="73">
        <f t="shared" si="21"/>
        <v>-0.2587299387</v>
      </c>
      <c r="AK34" s="73">
        <f t="shared" si="22"/>
        <v>-0.04099985184</v>
      </c>
      <c r="AL34" s="73">
        <f t="shared" si="23"/>
        <v>1.428997513</v>
      </c>
      <c r="AM34" s="73">
        <f t="shared" si="24"/>
        <v>-0.01272974958</v>
      </c>
      <c r="AN34" s="120">
        <f t="shared" si="25"/>
        <v>-0.4585069208</v>
      </c>
      <c r="AO34" s="120">
        <f t="shared" si="26"/>
        <v>-0.7172368595</v>
      </c>
      <c r="AP34" s="120">
        <f t="array" ref="AP34">INDIRECT("Update"&amp;Projections!$AH$17&amp;"!S"&amp;ROW(B15))</f>
        <v>18.6</v>
      </c>
      <c r="AQ34" s="120">
        <f t="array" ref="AQ34">INDIRECT("Update"&amp;Projections!$AH$17&amp;"!T"&amp;ROW(B15))</f>
        <v>3.6</v>
      </c>
      <c r="AR34" s="100">
        <f t="shared" si="27"/>
        <v>5.232692331</v>
      </c>
    </row>
    <row r="35">
      <c r="A35" s="40" t="str">
        <f t="shared" si="3"/>
        <v>Fred VanVleet</v>
      </c>
      <c r="B35" s="42">
        <f t="shared" si="4"/>
        <v>-0.03014788142</v>
      </c>
      <c r="C35" s="43">
        <f t="shared" si="5"/>
        <v>1.145518091</v>
      </c>
      <c r="D35" s="42">
        <f t="shared" si="6"/>
        <v>-0.9292233743</v>
      </c>
      <c r="E35" s="42">
        <f t="shared" si="7"/>
        <v>1.669491892</v>
      </c>
      <c r="F35" s="42">
        <f t="shared" si="8"/>
        <v>1.40686698</v>
      </c>
      <c r="G35" s="42">
        <f t="shared" si="9"/>
        <v>-0.08033623669</v>
      </c>
      <c r="H35" s="42">
        <f t="shared" si="10"/>
        <v>-1.50182448</v>
      </c>
      <c r="I35" s="42">
        <f>UpdateHashtag!S33</f>
        <v>14.1</v>
      </c>
      <c r="J35" s="47">
        <f t="shared" si="11"/>
        <v>0.952261615</v>
      </c>
      <c r="K35" s="48">
        <f>UpdateHashtag!T33</f>
        <v>3.4</v>
      </c>
      <c r="L35" s="42">
        <f t="shared" si="12"/>
        <v>0.05091899834</v>
      </c>
      <c r="N35" s="100">
        <f t="shared" si="13"/>
        <v>18</v>
      </c>
      <c r="O35" s="94">
        <f t="array" ref="O35">INDIRECT("Update"&amp;Projections!$AH$17&amp;"!B"&amp;ROW(B16))</f>
        <v>18.3</v>
      </c>
      <c r="P35" s="101" t="str">
        <f t="array" ref="P35">INDIRECT("Update"&amp;Projections!$AH$17&amp;"!C"&amp;ROW(B16))</f>
        <v>Kevin Durant</v>
      </c>
      <c r="Q35" s="94">
        <f>UpdateBBM!F16</f>
        <v>71</v>
      </c>
      <c r="R35" s="105" t="str">
        <f t="array" ref="R35">INDIRECT("Update"&amp;Projections!$AH$17&amp;"!D"&amp;ROW(B16))</f>
        <v>SF,PF</v>
      </c>
      <c r="S35" s="73">
        <f t="shared" si="14"/>
        <v>4.302894302</v>
      </c>
      <c r="T35" s="73">
        <f>SUM(AE35:AM35)-IFERROR(IFS(Projections!$I$17,AN35,Projections!$J$17,AO35),"")</f>
        <v>4.302894302</v>
      </c>
      <c r="U35" s="73">
        <f t="shared" si="15"/>
        <v>0</v>
      </c>
      <c r="V35" s="73">
        <f t="array" ref="V35">INDIRECT("Update"&amp;Projections!$AH$17&amp;"!M"&amp;ROW(B16))</f>
        <v>25.7</v>
      </c>
      <c r="W35" s="73">
        <f t="array" ref="W35">INDIRECT("Update"&amp;Projections!$AH$17&amp;"!L"&amp;ROW(B16))</f>
        <v>2.1</v>
      </c>
      <c r="X35" s="73">
        <f t="array" ref="X35">INDIRECT("Update"&amp;Projections!$AH$17&amp;"!N"&amp;ROW(B16))</f>
        <v>6.4</v>
      </c>
      <c r="Y35" s="73">
        <f t="array" ref="Y35">INDIRECT("Update"&amp;Projections!$AH$17&amp;"!O"&amp;ROW(B16))</f>
        <v>4.8</v>
      </c>
      <c r="Z35" s="73">
        <f t="array" ref="Z35">INDIRECT("Update"&amp;Projections!$AH$17&amp;"!P"&amp;ROW(B16))</f>
        <v>0.8</v>
      </c>
      <c r="AA35" s="73">
        <f t="array" ref="AA35">INDIRECT("Update"&amp;Projections!$AH$17&amp;"!Q"&amp;ROW(B16))</f>
        <v>1.2</v>
      </c>
      <c r="AB35" s="107">
        <f t="array" ref="AB35">INDIRECT("Update"&amp;Projections!$AH$17&amp;"!I"&amp;ROW(B16))</f>
        <v>0.52</v>
      </c>
      <c r="AC35" s="107">
        <f t="array" ref="AC35">INDIRECT("Update"&amp;Projections!$AH$17&amp;"!K"&amp;ROW(B16))</f>
        <v>0.846</v>
      </c>
      <c r="AD35" s="73">
        <f t="array" ref="AD35">INDIRECT("Update"&amp;Projections!$AH$17&amp;"!R"&amp;ROW(B16))</f>
        <v>3.2</v>
      </c>
      <c r="AE35" s="73">
        <f t="shared" si="16"/>
        <v>1.487295483</v>
      </c>
      <c r="AF35" s="73">
        <f t="shared" si="17"/>
        <v>0.3493236986</v>
      </c>
      <c r="AG35" s="73">
        <f t="shared" si="18"/>
        <v>0.1298886461</v>
      </c>
      <c r="AH35" s="73">
        <f t="shared" si="19"/>
        <v>0.3937623205</v>
      </c>
      <c r="AI35" s="73">
        <f t="shared" si="20"/>
        <v>-0.5847290887</v>
      </c>
      <c r="AJ35" s="73">
        <f t="shared" si="21"/>
        <v>0.8116322736</v>
      </c>
      <c r="AK35" s="73">
        <f t="shared" si="22"/>
        <v>0.4958518543</v>
      </c>
      <c r="AL35" s="73">
        <f t="shared" si="23"/>
        <v>0.9950447639</v>
      </c>
      <c r="AM35" s="73">
        <f t="shared" si="24"/>
        <v>-0.3599047382</v>
      </c>
      <c r="AN35" s="120">
        <f t="shared" si="25"/>
        <v>-0.5847290887</v>
      </c>
      <c r="AO35" s="120">
        <f t="shared" si="26"/>
        <v>-0.9446338269</v>
      </c>
      <c r="AP35" s="120">
        <f t="array" ref="AP35">INDIRECT("Update"&amp;Projections!$AH$17&amp;"!S"&amp;ROW(B16))</f>
        <v>18.3</v>
      </c>
      <c r="AQ35" s="120">
        <f t="array" ref="AQ35">INDIRECT("Update"&amp;Projections!$AH$17&amp;"!T"&amp;ROW(B16))</f>
        <v>5.5</v>
      </c>
      <c r="AR35" s="100">
        <f t="shared" si="27"/>
        <v>5.117856705</v>
      </c>
    </row>
    <row r="36">
      <c r="A36" s="40" t="str">
        <f t="shared" si="3"/>
        <v>Jalen Johnson</v>
      </c>
      <c r="B36" s="42">
        <f t="shared" si="4"/>
        <v>0.1324353362</v>
      </c>
      <c r="C36" s="43">
        <f t="shared" si="5"/>
        <v>-0.3473463946</v>
      </c>
      <c r="D36" s="42">
        <f t="shared" si="6"/>
        <v>1.228227038</v>
      </c>
      <c r="E36" s="42">
        <f t="shared" si="7"/>
        <v>-0.198540695</v>
      </c>
      <c r="F36" s="42">
        <f t="shared" si="8"/>
        <v>1.074934302</v>
      </c>
      <c r="G36" s="42">
        <f t="shared" si="9"/>
        <v>0.4548448695</v>
      </c>
      <c r="H36" s="42">
        <f t="shared" si="10"/>
        <v>0.1039898559</v>
      </c>
      <c r="I36" s="42">
        <f>UpdateHashtag!S34</f>
        <v>14.5</v>
      </c>
      <c r="J36" s="47">
        <f t="shared" si="11"/>
        <v>-0.4920812623</v>
      </c>
      <c r="K36" s="48">
        <f>UpdateHashtag!T34</f>
        <v>2.9</v>
      </c>
      <c r="L36" s="42">
        <f t="shared" si="12"/>
        <v>-0.04827385557</v>
      </c>
      <c r="N36" s="100">
        <f t="shared" si="13"/>
        <v>17</v>
      </c>
      <c r="O36" s="94">
        <f t="array" ref="O36">INDIRECT("Update"&amp;Projections!$AH$17&amp;"!B"&amp;ROW(B17))</f>
        <v>24.2</v>
      </c>
      <c r="P36" s="101" t="str">
        <f t="array" ref="P36">INDIRECT("Update"&amp;Projections!$AH$17&amp;"!C"&amp;ROW(B17))</f>
        <v>LeBron James</v>
      </c>
      <c r="Q36" s="94">
        <f>UpdateBBM!F17</f>
        <v>65</v>
      </c>
      <c r="R36" s="105" t="str">
        <f t="array" ref="R36">INDIRECT("Update"&amp;Projections!$AH$17&amp;"!D"&amp;ROW(B17))</f>
        <v>SF,PF</v>
      </c>
      <c r="S36" s="73">
        <f t="shared" si="14"/>
        <v>4.50839274</v>
      </c>
      <c r="T36" s="73">
        <f>SUM(AE36:AM36)-IFERROR(IFS(Projections!$I$17,AN36,Projections!$J$17,AO36),"")</f>
        <v>4.50839274</v>
      </c>
      <c r="U36" s="73">
        <f t="shared" si="15"/>
        <v>0</v>
      </c>
      <c r="V36" s="73">
        <f t="array" ref="V36">INDIRECT("Update"&amp;Projections!$AH$17&amp;"!M"&amp;ROW(B17))</f>
        <v>25.2</v>
      </c>
      <c r="W36" s="73">
        <f t="array" ref="W36">INDIRECT("Update"&amp;Projections!$AH$17&amp;"!L"&amp;ROW(B17))</f>
        <v>2.1</v>
      </c>
      <c r="X36" s="73">
        <f t="array" ref="X36">INDIRECT("Update"&amp;Projections!$AH$17&amp;"!N"&amp;ROW(B17))</f>
        <v>7.2</v>
      </c>
      <c r="Y36" s="73">
        <f t="array" ref="Y36">INDIRECT("Update"&amp;Projections!$AH$17&amp;"!O"&amp;ROW(B17))</f>
        <v>8.2</v>
      </c>
      <c r="Z36" s="73">
        <f t="array" ref="Z36">INDIRECT("Update"&amp;Projections!$AH$17&amp;"!P"&amp;ROW(B17))</f>
        <v>1.1</v>
      </c>
      <c r="AA36" s="73">
        <f t="array" ref="AA36">INDIRECT("Update"&amp;Projections!$AH$17&amp;"!Q"&amp;ROW(B17))</f>
        <v>0.5</v>
      </c>
      <c r="AB36" s="107">
        <f t="array" ref="AB36">INDIRECT("Update"&amp;Projections!$AH$17&amp;"!I"&amp;ROW(B17))</f>
        <v>0.535</v>
      </c>
      <c r="AC36" s="107">
        <f t="array" ref="AC36">INDIRECT("Update"&amp;Projections!$AH$17&amp;"!K"&amp;ROW(B17))</f>
        <v>0.758</v>
      </c>
      <c r="AD36" s="73">
        <f t="array" ref="AD36">INDIRECT("Update"&amp;Projections!$AH$17&amp;"!R"&amp;ROW(B17))</f>
        <v>3.3</v>
      </c>
      <c r="AE36" s="73">
        <f t="shared" si="16"/>
        <v>1.396971474</v>
      </c>
      <c r="AF36" s="73">
        <f t="shared" si="17"/>
        <v>0.3493236986</v>
      </c>
      <c r="AG36" s="73">
        <f t="shared" si="18"/>
        <v>0.4436996151</v>
      </c>
      <c r="AH36" s="73">
        <f t="shared" si="19"/>
        <v>1.942862515</v>
      </c>
      <c r="AI36" s="73">
        <f t="shared" si="20"/>
        <v>0.4110689458</v>
      </c>
      <c r="AJ36" s="73">
        <f t="shared" si="21"/>
        <v>-0.4371236408</v>
      </c>
      <c r="AK36" s="73">
        <f t="shared" si="22"/>
        <v>0.7862930848</v>
      </c>
      <c r="AL36" s="73">
        <f t="shared" si="23"/>
        <v>-0.732074511</v>
      </c>
      <c r="AM36" s="73">
        <f t="shared" si="24"/>
        <v>-0.3847029517</v>
      </c>
      <c r="AN36" s="120">
        <f t="shared" si="25"/>
        <v>-0.732074511</v>
      </c>
      <c r="AO36" s="120">
        <f t="shared" si="26"/>
        <v>-1.169198152</v>
      </c>
      <c r="AP36" s="120">
        <f t="array" ref="AP36">INDIRECT("Update"&amp;Projections!$AH$17&amp;"!S"&amp;ROW(B17))</f>
        <v>17.6</v>
      </c>
      <c r="AQ36" s="120">
        <f t="array" ref="AQ36">INDIRECT("Update"&amp;Projections!$AH$17&amp;"!T"&amp;ROW(B17))</f>
        <v>5.6</v>
      </c>
      <c r="AR36" s="100">
        <f t="shared" si="27"/>
        <v>4.96917405</v>
      </c>
    </row>
    <row r="37">
      <c r="A37" s="40" t="str">
        <f t="shared" si="3"/>
        <v>De'Aaron Fox</v>
      </c>
      <c r="B37" s="42">
        <f t="shared" si="4"/>
        <v>1.378906672</v>
      </c>
      <c r="C37" s="43">
        <f t="shared" si="5"/>
        <v>0.7474208947</v>
      </c>
      <c r="D37" s="42">
        <f t="shared" si="6"/>
        <v>-0.7330915186</v>
      </c>
      <c r="E37" s="42">
        <f t="shared" si="7"/>
        <v>0.7126947135</v>
      </c>
      <c r="F37" s="42">
        <f t="shared" si="8"/>
        <v>2.402665015</v>
      </c>
      <c r="G37" s="42">
        <f t="shared" si="9"/>
        <v>-0.6155173428</v>
      </c>
      <c r="H37" s="42">
        <f t="shared" si="10"/>
        <v>-0.5657100942</v>
      </c>
      <c r="I37" s="42">
        <f>UpdateHashtag!S35</f>
        <v>19.4</v>
      </c>
      <c r="J37" s="47">
        <f t="shared" si="11"/>
        <v>-0.7122425678</v>
      </c>
      <c r="K37" s="48">
        <f>UpdateHashtag!T35</f>
        <v>5.6</v>
      </c>
      <c r="L37" s="42">
        <f t="shared" si="12"/>
        <v>0.7452689757</v>
      </c>
      <c r="N37" s="100">
        <f t="shared" si="13"/>
        <v>20</v>
      </c>
      <c r="O37" s="94">
        <f t="array" ref="O37">INDIRECT("Update"&amp;Projections!$AH$17&amp;"!B"&amp;ROW(B18))</f>
        <v>19</v>
      </c>
      <c r="P37" s="101" t="str">
        <f t="array" ref="P37">INDIRECT("Update"&amp;Projections!$AH$17&amp;"!C"&amp;ROW(B18))</f>
        <v>Scottie Barnes</v>
      </c>
      <c r="Q37" s="94">
        <f>UpdateBBM!F18</f>
        <v>66</v>
      </c>
      <c r="R37" s="105" t="str">
        <f t="array" ref="R37">INDIRECT("Update"&amp;Projections!$AH$17&amp;"!D"&amp;ROW(B18))</f>
        <v>SG,SF,PF</v>
      </c>
      <c r="S37" s="73">
        <f t="shared" si="14"/>
        <v>4.261179524</v>
      </c>
      <c r="T37" s="73">
        <f>SUM(AE37:AM37)-IFERROR(IFS(Projections!$I$17,AN37,Projections!$J$17,AO37),"")</f>
        <v>4.261179524</v>
      </c>
      <c r="U37" s="73">
        <f t="shared" si="15"/>
        <v>0</v>
      </c>
      <c r="V37" s="73">
        <f t="array" ref="V37">INDIRECT("Update"&amp;Projections!$AH$17&amp;"!M"&amp;ROW(B18))</f>
        <v>19.1</v>
      </c>
      <c r="W37" s="73">
        <f t="array" ref="W37">INDIRECT("Update"&amp;Projections!$AH$17&amp;"!L"&amp;ROW(B18))</f>
        <v>1.7</v>
      </c>
      <c r="X37" s="73">
        <f t="array" ref="X37">INDIRECT("Update"&amp;Projections!$AH$17&amp;"!N"&amp;ROW(B18))</f>
        <v>8.3</v>
      </c>
      <c r="Y37" s="73">
        <f t="array" ref="Y37">INDIRECT("Update"&amp;Projections!$AH$17&amp;"!O"&amp;ROW(B18))</f>
        <v>6</v>
      </c>
      <c r="Z37" s="73">
        <f t="array" ref="Z37">INDIRECT("Update"&amp;Projections!$AH$17&amp;"!P"&amp;ROW(B18))</f>
        <v>1.3</v>
      </c>
      <c r="AA37" s="73">
        <f t="array" ref="AA37">INDIRECT("Update"&amp;Projections!$AH$17&amp;"!Q"&amp;ROW(B18))</f>
        <v>1.5</v>
      </c>
      <c r="AB37" s="107">
        <f t="array" ref="AB37">INDIRECT("Update"&amp;Projections!$AH$17&amp;"!I"&amp;ROW(B18))</f>
        <v>0.479</v>
      </c>
      <c r="AC37" s="107">
        <f t="array" ref="AC37">INDIRECT("Update"&amp;Projections!$AH$17&amp;"!K"&amp;ROW(B18))</f>
        <v>0.791</v>
      </c>
      <c r="AD37" s="73">
        <f t="array" ref="AD37">INDIRECT("Update"&amp;Projections!$AH$17&amp;"!R"&amp;ROW(B18))</f>
        <v>2.4</v>
      </c>
      <c r="AE37" s="73">
        <f t="shared" si="16"/>
        <v>0.2950185539</v>
      </c>
      <c r="AF37" s="73">
        <f t="shared" si="17"/>
        <v>-0.04877349754</v>
      </c>
      <c r="AG37" s="73">
        <f t="shared" si="18"/>
        <v>0.8751896975</v>
      </c>
      <c r="AH37" s="73">
        <f t="shared" si="19"/>
        <v>0.9405035656</v>
      </c>
      <c r="AI37" s="73">
        <f t="shared" si="20"/>
        <v>1.074934302</v>
      </c>
      <c r="AJ37" s="73">
        <f t="shared" si="21"/>
        <v>1.34681338</v>
      </c>
      <c r="AK37" s="73">
        <f t="shared" si="22"/>
        <v>-0.3038664622</v>
      </c>
      <c r="AL37" s="73">
        <f t="shared" si="23"/>
        <v>-0.06098744677</v>
      </c>
      <c r="AM37" s="73">
        <f t="shared" si="24"/>
        <v>-0.1615190304</v>
      </c>
      <c r="AN37" s="120">
        <f t="shared" si="25"/>
        <v>-0.3038664622</v>
      </c>
      <c r="AO37" s="120">
        <f t="shared" si="26"/>
        <v>-0.4653854926</v>
      </c>
      <c r="AP37" s="120">
        <f t="array" ref="AP37">INDIRECT("Update"&amp;Projections!$AH$17&amp;"!S"&amp;ROW(B18))</f>
        <v>14.5</v>
      </c>
      <c r="AQ37" s="120">
        <f t="array" ref="AQ37">INDIRECT("Update"&amp;Projections!$AH$17&amp;"!T"&amp;ROW(B18))</f>
        <v>4.4</v>
      </c>
      <c r="AR37" s="100">
        <f t="shared" si="27"/>
        <v>4.50839274</v>
      </c>
    </row>
    <row r="38">
      <c r="A38" s="40" t="str">
        <f t="shared" si="3"/>
        <v>Derrick White</v>
      </c>
      <c r="B38" s="42">
        <f t="shared" si="4"/>
        <v>-0.4095087227</v>
      </c>
      <c r="C38" s="43">
        <f t="shared" si="5"/>
        <v>0.9464694928</v>
      </c>
      <c r="D38" s="42">
        <f t="shared" si="6"/>
        <v>-0.6938651475</v>
      </c>
      <c r="E38" s="42">
        <f t="shared" si="7"/>
        <v>0.439324091</v>
      </c>
      <c r="F38" s="42">
        <f t="shared" si="8"/>
        <v>-0.2527964105</v>
      </c>
      <c r="G38" s="42">
        <f t="shared" si="9"/>
        <v>0.8116322736</v>
      </c>
      <c r="H38" s="42">
        <f t="shared" si="10"/>
        <v>-0.4751912633</v>
      </c>
      <c r="I38" s="42">
        <f>UpdateHashtag!S36</f>
        <v>11.3</v>
      </c>
      <c r="J38" s="47">
        <f t="shared" si="11"/>
        <v>0.7911763284</v>
      </c>
      <c r="K38" s="48">
        <f>UpdateHashtag!T36</f>
        <v>2.4</v>
      </c>
      <c r="L38" s="42">
        <f t="shared" si="12"/>
        <v>-0.2466595634</v>
      </c>
      <c r="N38" s="100">
        <f t="shared" si="13"/>
        <v>14</v>
      </c>
      <c r="O38" s="94">
        <f t="array" ref="O38">INDIRECT("Update"&amp;Projections!$AH$17&amp;"!B"&amp;ROW(B19))</f>
        <v>24.3</v>
      </c>
      <c r="P38" s="101" t="str">
        <f t="array" ref="P38">INDIRECT("Update"&amp;Projections!$AH$17&amp;"!C"&amp;ROW(B19))</f>
        <v>Damian Lillard</v>
      </c>
      <c r="Q38" s="94">
        <f>UpdateBBM!F19</f>
        <v>71</v>
      </c>
      <c r="R38" s="105" t="str">
        <f t="array" ref="R38">INDIRECT("Update"&amp;Projections!$AH$17&amp;"!D"&amp;ROW(B19))</f>
        <v>PG</v>
      </c>
      <c r="S38" s="73">
        <f t="shared" si="14"/>
        <v>5.232692331</v>
      </c>
      <c r="T38" s="73">
        <f>SUM(AE38:AM38)-IFERROR(IFS(Projections!$I$17,AN38,Projections!$J$17,AO38),"")</f>
        <v>5.232692331</v>
      </c>
      <c r="U38" s="73">
        <f t="shared" si="15"/>
        <v>0</v>
      </c>
      <c r="V38" s="73">
        <f t="array" ref="V38">INDIRECT("Update"&amp;Projections!$AH$17&amp;"!M"&amp;ROW(B19))</f>
        <v>24.9</v>
      </c>
      <c r="W38" s="73">
        <f t="array" ref="W38">INDIRECT("Update"&amp;Projections!$AH$17&amp;"!L"&amp;ROW(B19))</f>
        <v>3.1</v>
      </c>
      <c r="X38" s="73">
        <f t="array" ref="X38">INDIRECT("Update"&amp;Projections!$AH$17&amp;"!N"&amp;ROW(B19))</f>
        <v>4.5</v>
      </c>
      <c r="Y38" s="73">
        <f t="array" ref="Y38">INDIRECT("Update"&amp;Projections!$AH$17&amp;"!O"&amp;ROW(B19))</f>
        <v>7.1</v>
      </c>
      <c r="Z38" s="73">
        <f t="array" ref="Z38">INDIRECT("Update"&amp;Projections!$AH$17&amp;"!P"&amp;ROW(B19))</f>
        <v>0.9</v>
      </c>
      <c r="AA38" s="73">
        <f t="array" ref="AA38">INDIRECT("Update"&amp;Projections!$AH$17&amp;"!Q"&amp;ROW(B19))</f>
        <v>0.3</v>
      </c>
      <c r="AB38" s="107">
        <f t="array" ref="AB38">INDIRECT("Update"&amp;Projections!$AH$17&amp;"!I"&amp;ROW(B19))</f>
        <v>0.432</v>
      </c>
      <c r="AC38" s="107">
        <f t="array" ref="AC38">INDIRECT("Update"&amp;Projections!$AH$17&amp;"!K"&amp;ROW(B19))</f>
        <v>0.918</v>
      </c>
      <c r="AD38" s="73">
        <f t="array" ref="AD38">INDIRECT("Update"&amp;Projections!$AH$17&amp;"!R"&amp;ROW(B19))</f>
        <v>2.9</v>
      </c>
      <c r="AE38" s="73">
        <f t="shared" si="16"/>
        <v>1.342777068</v>
      </c>
      <c r="AF38" s="73">
        <f t="shared" si="17"/>
        <v>1.344566689</v>
      </c>
      <c r="AG38" s="73">
        <f t="shared" si="18"/>
        <v>-0.6154124053</v>
      </c>
      <c r="AH38" s="73">
        <f t="shared" si="19"/>
        <v>1.44168304</v>
      </c>
      <c r="AI38" s="73">
        <f t="shared" si="20"/>
        <v>-0.2527964105</v>
      </c>
      <c r="AJ38" s="73">
        <f t="shared" si="21"/>
        <v>-0.7939110449</v>
      </c>
      <c r="AK38" s="73">
        <f t="shared" si="22"/>
        <v>-1.353518242</v>
      </c>
      <c r="AL38" s="73">
        <f t="shared" si="23"/>
        <v>3.051295493</v>
      </c>
      <c r="AM38" s="73">
        <f t="shared" si="24"/>
        <v>-0.2855100978</v>
      </c>
      <c r="AN38" s="120">
        <f t="shared" si="25"/>
        <v>-1.353518242</v>
      </c>
      <c r="AO38" s="120">
        <f t="shared" si="26"/>
        <v>-2.147429287</v>
      </c>
      <c r="AP38" s="120">
        <f t="array" ref="AP38">INDIRECT("Update"&amp;Projections!$AH$17&amp;"!S"&amp;ROW(B19))</f>
        <v>17.8</v>
      </c>
      <c r="AQ38" s="120">
        <f t="array" ref="AQ38">INDIRECT("Update"&amp;Projections!$AH$17&amp;"!T"&amp;ROW(B19))</f>
        <v>7</v>
      </c>
      <c r="AR38" s="100">
        <f t="shared" si="27"/>
        <v>4.302894302</v>
      </c>
    </row>
    <row r="39">
      <c r="A39" s="40" t="str">
        <f t="shared" si="3"/>
        <v>Ja Morant</v>
      </c>
      <c r="B39" s="42">
        <f t="shared" si="4"/>
        <v>1.505360285</v>
      </c>
      <c r="C39" s="43">
        <f t="shared" si="5"/>
        <v>-0.2478220956</v>
      </c>
      <c r="D39" s="42">
        <f t="shared" si="6"/>
        <v>-0.06624320952</v>
      </c>
      <c r="E39" s="42">
        <f t="shared" si="7"/>
        <v>1.942862515</v>
      </c>
      <c r="F39" s="42">
        <f t="shared" si="8"/>
        <v>-0.2527964105</v>
      </c>
      <c r="G39" s="42">
        <f t="shared" si="9"/>
        <v>-0.4371236408</v>
      </c>
      <c r="H39" s="42">
        <f t="shared" si="10"/>
        <v>-0.6174845929</v>
      </c>
      <c r="I39" s="42">
        <f>UpdateHashtag!S37</f>
        <v>19.6</v>
      </c>
      <c r="J39" s="47">
        <f t="shared" si="11"/>
        <v>-0.1811892858</v>
      </c>
      <c r="K39" s="48">
        <f>UpdateHashtag!T37</f>
        <v>7.4</v>
      </c>
      <c r="L39" s="42">
        <f t="shared" si="12"/>
        <v>1.241233245</v>
      </c>
      <c r="N39" s="100">
        <f t="shared" si="13"/>
        <v>24</v>
      </c>
      <c r="O39" s="94">
        <f t="array" ref="O39">INDIRECT("Update"&amp;Projections!$AH$17&amp;"!B"&amp;ROW(B20))</f>
        <v>20</v>
      </c>
      <c r="P39" s="101" t="str">
        <f t="array" ref="P39">INDIRECT("Update"&amp;Projections!$AH$17&amp;"!C"&amp;ROW(B20))</f>
        <v>Devin Booker</v>
      </c>
      <c r="Q39" s="94">
        <f>UpdateBBM!F20</f>
        <v>66</v>
      </c>
      <c r="R39" s="105" t="str">
        <f t="array" ref="R39">INDIRECT("Update"&amp;Projections!$AH$17&amp;"!D"&amp;ROW(B20))</f>
        <v>PG,SG</v>
      </c>
      <c r="S39" s="73">
        <f t="shared" si="14"/>
        <v>3.974358429</v>
      </c>
      <c r="T39" s="73">
        <f>SUM(AE39:AM39)-IFERROR(IFS(Projections!$I$17,AN39,Projections!$J$17,AO39),"")</f>
        <v>3.974358429</v>
      </c>
      <c r="U39" s="73">
        <f t="shared" si="15"/>
        <v>0</v>
      </c>
      <c r="V39" s="73">
        <f t="array" ref="V39">INDIRECT("Update"&amp;Projections!$AH$17&amp;"!M"&amp;ROW(B20))</f>
        <v>27.8</v>
      </c>
      <c r="W39" s="73">
        <f t="array" ref="W39">INDIRECT("Update"&amp;Projections!$AH$17&amp;"!L"&amp;ROW(B20))</f>
        <v>2.2</v>
      </c>
      <c r="X39" s="73">
        <f t="array" ref="X39">INDIRECT("Update"&amp;Projections!$AH$17&amp;"!N"&amp;ROW(B20))</f>
        <v>4.5</v>
      </c>
      <c r="Y39" s="73">
        <f t="array" ref="Y39">INDIRECT("Update"&amp;Projections!$AH$17&amp;"!O"&amp;ROW(B20))</f>
        <v>5.5</v>
      </c>
      <c r="Z39" s="73">
        <f t="array" ref="Z39">INDIRECT("Update"&amp;Projections!$AH$17&amp;"!P"&amp;ROW(B20))</f>
        <v>1</v>
      </c>
      <c r="AA39" s="73">
        <f t="array" ref="AA39">INDIRECT("Update"&amp;Projections!$AH$17&amp;"!Q"&amp;ROW(B20))</f>
        <v>0.4</v>
      </c>
      <c r="AB39" s="107">
        <f t="array" ref="AB39">INDIRECT("Update"&amp;Projections!$AH$17&amp;"!I"&amp;ROW(B20))</f>
        <v>0.49</v>
      </c>
      <c r="AC39" s="107">
        <f t="array" ref="AC39">INDIRECT("Update"&amp;Projections!$AH$17&amp;"!K"&amp;ROW(B20))</f>
        <v>0.873</v>
      </c>
      <c r="AD39" s="73">
        <f t="array" ref="AD39">INDIRECT("Update"&amp;Projections!$AH$17&amp;"!R"&amp;ROW(B20))</f>
        <v>2.7</v>
      </c>
      <c r="AE39" s="73">
        <f t="shared" si="16"/>
        <v>1.866656325</v>
      </c>
      <c r="AF39" s="73">
        <f t="shared" si="17"/>
        <v>0.4488479976</v>
      </c>
      <c r="AG39" s="73">
        <f t="shared" si="18"/>
        <v>-0.6154124053</v>
      </c>
      <c r="AH39" s="73">
        <f t="shared" si="19"/>
        <v>0.7126947135</v>
      </c>
      <c r="AI39" s="73">
        <f t="shared" si="20"/>
        <v>0.07913626764</v>
      </c>
      <c r="AJ39" s="73">
        <f t="shared" si="21"/>
        <v>-0.6155173428</v>
      </c>
      <c r="AK39" s="73">
        <f t="shared" si="22"/>
        <v>-0.1620923834</v>
      </c>
      <c r="AL39" s="73">
        <f t="shared" si="23"/>
        <v>1.880441585</v>
      </c>
      <c r="AM39" s="73">
        <f t="shared" si="24"/>
        <v>-0.2359136709</v>
      </c>
      <c r="AN39" s="120">
        <f t="shared" si="25"/>
        <v>-0.6155173428</v>
      </c>
      <c r="AO39" s="120">
        <f t="shared" si="26"/>
        <v>-1.230929748</v>
      </c>
      <c r="AP39" s="120">
        <f t="array" ref="AP39">INDIRECT("Update"&amp;Projections!$AH$17&amp;"!S"&amp;ROW(B20))</f>
        <v>20.1</v>
      </c>
      <c r="AQ39" s="120">
        <f t="array" ref="AQ39">INDIRECT("Update"&amp;Projections!$AH$17&amp;"!T"&amp;ROW(B20))</f>
        <v>6.8</v>
      </c>
      <c r="AR39" s="100">
        <f t="shared" si="27"/>
        <v>4.276059412</v>
      </c>
    </row>
    <row r="40">
      <c r="A40" s="40" t="str">
        <f t="shared" si="3"/>
        <v>DeMar DeRozan</v>
      </c>
      <c r="B40" s="42">
        <f t="shared" si="4"/>
        <v>0.8369626128</v>
      </c>
      <c r="C40" s="43">
        <f t="shared" si="5"/>
        <v>-0.6459192917</v>
      </c>
      <c r="D40" s="42">
        <f t="shared" si="6"/>
        <v>-0.8899970031</v>
      </c>
      <c r="E40" s="42">
        <f t="shared" si="7"/>
        <v>-0.01629361326</v>
      </c>
      <c r="F40" s="42">
        <f t="shared" si="8"/>
        <v>0.4110689458</v>
      </c>
      <c r="G40" s="42">
        <f t="shared" si="9"/>
        <v>-0.2587299387</v>
      </c>
      <c r="H40" s="42">
        <f t="shared" si="10"/>
        <v>-0.1963854406</v>
      </c>
      <c r="I40" s="42">
        <f>UpdateHashtag!S38</f>
        <v>15.4</v>
      </c>
      <c r="J40" s="47">
        <f t="shared" si="11"/>
        <v>1.687849401</v>
      </c>
      <c r="K40" s="48">
        <f>UpdateHashtag!T38</f>
        <v>7</v>
      </c>
      <c r="L40" s="42">
        <f t="shared" si="12"/>
        <v>-0.04827385557</v>
      </c>
      <c r="N40" s="100">
        <f t="shared" si="13"/>
        <v>10</v>
      </c>
      <c r="O40" s="94">
        <f t="array" ref="O40">INDIRECT("Update"&amp;Projections!$AH$17&amp;"!B"&amp;ROW(B21))</f>
        <v>22.3</v>
      </c>
      <c r="P40" s="101" t="str">
        <f t="array" ref="P40">INDIRECT("Update"&amp;Projections!$AH$17&amp;"!C"&amp;ROW(B21))</f>
        <v>LaMelo Ball</v>
      </c>
      <c r="Q40" s="94">
        <f>UpdateBBM!F21</f>
        <v>75</v>
      </c>
      <c r="R40" s="105" t="str">
        <f t="array" ref="R40">INDIRECT("Update"&amp;Projections!$AH$17&amp;"!D"&amp;ROW(B21))</f>
        <v>PG,SG</v>
      </c>
      <c r="S40" s="73">
        <f t="shared" si="14"/>
        <v>6.514328656</v>
      </c>
      <c r="T40" s="73">
        <f>SUM(AE40:AM40)-IFERROR(IFS(Projections!$I$17,AN40,Projections!$J$17,AO40),"")</f>
        <v>6.514328656</v>
      </c>
      <c r="U40" s="73">
        <f t="shared" si="15"/>
        <v>0</v>
      </c>
      <c r="V40" s="73">
        <f t="array" ref="V40">INDIRECT("Update"&amp;Projections!$AH$17&amp;"!M"&amp;ROW(B21))</f>
        <v>23.2</v>
      </c>
      <c r="W40" s="73">
        <f t="array" ref="W40">INDIRECT("Update"&amp;Projections!$AH$17&amp;"!L"&amp;ROW(B21))</f>
        <v>3.6</v>
      </c>
      <c r="X40" s="73">
        <f t="array" ref="X40">INDIRECT("Update"&amp;Projections!$AH$17&amp;"!N"&amp;ROW(B21))</f>
        <v>5.7</v>
      </c>
      <c r="Y40" s="73">
        <f t="array" ref="Y40">INDIRECT("Update"&amp;Projections!$AH$17&amp;"!O"&amp;ROW(B21))</f>
        <v>8.6</v>
      </c>
      <c r="Z40" s="73">
        <f t="array" ref="Z40">INDIRECT("Update"&amp;Projections!$AH$17&amp;"!P"&amp;ROW(B21))</f>
        <v>1.6</v>
      </c>
      <c r="AA40" s="73">
        <f t="array" ref="AA40">INDIRECT("Update"&amp;Projections!$AH$17&amp;"!Q"&amp;ROW(B21))</f>
        <v>0.3</v>
      </c>
      <c r="AB40" s="107">
        <f t="array" ref="AB40">INDIRECT("Update"&amp;Projections!$AH$17&amp;"!I"&amp;ROW(B21))</f>
        <v>0.427</v>
      </c>
      <c r="AC40" s="107">
        <f t="array" ref="AC40">INDIRECT("Update"&amp;Projections!$AH$17&amp;"!K"&amp;ROW(B21))</f>
        <v>0.857</v>
      </c>
      <c r="AD40" s="73">
        <f t="array" ref="AD40">INDIRECT("Update"&amp;Projections!$AH$17&amp;"!R"&amp;ROW(B21))</f>
        <v>3.5</v>
      </c>
      <c r="AE40" s="73">
        <f t="shared" si="16"/>
        <v>1.035675434</v>
      </c>
      <c r="AF40" s="73">
        <f t="shared" si="17"/>
        <v>1.842188184</v>
      </c>
      <c r="AG40" s="73">
        <f t="shared" si="18"/>
        <v>-0.1446959518</v>
      </c>
      <c r="AH40" s="73">
        <f t="shared" si="19"/>
        <v>2.125109597</v>
      </c>
      <c r="AI40" s="73">
        <f t="shared" si="20"/>
        <v>2.070732337</v>
      </c>
      <c r="AJ40" s="73">
        <f t="shared" si="21"/>
        <v>-0.7939110449</v>
      </c>
      <c r="AK40" s="73">
        <f t="shared" si="22"/>
        <v>-1.572486821</v>
      </c>
      <c r="AL40" s="73">
        <f t="shared" si="23"/>
        <v>0.81352948</v>
      </c>
      <c r="AM40" s="73">
        <f t="shared" si="24"/>
        <v>-0.4342993787</v>
      </c>
      <c r="AN40" s="120">
        <f t="shared" si="25"/>
        <v>-1.572486821</v>
      </c>
      <c r="AO40" s="120">
        <f t="shared" si="26"/>
        <v>-2.366397866</v>
      </c>
      <c r="AP40" s="120">
        <f t="array" ref="AP40">INDIRECT("Update"&amp;Projections!$AH$17&amp;"!S"&amp;ROW(B21))</f>
        <v>19.2</v>
      </c>
      <c r="AQ40" s="120">
        <f t="array" ref="AQ40">INDIRECT("Update"&amp;Projections!$AH$17&amp;"!T"&amp;ROW(B21))</f>
        <v>3.7</v>
      </c>
      <c r="AR40" s="100">
        <f t="shared" si="27"/>
        <v>4.261179524</v>
      </c>
    </row>
    <row r="41">
      <c r="A41" s="40" t="str">
        <f t="shared" si="3"/>
        <v>Evan Mobley</v>
      </c>
      <c r="B41" s="42">
        <f t="shared" si="4"/>
        <v>-0.246925505</v>
      </c>
      <c r="C41" s="43">
        <f t="shared" si="5"/>
        <v>-1.342589385</v>
      </c>
      <c r="D41" s="42">
        <f t="shared" si="6"/>
        <v>1.228227038</v>
      </c>
      <c r="E41" s="42">
        <f t="shared" si="7"/>
        <v>-0.2441024654</v>
      </c>
      <c r="F41" s="42">
        <f t="shared" si="8"/>
        <v>-0.2527964105</v>
      </c>
      <c r="G41" s="42">
        <f t="shared" si="9"/>
        <v>1.34681338</v>
      </c>
      <c r="H41" s="42">
        <f t="shared" si="10"/>
        <v>1.017014271</v>
      </c>
      <c r="I41" s="42">
        <f>UpdateHashtag!S39</f>
        <v>11.4</v>
      </c>
      <c r="J41" s="47">
        <f t="shared" si="11"/>
        <v>-0.8785907306</v>
      </c>
      <c r="K41" s="48">
        <f>UpdateHashtag!T39</f>
        <v>3.6</v>
      </c>
      <c r="L41" s="42">
        <f t="shared" si="12"/>
        <v>0.05091899834</v>
      </c>
      <c r="N41" s="100">
        <f t="shared" si="13"/>
        <v>25</v>
      </c>
      <c r="O41" s="94">
        <f t="array" ref="O41">INDIRECT("Update"&amp;Projections!$AH$17&amp;"!B"&amp;ROW(B22))</f>
        <v>22.1</v>
      </c>
      <c r="P41" s="101" t="str">
        <f t="array" ref="P41">INDIRECT("Update"&amp;Projections!$AH$17&amp;"!C"&amp;ROW(B22))</f>
        <v>Karl-Anthony Towns</v>
      </c>
      <c r="Q41" s="94">
        <f>UpdateBBM!F22</f>
        <v>66</v>
      </c>
      <c r="R41" s="105" t="str">
        <f t="array" ref="R41">INDIRECT("Update"&amp;Projections!$AH$17&amp;"!D"&amp;ROW(B22))</f>
        <v>PF,C</v>
      </c>
      <c r="S41" s="73">
        <f t="shared" si="14"/>
        <v>3.866715015</v>
      </c>
      <c r="T41" s="73">
        <f>SUM(AE41:AM41)-IFERROR(IFS(Projections!$I$17,AN41,Projections!$J$17,AO41),"")</f>
        <v>3.866715015</v>
      </c>
      <c r="U41" s="73">
        <f t="shared" si="15"/>
        <v>0</v>
      </c>
      <c r="V41" s="73">
        <f t="array" ref="V41">INDIRECT("Update"&amp;Projections!$AH$17&amp;"!M"&amp;ROW(B22))</f>
        <v>21.4</v>
      </c>
      <c r="W41" s="73">
        <f t="array" ref="W41">INDIRECT("Update"&amp;Projections!$AH$17&amp;"!L"&amp;ROW(B22))</f>
        <v>2.2</v>
      </c>
      <c r="X41" s="73">
        <f t="array" ref="X41">INDIRECT("Update"&amp;Projections!$AH$17&amp;"!N"&amp;ROW(B22))</f>
        <v>9.5</v>
      </c>
      <c r="Y41" s="73">
        <f t="array" ref="Y41">INDIRECT("Update"&amp;Projections!$AH$17&amp;"!O"&amp;ROW(B22))</f>
        <v>3.3</v>
      </c>
      <c r="Z41" s="73">
        <f t="array" ref="Z41">INDIRECT("Update"&amp;Projections!$AH$17&amp;"!P"&amp;ROW(B22))</f>
        <v>0.7</v>
      </c>
      <c r="AA41" s="73">
        <f t="array" ref="AA41">INDIRECT("Update"&amp;Projections!$AH$17&amp;"!Q"&amp;ROW(B22))</f>
        <v>1</v>
      </c>
      <c r="AB41" s="107">
        <f t="array" ref="AB41">INDIRECT("Update"&amp;Projections!$AH$17&amp;"!I"&amp;ROW(B22))</f>
        <v>0.501</v>
      </c>
      <c r="AC41" s="107">
        <f t="array" ref="AC41">INDIRECT("Update"&amp;Projections!$AH$17&amp;"!K"&amp;ROW(B22))</f>
        <v>0.873</v>
      </c>
      <c r="AD41" s="73">
        <f t="array" ref="AD41">INDIRECT("Update"&amp;Projections!$AH$17&amp;"!R"&amp;ROW(B22))</f>
        <v>2.9</v>
      </c>
      <c r="AE41" s="73">
        <f t="shared" si="16"/>
        <v>0.7105089991</v>
      </c>
      <c r="AF41" s="73">
        <f t="shared" si="17"/>
        <v>0.4488479976</v>
      </c>
      <c r="AG41" s="73">
        <f t="shared" si="18"/>
        <v>1.345906151</v>
      </c>
      <c r="AH41" s="73">
        <f t="shared" si="19"/>
        <v>-0.2896642358</v>
      </c>
      <c r="AI41" s="73">
        <f t="shared" si="20"/>
        <v>-0.9166617668</v>
      </c>
      <c r="AJ41" s="73">
        <f t="shared" si="21"/>
        <v>0.4548448695</v>
      </c>
      <c r="AK41" s="73">
        <f t="shared" si="22"/>
        <v>0.07145014314</v>
      </c>
      <c r="AL41" s="73">
        <f t="shared" si="23"/>
        <v>1.410331189</v>
      </c>
      <c r="AM41" s="73">
        <f t="shared" si="24"/>
        <v>-0.2855100978</v>
      </c>
      <c r="AN41" s="120">
        <f t="shared" si="25"/>
        <v>-0.9166617668</v>
      </c>
      <c r="AO41" s="120">
        <f t="shared" si="26"/>
        <v>-1.206326003</v>
      </c>
      <c r="AP41" s="120">
        <f t="array" ref="AP41">INDIRECT("Update"&amp;Projections!$AH$17&amp;"!S"&amp;ROW(B22))</f>
        <v>14.8</v>
      </c>
      <c r="AQ41" s="120">
        <f t="array" ref="AQ41">INDIRECT("Update"&amp;Projections!$AH$17&amp;"!T"&amp;ROW(B22))</f>
        <v>5.1</v>
      </c>
      <c r="AR41" s="100">
        <f t="shared" si="27"/>
        <v>4.121701337</v>
      </c>
    </row>
    <row r="42">
      <c r="A42" s="40" t="str">
        <f t="shared" si="3"/>
        <v>Kawhi Leonard</v>
      </c>
      <c r="B42" s="42">
        <f t="shared" si="4"/>
        <v>0.4937313755</v>
      </c>
      <c r="C42" s="43">
        <f t="shared" si="5"/>
        <v>-0.04877349754</v>
      </c>
      <c r="D42" s="42">
        <f t="shared" si="6"/>
        <v>-0.2623750651</v>
      </c>
      <c r="E42" s="42">
        <f t="shared" si="7"/>
        <v>-0.3352260062</v>
      </c>
      <c r="F42" s="42">
        <f t="shared" si="8"/>
        <v>0.4110689458</v>
      </c>
      <c r="G42" s="42">
        <f t="shared" si="9"/>
        <v>-0.4371236408</v>
      </c>
      <c r="H42" s="42">
        <f t="shared" si="10"/>
        <v>0.1743378525</v>
      </c>
      <c r="I42" s="42">
        <f>UpdateHashtag!S40</f>
        <v>14.7</v>
      </c>
      <c r="J42" s="47">
        <f t="shared" si="11"/>
        <v>0.930518244</v>
      </c>
      <c r="K42" s="48">
        <f>UpdateHashtag!T40</f>
        <v>4.1</v>
      </c>
      <c r="L42" s="42">
        <f t="shared" si="12"/>
        <v>-0.1474667095</v>
      </c>
      <c r="N42" s="100">
        <f t="shared" si="13"/>
        <v>22</v>
      </c>
      <c r="O42" s="94">
        <f t="array" ref="O42">INDIRECT("Update"&amp;Projections!$AH$17&amp;"!B"&amp;ROW(B23))</f>
        <v>14.6</v>
      </c>
      <c r="P42" s="101" t="str">
        <f t="array" ref="P42">INDIRECT("Update"&amp;Projections!$AH$17&amp;"!C"&amp;ROW(B23))</f>
        <v>Domantas Sabonis</v>
      </c>
      <c r="Q42" s="94">
        <f>UpdateBBM!F23</f>
        <v>66</v>
      </c>
      <c r="R42" s="105" t="str">
        <f t="array" ref="R42">INDIRECT("Update"&amp;Projections!$AH$17&amp;"!D"&amp;ROW(B23))</f>
        <v>C</v>
      </c>
      <c r="S42" s="73">
        <f t="shared" si="14"/>
        <v>4.098197606</v>
      </c>
      <c r="T42" s="73">
        <f>SUM(AE42:AM42)-IFERROR(IFS(Projections!$I$17,AN42,Projections!$J$17,AO42),"")</f>
        <v>4.098197606</v>
      </c>
      <c r="U42" s="73">
        <f t="shared" si="15"/>
        <v>0</v>
      </c>
      <c r="V42" s="73">
        <f t="array" ref="V42">INDIRECT("Update"&amp;Projections!$AH$17&amp;"!M"&amp;ROW(B23))</f>
        <v>18.8</v>
      </c>
      <c r="W42" s="73">
        <f t="array" ref="W42">INDIRECT("Update"&amp;Projections!$AH$17&amp;"!L"&amp;ROW(B23))</f>
        <v>0.4</v>
      </c>
      <c r="X42" s="73">
        <f t="array" ref="X42">INDIRECT("Update"&amp;Projections!$AH$17&amp;"!N"&amp;ROW(B23))</f>
        <v>13.2</v>
      </c>
      <c r="Y42" s="73">
        <f t="array" ref="Y42">INDIRECT("Update"&amp;Projections!$AH$17&amp;"!O"&amp;ROW(B23))</f>
        <v>7.9</v>
      </c>
      <c r="Z42" s="73">
        <f t="array" ref="Z42">INDIRECT("Update"&amp;Projections!$AH$17&amp;"!P"&amp;ROW(B23))</f>
        <v>0.9</v>
      </c>
      <c r="AA42" s="73">
        <f t="array" ref="AA42">INDIRECT("Update"&amp;Projections!$AH$17&amp;"!Q"&amp;ROW(B23))</f>
        <v>0.6</v>
      </c>
      <c r="AB42" s="107">
        <f t="array" ref="AB42">INDIRECT("Update"&amp;Projections!$AH$17&amp;"!I"&amp;ROW(B23))</f>
        <v>0.6</v>
      </c>
      <c r="AC42" s="107">
        <f t="array" ref="AC42">INDIRECT("Update"&amp;Projections!$AH$17&amp;"!K"&amp;ROW(B23))</f>
        <v>0.725</v>
      </c>
      <c r="AD42" s="73">
        <f t="array" ref="AD42">INDIRECT("Update"&amp;Projections!$AH$17&amp;"!R"&amp;ROW(B23))</f>
        <v>3.2</v>
      </c>
      <c r="AE42" s="73">
        <f t="shared" si="16"/>
        <v>0.240824148</v>
      </c>
      <c r="AF42" s="73">
        <f t="shared" si="17"/>
        <v>-1.342589385</v>
      </c>
      <c r="AG42" s="73">
        <f t="shared" si="18"/>
        <v>2.797281883</v>
      </c>
      <c r="AH42" s="73">
        <f t="shared" si="19"/>
        <v>1.806177204</v>
      </c>
      <c r="AI42" s="73">
        <f t="shared" si="20"/>
        <v>-0.2527964105</v>
      </c>
      <c r="AJ42" s="73">
        <f t="shared" si="21"/>
        <v>-0.2587299387</v>
      </c>
      <c r="AK42" s="73">
        <f t="shared" si="22"/>
        <v>1.462355215</v>
      </c>
      <c r="AL42" s="73">
        <f t="shared" si="23"/>
        <v>-1.337009755</v>
      </c>
      <c r="AM42" s="73">
        <f t="shared" si="24"/>
        <v>-0.3599047382</v>
      </c>
      <c r="AN42" s="120">
        <f t="shared" si="25"/>
        <v>-1.342589385</v>
      </c>
      <c r="AO42" s="120">
        <f t="shared" si="26"/>
        <v>-2.67959914</v>
      </c>
      <c r="AP42" s="120">
        <f t="array" ref="AP42">INDIRECT("Update"&amp;Projections!$AH$17&amp;"!S"&amp;ROW(B23))</f>
        <v>12.1</v>
      </c>
      <c r="AQ42" s="120">
        <f t="array" ref="AQ42">INDIRECT("Update"&amp;Projections!$AH$17&amp;"!T"&amp;ROW(B23))</f>
        <v>5.4</v>
      </c>
      <c r="AR42" s="100">
        <f t="shared" si="27"/>
        <v>4.098197606</v>
      </c>
    </row>
    <row r="43">
      <c r="A43" s="40" t="str">
        <f t="shared" si="3"/>
        <v>Desmond Bane</v>
      </c>
      <c r="B43" s="42">
        <f t="shared" si="4"/>
        <v>0.7105089991</v>
      </c>
      <c r="C43" s="43">
        <f t="shared" si="5"/>
        <v>1.145518091</v>
      </c>
      <c r="D43" s="42">
        <f t="shared" si="6"/>
        <v>-0.6154124053</v>
      </c>
      <c r="E43" s="42">
        <f t="shared" si="7"/>
        <v>0.2115152388</v>
      </c>
      <c r="F43" s="42">
        <f t="shared" si="8"/>
        <v>0.07913626764</v>
      </c>
      <c r="G43" s="42">
        <f t="shared" si="9"/>
        <v>-0.6155173428</v>
      </c>
      <c r="H43" s="42">
        <f t="shared" si="10"/>
        <v>-0.4782291518</v>
      </c>
      <c r="I43" s="42">
        <f>UpdateHashtag!S41</f>
        <v>16.4</v>
      </c>
      <c r="J43" s="47">
        <f t="shared" si="11"/>
        <v>1.017454203</v>
      </c>
      <c r="K43" s="48">
        <f>UpdateHashtag!T41</f>
        <v>3.5</v>
      </c>
      <c r="L43" s="42">
        <f t="shared" si="12"/>
        <v>0.5468832679</v>
      </c>
      <c r="N43" s="100">
        <f t="shared" si="13"/>
        <v>23</v>
      </c>
      <c r="O43" s="94">
        <f t="array" ref="O43">INDIRECT("Update"&amp;Projections!$AH$17&amp;"!B"&amp;ROW(B24))</f>
        <v>30.1</v>
      </c>
      <c r="P43" s="101" t="str">
        <f t="array" ref="P43">INDIRECT("Update"&amp;Projections!$AH$17&amp;"!C"&amp;ROW(B24))</f>
        <v>Lauri Markkanen</v>
      </c>
      <c r="Q43" s="94">
        <f>UpdateBBM!F24</f>
        <v>62</v>
      </c>
      <c r="R43" s="105" t="str">
        <f t="array" ref="R43">INDIRECT("Update"&amp;Projections!$AH$17&amp;"!D"&amp;ROW(B24))</f>
        <v>SF,PF</v>
      </c>
      <c r="S43" s="73">
        <f t="shared" si="14"/>
        <v>4.008278679</v>
      </c>
      <c r="T43" s="73">
        <f>SUM(AE43:AM43)-IFERROR(IFS(Projections!$I$17,AN43,Projections!$J$17,AO43),"")</f>
        <v>4.008278679</v>
      </c>
      <c r="U43" s="73">
        <f t="shared" si="15"/>
        <v>0</v>
      </c>
      <c r="V43" s="73">
        <f t="array" ref="V43">INDIRECT("Update"&amp;Projections!$AH$17&amp;"!M"&amp;ROW(B24))</f>
        <v>24.5</v>
      </c>
      <c r="W43" s="73">
        <f t="array" ref="W43">INDIRECT("Update"&amp;Projections!$AH$17&amp;"!L"&amp;ROW(B24))</f>
        <v>3.1</v>
      </c>
      <c r="X43" s="73">
        <f t="array" ref="X43">INDIRECT("Update"&amp;Projections!$AH$17&amp;"!N"&amp;ROW(B24))</f>
        <v>8.4</v>
      </c>
      <c r="Y43" s="73">
        <f t="array" ref="Y43">INDIRECT("Update"&amp;Projections!$AH$17&amp;"!O"&amp;ROW(B24))</f>
        <v>1.9</v>
      </c>
      <c r="Z43" s="73">
        <f t="array" ref="Z43">INDIRECT("Update"&amp;Projections!$AH$17&amp;"!P"&amp;ROW(B24))</f>
        <v>0.8</v>
      </c>
      <c r="AA43" s="73">
        <f t="array" ref="AA43">INDIRECT("Update"&amp;Projections!$AH$17&amp;"!Q"&amp;ROW(B24))</f>
        <v>0.5</v>
      </c>
      <c r="AB43" s="107">
        <f t="array" ref="AB43">INDIRECT("Update"&amp;Projections!$AH$17&amp;"!I"&amp;ROW(B24))</f>
        <v>0.483</v>
      </c>
      <c r="AC43" s="107">
        <f t="array" ref="AC43">INDIRECT("Update"&amp;Projections!$AH$17&amp;"!K"&amp;ROW(B24))</f>
        <v>0.884</v>
      </c>
      <c r="AD43" s="73">
        <f t="array" ref="AD43">INDIRECT("Update"&amp;Projections!$AH$17&amp;"!R"&amp;ROW(B24))</f>
        <v>1.7</v>
      </c>
      <c r="AE43" s="73">
        <f t="shared" si="16"/>
        <v>1.27051786</v>
      </c>
      <c r="AF43" s="73">
        <f t="shared" si="17"/>
        <v>1.344566689</v>
      </c>
      <c r="AG43" s="73">
        <f t="shared" si="18"/>
        <v>0.9144160686</v>
      </c>
      <c r="AH43" s="73">
        <f t="shared" si="19"/>
        <v>-0.9275290217</v>
      </c>
      <c r="AI43" s="73">
        <f t="shared" si="20"/>
        <v>-0.5847290887</v>
      </c>
      <c r="AJ43" s="73">
        <f t="shared" si="21"/>
        <v>-0.4371236408</v>
      </c>
      <c r="AK43" s="73">
        <f t="shared" si="22"/>
        <v>-0.2781879998</v>
      </c>
      <c r="AL43" s="73">
        <f t="shared" si="23"/>
        <v>1.766750327</v>
      </c>
      <c r="AM43" s="73">
        <f t="shared" si="24"/>
        <v>0.01206846389</v>
      </c>
      <c r="AN43" s="120">
        <f t="shared" si="25"/>
        <v>-0.9275290217</v>
      </c>
      <c r="AO43" s="120">
        <f t="shared" si="26"/>
        <v>-1.51225811</v>
      </c>
      <c r="AP43" s="120">
        <f t="array" ref="AP43">INDIRECT("Update"&amp;Projections!$AH$17&amp;"!S"&amp;ROW(B24))</f>
        <v>17.1</v>
      </c>
      <c r="AQ43" s="120">
        <f t="array" ref="AQ43">INDIRECT("Update"&amp;Projections!$AH$17&amp;"!T"&amp;ROW(B24))</f>
        <v>5.6</v>
      </c>
      <c r="AR43" s="100">
        <f t="shared" si="27"/>
        <v>4.008278679</v>
      </c>
    </row>
    <row r="44">
      <c r="A44" s="40" t="str">
        <f t="shared" si="3"/>
        <v>Dejounte Murray</v>
      </c>
      <c r="B44" s="42">
        <f t="shared" si="4"/>
        <v>0.3672777618</v>
      </c>
      <c r="C44" s="43">
        <f t="shared" si="5"/>
        <v>0.4488479976</v>
      </c>
      <c r="D44" s="42">
        <f t="shared" si="6"/>
        <v>-0.3408278074</v>
      </c>
      <c r="E44" s="42">
        <f t="shared" si="7"/>
        <v>1.168312418</v>
      </c>
      <c r="F44" s="42">
        <f t="shared" si="8"/>
        <v>1.40686698</v>
      </c>
      <c r="G44" s="42">
        <f t="shared" si="9"/>
        <v>-0.7939110449</v>
      </c>
      <c r="H44" s="42">
        <f t="shared" si="10"/>
        <v>-0.6704373017</v>
      </c>
      <c r="I44" s="42">
        <f>UpdateHashtag!S42</f>
        <v>16.4</v>
      </c>
      <c r="J44" s="47">
        <f t="shared" si="11"/>
        <v>0.1346888202</v>
      </c>
      <c r="K44" s="48">
        <f>UpdateHashtag!T42</f>
        <v>2.7</v>
      </c>
      <c r="L44" s="42">
        <f t="shared" si="12"/>
        <v>0.34849756</v>
      </c>
      <c r="N44" s="100">
        <f t="shared" si="13"/>
        <v>28</v>
      </c>
      <c r="O44" s="94">
        <f t="array" ref="O44">INDIRECT("Update"&amp;Projections!$AH$17&amp;"!B"&amp;ROW(B25))</f>
        <v>17.6</v>
      </c>
      <c r="P44" s="101" t="str">
        <f t="array" ref="P44">INDIRECT("Update"&amp;Projections!$AH$17&amp;"!C"&amp;ROW(B25))</f>
        <v>Chet Holmgren</v>
      </c>
      <c r="Q44" s="94">
        <f>UpdateBBM!F25</f>
        <v>66</v>
      </c>
      <c r="R44" s="105" t="str">
        <f t="array" ref="R44">INDIRECT("Update"&amp;Projections!$AH$17&amp;"!D"&amp;ROW(B25))</f>
        <v>PF,C</v>
      </c>
      <c r="S44" s="73">
        <f t="shared" si="14"/>
        <v>3.363144411</v>
      </c>
      <c r="T44" s="73">
        <f>SUM(AE44:AM44)-IFERROR(IFS(Projections!$I$17,AN44,Projections!$J$17,AO44),"")</f>
        <v>3.363144411</v>
      </c>
      <c r="U44" s="73">
        <f t="shared" si="15"/>
        <v>0</v>
      </c>
      <c r="V44" s="73">
        <f t="array" ref="V44">INDIRECT("Update"&amp;Projections!$AH$17&amp;"!M"&amp;ROW(B25))</f>
        <v>17.4</v>
      </c>
      <c r="W44" s="73">
        <f t="array" ref="W44">INDIRECT("Update"&amp;Projections!$AH$17&amp;"!L"&amp;ROW(B25))</f>
        <v>1.7</v>
      </c>
      <c r="X44" s="73">
        <f t="array" ref="X44">INDIRECT("Update"&amp;Projections!$AH$17&amp;"!N"&amp;ROW(B25))</f>
        <v>8.1</v>
      </c>
      <c r="Y44" s="73">
        <f t="array" ref="Y44">INDIRECT("Update"&amp;Projections!$AH$17&amp;"!O"&amp;ROW(B25))</f>
        <v>2.6</v>
      </c>
      <c r="Z44" s="73">
        <f t="array" ref="Z44">INDIRECT("Update"&amp;Projections!$AH$17&amp;"!P"&amp;ROW(B25))</f>
        <v>0.7</v>
      </c>
      <c r="AA44" s="73">
        <f t="array" ref="AA44">INDIRECT("Update"&amp;Projections!$AH$17&amp;"!Q"&amp;ROW(B25))</f>
        <v>2.3</v>
      </c>
      <c r="AB44" s="107">
        <f t="array" ref="AB44">INDIRECT("Update"&amp;Projections!$AH$17&amp;"!I"&amp;ROW(B25))</f>
        <v>0.53</v>
      </c>
      <c r="AC44" s="107">
        <f t="array" ref="AC44">INDIRECT("Update"&amp;Projections!$AH$17&amp;"!K"&amp;ROW(B25))</f>
        <v>0.793</v>
      </c>
      <c r="AD44" s="73">
        <f t="array" ref="AD44">INDIRECT("Update"&amp;Projections!$AH$17&amp;"!R"&amp;ROW(B25))</f>
        <v>1.7</v>
      </c>
      <c r="AE44" s="73">
        <f t="shared" si="16"/>
        <v>-0.01208307946</v>
      </c>
      <c r="AF44" s="73">
        <f t="shared" si="17"/>
        <v>-0.04877349754</v>
      </c>
      <c r="AG44" s="73">
        <f t="shared" si="18"/>
        <v>0.7967369552</v>
      </c>
      <c r="AH44" s="73">
        <f t="shared" si="19"/>
        <v>-0.6085966288</v>
      </c>
      <c r="AI44" s="73">
        <f t="shared" si="20"/>
        <v>-0.9166617668</v>
      </c>
      <c r="AJ44" s="73">
        <f t="shared" si="21"/>
        <v>2.773962996</v>
      </c>
      <c r="AK44" s="73">
        <f t="shared" si="22"/>
        <v>0.4735520144</v>
      </c>
      <c r="AL44" s="73">
        <f t="shared" si="23"/>
        <v>-0.0237228128</v>
      </c>
      <c r="AM44" s="73">
        <f t="shared" si="24"/>
        <v>0.01206846389</v>
      </c>
      <c r="AN44" s="120">
        <f t="shared" si="25"/>
        <v>-0.9166617668</v>
      </c>
      <c r="AO44" s="120">
        <f t="shared" si="26"/>
        <v>-1.525258396</v>
      </c>
      <c r="AP44" s="120">
        <f t="array" ref="AP44">INDIRECT("Update"&amp;Projections!$AH$17&amp;"!S"&amp;ROW(B25))</f>
        <v>12.2</v>
      </c>
      <c r="AQ44" s="120">
        <f t="array" ref="AQ44">INDIRECT("Update"&amp;Projections!$AH$17&amp;"!T"&amp;ROW(B25))</f>
        <v>3.5</v>
      </c>
      <c r="AR44" s="100">
        <f t="shared" si="27"/>
        <v>3.974358429</v>
      </c>
    </row>
    <row r="45">
      <c r="A45" s="40" t="str">
        <f t="shared" si="3"/>
        <v>Alperen Sengün</v>
      </c>
      <c r="B45" s="42">
        <f t="shared" si="4"/>
        <v>0.3492129598</v>
      </c>
      <c r="C45" s="43">
        <f t="shared" si="5"/>
        <v>-1.342589385</v>
      </c>
      <c r="D45" s="42">
        <f t="shared" si="6"/>
        <v>1.502811635</v>
      </c>
      <c r="E45" s="42">
        <f t="shared" si="7"/>
        <v>0.6671329431</v>
      </c>
      <c r="F45" s="42">
        <f t="shared" si="8"/>
        <v>0.743001624</v>
      </c>
      <c r="G45" s="42">
        <f t="shared" si="9"/>
        <v>0.09805746537</v>
      </c>
      <c r="H45" s="42">
        <f t="shared" si="10"/>
        <v>0.7676101484</v>
      </c>
      <c r="I45" s="42">
        <f>UpdateHashtag!S43</f>
        <v>13.9</v>
      </c>
      <c r="J45" s="47">
        <f t="shared" si="11"/>
        <v>-1.566493669</v>
      </c>
      <c r="K45" s="48">
        <f>UpdateHashtag!T43</f>
        <v>5.4</v>
      </c>
      <c r="L45" s="42">
        <f t="shared" si="12"/>
        <v>1.042847537</v>
      </c>
      <c r="N45" s="100">
        <f t="shared" si="13"/>
        <v>26</v>
      </c>
      <c r="O45" s="94">
        <f t="array" ref="O45">INDIRECT("Update"&amp;Projections!$AH$17&amp;"!B"&amp;ROW(B26))</f>
        <v>19.1</v>
      </c>
      <c r="P45" s="101" t="str">
        <f t="array" ref="P45">INDIRECT("Update"&amp;Projections!$AH$17&amp;"!C"&amp;ROW(B26))</f>
        <v>Jalen Brunson</v>
      </c>
      <c r="Q45" s="94">
        <f>UpdateBBM!F26</f>
        <v>71</v>
      </c>
      <c r="R45" s="105" t="str">
        <f t="array" ref="R45">INDIRECT("Update"&amp;Projections!$AH$17&amp;"!D"&amp;ROW(B26))</f>
        <v>PG</v>
      </c>
      <c r="S45" s="73">
        <f t="shared" si="14"/>
        <v>3.565201455</v>
      </c>
      <c r="T45" s="73">
        <f>SUM(AE45:AM45)-IFERROR(IFS(Projections!$I$17,AN45,Projections!$J$17,AO45),"")</f>
        <v>3.565201455</v>
      </c>
      <c r="U45" s="73">
        <f t="shared" si="15"/>
        <v>0</v>
      </c>
      <c r="V45" s="73">
        <f t="array" ref="V45">INDIRECT("Update"&amp;Projections!$AH$17&amp;"!M"&amp;ROW(B26))</f>
        <v>27.7</v>
      </c>
      <c r="W45" s="73">
        <f t="array" ref="W45">INDIRECT("Update"&amp;Projections!$AH$17&amp;"!L"&amp;ROW(B26))</f>
        <v>2.7</v>
      </c>
      <c r="X45" s="73">
        <f t="array" ref="X45">INDIRECT("Update"&amp;Projections!$AH$17&amp;"!N"&amp;ROW(B26))</f>
        <v>3.7</v>
      </c>
      <c r="Y45" s="73">
        <f t="array" ref="Y45">INDIRECT("Update"&amp;Projections!$AH$17&amp;"!O"&amp;ROW(B26))</f>
        <v>7</v>
      </c>
      <c r="Z45" s="73">
        <f t="array" ref="Z45">INDIRECT("Update"&amp;Projections!$AH$17&amp;"!P"&amp;ROW(B26))</f>
        <v>0.9</v>
      </c>
      <c r="AA45" s="73">
        <f t="array" ref="AA45">INDIRECT("Update"&amp;Projections!$AH$17&amp;"!Q"&amp;ROW(B26))</f>
        <v>0.2</v>
      </c>
      <c r="AB45" s="107">
        <f t="array" ref="AB45">INDIRECT("Update"&amp;Projections!$AH$17&amp;"!I"&amp;ROW(B26))</f>
        <v>0.484</v>
      </c>
      <c r="AC45" s="107">
        <f t="array" ref="AC45">INDIRECT("Update"&amp;Projections!$AH$17&amp;"!K"&amp;ROW(B26))</f>
        <v>0.839</v>
      </c>
      <c r="AD45" s="73">
        <f t="array" ref="AD45">INDIRECT("Update"&amp;Projections!$AH$17&amp;"!R"&amp;ROW(B26))</f>
        <v>2.3</v>
      </c>
      <c r="AE45" s="73">
        <f t="shared" si="16"/>
        <v>1.848591523</v>
      </c>
      <c r="AF45" s="73">
        <f t="shared" si="17"/>
        <v>0.9464694928</v>
      </c>
      <c r="AG45" s="73">
        <f t="shared" si="18"/>
        <v>-0.9292233743</v>
      </c>
      <c r="AH45" s="73">
        <f t="shared" si="19"/>
        <v>1.39612127</v>
      </c>
      <c r="AI45" s="73">
        <f t="shared" si="20"/>
        <v>-0.2527964105</v>
      </c>
      <c r="AJ45" s="73">
        <f t="shared" si="21"/>
        <v>-0.9723047469</v>
      </c>
      <c r="AK45" s="73">
        <f t="shared" si="22"/>
        <v>-0.3064549542</v>
      </c>
      <c r="AL45" s="73">
        <f t="shared" si="23"/>
        <v>0.9992147255</v>
      </c>
      <c r="AM45" s="73">
        <f t="shared" si="24"/>
        <v>-0.136720817</v>
      </c>
      <c r="AN45" s="120">
        <f t="shared" si="25"/>
        <v>-0.9723047469</v>
      </c>
      <c r="AO45" s="120">
        <f t="shared" si="26"/>
        <v>-1.901528121</v>
      </c>
      <c r="AP45" s="120">
        <f t="array" ref="AP45">INDIRECT("Update"&amp;Projections!$AH$17&amp;"!S"&amp;ROW(B26))</f>
        <v>20.3</v>
      </c>
      <c r="AQ45" s="120">
        <f t="array" ref="AQ45">INDIRECT("Update"&amp;Projections!$AH$17&amp;"!T"&amp;ROW(B26))</f>
        <v>6.4</v>
      </c>
      <c r="AR45" s="100">
        <f t="shared" si="27"/>
        <v>3.866715015</v>
      </c>
    </row>
    <row r="46">
      <c r="A46" s="40" t="str">
        <f t="shared" si="3"/>
        <v>Bam Adebayo</v>
      </c>
      <c r="B46" s="42">
        <f t="shared" si="4"/>
        <v>0.4576017716</v>
      </c>
      <c r="C46" s="43">
        <f t="shared" si="5"/>
        <v>-1.541637983</v>
      </c>
      <c r="D46" s="42">
        <f t="shared" si="6"/>
        <v>1.698943491</v>
      </c>
      <c r="E46" s="42">
        <f t="shared" si="7"/>
        <v>-0.01629361326</v>
      </c>
      <c r="F46" s="42">
        <f t="shared" si="8"/>
        <v>0.743001624</v>
      </c>
      <c r="G46" s="42">
        <f t="shared" si="9"/>
        <v>0.2764511674</v>
      </c>
      <c r="H46" s="42">
        <f t="shared" si="10"/>
        <v>0.591818549</v>
      </c>
      <c r="I46" s="42">
        <f>UpdateHashtag!S44</f>
        <v>14.8</v>
      </c>
      <c r="J46" s="47">
        <f t="shared" si="11"/>
        <v>-1.011168772</v>
      </c>
      <c r="K46" s="48">
        <f>UpdateHashtag!T44</f>
        <v>5.5</v>
      </c>
      <c r="L46" s="42">
        <f t="shared" si="12"/>
        <v>0.6460761218</v>
      </c>
      <c r="N46" s="100">
        <f t="shared" si="13"/>
        <v>19</v>
      </c>
      <c r="O46" s="94">
        <f t="array" ref="O46">INDIRECT("Update"&amp;Projections!$AH$17&amp;"!B"&amp;ROW(B27))</f>
        <v>10.1</v>
      </c>
      <c r="P46" s="101" t="str">
        <f t="array" ref="P46">INDIRECT("Update"&amp;Projections!$AH$17&amp;"!C"&amp;ROW(B27))</f>
        <v>Anthony Edwards</v>
      </c>
      <c r="Q46" s="94">
        <f>UpdateBBM!F27</f>
        <v>71</v>
      </c>
      <c r="R46" s="105" t="str">
        <f t="array" ref="R46">INDIRECT("Update"&amp;Projections!$AH$17&amp;"!D"&amp;ROW(B27))</f>
        <v>SG,SF</v>
      </c>
      <c r="S46" s="73">
        <f t="shared" si="14"/>
        <v>4.276059412</v>
      </c>
      <c r="T46" s="73">
        <f>SUM(AE46:AM46)-IFERROR(IFS(Projections!$I$17,AN46,Projections!$J$17,AO46),"")</f>
        <v>4.276059412</v>
      </c>
      <c r="U46" s="73">
        <f t="shared" si="15"/>
        <v>0</v>
      </c>
      <c r="V46" s="73">
        <f t="array" ref="V46">INDIRECT("Update"&amp;Projections!$AH$17&amp;"!M"&amp;ROW(B27))</f>
        <v>26.2</v>
      </c>
      <c r="W46" s="73">
        <f t="array" ref="W46">INDIRECT("Update"&amp;Projections!$AH$17&amp;"!L"&amp;ROW(B27))</f>
        <v>2.5</v>
      </c>
      <c r="X46" s="73">
        <f t="array" ref="X46">INDIRECT("Update"&amp;Projections!$AH$17&amp;"!N"&amp;ROW(B27))</f>
        <v>5.5</v>
      </c>
      <c r="Y46" s="73">
        <f t="array" ref="Y46">INDIRECT("Update"&amp;Projections!$AH$17&amp;"!O"&amp;ROW(B27))</f>
        <v>5.2</v>
      </c>
      <c r="Z46" s="73">
        <f t="array" ref="Z46">INDIRECT("Update"&amp;Projections!$AH$17&amp;"!P"&amp;ROW(B27))</f>
        <v>1.4</v>
      </c>
      <c r="AA46" s="73">
        <f t="array" ref="AA46">INDIRECT("Update"&amp;Projections!$AH$17&amp;"!Q"&amp;ROW(B27))</f>
        <v>0.7</v>
      </c>
      <c r="AB46" s="107">
        <f t="array" ref="AB46">INDIRECT("Update"&amp;Projections!$AH$17&amp;"!I"&amp;ROW(B27))</f>
        <v>0.46</v>
      </c>
      <c r="AC46" s="107">
        <f t="array" ref="AC46">INDIRECT("Update"&amp;Projections!$AH$17&amp;"!K"&amp;ROW(B27))</f>
        <v>0.823</v>
      </c>
      <c r="AD46" s="73">
        <f t="array" ref="AD46">INDIRECT("Update"&amp;Projections!$AH$17&amp;"!R"&amp;ROW(B27))</f>
        <v>3.1</v>
      </c>
      <c r="AE46" s="73">
        <f t="shared" si="16"/>
        <v>1.577619493</v>
      </c>
      <c r="AF46" s="73">
        <f t="shared" si="17"/>
        <v>0.7474208947</v>
      </c>
      <c r="AG46" s="73">
        <f t="shared" si="18"/>
        <v>-0.223148694</v>
      </c>
      <c r="AH46" s="73">
        <f t="shared" si="19"/>
        <v>0.5760094022</v>
      </c>
      <c r="AI46" s="73">
        <f t="shared" si="20"/>
        <v>1.40686698</v>
      </c>
      <c r="AJ46" s="73">
        <f t="shared" si="21"/>
        <v>-0.08033623669</v>
      </c>
      <c r="AK46" s="73">
        <f t="shared" si="22"/>
        <v>-0.8774537996</v>
      </c>
      <c r="AL46" s="73">
        <f t="shared" si="23"/>
        <v>0.6067340973</v>
      </c>
      <c r="AM46" s="73">
        <f t="shared" si="24"/>
        <v>-0.3351065248</v>
      </c>
      <c r="AN46" s="120">
        <f t="shared" si="25"/>
        <v>-0.8774537996</v>
      </c>
      <c r="AO46" s="120">
        <f t="shared" si="26"/>
        <v>-1.212560324</v>
      </c>
      <c r="AP46" s="120">
        <f t="array" ref="AP46">INDIRECT("Update"&amp;Projections!$AH$17&amp;"!S"&amp;ROW(B27))</f>
        <v>20.3</v>
      </c>
      <c r="AQ46" s="120">
        <f t="array" ref="AQ46">INDIRECT("Update"&amp;Projections!$AH$17&amp;"!T"&amp;ROW(B27))</f>
        <v>6.1</v>
      </c>
      <c r="AR46" s="100">
        <f t="shared" si="27"/>
        <v>3.565201455</v>
      </c>
    </row>
    <row r="47">
      <c r="A47" s="40" t="str">
        <f t="shared" si="3"/>
        <v>Kristaps Porzingis</v>
      </c>
      <c r="B47" s="42">
        <f t="shared" si="4"/>
        <v>0.06017612839</v>
      </c>
      <c r="C47" s="43">
        <f t="shared" si="5"/>
        <v>0.05075080149</v>
      </c>
      <c r="D47" s="42">
        <f t="shared" si="6"/>
        <v>0.2475677595</v>
      </c>
      <c r="E47" s="42">
        <f t="shared" si="7"/>
        <v>-0.8819672513</v>
      </c>
      <c r="F47" s="42">
        <f t="shared" si="8"/>
        <v>-0.9166617668</v>
      </c>
      <c r="G47" s="42">
        <f t="shared" si="9"/>
        <v>1.34681338</v>
      </c>
      <c r="H47" s="42">
        <f t="shared" si="10"/>
        <v>-0.1902134199</v>
      </c>
      <c r="I47" s="42">
        <f>UpdateHashtag!S45</f>
        <v>12.6</v>
      </c>
      <c r="J47" s="47">
        <f t="shared" si="11"/>
        <v>0.8460002999</v>
      </c>
      <c r="K47" s="48">
        <f>UpdateHashtag!T45</f>
        <v>4.5</v>
      </c>
      <c r="L47" s="42">
        <f t="shared" si="12"/>
        <v>-0.1474667095</v>
      </c>
      <c r="N47" s="100">
        <f t="shared" si="13"/>
        <v>27</v>
      </c>
      <c r="O47" s="94">
        <f t="array" ref="O47">INDIRECT("Update"&amp;Projections!$AH$17&amp;"!B"&amp;ROW(B28))</f>
        <v>32.1</v>
      </c>
      <c r="P47" s="101" t="str">
        <f t="array" ref="P47">INDIRECT("Update"&amp;Projections!$AH$17&amp;"!C"&amp;ROW(B28))</f>
        <v>Paul George</v>
      </c>
      <c r="Q47" s="94">
        <f>UpdateBBM!F28</f>
        <v>66</v>
      </c>
      <c r="R47" s="105" t="str">
        <f t="array" ref="R47">INDIRECT("Update"&amp;Projections!$AH$17&amp;"!D"&amp;ROW(B28))</f>
        <v>SG,SF,PF</v>
      </c>
      <c r="S47" s="73">
        <f t="shared" si="14"/>
        <v>3.481204949</v>
      </c>
      <c r="T47" s="73">
        <f>SUM(AE47:AM47)-IFERROR(IFS(Projections!$I$17,AN47,Projections!$J$17,AO47),"")</f>
        <v>3.481204949</v>
      </c>
      <c r="U47" s="73">
        <f t="shared" si="15"/>
        <v>0</v>
      </c>
      <c r="V47" s="73">
        <f t="array" ref="V47">INDIRECT("Update"&amp;Projections!$AH$17&amp;"!M"&amp;ROW(B28))</f>
        <v>22.1</v>
      </c>
      <c r="W47" s="73">
        <f t="array" ref="W47">INDIRECT("Update"&amp;Projections!$AH$17&amp;"!L"&amp;ROW(B28))</f>
        <v>3</v>
      </c>
      <c r="X47" s="73">
        <f t="array" ref="X47">INDIRECT("Update"&amp;Projections!$AH$17&amp;"!N"&amp;ROW(B28))</f>
        <v>5</v>
      </c>
      <c r="Y47" s="73">
        <f t="array" ref="Y47">INDIRECT("Update"&amp;Projections!$AH$17&amp;"!O"&amp;ROW(B28))</f>
        <v>3.4</v>
      </c>
      <c r="Z47" s="73">
        <f t="array" ref="Z47">INDIRECT("Update"&amp;Projections!$AH$17&amp;"!P"&amp;ROW(B28))</f>
        <v>1.4</v>
      </c>
      <c r="AA47" s="73">
        <f t="array" ref="AA47">INDIRECT("Update"&amp;Projections!$AH$17&amp;"!Q"&amp;ROW(B28))</f>
        <v>0.4</v>
      </c>
      <c r="AB47" s="107">
        <f t="array" ref="AB47">INDIRECT("Update"&amp;Projections!$AH$17&amp;"!I"&amp;ROW(B28))</f>
        <v>0.465</v>
      </c>
      <c r="AC47" s="107">
        <f t="array" ref="AC47">INDIRECT("Update"&amp;Projections!$AH$17&amp;"!K"&amp;ROW(B28))</f>
        <v>0.889</v>
      </c>
      <c r="AD47" s="73">
        <f t="array" ref="AD47">INDIRECT("Update"&amp;Projections!$AH$17&amp;"!R"&amp;ROW(B28))</f>
        <v>2.4</v>
      </c>
      <c r="AE47" s="73">
        <f t="shared" si="16"/>
        <v>0.8369626128</v>
      </c>
      <c r="AF47" s="73">
        <f t="shared" si="17"/>
        <v>1.24504239</v>
      </c>
      <c r="AG47" s="73">
        <f t="shared" si="18"/>
        <v>-0.4192805496</v>
      </c>
      <c r="AH47" s="73">
        <f t="shared" si="19"/>
        <v>-0.2441024654</v>
      </c>
      <c r="AI47" s="73">
        <f t="shared" si="20"/>
        <v>1.40686698</v>
      </c>
      <c r="AJ47" s="73">
        <f t="shared" si="21"/>
        <v>-0.6155173428</v>
      </c>
      <c r="AK47" s="73">
        <f t="shared" si="22"/>
        <v>-0.6165112888</v>
      </c>
      <c r="AL47" s="73">
        <f t="shared" si="23"/>
        <v>1.432752354</v>
      </c>
      <c r="AM47" s="73">
        <f t="shared" si="24"/>
        <v>-0.1615190304</v>
      </c>
      <c r="AN47" s="120">
        <f t="shared" si="25"/>
        <v>-0.6165112888</v>
      </c>
      <c r="AO47" s="120">
        <f t="shared" si="26"/>
        <v>-1.232028632</v>
      </c>
      <c r="AP47" s="120">
        <f t="array" ref="AP47">INDIRECT("Update"&amp;Projections!$AH$17&amp;"!S"&amp;ROW(B28))</f>
        <v>16.5</v>
      </c>
      <c r="AQ47" s="120">
        <f t="array" ref="AQ47">INDIRECT("Update"&amp;Projections!$AH$17&amp;"!T"&amp;ROW(B28))</f>
        <v>4.3</v>
      </c>
      <c r="AR47" s="100">
        <f t="shared" si="27"/>
        <v>3.481204949</v>
      </c>
    </row>
    <row r="48">
      <c r="A48" s="40" t="str">
        <f t="shared" si="3"/>
        <v>Cade Cunningham</v>
      </c>
      <c r="B48" s="42">
        <f t="shared" si="4"/>
        <v>1.035675434</v>
      </c>
      <c r="C48" s="43">
        <f t="shared" si="5"/>
        <v>0.1502751005</v>
      </c>
      <c r="D48" s="42">
        <f t="shared" si="6"/>
        <v>-0.536959663</v>
      </c>
      <c r="E48" s="42">
        <f t="shared" si="7"/>
        <v>1.760615433</v>
      </c>
      <c r="F48" s="42">
        <f t="shared" si="8"/>
        <v>-0.2527964105</v>
      </c>
      <c r="G48" s="42">
        <f t="shared" si="9"/>
        <v>-0.6155173428</v>
      </c>
      <c r="H48" s="42">
        <f t="shared" si="10"/>
        <v>-1.071414518</v>
      </c>
      <c r="I48" s="42">
        <f>UpdateHashtag!S46</f>
        <v>19.5</v>
      </c>
      <c r="J48" s="47">
        <f t="shared" si="11"/>
        <v>1.092098391</v>
      </c>
      <c r="K48" s="48">
        <f>UpdateHashtag!T46</f>
        <v>4.4</v>
      </c>
      <c r="L48" s="42">
        <f t="shared" si="12"/>
        <v>1.737197515</v>
      </c>
      <c r="N48" s="100">
        <f t="shared" si="13"/>
        <v>37</v>
      </c>
      <c r="O48" s="94">
        <f t="array" ref="O48">INDIRECT("Update"&amp;Projections!$AH$17&amp;"!B"&amp;ROW(B29))</f>
        <v>36</v>
      </c>
      <c r="P48" s="101" t="str">
        <f t="array" ref="P48">INDIRECT("Update"&amp;Projections!$AH$17&amp;"!C"&amp;ROW(B29))</f>
        <v>Jalen Williams</v>
      </c>
      <c r="Q48" s="94">
        <f>UpdateBBM!F29</f>
        <v>75</v>
      </c>
      <c r="R48" s="105" t="str">
        <f t="array" ref="R48">INDIRECT("Update"&amp;Projections!$AH$17&amp;"!D"&amp;ROW(B29))</f>
        <v>SG,SF,PF</v>
      </c>
      <c r="S48" s="73">
        <f t="shared" si="14"/>
        <v>2.310625432</v>
      </c>
      <c r="T48" s="73">
        <f>SUM(AE48:AM48)-IFERROR(IFS(Projections!$I$17,AN48,Projections!$J$17,AO48),"")</f>
        <v>2.310625432</v>
      </c>
      <c r="U48" s="73">
        <f t="shared" si="15"/>
        <v>0</v>
      </c>
      <c r="V48" s="73">
        <f t="array" ref="V48">INDIRECT("Update"&amp;Projections!$AH$17&amp;"!M"&amp;ROW(B29))</f>
        <v>20</v>
      </c>
      <c r="W48" s="73">
        <f t="array" ref="W48">INDIRECT("Update"&amp;Projections!$AH$17&amp;"!L"&amp;ROW(B29))</f>
        <v>1.7</v>
      </c>
      <c r="X48" s="73">
        <f t="array" ref="X48">INDIRECT("Update"&amp;Projections!$AH$17&amp;"!N"&amp;ROW(B29))</f>
        <v>4.6</v>
      </c>
      <c r="Y48" s="73">
        <f t="array" ref="Y48">INDIRECT("Update"&amp;Projections!$AH$17&amp;"!O"&amp;ROW(B29))</f>
        <v>4.9</v>
      </c>
      <c r="Z48" s="73">
        <f t="array" ref="Z48">INDIRECT("Update"&amp;Projections!$AH$17&amp;"!P"&amp;ROW(B29))</f>
        <v>1.2</v>
      </c>
      <c r="AA48" s="73">
        <f t="array" ref="AA48">INDIRECT("Update"&amp;Projections!$AH$17&amp;"!Q"&amp;ROW(B29))</f>
        <v>0.6</v>
      </c>
      <c r="AB48" s="107">
        <f t="array" ref="AB48">INDIRECT("Update"&amp;Projections!$AH$17&amp;"!I"&amp;ROW(B29))</f>
        <v>0.536</v>
      </c>
      <c r="AC48" s="107">
        <f t="array" ref="AC48">INDIRECT("Update"&amp;Projections!$AH$17&amp;"!K"&amp;ROW(B29))</f>
        <v>0.822</v>
      </c>
      <c r="AD48" s="73">
        <f t="array" ref="AD48">INDIRECT("Update"&amp;Projections!$AH$17&amp;"!R"&amp;ROW(B29))</f>
        <v>1.8</v>
      </c>
      <c r="AE48" s="73">
        <f t="shared" si="16"/>
        <v>0.4576017716</v>
      </c>
      <c r="AF48" s="73">
        <f t="shared" si="17"/>
        <v>-0.04877349754</v>
      </c>
      <c r="AG48" s="73">
        <f t="shared" si="18"/>
        <v>-0.5761860341</v>
      </c>
      <c r="AH48" s="73">
        <f t="shared" si="19"/>
        <v>0.439324091</v>
      </c>
      <c r="AI48" s="73">
        <f t="shared" si="20"/>
        <v>0.743001624</v>
      </c>
      <c r="AJ48" s="73">
        <f t="shared" si="21"/>
        <v>-0.2587299387</v>
      </c>
      <c r="AK48" s="73">
        <f t="shared" si="22"/>
        <v>0.6647922933</v>
      </c>
      <c r="AL48" s="73">
        <f t="shared" si="23"/>
        <v>0.3261388382</v>
      </c>
      <c r="AM48" s="73">
        <f t="shared" si="24"/>
        <v>-0.01272974958</v>
      </c>
      <c r="AN48" s="120">
        <f t="shared" si="25"/>
        <v>-0.5761860341</v>
      </c>
      <c r="AO48" s="120">
        <f t="shared" si="26"/>
        <v>-0.8349159729</v>
      </c>
      <c r="AP48" s="120">
        <f t="array" ref="AP48">INDIRECT("Update"&amp;Projections!$AH$17&amp;"!S"&amp;ROW(B29))</f>
        <v>14.5</v>
      </c>
      <c r="AQ48" s="120">
        <f t="array" ref="AQ48">INDIRECT("Update"&amp;Projections!$AH$17&amp;"!T"&amp;ROW(B29))</f>
        <v>3.4</v>
      </c>
      <c r="AR48" s="100">
        <f t="shared" si="27"/>
        <v>3.363144411</v>
      </c>
    </row>
    <row r="49">
      <c r="A49" s="40" t="str">
        <f t="shared" si="3"/>
        <v>Myles Turner</v>
      </c>
      <c r="B49" s="42">
        <f t="shared" si="4"/>
        <v>-0.08434228731</v>
      </c>
      <c r="C49" s="43">
        <f t="shared" si="5"/>
        <v>-0.2478220956</v>
      </c>
      <c r="D49" s="42">
        <f t="shared" si="6"/>
        <v>0.3652468729</v>
      </c>
      <c r="E49" s="42">
        <f t="shared" si="7"/>
        <v>-1.200899644</v>
      </c>
      <c r="F49" s="42">
        <f t="shared" si="8"/>
        <v>-1.580527123</v>
      </c>
      <c r="G49" s="42">
        <f t="shared" si="9"/>
        <v>2.23878189</v>
      </c>
      <c r="H49" s="42">
        <f t="shared" si="10"/>
        <v>0.5137710497</v>
      </c>
      <c r="I49" s="42">
        <f>UpdateHashtag!S47</f>
        <v>11.5</v>
      </c>
      <c r="J49" s="47">
        <f t="shared" si="11"/>
        <v>-0.2455868136</v>
      </c>
      <c r="K49" s="48">
        <f>UpdateHashtag!T47</f>
        <v>4.1</v>
      </c>
      <c r="L49" s="42">
        <f t="shared" si="12"/>
        <v>-0.2466595634</v>
      </c>
      <c r="N49" s="100">
        <f t="shared" si="13"/>
        <v>32</v>
      </c>
      <c r="O49" s="94">
        <f t="array" ref="O49">INDIRECT("Update"&amp;Projections!$AH$17&amp;"!B"&amp;ROW(B30))</f>
        <v>46</v>
      </c>
      <c r="P49" s="101" t="str">
        <f t="array" ref="P49">INDIRECT("Update"&amp;Projections!$AH$17&amp;"!C"&amp;ROW(B30))</f>
        <v>Jimmy Butler</v>
      </c>
      <c r="Q49" s="94">
        <f>UpdateBBM!F30</f>
        <v>45</v>
      </c>
      <c r="R49" s="105" t="str">
        <f t="array" ref="R49">INDIRECT("Update"&amp;Projections!$AH$17&amp;"!D"&amp;ROW(B30))</f>
        <v>SF,PF</v>
      </c>
      <c r="S49" s="73">
        <f t="shared" si="14"/>
        <v>2.818108946</v>
      </c>
      <c r="T49" s="73">
        <f>SUM(AE49:AM49)-IFERROR(IFS(Projections!$I$17,AN49,Projections!$J$17,AO49),"")</f>
        <v>2.818108946</v>
      </c>
      <c r="U49" s="73">
        <f t="shared" si="15"/>
        <v>0</v>
      </c>
      <c r="V49" s="73">
        <f t="array" ref="V49">INDIRECT("Update"&amp;Projections!$AH$17&amp;"!M"&amp;ROW(B30))</f>
        <v>20.7</v>
      </c>
      <c r="W49" s="73">
        <f t="array" ref="W49">INDIRECT("Update"&amp;Projections!$AH$17&amp;"!L"&amp;ROW(B30))</f>
        <v>0.8</v>
      </c>
      <c r="X49" s="73">
        <f t="array" ref="X49">INDIRECT("Update"&amp;Projections!$AH$17&amp;"!N"&amp;ROW(B30))</f>
        <v>5.4</v>
      </c>
      <c r="Y49" s="73">
        <f t="array" ref="Y49">INDIRECT("Update"&amp;Projections!$AH$17&amp;"!O"&amp;ROW(B30))</f>
        <v>5.1</v>
      </c>
      <c r="Z49" s="73">
        <f t="array" ref="Z49">INDIRECT("Update"&amp;Projections!$AH$17&amp;"!P"&amp;ROW(B30))</f>
        <v>1.3</v>
      </c>
      <c r="AA49" s="73">
        <f t="array" ref="AA49">INDIRECT("Update"&amp;Projections!$AH$17&amp;"!Q"&amp;ROW(B30))</f>
        <v>0.3</v>
      </c>
      <c r="AB49" s="107">
        <f t="array" ref="AB49">INDIRECT("Update"&amp;Projections!$AH$17&amp;"!I"&amp;ROW(B30))</f>
        <v>0.492</v>
      </c>
      <c r="AC49" s="107">
        <f t="array" ref="AC49">INDIRECT("Update"&amp;Projections!$AH$17&amp;"!K"&amp;ROW(B30))</f>
        <v>0.855</v>
      </c>
      <c r="AD49" s="73">
        <f t="array" ref="AD49">INDIRECT("Update"&amp;Projections!$AH$17&amp;"!R"&amp;ROW(B30))</f>
        <v>1.6</v>
      </c>
      <c r="AE49" s="73">
        <f t="shared" si="16"/>
        <v>0.5840553853</v>
      </c>
      <c r="AF49" s="73">
        <f t="shared" si="17"/>
        <v>-0.9444921888</v>
      </c>
      <c r="AG49" s="73">
        <f t="shared" si="18"/>
        <v>-0.2623750651</v>
      </c>
      <c r="AH49" s="73">
        <f t="shared" si="19"/>
        <v>0.5304476318</v>
      </c>
      <c r="AI49" s="73">
        <f t="shared" si="20"/>
        <v>1.074934302</v>
      </c>
      <c r="AJ49" s="73">
        <f t="shared" si="21"/>
        <v>-0.7939110449</v>
      </c>
      <c r="AK49" s="73">
        <f t="shared" si="22"/>
        <v>-0.07550790525</v>
      </c>
      <c r="AL49" s="73">
        <f t="shared" si="23"/>
        <v>1.723598964</v>
      </c>
      <c r="AM49" s="73">
        <f t="shared" si="24"/>
        <v>0.03686667737</v>
      </c>
      <c r="AN49" s="120">
        <f t="shared" si="25"/>
        <v>-0.9444921888</v>
      </c>
      <c r="AO49" s="120">
        <f t="shared" si="26"/>
        <v>-1.738403234</v>
      </c>
      <c r="AP49" s="120">
        <f t="array" ref="AP49">INDIRECT("Update"&amp;Projections!$AH$17&amp;"!S"&amp;ROW(B30))</f>
        <v>13.2</v>
      </c>
      <c r="AQ49" s="120">
        <f t="array" ref="AQ49">INDIRECT("Update"&amp;Projections!$AH$17&amp;"!T"&amp;ROW(B30))</f>
        <v>8.1</v>
      </c>
      <c r="AR49" s="100">
        <f t="shared" si="27"/>
        <v>3.161900046</v>
      </c>
    </row>
    <row r="50">
      <c r="A50" s="40" t="str">
        <f t="shared" si="3"/>
        <v>Immanuel Quickley</v>
      </c>
      <c r="B50" s="42">
        <f t="shared" si="4"/>
        <v>0.2227593461</v>
      </c>
      <c r="C50" s="43">
        <f t="shared" si="5"/>
        <v>0.8469451937</v>
      </c>
      <c r="D50" s="42">
        <f t="shared" si="6"/>
        <v>-0.5761860341</v>
      </c>
      <c r="E50" s="42">
        <f t="shared" si="7"/>
        <v>1.304997729</v>
      </c>
      <c r="F50" s="42">
        <f t="shared" si="8"/>
        <v>0.4110689458</v>
      </c>
      <c r="G50" s="42">
        <f t="shared" si="9"/>
        <v>-0.9723047469</v>
      </c>
      <c r="H50" s="42">
        <f t="shared" si="10"/>
        <v>-0.9799658478</v>
      </c>
      <c r="I50" s="42">
        <f>UpdateHashtag!S48</f>
        <v>14.7</v>
      </c>
      <c r="J50" s="47">
        <f t="shared" si="11"/>
        <v>0.7278576432</v>
      </c>
      <c r="K50" s="48">
        <f>UpdateHashtag!T48</f>
        <v>3.8</v>
      </c>
      <c r="L50" s="42">
        <f t="shared" si="12"/>
        <v>-0.1474667095</v>
      </c>
      <c r="N50" s="100">
        <f t="shared" si="13"/>
        <v>30</v>
      </c>
      <c r="O50" s="94">
        <f t="array" ref="O50">INDIRECT("Update"&amp;Projections!$AH$17&amp;"!B"&amp;ROW(B31))</f>
        <v>37.3</v>
      </c>
      <c r="P50" s="101" t="str">
        <f t="array" ref="P50">INDIRECT("Update"&amp;Projections!$AH$17&amp;"!C"&amp;ROW(B31))</f>
        <v>Jaren Jackson Jr.</v>
      </c>
      <c r="Q50" s="94">
        <f>UpdateBBM!F31</f>
        <v>71</v>
      </c>
      <c r="R50" s="105" t="str">
        <f t="array" ref="R50">INDIRECT("Update"&amp;Projections!$AH$17&amp;"!D"&amp;ROW(B31))</f>
        <v>PF,C</v>
      </c>
      <c r="S50" s="73">
        <f t="shared" si="14"/>
        <v>3.054149271</v>
      </c>
      <c r="T50" s="73">
        <f>SUM(AE50:AM50)-IFERROR(IFS(Projections!$I$17,AN50,Projections!$J$17,AO50),"")</f>
        <v>3.054149271</v>
      </c>
      <c r="U50" s="73">
        <f t="shared" si="15"/>
        <v>0</v>
      </c>
      <c r="V50" s="73">
        <f t="array" ref="V50">INDIRECT("Update"&amp;Projections!$AH$17&amp;"!M"&amp;ROW(B31))</f>
        <v>21.3</v>
      </c>
      <c r="W50" s="73">
        <f t="array" ref="W50">INDIRECT("Update"&amp;Projections!$AH$17&amp;"!L"&amp;ROW(B31))</f>
        <v>1.7</v>
      </c>
      <c r="X50" s="73">
        <f t="array" ref="X50">INDIRECT("Update"&amp;Projections!$AH$17&amp;"!N"&amp;ROW(B31))</f>
        <v>6.3</v>
      </c>
      <c r="Y50" s="73">
        <f t="array" ref="Y50">INDIRECT("Update"&amp;Projections!$AH$17&amp;"!O"&amp;ROW(B31))</f>
        <v>1.7</v>
      </c>
      <c r="Z50" s="73">
        <f t="array" ref="Z50">INDIRECT("Update"&amp;Projections!$AH$17&amp;"!P"&amp;ROW(B31))</f>
        <v>1.2</v>
      </c>
      <c r="AA50" s="73">
        <f t="array" ref="AA50">INDIRECT("Update"&amp;Projections!$AH$17&amp;"!Q"&amp;ROW(B31))</f>
        <v>1.9</v>
      </c>
      <c r="AB50" s="107">
        <f t="array" ref="AB50">INDIRECT("Update"&amp;Projections!$AH$17&amp;"!I"&amp;ROW(B31))</f>
        <v>0.47</v>
      </c>
      <c r="AC50" s="107">
        <f t="array" ref="AC50">INDIRECT("Update"&amp;Projections!$AH$17&amp;"!K"&amp;ROW(B31))</f>
        <v>0.8</v>
      </c>
      <c r="AD50" s="73">
        <f t="array" ref="AD50">INDIRECT("Update"&amp;Projections!$AH$17&amp;"!R"&amp;ROW(B31))</f>
        <v>2.1</v>
      </c>
      <c r="AE50" s="73">
        <f t="shared" si="16"/>
        <v>0.6924441971</v>
      </c>
      <c r="AF50" s="73">
        <f t="shared" si="17"/>
        <v>-0.04877349754</v>
      </c>
      <c r="AG50" s="73">
        <f t="shared" si="18"/>
        <v>0.09066227498</v>
      </c>
      <c r="AH50" s="73">
        <f t="shared" si="19"/>
        <v>-1.018652563</v>
      </c>
      <c r="AI50" s="73">
        <f t="shared" si="20"/>
        <v>0.743001624</v>
      </c>
      <c r="AJ50" s="73">
        <f t="shared" si="21"/>
        <v>2.060388188</v>
      </c>
      <c r="AK50" s="73">
        <f t="shared" si="22"/>
        <v>-0.5009186238</v>
      </c>
      <c r="AL50" s="73">
        <f t="shared" si="23"/>
        <v>0.1044694981</v>
      </c>
      <c r="AM50" s="73">
        <f t="shared" si="24"/>
        <v>-0.08712439001</v>
      </c>
      <c r="AN50" s="120">
        <f t="shared" si="25"/>
        <v>-1.018652563</v>
      </c>
      <c r="AO50" s="120">
        <f t="shared" si="26"/>
        <v>-1.519571186</v>
      </c>
      <c r="AP50" s="120">
        <f t="array" ref="AP50">INDIRECT("Update"&amp;Projections!$AH$17&amp;"!S"&amp;ROW(B31))</f>
        <v>15.9</v>
      </c>
      <c r="AQ50" s="120">
        <f t="array" ref="AQ50">INDIRECT("Update"&amp;Projections!$AH$17&amp;"!T"&amp;ROW(B31))</f>
        <v>5.8</v>
      </c>
      <c r="AR50" s="100">
        <f t="shared" si="27"/>
        <v>3.054149271</v>
      </c>
    </row>
    <row r="51">
      <c r="A51" s="40" t="str">
        <f t="shared" si="3"/>
        <v>Jamal Murray</v>
      </c>
      <c r="B51" s="42">
        <f t="shared" si="4"/>
        <v>0.4576017716</v>
      </c>
      <c r="C51" s="43">
        <f t="shared" si="5"/>
        <v>0.7474208947</v>
      </c>
      <c r="D51" s="42">
        <f t="shared" si="6"/>
        <v>-0.850770632</v>
      </c>
      <c r="E51" s="42">
        <f t="shared" si="7"/>
        <v>0.986065336</v>
      </c>
      <c r="F51" s="42">
        <f t="shared" si="8"/>
        <v>0.07913626764</v>
      </c>
      <c r="G51" s="42">
        <f t="shared" si="9"/>
        <v>-0.4371236408</v>
      </c>
      <c r="H51" s="42">
        <f t="shared" si="10"/>
        <v>-0.4792505778</v>
      </c>
      <c r="I51" s="42">
        <f>UpdateHashtag!S49</f>
        <v>15.8</v>
      </c>
      <c r="J51" s="47">
        <f t="shared" si="11"/>
        <v>0.5059514269</v>
      </c>
      <c r="K51" s="48">
        <f>UpdateHashtag!T49</f>
        <v>3.1</v>
      </c>
      <c r="L51" s="42">
        <f t="shared" si="12"/>
        <v>0.34849756</v>
      </c>
      <c r="N51" s="100">
        <f t="shared" si="13"/>
        <v>31</v>
      </c>
      <c r="O51" s="94">
        <f t="array" ref="O51">INDIRECT("Update"&amp;Projections!$AH$17&amp;"!B"&amp;ROW(B32))</f>
        <v>27.8</v>
      </c>
      <c r="P51" s="101" t="str">
        <f t="array" ref="P51">INDIRECT("Update"&amp;Projections!$AH$17&amp;"!C"&amp;ROW(B32))</f>
        <v>Tyrese Maxey</v>
      </c>
      <c r="Q51" s="94">
        <f>UpdateBBM!F32</f>
        <v>66</v>
      </c>
      <c r="R51" s="105" t="str">
        <f t="array" ref="R51">INDIRECT("Update"&amp;Projections!$AH$17&amp;"!D"&amp;ROW(B32))</f>
        <v>PG,SG</v>
      </c>
      <c r="S51" s="73">
        <f t="shared" si="14"/>
        <v>3.035366278</v>
      </c>
      <c r="T51" s="73">
        <f>SUM(AE51:AM51)-IFERROR(IFS(Projections!$I$17,AN51,Projections!$J$17,AO51),"")</f>
        <v>3.035366278</v>
      </c>
      <c r="U51" s="73">
        <f t="shared" si="15"/>
        <v>0</v>
      </c>
      <c r="V51" s="73">
        <f t="array" ref="V51">INDIRECT("Update"&amp;Projections!$AH$17&amp;"!M"&amp;ROW(B32))</f>
        <v>24.4</v>
      </c>
      <c r="W51" s="73">
        <f t="array" ref="W51">INDIRECT("Update"&amp;Projections!$AH$17&amp;"!L"&amp;ROW(B32))</f>
        <v>3</v>
      </c>
      <c r="X51" s="73">
        <f t="array" ref="X51">INDIRECT("Update"&amp;Projections!$AH$17&amp;"!N"&amp;ROW(B32))</f>
        <v>3.5</v>
      </c>
      <c r="Y51" s="73">
        <f t="array" ref="Y51">INDIRECT("Update"&amp;Projections!$AH$17&amp;"!O"&amp;ROW(B32))</f>
        <v>5.9</v>
      </c>
      <c r="Z51" s="73">
        <f t="array" ref="Z51">INDIRECT("Update"&amp;Projections!$AH$17&amp;"!P"&amp;ROW(B32))</f>
        <v>1</v>
      </c>
      <c r="AA51" s="73">
        <f t="array" ref="AA51">INDIRECT("Update"&amp;Projections!$AH$17&amp;"!Q"&amp;ROW(B32))</f>
        <v>0.3</v>
      </c>
      <c r="AB51" s="107">
        <f t="array" ref="AB51">INDIRECT("Update"&amp;Projections!$AH$17&amp;"!I"&amp;ROW(B32))</f>
        <v>0.462</v>
      </c>
      <c r="AC51" s="107">
        <f t="array" ref="AC51">INDIRECT("Update"&amp;Projections!$AH$17&amp;"!K"&amp;ROW(B32))</f>
        <v>0.859</v>
      </c>
      <c r="AD51" s="73">
        <f t="array" ref="AD51">INDIRECT("Update"&amp;Projections!$AH$17&amp;"!R"&amp;ROW(B32))</f>
        <v>1.6</v>
      </c>
      <c r="AE51" s="73">
        <f t="shared" si="16"/>
        <v>1.252453058</v>
      </c>
      <c r="AF51" s="73">
        <f t="shared" si="17"/>
        <v>1.24504239</v>
      </c>
      <c r="AG51" s="73">
        <f t="shared" si="18"/>
        <v>-1.007676117</v>
      </c>
      <c r="AH51" s="73">
        <f t="shared" si="19"/>
        <v>0.8949417952</v>
      </c>
      <c r="AI51" s="73">
        <f t="shared" si="20"/>
        <v>0.07913626764</v>
      </c>
      <c r="AJ51" s="73">
        <f t="shared" si="21"/>
        <v>-0.7939110449</v>
      </c>
      <c r="AK51" s="73">
        <f t="shared" si="22"/>
        <v>-0.7685500776</v>
      </c>
      <c r="AL51" s="73">
        <f t="shared" si="23"/>
        <v>1.089387213</v>
      </c>
      <c r="AM51" s="73">
        <f t="shared" si="24"/>
        <v>0.03686667737</v>
      </c>
      <c r="AN51" s="120">
        <f t="shared" si="25"/>
        <v>-1.007676117</v>
      </c>
      <c r="AO51" s="120">
        <f t="shared" si="26"/>
        <v>-1.801587161</v>
      </c>
      <c r="AP51" s="120">
        <f t="array" ref="AP51">INDIRECT("Update"&amp;Projections!$AH$17&amp;"!S"&amp;ROW(B32))</f>
        <v>18.8</v>
      </c>
      <c r="AQ51" s="120">
        <f t="array" ref="AQ51">INDIRECT("Update"&amp;Projections!$AH$17&amp;"!T"&amp;ROW(B32))</f>
        <v>4.8</v>
      </c>
      <c r="AR51" s="100">
        <f t="shared" si="27"/>
        <v>3.035366278</v>
      </c>
    </row>
    <row r="52">
      <c r="A52" s="40" t="str">
        <f t="shared" si="3"/>
        <v>Franz Wagner</v>
      </c>
      <c r="B52" s="42">
        <f t="shared" si="4"/>
        <v>0.3853425637</v>
      </c>
      <c r="C52" s="43">
        <f t="shared" si="5"/>
        <v>-0.3473463946</v>
      </c>
      <c r="D52" s="42">
        <f t="shared" si="6"/>
        <v>-0.2623750651</v>
      </c>
      <c r="E52" s="42">
        <f t="shared" si="7"/>
        <v>-0.01629361326</v>
      </c>
      <c r="F52" s="42">
        <f t="shared" si="8"/>
        <v>0.743001624</v>
      </c>
      <c r="G52" s="42">
        <f t="shared" si="9"/>
        <v>-0.6155173428</v>
      </c>
      <c r="H52" s="42">
        <f t="shared" si="10"/>
        <v>-0.2440245612</v>
      </c>
      <c r="I52" s="42">
        <f>UpdateHashtag!S50</f>
        <v>15</v>
      </c>
      <c r="J52" s="47">
        <f t="shared" si="11"/>
        <v>0.7627159889</v>
      </c>
      <c r="K52" s="48">
        <f>UpdateHashtag!T50</f>
        <v>4.3</v>
      </c>
      <c r="L52" s="42">
        <f t="shared" si="12"/>
        <v>0.2493047061</v>
      </c>
      <c r="N52" s="100">
        <f t="shared" si="13"/>
        <v>21</v>
      </c>
      <c r="O52" s="94">
        <f t="array" ref="O52">INDIRECT("Update"&amp;Projections!$AH$17&amp;"!B"&amp;ROW(B33))</f>
        <v>38.4</v>
      </c>
      <c r="P52" s="101" t="str">
        <f t="array" ref="P52">INDIRECT("Update"&amp;Projections!$AH$17&amp;"!C"&amp;ROW(B33))</f>
        <v>Fred VanVleet</v>
      </c>
      <c r="Q52" s="94">
        <f>UpdateBBM!F33</f>
        <v>71</v>
      </c>
      <c r="R52" s="105" t="str">
        <f t="array" ref="R52">INDIRECT("Update"&amp;Projections!$AH$17&amp;"!D"&amp;ROW(B33))</f>
        <v>PG</v>
      </c>
      <c r="S52" s="73">
        <f t="shared" si="14"/>
        <v>4.121701337</v>
      </c>
      <c r="T52" s="73">
        <f>SUM(AE52:AM52)-IFERROR(IFS(Projections!$I$17,AN52,Projections!$J$17,AO52),"")</f>
        <v>4.121701337</v>
      </c>
      <c r="U52" s="73">
        <f t="shared" si="15"/>
        <v>0</v>
      </c>
      <c r="V52" s="73">
        <f t="array" ref="V52">INDIRECT("Update"&amp;Projections!$AH$17&amp;"!M"&amp;ROW(B33))</f>
        <v>17.3</v>
      </c>
      <c r="W52" s="73">
        <f t="array" ref="W52">INDIRECT("Update"&amp;Projections!$AH$17&amp;"!L"&amp;ROW(B33))</f>
        <v>2.9</v>
      </c>
      <c r="X52" s="73">
        <f t="array" ref="X52">INDIRECT("Update"&amp;Projections!$AH$17&amp;"!N"&amp;ROW(B33))</f>
        <v>3.7</v>
      </c>
      <c r="Y52" s="73">
        <f t="array" ref="Y52">INDIRECT("Update"&amp;Projections!$AH$17&amp;"!O"&amp;ROW(B33))</f>
        <v>7.6</v>
      </c>
      <c r="Z52" s="73">
        <f t="array" ref="Z52">INDIRECT("Update"&amp;Projections!$AH$17&amp;"!P"&amp;ROW(B33))</f>
        <v>1.4</v>
      </c>
      <c r="AA52" s="73">
        <f t="array" ref="AA52">INDIRECT("Update"&amp;Projections!$AH$17&amp;"!Q"&amp;ROW(B33))</f>
        <v>0.7</v>
      </c>
      <c r="AB52" s="107">
        <f t="array" ref="AB52">INDIRECT("Update"&amp;Projections!$AH$17&amp;"!I"&amp;ROW(B33))</f>
        <v>0.406</v>
      </c>
      <c r="AC52" s="107">
        <f t="array" ref="AC52">INDIRECT("Update"&amp;Projections!$AH$17&amp;"!K"&amp;ROW(B33))</f>
        <v>0.874</v>
      </c>
      <c r="AD52" s="73">
        <f t="array" ref="AD52">INDIRECT("Update"&amp;Projections!$AH$17&amp;"!R"&amp;ROW(B33))</f>
        <v>1.8</v>
      </c>
      <c r="AE52" s="73">
        <f t="shared" si="16"/>
        <v>-0.03014788142</v>
      </c>
      <c r="AF52" s="73">
        <f t="shared" si="17"/>
        <v>1.145518091</v>
      </c>
      <c r="AG52" s="73">
        <f t="shared" si="18"/>
        <v>-0.9292233743</v>
      </c>
      <c r="AH52" s="73">
        <f t="shared" si="19"/>
        <v>1.669491892</v>
      </c>
      <c r="AI52" s="73">
        <f t="shared" si="20"/>
        <v>1.40686698</v>
      </c>
      <c r="AJ52" s="73">
        <f t="shared" si="21"/>
        <v>-0.08033623669</v>
      </c>
      <c r="AK52" s="73">
        <f t="shared" si="22"/>
        <v>-1.50182448</v>
      </c>
      <c r="AL52" s="73">
        <f t="shared" si="23"/>
        <v>0.952261615</v>
      </c>
      <c r="AM52" s="73">
        <f t="shared" si="24"/>
        <v>-0.01272974958</v>
      </c>
      <c r="AN52" s="120">
        <f t="shared" si="25"/>
        <v>-1.50182448</v>
      </c>
      <c r="AO52" s="120">
        <f t="shared" si="26"/>
        <v>-2.431047854</v>
      </c>
      <c r="AP52" s="120">
        <f t="array" ref="AP52">INDIRECT("Update"&amp;Projections!$AH$17&amp;"!S"&amp;ROW(B33))</f>
        <v>14.1</v>
      </c>
      <c r="AQ52" s="120">
        <f t="array" ref="AQ52">INDIRECT("Update"&amp;Projections!$AH$17&amp;"!T"&amp;ROW(B33))</f>
        <v>3.4</v>
      </c>
      <c r="AR52" s="100">
        <f t="shared" si="27"/>
        <v>2.818108946</v>
      </c>
    </row>
    <row r="53">
      <c r="A53" s="40" t="str">
        <f t="shared" si="3"/>
        <v>Tobias Harris</v>
      </c>
      <c r="B53" s="42">
        <f t="shared" si="4"/>
        <v>0.02404652447</v>
      </c>
      <c r="C53" s="43">
        <f t="shared" si="5"/>
        <v>-0.1482977966</v>
      </c>
      <c r="D53" s="42">
        <f t="shared" si="6"/>
        <v>0.09066227498</v>
      </c>
      <c r="E53" s="42">
        <f t="shared" si="7"/>
        <v>-0.4263495471</v>
      </c>
      <c r="F53" s="42">
        <f t="shared" si="8"/>
        <v>0.07913626764</v>
      </c>
      <c r="G53" s="42">
        <f t="shared" si="9"/>
        <v>-0.2587299387</v>
      </c>
      <c r="H53" s="42">
        <f t="shared" si="10"/>
        <v>-0.2459083004</v>
      </c>
      <c r="I53" s="42">
        <f>UpdateHashtag!S51</f>
        <v>14.1</v>
      </c>
      <c r="J53" s="47">
        <f t="shared" si="11"/>
        <v>0.8533035959</v>
      </c>
      <c r="K53" s="48">
        <f>UpdateHashtag!T51</f>
        <v>2.9</v>
      </c>
      <c r="L53" s="42">
        <f t="shared" si="12"/>
        <v>-0.4450452712</v>
      </c>
      <c r="N53" s="100">
        <f t="shared" si="13"/>
        <v>35</v>
      </c>
      <c r="O53" s="94">
        <f t="array" ref="O53">INDIRECT("Update"&amp;Projections!$AH$17&amp;"!B"&amp;ROW(B34))</f>
        <v>41.4</v>
      </c>
      <c r="P53" s="101" t="str">
        <f t="array" ref="P53">INDIRECT("Update"&amp;Projections!$AH$17&amp;"!C"&amp;ROW(B34))</f>
        <v>Jalen Johnson</v>
      </c>
      <c r="Q53" s="94">
        <f>UpdateBBM!F34</f>
        <v>71</v>
      </c>
      <c r="R53" s="105" t="str">
        <f t="array" ref="R53">INDIRECT("Update"&amp;Projections!$AH$17&amp;"!D"&amp;ROW(B34))</f>
        <v>PF</v>
      </c>
      <c r="S53" s="73">
        <f t="shared" si="14"/>
        <v>2.460612776</v>
      </c>
      <c r="T53" s="73">
        <f>SUM(AE53:AM53)-IFERROR(IFS(Projections!$I$17,AN53,Projections!$J$17,AO53),"")</f>
        <v>2.460612776</v>
      </c>
      <c r="U53" s="73">
        <f t="shared" si="15"/>
        <v>0</v>
      </c>
      <c r="V53" s="73">
        <f t="array" ref="V53">INDIRECT("Update"&amp;Projections!$AH$17&amp;"!M"&amp;ROW(B34))</f>
        <v>18.2</v>
      </c>
      <c r="W53" s="73">
        <f t="array" ref="W53">INDIRECT("Update"&amp;Projections!$AH$17&amp;"!L"&amp;ROW(B34))</f>
        <v>1.4</v>
      </c>
      <c r="X53" s="73">
        <f t="array" ref="X53">INDIRECT("Update"&amp;Projections!$AH$17&amp;"!N"&amp;ROW(B34))</f>
        <v>9.2</v>
      </c>
      <c r="Y53" s="73">
        <f t="array" ref="Y53">INDIRECT("Update"&amp;Projections!$AH$17&amp;"!O"&amp;ROW(B34))</f>
        <v>3.5</v>
      </c>
      <c r="Z53" s="73">
        <f t="array" ref="Z53">INDIRECT("Update"&amp;Projections!$AH$17&amp;"!P"&amp;ROW(B34))</f>
        <v>1.3</v>
      </c>
      <c r="AA53" s="73">
        <f t="array" ref="AA53">INDIRECT("Update"&amp;Projections!$AH$17&amp;"!Q"&amp;ROW(B34))</f>
        <v>1</v>
      </c>
      <c r="AB53" s="107">
        <f t="array" ref="AB53">INDIRECT("Update"&amp;Projections!$AH$17&amp;"!I"&amp;ROW(B34))</f>
        <v>0.503</v>
      </c>
      <c r="AC53" s="107">
        <f t="array" ref="AC53">INDIRECT("Update"&amp;Projections!$AH$17&amp;"!K"&amp;ROW(B34))</f>
        <v>0.747</v>
      </c>
      <c r="AD53" s="73">
        <f t="array" ref="AD53">INDIRECT("Update"&amp;Projections!$AH$17&amp;"!R"&amp;ROW(B34))</f>
        <v>1.7</v>
      </c>
      <c r="AE53" s="73">
        <f t="shared" si="16"/>
        <v>0.1324353362</v>
      </c>
      <c r="AF53" s="73">
        <f t="shared" si="17"/>
        <v>-0.3473463946</v>
      </c>
      <c r="AG53" s="73">
        <f t="shared" si="18"/>
        <v>1.228227038</v>
      </c>
      <c r="AH53" s="73">
        <f t="shared" si="19"/>
        <v>-0.198540695</v>
      </c>
      <c r="AI53" s="73">
        <f t="shared" si="20"/>
        <v>1.074934302</v>
      </c>
      <c r="AJ53" s="73">
        <f t="shared" si="21"/>
        <v>0.4548448695</v>
      </c>
      <c r="AK53" s="73">
        <f t="shared" si="22"/>
        <v>0.1039898559</v>
      </c>
      <c r="AL53" s="73">
        <f t="shared" si="23"/>
        <v>-0.4920812623</v>
      </c>
      <c r="AM53" s="73">
        <f t="shared" si="24"/>
        <v>0.01206846389</v>
      </c>
      <c r="AN53" s="120">
        <f t="shared" si="25"/>
        <v>-0.4920812623</v>
      </c>
      <c r="AO53" s="120">
        <f t="shared" si="26"/>
        <v>-0.8394276569</v>
      </c>
      <c r="AP53" s="120">
        <f t="array" ref="AP53">INDIRECT("Update"&amp;Projections!$AH$17&amp;"!S"&amp;ROW(B34))</f>
        <v>14.5</v>
      </c>
      <c r="AQ53" s="120">
        <f t="array" ref="AQ53">INDIRECT("Update"&amp;Projections!$AH$17&amp;"!T"&amp;ROW(B34))</f>
        <v>2.9</v>
      </c>
      <c r="AR53" s="100">
        <f t="shared" si="27"/>
        <v>2.578835188</v>
      </c>
    </row>
    <row r="54">
      <c r="A54" s="40" t="str">
        <f t="shared" si="3"/>
        <v>Nikola Vucevic</v>
      </c>
      <c r="B54" s="42">
        <f t="shared" si="4"/>
        <v>-0.06627748535</v>
      </c>
      <c r="C54" s="43">
        <f t="shared" si="5"/>
        <v>-0.3473463946</v>
      </c>
      <c r="D54" s="42">
        <f t="shared" si="6"/>
        <v>1.698943491</v>
      </c>
      <c r="E54" s="42">
        <f t="shared" si="7"/>
        <v>-0.2896642358</v>
      </c>
      <c r="F54" s="42">
        <f t="shared" si="8"/>
        <v>-0.9166617668</v>
      </c>
      <c r="G54" s="42">
        <f t="shared" si="9"/>
        <v>-0.08033623669</v>
      </c>
      <c r="H54" s="42">
        <f t="shared" si="10"/>
        <v>-0.2581165139</v>
      </c>
      <c r="I54" s="42">
        <f>UpdateHashtag!S52</f>
        <v>14.8</v>
      </c>
      <c r="J54" s="47">
        <f t="shared" si="11"/>
        <v>0.1407889721</v>
      </c>
      <c r="K54" s="48">
        <f>UpdateHashtag!T52</f>
        <v>1.8</v>
      </c>
      <c r="L54" s="42">
        <f t="shared" si="12"/>
        <v>-0.1474667095</v>
      </c>
      <c r="N54" s="100">
        <f t="shared" si="13"/>
        <v>29</v>
      </c>
      <c r="O54" s="94">
        <f t="array" ref="O54">INDIRECT("Update"&amp;Projections!$AH$17&amp;"!B"&amp;ROW(B35))</f>
        <v>26.1</v>
      </c>
      <c r="P54" s="101" t="str">
        <f t="array" ref="P54">INDIRECT("Update"&amp;Projections!$AH$17&amp;"!C"&amp;ROW(B35))</f>
        <v>De'Aaron Fox</v>
      </c>
      <c r="Q54" s="94">
        <f>UpdateBBM!F35</f>
        <v>66</v>
      </c>
      <c r="R54" s="105" t="str">
        <f t="array" ref="R54">INDIRECT("Update"&amp;Projections!$AH$17&amp;"!D"&amp;ROW(B35))</f>
        <v>PG</v>
      </c>
      <c r="S54" s="73">
        <f t="shared" si="14"/>
        <v>3.161900046</v>
      </c>
      <c r="T54" s="73">
        <f>SUM(AE54:AM54)-IFERROR(IFS(Projections!$I$17,AN54,Projections!$J$17,AO54),"")</f>
        <v>3.161900046</v>
      </c>
      <c r="U54" s="73">
        <f t="shared" si="15"/>
        <v>0</v>
      </c>
      <c r="V54" s="73">
        <f t="array" ref="V54">INDIRECT("Update"&amp;Projections!$AH$17&amp;"!M"&amp;ROW(B35))</f>
        <v>25.1</v>
      </c>
      <c r="W54" s="73">
        <f t="array" ref="W54">INDIRECT("Update"&amp;Projections!$AH$17&amp;"!L"&amp;ROW(B35))</f>
        <v>2.5</v>
      </c>
      <c r="X54" s="73">
        <f t="array" ref="X54">INDIRECT("Update"&amp;Projections!$AH$17&amp;"!N"&amp;ROW(B35))</f>
        <v>4.2</v>
      </c>
      <c r="Y54" s="73">
        <f t="array" ref="Y54">INDIRECT("Update"&amp;Projections!$AH$17&amp;"!O"&amp;ROW(B35))</f>
        <v>5.5</v>
      </c>
      <c r="Z54" s="73">
        <f t="array" ref="Z54">INDIRECT("Update"&amp;Projections!$AH$17&amp;"!P"&amp;ROW(B35))</f>
        <v>1.7</v>
      </c>
      <c r="AA54" s="73">
        <f t="array" ref="AA54">INDIRECT("Update"&amp;Projections!$AH$17&amp;"!Q"&amp;ROW(B35))</f>
        <v>0.4</v>
      </c>
      <c r="AB54" s="107">
        <f t="array" ref="AB54">INDIRECT("Update"&amp;Projections!$AH$17&amp;"!I"&amp;ROW(B35))</f>
        <v>0.472</v>
      </c>
      <c r="AC54" s="107">
        <f t="array" ref="AC54">INDIRECT("Update"&amp;Projections!$AH$17&amp;"!K"&amp;ROW(B35))</f>
        <v>0.759</v>
      </c>
      <c r="AD54" s="73">
        <f t="array" ref="AD54">INDIRECT("Update"&amp;Projections!$AH$17&amp;"!R"&amp;ROW(B35))</f>
        <v>2.5</v>
      </c>
      <c r="AE54" s="73">
        <f t="shared" si="16"/>
        <v>1.378906672</v>
      </c>
      <c r="AF54" s="73">
        <f t="shared" si="17"/>
        <v>0.7474208947</v>
      </c>
      <c r="AG54" s="73">
        <f t="shared" si="18"/>
        <v>-0.7330915186</v>
      </c>
      <c r="AH54" s="73">
        <f t="shared" si="19"/>
        <v>0.7126947135</v>
      </c>
      <c r="AI54" s="73">
        <f t="shared" si="20"/>
        <v>2.402665015</v>
      </c>
      <c r="AJ54" s="73">
        <f t="shared" si="21"/>
        <v>-0.6155173428</v>
      </c>
      <c r="AK54" s="73">
        <f t="shared" si="22"/>
        <v>-0.5657100942</v>
      </c>
      <c r="AL54" s="73">
        <f t="shared" si="23"/>
        <v>-0.7122425678</v>
      </c>
      <c r="AM54" s="73">
        <f t="shared" si="24"/>
        <v>-0.1863172439</v>
      </c>
      <c r="AN54" s="120">
        <f t="shared" si="25"/>
        <v>-0.7330915186</v>
      </c>
      <c r="AO54" s="120">
        <f t="shared" si="26"/>
        <v>-1.445334086</v>
      </c>
      <c r="AP54" s="120">
        <f t="array" ref="AP54">INDIRECT("Update"&amp;Projections!$AH$17&amp;"!S"&amp;ROW(B35))</f>
        <v>19.4</v>
      </c>
      <c r="AQ54" s="120">
        <f t="array" ref="AQ54">INDIRECT("Update"&amp;Projections!$AH$17&amp;"!T"&amp;ROW(B35))</f>
        <v>5.6</v>
      </c>
      <c r="AR54" s="100">
        <f t="shared" si="27"/>
        <v>2.524525507</v>
      </c>
    </row>
    <row r="55">
      <c r="A55" s="40" t="str">
        <f t="shared" si="3"/>
        <v>Jarrett Allen</v>
      </c>
      <c r="B55" s="42">
        <f t="shared" si="4"/>
        <v>-0.4637031285</v>
      </c>
      <c r="C55" s="43">
        <f t="shared" si="5"/>
        <v>-1.740686581</v>
      </c>
      <c r="D55" s="42">
        <f t="shared" si="6"/>
        <v>1.502811635</v>
      </c>
      <c r="E55" s="42">
        <f t="shared" si="7"/>
        <v>-0.7908437104</v>
      </c>
      <c r="F55" s="42">
        <f t="shared" si="8"/>
        <v>-0.9166617668</v>
      </c>
      <c r="G55" s="42">
        <f t="shared" si="9"/>
        <v>0.6332385715</v>
      </c>
      <c r="H55" s="42">
        <f t="shared" si="10"/>
        <v>1.592932416</v>
      </c>
      <c r="I55" s="42">
        <f>UpdateHashtag!S53</f>
        <v>9.7</v>
      </c>
      <c r="J55" s="47">
        <f t="shared" si="11"/>
        <v>-0.7638487738</v>
      </c>
      <c r="K55" s="48">
        <f>UpdateHashtag!T53</f>
        <v>3.6</v>
      </c>
      <c r="L55" s="42">
        <f t="shared" si="12"/>
        <v>-0.3458524173</v>
      </c>
      <c r="N55" s="100">
        <f t="shared" si="13"/>
        <v>44</v>
      </c>
      <c r="O55" s="94">
        <f t="array" ref="O55">INDIRECT("Update"&amp;Projections!$AH$17&amp;"!B"&amp;ROW(B36))</f>
        <v>48.4</v>
      </c>
      <c r="P55" s="101" t="str">
        <f t="array" ref="P55">INDIRECT("Update"&amp;Projections!$AH$17&amp;"!C"&amp;ROW(B36))</f>
        <v>Derrick White</v>
      </c>
      <c r="Q55" s="94">
        <f>UpdateBBM!F36</f>
        <v>60</v>
      </c>
      <c r="R55" s="105" t="str">
        <f t="array" ref="R55">INDIRECT("Update"&amp;Projections!$AH$17&amp;"!D"&amp;ROW(B36))</f>
        <v>PG,SG</v>
      </c>
      <c r="S55" s="73">
        <f t="shared" si="14"/>
        <v>1.91277068</v>
      </c>
      <c r="T55" s="73">
        <f>SUM(AE55:AM55)-IFERROR(IFS(Projections!$I$17,AN55,Projections!$J$17,AO55),"")</f>
        <v>1.91277068</v>
      </c>
      <c r="U55" s="73">
        <f t="shared" si="15"/>
        <v>0</v>
      </c>
      <c r="V55" s="73">
        <f t="array" ref="V55">INDIRECT("Update"&amp;Projections!$AH$17&amp;"!M"&amp;ROW(B36))</f>
        <v>15.2</v>
      </c>
      <c r="W55" s="73">
        <f t="array" ref="W55">INDIRECT("Update"&amp;Projections!$AH$17&amp;"!L"&amp;ROW(B36))</f>
        <v>2.7</v>
      </c>
      <c r="X55" s="73">
        <f t="array" ref="X55">INDIRECT("Update"&amp;Projections!$AH$17&amp;"!N"&amp;ROW(B36))</f>
        <v>4.3</v>
      </c>
      <c r="Y55" s="73">
        <f t="array" ref="Y55">INDIRECT("Update"&amp;Projections!$AH$17&amp;"!O"&amp;ROW(B36))</f>
        <v>4.9</v>
      </c>
      <c r="Z55" s="73">
        <f t="array" ref="Z55">INDIRECT("Update"&amp;Projections!$AH$17&amp;"!P"&amp;ROW(B36))</f>
        <v>0.9</v>
      </c>
      <c r="AA55" s="73">
        <f t="array" ref="AA55">INDIRECT("Update"&amp;Projections!$AH$17&amp;"!Q"&amp;ROW(B36))</f>
        <v>1.2</v>
      </c>
      <c r="AB55" s="107">
        <f t="array" ref="AB55">INDIRECT("Update"&amp;Projections!$AH$17&amp;"!I"&amp;ROW(B36))</f>
        <v>0.461</v>
      </c>
      <c r="AC55" s="107">
        <f t="array" ref="AC55">INDIRECT("Update"&amp;Projections!$AH$17&amp;"!K"&amp;ROW(B36))</f>
        <v>0.888</v>
      </c>
      <c r="AD55" s="73">
        <f t="array" ref="AD55">INDIRECT("Update"&amp;Projections!$AH$17&amp;"!R"&amp;ROW(B36))</f>
        <v>1.5</v>
      </c>
      <c r="AE55" s="73">
        <f t="shared" si="16"/>
        <v>-0.4095087227</v>
      </c>
      <c r="AF55" s="73">
        <f t="shared" si="17"/>
        <v>0.9464694928</v>
      </c>
      <c r="AG55" s="73">
        <f t="shared" si="18"/>
        <v>-0.6938651475</v>
      </c>
      <c r="AH55" s="73">
        <f t="shared" si="19"/>
        <v>0.439324091</v>
      </c>
      <c r="AI55" s="73">
        <f t="shared" si="20"/>
        <v>-0.2527964105</v>
      </c>
      <c r="AJ55" s="73">
        <f t="shared" si="21"/>
        <v>0.8116322736</v>
      </c>
      <c r="AK55" s="73">
        <f t="shared" si="22"/>
        <v>-0.4751912633</v>
      </c>
      <c r="AL55" s="73">
        <f t="shared" si="23"/>
        <v>0.7911763284</v>
      </c>
      <c r="AM55" s="73">
        <f t="shared" si="24"/>
        <v>0.06166489084</v>
      </c>
      <c r="AN55" s="120">
        <f t="shared" si="25"/>
        <v>-0.6938651475</v>
      </c>
      <c r="AO55" s="120">
        <f t="shared" si="26"/>
        <v>-1.169056411</v>
      </c>
      <c r="AP55" s="120">
        <f t="array" ref="AP55">INDIRECT("Update"&amp;Projections!$AH$17&amp;"!S"&amp;ROW(B36))</f>
        <v>11.3</v>
      </c>
      <c r="AQ55" s="120">
        <f t="array" ref="AQ55">INDIRECT("Update"&amp;Projections!$AH$17&amp;"!T"&amp;ROW(B36))</f>
        <v>2.4</v>
      </c>
      <c r="AR55" s="100">
        <f t="shared" si="27"/>
        <v>2.460612776</v>
      </c>
    </row>
    <row r="56">
      <c r="A56" s="40" t="str">
        <f t="shared" si="3"/>
        <v>Rudy Gobert</v>
      </c>
      <c r="B56" s="42">
        <f t="shared" si="4"/>
        <v>-0.5720919403</v>
      </c>
      <c r="C56" s="43">
        <f t="shared" si="5"/>
        <v>-1.740686581</v>
      </c>
      <c r="D56" s="42">
        <f t="shared" si="6"/>
        <v>2.679602769</v>
      </c>
      <c r="E56" s="42">
        <f t="shared" si="7"/>
        <v>-1.155337874</v>
      </c>
      <c r="F56" s="42">
        <f t="shared" si="8"/>
        <v>-0.5847290887</v>
      </c>
      <c r="G56" s="42">
        <f t="shared" si="9"/>
        <v>1.881994486</v>
      </c>
      <c r="H56" s="42">
        <f t="shared" si="10"/>
        <v>1.586759619</v>
      </c>
      <c r="I56" s="42">
        <f>UpdateHashtag!S54</f>
        <v>8.3</v>
      </c>
      <c r="J56" s="47">
        <f t="shared" si="11"/>
        <v>-2.815967066</v>
      </c>
      <c r="K56" s="48">
        <f>UpdateHashtag!T54</f>
        <v>5.2</v>
      </c>
      <c r="L56" s="42">
        <f t="shared" si="12"/>
        <v>-0.04827385557</v>
      </c>
      <c r="N56" s="100">
        <f t="shared" si="13"/>
        <v>42</v>
      </c>
      <c r="O56" s="94">
        <f t="array" ref="O56">INDIRECT("Update"&amp;Projections!$AH$17&amp;"!B"&amp;ROW(B37))</f>
        <v>35.2</v>
      </c>
      <c r="P56" s="101" t="str">
        <f t="array" ref="P56">INDIRECT("Update"&amp;Projections!$AH$17&amp;"!C"&amp;ROW(B37))</f>
        <v>Ja Morant</v>
      </c>
      <c r="Q56" s="94">
        <f>UpdateBBM!F37</f>
        <v>64</v>
      </c>
      <c r="R56" s="105" t="str">
        <f t="array" ref="R56">INDIRECT("Update"&amp;Projections!$AH$17&amp;"!D"&amp;ROW(B37))</f>
        <v>PG</v>
      </c>
      <c r="S56" s="73">
        <f t="shared" si="14"/>
        <v>1.952739847</v>
      </c>
      <c r="T56" s="73">
        <f>SUM(AE56:AM56)-IFERROR(IFS(Projections!$I$17,AN56,Projections!$J$17,AO56),"")</f>
        <v>1.952739847</v>
      </c>
      <c r="U56" s="73">
        <f t="shared" si="15"/>
        <v>0</v>
      </c>
      <c r="V56" s="73">
        <f t="array" ref="V56">INDIRECT("Update"&amp;Projections!$AH$17&amp;"!M"&amp;ROW(B37))</f>
        <v>25.8</v>
      </c>
      <c r="W56" s="73">
        <f t="array" ref="W56">INDIRECT("Update"&amp;Projections!$AH$17&amp;"!L"&amp;ROW(B37))</f>
        <v>1.5</v>
      </c>
      <c r="X56" s="73">
        <f t="array" ref="X56">INDIRECT("Update"&amp;Projections!$AH$17&amp;"!N"&amp;ROW(B37))</f>
        <v>5.9</v>
      </c>
      <c r="Y56" s="73">
        <f t="array" ref="Y56">INDIRECT("Update"&amp;Projections!$AH$17&amp;"!O"&amp;ROW(B37))</f>
        <v>8.2</v>
      </c>
      <c r="Z56" s="73">
        <f t="array" ref="Z56">INDIRECT("Update"&amp;Projections!$AH$17&amp;"!P"&amp;ROW(B37))</f>
        <v>0.9</v>
      </c>
      <c r="AA56" s="73">
        <f t="array" ref="AA56">INDIRECT("Update"&amp;Projections!$AH$17&amp;"!Q"&amp;ROW(B37))</f>
        <v>0.5</v>
      </c>
      <c r="AB56" s="107">
        <f t="array" ref="AB56">INDIRECT("Update"&amp;Projections!$AH$17&amp;"!I"&amp;ROW(B37))</f>
        <v>0.47</v>
      </c>
      <c r="AC56" s="107">
        <f t="array" ref="AC56">INDIRECT("Update"&amp;Projections!$AH$17&amp;"!K"&amp;ROW(B37))</f>
        <v>0.788</v>
      </c>
      <c r="AD56" s="73">
        <f t="array" ref="AD56">INDIRECT("Update"&amp;Projections!$AH$17&amp;"!R"&amp;ROW(B37))</f>
        <v>3</v>
      </c>
      <c r="AE56" s="73">
        <f t="shared" si="16"/>
        <v>1.505360285</v>
      </c>
      <c r="AF56" s="73">
        <f t="shared" si="17"/>
        <v>-0.2478220956</v>
      </c>
      <c r="AG56" s="73">
        <f t="shared" si="18"/>
        <v>-0.06624320952</v>
      </c>
      <c r="AH56" s="73">
        <f t="shared" si="19"/>
        <v>1.942862515</v>
      </c>
      <c r="AI56" s="73">
        <f t="shared" si="20"/>
        <v>-0.2527964105</v>
      </c>
      <c r="AJ56" s="73">
        <f t="shared" si="21"/>
        <v>-0.4371236408</v>
      </c>
      <c r="AK56" s="73">
        <f t="shared" si="22"/>
        <v>-0.6174845929</v>
      </c>
      <c r="AL56" s="73">
        <f t="shared" si="23"/>
        <v>-0.1811892858</v>
      </c>
      <c r="AM56" s="73">
        <f t="shared" si="24"/>
        <v>-0.3103083113</v>
      </c>
      <c r="AN56" s="120">
        <f t="shared" si="25"/>
        <v>-0.6174845929</v>
      </c>
      <c r="AO56" s="120">
        <f t="shared" si="26"/>
        <v>-1.054608234</v>
      </c>
      <c r="AP56" s="120">
        <f t="array" ref="AP56">INDIRECT("Update"&amp;Projections!$AH$17&amp;"!S"&amp;ROW(B37))</f>
        <v>19.6</v>
      </c>
      <c r="AQ56" s="120">
        <f t="array" ref="AQ56">INDIRECT("Update"&amp;Projections!$AH$17&amp;"!T"&amp;ROW(B37))</f>
        <v>7.4</v>
      </c>
      <c r="AR56" s="100">
        <f t="shared" si="27"/>
        <v>2.427604478</v>
      </c>
    </row>
    <row r="57">
      <c r="A57" s="40" t="str">
        <f t="shared" si="3"/>
        <v>Darius Garland</v>
      </c>
      <c r="B57" s="42">
        <f t="shared" si="4"/>
        <v>0.3311481578</v>
      </c>
      <c r="C57" s="43">
        <f t="shared" si="5"/>
        <v>0.5483722967</v>
      </c>
      <c r="D57" s="42">
        <f t="shared" si="6"/>
        <v>-1.360713457</v>
      </c>
      <c r="E57" s="42">
        <f t="shared" si="7"/>
        <v>1.39612127</v>
      </c>
      <c r="F57" s="42">
        <f t="shared" si="8"/>
        <v>0.743001624</v>
      </c>
      <c r="G57" s="42">
        <f t="shared" si="9"/>
        <v>-1.150698449</v>
      </c>
      <c r="H57" s="42">
        <f t="shared" si="10"/>
        <v>-0.7411733781</v>
      </c>
      <c r="I57" s="42">
        <f>UpdateHashtag!S55</f>
        <v>15.1</v>
      </c>
      <c r="J57" s="47">
        <f t="shared" si="11"/>
        <v>0.7413150332</v>
      </c>
      <c r="K57" s="48">
        <f>UpdateHashtag!T55</f>
        <v>3.8</v>
      </c>
      <c r="L57" s="42">
        <f t="shared" si="12"/>
        <v>1.142040391</v>
      </c>
      <c r="N57" s="100">
        <f t="shared" si="13"/>
        <v>45</v>
      </c>
      <c r="O57" s="94">
        <f t="array" ref="O57">INDIRECT("Update"&amp;Projections!$AH$17&amp;"!B"&amp;ROW(B38))</f>
        <v>54.1</v>
      </c>
      <c r="P57" s="101" t="str">
        <f t="array" ref="P57">INDIRECT("Update"&amp;Projections!$AH$17&amp;"!C"&amp;ROW(B38))</f>
        <v>DeMar DeRozan</v>
      </c>
      <c r="Q57" s="94">
        <f>UpdateBBM!F38</f>
        <v>66</v>
      </c>
      <c r="R57" s="105" t="str">
        <f t="array" ref="R57">INDIRECT("Update"&amp;Projections!$AH$17&amp;"!D"&amp;ROW(B38))</f>
        <v>SF,PF</v>
      </c>
      <c r="S57" s="73">
        <f t="shared" si="14"/>
        <v>1.830621139</v>
      </c>
      <c r="T57" s="73">
        <f>SUM(AE57:AM57)-IFERROR(IFS(Projections!$I$17,AN57,Projections!$J$17,AO57),"")</f>
        <v>1.830621139</v>
      </c>
      <c r="U57" s="73">
        <f t="shared" si="15"/>
        <v>0</v>
      </c>
      <c r="V57" s="73">
        <f t="array" ref="V57">INDIRECT("Update"&amp;Projections!$AH$17&amp;"!M"&amp;ROW(B38))</f>
        <v>22.1</v>
      </c>
      <c r="W57" s="73">
        <f t="array" ref="W57">INDIRECT("Update"&amp;Projections!$AH$17&amp;"!L"&amp;ROW(B38))</f>
        <v>1.1</v>
      </c>
      <c r="X57" s="73">
        <f t="array" ref="X57">INDIRECT("Update"&amp;Projections!$AH$17&amp;"!N"&amp;ROW(B38))</f>
        <v>3.8</v>
      </c>
      <c r="Y57" s="73">
        <f t="array" ref="Y57">INDIRECT("Update"&amp;Projections!$AH$17&amp;"!O"&amp;ROW(B38))</f>
        <v>3.9</v>
      </c>
      <c r="Z57" s="73">
        <f t="array" ref="Z57">INDIRECT("Update"&amp;Projections!$AH$17&amp;"!P"&amp;ROW(B38))</f>
        <v>1.1</v>
      </c>
      <c r="AA57" s="73">
        <f t="array" ref="AA57">INDIRECT("Update"&amp;Projections!$AH$17&amp;"!Q"&amp;ROW(B38))</f>
        <v>0.6</v>
      </c>
      <c r="AB57" s="107">
        <f t="array" ref="AB57">INDIRECT("Update"&amp;Projections!$AH$17&amp;"!I"&amp;ROW(B38))</f>
        <v>0.486</v>
      </c>
      <c r="AC57" s="107">
        <f t="array" ref="AC57">INDIRECT("Update"&amp;Projections!$AH$17&amp;"!K"&amp;ROW(B38))</f>
        <v>0.863</v>
      </c>
      <c r="AD57" s="73">
        <f t="array" ref="AD57">INDIRECT("Update"&amp;Projections!$AH$17&amp;"!R"&amp;ROW(B38))</f>
        <v>1.7</v>
      </c>
      <c r="AE57" s="73">
        <f t="shared" si="16"/>
        <v>0.8369626128</v>
      </c>
      <c r="AF57" s="73">
        <f t="shared" si="17"/>
        <v>-0.6459192917</v>
      </c>
      <c r="AG57" s="73">
        <f t="shared" si="18"/>
        <v>-0.8899970031</v>
      </c>
      <c r="AH57" s="73">
        <f t="shared" si="19"/>
        <v>-0.01629361326</v>
      </c>
      <c r="AI57" s="73">
        <f t="shared" si="20"/>
        <v>0.4110689458</v>
      </c>
      <c r="AJ57" s="73">
        <f t="shared" si="21"/>
        <v>-0.2587299387</v>
      </c>
      <c r="AK57" s="73">
        <f t="shared" si="22"/>
        <v>-0.1963854406</v>
      </c>
      <c r="AL57" s="73">
        <f t="shared" si="23"/>
        <v>1.687849401</v>
      </c>
      <c r="AM57" s="73">
        <f t="shared" si="24"/>
        <v>0.01206846389</v>
      </c>
      <c r="AN57" s="120">
        <f t="shared" si="25"/>
        <v>-0.8899970031</v>
      </c>
      <c r="AO57" s="120">
        <f t="shared" si="26"/>
        <v>-1.535916295</v>
      </c>
      <c r="AP57" s="120">
        <f t="array" ref="AP57">INDIRECT("Update"&amp;Projections!$AH$17&amp;"!S"&amp;ROW(B38))</f>
        <v>15.4</v>
      </c>
      <c r="AQ57" s="120">
        <f t="array" ref="AQ57">INDIRECT("Update"&amp;Projections!$AH$17&amp;"!T"&amp;ROW(B38))</f>
        <v>7</v>
      </c>
      <c r="AR57" s="100">
        <f t="shared" si="27"/>
        <v>2.310625432</v>
      </c>
    </row>
    <row r="58">
      <c r="A58" s="40" t="str">
        <f t="shared" si="3"/>
        <v>Jaylen Brown</v>
      </c>
      <c r="B58" s="42">
        <f t="shared" si="4"/>
        <v>1.252453058</v>
      </c>
      <c r="C58" s="43">
        <f t="shared" si="5"/>
        <v>0.4488479976</v>
      </c>
      <c r="D58" s="42">
        <f t="shared" si="6"/>
        <v>0.01220953273</v>
      </c>
      <c r="E58" s="42">
        <f t="shared" si="7"/>
        <v>-0.198540695</v>
      </c>
      <c r="F58" s="42">
        <f t="shared" si="8"/>
        <v>0.4110689458</v>
      </c>
      <c r="G58" s="42">
        <f t="shared" si="9"/>
        <v>-0.4371236408</v>
      </c>
      <c r="H58" s="42">
        <f t="shared" si="10"/>
        <v>-0.04188156909</v>
      </c>
      <c r="I58" s="42">
        <f>UpdateHashtag!S56</f>
        <v>19</v>
      </c>
      <c r="J58" s="47">
        <f t="shared" si="11"/>
        <v>-0.9434479392</v>
      </c>
      <c r="K58" s="48">
        <f>UpdateHashtag!T56</f>
        <v>4.6</v>
      </c>
      <c r="L58" s="42">
        <f t="shared" si="12"/>
        <v>0.8444618296</v>
      </c>
      <c r="N58" s="100">
        <f t="shared" si="13"/>
        <v>41</v>
      </c>
      <c r="O58" s="94">
        <f t="array" ref="O58">INDIRECT("Update"&amp;Projections!$AH$17&amp;"!B"&amp;ROW(B39))</f>
        <v>39</v>
      </c>
      <c r="P58" s="101" t="str">
        <f t="array" ref="P58">INDIRECT("Update"&amp;Projections!$AH$17&amp;"!C"&amp;ROW(B39))</f>
        <v>Evan Mobley</v>
      </c>
      <c r="Q58" s="94">
        <f>UpdateBBM!F39</f>
        <v>64</v>
      </c>
      <c r="R58" s="105" t="str">
        <f t="array" ref="R58">INDIRECT("Update"&amp;Projections!$AH$17&amp;"!D"&amp;ROW(B39))</f>
        <v>PF,C</v>
      </c>
      <c r="S58" s="73">
        <f t="shared" si="14"/>
        <v>1.956909828</v>
      </c>
      <c r="T58" s="73">
        <f>SUM(AE58:AM58)-IFERROR(IFS(Projections!$I$17,AN58,Projections!$J$17,AO58),"")</f>
        <v>1.956909828</v>
      </c>
      <c r="U58" s="73">
        <f t="shared" si="15"/>
        <v>0</v>
      </c>
      <c r="V58" s="73">
        <f t="array" ref="V58">INDIRECT("Update"&amp;Projections!$AH$17&amp;"!M"&amp;ROW(B39))</f>
        <v>16.1</v>
      </c>
      <c r="W58" s="73">
        <f t="array" ref="W58">INDIRECT("Update"&amp;Projections!$AH$17&amp;"!L"&amp;ROW(B39))</f>
        <v>0.4</v>
      </c>
      <c r="X58" s="73">
        <f t="array" ref="X58">INDIRECT("Update"&amp;Projections!$AH$17&amp;"!N"&amp;ROW(B39))</f>
        <v>9.2</v>
      </c>
      <c r="Y58" s="73">
        <f t="array" ref="Y58">INDIRECT("Update"&amp;Projections!$AH$17&amp;"!O"&amp;ROW(B39))</f>
        <v>3.4</v>
      </c>
      <c r="Z58" s="73">
        <f t="array" ref="Z58">INDIRECT("Update"&amp;Projections!$AH$17&amp;"!P"&amp;ROW(B39))</f>
        <v>0.9</v>
      </c>
      <c r="AA58" s="73">
        <f t="array" ref="AA58">INDIRECT("Update"&amp;Projections!$AH$17&amp;"!Q"&amp;ROW(B39))</f>
        <v>1.5</v>
      </c>
      <c r="AB58" s="107">
        <f t="array" ref="AB58">INDIRECT("Update"&amp;Projections!$AH$17&amp;"!I"&amp;ROW(B39))</f>
        <v>0.573</v>
      </c>
      <c r="AC58" s="107">
        <f t="array" ref="AC58">INDIRECT("Update"&amp;Projections!$AH$17&amp;"!K"&amp;ROW(B39))</f>
        <v>0.726</v>
      </c>
      <c r="AD58" s="73">
        <f t="array" ref="AD58">INDIRECT("Update"&amp;Projections!$AH$17&amp;"!R"&amp;ROW(B39))</f>
        <v>1.8</v>
      </c>
      <c r="AE58" s="73">
        <f t="shared" si="16"/>
        <v>-0.246925505</v>
      </c>
      <c r="AF58" s="73">
        <f t="shared" si="17"/>
        <v>-1.342589385</v>
      </c>
      <c r="AG58" s="73">
        <f t="shared" si="18"/>
        <v>1.228227038</v>
      </c>
      <c r="AH58" s="73">
        <f t="shared" si="19"/>
        <v>-0.2441024654</v>
      </c>
      <c r="AI58" s="73">
        <f t="shared" si="20"/>
        <v>-0.2527964105</v>
      </c>
      <c r="AJ58" s="73">
        <f t="shared" si="21"/>
        <v>1.34681338</v>
      </c>
      <c r="AK58" s="73">
        <f t="shared" si="22"/>
        <v>1.017014271</v>
      </c>
      <c r="AL58" s="73">
        <f t="shared" si="23"/>
        <v>-0.8785907306</v>
      </c>
      <c r="AM58" s="73">
        <f t="shared" si="24"/>
        <v>-0.01272974958</v>
      </c>
      <c r="AN58" s="120">
        <f t="shared" si="25"/>
        <v>-1.342589385</v>
      </c>
      <c r="AO58" s="120">
        <f t="shared" si="26"/>
        <v>-2.221180116</v>
      </c>
      <c r="AP58" s="120">
        <f t="array" ref="AP58">INDIRECT("Update"&amp;Projections!$AH$17&amp;"!S"&amp;ROW(B39))</f>
        <v>11.4</v>
      </c>
      <c r="AQ58" s="120">
        <f t="array" ref="AQ58">INDIRECT("Update"&amp;Projections!$AH$17&amp;"!T"&amp;ROW(B39))</f>
        <v>3.6</v>
      </c>
      <c r="AR58" s="100">
        <f t="shared" si="27"/>
        <v>2.199091564</v>
      </c>
    </row>
    <row r="59">
      <c r="A59" s="40" t="str">
        <f t="shared" si="3"/>
        <v>Deandre Ayton</v>
      </c>
      <c r="B59" s="42">
        <f t="shared" si="4"/>
        <v>-0.08434228731</v>
      </c>
      <c r="C59" s="43">
        <f t="shared" si="5"/>
        <v>-1.641162282</v>
      </c>
      <c r="D59" s="42">
        <f t="shared" si="6"/>
        <v>1.65971712</v>
      </c>
      <c r="E59" s="42">
        <f t="shared" si="7"/>
        <v>-1.018652563</v>
      </c>
      <c r="F59" s="42">
        <f t="shared" si="8"/>
        <v>-0.5847290887</v>
      </c>
      <c r="G59" s="42">
        <f t="shared" si="9"/>
        <v>0.09805746537</v>
      </c>
      <c r="H59" s="42">
        <f t="shared" si="10"/>
        <v>1.155341426</v>
      </c>
      <c r="I59" s="42">
        <f>UpdateHashtag!S57</f>
        <v>13.3</v>
      </c>
      <c r="J59" s="47">
        <f t="shared" si="11"/>
        <v>-0.1377682125</v>
      </c>
      <c r="K59" s="48">
        <f>UpdateHashtag!T57</f>
        <v>2.3</v>
      </c>
      <c r="L59" s="42">
        <f t="shared" si="12"/>
        <v>0.05091899834</v>
      </c>
      <c r="N59" s="100">
        <f t="shared" si="13"/>
        <v>50</v>
      </c>
      <c r="O59" s="94">
        <f t="array" ref="O59">INDIRECT("Update"&amp;Projections!$AH$17&amp;"!B"&amp;ROW(B40))</f>
        <v>49.1</v>
      </c>
      <c r="P59" s="101" t="str">
        <f t="array" ref="P59">INDIRECT("Update"&amp;Projections!$AH$17&amp;"!C"&amp;ROW(B40))</f>
        <v>Kawhi Leonard</v>
      </c>
      <c r="Q59" s="94">
        <f>UpdateBBM!F40</f>
        <v>71</v>
      </c>
      <c r="R59" s="105" t="str">
        <f t="array" ref="R59">INDIRECT("Update"&amp;Projections!$AH$17&amp;"!D"&amp;ROW(B40))</f>
        <v>SG,SF,PF</v>
      </c>
      <c r="S59" s="73">
        <f t="shared" si="14"/>
        <v>1.400148526</v>
      </c>
      <c r="T59" s="73">
        <f>SUM(AE59:AM59)-IFERROR(IFS(Projections!$I$17,AN59,Projections!$J$17,AO59),"")</f>
        <v>1.400148526</v>
      </c>
      <c r="U59" s="73">
        <f t="shared" si="15"/>
        <v>0</v>
      </c>
      <c r="V59" s="73">
        <f t="array" ref="V59">INDIRECT("Update"&amp;Projections!$AH$17&amp;"!M"&amp;ROW(B40))</f>
        <v>20.2</v>
      </c>
      <c r="W59" s="73">
        <f t="array" ref="W59">INDIRECT("Update"&amp;Projections!$AH$17&amp;"!L"&amp;ROW(B40))</f>
        <v>1.7</v>
      </c>
      <c r="X59" s="73">
        <f t="array" ref="X59">INDIRECT("Update"&amp;Projections!$AH$17&amp;"!N"&amp;ROW(B40))</f>
        <v>5.4</v>
      </c>
      <c r="Y59" s="73">
        <f t="array" ref="Y59">INDIRECT("Update"&amp;Projections!$AH$17&amp;"!O"&amp;ROW(B40))</f>
        <v>3.2</v>
      </c>
      <c r="Z59" s="73">
        <f t="array" ref="Z59">INDIRECT("Update"&amp;Projections!$AH$17&amp;"!P"&amp;ROW(B40))</f>
        <v>1.1</v>
      </c>
      <c r="AA59" s="73">
        <f t="array" ref="AA59">INDIRECT("Update"&amp;Projections!$AH$17&amp;"!Q"&amp;ROW(B40))</f>
        <v>0.5</v>
      </c>
      <c r="AB59" s="107">
        <f t="array" ref="AB59">INDIRECT("Update"&amp;Projections!$AH$17&amp;"!I"&amp;ROW(B40))</f>
        <v>0.507</v>
      </c>
      <c r="AC59" s="107">
        <f t="array" ref="AC59">INDIRECT("Update"&amp;Projections!$AH$17&amp;"!K"&amp;ROW(B40))</f>
        <v>0.859</v>
      </c>
      <c r="AD59" s="73">
        <f t="array" ref="AD59">INDIRECT("Update"&amp;Projections!$AH$17&amp;"!R"&amp;ROW(B40))</f>
        <v>1.6</v>
      </c>
      <c r="AE59" s="73">
        <f t="shared" si="16"/>
        <v>0.4937313755</v>
      </c>
      <c r="AF59" s="73">
        <f t="shared" si="17"/>
        <v>-0.04877349754</v>
      </c>
      <c r="AG59" s="73">
        <f t="shared" si="18"/>
        <v>-0.2623750651</v>
      </c>
      <c r="AH59" s="73">
        <f t="shared" si="19"/>
        <v>-0.3352260062</v>
      </c>
      <c r="AI59" s="73">
        <f t="shared" si="20"/>
        <v>0.4110689458</v>
      </c>
      <c r="AJ59" s="73">
        <f t="shared" si="21"/>
        <v>-0.4371236408</v>
      </c>
      <c r="AK59" s="73">
        <f t="shared" si="22"/>
        <v>0.1743378525</v>
      </c>
      <c r="AL59" s="73">
        <f t="shared" si="23"/>
        <v>0.930518244</v>
      </c>
      <c r="AM59" s="73">
        <f t="shared" si="24"/>
        <v>0.03686667737</v>
      </c>
      <c r="AN59" s="120">
        <f t="shared" si="25"/>
        <v>-0.4371236408</v>
      </c>
      <c r="AO59" s="120">
        <f t="shared" si="26"/>
        <v>-0.772349647</v>
      </c>
      <c r="AP59" s="120">
        <f t="array" ref="AP59">INDIRECT("Update"&amp;Projections!$AH$17&amp;"!S"&amp;ROW(B40))</f>
        <v>14.7</v>
      </c>
      <c r="AQ59" s="120">
        <f t="array" ref="AQ59">INDIRECT("Update"&amp;Projections!$AH$17&amp;"!T"&amp;ROW(B40))</f>
        <v>4.1</v>
      </c>
      <c r="AR59" s="100">
        <f t="shared" si="27"/>
        <v>2.107579854</v>
      </c>
    </row>
    <row r="60">
      <c r="A60" s="40" t="str">
        <f t="shared" si="3"/>
        <v>Bradley Beal</v>
      </c>
      <c r="B60" s="42">
        <f t="shared" si="4"/>
        <v>0.25888895</v>
      </c>
      <c r="C60" s="43">
        <f t="shared" si="5"/>
        <v>0.1502751005</v>
      </c>
      <c r="D60" s="42">
        <f t="shared" si="6"/>
        <v>-0.8899970031</v>
      </c>
      <c r="E60" s="42">
        <f t="shared" si="7"/>
        <v>0.120391698</v>
      </c>
      <c r="F60" s="42">
        <f t="shared" si="8"/>
        <v>0.07913626764</v>
      </c>
      <c r="G60" s="42">
        <f t="shared" si="9"/>
        <v>-0.4371236408</v>
      </c>
      <c r="H60" s="42">
        <f t="shared" si="10"/>
        <v>0.2016928196</v>
      </c>
      <c r="I60" s="42">
        <f>UpdateHashtag!S58</f>
        <v>14.2</v>
      </c>
      <c r="J60" s="47">
        <f t="shared" si="11"/>
        <v>0.2863834848</v>
      </c>
      <c r="K60" s="48">
        <f>UpdateHashtag!T58</f>
        <v>3.1</v>
      </c>
      <c r="L60" s="42">
        <f t="shared" si="12"/>
        <v>0.6460761218</v>
      </c>
      <c r="N60" s="100">
        <f t="shared" si="13"/>
        <v>43</v>
      </c>
      <c r="O60" s="94">
        <f t="array" ref="O60">INDIRECT("Update"&amp;Projections!$AH$17&amp;"!B"&amp;ROW(B41))</f>
        <v>44.1</v>
      </c>
      <c r="P60" s="101" t="str">
        <f t="array" ref="P60">INDIRECT("Update"&amp;Projections!$AH$17&amp;"!C"&amp;ROW(B41))</f>
        <v>Desmond Bane</v>
      </c>
      <c r="Q60" s="94">
        <f>UpdateBBM!F41</f>
        <v>71</v>
      </c>
      <c r="R60" s="105" t="str">
        <f t="array" ref="R60">INDIRECT("Update"&amp;Projections!$AH$17&amp;"!D"&amp;ROW(B41))</f>
        <v>SG,SF</v>
      </c>
      <c r="S60" s="73">
        <f t="shared" si="14"/>
        <v>1.933770425</v>
      </c>
      <c r="T60" s="73">
        <f>SUM(AE60:AM60)-IFERROR(IFS(Projections!$I$17,AN60,Projections!$J$17,AO60),"")</f>
        <v>1.933770425</v>
      </c>
      <c r="U60" s="73">
        <f t="shared" si="15"/>
        <v>0</v>
      </c>
      <c r="V60" s="73">
        <f t="array" ref="V60">INDIRECT("Update"&amp;Projections!$AH$17&amp;"!M"&amp;ROW(B41))</f>
        <v>21.4</v>
      </c>
      <c r="W60" s="73">
        <f t="array" ref="W60">INDIRECT("Update"&amp;Projections!$AH$17&amp;"!L"&amp;ROW(B41))</f>
        <v>2.9</v>
      </c>
      <c r="X60" s="73">
        <f t="array" ref="X60">INDIRECT("Update"&amp;Projections!$AH$17&amp;"!N"&amp;ROW(B41))</f>
        <v>4.5</v>
      </c>
      <c r="Y60" s="73">
        <f t="array" ref="Y60">INDIRECT("Update"&amp;Projections!$AH$17&amp;"!O"&amp;ROW(B41))</f>
        <v>4.4</v>
      </c>
      <c r="Z60" s="73">
        <f t="array" ref="Z60">INDIRECT("Update"&amp;Projections!$AH$17&amp;"!P"&amp;ROW(B41))</f>
        <v>1</v>
      </c>
      <c r="AA60" s="73">
        <f t="array" ref="AA60">INDIRECT("Update"&amp;Projections!$AH$17&amp;"!Q"&amp;ROW(B41))</f>
        <v>0.4</v>
      </c>
      <c r="AB60" s="107">
        <f t="array" ref="AB60">INDIRECT("Update"&amp;Projections!$AH$17&amp;"!I"&amp;ROW(B41))</f>
        <v>0.472</v>
      </c>
      <c r="AC60" s="107">
        <f t="array" ref="AC60">INDIRECT("Update"&amp;Projections!$AH$17&amp;"!K"&amp;ROW(B41))</f>
        <v>0.877</v>
      </c>
      <c r="AD60" s="73">
        <f t="array" ref="AD60">INDIRECT("Update"&amp;Projections!$AH$17&amp;"!R"&amp;ROW(B41))</f>
        <v>2.3</v>
      </c>
      <c r="AE60" s="73">
        <f t="shared" si="16"/>
        <v>0.7105089991</v>
      </c>
      <c r="AF60" s="73">
        <f t="shared" si="17"/>
        <v>1.145518091</v>
      </c>
      <c r="AG60" s="73">
        <f t="shared" si="18"/>
        <v>-0.6154124053</v>
      </c>
      <c r="AH60" s="73">
        <f t="shared" si="19"/>
        <v>0.2115152388</v>
      </c>
      <c r="AI60" s="73">
        <f t="shared" si="20"/>
        <v>0.07913626764</v>
      </c>
      <c r="AJ60" s="73">
        <f t="shared" si="21"/>
        <v>-0.6155173428</v>
      </c>
      <c r="AK60" s="73">
        <f t="shared" si="22"/>
        <v>-0.4782291518</v>
      </c>
      <c r="AL60" s="73">
        <f t="shared" si="23"/>
        <v>1.017454203</v>
      </c>
      <c r="AM60" s="73">
        <f t="shared" si="24"/>
        <v>-0.136720817</v>
      </c>
      <c r="AN60" s="120">
        <f t="shared" si="25"/>
        <v>-0.6155173428</v>
      </c>
      <c r="AO60" s="120">
        <f t="shared" si="26"/>
        <v>-1.230929748</v>
      </c>
      <c r="AP60" s="120">
        <f t="array" ref="AP60">INDIRECT("Update"&amp;Projections!$AH$17&amp;"!S"&amp;ROW(B41))</f>
        <v>16.4</v>
      </c>
      <c r="AQ60" s="120">
        <f t="array" ref="AQ60">INDIRECT("Update"&amp;Projections!$AH$17&amp;"!T"&amp;ROW(B41))</f>
        <v>3.5</v>
      </c>
      <c r="AR60" s="100">
        <f t="shared" si="27"/>
        <v>2.002004754</v>
      </c>
    </row>
    <row r="61">
      <c r="A61" s="40" t="str">
        <f t="shared" si="3"/>
        <v>D'Angelo Russell</v>
      </c>
      <c r="B61" s="42">
        <f t="shared" si="4"/>
        <v>0.005981722504</v>
      </c>
      <c r="C61" s="43">
        <f t="shared" si="5"/>
        <v>1.145518091</v>
      </c>
      <c r="D61" s="42">
        <f t="shared" si="6"/>
        <v>-1.164581601</v>
      </c>
      <c r="E61" s="42">
        <f t="shared" si="7"/>
        <v>0.9405035656</v>
      </c>
      <c r="F61" s="42">
        <f t="shared" si="8"/>
        <v>0.07913626764</v>
      </c>
      <c r="G61" s="42">
        <f t="shared" si="9"/>
        <v>-0.4371236408</v>
      </c>
      <c r="H61" s="42">
        <f t="shared" si="10"/>
        <v>-0.6309944259</v>
      </c>
      <c r="I61" s="42">
        <f>UpdateHashtag!S59</f>
        <v>13.5</v>
      </c>
      <c r="J61" s="47">
        <f t="shared" si="11"/>
        <v>0.3379967266</v>
      </c>
      <c r="K61" s="48">
        <f>UpdateHashtag!T59</f>
        <v>2.8</v>
      </c>
      <c r="L61" s="42">
        <f t="shared" si="12"/>
        <v>0.6460761218</v>
      </c>
      <c r="N61" s="100">
        <f t="shared" si="13"/>
        <v>36</v>
      </c>
      <c r="O61" s="94">
        <f t="array" ref="O61">INDIRECT("Update"&amp;Projections!$AH$17&amp;"!B"&amp;ROW(B42))</f>
        <v>35.6</v>
      </c>
      <c r="P61" s="101" t="str">
        <f t="array" ref="P61">INDIRECT("Update"&amp;Projections!$AH$17&amp;"!C"&amp;ROW(B42))</f>
        <v>Dejounte Murray</v>
      </c>
      <c r="Q61" s="94">
        <f>UpdateBBM!F42</f>
        <v>71</v>
      </c>
      <c r="R61" s="105" t="str">
        <f t="array" ref="R61">INDIRECT("Update"&amp;Projections!$AH$17&amp;"!D"&amp;ROW(B42))</f>
        <v>PG,SG</v>
      </c>
      <c r="S61" s="73">
        <f t="shared" si="14"/>
        <v>2.427604478</v>
      </c>
      <c r="T61" s="73">
        <f>SUM(AE61:AM61)-IFERROR(IFS(Projections!$I$17,AN61,Projections!$J$17,AO61),"")</f>
        <v>2.427604478</v>
      </c>
      <c r="U61" s="73">
        <f t="shared" si="15"/>
        <v>0</v>
      </c>
      <c r="V61" s="73">
        <f t="array" ref="V61">INDIRECT("Update"&amp;Projections!$AH$17&amp;"!M"&amp;ROW(B42))</f>
        <v>19.5</v>
      </c>
      <c r="W61" s="73">
        <f t="array" ref="W61">INDIRECT("Update"&amp;Projections!$AH$17&amp;"!L"&amp;ROW(B42))</f>
        <v>2.2</v>
      </c>
      <c r="X61" s="73">
        <f t="array" ref="X61">INDIRECT("Update"&amp;Projections!$AH$17&amp;"!N"&amp;ROW(B42))</f>
        <v>5.2</v>
      </c>
      <c r="Y61" s="73">
        <f t="array" ref="Y61">INDIRECT("Update"&amp;Projections!$AH$17&amp;"!O"&amp;ROW(B42))</f>
        <v>6.5</v>
      </c>
      <c r="Z61" s="73">
        <f t="array" ref="Z61">INDIRECT("Update"&amp;Projections!$AH$17&amp;"!P"&amp;ROW(B42))</f>
        <v>1.4</v>
      </c>
      <c r="AA61" s="73">
        <f t="array" ref="AA61">INDIRECT("Update"&amp;Projections!$AH$17&amp;"!Q"&amp;ROW(B42))</f>
        <v>0.3</v>
      </c>
      <c r="AB61" s="107">
        <f t="array" ref="AB61">INDIRECT("Update"&amp;Projections!$AH$17&amp;"!I"&amp;ROW(B42))</f>
        <v>0.462</v>
      </c>
      <c r="AC61" s="107">
        <f t="array" ref="AC61">INDIRECT("Update"&amp;Projections!$AH$17&amp;"!K"&amp;ROW(B42))</f>
        <v>0.809</v>
      </c>
      <c r="AD61" s="73">
        <f t="array" ref="AD61">INDIRECT("Update"&amp;Projections!$AH$17&amp;"!R"&amp;ROW(B42))</f>
        <v>2.1</v>
      </c>
      <c r="AE61" s="73">
        <f t="shared" si="16"/>
        <v>0.3672777618</v>
      </c>
      <c r="AF61" s="73">
        <f t="shared" si="17"/>
        <v>0.4488479976</v>
      </c>
      <c r="AG61" s="73">
        <f t="shared" si="18"/>
        <v>-0.3408278074</v>
      </c>
      <c r="AH61" s="73">
        <f t="shared" si="19"/>
        <v>1.168312418</v>
      </c>
      <c r="AI61" s="73">
        <f t="shared" si="20"/>
        <v>1.40686698</v>
      </c>
      <c r="AJ61" s="73">
        <f t="shared" si="21"/>
        <v>-0.7939110449</v>
      </c>
      <c r="AK61" s="73">
        <f t="shared" si="22"/>
        <v>-0.6704373017</v>
      </c>
      <c r="AL61" s="73">
        <f t="shared" si="23"/>
        <v>0.1346888202</v>
      </c>
      <c r="AM61" s="73">
        <f t="shared" si="24"/>
        <v>-0.08712439001</v>
      </c>
      <c r="AN61" s="120">
        <f t="shared" si="25"/>
        <v>-0.7939110449</v>
      </c>
      <c r="AO61" s="120">
        <f t="shared" si="26"/>
        <v>-1.464348347</v>
      </c>
      <c r="AP61" s="120">
        <f t="array" ref="AP61">INDIRECT("Update"&amp;Projections!$AH$17&amp;"!S"&amp;ROW(B42))</f>
        <v>16.4</v>
      </c>
      <c r="AQ61" s="120">
        <f t="array" ref="AQ61">INDIRECT("Update"&amp;Projections!$AH$17&amp;"!T"&amp;ROW(B42))</f>
        <v>2.7</v>
      </c>
      <c r="AR61" s="100">
        <f t="shared" si="27"/>
        <v>1.956909828</v>
      </c>
    </row>
    <row r="62">
      <c r="A62" s="40" t="str">
        <f t="shared" si="3"/>
        <v>Jalen Duren</v>
      </c>
      <c r="B62" s="42">
        <f t="shared" si="4"/>
        <v>-0.8430639698</v>
      </c>
      <c r="C62" s="43">
        <f t="shared" si="5"/>
        <v>-1.740686581</v>
      </c>
      <c r="D62" s="42">
        <f t="shared" si="6"/>
        <v>1.895075347</v>
      </c>
      <c r="E62" s="42">
        <f t="shared" si="7"/>
        <v>-0.8819672513</v>
      </c>
      <c r="F62" s="42">
        <f t="shared" si="8"/>
        <v>-1.248594445</v>
      </c>
      <c r="G62" s="42">
        <f t="shared" si="9"/>
        <v>0.2764511674</v>
      </c>
      <c r="H62" s="42">
        <f t="shared" si="10"/>
        <v>1.306210542</v>
      </c>
      <c r="I62" s="42">
        <f>UpdateHashtag!S60</f>
        <v>8.5</v>
      </c>
      <c r="J62" s="47">
        <f t="shared" si="11"/>
        <v>-0.1330424124</v>
      </c>
      <c r="K62" s="48">
        <f>UpdateHashtag!T60</f>
        <v>2.7</v>
      </c>
      <c r="L62" s="42">
        <f t="shared" si="12"/>
        <v>0.1501118522</v>
      </c>
      <c r="N62" s="100">
        <f t="shared" si="13"/>
        <v>34</v>
      </c>
      <c r="O62" s="94">
        <f t="array" ref="O62">INDIRECT("Update"&amp;Projections!$AH$17&amp;"!B"&amp;ROW(B43))</f>
        <v>27.7</v>
      </c>
      <c r="P62" s="101" t="str">
        <f t="array" ref="P62">INDIRECT("Update"&amp;Projections!$AH$17&amp;"!C"&amp;ROW(B43))</f>
        <v>Alperen Sengün</v>
      </c>
      <c r="Q62" s="94">
        <f>UpdateBBM!F43</f>
        <v>58</v>
      </c>
      <c r="R62" s="105" t="str">
        <f t="array" ref="R62">INDIRECT("Update"&amp;Projections!$AH$17&amp;"!D"&amp;ROW(B43))</f>
        <v>C</v>
      </c>
      <c r="S62" s="73">
        <f t="shared" si="14"/>
        <v>2.524525507</v>
      </c>
      <c r="T62" s="73">
        <f>SUM(AE62:AM62)-IFERROR(IFS(Projections!$I$17,AN62,Projections!$J$17,AO62),"")</f>
        <v>2.524525507</v>
      </c>
      <c r="U62" s="73">
        <f t="shared" si="15"/>
        <v>0</v>
      </c>
      <c r="V62" s="73">
        <f t="array" ref="V62">INDIRECT("Update"&amp;Projections!$AH$17&amp;"!M"&amp;ROW(B43))</f>
        <v>19.4</v>
      </c>
      <c r="W62" s="73">
        <f t="array" ref="W62">INDIRECT("Update"&amp;Projections!$AH$17&amp;"!L"&amp;ROW(B43))</f>
        <v>0.4</v>
      </c>
      <c r="X62" s="73">
        <f t="array" ref="X62">INDIRECT("Update"&amp;Projections!$AH$17&amp;"!N"&amp;ROW(B43))</f>
        <v>9.9</v>
      </c>
      <c r="Y62" s="73">
        <f t="array" ref="Y62">INDIRECT("Update"&amp;Projections!$AH$17&amp;"!O"&amp;ROW(B43))</f>
        <v>5.4</v>
      </c>
      <c r="Z62" s="73">
        <f t="array" ref="Z62">INDIRECT("Update"&amp;Projections!$AH$17&amp;"!P"&amp;ROW(B43))</f>
        <v>1.2</v>
      </c>
      <c r="AA62" s="73">
        <f t="array" ref="AA62">INDIRECT("Update"&amp;Projections!$AH$17&amp;"!Q"&amp;ROW(B43))</f>
        <v>0.8</v>
      </c>
      <c r="AB62" s="107">
        <f t="array" ref="AB62">INDIRECT("Update"&amp;Projections!$AH$17&amp;"!I"&amp;ROW(B43))</f>
        <v>0.544</v>
      </c>
      <c r="AC62" s="107">
        <f t="array" ref="AC62">INDIRECT("Update"&amp;Projections!$AH$17&amp;"!K"&amp;ROW(B43))</f>
        <v>0.713</v>
      </c>
      <c r="AD62" s="73">
        <f t="array" ref="AD62">INDIRECT("Update"&amp;Projections!$AH$17&amp;"!R"&amp;ROW(B43))</f>
        <v>2.8</v>
      </c>
      <c r="AE62" s="73">
        <f t="shared" si="16"/>
        <v>0.3492129598</v>
      </c>
      <c r="AF62" s="73">
        <f t="shared" si="17"/>
        <v>-1.342589385</v>
      </c>
      <c r="AG62" s="73">
        <f t="shared" si="18"/>
        <v>1.502811635</v>
      </c>
      <c r="AH62" s="73">
        <f t="shared" si="19"/>
        <v>0.6671329431</v>
      </c>
      <c r="AI62" s="73">
        <f t="shared" si="20"/>
        <v>0.743001624</v>
      </c>
      <c r="AJ62" s="73">
        <f t="shared" si="21"/>
        <v>0.09805746537</v>
      </c>
      <c r="AK62" s="73">
        <f t="shared" si="22"/>
        <v>0.7676101484</v>
      </c>
      <c r="AL62" s="73">
        <f t="shared" si="23"/>
        <v>-1.566493669</v>
      </c>
      <c r="AM62" s="73">
        <f t="shared" si="24"/>
        <v>-0.2607118843</v>
      </c>
      <c r="AN62" s="120">
        <f t="shared" si="25"/>
        <v>-1.566493669</v>
      </c>
      <c r="AO62" s="120">
        <f t="shared" si="26"/>
        <v>-2.909083054</v>
      </c>
      <c r="AP62" s="120">
        <f t="array" ref="AP62">INDIRECT("Update"&amp;Projections!$AH$17&amp;"!S"&amp;ROW(B43))</f>
        <v>13.9</v>
      </c>
      <c r="AQ62" s="120">
        <f t="array" ref="AQ62">INDIRECT("Update"&amp;Projections!$AH$17&amp;"!T"&amp;ROW(B43))</f>
        <v>5.4</v>
      </c>
      <c r="AR62" s="100">
        <f t="shared" si="27"/>
        <v>1.952739847</v>
      </c>
    </row>
    <row r="63">
      <c r="A63" s="40" t="str">
        <f t="shared" si="3"/>
        <v>Jrue Holiday</v>
      </c>
      <c r="B63" s="42">
        <f t="shared" si="4"/>
        <v>-0.716610356</v>
      </c>
      <c r="C63" s="43">
        <f t="shared" si="5"/>
        <v>0.4488479976</v>
      </c>
      <c r="D63" s="42">
        <f t="shared" si="6"/>
        <v>-0.3016014363</v>
      </c>
      <c r="E63" s="42">
        <f t="shared" si="7"/>
        <v>0.5304476318</v>
      </c>
      <c r="F63" s="42">
        <f t="shared" si="8"/>
        <v>0.07913626764</v>
      </c>
      <c r="G63" s="42">
        <f t="shared" si="9"/>
        <v>-0.2587299387</v>
      </c>
      <c r="H63" s="42">
        <f t="shared" si="10"/>
        <v>-0.2469832814</v>
      </c>
      <c r="I63" s="42">
        <f>UpdateHashtag!S61</f>
        <v>10.6</v>
      </c>
      <c r="J63" s="47">
        <f t="shared" si="11"/>
        <v>0.2582421075</v>
      </c>
      <c r="K63" s="48">
        <f>UpdateHashtag!T61</f>
        <v>1.4</v>
      </c>
      <c r="L63" s="42">
        <f t="shared" si="12"/>
        <v>0.6460761218</v>
      </c>
      <c r="N63" s="100">
        <f t="shared" si="13"/>
        <v>33</v>
      </c>
      <c r="O63" s="94">
        <f t="array" ref="O63">INDIRECT("Update"&amp;Projections!$AH$17&amp;"!B"&amp;ROW(B44))</f>
        <v>32.2</v>
      </c>
      <c r="P63" s="101" t="str">
        <f t="array" ref="P63">INDIRECT("Update"&amp;Projections!$AH$17&amp;"!C"&amp;ROW(B44))</f>
        <v>Bam Adebayo</v>
      </c>
      <c r="Q63" s="94">
        <f>UpdateBBM!F44</f>
        <v>71</v>
      </c>
      <c r="R63" s="105" t="str">
        <f t="array" ref="R63">INDIRECT("Update"&amp;Projections!$AH$17&amp;"!D"&amp;ROW(B44))</f>
        <v>C</v>
      </c>
      <c r="S63" s="73">
        <f t="shared" si="14"/>
        <v>2.578835188</v>
      </c>
      <c r="T63" s="73">
        <f>SUM(AE63:AM63)-IFERROR(IFS(Projections!$I$17,AN63,Projections!$J$17,AO63),"")</f>
        <v>2.578835188</v>
      </c>
      <c r="U63" s="73">
        <f t="shared" si="15"/>
        <v>0</v>
      </c>
      <c r="V63" s="73">
        <f t="array" ref="V63">INDIRECT("Update"&amp;Projections!$AH$17&amp;"!M"&amp;ROW(B44))</f>
        <v>20</v>
      </c>
      <c r="W63" s="73">
        <f t="array" ref="W63">INDIRECT("Update"&amp;Projections!$AH$17&amp;"!L"&amp;ROW(B44))</f>
        <v>0.2</v>
      </c>
      <c r="X63" s="73">
        <f t="array" ref="X63">INDIRECT("Update"&amp;Projections!$AH$17&amp;"!N"&amp;ROW(B44))</f>
        <v>10.4</v>
      </c>
      <c r="Y63" s="73">
        <f t="array" ref="Y63">INDIRECT("Update"&amp;Projections!$AH$17&amp;"!O"&amp;ROW(B44))</f>
        <v>3.9</v>
      </c>
      <c r="Z63" s="73">
        <f t="array" ref="Z63">INDIRECT("Update"&amp;Projections!$AH$17&amp;"!P"&amp;ROW(B44))</f>
        <v>1.2</v>
      </c>
      <c r="AA63" s="73">
        <f t="array" ref="AA63">INDIRECT("Update"&amp;Projections!$AH$17&amp;"!Q"&amp;ROW(B44))</f>
        <v>0.9</v>
      </c>
      <c r="AB63" s="107">
        <f t="array" ref="AB63">INDIRECT("Update"&amp;Projections!$AH$17&amp;"!I"&amp;ROW(B44))</f>
        <v>0.531</v>
      </c>
      <c r="AC63" s="107">
        <f t="array" ref="AC63">INDIRECT("Update"&amp;Projections!$AH$17&amp;"!K"&amp;ROW(B44))</f>
        <v>0.743</v>
      </c>
      <c r="AD63" s="73">
        <f t="array" ref="AD63">INDIRECT("Update"&amp;Projections!$AH$17&amp;"!R"&amp;ROW(B44))</f>
        <v>2.4</v>
      </c>
      <c r="AE63" s="73">
        <f t="shared" si="16"/>
        <v>0.4576017716</v>
      </c>
      <c r="AF63" s="73">
        <f t="shared" si="17"/>
        <v>-1.541637983</v>
      </c>
      <c r="AG63" s="73">
        <f t="shared" si="18"/>
        <v>1.698943491</v>
      </c>
      <c r="AH63" s="73">
        <f t="shared" si="19"/>
        <v>-0.01629361326</v>
      </c>
      <c r="AI63" s="73">
        <f t="shared" si="20"/>
        <v>0.743001624</v>
      </c>
      <c r="AJ63" s="73">
        <f t="shared" si="21"/>
        <v>0.2764511674</v>
      </c>
      <c r="AK63" s="73">
        <f t="shared" si="22"/>
        <v>0.591818549</v>
      </c>
      <c r="AL63" s="73">
        <f t="shared" si="23"/>
        <v>-1.011168772</v>
      </c>
      <c r="AM63" s="73">
        <f t="shared" si="24"/>
        <v>-0.1615190304</v>
      </c>
      <c r="AN63" s="120">
        <f t="shared" si="25"/>
        <v>-1.541637983</v>
      </c>
      <c r="AO63" s="120">
        <f t="shared" si="26"/>
        <v>-2.552806755</v>
      </c>
      <c r="AP63" s="120">
        <f t="array" ref="AP63">INDIRECT("Update"&amp;Projections!$AH$17&amp;"!S"&amp;ROW(B44))</f>
        <v>14.8</v>
      </c>
      <c r="AQ63" s="120">
        <f t="array" ref="AQ63">INDIRECT("Update"&amp;Projections!$AH$17&amp;"!T"&amp;ROW(B44))</f>
        <v>5.5</v>
      </c>
      <c r="AR63" s="100">
        <f t="shared" si="27"/>
        <v>1.933770425</v>
      </c>
    </row>
    <row r="64">
      <c r="A64" s="40" t="str">
        <f t="shared" si="3"/>
        <v>Zion Williamson</v>
      </c>
      <c r="B64" s="42">
        <f t="shared" si="4"/>
        <v>0.9634162266</v>
      </c>
      <c r="C64" s="43">
        <f t="shared" si="5"/>
        <v>-1.641162282</v>
      </c>
      <c r="D64" s="42">
        <f t="shared" si="6"/>
        <v>0.05143590386</v>
      </c>
      <c r="E64" s="42">
        <f t="shared" si="7"/>
        <v>0.4848858614</v>
      </c>
      <c r="F64" s="42">
        <f t="shared" si="8"/>
        <v>0.4110689458</v>
      </c>
      <c r="G64" s="42">
        <f t="shared" si="9"/>
        <v>-0.08033623669</v>
      </c>
      <c r="H64" s="42">
        <f t="shared" si="10"/>
        <v>1.373861384</v>
      </c>
      <c r="I64" s="42">
        <f>UpdateHashtag!S62</f>
        <v>15.4</v>
      </c>
      <c r="J64" s="47">
        <f t="shared" si="11"/>
        <v>-2.034505013</v>
      </c>
      <c r="K64" s="48">
        <f>UpdateHashtag!T62</f>
        <v>7.1</v>
      </c>
      <c r="L64" s="42">
        <f t="shared" si="12"/>
        <v>1.241233245</v>
      </c>
      <c r="N64" s="100">
        <f t="shared" si="13"/>
        <v>48</v>
      </c>
      <c r="O64" s="94">
        <f t="array" ref="O64">INDIRECT("Update"&amp;Projections!$AH$17&amp;"!B"&amp;ROW(B45))</f>
        <v>103.3</v>
      </c>
      <c r="P64" s="101" t="str">
        <f t="array" ref="P64">INDIRECT("Update"&amp;Projections!$AH$17&amp;"!C"&amp;ROW(B45))</f>
        <v>Kristaps Porzingis</v>
      </c>
      <c r="Q64" s="94">
        <f>UpdateBBM!F45</f>
        <v>62</v>
      </c>
      <c r="R64" s="105" t="str">
        <f t="array" ref="R64">INDIRECT("Update"&amp;Projections!$AH$17&amp;"!D"&amp;ROW(B45))</f>
        <v>PF,C</v>
      </c>
      <c r="S64" s="73">
        <f t="shared" si="14"/>
        <v>1.515994375</v>
      </c>
      <c r="T64" s="73">
        <f>SUM(AE64:AM64)-IFERROR(IFS(Projections!$I$17,AN64,Projections!$J$17,AO64),"")</f>
        <v>1.515994375</v>
      </c>
      <c r="U64" s="73">
        <f t="shared" si="15"/>
        <v>0</v>
      </c>
      <c r="V64" s="73">
        <f t="array" ref="V64">INDIRECT("Update"&amp;Projections!$AH$17&amp;"!M"&amp;ROW(B45))</f>
        <v>17.8</v>
      </c>
      <c r="W64" s="73">
        <f t="array" ref="W64">INDIRECT("Update"&amp;Projections!$AH$17&amp;"!L"&amp;ROW(B45))</f>
        <v>1.8</v>
      </c>
      <c r="X64" s="73">
        <f t="array" ref="X64">INDIRECT("Update"&amp;Projections!$AH$17&amp;"!N"&amp;ROW(B45))</f>
        <v>6.7</v>
      </c>
      <c r="Y64" s="73">
        <f t="array" ref="Y64">INDIRECT("Update"&amp;Projections!$AH$17&amp;"!O"&amp;ROW(B45))</f>
        <v>2</v>
      </c>
      <c r="Z64" s="73">
        <f t="array" ref="Z64">INDIRECT("Update"&amp;Projections!$AH$17&amp;"!P"&amp;ROW(B45))</f>
        <v>0.7</v>
      </c>
      <c r="AA64" s="73">
        <f t="array" ref="AA64">INDIRECT("Update"&amp;Projections!$AH$17&amp;"!Q"&amp;ROW(B45))</f>
        <v>1.5</v>
      </c>
      <c r="AB64" s="107">
        <f t="array" ref="AB64">INDIRECT("Update"&amp;Projections!$AH$17&amp;"!I"&amp;ROW(B45))</f>
        <v>0.484</v>
      </c>
      <c r="AC64" s="107">
        <f t="array" ref="AC64">INDIRECT("Update"&amp;Projections!$AH$17&amp;"!K"&amp;ROW(B45))</f>
        <v>0.848</v>
      </c>
      <c r="AD64" s="73">
        <f t="array" ref="AD64">INDIRECT("Update"&amp;Projections!$AH$17&amp;"!R"&amp;ROW(B45))</f>
        <v>1.6</v>
      </c>
      <c r="AE64" s="73">
        <f t="shared" si="16"/>
        <v>0.06017612839</v>
      </c>
      <c r="AF64" s="73">
        <f t="shared" si="17"/>
        <v>0.05075080149</v>
      </c>
      <c r="AG64" s="73">
        <f t="shared" si="18"/>
        <v>0.2475677595</v>
      </c>
      <c r="AH64" s="73">
        <f t="shared" si="19"/>
        <v>-0.8819672513</v>
      </c>
      <c r="AI64" s="73">
        <f t="shared" si="20"/>
        <v>-0.9166617668</v>
      </c>
      <c r="AJ64" s="73">
        <f t="shared" si="21"/>
        <v>1.34681338</v>
      </c>
      <c r="AK64" s="73">
        <f t="shared" si="22"/>
        <v>-0.1902134199</v>
      </c>
      <c r="AL64" s="73">
        <f t="shared" si="23"/>
        <v>0.8460002999</v>
      </c>
      <c r="AM64" s="73">
        <f t="shared" si="24"/>
        <v>0.03686667737</v>
      </c>
      <c r="AN64" s="120">
        <f t="shared" si="25"/>
        <v>-0.9166617668</v>
      </c>
      <c r="AO64" s="120">
        <f t="shared" si="26"/>
        <v>-1.798629018</v>
      </c>
      <c r="AP64" s="120">
        <f t="array" ref="AP64">INDIRECT("Update"&amp;Projections!$AH$17&amp;"!S"&amp;ROW(B45))</f>
        <v>12.6</v>
      </c>
      <c r="AQ64" s="120">
        <f t="array" ref="AQ64">INDIRECT("Update"&amp;Projections!$AH$17&amp;"!T"&amp;ROW(B45))</f>
        <v>4.5</v>
      </c>
      <c r="AR64" s="100">
        <f t="shared" si="27"/>
        <v>1.91277068</v>
      </c>
    </row>
    <row r="65">
      <c r="A65" s="40" t="str">
        <f t="shared" si="3"/>
        <v>Pascal Siakam</v>
      </c>
      <c r="B65" s="42">
        <f t="shared" si="4"/>
        <v>0.6563145932</v>
      </c>
      <c r="C65" s="43">
        <f t="shared" si="5"/>
        <v>-0.6459192917</v>
      </c>
      <c r="D65" s="42">
        <f t="shared" si="6"/>
        <v>0.5613787285</v>
      </c>
      <c r="E65" s="42">
        <f t="shared" si="7"/>
        <v>-0.01629361326</v>
      </c>
      <c r="F65" s="42">
        <f t="shared" si="8"/>
        <v>-0.5847290887</v>
      </c>
      <c r="G65" s="42">
        <f t="shared" si="9"/>
        <v>-0.6155173428</v>
      </c>
      <c r="H65" s="42">
        <f t="shared" si="10"/>
        <v>0.7404562066</v>
      </c>
      <c r="I65" s="42">
        <f>UpdateHashtag!S63</f>
        <v>15</v>
      </c>
      <c r="J65" s="47">
        <f t="shared" si="11"/>
        <v>-0.9556904585</v>
      </c>
      <c r="K65" s="48">
        <f>UpdateHashtag!T63</f>
        <v>5.1</v>
      </c>
      <c r="L65" s="42">
        <f t="shared" si="12"/>
        <v>-0.2466595634</v>
      </c>
      <c r="N65" s="100">
        <f t="shared" si="13"/>
        <v>38</v>
      </c>
      <c r="O65" s="94">
        <f t="array" ref="O65">INDIRECT("Update"&amp;Projections!$AH$17&amp;"!B"&amp;ROW(B46))</f>
        <v>34</v>
      </c>
      <c r="P65" s="101" t="str">
        <f t="array" ref="P65">INDIRECT("Update"&amp;Projections!$AH$17&amp;"!C"&amp;ROW(B46))</f>
        <v>Cade Cunningham</v>
      </c>
      <c r="Q65" s="94">
        <f>UpdateBBM!F46</f>
        <v>53</v>
      </c>
      <c r="R65" s="105" t="str">
        <f t="array" ref="R65">INDIRECT("Update"&amp;Projections!$AH$17&amp;"!D"&amp;ROW(B46))</f>
        <v>PG,SG</v>
      </c>
      <c r="S65" s="73">
        <f t="shared" si="14"/>
        <v>2.199091564</v>
      </c>
      <c r="T65" s="73">
        <f>SUM(AE65:AM65)-IFERROR(IFS(Projections!$I$17,AN65,Projections!$J$17,AO65),"")</f>
        <v>2.199091564</v>
      </c>
      <c r="U65" s="73">
        <f t="shared" si="15"/>
        <v>0</v>
      </c>
      <c r="V65" s="73">
        <f t="array" ref="V65">INDIRECT("Update"&amp;Projections!$AH$17&amp;"!M"&amp;ROW(B46))</f>
        <v>23.2</v>
      </c>
      <c r="W65" s="73">
        <f t="array" ref="W65">INDIRECT("Update"&amp;Projections!$AH$17&amp;"!L"&amp;ROW(B46))</f>
        <v>1.9</v>
      </c>
      <c r="X65" s="73">
        <f t="array" ref="X65">INDIRECT("Update"&amp;Projections!$AH$17&amp;"!N"&amp;ROW(B46))</f>
        <v>4.7</v>
      </c>
      <c r="Y65" s="73">
        <f t="array" ref="Y65">INDIRECT("Update"&amp;Projections!$AH$17&amp;"!O"&amp;ROW(B46))</f>
        <v>7.8</v>
      </c>
      <c r="Z65" s="73">
        <f t="array" ref="Z65">INDIRECT("Update"&amp;Projections!$AH$17&amp;"!P"&amp;ROW(B46))</f>
        <v>0.9</v>
      </c>
      <c r="AA65" s="73">
        <f t="array" ref="AA65">INDIRECT("Update"&amp;Projections!$AH$17&amp;"!Q"&amp;ROW(B46))</f>
        <v>0.4</v>
      </c>
      <c r="AB65" s="107">
        <f t="array" ref="AB65">INDIRECT("Update"&amp;Projections!$AH$17&amp;"!I"&amp;ROW(B46))</f>
        <v>0.45</v>
      </c>
      <c r="AC65" s="107">
        <f t="array" ref="AC65">INDIRECT("Update"&amp;Projections!$AH$17&amp;"!K"&amp;ROW(B46))</f>
        <v>0.865</v>
      </c>
      <c r="AD65" s="73">
        <f t="array" ref="AD65">INDIRECT("Update"&amp;Projections!$AH$17&amp;"!R"&amp;ROW(B46))</f>
        <v>3.5</v>
      </c>
      <c r="AE65" s="73">
        <f t="shared" si="16"/>
        <v>1.035675434</v>
      </c>
      <c r="AF65" s="73">
        <f t="shared" si="17"/>
        <v>0.1502751005</v>
      </c>
      <c r="AG65" s="73">
        <f t="shared" si="18"/>
        <v>-0.536959663</v>
      </c>
      <c r="AH65" s="73">
        <f t="shared" si="19"/>
        <v>1.760615433</v>
      </c>
      <c r="AI65" s="73">
        <f t="shared" si="20"/>
        <v>-0.2527964105</v>
      </c>
      <c r="AJ65" s="73">
        <f t="shared" si="21"/>
        <v>-0.6155173428</v>
      </c>
      <c r="AK65" s="73">
        <f t="shared" si="22"/>
        <v>-1.071414518</v>
      </c>
      <c r="AL65" s="73">
        <f t="shared" si="23"/>
        <v>1.092098391</v>
      </c>
      <c r="AM65" s="73">
        <f t="shared" si="24"/>
        <v>-0.4342993787</v>
      </c>
      <c r="AN65" s="120">
        <f t="shared" si="25"/>
        <v>-1.071414518</v>
      </c>
      <c r="AO65" s="120">
        <f t="shared" si="26"/>
        <v>-1.686931861</v>
      </c>
      <c r="AP65" s="120">
        <f t="array" ref="AP65">INDIRECT("Update"&amp;Projections!$AH$17&amp;"!S"&amp;ROW(B46))</f>
        <v>19.5</v>
      </c>
      <c r="AQ65" s="120">
        <f t="array" ref="AQ65">INDIRECT("Update"&amp;Projections!$AH$17&amp;"!T"&amp;ROW(B46))</f>
        <v>4.4</v>
      </c>
      <c r="AR65" s="100">
        <f t="shared" si="27"/>
        <v>1.830621139</v>
      </c>
    </row>
    <row r="66">
      <c r="A66" s="40" t="str">
        <f t="shared" si="3"/>
        <v>Zach LaVine</v>
      </c>
      <c r="B66" s="42">
        <f t="shared" si="4"/>
        <v>0.746638603</v>
      </c>
      <c r="C66" s="43">
        <f t="shared" si="5"/>
        <v>0.7474208947</v>
      </c>
      <c r="D66" s="42">
        <f t="shared" si="6"/>
        <v>-0.6154124053</v>
      </c>
      <c r="E66" s="42">
        <f t="shared" si="7"/>
        <v>0.02926815716</v>
      </c>
      <c r="F66" s="42">
        <f t="shared" si="8"/>
        <v>-0.2527964105</v>
      </c>
      <c r="G66" s="42">
        <f t="shared" si="9"/>
        <v>-0.7939110449</v>
      </c>
      <c r="H66" s="42">
        <f t="shared" si="10"/>
        <v>-0.7236601141</v>
      </c>
      <c r="I66" s="42">
        <f>UpdateHashtag!S64</f>
        <v>16.3</v>
      </c>
      <c r="J66" s="47">
        <f t="shared" si="11"/>
        <v>0.8868790569</v>
      </c>
      <c r="K66" s="48">
        <f>UpdateHashtag!T64</f>
        <v>5</v>
      </c>
      <c r="L66" s="42">
        <f t="shared" si="12"/>
        <v>0.5468832679</v>
      </c>
      <c r="N66" s="100">
        <f t="shared" si="13"/>
        <v>49</v>
      </c>
      <c r="O66" s="94">
        <f t="array" ref="O66">INDIRECT("Update"&amp;Projections!$AH$17&amp;"!B"&amp;ROW(B47))</f>
        <v>45</v>
      </c>
      <c r="P66" s="101" t="str">
        <f t="array" ref="P66">INDIRECT("Update"&amp;Projections!$AH$17&amp;"!C"&amp;ROW(B47))</f>
        <v>Myles Turner</v>
      </c>
      <c r="Q66" s="94">
        <f>UpdateBBM!F47</f>
        <v>64</v>
      </c>
      <c r="R66" s="105" t="str">
        <f t="array" ref="R66">INDIRECT("Update"&amp;Projections!$AH$17&amp;"!D"&amp;ROW(B47))</f>
        <v>C</v>
      </c>
      <c r="S66" s="73">
        <f t="shared" si="14"/>
        <v>1.400813863</v>
      </c>
      <c r="T66" s="73">
        <f>SUM(AE66:AM66)-IFERROR(IFS(Projections!$I$17,AN66,Projections!$J$17,AO66),"")</f>
        <v>1.400813863</v>
      </c>
      <c r="U66" s="73">
        <f t="shared" si="15"/>
        <v>0</v>
      </c>
      <c r="V66" s="73">
        <f t="array" ref="V66">INDIRECT("Update"&amp;Projections!$AH$17&amp;"!M"&amp;ROW(B47))</f>
        <v>17</v>
      </c>
      <c r="W66" s="73">
        <f t="array" ref="W66">INDIRECT("Update"&amp;Projections!$AH$17&amp;"!L"&amp;ROW(B47))</f>
        <v>1.5</v>
      </c>
      <c r="X66" s="73">
        <f t="array" ref="X66">INDIRECT("Update"&amp;Projections!$AH$17&amp;"!N"&amp;ROW(B47))</f>
        <v>7</v>
      </c>
      <c r="Y66" s="73">
        <f t="array" ref="Y66">INDIRECT("Update"&amp;Projections!$AH$17&amp;"!O"&amp;ROW(B47))</f>
        <v>1.3</v>
      </c>
      <c r="Z66" s="73">
        <f t="array" ref="Z66">INDIRECT("Update"&amp;Projections!$AH$17&amp;"!P"&amp;ROW(B47))</f>
        <v>0.5</v>
      </c>
      <c r="AA66" s="73">
        <f t="array" ref="AA66">INDIRECT("Update"&amp;Projections!$AH$17&amp;"!Q"&amp;ROW(B47))</f>
        <v>2</v>
      </c>
      <c r="AB66" s="107">
        <f t="array" ref="AB66">INDIRECT("Update"&amp;Projections!$AH$17&amp;"!I"&amp;ROW(B47))</f>
        <v>0.535</v>
      </c>
      <c r="AC66" s="107">
        <f t="array" ref="AC66">INDIRECT("Update"&amp;Projections!$AH$17&amp;"!K"&amp;ROW(B47))</f>
        <v>0.778</v>
      </c>
      <c r="AD66" s="73">
        <f t="array" ref="AD66">INDIRECT("Update"&amp;Projections!$AH$17&amp;"!R"&amp;ROW(B47))</f>
        <v>1.5</v>
      </c>
      <c r="AE66" s="73">
        <f t="shared" si="16"/>
        <v>-0.08434228731</v>
      </c>
      <c r="AF66" s="73">
        <f t="shared" si="17"/>
        <v>-0.2478220956</v>
      </c>
      <c r="AG66" s="73">
        <f t="shared" si="18"/>
        <v>0.3652468729</v>
      </c>
      <c r="AH66" s="73">
        <f t="shared" si="19"/>
        <v>-1.200899644</v>
      </c>
      <c r="AI66" s="73">
        <f t="shared" si="20"/>
        <v>-1.580527123</v>
      </c>
      <c r="AJ66" s="73">
        <f t="shared" si="21"/>
        <v>2.23878189</v>
      </c>
      <c r="AK66" s="73">
        <f t="shared" si="22"/>
        <v>0.5137710497</v>
      </c>
      <c r="AL66" s="73">
        <f t="shared" si="23"/>
        <v>-0.2455868136</v>
      </c>
      <c r="AM66" s="73">
        <f t="shared" si="24"/>
        <v>0.06166489084</v>
      </c>
      <c r="AN66" s="120">
        <f t="shared" si="25"/>
        <v>-1.580527123</v>
      </c>
      <c r="AO66" s="120">
        <f t="shared" si="26"/>
        <v>-2.781426767</v>
      </c>
      <c r="AP66" s="120">
        <f t="array" ref="AP66">INDIRECT("Update"&amp;Projections!$AH$17&amp;"!S"&amp;ROW(B47))</f>
        <v>11.5</v>
      </c>
      <c r="AQ66" s="120">
        <f t="array" ref="AQ66">INDIRECT("Update"&amp;Projections!$AH$17&amp;"!T"&amp;ROW(B47))</f>
        <v>4.1</v>
      </c>
      <c r="AR66" s="100">
        <f t="shared" si="27"/>
        <v>1.772677088</v>
      </c>
    </row>
    <row r="67">
      <c r="A67" s="40" t="str">
        <f t="shared" si="3"/>
        <v>Jordan Poole</v>
      </c>
      <c r="B67" s="42">
        <f t="shared" si="4"/>
        <v>0.4756665735</v>
      </c>
      <c r="C67" s="43">
        <f t="shared" si="5"/>
        <v>0.8469451937</v>
      </c>
      <c r="D67" s="42">
        <f t="shared" si="6"/>
        <v>-1.243034343</v>
      </c>
      <c r="E67" s="42">
        <f t="shared" si="7"/>
        <v>0.8038182543</v>
      </c>
      <c r="F67" s="42">
        <f t="shared" si="8"/>
        <v>0.4110689458</v>
      </c>
      <c r="G67" s="42">
        <f t="shared" si="9"/>
        <v>-0.7939110449</v>
      </c>
      <c r="H67" s="42">
        <f t="shared" si="10"/>
        <v>-1.430493865</v>
      </c>
      <c r="I67" s="42">
        <f>UpdateHashtag!S65</f>
        <v>16.3</v>
      </c>
      <c r="J67" s="47">
        <f t="shared" si="11"/>
        <v>1.131701299</v>
      </c>
      <c r="K67" s="48">
        <f>UpdateHashtag!T65</f>
        <v>4.2</v>
      </c>
      <c r="L67" s="42">
        <f t="shared" si="12"/>
        <v>1.142040391</v>
      </c>
      <c r="N67" s="100">
        <f t="shared" si="13"/>
        <v>40</v>
      </c>
      <c r="O67" s="94">
        <f t="array" ref="O67">INDIRECT("Update"&amp;Projections!$AH$17&amp;"!B"&amp;ROW(B48))</f>
        <v>53.8</v>
      </c>
      <c r="P67" s="101" t="str">
        <f t="array" ref="P67">INDIRECT("Update"&amp;Projections!$AH$17&amp;"!C"&amp;ROW(B48))</f>
        <v>Immanuel Quickley</v>
      </c>
      <c r="Q67" s="94">
        <f>UpdateBBM!F48</f>
        <v>46</v>
      </c>
      <c r="R67" s="105" t="str">
        <f t="array" ref="R67">INDIRECT("Update"&amp;Projections!$AH$17&amp;"!D"&amp;ROW(B48))</f>
        <v>PG,SG</v>
      </c>
      <c r="S67" s="73">
        <f t="shared" si="14"/>
        <v>2.002004754</v>
      </c>
      <c r="T67" s="73">
        <f>SUM(AE67:AM67)-IFERROR(IFS(Projections!$I$17,AN67,Projections!$J$17,AO67),"")</f>
        <v>2.002004754</v>
      </c>
      <c r="U67" s="73">
        <f t="shared" si="15"/>
        <v>0</v>
      </c>
      <c r="V67" s="73">
        <f t="array" ref="V67">INDIRECT("Update"&amp;Projections!$AH$17&amp;"!M"&amp;ROW(B48))</f>
        <v>18.7</v>
      </c>
      <c r="W67" s="73">
        <f t="array" ref="W67">INDIRECT("Update"&amp;Projections!$AH$17&amp;"!L"&amp;ROW(B48))</f>
        <v>2.6</v>
      </c>
      <c r="X67" s="73">
        <f t="array" ref="X67">INDIRECT("Update"&amp;Projections!$AH$17&amp;"!N"&amp;ROW(B48))</f>
        <v>4.6</v>
      </c>
      <c r="Y67" s="73">
        <f t="array" ref="Y67">INDIRECT("Update"&amp;Projections!$AH$17&amp;"!O"&amp;ROW(B48))</f>
        <v>6.8</v>
      </c>
      <c r="Z67" s="73">
        <f t="array" ref="Z67">INDIRECT("Update"&amp;Projections!$AH$17&amp;"!P"&amp;ROW(B48))</f>
        <v>1.1</v>
      </c>
      <c r="AA67" s="73">
        <f t="array" ref="AA67">INDIRECT("Update"&amp;Projections!$AH$17&amp;"!Q"&amp;ROW(B48))</f>
        <v>0.2</v>
      </c>
      <c r="AB67" s="107">
        <f t="array" ref="AB67">INDIRECT("Update"&amp;Projections!$AH$17&amp;"!I"&amp;ROW(B48))</f>
        <v>0.44</v>
      </c>
      <c r="AC67" s="107">
        <f t="array" ref="AC67">INDIRECT("Update"&amp;Projections!$AH$17&amp;"!K"&amp;ROW(B48))</f>
        <v>0.849</v>
      </c>
      <c r="AD67" s="73">
        <f t="array" ref="AD67">INDIRECT("Update"&amp;Projections!$AH$17&amp;"!R"&amp;ROW(B48))</f>
        <v>1.6</v>
      </c>
      <c r="AE67" s="73">
        <f t="shared" si="16"/>
        <v>0.2227593461</v>
      </c>
      <c r="AF67" s="73">
        <f t="shared" si="17"/>
        <v>0.8469451937</v>
      </c>
      <c r="AG67" s="73">
        <f t="shared" si="18"/>
        <v>-0.5761860341</v>
      </c>
      <c r="AH67" s="73">
        <f t="shared" si="19"/>
        <v>1.304997729</v>
      </c>
      <c r="AI67" s="73">
        <f t="shared" si="20"/>
        <v>0.4110689458</v>
      </c>
      <c r="AJ67" s="73">
        <f t="shared" si="21"/>
        <v>-0.9723047469</v>
      </c>
      <c r="AK67" s="73">
        <f t="shared" si="22"/>
        <v>-0.9799658478</v>
      </c>
      <c r="AL67" s="73">
        <f t="shared" si="23"/>
        <v>0.7278576432</v>
      </c>
      <c r="AM67" s="73">
        <f t="shared" si="24"/>
        <v>0.03686667737</v>
      </c>
      <c r="AN67" s="120">
        <f t="shared" si="25"/>
        <v>-0.9799658478</v>
      </c>
      <c r="AO67" s="120">
        <f t="shared" si="26"/>
        <v>-1.952270595</v>
      </c>
      <c r="AP67" s="120">
        <f t="array" ref="AP67">INDIRECT("Update"&amp;Projections!$AH$17&amp;"!S"&amp;ROW(B48))</f>
        <v>14.7</v>
      </c>
      <c r="AQ67" s="120">
        <f t="array" ref="AQ67">INDIRECT("Update"&amp;Projections!$AH$17&amp;"!T"&amp;ROW(B48))</f>
        <v>3.8</v>
      </c>
      <c r="AR67" s="100">
        <f t="shared" si="27"/>
        <v>1.582576457</v>
      </c>
    </row>
    <row r="68">
      <c r="A68" s="40" t="str">
        <f t="shared" si="3"/>
        <v>Nicolas Claxton</v>
      </c>
      <c r="B68" s="42">
        <f t="shared" si="4"/>
        <v>-0.8972583757</v>
      </c>
      <c r="C68" s="43">
        <f t="shared" si="5"/>
        <v>-1.740686581</v>
      </c>
      <c r="D68" s="42">
        <f t="shared" si="6"/>
        <v>1.463585264</v>
      </c>
      <c r="E68" s="42">
        <f t="shared" si="7"/>
        <v>-0.8819672513</v>
      </c>
      <c r="F68" s="42">
        <f t="shared" si="8"/>
        <v>-0.5847290887</v>
      </c>
      <c r="G68" s="42">
        <f t="shared" si="9"/>
        <v>2.595569294</v>
      </c>
      <c r="H68" s="42">
        <f t="shared" si="10"/>
        <v>1.265570052</v>
      </c>
      <c r="I68" s="42">
        <f>UpdateHashtag!S66</f>
        <v>8.7</v>
      </c>
      <c r="J68" s="47">
        <f t="shared" si="11"/>
        <v>-2.548906592</v>
      </c>
      <c r="K68" s="48">
        <f>UpdateHashtag!T66</f>
        <v>3</v>
      </c>
      <c r="L68" s="42">
        <f t="shared" si="12"/>
        <v>-0.4450452712</v>
      </c>
      <c r="N68" s="100">
        <f t="shared" si="13"/>
        <v>46</v>
      </c>
      <c r="O68" s="94">
        <f t="array" ref="O68">INDIRECT("Update"&amp;Projections!$AH$17&amp;"!B"&amp;ROW(B49))</f>
        <v>52.7</v>
      </c>
      <c r="P68" s="101" t="str">
        <f t="array" ref="P68">INDIRECT("Update"&amp;Projections!$AH$17&amp;"!C"&amp;ROW(B49))</f>
        <v>Jamal Murray</v>
      </c>
      <c r="Q68" s="94">
        <f>UpdateBBM!F49</f>
        <v>71</v>
      </c>
      <c r="R68" s="105" t="str">
        <f t="array" ref="R68">INDIRECT("Update"&amp;Projections!$AH$17&amp;"!D"&amp;ROW(B49))</f>
        <v>PG,SG</v>
      </c>
      <c r="S68" s="73">
        <f t="shared" si="14"/>
        <v>1.772677088</v>
      </c>
      <c r="T68" s="73">
        <f>SUM(AE68:AM68)-IFERROR(IFS(Projections!$I$17,AN68,Projections!$J$17,AO68),"")</f>
        <v>1.772677088</v>
      </c>
      <c r="U68" s="73">
        <f t="shared" si="15"/>
        <v>0</v>
      </c>
      <c r="V68" s="73">
        <f t="array" ref="V68">INDIRECT("Update"&amp;Projections!$AH$17&amp;"!M"&amp;ROW(B49))</f>
        <v>20</v>
      </c>
      <c r="W68" s="73">
        <f t="array" ref="W68">INDIRECT("Update"&amp;Projections!$AH$17&amp;"!L"&amp;ROW(B49))</f>
        <v>2.5</v>
      </c>
      <c r="X68" s="73">
        <f t="array" ref="X68">INDIRECT("Update"&amp;Projections!$AH$17&amp;"!N"&amp;ROW(B49))</f>
        <v>3.9</v>
      </c>
      <c r="Y68" s="73">
        <f t="array" ref="Y68">INDIRECT("Update"&amp;Projections!$AH$17&amp;"!O"&amp;ROW(B49))</f>
        <v>6.1</v>
      </c>
      <c r="Z68" s="73">
        <f t="array" ref="Z68">INDIRECT("Update"&amp;Projections!$AH$17&amp;"!P"&amp;ROW(B49))</f>
        <v>1</v>
      </c>
      <c r="AA68" s="73">
        <f t="array" ref="AA68">INDIRECT("Update"&amp;Projections!$AH$17&amp;"!Q"&amp;ROW(B49))</f>
        <v>0.5</v>
      </c>
      <c r="AB68" s="107">
        <f t="array" ref="AB68">INDIRECT("Update"&amp;Projections!$AH$17&amp;"!I"&amp;ROW(B49))</f>
        <v>0.471</v>
      </c>
      <c r="AC68" s="107">
        <f t="array" ref="AC68">INDIRECT("Update"&amp;Projections!$AH$17&amp;"!K"&amp;ROW(B49))</f>
        <v>0.841</v>
      </c>
      <c r="AD68" s="73">
        <f t="array" ref="AD68">INDIRECT("Update"&amp;Projections!$AH$17&amp;"!R"&amp;ROW(B49))</f>
        <v>2.1</v>
      </c>
      <c r="AE68" s="73">
        <f t="shared" si="16"/>
        <v>0.4576017716</v>
      </c>
      <c r="AF68" s="73">
        <f t="shared" si="17"/>
        <v>0.7474208947</v>
      </c>
      <c r="AG68" s="73">
        <f t="shared" si="18"/>
        <v>-0.850770632</v>
      </c>
      <c r="AH68" s="73">
        <f t="shared" si="19"/>
        <v>0.986065336</v>
      </c>
      <c r="AI68" s="73">
        <f t="shared" si="20"/>
        <v>0.07913626764</v>
      </c>
      <c r="AJ68" s="73">
        <f t="shared" si="21"/>
        <v>-0.4371236408</v>
      </c>
      <c r="AK68" s="73">
        <f t="shared" si="22"/>
        <v>-0.4792505778</v>
      </c>
      <c r="AL68" s="73">
        <f t="shared" si="23"/>
        <v>0.5059514269</v>
      </c>
      <c r="AM68" s="73">
        <f t="shared" si="24"/>
        <v>-0.08712439001</v>
      </c>
      <c r="AN68" s="120">
        <f t="shared" si="25"/>
        <v>-0.850770632</v>
      </c>
      <c r="AO68" s="120">
        <f t="shared" si="26"/>
        <v>-1.33002121</v>
      </c>
      <c r="AP68" s="120">
        <f t="array" ref="AP68">INDIRECT("Update"&amp;Projections!$AH$17&amp;"!S"&amp;ROW(B49))</f>
        <v>15.8</v>
      </c>
      <c r="AQ68" s="120">
        <f t="array" ref="AQ68">INDIRECT("Update"&amp;Projections!$AH$17&amp;"!T"&amp;ROW(B49))</f>
        <v>3.1</v>
      </c>
      <c r="AR68" s="100">
        <f t="shared" si="27"/>
        <v>1.515994375</v>
      </c>
    </row>
    <row r="69">
      <c r="A69" s="40" t="str">
        <f t="shared" si="3"/>
        <v>Miles Bridges</v>
      </c>
      <c r="B69" s="42">
        <f t="shared" si="4"/>
        <v>0.4214721677</v>
      </c>
      <c r="C69" s="43">
        <f t="shared" si="5"/>
        <v>0.4488479976</v>
      </c>
      <c r="D69" s="42">
        <f t="shared" si="6"/>
        <v>0.3260205017</v>
      </c>
      <c r="E69" s="42">
        <f t="shared" si="7"/>
        <v>-0.3352260062</v>
      </c>
      <c r="F69" s="42">
        <f t="shared" si="8"/>
        <v>-0.2527964105</v>
      </c>
      <c r="G69" s="42">
        <f t="shared" si="9"/>
        <v>-0.4371236408</v>
      </c>
      <c r="H69" s="42">
        <f t="shared" si="10"/>
        <v>-0.6786133664</v>
      </c>
      <c r="I69" s="42">
        <f>UpdateHashtag!S67</f>
        <v>16.6</v>
      </c>
      <c r="J69" s="47">
        <f t="shared" si="11"/>
        <v>0.2987174712</v>
      </c>
      <c r="K69" s="48">
        <f>UpdateHashtag!T67</f>
        <v>2.9</v>
      </c>
      <c r="L69" s="42">
        <f t="shared" si="12"/>
        <v>0.1501118522</v>
      </c>
      <c r="N69" s="100">
        <f t="shared" si="13"/>
        <v>58</v>
      </c>
      <c r="O69" s="94">
        <f t="array" ref="O69">INDIRECT("Update"&amp;Projections!$AH$17&amp;"!B"&amp;ROW(B50))</f>
        <v>46.1</v>
      </c>
      <c r="P69" s="101" t="str">
        <f t="array" ref="P69">INDIRECT("Update"&amp;Projections!$AH$17&amp;"!C"&amp;ROW(B50))</f>
        <v>Franz Wagner</v>
      </c>
      <c r="Q69" s="94">
        <f>UpdateBBM!F50</f>
        <v>66</v>
      </c>
      <c r="R69" s="105" t="str">
        <f t="array" ref="R69">INDIRECT("Update"&amp;Projections!$AH$17&amp;"!D"&amp;ROW(B50))</f>
        <v>SF,PF</v>
      </c>
      <c r="S69" s="73">
        <f t="shared" si="14"/>
        <v>0.9586943659</v>
      </c>
      <c r="T69" s="73">
        <f>SUM(AE69:AM69)-IFERROR(IFS(Projections!$I$17,AN69,Projections!$J$17,AO69),"")</f>
        <v>0.9586943659</v>
      </c>
      <c r="U69" s="73">
        <f t="shared" si="15"/>
        <v>0</v>
      </c>
      <c r="V69" s="73">
        <f t="array" ref="V69">INDIRECT("Update"&amp;Projections!$AH$17&amp;"!M"&amp;ROW(B50))</f>
        <v>19.6</v>
      </c>
      <c r="W69" s="73">
        <f t="array" ref="W69">INDIRECT("Update"&amp;Projections!$AH$17&amp;"!L"&amp;ROW(B50))</f>
        <v>1.4</v>
      </c>
      <c r="X69" s="73">
        <f t="array" ref="X69">INDIRECT("Update"&amp;Projections!$AH$17&amp;"!N"&amp;ROW(B50))</f>
        <v>5.4</v>
      </c>
      <c r="Y69" s="73">
        <f t="array" ref="Y69">INDIRECT("Update"&amp;Projections!$AH$17&amp;"!O"&amp;ROW(B50))</f>
        <v>3.9</v>
      </c>
      <c r="Z69" s="73">
        <f t="array" ref="Z69">INDIRECT("Update"&amp;Projections!$AH$17&amp;"!P"&amp;ROW(B50))</f>
        <v>1.2</v>
      </c>
      <c r="AA69" s="73">
        <f t="array" ref="AA69">INDIRECT("Update"&amp;Projections!$AH$17&amp;"!Q"&amp;ROW(B50))</f>
        <v>0.4</v>
      </c>
      <c r="AB69" s="107">
        <f t="array" ref="AB69">INDIRECT("Update"&amp;Projections!$AH$17&amp;"!I"&amp;ROW(B50))</f>
        <v>0.483</v>
      </c>
      <c r="AC69" s="107">
        <f t="array" ref="AC69">INDIRECT("Update"&amp;Projections!$AH$17&amp;"!K"&amp;ROW(B50))</f>
        <v>0.845</v>
      </c>
      <c r="AD69" s="73">
        <f t="array" ref="AD69">INDIRECT("Update"&amp;Projections!$AH$17&amp;"!R"&amp;ROW(B50))</f>
        <v>2</v>
      </c>
      <c r="AE69" s="73">
        <f t="shared" si="16"/>
        <v>0.3853425637</v>
      </c>
      <c r="AF69" s="73">
        <f t="shared" si="17"/>
        <v>-0.3473463946</v>
      </c>
      <c r="AG69" s="73">
        <f t="shared" si="18"/>
        <v>-0.2623750651</v>
      </c>
      <c r="AH69" s="73">
        <f t="shared" si="19"/>
        <v>-0.01629361326</v>
      </c>
      <c r="AI69" s="73">
        <f t="shared" si="20"/>
        <v>0.743001624</v>
      </c>
      <c r="AJ69" s="73">
        <f t="shared" si="21"/>
        <v>-0.6155173428</v>
      </c>
      <c r="AK69" s="73">
        <f t="shared" si="22"/>
        <v>-0.2440245612</v>
      </c>
      <c r="AL69" s="73">
        <f t="shared" si="23"/>
        <v>0.7627159889</v>
      </c>
      <c r="AM69" s="73">
        <f t="shared" si="24"/>
        <v>-0.06232617654</v>
      </c>
      <c r="AN69" s="120">
        <f t="shared" si="25"/>
        <v>-0.6155173428</v>
      </c>
      <c r="AO69" s="120">
        <f t="shared" si="26"/>
        <v>-0.9628637375</v>
      </c>
      <c r="AP69" s="120">
        <f t="array" ref="AP69">INDIRECT("Update"&amp;Projections!$AH$17&amp;"!S"&amp;ROW(B50))</f>
        <v>15</v>
      </c>
      <c r="AQ69" s="120">
        <f t="array" ref="AQ69">INDIRECT("Update"&amp;Projections!$AH$17&amp;"!T"&amp;ROW(B50))</f>
        <v>4.3</v>
      </c>
      <c r="AR69" s="100">
        <f t="shared" si="27"/>
        <v>1.400813863</v>
      </c>
    </row>
    <row r="70">
      <c r="A70" s="40" t="str">
        <f t="shared" si="3"/>
        <v>Tyler Herro</v>
      </c>
      <c r="B70" s="42">
        <f t="shared" si="4"/>
        <v>0.4937313755</v>
      </c>
      <c r="C70" s="43">
        <f t="shared" si="5"/>
        <v>1.344566689</v>
      </c>
      <c r="D70" s="42">
        <f t="shared" si="6"/>
        <v>-0.3016014363</v>
      </c>
      <c r="E70" s="42">
        <f t="shared" si="7"/>
        <v>0.1659534684</v>
      </c>
      <c r="F70" s="42">
        <f t="shared" si="8"/>
        <v>-0.9166617668</v>
      </c>
      <c r="G70" s="42">
        <f t="shared" si="9"/>
        <v>-0.9723047469</v>
      </c>
      <c r="H70" s="42">
        <f t="shared" si="10"/>
        <v>-1.119960969</v>
      </c>
      <c r="I70" s="42">
        <f>UpdateHashtag!S68</f>
        <v>16.8</v>
      </c>
      <c r="J70" s="47">
        <f t="shared" si="11"/>
        <v>1.033500815</v>
      </c>
      <c r="K70" s="48">
        <f>UpdateHashtag!T68</f>
        <v>2.7</v>
      </c>
      <c r="L70" s="42">
        <f t="shared" si="12"/>
        <v>0.5468832679</v>
      </c>
      <c r="N70" s="100">
        <f t="shared" si="13"/>
        <v>68</v>
      </c>
      <c r="O70" s="94">
        <f t="array" ref="O70">INDIRECT("Update"&amp;Projections!$AH$17&amp;"!B"&amp;ROW(B51))</f>
        <v>66.6</v>
      </c>
      <c r="P70" s="101" t="str">
        <f t="array" ref="P70">INDIRECT("Update"&amp;Projections!$AH$17&amp;"!C"&amp;ROW(B51))</f>
        <v>Tobias Harris</v>
      </c>
      <c r="Q70" s="94">
        <f>UpdateBBM!F51</f>
        <v>60</v>
      </c>
      <c r="R70" s="105" t="str">
        <f t="array" ref="R70">INDIRECT("Update"&amp;Projections!$AH$17&amp;"!D"&amp;ROW(B51))</f>
        <v>SF,PF</v>
      </c>
      <c r="S70" s="73">
        <f t="shared" si="14"/>
        <v>0.5054739451</v>
      </c>
      <c r="T70" s="73">
        <f>SUM(AE70:AM70)-IFERROR(IFS(Projections!$I$17,AN70,Projections!$J$17,AO70),"")</f>
        <v>0.5054739451</v>
      </c>
      <c r="U70" s="73">
        <f t="shared" si="15"/>
        <v>0</v>
      </c>
      <c r="V70" s="73">
        <f t="array" ref="V70">INDIRECT("Update"&amp;Projections!$AH$17&amp;"!M"&amp;ROW(B51))</f>
        <v>17.6</v>
      </c>
      <c r="W70" s="73">
        <f t="array" ref="W70">INDIRECT("Update"&amp;Projections!$AH$17&amp;"!L"&amp;ROW(B51))</f>
        <v>1.6</v>
      </c>
      <c r="X70" s="73">
        <f t="array" ref="X70">INDIRECT("Update"&amp;Projections!$AH$17&amp;"!N"&amp;ROW(B51))</f>
        <v>6.3</v>
      </c>
      <c r="Y70" s="73">
        <f t="array" ref="Y70">INDIRECT("Update"&amp;Projections!$AH$17&amp;"!O"&amp;ROW(B51))</f>
        <v>3</v>
      </c>
      <c r="Z70" s="73">
        <f t="array" ref="Z70">INDIRECT("Update"&amp;Projections!$AH$17&amp;"!P"&amp;ROW(B51))</f>
        <v>1</v>
      </c>
      <c r="AA70" s="73">
        <f t="array" ref="AA70">INDIRECT("Update"&amp;Projections!$AH$17&amp;"!Q"&amp;ROW(B51))</f>
        <v>0.6</v>
      </c>
      <c r="AB70" s="107">
        <f t="array" ref="AB70">INDIRECT("Update"&amp;Projections!$AH$17&amp;"!I"&amp;ROW(B51))</f>
        <v>0.482</v>
      </c>
      <c r="AC70" s="107">
        <f t="array" ref="AC70">INDIRECT("Update"&amp;Projections!$AH$17&amp;"!K"&amp;ROW(B51))</f>
        <v>0.878</v>
      </c>
      <c r="AD70" s="73">
        <f t="array" ref="AD70">INDIRECT("Update"&amp;Projections!$AH$17&amp;"!R"&amp;ROW(B51))</f>
        <v>1.3</v>
      </c>
      <c r="AE70" s="73">
        <f t="shared" si="16"/>
        <v>0.02404652447</v>
      </c>
      <c r="AF70" s="73">
        <f t="shared" si="17"/>
        <v>-0.1482977966</v>
      </c>
      <c r="AG70" s="73">
        <f t="shared" si="18"/>
        <v>0.09066227498</v>
      </c>
      <c r="AH70" s="73">
        <f t="shared" si="19"/>
        <v>-0.4263495471</v>
      </c>
      <c r="AI70" s="73">
        <f t="shared" si="20"/>
        <v>0.07913626764</v>
      </c>
      <c r="AJ70" s="73">
        <f t="shared" si="21"/>
        <v>-0.2587299387</v>
      </c>
      <c r="AK70" s="73">
        <f t="shared" si="22"/>
        <v>-0.2459083004</v>
      </c>
      <c r="AL70" s="73">
        <f t="shared" si="23"/>
        <v>0.8533035959</v>
      </c>
      <c r="AM70" s="73">
        <f t="shared" si="24"/>
        <v>0.1112613178</v>
      </c>
      <c r="AN70" s="120">
        <f t="shared" si="25"/>
        <v>-0.4263495471</v>
      </c>
      <c r="AO70" s="120">
        <f t="shared" si="26"/>
        <v>-0.6850794858</v>
      </c>
      <c r="AP70" s="120">
        <f t="array" ref="AP70">INDIRECT("Update"&amp;Projections!$AH$17&amp;"!S"&amp;ROW(B51))</f>
        <v>14.1</v>
      </c>
      <c r="AQ70" s="120">
        <f t="array" ref="AQ70">INDIRECT("Update"&amp;Projections!$AH$17&amp;"!T"&amp;ROW(B51))</f>
        <v>2.9</v>
      </c>
      <c r="AR70" s="100">
        <f t="shared" si="27"/>
        <v>1.400148526</v>
      </c>
    </row>
    <row r="71">
      <c r="A71" s="40" t="str">
        <f t="shared" si="3"/>
        <v>Trey Murphy III</v>
      </c>
      <c r="B71" s="42">
        <f t="shared" si="4"/>
        <v>-0.4275735246</v>
      </c>
      <c r="C71" s="43">
        <f t="shared" si="5"/>
        <v>1.145518091</v>
      </c>
      <c r="D71" s="42">
        <f t="shared" si="6"/>
        <v>-0.6938651475</v>
      </c>
      <c r="E71" s="42">
        <f t="shared" si="7"/>
        <v>-0.9730907921</v>
      </c>
      <c r="F71" s="42">
        <f t="shared" si="8"/>
        <v>0.4110689458</v>
      </c>
      <c r="G71" s="42">
        <f t="shared" si="9"/>
        <v>-0.2587299387</v>
      </c>
      <c r="H71" s="42">
        <f t="shared" si="10"/>
        <v>-0.5399276264</v>
      </c>
      <c r="I71" s="42">
        <f>UpdateHashtag!S69</f>
        <v>11</v>
      </c>
      <c r="J71" s="47">
        <f t="shared" si="11"/>
        <v>0.6361231796</v>
      </c>
      <c r="K71" s="48">
        <f>UpdateHashtag!T69</f>
        <v>2.6</v>
      </c>
      <c r="L71" s="42">
        <f t="shared" si="12"/>
        <v>-1.040202395</v>
      </c>
      <c r="N71" s="100">
        <f t="shared" si="13"/>
        <v>61</v>
      </c>
      <c r="O71" s="94">
        <f t="array" ref="O71">INDIRECT("Update"&amp;Projections!$AH$17&amp;"!B"&amp;ROW(B52))</f>
        <v>55.2</v>
      </c>
      <c r="P71" s="101" t="str">
        <f t="array" ref="P71">INDIRECT("Update"&amp;Projections!$AH$17&amp;"!C"&amp;ROW(B52))</f>
        <v>Nikola Vucevic</v>
      </c>
      <c r="Q71" s="94">
        <f>UpdateBBM!F52</f>
        <v>62</v>
      </c>
      <c r="R71" s="105" t="str">
        <f t="array" ref="R71">INDIRECT("Update"&amp;Projections!$AH$17&amp;"!D"&amp;ROW(B52))</f>
        <v>PF,C</v>
      </c>
      <c r="S71" s="73">
        <f t="shared" si="14"/>
        <v>0.8348582742</v>
      </c>
      <c r="T71" s="73">
        <f>SUM(AE71:AM71)-IFERROR(IFS(Projections!$I$17,AN71,Projections!$J$17,AO71),"")</f>
        <v>0.8348582742</v>
      </c>
      <c r="U71" s="73">
        <f t="shared" si="15"/>
        <v>0</v>
      </c>
      <c r="V71" s="73">
        <f t="array" ref="V71">INDIRECT("Update"&amp;Projections!$AH$17&amp;"!M"&amp;ROW(B52))</f>
        <v>17.1</v>
      </c>
      <c r="W71" s="73">
        <f t="array" ref="W71">INDIRECT("Update"&amp;Projections!$AH$17&amp;"!L"&amp;ROW(B52))</f>
        <v>1.4</v>
      </c>
      <c r="X71" s="73">
        <f t="array" ref="X71">INDIRECT("Update"&amp;Projections!$AH$17&amp;"!N"&amp;ROW(B52))</f>
        <v>10.4</v>
      </c>
      <c r="Y71" s="73">
        <f t="array" ref="Y71">INDIRECT("Update"&amp;Projections!$AH$17&amp;"!O"&amp;ROW(B52))</f>
        <v>3.3</v>
      </c>
      <c r="Z71" s="73">
        <f t="array" ref="Z71">INDIRECT("Update"&amp;Projections!$AH$17&amp;"!P"&amp;ROW(B52))</f>
        <v>0.7</v>
      </c>
      <c r="AA71" s="73">
        <f t="array" ref="AA71">INDIRECT("Update"&amp;Projections!$AH$17&amp;"!Q"&amp;ROW(B52))</f>
        <v>0.7</v>
      </c>
      <c r="AB71" s="107">
        <f t="array" ref="AB71">INDIRECT("Update"&amp;Projections!$AH$17&amp;"!I"&amp;ROW(B52))</f>
        <v>0.482</v>
      </c>
      <c r="AC71" s="107">
        <f t="array" ref="AC71">INDIRECT("Update"&amp;Projections!$AH$17&amp;"!K"&amp;ROW(B52))</f>
        <v>0.817</v>
      </c>
      <c r="AD71" s="73">
        <f t="array" ref="AD71">INDIRECT("Update"&amp;Projections!$AH$17&amp;"!R"&amp;ROW(B52))</f>
        <v>1.6</v>
      </c>
      <c r="AE71" s="73">
        <f t="shared" si="16"/>
        <v>-0.06627748535</v>
      </c>
      <c r="AF71" s="73">
        <f t="shared" si="17"/>
        <v>-0.3473463946</v>
      </c>
      <c r="AG71" s="73">
        <f t="shared" si="18"/>
        <v>1.698943491</v>
      </c>
      <c r="AH71" s="73">
        <f t="shared" si="19"/>
        <v>-0.2896642358</v>
      </c>
      <c r="AI71" s="73">
        <f t="shared" si="20"/>
        <v>-0.9166617668</v>
      </c>
      <c r="AJ71" s="73">
        <f t="shared" si="21"/>
        <v>-0.08033623669</v>
      </c>
      <c r="AK71" s="73">
        <f t="shared" si="22"/>
        <v>-0.2581165139</v>
      </c>
      <c r="AL71" s="73">
        <f t="shared" si="23"/>
        <v>0.1407889721</v>
      </c>
      <c r="AM71" s="73">
        <f t="shared" si="24"/>
        <v>0.03686667737</v>
      </c>
      <c r="AN71" s="120">
        <f t="shared" si="25"/>
        <v>-0.9166617668</v>
      </c>
      <c r="AO71" s="120">
        <f t="shared" si="26"/>
        <v>-1.264008161</v>
      </c>
      <c r="AP71" s="120">
        <f t="array" ref="AP71">INDIRECT("Update"&amp;Projections!$AH$17&amp;"!S"&amp;ROW(B52))</f>
        <v>14.8</v>
      </c>
      <c r="AQ71" s="120">
        <f t="array" ref="AQ71">INDIRECT("Update"&amp;Projections!$AH$17&amp;"!T"&amp;ROW(B52))</f>
        <v>1.8</v>
      </c>
      <c r="AR71" s="100">
        <f t="shared" si="27"/>
        <v>1.346744781</v>
      </c>
    </row>
    <row r="72">
      <c r="A72" s="40" t="str">
        <f t="shared" si="3"/>
        <v>Isaiah Hartenstein</v>
      </c>
      <c r="B72" s="42">
        <f t="shared" si="4"/>
        <v>-1.58372085</v>
      </c>
      <c r="C72" s="43">
        <f t="shared" si="5"/>
        <v>-1.641162282</v>
      </c>
      <c r="D72" s="42">
        <f t="shared" si="6"/>
        <v>1.149774295</v>
      </c>
      <c r="E72" s="42">
        <f t="shared" si="7"/>
        <v>-0.6997201696</v>
      </c>
      <c r="F72" s="42">
        <f t="shared" si="8"/>
        <v>0.4110689458</v>
      </c>
      <c r="G72" s="42">
        <f t="shared" si="9"/>
        <v>0.8116322736</v>
      </c>
      <c r="H72" s="42">
        <f t="shared" si="10"/>
        <v>0.8582601502</v>
      </c>
      <c r="I72" s="42">
        <f>UpdateHashtag!S70</f>
        <v>5.9</v>
      </c>
      <c r="J72" s="47">
        <f t="shared" si="11"/>
        <v>-0.6386467334</v>
      </c>
      <c r="K72" s="48">
        <f>UpdateHashtag!T70</f>
        <v>1.9</v>
      </c>
      <c r="L72" s="42">
        <f t="shared" si="12"/>
        <v>-0.4450452712</v>
      </c>
      <c r="N72" s="100">
        <f t="shared" si="13"/>
        <v>60</v>
      </c>
      <c r="O72" s="94">
        <f t="array" ref="O72">INDIRECT("Update"&amp;Projections!$AH$17&amp;"!B"&amp;ROW(B53))</f>
        <v>53.2</v>
      </c>
      <c r="P72" s="101" t="str">
        <f t="array" ref="P72">INDIRECT("Update"&amp;Projections!$AH$17&amp;"!C"&amp;ROW(B53))</f>
        <v>Jarrett Allen</v>
      </c>
      <c r="Q72" s="94">
        <f>UpdateBBM!F53</f>
        <v>51</v>
      </c>
      <c r="R72" s="105" t="str">
        <f t="array" ref="R72">INDIRECT("Update"&amp;Projections!$AH$17&amp;"!D"&amp;ROW(B53))</f>
        <v>C</v>
      </c>
      <c r="S72" s="73">
        <f t="shared" si="14"/>
        <v>0.8803883476</v>
      </c>
      <c r="T72" s="73">
        <f>SUM(AE72:AM72)-IFERROR(IFS(Projections!$I$17,AN72,Projections!$J$17,AO72),"")</f>
        <v>0.8803883476</v>
      </c>
      <c r="U72" s="73">
        <f t="shared" si="15"/>
        <v>0</v>
      </c>
      <c r="V72" s="73">
        <f t="array" ref="V72">INDIRECT("Update"&amp;Projections!$AH$17&amp;"!M"&amp;ROW(B53))</f>
        <v>14.9</v>
      </c>
      <c r="W72" s="73">
        <f t="array" ref="W72">INDIRECT("Update"&amp;Projections!$AH$17&amp;"!L"&amp;ROW(B53))</f>
        <v>0</v>
      </c>
      <c r="X72" s="73">
        <f t="array" ref="X72">INDIRECT("Update"&amp;Projections!$AH$17&amp;"!N"&amp;ROW(B53))</f>
        <v>9.9</v>
      </c>
      <c r="Y72" s="73">
        <f t="array" ref="Y72">INDIRECT("Update"&amp;Projections!$AH$17&amp;"!O"&amp;ROW(B53))</f>
        <v>2.2</v>
      </c>
      <c r="Z72" s="73">
        <f t="array" ref="Z72">INDIRECT("Update"&amp;Projections!$AH$17&amp;"!P"&amp;ROW(B53))</f>
        <v>0.7</v>
      </c>
      <c r="AA72" s="73">
        <f t="array" ref="AA72">INDIRECT("Update"&amp;Projections!$AH$17&amp;"!Q"&amp;ROW(B53))</f>
        <v>1.1</v>
      </c>
      <c r="AB72" s="107">
        <f t="array" ref="AB72">INDIRECT("Update"&amp;Projections!$AH$17&amp;"!I"&amp;ROW(B53))</f>
        <v>0.637</v>
      </c>
      <c r="AC72" s="107">
        <f t="array" ref="AC72">INDIRECT("Update"&amp;Projections!$AH$17&amp;"!K"&amp;ROW(B53))</f>
        <v>0.735</v>
      </c>
      <c r="AD72" s="73">
        <f t="array" ref="AD72">INDIRECT("Update"&amp;Projections!$AH$17&amp;"!R"&amp;ROW(B53))</f>
        <v>1.4</v>
      </c>
      <c r="AE72" s="73">
        <f t="shared" si="16"/>
        <v>-0.4637031285</v>
      </c>
      <c r="AF72" s="73">
        <f t="shared" si="17"/>
        <v>-1.740686581</v>
      </c>
      <c r="AG72" s="73">
        <f t="shared" si="18"/>
        <v>1.502811635</v>
      </c>
      <c r="AH72" s="73">
        <f t="shared" si="19"/>
        <v>-0.7908437104</v>
      </c>
      <c r="AI72" s="73">
        <f t="shared" si="20"/>
        <v>-0.9166617668</v>
      </c>
      <c r="AJ72" s="73">
        <f t="shared" si="21"/>
        <v>0.6332385715</v>
      </c>
      <c r="AK72" s="73">
        <f t="shared" si="22"/>
        <v>1.592932416</v>
      </c>
      <c r="AL72" s="73">
        <f t="shared" si="23"/>
        <v>-0.7638487738</v>
      </c>
      <c r="AM72" s="73">
        <f t="shared" si="24"/>
        <v>0.08646310432</v>
      </c>
      <c r="AN72" s="120">
        <f t="shared" si="25"/>
        <v>-1.740686581</v>
      </c>
      <c r="AO72" s="120">
        <f t="shared" si="26"/>
        <v>-2.657348348</v>
      </c>
      <c r="AP72" s="120">
        <f t="array" ref="AP72">INDIRECT("Update"&amp;Projections!$AH$17&amp;"!S"&amp;ROW(B53))</f>
        <v>9.7</v>
      </c>
      <c r="AQ72" s="120">
        <f t="array" ref="AQ72">INDIRECT("Update"&amp;Projections!$AH$17&amp;"!T"&amp;ROW(B53))</f>
        <v>3.6</v>
      </c>
      <c r="AR72" s="100">
        <f t="shared" si="27"/>
        <v>1.331344632</v>
      </c>
    </row>
    <row r="73">
      <c r="A73" s="40" t="str">
        <f t="shared" si="3"/>
        <v>Walker Kessler</v>
      </c>
      <c r="B73" s="42">
        <f t="shared" si="4"/>
        <v>-1.439202435</v>
      </c>
      <c r="C73" s="43">
        <f t="shared" si="5"/>
        <v>-1.740686581</v>
      </c>
      <c r="D73" s="42">
        <f t="shared" si="6"/>
        <v>1.032095182</v>
      </c>
      <c r="E73" s="42">
        <f t="shared" si="7"/>
        <v>-1.337584956</v>
      </c>
      <c r="F73" s="42">
        <f t="shared" si="8"/>
        <v>-1.912459801</v>
      </c>
      <c r="G73" s="42">
        <f t="shared" si="9"/>
        <v>3.1307504</v>
      </c>
      <c r="H73" s="42">
        <f t="shared" si="10"/>
        <v>1.219175115</v>
      </c>
      <c r="I73" s="42">
        <f>UpdateHashtag!S71</f>
        <v>6.3</v>
      </c>
      <c r="J73" s="47">
        <f t="shared" si="11"/>
        <v>-1.466276218</v>
      </c>
      <c r="K73" s="48">
        <f>UpdateHashtag!T71</f>
        <v>1.9</v>
      </c>
      <c r="L73" s="42">
        <f t="shared" si="12"/>
        <v>-0.7426238329</v>
      </c>
      <c r="N73" s="100">
        <f t="shared" si="13"/>
        <v>39</v>
      </c>
      <c r="O73" s="94">
        <f t="array" ref="O73">INDIRECT("Update"&amp;Projections!$AH$17&amp;"!B"&amp;ROW(B54))</f>
        <v>46.4</v>
      </c>
      <c r="P73" s="101" t="str">
        <f t="array" ref="P73">INDIRECT("Update"&amp;Projections!$AH$17&amp;"!C"&amp;ROW(B54))</f>
        <v>Rudy Gobert</v>
      </c>
      <c r="Q73" s="94">
        <f>UpdateBBM!F54</f>
        <v>71</v>
      </c>
      <c r="R73" s="105" t="str">
        <f t="array" ref="R73">INDIRECT("Update"&amp;Projections!$AH$17&amp;"!D"&amp;ROW(B54))</f>
        <v>C</v>
      </c>
      <c r="S73" s="73">
        <f t="shared" si="14"/>
        <v>2.107579854</v>
      </c>
      <c r="T73" s="73">
        <f>SUM(AE73:AM73)-IFERROR(IFS(Projections!$I$17,AN73,Projections!$J$17,AO73),"")</f>
        <v>2.107579854</v>
      </c>
      <c r="U73" s="73">
        <f t="shared" si="15"/>
        <v>0</v>
      </c>
      <c r="V73" s="73">
        <f t="array" ref="V73">INDIRECT("Update"&amp;Projections!$AH$17&amp;"!M"&amp;ROW(B54))</f>
        <v>14.3</v>
      </c>
      <c r="W73" s="73">
        <f t="array" ref="W73">INDIRECT("Update"&amp;Projections!$AH$17&amp;"!L"&amp;ROW(B54))</f>
        <v>0</v>
      </c>
      <c r="X73" s="73">
        <f t="array" ref="X73">INDIRECT("Update"&amp;Projections!$AH$17&amp;"!N"&amp;ROW(B54))</f>
        <v>12.9</v>
      </c>
      <c r="Y73" s="73">
        <f t="array" ref="Y73">INDIRECT("Update"&amp;Projections!$AH$17&amp;"!O"&amp;ROW(B54))</f>
        <v>1.4</v>
      </c>
      <c r="Z73" s="73">
        <f t="array" ref="Z73">INDIRECT("Update"&amp;Projections!$AH$17&amp;"!P"&amp;ROW(B54))</f>
        <v>0.8</v>
      </c>
      <c r="AA73" s="73">
        <f t="array" ref="AA73">INDIRECT("Update"&amp;Projections!$AH$17&amp;"!Q"&amp;ROW(B54))</f>
        <v>1.8</v>
      </c>
      <c r="AB73" s="107">
        <f t="array" ref="AB73">INDIRECT("Update"&amp;Projections!$AH$17&amp;"!I"&amp;ROW(B54))</f>
        <v>0.66</v>
      </c>
      <c r="AC73" s="107">
        <f t="array" ref="AC73">INDIRECT("Update"&amp;Projections!$AH$17&amp;"!K"&amp;ROW(B54))</f>
        <v>0.642</v>
      </c>
      <c r="AD73" s="73">
        <f t="array" ref="AD73">INDIRECT("Update"&amp;Projections!$AH$17&amp;"!R"&amp;ROW(B54))</f>
        <v>1.7</v>
      </c>
      <c r="AE73" s="73">
        <f t="shared" si="16"/>
        <v>-0.5720919403</v>
      </c>
      <c r="AF73" s="73">
        <f t="shared" si="17"/>
        <v>-1.740686581</v>
      </c>
      <c r="AG73" s="73">
        <f t="shared" si="18"/>
        <v>2.679602769</v>
      </c>
      <c r="AH73" s="73">
        <f t="shared" si="19"/>
        <v>-1.155337874</v>
      </c>
      <c r="AI73" s="73">
        <f t="shared" si="20"/>
        <v>-0.5847290887</v>
      </c>
      <c r="AJ73" s="73">
        <f t="shared" si="21"/>
        <v>1.881994486</v>
      </c>
      <c r="AK73" s="73">
        <f t="shared" si="22"/>
        <v>1.586759619</v>
      </c>
      <c r="AL73" s="73">
        <f t="shared" si="23"/>
        <v>-2.815967066</v>
      </c>
      <c r="AM73" s="73">
        <f t="shared" si="24"/>
        <v>0.01206846389</v>
      </c>
      <c r="AN73" s="120">
        <f t="shared" si="25"/>
        <v>-2.815967066</v>
      </c>
      <c r="AO73" s="120">
        <f t="shared" si="26"/>
        <v>-4.556653647</v>
      </c>
      <c r="AP73" s="120">
        <f t="array" ref="AP73">INDIRECT("Update"&amp;Projections!$AH$17&amp;"!S"&amp;ROW(B54))</f>
        <v>8.3</v>
      </c>
      <c r="AQ73" s="120">
        <f t="array" ref="AQ73">INDIRECT("Update"&amp;Projections!$AH$17&amp;"!T"&amp;ROW(B54))</f>
        <v>5.2</v>
      </c>
      <c r="AR73" s="100">
        <f t="shared" si="27"/>
        <v>1.279499276</v>
      </c>
    </row>
    <row r="74">
      <c r="A74" s="40" t="str">
        <f t="shared" si="3"/>
        <v>Mikal Bridges</v>
      </c>
      <c r="B74" s="42">
        <f t="shared" si="4"/>
        <v>-0.2649903069</v>
      </c>
      <c r="C74" s="43">
        <f t="shared" si="5"/>
        <v>0.6478965957</v>
      </c>
      <c r="D74" s="42">
        <f t="shared" si="6"/>
        <v>-0.7723178898</v>
      </c>
      <c r="E74" s="42">
        <f t="shared" si="7"/>
        <v>-0.3352260062</v>
      </c>
      <c r="F74" s="42">
        <f t="shared" si="8"/>
        <v>0.4110689458</v>
      </c>
      <c r="G74" s="42">
        <f t="shared" si="9"/>
        <v>-0.08033623669</v>
      </c>
      <c r="H74" s="42">
        <f t="shared" si="10"/>
        <v>-0.603075967</v>
      </c>
      <c r="I74" s="42">
        <f>UpdateHashtag!S72</f>
        <v>12</v>
      </c>
      <c r="J74" s="47">
        <f t="shared" si="11"/>
        <v>0.3636168954</v>
      </c>
      <c r="K74" s="48">
        <f>UpdateHashtag!T72</f>
        <v>3.2</v>
      </c>
      <c r="L74" s="42">
        <f t="shared" si="12"/>
        <v>-0.1474667095</v>
      </c>
      <c r="N74" s="100">
        <f t="shared" si="13"/>
        <v>47</v>
      </c>
      <c r="O74" s="94">
        <f t="array" ref="O74">INDIRECT("Update"&amp;Projections!$AH$17&amp;"!B"&amp;ROW(B55))</f>
        <v>62.6</v>
      </c>
      <c r="P74" s="101" t="str">
        <f t="array" ref="P74">INDIRECT("Update"&amp;Projections!$AH$17&amp;"!C"&amp;ROW(B55))</f>
        <v>Darius Garland</v>
      </c>
      <c r="Q74" s="94">
        <f>UpdateBBM!F55</f>
        <v>52</v>
      </c>
      <c r="R74" s="105" t="str">
        <f t="array" ref="R74">INDIRECT("Update"&amp;Projections!$AH$17&amp;"!D"&amp;ROW(B55))</f>
        <v>PG</v>
      </c>
      <c r="S74" s="73">
        <f t="shared" si="14"/>
        <v>1.582576457</v>
      </c>
      <c r="T74" s="73">
        <f>SUM(AE74:AM74)-IFERROR(IFS(Projections!$I$17,AN74,Projections!$J$17,AO74),"")</f>
        <v>1.582576457</v>
      </c>
      <c r="U74" s="73">
        <f t="shared" si="15"/>
        <v>0</v>
      </c>
      <c r="V74" s="73">
        <f t="array" ref="V74">INDIRECT("Update"&amp;Projections!$AH$17&amp;"!M"&amp;ROW(B55))</f>
        <v>19.3</v>
      </c>
      <c r="W74" s="73">
        <f t="array" ref="W74">INDIRECT("Update"&amp;Projections!$AH$17&amp;"!L"&amp;ROW(B55))</f>
        <v>2.3</v>
      </c>
      <c r="X74" s="73">
        <f t="array" ref="X74">INDIRECT("Update"&amp;Projections!$AH$17&amp;"!N"&amp;ROW(B55))</f>
        <v>2.6</v>
      </c>
      <c r="Y74" s="73">
        <f t="array" ref="Y74">INDIRECT("Update"&amp;Projections!$AH$17&amp;"!O"&amp;ROW(B55))</f>
        <v>7</v>
      </c>
      <c r="Z74" s="73">
        <f t="array" ref="Z74">INDIRECT("Update"&amp;Projections!$AH$17&amp;"!P"&amp;ROW(B55))</f>
        <v>1.2</v>
      </c>
      <c r="AA74" s="73">
        <f t="array" ref="AA74">INDIRECT("Update"&amp;Projections!$AH$17&amp;"!Q"&amp;ROW(B55))</f>
        <v>0.1</v>
      </c>
      <c r="AB74" s="107">
        <f t="array" ref="AB74">INDIRECT("Update"&amp;Projections!$AH$17&amp;"!I"&amp;ROW(B55))</f>
        <v>0.455</v>
      </c>
      <c r="AC74" s="107">
        <f t="array" ref="AC74">INDIRECT("Update"&amp;Projections!$AH$17&amp;"!K"&amp;ROW(B55))</f>
        <v>0.85</v>
      </c>
      <c r="AD74" s="73">
        <f t="array" ref="AD74">INDIRECT("Update"&amp;Projections!$AH$17&amp;"!R"&amp;ROW(B55))</f>
        <v>2.9</v>
      </c>
      <c r="AE74" s="73">
        <f t="shared" si="16"/>
        <v>0.3311481578</v>
      </c>
      <c r="AF74" s="73">
        <f t="shared" si="17"/>
        <v>0.5483722967</v>
      </c>
      <c r="AG74" s="73">
        <f t="shared" si="18"/>
        <v>-1.360713457</v>
      </c>
      <c r="AH74" s="73">
        <f t="shared" si="19"/>
        <v>1.39612127</v>
      </c>
      <c r="AI74" s="73">
        <f t="shared" si="20"/>
        <v>0.743001624</v>
      </c>
      <c r="AJ74" s="73">
        <f t="shared" si="21"/>
        <v>-1.150698449</v>
      </c>
      <c r="AK74" s="73">
        <f t="shared" si="22"/>
        <v>-0.7411733781</v>
      </c>
      <c r="AL74" s="73">
        <f t="shared" si="23"/>
        <v>0.7413150332</v>
      </c>
      <c r="AM74" s="73">
        <f t="shared" si="24"/>
        <v>-0.2855100978</v>
      </c>
      <c r="AN74" s="120">
        <f t="shared" si="25"/>
        <v>-1.360713457</v>
      </c>
      <c r="AO74" s="120">
        <f t="shared" si="26"/>
        <v>-2.511411906</v>
      </c>
      <c r="AP74" s="120">
        <f t="array" ref="AP74">INDIRECT("Update"&amp;Projections!$AH$17&amp;"!S"&amp;ROW(B55))</f>
        <v>15.1</v>
      </c>
      <c r="AQ74" s="120">
        <f t="array" ref="AQ74">INDIRECT("Update"&amp;Projections!$AH$17&amp;"!T"&amp;ROW(B55))</f>
        <v>3.8</v>
      </c>
      <c r="AR74" s="100">
        <f t="shared" si="27"/>
        <v>1.252861492</v>
      </c>
    </row>
    <row r="75">
      <c r="A75" s="40" t="str">
        <f t="shared" si="3"/>
        <v>Brandon Ingram</v>
      </c>
      <c r="B75" s="42">
        <f t="shared" si="4"/>
        <v>0.4756665735</v>
      </c>
      <c r="C75" s="43">
        <f t="shared" si="5"/>
        <v>-0.4468706937</v>
      </c>
      <c r="D75" s="42">
        <f t="shared" si="6"/>
        <v>-0.4977332919</v>
      </c>
      <c r="E75" s="42">
        <f t="shared" si="7"/>
        <v>0.3026387797</v>
      </c>
      <c r="F75" s="42">
        <f t="shared" si="8"/>
        <v>-0.5847290887</v>
      </c>
      <c r="G75" s="42">
        <f t="shared" si="9"/>
        <v>-0.2587299387</v>
      </c>
      <c r="H75" s="42">
        <f t="shared" si="10"/>
        <v>-0.08752052654</v>
      </c>
      <c r="I75" s="42">
        <f>UpdateHashtag!S73</f>
        <v>15.3</v>
      </c>
      <c r="J75" s="47">
        <f t="shared" si="11"/>
        <v>0.2843923164</v>
      </c>
      <c r="K75" s="48">
        <f>UpdateHashtag!T73</f>
        <v>4.7</v>
      </c>
      <c r="L75" s="42">
        <f t="shared" si="12"/>
        <v>0.5468832679</v>
      </c>
      <c r="N75" s="100">
        <f t="shared" si="13"/>
        <v>55</v>
      </c>
      <c r="O75" s="94">
        <f t="array" ref="O75">INDIRECT("Update"&amp;Projections!$AH$17&amp;"!B"&amp;ROW(B56))</f>
        <v>40.9</v>
      </c>
      <c r="P75" s="101" t="str">
        <f t="array" ref="P75">INDIRECT("Update"&amp;Projections!$AH$17&amp;"!C"&amp;ROW(B56))</f>
        <v>Jaylen Brown</v>
      </c>
      <c r="Q75" s="94">
        <f>UpdateBBM!F56</f>
        <v>71</v>
      </c>
      <c r="R75" s="105" t="str">
        <f t="array" ref="R75">INDIRECT("Update"&amp;Projections!$AH$17&amp;"!D"&amp;ROW(B56))</f>
        <v>SG,SF</v>
      </c>
      <c r="S75" s="73">
        <f t="shared" si="14"/>
        <v>1.235918172</v>
      </c>
      <c r="T75" s="73">
        <f>SUM(AE75:AM75)-IFERROR(IFS(Projections!$I$17,AN75,Projections!$J$17,AO75),"")</f>
        <v>1.235918172</v>
      </c>
      <c r="U75" s="73">
        <f t="shared" si="15"/>
        <v>0</v>
      </c>
      <c r="V75" s="73">
        <f t="array" ref="V75">INDIRECT("Update"&amp;Projections!$AH$17&amp;"!M"&amp;ROW(B56))</f>
        <v>24.4</v>
      </c>
      <c r="W75" s="73">
        <f t="array" ref="W75">INDIRECT("Update"&amp;Projections!$AH$17&amp;"!L"&amp;ROW(B56))</f>
        <v>2.2</v>
      </c>
      <c r="X75" s="73">
        <f t="array" ref="X75">INDIRECT("Update"&amp;Projections!$AH$17&amp;"!N"&amp;ROW(B56))</f>
        <v>6.1</v>
      </c>
      <c r="Y75" s="73">
        <f t="array" ref="Y75">INDIRECT("Update"&amp;Projections!$AH$17&amp;"!O"&amp;ROW(B56))</f>
        <v>3.5</v>
      </c>
      <c r="Z75" s="73">
        <f t="array" ref="Z75">INDIRECT("Update"&amp;Projections!$AH$17&amp;"!P"&amp;ROW(B56))</f>
        <v>1.1</v>
      </c>
      <c r="AA75" s="73">
        <f t="array" ref="AA75">INDIRECT("Update"&amp;Projections!$AH$17&amp;"!Q"&amp;ROW(B56))</f>
        <v>0.5</v>
      </c>
      <c r="AB75" s="107">
        <f t="array" ref="AB75">INDIRECT("Update"&amp;Projections!$AH$17&amp;"!I"&amp;ROW(B56))</f>
        <v>0.495</v>
      </c>
      <c r="AC75" s="107">
        <f t="array" ref="AC75">INDIRECT("Update"&amp;Projections!$AH$17&amp;"!K"&amp;ROW(B56))</f>
        <v>0.737</v>
      </c>
      <c r="AD75" s="73">
        <f t="array" ref="AD75">INDIRECT("Update"&amp;Projections!$AH$17&amp;"!R"&amp;ROW(B56))</f>
        <v>2.6</v>
      </c>
      <c r="AE75" s="73">
        <f t="shared" si="16"/>
        <v>1.252453058</v>
      </c>
      <c r="AF75" s="73">
        <f t="shared" si="17"/>
        <v>0.4488479976</v>
      </c>
      <c r="AG75" s="73">
        <f t="shared" si="18"/>
        <v>0.01220953273</v>
      </c>
      <c r="AH75" s="73">
        <f t="shared" si="19"/>
        <v>-0.198540695</v>
      </c>
      <c r="AI75" s="73">
        <f t="shared" si="20"/>
        <v>0.4110689458</v>
      </c>
      <c r="AJ75" s="73">
        <f t="shared" si="21"/>
        <v>-0.4371236408</v>
      </c>
      <c r="AK75" s="73">
        <f t="shared" si="22"/>
        <v>-0.04188156909</v>
      </c>
      <c r="AL75" s="73">
        <f t="shared" si="23"/>
        <v>-0.9434479392</v>
      </c>
      <c r="AM75" s="73">
        <f t="shared" si="24"/>
        <v>-0.2111154574</v>
      </c>
      <c r="AN75" s="120">
        <f t="shared" si="25"/>
        <v>-0.9434479392</v>
      </c>
      <c r="AO75" s="120">
        <f t="shared" si="26"/>
        <v>-1.38057158</v>
      </c>
      <c r="AP75" s="120">
        <f t="array" ref="AP75">INDIRECT("Update"&amp;Projections!$AH$17&amp;"!S"&amp;ROW(B56))</f>
        <v>19</v>
      </c>
      <c r="AQ75" s="120">
        <f t="array" ref="AQ75">INDIRECT("Update"&amp;Projections!$AH$17&amp;"!T"&amp;ROW(B56))</f>
        <v>4.6</v>
      </c>
      <c r="AR75" s="100">
        <f t="shared" si="27"/>
        <v>1.235918172</v>
      </c>
    </row>
    <row r="76">
      <c r="A76" s="40" t="str">
        <f t="shared" si="3"/>
        <v>Devin Vassell</v>
      </c>
      <c r="B76" s="42">
        <f t="shared" si="4"/>
        <v>0.3492129598</v>
      </c>
      <c r="C76" s="43">
        <f t="shared" si="5"/>
        <v>0.8469451937</v>
      </c>
      <c r="D76" s="42">
        <f t="shared" si="6"/>
        <v>-0.850770632</v>
      </c>
      <c r="E76" s="42">
        <f t="shared" si="7"/>
        <v>0.02926815716</v>
      </c>
      <c r="F76" s="42">
        <f t="shared" si="8"/>
        <v>0.4110689458</v>
      </c>
      <c r="G76" s="42">
        <f t="shared" si="9"/>
        <v>-0.6155173428</v>
      </c>
      <c r="H76" s="42">
        <f t="shared" si="10"/>
        <v>-0.6829443366</v>
      </c>
      <c r="I76" s="42">
        <f>UpdateHashtag!S74</f>
        <v>15.8</v>
      </c>
      <c r="J76" s="47">
        <f t="shared" si="11"/>
        <v>0.06250486248</v>
      </c>
      <c r="K76" s="48">
        <f>UpdateHashtag!T74</f>
        <v>2.9</v>
      </c>
      <c r="L76" s="42">
        <f t="shared" si="12"/>
        <v>-0.1474667095</v>
      </c>
      <c r="N76" s="100">
        <f t="shared" si="13"/>
        <v>57</v>
      </c>
      <c r="O76" s="94">
        <f t="array" ref="O76">INDIRECT("Update"&amp;Projections!$AH$17&amp;"!B"&amp;ROW(B57))</f>
        <v>60.8</v>
      </c>
      <c r="P76" s="101" t="str">
        <f t="array" ref="P76">INDIRECT("Update"&amp;Projections!$AH$17&amp;"!C"&amp;ROW(B57))</f>
        <v>Deandre Ayton</v>
      </c>
      <c r="Q76" s="94">
        <f>UpdateBBM!F57</f>
        <v>71</v>
      </c>
      <c r="R76" s="105" t="str">
        <f t="array" ref="R76">INDIRECT("Update"&amp;Projections!$AH$17&amp;"!D"&amp;ROW(B57))</f>
        <v>C</v>
      </c>
      <c r="S76" s="73">
        <f t="shared" si="14"/>
        <v>1.07489411</v>
      </c>
      <c r="T76" s="73">
        <f>SUM(AE76:AM76)-IFERROR(IFS(Projections!$I$17,AN76,Projections!$J$17,AO76),"")</f>
        <v>1.07489411</v>
      </c>
      <c r="U76" s="73">
        <f t="shared" si="15"/>
        <v>0</v>
      </c>
      <c r="V76" s="73">
        <f t="array" ref="V76">INDIRECT("Update"&amp;Projections!$AH$17&amp;"!M"&amp;ROW(B57))</f>
        <v>17</v>
      </c>
      <c r="W76" s="73">
        <f t="array" ref="W76">INDIRECT("Update"&amp;Projections!$AH$17&amp;"!L"&amp;ROW(B57))</f>
        <v>0.1</v>
      </c>
      <c r="X76" s="73">
        <f t="array" ref="X76">INDIRECT("Update"&amp;Projections!$AH$17&amp;"!N"&amp;ROW(B57))</f>
        <v>10.3</v>
      </c>
      <c r="Y76" s="73">
        <f t="array" ref="Y76">INDIRECT("Update"&amp;Projections!$AH$17&amp;"!O"&amp;ROW(B57))</f>
        <v>1.7</v>
      </c>
      <c r="Z76" s="73">
        <f t="array" ref="Z76">INDIRECT("Update"&amp;Projections!$AH$17&amp;"!P"&amp;ROW(B57))</f>
        <v>0.8</v>
      </c>
      <c r="AA76" s="73">
        <f t="array" ref="AA76">INDIRECT("Update"&amp;Projections!$AH$17&amp;"!Q"&amp;ROW(B57))</f>
        <v>0.8</v>
      </c>
      <c r="AB76" s="107">
        <f t="array" ref="AB76">INDIRECT("Update"&amp;Projections!$AH$17&amp;"!I"&amp;ROW(B57))</f>
        <v>0.571</v>
      </c>
      <c r="AC76" s="107">
        <f t="array" ref="AC76">INDIRECT("Update"&amp;Projections!$AH$17&amp;"!K"&amp;ROW(B57))</f>
        <v>0.778</v>
      </c>
      <c r="AD76" s="73">
        <f t="array" ref="AD76">INDIRECT("Update"&amp;Projections!$AH$17&amp;"!R"&amp;ROW(B57))</f>
        <v>1.8</v>
      </c>
      <c r="AE76" s="73">
        <f t="shared" si="16"/>
        <v>-0.08434228731</v>
      </c>
      <c r="AF76" s="73">
        <f t="shared" si="17"/>
        <v>-1.641162282</v>
      </c>
      <c r="AG76" s="73">
        <f t="shared" si="18"/>
        <v>1.65971712</v>
      </c>
      <c r="AH76" s="73">
        <f t="shared" si="19"/>
        <v>-1.018652563</v>
      </c>
      <c r="AI76" s="73">
        <f t="shared" si="20"/>
        <v>-0.5847290887</v>
      </c>
      <c r="AJ76" s="73">
        <f t="shared" si="21"/>
        <v>0.09805746537</v>
      </c>
      <c r="AK76" s="73">
        <f t="shared" si="22"/>
        <v>1.155341426</v>
      </c>
      <c r="AL76" s="73">
        <f t="shared" si="23"/>
        <v>-0.1377682125</v>
      </c>
      <c r="AM76" s="73">
        <f t="shared" si="24"/>
        <v>-0.01272974958</v>
      </c>
      <c r="AN76" s="120">
        <f t="shared" si="25"/>
        <v>-1.641162282</v>
      </c>
      <c r="AO76" s="120">
        <f t="shared" si="26"/>
        <v>-2.659814845</v>
      </c>
      <c r="AP76" s="120">
        <f t="array" ref="AP76">INDIRECT("Update"&amp;Projections!$AH$17&amp;"!S"&amp;ROW(B57))</f>
        <v>13.3</v>
      </c>
      <c r="AQ76" s="120">
        <f t="array" ref="AQ76">INDIRECT("Update"&amp;Projections!$AH$17&amp;"!T"&amp;ROW(B57))</f>
        <v>2.3</v>
      </c>
      <c r="AR76" s="100">
        <f t="shared" si="27"/>
        <v>1.172457542</v>
      </c>
    </row>
    <row r="77">
      <c r="A77" s="40" t="str">
        <f t="shared" si="3"/>
        <v>Anfernee Simons</v>
      </c>
      <c r="B77" s="42">
        <f t="shared" si="4"/>
        <v>0.7105089991</v>
      </c>
      <c r="C77" s="43">
        <f t="shared" si="5"/>
        <v>1.643139586</v>
      </c>
      <c r="D77" s="42">
        <f t="shared" si="6"/>
        <v>-1.203807972</v>
      </c>
      <c r="E77" s="42">
        <f t="shared" si="7"/>
        <v>0.439324091</v>
      </c>
      <c r="F77" s="42">
        <f t="shared" si="8"/>
        <v>-1.248594445</v>
      </c>
      <c r="G77" s="42">
        <f t="shared" si="9"/>
        <v>-0.9723047469</v>
      </c>
      <c r="H77" s="42">
        <f t="shared" si="10"/>
        <v>-1.146626706</v>
      </c>
      <c r="I77" s="42">
        <f>UpdateHashtag!S75</f>
        <v>17.2</v>
      </c>
      <c r="J77" s="47">
        <f t="shared" si="11"/>
        <v>1.286541025</v>
      </c>
      <c r="K77" s="48">
        <f>UpdateHashtag!T75</f>
        <v>3.3</v>
      </c>
      <c r="L77" s="42">
        <f t="shared" si="12"/>
        <v>0.5468832679</v>
      </c>
      <c r="N77" s="100">
        <f t="shared" si="13"/>
        <v>69</v>
      </c>
      <c r="O77" s="94">
        <f t="array" ref="O77">INDIRECT("Update"&amp;Projections!$AH$17&amp;"!B"&amp;ROW(B58))</f>
        <v>72.6</v>
      </c>
      <c r="P77" s="101" t="str">
        <f t="array" ref="P77">INDIRECT("Update"&amp;Projections!$AH$17&amp;"!C"&amp;ROW(B58))</f>
        <v>Bradley Beal</v>
      </c>
      <c r="Q77" s="94">
        <f>UpdateBBM!F58</f>
        <v>57</v>
      </c>
      <c r="R77" s="105" t="str">
        <f t="array" ref="R77">INDIRECT("Update"&amp;Projections!$AH$17&amp;"!D"&amp;ROW(B58))</f>
        <v>PG,SG</v>
      </c>
      <c r="S77" s="73">
        <f t="shared" si="14"/>
        <v>0.4981256492</v>
      </c>
      <c r="T77" s="73">
        <f>SUM(AE77:AM77)-IFERROR(IFS(Projections!$I$17,AN77,Projections!$J$17,AO77),"")</f>
        <v>0.4981256492</v>
      </c>
      <c r="U77" s="73">
        <f t="shared" si="15"/>
        <v>0</v>
      </c>
      <c r="V77" s="73">
        <f t="array" ref="V77">INDIRECT("Update"&amp;Projections!$AH$17&amp;"!M"&amp;ROW(B58))</f>
        <v>18.9</v>
      </c>
      <c r="W77" s="73">
        <f t="array" ref="W77">INDIRECT("Update"&amp;Projections!$AH$17&amp;"!L"&amp;ROW(B58))</f>
        <v>1.9</v>
      </c>
      <c r="X77" s="73">
        <f t="array" ref="X77">INDIRECT("Update"&amp;Projections!$AH$17&amp;"!N"&amp;ROW(B58))</f>
        <v>3.8</v>
      </c>
      <c r="Y77" s="73">
        <f t="array" ref="Y77">INDIRECT("Update"&amp;Projections!$AH$17&amp;"!O"&amp;ROW(B58))</f>
        <v>4.2</v>
      </c>
      <c r="Z77" s="73">
        <f t="array" ref="Z77">INDIRECT("Update"&amp;Projections!$AH$17&amp;"!P"&amp;ROW(B58))</f>
        <v>1</v>
      </c>
      <c r="AA77" s="73">
        <f t="array" ref="AA77">INDIRECT("Update"&amp;Projections!$AH$17&amp;"!Q"&amp;ROW(B58))</f>
        <v>0.5</v>
      </c>
      <c r="AB77" s="107">
        <f t="array" ref="AB77">INDIRECT("Update"&amp;Projections!$AH$17&amp;"!I"&amp;ROW(B58))</f>
        <v>0.509</v>
      </c>
      <c r="AC77" s="107">
        <f t="array" ref="AC77">INDIRECT("Update"&amp;Projections!$AH$17&amp;"!K"&amp;ROW(B58))</f>
        <v>0.821</v>
      </c>
      <c r="AD77" s="73">
        <f t="array" ref="AD77">INDIRECT("Update"&amp;Projections!$AH$17&amp;"!R"&amp;ROW(B58))</f>
        <v>2.4</v>
      </c>
      <c r="AE77" s="73">
        <f t="shared" si="16"/>
        <v>0.25888895</v>
      </c>
      <c r="AF77" s="73">
        <f t="shared" si="17"/>
        <v>0.1502751005</v>
      </c>
      <c r="AG77" s="73">
        <f t="shared" si="18"/>
        <v>-0.8899970031</v>
      </c>
      <c r="AH77" s="73">
        <f t="shared" si="19"/>
        <v>0.120391698</v>
      </c>
      <c r="AI77" s="73">
        <f t="shared" si="20"/>
        <v>0.07913626764</v>
      </c>
      <c r="AJ77" s="73">
        <f t="shared" si="21"/>
        <v>-0.4371236408</v>
      </c>
      <c r="AK77" s="73">
        <f t="shared" si="22"/>
        <v>0.2016928196</v>
      </c>
      <c r="AL77" s="73">
        <f t="shared" si="23"/>
        <v>0.2863834848</v>
      </c>
      <c r="AM77" s="73">
        <f t="shared" si="24"/>
        <v>-0.1615190304</v>
      </c>
      <c r="AN77" s="120">
        <f t="shared" si="25"/>
        <v>-0.8899970031</v>
      </c>
      <c r="AO77" s="120">
        <f t="shared" si="26"/>
        <v>-1.327120644</v>
      </c>
      <c r="AP77" s="120">
        <f t="array" ref="AP77">INDIRECT("Update"&amp;Projections!$AH$17&amp;"!S"&amp;ROW(B58))</f>
        <v>14.2</v>
      </c>
      <c r="AQ77" s="120">
        <f t="array" ref="AQ77">INDIRECT("Update"&amp;Projections!$AH$17&amp;"!T"&amp;ROW(B58))</f>
        <v>3.1</v>
      </c>
      <c r="AR77" s="100">
        <f t="shared" si="27"/>
        <v>1.07489411</v>
      </c>
    </row>
    <row r="78">
      <c r="A78" s="40" t="str">
        <f t="shared" si="3"/>
        <v>Dereck Lively II</v>
      </c>
      <c r="B78" s="42">
        <f t="shared" si="4"/>
        <v>-1.330813623</v>
      </c>
      <c r="C78" s="43">
        <f t="shared" si="5"/>
        <v>-1.740686581</v>
      </c>
      <c r="D78" s="42">
        <f t="shared" si="6"/>
        <v>0.718284213</v>
      </c>
      <c r="E78" s="42">
        <f t="shared" si="7"/>
        <v>-1.109776103</v>
      </c>
      <c r="F78" s="42">
        <f t="shared" si="8"/>
        <v>-0.5847290887</v>
      </c>
      <c r="G78" s="42">
        <f t="shared" si="9"/>
        <v>1.525207082</v>
      </c>
      <c r="H78" s="42">
        <f t="shared" si="10"/>
        <v>1.780329153</v>
      </c>
      <c r="I78" s="42">
        <f>UpdateHashtag!S76</f>
        <v>6.3</v>
      </c>
      <c r="J78" s="47">
        <f t="shared" si="11"/>
        <v>-1.472742239</v>
      </c>
      <c r="K78" s="48">
        <f>UpdateHashtag!T76</f>
        <v>1.6</v>
      </c>
      <c r="L78" s="42">
        <f t="shared" si="12"/>
        <v>-0.7426238329</v>
      </c>
      <c r="N78" s="100">
        <f t="shared" si="13"/>
        <v>53</v>
      </c>
      <c r="O78" s="94">
        <f t="array" ref="O78">INDIRECT("Update"&amp;Projections!$AH$17&amp;"!B"&amp;ROW(B59))</f>
        <v>74</v>
      </c>
      <c r="P78" s="101" t="str">
        <f t="array" ref="P78">INDIRECT("Update"&amp;Projections!$AH$17&amp;"!C"&amp;ROW(B59))</f>
        <v>D'Angelo Russell</v>
      </c>
      <c r="Q78" s="94">
        <f>UpdateBBM!F59</f>
        <v>71</v>
      </c>
      <c r="R78" s="105" t="str">
        <f t="array" ref="R78">INDIRECT("Update"&amp;Projections!$AH$17&amp;"!D"&amp;ROW(B59))</f>
        <v>PG</v>
      </c>
      <c r="S78" s="73">
        <f t="shared" si="14"/>
        <v>1.279499276</v>
      </c>
      <c r="T78" s="73">
        <f>SUM(AE78:AM78)-IFERROR(IFS(Projections!$I$17,AN78,Projections!$J$17,AO78),"")</f>
        <v>1.279499276</v>
      </c>
      <c r="U78" s="73">
        <f t="shared" si="15"/>
        <v>0</v>
      </c>
      <c r="V78" s="73">
        <f t="array" ref="V78">INDIRECT("Update"&amp;Projections!$AH$17&amp;"!M"&amp;ROW(B59))</f>
        <v>17.5</v>
      </c>
      <c r="W78" s="73">
        <f t="array" ref="W78">INDIRECT("Update"&amp;Projections!$AH$17&amp;"!L"&amp;ROW(B59))</f>
        <v>2.9</v>
      </c>
      <c r="X78" s="73">
        <f t="array" ref="X78">INDIRECT("Update"&amp;Projections!$AH$17&amp;"!N"&amp;ROW(B59))</f>
        <v>3.1</v>
      </c>
      <c r="Y78" s="73">
        <f t="array" ref="Y78">INDIRECT("Update"&amp;Projections!$AH$17&amp;"!O"&amp;ROW(B59))</f>
        <v>6</v>
      </c>
      <c r="Z78" s="73">
        <f t="array" ref="Z78">INDIRECT("Update"&amp;Projections!$AH$17&amp;"!P"&amp;ROW(B59))</f>
        <v>1</v>
      </c>
      <c r="AA78" s="73">
        <f t="array" ref="AA78">INDIRECT("Update"&amp;Projections!$AH$17&amp;"!Q"&amp;ROW(B59))</f>
        <v>0.5</v>
      </c>
      <c r="AB78" s="107">
        <f t="array" ref="AB78">INDIRECT("Update"&amp;Projections!$AH$17&amp;"!I"&amp;ROW(B59))</f>
        <v>0.457</v>
      </c>
      <c r="AC78" s="107">
        <f t="array" ref="AC78">INDIRECT("Update"&amp;Projections!$AH$17&amp;"!K"&amp;ROW(B59))</f>
        <v>0.829</v>
      </c>
      <c r="AD78" s="73">
        <f t="array" ref="AD78">INDIRECT("Update"&amp;Projections!$AH$17&amp;"!R"&amp;ROW(B59))</f>
        <v>2.4</v>
      </c>
      <c r="AE78" s="73">
        <f t="shared" si="16"/>
        <v>0.005981722504</v>
      </c>
      <c r="AF78" s="73">
        <f t="shared" si="17"/>
        <v>1.145518091</v>
      </c>
      <c r="AG78" s="73">
        <f t="shared" si="18"/>
        <v>-1.164581601</v>
      </c>
      <c r="AH78" s="73">
        <f t="shared" si="19"/>
        <v>0.9405035656</v>
      </c>
      <c r="AI78" s="73">
        <f t="shared" si="20"/>
        <v>0.07913626764</v>
      </c>
      <c r="AJ78" s="73">
        <f t="shared" si="21"/>
        <v>-0.4371236408</v>
      </c>
      <c r="AK78" s="73">
        <f t="shared" si="22"/>
        <v>-0.6309944259</v>
      </c>
      <c r="AL78" s="73">
        <f t="shared" si="23"/>
        <v>0.3379967266</v>
      </c>
      <c r="AM78" s="73">
        <f t="shared" si="24"/>
        <v>-0.1615190304</v>
      </c>
      <c r="AN78" s="120">
        <f t="shared" si="25"/>
        <v>-1.164581601</v>
      </c>
      <c r="AO78" s="120">
        <f t="shared" si="26"/>
        <v>-1.795576027</v>
      </c>
      <c r="AP78" s="120">
        <f t="array" ref="AP78">INDIRECT("Update"&amp;Projections!$AH$17&amp;"!S"&amp;ROW(B59))</f>
        <v>13.5</v>
      </c>
      <c r="AQ78" s="120">
        <f t="array" ref="AQ78">INDIRECT("Update"&amp;Projections!$AH$17&amp;"!T"&amp;ROW(B59))</f>
        <v>2.8</v>
      </c>
      <c r="AR78" s="100">
        <f t="shared" si="27"/>
        <v>0.9586943659</v>
      </c>
    </row>
    <row r="79">
      <c r="A79" s="40" t="str">
        <f t="shared" si="3"/>
        <v>Collin Sexton</v>
      </c>
      <c r="B79" s="42">
        <f t="shared" si="4"/>
        <v>0.4576017716</v>
      </c>
      <c r="C79" s="43">
        <f t="shared" si="5"/>
        <v>-0.04877349754</v>
      </c>
      <c r="D79" s="42">
        <f t="shared" si="6"/>
        <v>-1.243034343</v>
      </c>
      <c r="E79" s="42">
        <f t="shared" si="7"/>
        <v>0.439324091</v>
      </c>
      <c r="F79" s="42">
        <f t="shared" si="8"/>
        <v>-0.5847290887</v>
      </c>
      <c r="G79" s="42">
        <f t="shared" si="9"/>
        <v>-0.9723047469</v>
      </c>
      <c r="H79" s="42">
        <f t="shared" si="10"/>
        <v>-0.164440266</v>
      </c>
      <c r="I79" s="42">
        <f>UpdateHashtag!S77</f>
        <v>14.2</v>
      </c>
      <c r="J79" s="47">
        <f t="shared" si="11"/>
        <v>0.9195820625</v>
      </c>
      <c r="K79" s="48">
        <f>UpdateHashtag!T77</f>
        <v>5.4</v>
      </c>
      <c r="L79" s="42">
        <f t="shared" si="12"/>
        <v>0.6460761218</v>
      </c>
      <c r="N79" s="100">
        <f t="shared" si="13"/>
        <v>77</v>
      </c>
      <c r="O79" s="94">
        <f t="array" ref="O79">INDIRECT("Update"&amp;Projections!$AH$17&amp;"!B"&amp;ROW(B60))</f>
        <v>53.8</v>
      </c>
      <c r="P79" s="101" t="str">
        <f t="array" ref="P79">INDIRECT("Update"&amp;Projections!$AH$17&amp;"!C"&amp;ROW(B60))</f>
        <v>Jalen Duren</v>
      </c>
      <c r="Q79" s="94">
        <f>UpdateBBM!F60</f>
        <v>66</v>
      </c>
      <c r="R79" s="105" t="str">
        <f t="array" ref="R79">INDIRECT("Update"&amp;Projections!$AH$17&amp;"!D"&amp;ROW(B60))</f>
        <v>C</v>
      </c>
      <c r="S79" s="73">
        <f t="shared" si="14"/>
        <v>0.3335410146</v>
      </c>
      <c r="T79" s="73">
        <f>SUM(AE79:AM79)-IFERROR(IFS(Projections!$I$17,AN79,Projections!$J$17,AO79),"")</f>
        <v>0.3335410146</v>
      </c>
      <c r="U79" s="73">
        <f t="shared" si="15"/>
        <v>0</v>
      </c>
      <c r="V79" s="73">
        <f t="array" ref="V79">INDIRECT("Update"&amp;Projections!$AH$17&amp;"!M"&amp;ROW(B60))</f>
        <v>12.8</v>
      </c>
      <c r="W79" s="73">
        <f t="array" ref="W79">INDIRECT("Update"&amp;Projections!$AH$17&amp;"!L"&amp;ROW(B60))</f>
        <v>0</v>
      </c>
      <c r="X79" s="73">
        <f t="array" ref="X79">INDIRECT("Update"&amp;Projections!$AH$17&amp;"!N"&amp;ROW(B60))</f>
        <v>10.9</v>
      </c>
      <c r="Y79" s="73">
        <f t="array" ref="Y79">INDIRECT("Update"&amp;Projections!$AH$17&amp;"!O"&amp;ROW(B60))</f>
        <v>2</v>
      </c>
      <c r="Z79" s="73">
        <f t="array" ref="Z79">INDIRECT("Update"&amp;Projections!$AH$17&amp;"!P"&amp;ROW(B60))</f>
        <v>0.6</v>
      </c>
      <c r="AA79" s="73">
        <f t="array" ref="AA79">INDIRECT("Update"&amp;Projections!$AH$17&amp;"!Q"&amp;ROW(B60))</f>
        <v>0.9</v>
      </c>
      <c r="AB79" s="107">
        <f t="array" ref="AB79">INDIRECT("Update"&amp;Projections!$AH$17&amp;"!I"&amp;ROW(B60))</f>
        <v>0.628</v>
      </c>
      <c r="AC79" s="107">
        <f t="array" ref="AC79">INDIRECT("Update"&amp;Projections!$AH$17&amp;"!K"&amp;ROW(B60))</f>
        <v>0.781</v>
      </c>
      <c r="AD79" s="73">
        <f t="array" ref="AD79">INDIRECT("Update"&amp;Projections!$AH$17&amp;"!R"&amp;ROW(B60))</f>
        <v>1.9</v>
      </c>
      <c r="AE79" s="73">
        <f t="shared" si="16"/>
        <v>-0.8430639698</v>
      </c>
      <c r="AF79" s="73">
        <f t="shared" si="17"/>
        <v>-1.740686581</v>
      </c>
      <c r="AG79" s="73">
        <f t="shared" si="18"/>
        <v>1.895075347</v>
      </c>
      <c r="AH79" s="73">
        <f t="shared" si="19"/>
        <v>-0.8819672513</v>
      </c>
      <c r="AI79" s="73">
        <f t="shared" si="20"/>
        <v>-1.248594445</v>
      </c>
      <c r="AJ79" s="73">
        <f t="shared" si="21"/>
        <v>0.2764511674</v>
      </c>
      <c r="AK79" s="73">
        <f t="shared" si="22"/>
        <v>1.306210542</v>
      </c>
      <c r="AL79" s="73">
        <f t="shared" si="23"/>
        <v>-0.1330424124</v>
      </c>
      <c r="AM79" s="73">
        <f t="shared" si="24"/>
        <v>-0.03752796306</v>
      </c>
      <c r="AN79" s="120">
        <f t="shared" si="25"/>
        <v>-1.740686581</v>
      </c>
      <c r="AO79" s="120">
        <f t="shared" si="26"/>
        <v>-2.989281026</v>
      </c>
      <c r="AP79" s="120">
        <f t="array" ref="AP79">INDIRECT("Update"&amp;Projections!$AH$17&amp;"!S"&amp;ROW(B60))</f>
        <v>8.5</v>
      </c>
      <c r="AQ79" s="120">
        <f t="array" ref="AQ79">INDIRECT("Update"&amp;Projections!$AH$17&amp;"!T"&amp;ROW(B60))</f>
        <v>2.7</v>
      </c>
      <c r="AR79" s="100">
        <f t="shared" si="27"/>
        <v>0.8841082016</v>
      </c>
    </row>
    <row r="80">
      <c r="A80" s="40" t="str">
        <f t="shared" si="3"/>
        <v>Josh Giddey</v>
      </c>
      <c r="B80" s="42">
        <f t="shared" si="4"/>
        <v>-0.246925505</v>
      </c>
      <c r="C80" s="43">
        <f t="shared" si="5"/>
        <v>-0.6459192917</v>
      </c>
      <c r="D80" s="42">
        <f t="shared" si="6"/>
        <v>0.5221523574</v>
      </c>
      <c r="E80" s="42">
        <f t="shared" si="7"/>
        <v>0.986065336</v>
      </c>
      <c r="F80" s="42">
        <f t="shared" si="8"/>
        <v>-0.5847290887</v>
      </c>
      <c r="G80" s="42">
        <f t="shared" si="9"/>
        <v>-0.4371236408</v>
      </c>
      <c r="H80" s="42">
        <f t="shared" si="10"/>
        <v>-0.2954839391</v>
      </c>
      <c r="I80" s="42">
        <f>UpdateHashtag!S78</f>
        <v>14.1</v>
      </c>
      <c r="J80" s="47">
        <f t="shared" si="11"/>
        <v>0.0005792916225</v>
      </c>
      <c r="K80" s="48">
        <f>UpdateHashtag!T78</f>
        <v>1.9</v>
      </c>
      <c r="L80" s="42">
        <f t="shared" si="12"/>
        <v>0.9436546835</v>
      </c>
      <c r="N80" s="100">
        <f t="shared" si="13"/>
        <v>76</v>
      </c>
      <c r="O80" s="94">
        <f t="array" ref="O80">INDIRECT("Update"&amp;Projections!$AH$17&amp;"!B"&amp;ROW(B61))</f>
        <v>78.5</v>
      </c>
      <c r="P80" s="101" t="str">
        <f t="array" ref="P80">INDIRECT("Update"&amp;Projections!$AH$17&amp;"!C"&amp;ROW(B61))</f>
        <v>Jrue Holiday</v>
      </c>
      <c r="Q80" s="94">
        <f>UpdateBBM!F61</f>
        <v>71</v>
      </c>
      <c r="R80" s="105" t="str">
        <f t="array" ref="R80">INDIRECT("Update"&amp;Projections!$AH$17&amp;"!D"&amp;ROW(B61))</f>
        <v>PG,SG</v>
      </c>
      <c r="S80" s="73">
        <f t="shared" si="14"/>
        <v>0.3478403178</v>
      </c>
      <c r="T80" s="73">
        <f>SUM(AE80:AM80)-IFERROR(IFS(Projections!$I$17,AN80,Projections!$J$17,AO80),"")</f>
        <v>0.3478403178</v>
      </c>
      <c r="U80" s="73">
        <f t="shared" si="15"/>
        <v>0</v>
      </c>
      <c r="V80" s="73">
        <f t="array" ref="V80">INDIRECT("Update"&amp;Projections!$AH$17&amp;"!M"&amp;ROW(B61))</f>
        <v>13.5</v>
      </c>
      <c r="W80" s="73">
        <f t="array" ref="W80">INDIRECT("Update"&amp;Projections!$AH$17&amp;"!L"&amp;ROW(B61))</f>
        <v>2.2</v>
      </c>
      <c r="X80" s="73">
        <f t="array" ref="X80">INDIRECT("Update"&amp;Projections!$AH$17&amp;"!N"&amp;ROW(B61))</f>
        <v>5.3</v>
      </c>
      <c r="Y80" s="73">
        <f t="array" ref="Y80">INDIRECT("Update"&amp;Projections!$AH$17&amp;"!O"&amp;ROW(B61))</f>
        <v>5.1</v>
      </c>
      <c r="Z80" s="73">
        <f t="array" ref="Z80">INDIRECT("Update"&amp;Projections!$AH$17&amp;"!P"&amp;ROW(B61))</f>
        <v>1</v>
      </c>
      <c r="AA80" s="73">
        <f t="array" ref="AA80">INDIRECT("Update"&amp;Projections!$AH$17&amp;"!Q"&amp;ROW(B61))</f>
        <v>0.6</v>
      </c>
      <c r="AB80" s="107">
        <f t="array" ref="AB80">INDIRECT("Update"&amp;Projections!$AH$17&amp;"!I"&amp;ROW(B61))</f>
        <v>0.477</v>
      </c>
      <c r="AC80" s="107">
        <f t="array" ref="AC80">INDIRECT("Update"&amp;Projections!$AH$17&amp;"!K"&amp;ROW(B61))</f>
        <v>0.847</v>
      </c>
      <c r="AD80" s="73">
        <f t="array" ref="AD80">INDIRECT("Update"&amp;Projections!$AH$17&amp;"!R"&amp;ROW(B61))</f>
        <v>2.4</v>
      </c>
      <c r="AE80" s="73">
        <f t="shared" si="16"/>
        <v>-0.716610356</v>
      </c>
      <c r="AF80" s="73">
        <f t="shared" si="17"/>
        <v>0.4488479976</v>
      </c>
      <c r="AG80" s="73">
        <f t="shared" si="18"/>
        <v>-0.3016014363</v>
      </c>
      <c r="AH80" s="73">
        <f t="shared" si="19"/>
        <v>0.5304476318</v>
      </c>
      <c r="AI80" s="73">
        <f t="shared" si="20"/>
        <v>0.07913626764</v>
      </c>
      <c r="AJ80" s="73">
        <f t="shared" si="21"/>
        <v>-0.2587299387</v>
      </c>
      <c r="AK80" s="73">
        <f t="shared" si="22"/>
        <v>-0.2469832814</v>
      </c>
      <c r="AL80" s="73">
        <f t="shared" si="23"/>
        <v>0.2582421075</v>
      </c>
      <c r="AM80" s="73">
        <f t="shared" si="24"/>
        <v>-0.1615190304</v>
      </c>
      <c r="AN80" s="120">
        <f t="shared" si="25"/>
        <v>-0.716610356</v>
      </c>
      <c r="AO80" s="120">
        <f t="shared" si="26"/>
        <v>-1.018211792</v>
      </c>
      <c r="AP80" s="120">
        <f t="array" ref="AP80">INDIRECT("Update"&amp;Projections!$AH$17&amp;"!S"&amp;ROW(B61))</f>
        <v>10.6</v>
      </c>
      <c r="AQ80" s="120">
        <f t="array" ref="AQ80">INDIRECT("Update"&amp;Projections!$AH$17&amp;"!T"&amp;ROW(B61))</f>
        <v>1.4</v>
      </c>
      <c r="AR80" s="100">
        <f t="shared" si="27"/>
        <v>0.8803883476</v>
      </c>
    </row>
    <row r="81">
      <c r="A81" s="40" t="str">
        <f t="shared" si="3"/>
        <v>Mark Williams</v>
      </c>
      <c r="B81" s="42">
        <f t="shared" si="4"/>
        <v>-0.8791935737</v>
      </c>
      <c r="C81" s="43">
        <f t="shared" si="5"/>
        <v>-1.740686581</v>
      </c>
      <c r="D81" s="42">
        <f t="shared" si="6"/>
        <v>1.424358893</v>
      </c>
      <c r="E81" s="42">
        <f t="shared" si="7"/>
        <v>-1.428708496</v>
      </c>
      <c r="F81" s="42">
        <f t="shared" si="8"/>
        <v>-0.2527964105</v>
      </c>
      <c r="G81" s="42">
        <f t="shared" si="9"/>
        <v>0.8116322736</v>
      </c>
      <c r="H81" s="42">
        <f t="shared" si="10"/>
        <v>1.351262723</v>
      </c>
      <c r="I81" s="42">
        <f>UpdateHashtag!S79</f>
        <v>8</v>
      </c>
      <c r="J81" s="47">
        <f t="shared" si="11"/>
        <v>-1.030285395</v>
      </c>
      <c r="K81" s="48">
        <f>UpdateHashtag!T79</f>
        <v>3.2</v>
      </c>
      <c r="L81" s="42">
        <f t="shared" si="12"/>
        <v>-0.643430979</v>
      </c>
      <c r="N81" s="100">
        <f t="shared" si="13"/>
        <v>54</v>
      </c>
      <c r="O81" s="94">
        <f t="array" ref="O81">INDIRECT("Update"&amp;Projections!$AH$17&amp;"!B"&amp;ROW(B62))</f>
        <v>46.6</v>
      </c>
      <c r="P81" s="101" t="str">
        <f t="array" ref="P81">INDIRECT("Update"&amp;Projections!$AH$17&amp;"!C"&amp;ROW(B62))</f>
        <v>Zion Williamson</v>
      </c>
      <c r="Q81" s="94">
        <f>UpdateBBM!F62</f>
        <v>58</v>
      </c>
      <c r="R81" s="105" t="str">
        <f t="array" ref="R81">INDIRECT("Update"&amp;Projections!$AH$17&amp;"!D"&amp;ROW(B62))</f>
        <v>PF,C</v>
      </c>
      <c r="S81" s="73">
        <f t="shared" si="14"/>
        <v>1.252861492</v>
      </c>
      <c r="T81" s="73">
        <f>SUM(AE81:AM81)-IFERROR(IFS(Projections!$I$17,AN81,Projections!$J$17,AO81),"")</f>
        <v>1.252861492</v>
      </c>
      <c r="U81" s="73">
        <f t="shared" si="15"/>
        <v>0</v>
      </c>
      <c r="V81" s="73">
        <f t="array" ref="V81">INDIRECT("Update"&amp;Projections!$AH$17&amp;"!M"&amp;ROW(B62))</f>
        <v>22.8</v>
      </c>
      <c r="W81" s="73">
        <f t="array" ref="W81">INDIRECT("Update"&amp;Projections!$AH$17&amp;"!L"&amp;ROW(B62))</f>
        <v>0.1</v>
      </c>
      <c r="X81" s="73">
        <f t="array" ref="X81">INDIRECT("Update"&amp;Projections!$AH$17&amp;"!N"&amp;ROW(B62))</f>
        <v>6.2</v>
      </c>
      <c r="Y81" s="73">
        <f t="array" ref="Y81">INDIRECT("Update"&amp;Projections!$AH$17&amp;"!O"&amp;ROW(B62))</f>
        <v>5</v>
      </c>
      <c r="Z81" s="73">
        <f t="array" ref="Z81">INDIRECT("Update"&amp;Projections!$AH$17&amp;"!P"&amp;ROW(B62))</f>
        <v>1.1</v>
      </c>
      <c r="AA81" s="73">
        <f t="array" ref="AA81">INDIRECT("Update"&amp;Projections!$AH$17&amp;"!Q"&amp;ROW(B62))</f>
        <v>0.7</v>
      </c>
      <c r="AB81" s="107">
        <f t="array" ref="AB81">INDIRECT("Update"&amp;Projections!$AH$17&amp;"!I"&amp;ROW(B62))</f>
        <v>0.573</v>
      </c>
      <c r="AC81" s="107">
        <f t="array" ref="AC81">INDIRECT("Update"&amp;Projections!$AH$17&amp;"!K"&amp;ROW(B62))</f>
        <v>0.714</v>
      </c>
      <c r="AD81" s="73">
        <f t="array" ref="AD81">INDIRECT("Update"&amp;Projections!$AH$17&amp;"!R"&amp;ROW(B62))</f>
        <v>3</v>
      </c>
      <c r="AE81" s="73">
        <f t="shared" si="16"/>
        <v>0.9634162266</v>
      </c>
      <c r="AF81" s="73">
        <f t="shared" si="17"/>
        <v>-1.641162282</v>
      </c>
      <c r="AG81" s="73">
        <f t="shared" si="18"/>
        <v>0.05143590386</v>
      </c>
      <c r="AH81" s="73">
        <f t="shared" si="19"/>
        <v>0.4848858614</v>
      </c>
      <c r="AI81" s="73">
        <f t="shared" si="20"/>
        <v>0.4110689458</v>
      </c>
      <c r="AJ81" s="73">
        <f t="shared" si="21"/>
        <v>-0.08033623669</v>
      </c>
      <c r="AK81" s="73">
        <f t="shared" si="22"/>
        <v>1.373861384</v>
      </c>
      <c r="AL81" s="73">
        <f t="shared" si="23"/>
        <v>-2.034505013</v>
      </c>
      <c r="AM81" s="73">
        <f t="shared" si="24"/>
        <v>-0.3103083113</v>
      </c>
      <c r="AN81" s="120">
        <f t="shared" si="25"/>
        <v>-2.034505013</v>
      </c>
      <c r="AO81" s="120">
        <f t="shared" si="26"/>
        <v>-3.675667295</v>
      </c>
      <c r="AP81" s="120">
        <f t="array" ref="AP81">INDIRECT("Update"&amp;Projections!$AH$17&amp;"!S"&amp;ROW(B62))</f>
        <v>15.4</v>
      </c>
      <c r="AQ81" s="120">
        <f t="array" ref="AQ81">INDIRECT("Update"&amp;Projections!$AH$17&amp;"!T"&amp;ROW(B62))</f>
        <v>7.1</v>
      </c>
      <c r="AR81" s="100">
        <f t="shared" si="27"/>
        <v>0.8348582742</v>
      </c>
    </row>
    <row r="82">
      <c r="A82" s="40" t="str">
        <f t="shared" si="3"/>
        <v>Jalen Suggs</v>
      </c>
      <c r="B82" s="42">
        <f t="shared" si="4"/>
        <v>-0.6262863462</v>
      </c>
      <c r="C82" s="43">
        <f t="shared" si="5"/>
        <v>0.4488479976</v>
      </c>
      <c r="D82" s="42">
        <f t="shared" si="6"/>
        <v>-1.007676117</v>
      </c>
      <c r="E82" s="42">
        <f t="shared" si="7"/>
        <v>-0.1529789245</v>
      </c>
      <c r="F82" s="42">
        <f t="shared" si="8"/>
        <v>2.070732337</v>
      </c>
      <c r="G82" s="42">
        <f t="shared" si="9"/>
        <v>-0.08033623669</v>
      </c>
      <c r="H82" s="42">
        <f t="shared" si="10"/>
        <v>-0.3997982297</v>
      </c>
      <c r="I82" s="42">
        <f>UpdateHashtag!S80</f>
        <v>10.7</v>
      </c>
      <c r="J82" s="47">
        <f t="shared" si="11"/>
        <v>-0.313746219</v>
      </c>
      <c r="K82" s="48">
        <f>UpdateHashtag!T80</f>
        <v>2.4</v>
      </c>
      <c r="L82" s="42">
        <f t="shared" si="12"/>
        <v>0.2493047061</v>
      </c>
      <c r="N82" s="100">
        <f t="shared" si="13"/>
        <v>85</v>
      </c>
      <c r="O82" s="94">
        <f t="array" ref="O82">INDIRECT("Update"&amp;Projections!$AH$17&amp;"!B"&amp;ROW(B63))</f>
        <v>48.3</v>
      </c>
      <c r="P82" s="101" t="str">
        <f t="array" ref="P82">INDIRECT("Update"&amp;Projections!$AH$17&amp;"!C"&amp;ROW(B63))</f>
        <v>Pascal Siakam</v>
      </c>
      <c r="Q82" s="94">
        <f>UpdateBBM!F63</f>
        <v>66</v>
      </c>
      <c r="R82" s="105" t="str">
        <f t="array" ref="R82">INDIRECT("Update"&amp;Projections!$AH$17&amp;"!D"&amp;ROW(B63))</f>
        <v>SF,PF</v>
      </c>
      <c r="S82" s="73">
        <f t="shared" si="14"/>
        <v>0.1573550826</v>
      </c>
      <c r="T82" s="73">
        <f>SUM(AE82:AM82)-IFERROR(IFS(Projections!$I$17,AN82,Projections!$J$17,AO82),"")</f>
        <v>0.1573550826</v>
      </c>
      <c r="U82" s="73">
        <f t="shared" si="15"/>
        <v>0</v>
      </c>
      <c r="V82" s="73">
        <f t="array" ref="V82">INDIRECT("Update"&amp;Projections!$AH$17&amp;"!M"&amp;ROW(B63))</f>
        <v>21.1</v>
      </c>
      <c r="W82" s="73">
        <f t="array" ref="W82">INDIRECT("Update"&amp;Projections!$AH$17&amp;"!L"&amp;ROW(B63))</f>
        <v>1.1</v>
      </c>
      <c r="X82" s="73">
        <f t="array" ref="X82">INDIRECT("Update"&amp;Projections!$AH$17&amp;"!N"&amp;ROW(B63))</f>
        <v>7.5</v>
      </c>
      <c r="Y82" s="73">
        <f t="array" ref="Y82">INDIRECT("Update"&amp;Projections!$AH$17&amp;"!O"&amp;ROW(B63))</f>
        <v>3.9</v>
      </c>
      <c r="Z82" s="73">
        <f t="array" ref="Z82">INDIRECT("Update"&amp;Projections!$AH$17&amp;"!P"&amp;ROW(B63))</f>
        <v>0.8</v>
      </c>
      <c r="AA82" s="73">
        <f t="array" ref="AA82">INDIRECT("Update"&amp;Projections!$AH$17&amp;"!Q"&amp;ROW(B63))</f>
        <v>0.4</v>
      </c>
      <c r="AB82" s="107">
        <f t="array" ref="AB82">INDIRECT("Update"&amp;Projections!$AH$17&amp;"!I"&amp;ROW(B63))</f>
        <v>0.539</v>
      </c>
      <c r="AC82" s="107">
        <f t="array" ref="AC82">INDIRECT("Update"&amp;Projections!$AH$17&amp;"!K"&amp;ROW(B63))</f>
        <v>0.742</v>
      </c>
      <c r="AD82" s="73">
        <f t="array" ref="AD82">INDIRECT("Update"&amp;Projections!$AH$17&amp;"!R"&amp;ROW(B63))</f>
        <v>1.5</v>
      </c>
      <c r="AE82" s="73">
        <f t="shared" si="16"/>
        <v>0.6563145932</v>
      </c>
      <c r="AF82" s="73">
        <f t="shared" si="17"/>
        <v>-0.6459192917</v>
      </c>
      <c r="AG82" s="73">
        <f t="shared" si="18"/>
        <v>0.5613787285</v>
      </c>
      <c r="AH82" s="73">
        <f t="shared" si="19"/>
        <v>-0.01629361326</v>
      </c>
      <c r="AI82" s="73">
        <f t="shared" si="20"/>
        <v>-0.5847290887</v>
      </c>
      <c r="AJ82" s="73">
        <f t="shared" si="21"/>
        <v>-0.6155173428</v>
      </c>
      <c r="AK82" s="73">
        <f t="shared" si="22"/>
        <v>0.7404562066</v>
      </c>
      <c r="AL82" s="73">
        <f t="shared" si="23"/>
        <v>-0.9556904585</v>
      </c>
      <c r="AM82" s="73">
        <f t="shared" si="24"/>
        <v>0.06166489084</v>
      </c>
      <c r="AN82" s="120">
        <f t="shared" si="25"/>
        <v>-0.9556904585</v>
      </c>
      <c r="AO82" s="120">
        <f t="shared" si="26"/>
        <v>-1.60160975</v>
      </c>
      <c r="AP82" s="120">
        <f t="array" ref="AP82">INDIRECT("Update"&amp;Projections!$AH$17&amp;"!S"&amp;ROW(B63))</f>
        <v>15</v>
      </c>
      <c r="AQ82" s="120">
        <f t="array" ref="AQ82">INDIRECT("Update"&amp;Projections!$AH$17&amp;"!T"&amp;ROW(B63))</f>
        <v>5.1</v>
      </c>
      <c r="AR82" s="100">
        <f t="shared" si="27"/>
        <v>0.7860588756</v>
      </c>
    </row>
    <row r="83">
      <c r="A83" s="40" t="str">
        <f t="shared" si="3"/>
        <v>Jabari Smith Jr.</v>
      </c>
      <c r="B83" s="42">
        <f t="shared" si="4"/>
        <v>-0.6262863462</v>
      </c>
      <c r="C83" s="43">
        <f t="shared" si="5"/>
        <v>0.1502751005</v>
      </c>
      <c r="D83" s="42">
        <f t="shared" si="6"/>
        <v>0.9144160686</v>
      </c>
      <c r="E83" s="42">
        <f t="shared" si="7"/>
        <v>-1.109776103</v>
      </c>
      <c r="F83" s="42">
        <f t="shared" si="8"/>
        <v>-0.5847290887</v>
      </c>
      <c r="G83" s="42">
        <f t="shared" si="9"/>
        <v>0.2764511674</v>
      </c>
      <c r="H83" s="42">
        <f t="shared" si="10"/>
        <v>-0.4288498815</v>
      </c>
      <c r="I83" s="42">
        <f>UpdateHashtag!S81</f>
        <v>10.8</v>
      </c>
      <c r="J83" s="47">
        <f t="shared" si="11"/>
        <v>0.2678156638</v>
      </c>
      <c r="K83" s="48">
        <f>UpdateHashtag!T81</f>
        <v>2.6</v>
      </c>
      <c r="L83" s="42">
        <f t="shared" si="12"/>
        <v>-0.4450452712</v>
      </c>
      <c r="N83" s="100">
        <f t="shared" si="13"/>
        <v>64</v>
      </c>
      <c r="O83" s="94">
        <f t="array" ref="O83">INDIRECT("Update"&amp;Projections!$AH$17&amp;"!B"&amp;ROW(B64))</f>
        <v>63</v>
      </c>
      <c r="P83" s="101" t="str">
        <f t="array" ref="P83">INDIRECT("Update"&amp;Projections!$AH$17&amp;"!C"&amp;ROW(B64))</f>
        <v>Zach LaVine</v>
      </c>
      <c r="Q83" s="94">
        <f>UpdateBBM!F64</f>
        <v>62</v>
      </c>
      <c r="R83" s="105" t="str">
        <f t="array" ref="R83">INDIRECT("Update"&amp;Projections!$AH$17&amp;"!D"&amp;ROW(B64))</f>
        <v>SG,SF</v>
      </c>
      <c r="S83" s="73">
        <f t="shared" si="14"/>
        <v>0.6816169649</v>
      </c>
      <c r="T83" s="73">
        <f>SUM(AE83:AM83)-IFERROR(IFS(Projections!$I$17,AN83,Projections!$J$17,AO83),"")</f>
        <v>0.6816169649</v>
      </c>
      <c r="U83" s="73">
        <f t="shared" si="15"/>
        <v>0</v>
      </c>
      <c r="V83" s="73">
        <f t="array" ref="V83">INDIRECT("Update"&amp;Projections!$AH$17&amp;"!M"&amp;ROW(B64))</f>
        <v>21.6</v>
      </c>
      <c r="W83" s="73">
        <f t="array" ref="W83">INDIRECT("Update"&amp;Projections!$AH$17&amp;"!L"&amp;ROW(B64))</f>
        <v>2.5</v>
      </c>
      <c r="X83" s="73">
        <f t="array" ref="X83">INDIRECT("Update"&amp;Projections!$AH$17&amp;"!N"&amp;ROW(B64))</f>
        <v>4.5</v>
      </c>
      <c r="Y83" s="73">
        <f t="array" ref="Y83">INDIRECT("Update"&amp;Projections!$AH$17&amp;"!O"&amp;ROW(B64))</f>
        <v>4</v>
      </c>
      <c r="Z83" s="73">
        <f t="array" ref="Z83">INDIRECT("Update"&amp;Projections!$AH$17&amp;"!P"&amp;ROW(B64))</f>
        <v>0.9</v>
      </c>
      <c r="AA83" s="73">
        <f t="array" ref="AA83">INDIRECT("Update"&amp;Projections!$AH$17&amp;"!Q"&amp;ROW(B64))</f>
        <v>0.3</v>
      </c>
      <c r="AB83" s="107">
        <f t="array" ref="AB83">INDIRECT("Update"&amp;Projections!$AH$17&amp;"!I"&amp;ROW(B64))</f>
        <v>0.459</v>
      </c>
      <c r="AC83" s="107">
        <f t="array" ref="AC83">INDIRECT("Update"&amp;Projections!$AH$17&amp;"!K"&amp;ROW(B64))</f>
        <v>0.845</v>
      </c>
      <c r="AD83" s="73">
        <f t="array" ref="AD83">INDIRECT("Update"&amp;Projections!$AH$17&amp;"!R"&amp;ROW(B64))</f>
        <v>2.3</v>
      </c>
      <c r="AE83" s="73">
        <f t="shared" si="16"/>
        <v>0.746638603</v>
      </c>
      <c r="AF83" s="73">
        <f t="shared" si="17"/>
        <v>0.7474208947</v>
      </c>
      <c r="AG83" s="73">
        <f t="shared" si="18"/>
        <v>-0.6154124053</v>
      </c>
      <c r="AH83" s="73">
        <f t="shared" si="19"/>
        <v>0.02926815716</v>
      </c>
      <c r="AI83" s="73">
        <f t="shared" si="20"/>
        <v>-0.2527964105</v>
      </c>
      <c r="AJ83" s="73">
        <f t="shared" si="21"/>
        <v>-0.7939110449</v>
      </c>
      <c r="AK83" s="73">
        <f t="shared" si="22"/>
        <v>-0.7236601141</v>
      </c>
      <c r="AL83" s="73">
        <f t="shared" si="23"/>
        <v>0.8868790569</v>
      </c>
      <c r="AM83" s="73">
        <f t="shared" si="24"/>
        <v>-0.136720817</v>
      </c>
      <c r="AN83" s="120">
        <f t="shared" si="25"/>
        <v>-0.7939110449</v>
      </c>
      <c r="AO83" s="120">
        <f t="shared" si="26"/>
        <v>-1.517571159</v>
      </c>
      <c r="AP83" s="120">
        <f t="array" ref="AP83">INDIRECT("Update"&amp;Projections!$AH$17&amp;"!S"&amp;ROW(B64))</f>
        <v>16.3</v>
      </c>
      <c r="AQ83" s="120">
        <f t="array" ref="AQ83">INDIRECT("Update"&amp;Projections!$AH$17&amp;"!T"&amp;ROW(B64))</f>
        <v>5</v>
      </c>
      <c r="AR83" s="100">
        <f t="shared" si="27"/>
        <v>0.7104635813</v>
      </c>
    </row>
    <row r="84">
      <c r="A84" s="40" t="str">
        <f t="shared" si="3"/>
        <v>Taylor Hendricks</v>
      </c>
      <c r="B84" s="42">
        <f t="shared" si="4"/>
        <v>-1.095971197</v>
      </c>
      <c r="C84" s="43">
        <f t="shared" si="5"/>
        <v>0.2497993996</v>
      </c>
      <c r="D84" s="42">
        <f t="shared" si="6"/>
        <v>0.3652468729</v>
      </c>
      <c r="E84" s="42">
        <f t="shared" si="7"/>
        <v>-1.246461415</v>
      </c>
      <c r="F84" s="42">
        <f t="shared" si="8"/>
        <v>0.4110689458</v>
      </c>
      <c r="G84" s="42">
        <f t="shared" si="9"/>
        <v>0.6332385715</v>
      </c>
      <c r="H84" s="42">
        <f t="shared" si="10"/>
        <v>-0.2729908354</v>
      </c>
      <c r="I84" s="42">
        <f>UpdateHashtag!S82</f>
        <v>9</v>
      </c>
      <c r="J84" s="47">
        <f t="shared" si="11"/>
        <v>0.01202206015</v>
      </c>
      <c r="K84" s="48">
        <f>UpdateHashtag!T82</f>
        <v>1.1</v>
      </c>
      <c r="L84" s="42">
        <f t="shared" si="12"/>
        <v>-0.7426238329</v>
      </c>
      <c r="N84" s="100">
        <f t="shared" si="13"/>
        <v>51</v>
      </c>
      <c r="O84" s="94">
        <f t="array" ref="O84">INDIRECT("Update"&amp;Projections!$AH$17&amp;"!B"&amp;ROW(B65))</f>
        <v>86.4</v>
      </c>
      <c r="P84" s="101" t="str">
        <f t="array" ref="P84">INDIRECT("Update"&amp;Projections!$AH$17&amp;"!C"&amp;ROW(B65))</f>
        <v>Jordan Poole</v>
      </c>
      <c r="Q84" s="94">
        <f>UpdateBBM!F65</f>
        <v>66</v>
      </c>
      <c r="R84" s="105" t="str">
        <f t="array" ref="R84">INDIRECT("Update"&amp;Projections!$AH$17&amp;"!D"&amp;ROW(B65))</f>
        <v>PG,SG</v>
      </c>
      <c r="S84" s="73">
        <f t="shared" si="14"/>
        <v>1.346744781</v>
      </c>
      <c r="T84" s="73">
        <f>SUM(AE84:AM84)-IFERROR(IFS(Projections!$I$17,AN84,Projections!$J$17,AO84),"")</f>
        <v>1.346744781</v>
      </c>
      <c r="U84" s="73">
        <f t="shared" si="15"/>
        <v>0</v>
      </c>
      <c r="V84" s="73">
        <f t="array" ref="V84">INDIRECT("Update"&amp;Projections!$AH$17&amp;"!M"&amp;ROW(B65))</f>
        <v>20.1</v>
      </c>
      <c r="W84" s="73">
        <f t="array" ref="W84">INDIRECT("Update"&amp;Projections!$AH$17&amp;"!L"&amp;ROW(B65))</f>
        <v>2.6</v>
      </c>
      <c r="X84" s="73">
        <f t="array" ref="X84">INDIRECT("Update"&amp;Projections!$AH$17&amp;"!N"&amp;ROW(B65))</f>
        <v>2.9</v>
      </c>
      <c r="Y84" s="73">
        <f t="array" ref="Y84">INDIRECT("Update"&amp;Projections!$AH$17&amp;"!O"&amp;ROW(B65))</f>
        <v>5.7</v>
      </c>
      <c r="Z84" s="73">
        <f t="array" ref="Z84">INDIRECT("Update"&amp;Projections!$AH$17&amp;"!P"&amp;ROW(B65))</f>
        <v>1.1</v>
      </c>
      <c r="AA84" s="73">
        <f t="array" ref="AA84">INDIRECT("Update"&amp;Projections!$AH$17&amp;"!Q"&amp;ROW(B65))</f>
        <v>0.3</v>
      </c>
      <c r="AB84" s="107">
        <f t="array" ref="AB84">INDIRECT("Update"&amp;Projections!$AH$17&amp;"!I"&amp;ROW(B65))</f>
        <v>0.422</v>
      </c>
      <c r="AC84" s="107">
        <f t="array" ref="AC84">INDIRECT("Update"&amp;Projections!$AH$17&amp;"!K"&amp;ROW(B65))</f>
        <v>0.871</v>
      </c>
      <c r="AD84" s="73">
        <f t="array" ref="AD84">INDIRECT("Update"&amp;Projections!$AH$17&amp;"!R"&amp;ROW(B65))</f>
        <v>2.9</v>
      </c>
      <c r="AE84" s="73">
        <f t="shared" si="16"/>
        <v>0.4756665735</v>
      </c>
      <c r="AF84" s="73">
        <f t="shared" si="17"/>
        <v>0.8469451937</v>
      </c>
      <c r="AG84" s="73">
        <f t="shared" si="18"/>
        <v>-1.243034343</v>
      </c>
      <c r="AH84" s="73">
        <f t="shared" si="19"/>
        <v>0.8038182543</v>
      </c>
      <c r="AI84" s="73">
        <f t="shared" si="20"/>
        <v>0.4110689458</v>
      </c>
      <c r="AJ84" s="73">
        <f t="shared" si="21"/>
        <v>-0.7939110449</v>
      </c>
      <c r="AK84" s="73">
        <f t="shared" si="22"/>
        <v>-1.430493865</v>
      </c>
      <c r="AL84" s="73">
        <f t="shared" si="23"/>
        <v>1.131701299</v>
      </c>
      <c r="AM84" s="73">
        <f t="shared" si="24"/>
        <v>-0.2855100978</v>
      </c>
      <c r="AN84" s="120">
        <f t="shared" si="25"/>
        <v>-1.430493865</v>
      </c>
      <c r="AO84" s="120">
        <f t="shared" si="26"/>
        <v>-2.673528209</v>
      </c>
      <c r="AP84" s="120">
        <f t="array" ref="AP84">INDIRECT("Update"&amp;Projections!$AH$17&amp;"!S"&amp;ROW(B65))</f>
        <v>16.3</v>
      </c>
      <c r="AQ84" s="120">
        <f t="array" ref="AQ84">INDIRECT("Update"&amp;Projections!$AH$17&amp;"!T"&amp;ROW(B65))</f>
        <v>4.2</v>
      </c>
      <c r="AR84" s="100">
        <f t="shared" si="27"/>
        <v>0.6816169649</v>
      </c>
    </row>
    <row r="85">
      <c r="A85" s="40" t="str">
        <f t="shared" si="3"/>
        <v>Bogdan Bogdanovic</v>
      </c>
      <c r="B85" s="42">
        <f t="shared" si="4"/>
        <v>-0.06627748535</v>
      </c>
      <c r="C85" s="43">
        <f t="shared" si="5"/>
        <v>1.344566689</v>
      </c>
      <c r="D85" s="42">
        <f t="shared" si="6"/>
        <v>-1.007676117</v>
      </c>
      <c r="E85" s="42">
        <f t="shared" si="7"/>
        <v>-0.3352260062</v>
      </c>
      <c r="F85" s="42">
        <f t="shared" si="8"/>
        <v>0.4110689458</v>
      </c>
      <c r="G85" s="42">
        <f t="shared" si="9"/>
        <v>-0.6155173428</v>
      </c>
      <c r="H85" s="42">
        <f t="shared" si="10"/>
        <v>-1.00963998</v>
      </c>
      <c r="I85" s="42">
        <f>UpdateHashtag!S83</f>
        <v>13.7</v>
      </c>
      <c r="J85" s="47">
        <f t="shared" si="11"/>
        <v>0.7663559104</v>
      </c>
      <c r="K85" s="48">
        <f>UpdateHashtag!T83</f>
        <v>2.3</v>
      </c>
      <c r="L85" s="42">
        <f t="shared" si="12"/>
        <v>-0.3458524173</v>
      </c>
      <c r="N85" s="100">
        <f t="shared" si="13"/>
        <v>52</v>
      </c>
      <c r="O85" s="94">
        <f t="array" ref="O85">INDIRECT("Update"&amp;Projections!$AH$17&amp;"!B"&amp;ROW(B66))</f>
        <v>63.9</v>
      </c>
      <c r="P85" s="101" t="str">
        <f t="array" ref="P85">INDIRECT("Update"&amp;Projections!$AH$17&amp;"!C"&amp;ROW(B66))</f>
        <v>Nicolas Claxton</v>
      </c>
      <c r="Q85" s="94">
        <f>UpdateBBM!F66</f>
        <v>66</v>
      </c>
      <c r="R85" s="105" t="str">
        <f t="array" ref="R85">INDIRECT("Update"&amp;Projections!$AH$17&amp;"!D"&amp;ROW(B66))</f>
        <v>C</v>
      </c>
      <c r="S85" s="73">
        <f t="shared" si="14"/>
        <v>1.331344632</v>
      </c>
      <c r="T85" s="73">
        <f>SUM(AE85:AM85)-IFERROR(IFS(Projections!$I$17,AN85,Projections!$J$17,AO85),"")</f>
        <v>1.331344632</v>
      </c>
      <c r="U85" s="73">
        <f t="shared" si="15"/>
        <v>0</v>
      </c>
      <c r="V85" s="73">
        <f t="array" ref="V85">INDIRECT("Update"&amp;Projections!$AH$17&amp;"!M"&amp;ROW(B66))</f>
        <v>12.5</v>
      </c>
      <c r="W85" s="73">
        <f t="array" ref="W85">INDIRECT("Update"&amp;Projections!$AH$17&amp;"!L"&amp;ROW(B66))</f>
        <v>0</v>
      </c>
      <c r="X85" s="73">
        <f t="array" ref="X85">INDIRECT("Update"&amp;Projections!$AH$17&amp;"!N"&amp;ROW(B66))</f>
        <v>9.8</v>
      </c>
      <c r="Y85" s="73">
        <f t="array" ref="Y85">INDIRECT("Update"&amp;Projections!$AH$17&amp;"!O"&amp;ROW(B66))</f>
        <v>2</v>
      </c>
      <c r="Z85" s="73">
        <f t="array" ref="Z85">INDIRECT("Update"&amp;Projections!$AH$17&amp;"!P"&amp;ROW(B66))</f>
        <v>0.8</v>
      </c>
      <c r="AA85" s="73">
        <f t="array" ref="AA85">INDIRECT("Update"&amp;Projections!$AH$17&amp;"!Q"&amp;ROW(B66))</f>
        <v>2.2</v>
      </c>
      <c r="AB85" s="107">
        <f t="array" ref="AB85">INDIRECT("Update"&amp;Projections!$AH$17&amp;"!I"&amp;ROW(B66))</f>
        <v>0.621</v>
      </c>
      <c r="AC85" s="107">
        <f t="array" ref="AC85">INDIRECT("Update"&amp;Projections!$AH$17&amp;"!K"&amp;ROW(B66))</f>
        <v>0.555</v>
      </c>
      <c r="AD85" s="73">
        <f t="array" ref="AD85">INDIRECT("Update"&amp;Projections!$AH$17&amp;"!R"&amp;ROW(B66))</f>
        <v>1.3</v>
      </c>
      <c r="AE85" s="73">
        <f t="shared" si="16"/>
        <v>-0.8972583757</v>
      </c>
      <c r="AF85" s="73">
        <f t="shared" si="17"/>
        <v>-1.740686581</v>
      </c>
      <c r="AG85" s="73">
        <f t="shared" si="18"/>
        <v>1.463585264</v>
      </c>
      <c r="AH85" s="73">
        <f t="shared" si="19"/>
        <v>-0.8819672513</v>
      </c>
      <c r="AI85" s="73">
        <f t="shared" si="20"/>
        <v>-0.5847290887</v>
      </c>
      <c r="AJ85" s="73">
        <f t="shared" si="21"/>
        <v>2.595569294</v>
      </c>
      <c r="AK85" s="73">
        <f t="shared" si="22"/>
        <v>1.265570052</v>
      </c>
      <c r="AL85" s="73">
        <f t="shared" si="23"/>
        <v>-2.548906592</v>
      </c>
      <c r="AM85" s="73">
        <f t="shared" si="24"/>
        <v>0.1112613178</v>
      </c>
      <c r="AN85" s="120">
        <f t="shared" si="25"/>
        <v>-2.548906592</v>
      </c>
      <c r="AO85" s="120">
        <f t="shared" si="26"/>
        <v>-4.289593173</v>
      </c>
      <c r="AP85" s="120">
        <f t="array" ref="AP85">INDIRECT("Update"&amp;Projections!$AH$17&amp;"!S"&amp;ROW(B66))</f>
        <v>8.7</v>
      </c>
      <c r="AQ85" s="120">
        <f t="array" ref="AQ85">INDIRECT("Update"&amp;Projections!$AH$17&amp;"!T"&amp;ROW(B66))</f>
        <v>3</v>
      </c>
      <c r="AR85" s="100">
        <f t="shared" si="27"/>
        <v>0.6200534587</v>
      </c>
    </row>
    <row r="86">
      <c r="A86" s="40" t="str">
        <f t="shared" si="3"/>
        <v>Paolo Banchero</v>
      </c>
      <c r="B86" s="42">
        <f t="shared" si="4"/>
        <v>1.017610632</v>
      </c>
      <c r="C86" s="43">
        <f t="shared" si="5"/>
        <v>-0.1482977966</v>
      </c>
      <c r="D86" s="42">
        <f t="shared" si="6"/>
        <v>0.5221523574</v>
      </c>
      <c r="E86" s="42">
        <f t="shared" si="7"/>
        <v>0.8038182543</v>
      </c>
      <c r="F86" s="42">
        <f t="shared" si="8"/>
        <v>0.07913626764</v>
      </c>
      <c r="G86" s="42">
        <f t="shared" si="9"/>
        <v>-0.08033623669</v>
      </c>
      <c r="H86" s="42">
        <f t="shared" si="10"/>
        <v>-0.711317625</v>
      </c>
      <c r="I86" s="42">
        <f>UpdateHashtag!S84</f>
        <v>17.4</v>
      </c>
      <c r="J86" s="47">
        <f t="shared" si="11"/>
        <v>-1.674959576</v>
      </c>
      <c r="K86" s="48">
        <f>UpdateHashtag!T84</f>
        <v>7.4</v>
      </c>
      <c r="L86" s="42">
        <f t="shared" si="12"/>
        <v>1.241233245</v>
      </c>
      <c r="N86" s="100">
        <f t="shared" si="13"/>
        <v>73</v>
      </c>
      <c r="O86" s="94">
        <f t="array" ref="O86">INDIRECT("Update"&amp;Projections!$AH$17&amp;"!B"&amp;ROW(B67))</f>
        <v>58.2</v>
      </c>
      <c r="P86" s="101" t="str">
        <f t="array" ref="P86">INDIRECT("Update"&amp;Projections!$AH$17&amp;"!C"&amp;ROW(B67))</f>
        <v>Miles Bridges</v>
      </c>
      <c r="Q86" s="94">
        <f>UpdateBBM!F67</f>
        <v>75</v>
      </c>
      <c r="R86" s="105" t="str">
        <f t="array" ref="R86">INDIRECT("Update"&amp;Projections!$AH$17&amp;"!D"&amp;ROW(B67))</f>
        <v>SF,PF</v>
      </c>
      <c r="S86" s="73">
        <f t="shared" si="14"/>
        <v>0.4323841176</v>
      </c>
      <c r="T86" s="73">
        <f>SUM(AE86:AM86)-IFERROR(IFS(Projections!$I$17,AN86,Projections!$J$17,AO86),"")</f>
        <v>0.4323841176</v>
      </c>
      <c r="U86" s="73">
        <f t="shared" si="15"/>
        <v>0</v>
      </c>
      <c r="V86" s="73">
        <f t="array" ref="V86">INDIRECT("Update"&amp;Projections!$AH$17&amp;"!M"&amp;ROW(B67))</f>
        <v>19.8</v>
      </c>
      <c r="W86" s="73">
        <f t="array" ref="W86">INDIRECT("Update"&amp;Projections!$AH$17&amp;"!L"&amp;ROW(B67))</f>
        <v>2.2</v>
      </c>
      <c r="X86" s="73">
        <f t="array" ref="X86">INDIRECT("Update"&amp;Projections!$AH$17&amp;"!N"&amp;ROW(B67))</f>
        <v>6.9</v>
      </c>
      <c r="Y86" s="73">
        <f t="array" ref="Y86">INDIRECT("Update"&amp;Projections!$AH$17&amp;"!O"&amp;ROW(B67))</f>
        <v>3.2</v>
      </c>
      <c r="Z86" s="73">
        <f t="array" ref="Z86">INDIRECT("Update"&amp;Projections!$AH$17&amp;"!P"&amp;ROW(B67))</f>
        <v>0.9</v>
      </c>
      <c r="AA86" s="73">
        <f t="array" ref="AA86">INDIRECT("Update"&amp;Projections!$AH$17&amp;"!Q"&amp;ROW(B67))</f>
        <v>0.5</v>
      </c>
      <c r="AB86" s="107">
        <f t="array" ref="AB86">INDIRECT("Update"&amp;Projections!$AH$17&amp;"!I"&amp;ROW(B67))</f>
        <v>0.462</v>
      </c>
      <c r="AC86" s="107">
        <f t="array" ref="AC86">INDIRECT("Update"&amp;Projections!$AH$17&amp;"!K"&amp;ROW(B67))</f>
        <v>0.824</v>
      </c>
      <c r="AD86" s="73">
        <f t="array" ref="AD86">INDIRECT("Update"&amp;Projections!$AH$17&amp;"!R"&amp;ROW(B67))</f>
        <v>1.9</v>
      </c>
      <c r="AE86" s="73">
        <f t="shared" si="16"/>
        <v>0.4214721677</v>
      </c>
      <c r="AF86" s="73">
        <f t="shared" si="17"/>
        <v>0.4488479976</v>
      </c>
      <c r="AG86" s="73">
        <f t="shared" si="18"/>
        <v>0.3260205017</v>
      </c>
      <c r="AH86" s="73">
        <f t="shared" si="19"/>
        <v>-0.3352260062</v>
      </c>
      <c r="AI86" s="73">
        <f t="shared" si="20"/>
        <v>-0.2527964105</v>
      </c>
      <c r="AJ86" s="73">
        <f t="shared" si="21"/>
        <v>-0.4371236408</v>
      </c>
      <c r="AK86" s="73">
        <f t="shared" si="22"/>
        <v>-0.6786133664</v>
      </c>
      <c r="AL86" s="73">
        <f t="shared" si="23"/>
        <v>0.2987174712</v>
      </c>
      <c r="AM86" s="73">
        <f t="shared" si="24"/>
        <v>-0.03752796306</v>
      </c>
      <c r="AN86" s="120">
        <f t="shared" si="25"/>
        <v>-0.6786133664</v>
      </c>
      <c r="AO86" s="120">
        <f t="shared" si="26"/>
        <v>-1.115737007</v>
      </c>
      <c r="AP86" s="120">
        <f t="array" ref="AP86">INDIRECT("Update"&amp;Projections!$AH$17&amp;"!S"&amp;ROW(B67))</f>
        <v>16.6</v>
      </c>
      <c r="AQ86" s="120">
        <f t="array" ref="AQ86">INDIRECT("Update"&amp;Projections!$AH$17&amp;"!T"&amp;ROW(B67))</f>
        <v>2.9</v>
      </c>
      <c r="AR86" s="100">
        <f t="shared" si="27"/>
        <v>0.5837576985</v>
      </c>
    </row>
    <row r="87">
      <c r="A87" s="40" t="str">
        <f t="shared" si="3"/>
        <v>Austin Reaves</v>
      </c>
      <c r="B87" s="42">
        <f t="shared" si="4"/>
        <v>-0.3191847128</v>
      </c>
      <c r="C87" s="43">
        <f t="shared" si="5"/>
        <v>0.2497993996</v>
      </c>
      <c r="D87" s="42">
        <f t="shared" si="6"/>
        <v>-0.8115442609</v>
      </c>
      <c r="E87" s="42">
        <f t="shared" si="7"/>
        <v>0.5304476318</v>
      </c>
      <c r="F87" s="42">
        <f t="shared" si="8"/>
        <v>-0.5847290887</v>
      </c>
      <c r="G87" s="42">
        <f t="shared" si="9"/>
        <v>-0.7939110449</v>
      </c>
      <c r="H87" s="42">
        <f t="shared" si="10"/>
        <v>-0.1883552939</v>
      </c>
      <c r="I87" s="42">
        <f>UpdateHashtag!S85</f>
        <v>10.8</v>
      </c>
      <c r="J87" s="47">
        <f t="shared" si="11"/>
        <v>0.8851271102</v>
      </c>
      <c r="K87" s="48">
        <f>UpdateHashtag!T85</f>
        <v>3.9</v>
      </c>
      <c r="L87" s="42">
        <f t="shared" si="12"/>
        <v>0.2493047061</v>
      </c>
      <c r="N87" s="100">
        <f t="shared" si="13"/>
        <v>63</v>
      </c>
      <c r="O87" s="94">
        <f t="array" ref="O87">INDIRECT("Update"&amp;Projections!$AH$17&amp;"!B"&amp;ROW(B68))</f>
        <v>78</v>
      </c>
      <c r="P87" s="101" t="str">
        <f t="array" ref="P87">INDIRECT("Update"&amp;Projections!$AH$17&amp;"!C"&amp;ROW(B68))</f>
        <v>Tyler Herro</v>
      </c>
      <c r="Q87" s="94">
        <f>UpdateBBM!F68</f>
        <v>66</v>
      </c>
      <c r="R87" s="105" t="str">
        <f t="array" ref="R87">INDIRECT("Update"&amp;Projections!$AH$17&amp;"!D"&amp;ROW(B68))</f>
        <v>PG,SG</v>
      </c>
      <c r="S87" s="73">
        <f t="shared" si="14"/>
        <v>0.7104635813</v>
      </c>
      <c r="T87" s="73">
        <f>SUM(AE87:AM87)-IFERROR(IFS(Projections!$I$17,AN87,Projections!$J$17,AO87),"")</f>
        <v>0.7104635813</v>
      </c>
      <c r="U87" s="73">
        <f t="shared" si="15"/>
        <v>0</v>
      </c>
      <c r="V87" s="73">
        <f t="array" ref="V87">INDIRECT("Update"&amp;Projections!$AH$17&amp;"!M"&amp;ROW(B68))</f>
        <v>20.2</v>
      </c>
      <c r="W87" s="73">
        <f t="array" ref="W87">INDIRECT("Update"&amp;Projections!$AH$17&amp;"!L"&amp;ROW(B68))</f>
        <v>3.1</v>
      </c>
      <c r="X87" s="73">
        <f t="array" ref="X87">INDIRECT("Update"&amp;Projections!$AH$17&amp;"!N"&amp;ROW(B68))</f>
        <v>5.3</v>
      </c>
      <c r="Y87" s="73">
        <f t="array" ref="Y87">INDIRECT("Update"&amp;Projections!$AH$17&amp;"!O"&amp;ROW(B68))</f>
        <v>4.3</v>
      </c>
      <c r="Z87" s="73">
        <f t="array" ref="Z87">INDIRECT("Update"&amp;Projections!$AH$17&amp;"!P"&amp;ROW(B68))</f>
        <v>0.7</v>
      </c>
      <c r="AA87" s="73">
        <f t="array" ref="AA87">INDIRECT("Update"&amp;Projections!$AH$17&amp;"!Q"&amp;ROW(B68))</f>
        <v>0.2</v>
      </c>
      <c r="AB87" s="107">
        <f t="array" ref="AB87">INDIRECT("Update"&amp;Projections!$AH$17&amp;"!I"&amp;ROW(B68))</f>
        <v>0.44</v>
      </c>
      <c r="AC87" s="107">
        <f t="array" ref="AC87">INDIRECT("Update"&amp;Projections!$AH$17&amp;"!K"&amp;ROW(B68))</f>
        <v>0.903</v>
      </c>
      <c r="AD87" s="73">
        <f t="array" ref="AD87">INDIRECT("Update"&amp;Projections!$AH$17&amp;"!R"&amp;ROW(B68))</f>
        <v>2.3</v>
      </c>
      <c r="AE87" s="73">
        <f t="shared" si="16"/>
        <v>0.4937313755</v>
      </c>
      <c r="AF87" s="73">
        <f t="shared" si="17"/>
        <v>1.344566689</v>
      </c>
      <c r="AG87" s="73">
        <f t="shared" si="18"/>
        <v>-0.3016014363</v>
      </c>
      <c r="AH87" s="73">
        <f t="shared" si="19"/>
        <v>0.1659534684</v>
      </c>
      <c r="AI87" s="73">
        <f t="shared" si="20"/>
        <v>-0.9166617668</v>
      </c>
      <c r="AJ87" s="73">
        <f t="shared" si="21"/>
        <v>-0.9723047469</v>
      </c>
      <c r="AK87" s="73">
        <f t="shared" si="22"/>
        <v>-1.119960969</v>
      </c>
      <c r="AL87" s="73">
        <f t="shared" si="23"/>
        <v>1.033500815</v>
      </c>
      <c r="AM87" s="73">
        <f t="shared" si="24"/>
        <v>-0.136720817</v>
      </c>
      <c r="AN87" s="120">
        <f t="shared" si="25"/>
        <v>-1.119960969</v>
      </c>
      <c r="AO87" s="120">
        <f t="shared" si="26"/>
        <v>-2.092265716</v>
      </c>
      <c r="AP87" s="120">
        <f t="array" ref="AP87">INDIRECT("Update"&amp;Projections!$AH$17&amp;"!S"&amp;ROW(B68))</f>
        <v>16.8</v>
      </c>
      <c r="AQ87" s="120">
        <f t="array" ref="AQ87">INDIRECT("Update"&amp;Projections!$AH$17&amp;"!T"&amp;ROW(B68))</f>
        <v>2.7</v>
      </c>
      <c r="AR87" s="100">
        <f t="shared" si="27"/>
        <v>0.5326645776</v>
      </c>
    </row>
    <row r="88">
      <c r="A88" s="40" t="str">
        <f t="shared" si="3"/>
        <v>Keegan Murray</v>
      </c>
      <c r="B88" s="42">
        <f t="shared" si="4"/>
        <v>-0.5178975344</v>
      </c>
      <c r="C88" s="43">
        <f t="shared" si="5"/>
        <v>0.9464694928</v>
      </c>
      <c r="D88" s="42">
        <f t="shared" si="6"/>
        <v>-0.2623750651</v>
      </c>
      <c r="E88" s="42">
        <f t="shared" si="7"/>
        <v>-1.064214333</v>
      </c>
      <c r="F88" s="42">
        <f t="shared" si="8"/>
        <v>0.07913626764</v>
      </c>
      <c r="G88" s="42">
        <f t="shared" si="9"/>
        <v>0.09805746537</v>
      </c>
      <c r="H88" s="42">
        <f t="shared" si="10"/>
        <v>-0.603075967</v>
      </c>
      <c r="I88" s="42">
        <f>UpdateHashtag!S86</f>
        <v>12</v>
      </c>
      <c r="J88" s="47">
        <f t="shared" si="11"/>
        <v>0.1891539593</v>
      </c>
      <c r="K88" s="48">
        <f>UpdateHashtag!T86</f>
        <v>1.3</v>
      </c>
      <c r="L88" s="42">
        <f t="shared" si="12"/>
        <v>-0.9410095407</v>
      </c>
      <c r="N88" s="100">
        <f t="shared" si="13"/>
        <v>67</v>
      </c>
      <c r="O88" s="94">
        <f t="array" ref="O88">INDIRECT("Update"&amp;Projections!$AH$17&amp;"!B"&amp;ROW(B69))</f>
        <v>96.7</v>
      </c>
      <c r="P88" s="101" t="str">
        <f t="array" ref="P88">INDIRECT("Update"&amp;Projections!$AH$17&amp;"!C"&amp;ROW(B69))</f>
        <v>Trey Murphy III</v>
      </c>
      <c r="Q88" s="94">
        <f>UpdateBBM!F69</f>
        <v>75</v>
      </c>
      <c r="R88" s="105" t="str">
        <f t="array" ref="R88">INDIRECT("Update"&amp;Projections!$AH$17&amp;"!D"&amp;ROW(B69))</f>
        <v>SF,PF</v>
      </c>
      <c r="S88" s="73">
        <f t="shared" si="14"/>
        <v>0.5326645776</v>
      </c>
      <c r="T88" s="73">
        <f>SUM(AE88:AM88)-IFERROR(IFS(Projections!$I$17,AN88,Projections!$J$17,AO88),"")</f>
        <v>0.5326645776</v>
      </c>
      <c r="U88" s="73">
        <f t="shared" si="15"/>
        <v>0</v>
      </c>
      <c r="V88" s="73">
        <f t="array" ref="V88">INDIRECT("Update"&amp;Projections!$AH$17&amp;"!M"&amp;ROW(B69))</f>
        <v>15.1</v>
      </c>
      <c r="W88" s="73">
        <f t="array" ref="W88">INDIRECT("Update"&amp;Projections!$AH$17&amp;"!L"&amp;ROW(B69))</f>
        <v>2.9</v>
      </c>
      <c r="X88" s="73">
        <f t="array" ref="X88">INDIRECT("Update"&amp;Projections!$AH$17&amp;"!N"&amp;ROW(B69))</f>
        <v>4.3</v>
      </c>
      <c r="Y88" s="73">
        <f t="array" ref="Y88">INDIRECT("Update"&amp;Projections!$AH$17&amp;"!O"&amp;ROW(B69))</f>
        <v>1.8</v>
      </c>
      <c r="Z88" s="73">
        <f t="array" ref="Z88">INDIRECT("Update"&amp;Projections!$AH$17&amp;"!P"&amp;ROW(B69))</f>
        <v>1.1</v>
      </c>
      <c r="AA88" s="73">
        <f t="array" ref="AA88">INDIRECT("Update"&amp;Projections!$AH$17&amp;"!Q"&amp;ROW(B69))</f>
        <v>0.6</v>
      </c>
      <c r="AB88" s="107">
        <f t="array" ref="AB88">INDIRECT("Update"&amp;Projections!$AH$17&amp;"!I"&amp;ROW(B69))</f>
        <v>0.455</v>
      </c>
      <c r="AC88" s="107">
        <f t="array" ref="AC88">INDIRECT("Update"&amp;Projections!$AH$17&amp;"!K"&amp;ROW(B69))</f>
        <v>0.864</v>
      </c>
      <c r="AD88" s="73">
        <f t="array" ref="AD88">INDIRECT("Update"&amp;Projections!$AH$17&amp;"!R"&amp;ROW(B69))</f>
        <v>0.7</v>
      </c>
      <c r="AE88" s="73">
        <f t="shared" si="16"/>
        <v>-0.4275735246</v>
      </c>
      <c r="AF88" s="73">
        <f t="shared" si="17"/>
        <v>1.145518091</v>
      </c>
      <c r="AG88" s="73">
        <f t="shared" si="18"/>
        <v>-0.6938651475</v>
      </c>
      <c r="AH88" s="73">
        <f t="shared" si="19"/>
        <v>-0.9730907921</v>
      </c>
      <c r="AI88" s="73">
        <f t="shared" si="20"/>
        <v>0.4110689458</v>
      </c>
      <c r="AJ88" s="73">
        <f t="shared" si="21"/>
        <v>-0.2587299387</v>
      </c>
      <c r="AK88" s="73">
        <f t="shared" si="22"/>
        <v>-0.5399276264</v>
      </c>
      <c r="AL88" s="73">
        <f t="shared" si="23"/>
        <v>0.6361231796</v>
      </c>
      <c r="AM88" s="73">
        <f t="shared" si="24"/>
        <v>0.2600505987</v>
      </c>
      <c r="AN88" s="120">
        <f t="shared" si="25"/>
        <v>-0.9730907921</v>
      </c>
      <c r="AO88" s="120">
        <f t="shared" si="26"/>
        <v>-1.66695594</v>
      </c>
      <c r="AP88" s="120">
        <f t="array" ref="AP88">INDIRECT("Update"&amp;Projections!$AH$17&amp;"!S"&amp;ROW(B69))</f>
        <v>11</v>
      </c>
      <c r="AQ88" s="120">
        <f t="array" ref="AQ88">INDIRECT("Update"&amp;Projections!$AH$17&amp;"!T"&amp;ROW(B69))</f>
        <v>2.6</v>
      </c>
      <c r="AR88" s="100">
        <f t="shared" si="27"/>
        <v>0.5054739451</v>
      </c>
    </row>
    <row r="89">
      <c r="A89" s="40" t="str">
        <f t="shared" si="3"/>
        <v>Onyeka Okongwu</v>
      </c>
      <c r="B89" s="42">
        <f t="shared" si="4"/>
        <v>-1.240489613</v>
      </c>
      <c r="C89" s="43">
        <f t="shared" si="5"/>
        <v>-1.243065086</v>
      </c>
      <c r="D89" s="42">
        <f t="shared" si="6"/>
        <v>0.6006050996</v>
      </c>
      <c r="E89" s="42">
        <f t="shared" si="7"/>
        <v>-1.200899644</v>
      </c>
      <c r="F89" s="42">
        <f t="shared" si="8"/>
        <v>-0.9166617668</v>
      </c>
      <c r="G89" s="42">
        <f t="shared" si="9"/>
        <v>0.9900259756</v>
      </c>
      <c r="H89" s="42">
        <f t="shared" si="10"/>
        <v>0.9291468015</v>
      </c>
      <c r="I89" s="42">
        <f>UpdateHashtag!S87</f>
        <v>6.6</v>
      </c>
      <c r="J89" s="47">
        <f t="shared" si="11"/>
        <v>-0.09128416409</v>
      </c>
      <c r="K89" s="48">
        <f>UpdateHashtag!T87</f>
        <v>2.6</v>
      </c>
      <c r="L89" s="42">
        <f t="shared" si="12"/>
        <v>-0.643430979</v>
      </c>
      <c r="N89" s="100">
        <f t="shared" si="13"/>
        <v>74</v>
      </c>
      <c r="O89" s="94">
        <f t="array" ref="O89">INDIRECT("Update"&amp;Projections!$AH$17&amp;"!B"&amp;ROW(B70))</f>
        <v>76.4</v>
      </c>
      <c r="P89" s="101" t="str">
        <f t="array" ref="P89">INDIRECT("Update"&amp;Projections!$AH$17&amp;"!C"&amp;ROW(B70))</f>
        <v>Isaiah Hartenstein</v>
      </c>
      <c r="Q89" s="94">
        <f>UpdateBBM!F70</f>
        <v>71</v>
      </c>
      <c r="R89" s="105" t="str">
        <f t="array" ref="R89">INDIRECT("Update"&amp;Projections!$AH$17&amp;"!D"&amp;ROW(B70))</f>
        <v>C</v>
      </c>
      <c r="S89" s="73">
        <f t="shared" si="14"/>
        <v>0.4199092295</v>
      </c>
      <c r="T89" s="73">
        <f>SUM(AE89:AM89)-IFERROR(IFS(Projections!$I$17,AN89,Projections!$J$17,AO89),"")</f>
        <v>0.4199092295</v>
      </c>
      <c r="U89" s="73">
        <f t="shared" si="15"/>
        <v>0</v>
      </c>
      <c r="V89" s="73">
        <f t="array" ref="V89">INDIRECT("Update"&amp;Projections!$AH$17&amp;"!M"&amp;ROW(B70))</f>
        <v>8.7</v>
      </c>
      <c r="W89" s="73">
        <f t="array" ref="W89">INDIRECT("Update"&amp;Projections!$AH$17&amp;"!L"&amp;ROW(B70))</f>
        <v>0.1</v>
      </c>
      <c r="X89" s="73">
        <f t="array" ref="X89">INDIRECT("Update"&amp;Projections!$AH$17&amp;"!N"&amp;ROW(B70))</f>
        <v>9</v>
      </c>
      <c r="Y89" s="73">
        <f t="array" ref="Y89">INDIRECT("Update"&amp;Projections!$AH$17&amp;"!O"&amp;ROW(B70))</f>
        <v>2.4</v>
      </c>
      <c r="Z89" s="73">
        <f t="array" ref="Z89">INDIRECT("Update"&amp;Projections!$AH$17&amp;"!P"&amp;ROW(B70))</f>
        <v>1.1</v>
      </c>
      <c r="AA89" s="73">
        <f t="array" ref="AA89">INDIRECT("Update"&amp;Projections!$AH$17&amp;"!Q"&amp;ROW(B70))</f>
        <v>1.2</v>
      </c>
      <c r="AB89" s="107">
        <f t="array" ref="AB89">INDIRECT("Update"&amp;Projections!$AH$17&amp;"!I"&amp;ROW(B70))</f>
        <v>0.621</v>
      </c>
      <c r="AC89" s="107">
        <f t="array" ref="AC89">INDIRECT("Update"&amp;Projections!$AH$17&amp;"!K"&amp;ROW(B70))</f>
        <v>0.7</v>
      </c>
      <c r="AD89" s="73">
        <f t="array" ref="AD89">INDIRECT("Update"&amp;Projections!$AH$17&amp;"!R"&amp;ROW(B70))</f>
        <v>1.3</v>
      </c>
      <c r="AE89" s="73">
        <f t="shared" si="16"/>
        <v>-1.58372085</v>
      </c>
      <c r="AF89" s="73">
        <f t="shared" si="17"/>
        <v>-1.641162282</v>
      </c>
      <c r="AG89" s="73">
        <f t="shared" si="18"/>
        <v>1.149774295</v>
      </c>
      <c r="AH89" s="73">
        <f t="shared" si="19"/>
        <v>-0.6997201696</v>
      </c>
      <c r="AI89" s="73">
        <f t="shared" si="20"/>
        <v>0.4110689458</v>
      </c>
      <c r="AJ89" s="73">
        <f t="shared" si="21"/>
        <v>0.8116322736</v>
      </c>
      <c r="AK89" s="73">
        <f t="shared" si="22"/>
        <v>0.8582601502</v>
      </c>
      <c r="AL89" s="73">
        <f t="shared" si="23"/>
        <v>-0.6386467334</v>
      </c>
      <c r="AM89" s="73">
        <f t="shared" si="24"/>
        <v>0.1112613178</v>
      </c>
      <c r="AN89" s="120">
        <f t="shared" si="25"/>
        <v>-1.641162282</v>
      </c>
      <c r="AO89" s="120">
        <f t="shared" si="26"/>
        <v>-3.224883132</v>
      </c>
      <c r="AP89" s="120">
        <f t="array" ref="AP89">INDIRECT("Update"&amp;Projections!$AH$17&amp;"!S"&amp;ROW(B70))</f>
        <v>5.9</v>
      </c>
      <c r="AQ89" s="120">
        <f t="array" ref="AQ89">INDIRECT("Update"&amp;Projections!$AH$17&amp;"!T"&amp;ROW(B70))</f>
        <v>1.9</v>
      </c>
      <c r="AR89" s="100">
        <f t="shared" si="27"/>
        <v>0.4981256492</v>
      </c>
    </row>
    <row r="90">
      <c r="A90" s="40" t="str">
        <f t="shared" si="3"/>
        <v>OG Anunoby</v>
      </c>
      <c r="B90" s="42">
        <f t="shared" si="4"/>
        <v>-0.4817679305</v>
      </c>
      <c r="C90" s="43">
        <f t="shared" si="5"/>
        <v>0.2497993996</v>
      </c>
      <c r="D90" s="42">
        <f t="shared" si="6"/>
        <v>-0.7723178898</v>
      </c>
      <c r="E90" s="42">
        <f t="shared" si="7"/>
        <v>-0.8819672513</v>
      </c>
      <c r="F90" s="42">
        <f t="shared" si="8"/>
        <v>1.738799658</v>
      </c>
      <c r="G90" s="42">
        <f t="shared" si="9"/>
        <v>-0.08033623669</v>
      </c>
      <c r="H90" s="42">
        <f t="shared" si="10"/>
        <v>-0.2374116819</v>
      </c>
      <c r="I90" s="42">
        <f>UpdateHashtag!S88</f>
        <v>12</v>
      </c>
      <c r="J90" s="47">
        <f t="shared" si="11"/>
        <v>-0.1499919693</v>
      </c>
      <c r="K90" s="48">
        <f>UpdateHashtag!T88</f>
        <v>1.7</v>
      </c>
      <c r="L90" s="42">
        <f t="shared" si="12"/>
        <v>0.05091899834</v>
      </c>
      <c r="N90" s="100">
        <f t="shared" si="13"/>
        <v>103</v>
      </c>
      <c r="O90" s="94">
        <f t="array" ref="O90">INDIRECT("Update"&amp;Projections!$AH$17&amp;"!B"&amp;ROW(B71))</f>
        <v>93.2</v>
      </c>
      <c r="P90" s="101" t="str">
        <f t="array" ref="P90">INDIRECT("Update"&amp;Projections!$AH$17&amp;"!C"&amp;ROW(B71))</f>
        <v>Walker Kessler</v>
      </c>
      <c r="Q90" s="94">
        <f>UpdateBBM!F71</f>
        <v>65</v>
      </c>
      <c r="R90" s="105" t="str">
        <f t="array" ref="R90">INDIRECT("Update"&amp;Projections!$AH$17&amp;"!D"&amp;ROW(B71))</f>
        <v>C</v>
      </c>
      <c r="S90" s="73">
        <f t="shared" si="14"/>
        <v>-0.4160735339</v>
      </c>
      <c r="T90" s="73">
        <f>SUM(AE90:AM90)-IFERROR(IFS(Projections!$I$17,AN90,Projections!$J$17,AO90),"")</f>
        <v>-0.4160735339</v>
      </c>
      <c r="U90" s="73">
        <f t="shared" si="15"/>
        <v>0</v>
      </c>
      <c r="V90" s="73">
        <f t="array" ref="V90">INDIRECT("Update"&amp;Projections!$AH$17&amp;"!M"&amp;ROW(B71))</f>
        <v>9.5</v>
      </c>
      <c r="W90" s="73">
        <f t="array" ref="W90">INDIRECT("Update"&amp;Projections!$AH$17&amp;"!L"&amp;ROW(B71))</f>
        <v>0</v>
      </c>
      <c r="X90" s="73">
        <f t="array" ref="X90">INDIRECT("Update"&amp;Projections!$AH$17&amp;"!N"&amp;ROW(B71))</f>
        <v>8.7</v>
      </c>
      <c r="Y90" s="73">
        <f t="array" ref="Y90">INDIRECT("Update"&amp;Projections!$AH$17&amp;"!O"&amp;ROW(B71))</f>
        <v>1</v>
      </c>
      <c r="Z90" s="73">
        <f t="array" ref="Z90">INDIRECT("Update"&amp;Projections!$AH$17&amp;"!P"&amp;ROW(B71))</f>
        <v>0.4</v>
      </c>
      <c r="AA90" s="73">
        <f t="array" ref="AA90">INDIRECT("Update"&amp;Projections!$AH$17&amp;"!Q"&amp;ROW(B71))</f>
        <v>2.5</v>
      </c>
      <c r="AB90" s="107">
        <f t="array" ref="AB90">INDIRECT("Update"&amp;Projections!$AH$17&amp;"!I"&amp;ROW(B71))</f>
        <v>0.662</v>
      </c>
      <c r="AC90" s="107">
        <f t="array" ref="AC90">INDIRECT("Update"&amp;Projections!$AH$17&amp;"!K"&amp;ROW(B71))</f>
        <v>0.577</v>
      </c>
      <c r="AD90" s="73">
        <f t="array" ref="AD90">INDIRECT("Update"&amp;Projections!$AH$17&amp;"!R"&amp;ROW(B71))</f>
        <v>1</v>
      </c>
      <c r="AE90" s="73">
        <f t="shared" si="16"/>
        <v>-1.439202435</v>
      </c>
      <c r="AF90" s="73">
        <f t="shared" si="17"/>
        <v>-1.740686581</v>
      </c>
      <c r="AG90" s="73">
        <f t="shared" si="18"/>
        <v>1.032095182</v>
      </c>
      <c r="AH90" s="73">
        <f t="shared" si="19"/>
        <v>-1.337584956</v>
      </c>
      <c r="AI90" s="73">
        <f t="shared" si="20"/>
        <v>-1.912459801</v>
      </c>
      <c r="AJ90" s="73">
        <f t="shared" si="21"/>
        <v>3.1307504</v>
      </c>
      <c r="AK90" s="73">
        <f t="shared" si="22"/>
        <v>1.219175115</v>
      </c>
      <c r="AL90" s="73">
        <f t="shared" si="23"/>
        <v>-1.466276218</v>
      </c>
      <c r="AM90" s="73">
        <f t="shared" si="24"/>
        <v>0.1856559582</v>
      </c>
      <c r="AN90" s="120">
        <f t="shared" si="25"/>
        <v>-1.912459801</v>
      </c>
      <c r="AO90" s="120">
        <f t="shared" si="26"/>
        <v>-3.653146382</v>
      </c>
      <c r="AP90" s="120">
        <f t="array" ref="AP90">INDIRECT("Update"&amp;Projections!$AH$17&amp;"!S"&amp;ROW(B71))</f>
        <v>6.3</v>
      </c>
      <c r="AQ90" s="120">
        <f t="array" ref="AQ90">INDIRECT("Update"&amp;Projections!$AH$17&amp;"!T"&amp;ROW(B71))</f>
        <v>1.9</v>
      </c>
      <c r="AR90" s="100">
        <f t="shared" si="27"/>
        <v>0.4880697754</v>
      </c>
    </row>
    <row r="91">
      <c r="A91" s="40" t="str">
        <f t="shared" si="3"/>
        <v>Coby White</v>
      </c>
      <c r="B91" s="42">
        <f t="shared" si="4"/>
        <v>0.09630573232</v>
      </c>
      <c r="C91" s="43">
        <f t="shared" si="5"/>
        <v>0.9464694928</v>
      </c>
      <c r="D91" s="42">
        <f t="shared" si="6"/>
        <v>-0.5761860341</v>
      </c>
      <c r="E91" s="42">
        <f t="shared" si="7"/>
        <v>0.439324091</v>
      </c>
      <c r="F91" s="42">
        <f t="shared" si="8"/>
        <v>-0.2527964105</v>
      </c>
      <c r="G91" s="42">
        <f t="shared" si="9"/>
        <v>-0.9723047469</v>
      </c>
      <c r="H91" s="42">
        <f t="shared" si="10"/>
        <v>-0.8706321333</v>
      </c>
      <c r="I91" s="42">
        <f>UpdateHashtag!S89</f>
        <v>14.6</v>
      </c>
      <c r="J91" s="47">
        <f t="shared" si="11"/>
        <v>0.4597910312</v>
      </c>
      <c r="K91" s="48">
        <f>UpdateHashtag!T89</f>
        <v>2.7</v>
      </c>
      <c r="L91" s="42">
        <f t="shared" si="12"/>
        <v>0.2493047061</v>
      </c>
      <c r="N91" s="100">
        <f t="shared" si="13"/>
        <v>83</v>
      </c>
      <c r="O91" s="94">
        <f t="array" ref="O91">INDIRECT("Update"&amp;Projections!$AH$17&amp;"!B"&amp;ROW(B72))</f>
        <v>54.7</v>
      </c>
      <c r="P91" s="101" t="str">
        <f t="array" ref="P91">INDIRECT("Update"&amp;Projections!$AH$17&amp;"!C"&amp;ROW(B72))</f>
        <v>Mikal Bridges</v>
      </c>
      <c r="Q91" s="94">
        <f>UpdateBBM!F72</f>
        <v>55</v>
      </c>
      <c r="R91" s="105" t="str">
        <f t="array" ref="R91">INDIRECT("Update"&amp;Projections!$AH$17&amp;"!D"&amp;ROW(B72))</f>
        <v>SG,SF,PF</v>
      </c>
      <c r="S91" s="73">
        <f t="shared" si="14"/>
        <v>0.1758205973</v>
      </c>
      <c r="T91" s="73">
        <f>SUM(AE91:AM91)-IFERROR(IFS(Projections!$I$17,AN91,Projections!$J$17,AO91),"")</f>
        <v>0.1758205973</v>
      </c>
      <c r="U91" s="73">
        <f t="shared" si="15"/>
        <v>0</v>
      </c>
      <c r="V91" s="73">
        <f t="array" ref="V91">INDIRECT("Update"&amp;Projections!$AH$17&amp;"!M"&amp;ROW(B72))</f>
        <v>16</v>
      </c>
      <c r="W91" s="73">
        <f t="array" ref="W91">INDIRECT("Update"&amp;Projections!$AH$17&amp;"!L"&amp;ROW(B72))</f>
        <v>2.4</v>
      </c>
      <c r="X91" s="73">
        <f t="array" ref="X91">INDIRECT("Update"&amp;Projections!$AH$17&amp;"!N"&amp;ROW(B72))</f>
        <v>4.1</v>
      </c>
      <c r="Y91" s="73">
        <f t="array" ref="Y91">INDIRECT("Update"&amp;Projections!$AH$17&amp;"!O"&amp;ROW(B72))</f>
        <v>3.2</v>
      </c>
      <c r="Z91" s="73">
        <f t="array" ref="Z91">INDIRECT("Update"&amp;Projections!$AH$17&amp;"!P"&amp;ROW(B72))</f>
        <v>1.1</v>
      </c>
      <c r="AA91" s="73">
        <f t="array" ref="AA91">INDIRECT("Update"&amp;Projections!$AH$17&amp;"!Q"&amp;ROW(B72))</f>
        <v>0.7</v>
      </c>
      <c r="AB91" s="107">
        <f t="array" ref="AB91">INDIRECT("Update"&amp;Projections!$AH$17&amp;"!I"&amp;ROW(B72))</f>
        <v>0.454</v>
      </c>
      <c r="AC91" s="107">
        <f t="array" ref="AC91">INDIRECT("Update"&amp;Projections!$AH$17&amp;"!K"&amp;ROW(B72))</f>
        <v>0.827</v>
      </c>
      <c r="AD91" s="73">
        <f t="array" ref="AD91">INDIRECT("Update"&amp;Projections!$AH$17&amp;"!R"&amp;ROW(B72))</f>
        <v>1.6</v>
      </c>
      <c r="AE91" s="73">
        <f t="shared" si="16"/>
        <v>-0.2649903069</v>
      </c>
      <c r="AF91" s="73">
        <f t="shared" si="17"/>
        <v>0.6478965957</v>
      </c>
      <c r="AG91" s="73">
        <f t="shared" si="18"/>
        <v>-0.7723178898</v>
      </c>
      <c r="AH91" s="73">
        <f t="shared" si="19"/>
        <v>-0.3352260062</v>
      </c>
      <c r="AI91" s="73">
        <f t="shared" si="20"/>
        <v>0.4110689458</v>
      </c>
      <c r="AJ91" s="73">
        <f t="shared" si="21"/>
        <v>-0.08033623669</v>
      </c>
      <c r="AK91" s="73">
        <f t="shared" si="22"/>
        <v>-0.603075967</v>
      </c>
      <c r="AL91" s="73">
        <f t="shared" si="23"/>
        <v>0.3636168954</v>
      </c>
      <c r="AM91" s="73">
        <f t="shared" si="24"/>
        <v>0.03686667737</v>
      </c>
      <c r="AN91" s="120">
        <f t="shared" si="25"/>
        <v>-0.7723178898</v>
      </c>
      <c r="AO91" s="120">
        <f t="shared" si="26"/>
        <v>-1.375393857</v>
      </c>
      <c r="AP91" s="120">
        <f t="array" ref="AP91">INDIRECT("Update"&amp;Projections!$AH$17&amp;"!S"&amp;ROW(B72))</f>
        <v>12</v>
      </c>
      <c r="AQ91" s="120">
        <f t="array" ref="AQ91">INDIRECT("Update"&amp;Projections!$AH$17&amp;"!T"&amp;ROW(B72))</f>
        <v>3.2</v>
      </c>
      <c r="AR91" s="100">
        <f t="shared" si="27"/>
        <v>0.4613776165</v>
      </c>
    </row>
    <row r="92">
      <c r="A92" s="40" t="str">
        <f t="shared" si="3"/>
        <v>Michael Porter Jr.</v>
      </c>
      <c r="B92" s="42">
        <f t="shared" si="4"/>
        <v>0.005981722504</v>
      </c>
      <c r="C92" s="43">
        <f t="shared" si="5"/>
        <v>1.145518091</v>
      </c>
      <c r="D92" s="42">
        <f t="shared" si="6"/>
        <v>0.1691150172</v>
      </c>
      <c r="E92" s="42">
        <f t="shared" si="7"/>
        <v>-1.155337874</v>
      </c>
      <c r="F92" s="42">
        <f t="shared" si="8"/>
        <v>-1.248594445</v>
      </c>
      <c r="G92" s="42">
        <f t="shared" si="9"/>
        <v>-0.2587299387</v>
      </c>
      <c r="H92" s="42">
        <f t="shared" si="10"/>
        <v>-0.1893705106</v>
      </c>
      <c r="I92" s="42">
        <f>UpdateHashtag!S90</f>
        <v>13.6</v>
      </c>
      <c r="J92" s="47">
        <f t="shared" si="11"/>
        <v>0.1389877738</v>
      </c>
      <c r="K92" s="48">
        <f>UpdateHashtag!T90</f>
        <v>1.7</v>
      </c>
      <c r="L92" s="42">
        <f t="shared" si="12"/>
        <v>-0.5442381251</v>
      </c>
      <c r="N92" s="100">
        <f t="shared" si="13"/>
        <v>101</v>
      </c>
      <c r="O92" s="94">
        <f t="array" ref="O92">INDIRECT("Update"&amp;Projections!$AH$17&amp;"!B"&amp;ROW(B73))</f>
        <v>69.9</v>
      </c>
      <c r="P92" s="101" t="str">
        <f t="array" ref="P92">INDIRECT("Update"&amp;Projections!$AH$17&amp;"!C"&amp;ROW(B73))</f>
        <v>Brandon Ingram</v>
      </c>
      <c r="Q92" s="94">
        <f>UpdateBBM!F73</f>
        <v>66</v>
      </c>
      <c r="R92" s="105" t="str">
        <f t="array" ref="R92">INDIRECT("Update"&amp;Projections!$AH$17&amp;"!D"&amp;ROW(B73))</f>
        <v>SG,SF,PF</v>
      </c>
      <c r="S92" s="73">
        <f t="shared" si="14"/>
        <v>-0.3648775982</v>
      </c>
      <c r="T92" s="73">
        <f>SUM(AE92:AM92)-IFERROR(IFS(Projections!$I$17,AN92,Projections!$J$17,AO92),"")</f>
        <v>-0.3648775982</v>
      </c>
      <c r="U92" s="73">
        <f t="shared" si="15"/>
        <v>0</v>
      </c>
      <c r="V92" s="73">
        <f t="array" ref="V92">INDIRECT("Update"&amp;Projections!$AH$17&amp;"!M"&amp;ROW(B73))</f>
        <v>20.1</v>
      </c>
      <c r="W92" s="73">
        <f t="array" ref="W92">INDIRECT("Update"&amp;Projections!$AH$17&amp;"!L"&amp;ROW(B73))</f>
        <v>1.3</v>
      </c>
      <c r="X92" s="73">
        <f t="array" ref="X92">INDIRECT("Update"&amp;Projections!$AH$17&amp;"!N"&amp;ROW(B73))</f>
        <v>4.8</v>
      </c>
      <c r="Y92" s="73">
        <f t="array" ref="Y92">INDIRECT("Update"&amp;Projections!$AH$17&amp;"!O"&amp;ROW(B73))</f>
        <v>4.6</v>
      </c>
      <c r="Z92" s="73">
        <f t="array" ref="Z92">INDIRECT("Update"&amp;Projections!$AH$17&amp;"!P"&amp;ROW(B73))</f>
        <v>0.8</v>
      </c>
      <c r="AA92" s="73">
        <f t="array" ref="AA92">INDIRECT("Update"&amp;Projections!$AH$17&amp;"!Q"&amp;ROW(B73))</f>
        <v>0.6</v>
      </c>
      <c r="AB92" s="107">
        <f t="array" ref="AB92">INDIRECT("Update"&amp;Projections!$AH$17&amp;"!I"&amp;ROW(B73))</f>
        <v>0.492</v>
      </c>
      <c r="AC92" s="107">
        <f t="array" ref="AC92">INDIRECT("Update"&amp;Projections!$AH$17&amp;"!K"&amp;ROW(B73))</f>
        <v>0.812</v>
      </c>
      <c r="AD92" s="73">
        <f t="array" ref="AD92">INDIRECT("Update"&amp;Projections!$AH$17&amp;"!R"&amp;ROW(B73))</f>
        <v>2.3</v>
      </c>
      <c r="AE92" s="73">
        <f t="shared" si="16"/>
        <v>0.4756665735</v>
      </c>
      <c r="AF92" s="73">
        <f t="shared" si="17"/>
        <v>-0.4468706937</v>
      </c>
      <c r="AG92" s="73">
        <f t="shared" si="18"/>
        <v>-0.4977332919</v>
      </c>
      <c r="AH92" s="73">
        <f t="shared" si="19"/>
        <v>0.3026387797</v>
      </c>
      <c r="AI92" s="73">
        <f t="shared" si="20"/>
        <v>-0.5847290887</v>
      </c>
      <c r="AJ92" s="73">
        <f t="shared" si="21"/>
        <v>-0.2587299387</v>
      </c>
      <c r="AK92" s="73">
        <f t="shared" si="22"/>
        <v>-0.08752052654</v>
      </c>
      <c r="AL92" s="73">
        <f t="shared" si="23"/>
        <v>0.2843923164</v>
      </c>
      <c r="AM92" s="73">
        <f t="shared" si="24"/>
        <v>-0.136720817</v>
      </c>
      <c r="AN92" s="120">
        <f t="shared" si="25"/>
        <v>-0.5847290887</v>
      </c>
      <c r="AO92" s="120">
        <f t="shared" si="26"/>
        <v>-1.082462381</v>
      </c>
      <c r="AP92" s="120">
        <f t="array" ref="AP92">INDIRECT("Update"&amp;Projections!$AH$17&amp;"!S"&amp;ROW(B73))</f>
        <v>15.3</v>
      </c>
      <c r="AQ92" s="120">
        <f t="array" ref="AQ92">INDIRECT("Update"&amp;Projections!$AH$17&amp;"!T"&amp;ROW(B73))</f>
        <v>4.7</v>
      </c>
      <c r="AR92" s="100">
        <f t="shared" si="27"/>
        <v>0.4374051169</v>
      </c>
    </row>
    <row r="93">
      <c r="A93" s="40" t="str">
        <f t="shared" si="3"/>
        <v>Alex Caruso</v>
      </c>
      <c r="B93" s="42">
        <f t="shared" si="4"/>
        <v>-1.58372085</v>
      </c>
      <c r="C93" s="43">
        <f t="shared" si="5"/>
        <v>-0.2478220956</v>
      </c>
      <c r="D93" s="42">
        <f t="shared" si="6"/>
        <v>-0.8899970031</v>
      </c>
      <c r="E93" s="42">
        <f t="shared" si="7"/>
        <v>-0.198540695</v>
      </c>
      <c r="F93" s="42">
        <f t="shared" si="8"/>
        <v>2.070732337</v>
      </c>
      <c r="G93" s="42">
        <f t="shared" si="9"/>
        <v>0.2764511674</v>
      </c>
      <c r="H93" s="42">
        <f t="shared" si="10"/>
        <v>-0.2620749276</v>
      </c>
      <c r="I93" s="42">
        <f>UpdateHashtag!S91</f>
        <v>6.6</v>
      </c>
      <c r="J93" s="47">
        <f t="shared" si="11"/>
        <v>-0.04915301144</v>
      </c>
      <c r="K93" s="48">
        <f>UpdateHashtag!T91</f>
        <v>1.4</v>
      </c>
      <c r="L93" s="42">
        <f t="shared" si="12"/>
        <v>-0.3458524173</v>
      </c>
      <c r="N93" s="100">
        <f t="shared" si="13"/>
        <v>72</v>
      </c>
      <c r="O93" s="94">
        <f t="array" ref="O93">INDIRECT("Update"&amp;Projections!$AH$17&amp;"!B"&amp;ROW(B74))</f>
        <v>82</v>
      </c>
      <c r="P93" s="101" t="str">
        <f t="array" ref="P93">INDIRECT("Update"&amp;Projections!$AH$17&amp;"!C"&amp;ROW(B74))</f>
        <v>Devin Vassell</v>
      </c>
      <c r="Q93" s="94">
        <f>UpdateBBM!F74</f>
        <v>71</v>
      </c>
      <c r="R93" s="105" t="str">
        <f t="array" ref="R93">INDIRECT("Update"&amp;Projections!$AH$17&amp;"!D"&amp;ROW(B74))</f>
        <v>SG,SF</v>
      </c>
      <c r="S93" s="73">
        <f t="shared" si="14"/>
        <v>0.4374051169</v>
      </c>
      <c r="T93" s="73">
        <f>SUM(AE93:AM93)-IFERROR(IFS(Projections!$I$17,AN93,Projections!$J$17,AO93),"")</f>
        <v>0.4374051169</v>
      </c>
      <c r="U93" s="73">
        <f t="shared" si="15"/>
        <v>0</v>
      </c>
      <c r="V93" s="73">
        <f t="array" ref="V93">INDIRECT("Update"&amp;Projections!$AH$17&amp;"!M"&amp;ROW(B74))</f>
        <v>19.4</v>
      </c>
      <c r="W93" s="73">
        <f t="array" ref="W93">INDIRECT("Update"&amp;Projections!$AH$17&amp;"!L"&amp;ROW(B74))</f>
        <v>2.6</v>
      </c>
      <c r="X93" s="73">
        <f t="array" ref="X93">INDIRECT("Update"&amp;Projections!$AH$17&amp;"!N"&amp;ROW(B74))</f>
        <v>3.9</v>
      </c>
      <c r="Y93" s="73">
        <f t="array" ref="Y93">INDIRECT("Update"&amp;Projections!$AH$17&amp;"!O"&amp;ROW(B74))</f>
        <v>4</v>
      </c>
      <c r="Z93" s="73">
        <f t="array" ref="Z93">INDIRECT("Update"&amp;Projections!$AH$17&amp;"!P"&amp;ROW(B74))</f>
        <v>1.1</v>
      </c>
      <c r="AA93" s="73">
        <f t="array" ref="AA93">INDIRECT("Update"&amp;Projections!$AH$17&amp;"!Q"&amp;ROW(B74))</f>
        <v>0.4</v>
      </c>
      <c r="AB93" s="107">
        <f t="array" ref="AB93">INDIRECT("Update"&amp;Projections!$AH$17&amp;"!I"&amp;ROW(B74))</f>
        <v>0.46</v>
      </c>
      <c r="AC93" s="107">
        <f t="array" ref="AC93">INDIRECT("Update"&amp;Projections!$AH$17&amp;"!K"&amp;ROW(B74))</f>
        <v>0.801</v>
      </c>
      <c r="AD93" s="73">
        <f t="array" ref="AD93">INDIRECT("Update"&amp;Projections!$AH$17&amp;"!R"&amp;ROW(B74))</f>
        <v>1.6</v>
      </c>
      <c r="AE93" s="73">
        <f t="shared" si="16"/>
        <v>0.3492129598</v>
      </c>
      <c r="AF93" s="73">
        <f t="shared" si="17"/>
        <v>0.8469451937</v>
      </c>
      <c r="AG93" s="73">
        <f t="shared" si="18"/>
        <v>-0.850770632</v>
      </c>
      <c r="AH93" s="73">
        <f t="shared" si="19"/>
        <v>0.02926815716</v>
      </c>
      <c r="AI93" s="73">
        <f t="shared" si="20"/>
        <v>0.4110689458</v>
      </c>
      <c r="AJ93" s="73">
        <f t="shared" si="21"/>
        <v>-0.6155173428</v>
      </c>
      <c r="AK93" s="73">
        <f t="shared" si="22"/>
        <v>-0.6829443366</v>
      </c>
      <c r="AL93" s="73">
        <f t="shared" si="23"/>
        <v>0.06250486248</v>
      </c>
      <c r="AM93" s="73">
        <f t="shared" si="24"/>
        <v>0.03686667737</v>
      </c>
      <c r="AN93" s="120">
        <f t="shared" si="25"/>
        <v>-0.850770632</v>
      </c>
      <c r="AO93" s="120">
        <f t="shared" si="26"/>
        <v>-1.533714969</v>
      </c>
      <c r="AP93" s="120">
        <f t="array" ref="AP93">INDIRECT("Update"&amp;Projections!$AH$17&amp;"!S"&amp;ROW(B74))</f>
        <v>15.8</v>
      </c>
      <c r="AQ93" s="120">
        <f t="array" ref="AQ93">INDIRECT("Update"&amp;Projections!$AH$17&amp;"!T"&amp;ROW(B74))</f>
        <v>2.9</v>
      </c>
      <c r="AR93" s="100">
        <f t="shared" si="27"/>
        <v>0.4323841176</v>
      </c>
    </row>
    <row r="94">
      <c r="A94" s="40" t="str">
        <f t="shared" si="3"/>
        <v>Herbert Jones</v>
      </c>
      <c r="B94" s="42">
        <f t="shared" si="4"/>
        <v>-1.258554415</v>
      </c>
      <c r="C94" s="43">
        <f t="shared" si="5"/>
        <v>-0.5463949927</v>
      </c>
      <c r="D94" s="42">
        <f t="shared" si="6"/>
        <v>-0.7330915186</v>
      </c>
      <c r="E94" s="42">
        <f t="shared" si="7"/>
        <v>-0.6085966288</v>
      </c>
      <c r="F94" s="42">
        <f t="shared" si="8"/>
        <v>1.40686698</v>
      </c>
      <c r="G94" s="42">
        <f t="shared" si="9"/>
        <v>0.2764511674</v>
      </c>
      <c r="H94" s="42">
        <f t="shared" si="10"/>
        <v>-0.1162415344</v>
      </c>
      <c r="I94" s="42">
        <f>UpdateHashtag!S92</f>
        <v>7.7</v>
      </c>
      <c r="J94" s="47">
        <f t="shared" si="11"/>
        <v>0.4447646287</v>
      </c>
      <c r="K94" s="48">
        <f>UpdateHashtag!T92</f>
        <v>2.2</v>
      </c>
      <c r="L94" s="42">
        <f t="shared" si="12"/>
        <v>-0.4450452712</v>
      </c>
      <c r="N94" s="100">
        <f t="shared" si="13"/>
        <v>65</v>
      </c>
      <c r="O94" s="94">
        <f t="array" ref="O94">INDIRECT("Update"&amp;Projections!$AH$17&amp;"!B"&amp;ROW(B75))</f>
        <v>79.7</v>
      </c>
      <c r="P94" s="101" t="str">
        <f t="array" ref="P94">INDIRECT("Update"&amp;Projections!$AH$17&amp;"!C"&amp;ROW(B75))</f>
        <v>Anfernee Simons</v>
      </c>
      <c r="Q94" s="94">
        <f>UpdateBBM!F75</f>
        <v>66</v>
      </c>
      <c r="R94" s="105" t="str">
        <f t="array" ref="R94">INDIRECT("Update"&amp;Projections!$AH$17&amp;"!D"&amp;ROW(B75))</f>
        <v>PG,SG</v>
      </c>
      <c r="S94" s="73">
        <f t="shared" si="14"/>
        <v>0.6200534587</v>
      </c>
      <c r="T94" s="73">
        <f>SUM(AE94:AM94)-IFERROR(IFS(Projections!$I$17,AN94,Projections!$J$17,AO94),"")</f>
        <v>0.6200534587</v>
      </c>
      <c r="U94" s="73">
        <f t="shared" si="15"/>
        <v>0</v>
      </c>
      <c r="V94" s="73">
        <f t="array" ref="V94">INDIRECT("Update"&amp;Projections!$AH$17&amp;"!M"&amp;ROW(B75))</f>
        <v>21.4</v>
      </c>
      <c r="W94" s="73">
        <f t="array" ref="W94">INDIRECT("Update"&amp;Projections!$AH$17&amp;"!L"&amp;ROW(B75))</f>
        <v>3.4</v>
      </c>
      <c r="X94" s="73">
        <f t="array" ref="X94">INDIRECT("Update"&amp;Projections!$AH$17&amp;"!N"&amp;ROW(B75))</f>
        <v>3</v>
      </c>
      <c r="Y94" s="73">
        <f t="array" ref="Y94">INDIRECT("Update"&amp;Projections!$AH$17&amp;"!O"&amp;ROW(B75))</f>
        <v>4.9</v>
      </c>
      <c r="Z94" s="73">
        <f t="array" ref="Z94">INDIRECT("Update"&amp;Projections!$AH$17&amp;"!P"&amp;ROW(B75))</f>
        <v>0.6</v>
      </c>
      <c r="AA94" s="73">
        <f t="array" ref="AA94">INDIRECT("Update"&amp;Projections!$AH$17&amp;"!Q"&amp;ROW(B75))</f>
        <v>0.2</v>
      </c>
      <c r="AB94" s="107">
        <f t="array" ref="AB94">INDIRECT("Update"&amp;Projections!$AH$17&amp;"!I"&amp;ROW(B75))</f>
        <v>0.44</v>
      </c>
      <c r="AC94" s="107">
        <f t="array" ref="AC94">INDIRECT("Update"&amp;Projections!$AH$17&amp;"!K"&amp;ROW(B75))</f>
        <v>0.905</v>
      </c>
      <c r="AD94" s="73">
        <f t="array" ref="AD94">INDIRECT("Update"&amp;Projections!$AH$17&amp;"!R"&amp;ROW(B75))</f>
        <v>2.3</v>
      </c>
      <c r="AE94" s="73">
        <f t="shared" si="16"/>
        <v>0.7105089991</v>
      </c>
      <c r="AF94" s="73">
        <f t="shared" si="17"/>
        <v>1.643139586</v>
      </c>
      <c r="AG94" s="73">
        <f t="shared" si="18"/>
        <v>-1.203807972</v>
      </c>
      <c r="AH94" s="73">
        <f t="shared" si="19"/>
        <v>0.439324091</v>
      </c>
      <c r="AI94" s="73">
        <f t="shared" si="20"/>
        <v>-1.248594445</v>
      </c>
      <c r="AJ94" s="73">
        <f t="shared" si="21"/>
        <v>-0.9723047469</v>
      </c>
      <c r="AK94" s="73">
        <f t="shared" si="22"/>
        <v>-1.146626706</v>
      </c>
      <c r="AL94" s="73">
        <f t="shared" si="23"/>
        <v>1.286541025</v>
      </c>
      <c r="AM94" s="73">
        <f t="shared" si="24"/>
        <v>-0.136720817</v>
      </c>
      <c r="AN94" s="120">
        <f t="shared" si="25"/>
        <v>-1.248594445</v>
      </c>
      <c r="AO94" s="120">
        <f t="shared" si="26"/>
        <v>-2.452402417</v>
      </c>
      <c r="AP94" s="120">
        <f t="array" ref="AP94">INDIRECT("Update"&amp;Projections!$AH$17&amp;"!S"&amp;ROW(B75))</f>
        <v>17.2</v>
      </c>
      <c r="AQ94" s="120">
        <f t="array" ref="AQ94">INDIRECT("Update"&amp;Projections!$AH$17&amp;"!T"&amp;ROW(B75))</f>
        <v>3.3</v>
      </c>
      <c r="AR94" s="100">
        <f t="shared" si="27"/>
        <v>0.4199092295</v>
      </c>
    </row>
    <row r="95">
      <c r="A95" s="40" t="str">
        <f t="shared" si="3"/>
        <v>Daniel Gafford</v>
      </c>
      <c r="B95" s="42">
        <f t="shared" si="4"/>
        <v>-1.294684019</v>
      </c>
      <c r="C95" s="43">
        <f t="shared" si="5"/>
        <v>-1.740686581</v>
      </c>
      <c r="D95" s="42">
        <f t="shared" si="6"/>
        <v>0.2867941306</v>
      </c>
      <c r="E95" s="42">
        <f t="shared" si="7"/>
        <v>-1.155337874</v>
      </c>
      <c r="F95" s="42">
        <f t="shared" si="8"/>
        <v>-0.9166617668</v>
      </c>
      <c r="G95" s="42">
        <f t="shared" si="9"/>
        <v>1.703600784</v>
      </c>
      <c r="H95" s="42">
        <f t="shared" si="10"/>
        <v>1.605059133</v>
      </c>
      <c r="I95" s="42">
        <f>UpdateHashtag!S93</f>
        <v>5.9</v>
      </c>
      <c r="J95" s="47">
        <f t="shared" si="11"/>
        <v>-1.0616633</v>
      </c>
      <c r="K95" s="48">
        <f>UpdateHashtag!T93</f>
        <v>2.5</v>
      </c>
      <c r="L95" s="42">
        <f t="shared" si="12"/>
        <v>-0.643430979</v>
      </c>
      <c r="N95" s="100">
        <f t="shared" si="13"/>
        <v>97</v>
      </c>
      <c r="O95" s="94">
        <f t="array" ref="O95">INDIRECT("Update"&amp;Projections!$AH$17&amp;"!B"&amp;ROW(B76))</f>
        <v>108.3</v>
      </c>
      <c r="P95" s="101" t="str">
        <f t="array" ref="P95">INDIRECT("Update"&amp;Projections!$AH$17&amp;"!C"&amp;ROW(B76))</f>
        <v>Dereck Lively II</v>
      </c>
      <c r="Q95" s="94">
        <f>UpdateBBM!F76</f>
        <v>71</v>
      </c>
      <c r="R95" s="105" t="str">
        <f t="array" ref="R95">INDIRECT("Update"&amp;Projections!$AH$17&amp;"!D"&amp;ROW(B76))</f>
        <v>C</v>
      </c>
      <c r="S95" s="73">
        <f t="shared" si="14"/>
        <v>-0.2885846477</v>
      </c>
      <c r="T95" s="73">
        <f>SUM(AE95:AM95)-IFERROR(IFS(Projections!$I$17,AN95,Projections!$J$17,AO95),"")</f>
        <v>-0.2885846477</v>
      </c>
      <c r="U95" s="73">
        <f t="shared" si="15"/>
        <v>0</v>
      </c>
      <c r="V95" s="73">
        <f t="array" ref="V95">INDIRECT("Update"&amp;Projections!$AH$17&amp;"!M"&amp;ROW(B76))</f>
        <v>10.1</v>
      </c>
      <c r="W95" s="73">
        <f t="array" ref="W95">INDIRECT("Update"&amp;Projections!$AH$17&amp;"!L"&amp;ROW(B76))</f>
        <v>0</v>
      </c>
      <c r="X95" s="73">
        <f t="array" ref="X95">INDIRECT("Update"&amp;Projections!$AH$17&amp;"!N"&amp;ROW(B76))</f>
        <v>7.9</v>
      </c>
      <c r="Y95" s="73">
        <f t="array" ref="Y95">INDIRECT("Update"&amp;Projections!$AH$17&amp;"!O"&amp;ROW(B76))</f>
        <v>1.5</v>
      </c>
      <c r="Z95" s="73">
        <f t="array" ref="Z95">INDIRECT("Update"&amp;Projections!$AH$17&amp;"!P"&amp;ROW(B76))</f>
        <v>0.8</v>
      </c>
      <c r="AA95" s="73">
        <f t="array" ref="AA95">INDIRECT("Update"&amp;Projections!$AH$17&amp;"!Q"&amp;ROW(B76))</f>
        <v>1.6</v>
      </c>
      <c r="AB95" s="107">
        <f t="array" ref="AB95">INDIRECT("Update"&amp;Projections!$AH$17&amp;"!I"&amp;ROW(B76))</f>
        <v>0.738</v>
      </c>
      <c r="AC95" s="107">
        <f t="array" ref="AC95">INDIRECT("Update"&amp;Projections!$AH$17&amp;"!K"&amp;ROW(B76))</f>
        <v>0.535</v>
      </c>
      <c r="AD95" s="73">
        <f t="array" ref="AD95">INDIRECT("Update"&amp;Projections!$AH$17&amp;"!R"&amp;ROW(B76))</f>
        <v>1</v>
      </c>
      <c r="AE95" s="73">
        <f t="shared" si="16"/>
        <v>-1.330813623</v>
      </c>
      <c r="AF95" s="73">
        <f t="shared" si="17"/>
        <v>-1.740686581</v>
      </c>
      <c r="AG95" s="73">
        <f t="shared" si="18"/>
        <v>0.718284213</v>
      </c>
      <c r="AH95" s="73">
        <f t="shared" si="19"/>
        <v>-1.109776103</v>
      </c>
      <c r="AI95" s="73">
        <f t="shared" si="20"/>
        <v>-0.5847290887</v>
      </c>
      <c r="AJ95" s="73">
        <f t="shared" si="21"/>
        <v>1.525207082</v>
      </c>
      <c r="AK95" s="73">
        <f t="shared" si="22"/>
        <v>1.780329153</v>
      </c>
      <c r="AL95" s="73">
        <f t="shared" si="23"/>
        <v>-1.472742239</v>
      </c>
      <c r="AM95" s="73">
        <f t="shared" si="24"/>
        <v>0.1856559582</v>
      </c>
      <c r="AN95" s="120">
        <f t="shared" si="25"/>
        <v>-1.740686581</v>
      </c>
      <c r="AO95" s="120">
        <f t="shared" si="26"/>
        <v>-3.21342882</v>
      </c>
      <c r="AP95" s="120">
        <f t="array" ref="AP95">INDIRECT("Update"&amp;Projections!$AH$17&amp;"!S"&amp;ROW(B76))</f>
        <v>6.3</v>
      </c>
      <c r="AQ95" s="120">
        <f t="array" ref="AQ95">INDIRECT("Update"&amp;Projections!$AH$17&amp;"!T"&amp;ROW(B76))</f>
        <v>1.6</v>
      </c>
      <c r="AR95" s="100">
        <f t="shared" si="27"/>
        <v>0.3567137621</v>
      </c>
    </row>
    <row r="96">
      <c r="A96" s="40" t="str">
        <f t="shared" si="3"/>
        <v>Draymond Green</v>
      </c>
      <c r="B96" s="42">
        <f t="shared" si="4"/>
        <v>-1.67404486</v>
      </c>
      <c r="C96" s="43">
        <f t="shared" si="5"/>
        <v>-1.044016488</v>
      </c>
      <c r="D96" s="42">
        <f t="shared" si="6"/>
        <v>0.3260205017</v>
      </c>
      <c r="E96" s="42">
        <f t="shared" si="7"/>
        <v>1.031627106</v>
      </c>
      <c r="F96" s="42">
        <f t="shared" si="8"/>
        <v>0.4110689458</v>
      </c>
      <c r="G96" s="42">
        <f t="shared" si="9"/>
        <v>0.09805746537</v>
      </c>
      <c r="H96" s="42">
        <f t="shared" si="10"/>
        <v>0.1264014628</v>
      </c>
      <c r="I96" s="42">
        <f>UpdateHashtag!S94</f>
        <v>6.3</v>
      </c>
      <c r="J96" s="47">
        <f t="shared" si="11"/>
        <v>-0.4061279883</v>
      </c>
      <c r="K96" s="48">
        <f>UpdateHashtag!T94</f>
        <v>1.4</v>
      </c>
      <c r="L96" s="42">
        <f t="shared" si="12"/>
        <v>0.7452689757</v>
      </c>
      <c r="N96" s="100">
        <f t="shared" si="13"/>
        <v>94</v>
      </c>
      <c r="O96" s="94">
        <f t="array" ref="O96">INDIRECT("Update"&amp;Projections!$AH$17&amp;"!B"&amp;ROW(B77))</f>
        <v>94.9</v>
      </c>
      <c r="P96" s="101" t="str">
        <f t="array" ref="P96">INDIRECT("Update"&amp;Projections!$AH$17&amp;"!C"&amp;ROW(B77))</f>
        <v>Collin Sexton</v>
      </c>
      <c r="Q96" s="94">
        <f>UpdateBBM!F77</f>
        <v>56</v>
      </c>
      <c r="R96" s="105" t="str">
        <f t="array" ref="R96">INDIRECT("Update"&amp;Projections!$AH$17&amp;"!D"&amp;ROW(B77))</f>
        <v>PG,SG</v>
      </c>
      <c r="S96" s="73">
        <f t="shared" si="14"/>
        <v>-0.1152587046</v>
      </c>
      <c r="T96" s="73">
        <f>SUM(AE96:AM96)-IFERROR(IFS(Projections!$I$17,AN96,Projections!$J$17,AO96),"")</f>
        <v>-0.1152587046</v>
      </c>
      <c r="U96" s="73">
        <f t="shared" si="15"/>
        <v>0</v>
      </c>
      <c r="V96" s="73">
        <f t="array" ref="V96">INDIRECT("Update"&amp;Projections!$AH$17&amp;"!M"&amp;ROW(B77))</f>
        <v>20</v>
      </c>
      <c r="W96" s="73">
        <f t="array" ref="W96">INDIRECT("Update"&amp;Projections!$AH$17&amp;"!L"&amp;ROW(B77))</f>
        <v>1.7</v>
      </c>
      <c r="X96" s="73">
        <f t="array" ref="X96">INDIRECT("Update"&amp;Projections!$AH$17&amp;"!N"&amp;ROW(B77))</f>
        <v>2.9</v>
      </c>
      <c r="Y96" s="73">
        <f t="array" ref="Y96">INDIRECT("Update"&amp;Projections!$AH$17&amp;"!O"&amp;ROW(B77))</f>
        <v>4.9</v>
      </c>
      <c r="Z96" s="73">
        <f t="array" ref="Z96">INDIRECT("Update"&amp;Projections!$AH$17&amp;"!P"&amp;ROW(B77))</f>
        <v>0.8</v>
      </c>
      <c r="AA96" s="73">
        <f t="array" ref="AA96">INDIRECT("Update"&amp;Projections!$AH$17&amp;"!Q"&amp;ROW(B77))</f>
        <v>0.2</v>
      </c>
      <c r="AB96" s="107">
        <f t="array" ref="AB96">INDIRECT("Update"&amp;Projections!$AH$17&amp;"!I"&amp;ROW(B77))</f>
        <v>0.487</v>
      </c>
      <c r="AC96" s="107">
        <f t="array" ref="AC96">INDIRECT("Update"&amp;Projections!$AH$17&amp;"!K"&amp;ROW(B77))</f>
        <v>0.843</v>
      </c>
      <c r="AD96" s="73">
        <f t="array" ref="AD96">INDIRECT("Update"&amp;Projections!$AH$17&amp;"!R"&amp;ROW(B77))</f>
        <v>2.4</v>
      </c>
      <c r="AE96" s="73">
        <f t="shared" si="16"/>
        <v>0.4576017716</v>
      </c>
      <c r="AF96" s="73">
        <f t="shared" si="17"/>
        <v>-0.04877349754</v>
      </c>
      <c r="AG96" s="73">
        <f t="shared" si="18"/>
        <v>-1.243034343</v>
      </c>
      <c r="AH96" s="73">
        <f t="shared" si="19"/>
        <v>0.439324091</v>
      </c>
      <c r="AI96" s="73">
        <f t="shared" si="20"/>
        <v>-0.5847290887</v>
      </c>
      <c r="AJ96" s="73">
        <f t="shared" si="21"/>
        <v>-0.9723047469</v>
      </c>
      <c r="AK96" s="73">
        <f t="shared" si="22"/>
        <v>-0.164440266</v>
      </c>
      <c r="AL96" s="73">
        <f t="shared" si="23"/>
        <v>0.9195820625</v>
      </c>
      <c r="AM96" s="73">
        <f t="shared" si="24"/>
        <v>-0.1615190304</v>
      </c>
      <c r="AN96" s="120">
        <f t="shared" si="25"/>
        <v>-1.243034343</v>
      </c>
      <c r="AO96" s="120">
        <f t="shared" si="26"/>
        <v>-2.21533909</v>
      </c>
      <c r="AP96" s="120">
        <f t="array" ref="AP96">INDIRECT("Update"&amp;Projections!$AH$17&amp;"!S"&amp;ROW(B77))</f>
        <v>14.2</v>
      </c>
      <c r="AQ96" s="120">
        <f t="array" ref="AQ96">INDIRECT("Update"&amp;Projections!$AH$17&amp;"!T"&amp;ROW(B77))</f>
        <v>5.4</v>
      </c>
      <c r="AR96" s="100">
        <f t="shared" si="27"/>
        <v>0.3478403178</v>
      </c>
    </row>
    <row r="97">
      <c r="A97" s="40" t="str">
        <f t="shared" si="3"/>
        <v>Jakob Poeltl</v>
      </c>
      <c r="B97" s="42">
        <f t="shared" si="4"/>
        <v>-0.9514527815</v>
      </c>
      <c r="C97" s="43">
        <f t="shared" si="5"/>
        <v>-1.740686581</v>
      </c>
      <c r="D97" s="42">
        <f t="shared" si="6"/>
        <v>1.189000666</v>
      </c>
      <c r="E97" s="42">
        <f t="shared" si="7"/>
        <v>-0.5630348583</v>
      </c>
      <c r="F97" s="42">
        <f t="shared" si="8"/>
        <v>-0.2527964105</v>
      </c>
      <c r="G97" s="42">
        <f t="shared" si="9"/>
        <v>1.168419678</v>
      </c>
      <c r="H97" s="42">
        <f t="shared" si="10"/>
        <v>1.408981051</v>
      </c>
      <c r="I97" s="42">
        <f>UpdateHashtag!S95</f>
        <v>8.4</v>
      </c>
      <c r="J97" s="47">
        <f t="shared" si="11"/>
        <v>-2.024898622</v>
      </c>
      <c r="K97" s="48">
        <f>UpdateHashtag!T95</f>
        <v>2.6</v>
      </c>
      <c r="L97" s="42">
        <f t="shared" si="12"/>
        <v>-0.04827385557</v>
      </c>
      <c r="N97" s="100">
        <f t="shared" si="13"/>
        <v>99</v>
      </c>
      <c r="O97" s="94">
        <f t="array" ref="O97">INDIRECT("Update"&amp;Projections!$AH$17&amp;"!B"&amp;ROW(B78))</f>
        <v>67.4</v>
      </c>
      <c r="P97" s="101" t="str">
        <f t="array" ref="P97">INDIRECT("Update"&amp;Projections!$AH$17&amp;"!C"&amp;ROW(B78))</f>
        <v>Josh Giddey</v>
      </c>
      <c r="Q97" s="94">
        <f>UpdateBBM!F78</f>
        <v>71</v>
      </c>
      <c r="R97" s="105" t="str">
        <f t="array" ref="R97">INDIRECT("Update"&amp;Projections!$AH$17&amp;"!D"&amp;ROW(B78))</f>
        <v>SG,SF</v>
      </c>
      <c r="S97" s="73">
        <f t="shared" si="14"/>
        <v>-0.2913788594</v>
      </c>
      <c r="T97" s="73">
        <f>SUM(AE97:AM97)-IFERROR(IFS(Projections!$I$17,AN97,Projections!$J$17,AO97),"")</f>
        <v>-0.2913788594</v>
      </c>
      <c r="U97" s="73">
        <f t="shared" si="15"/>
        <v>0</v>
      </c>
      <c r="V97" s="73">
        <f t="array" ref="V97">INDIRECT("Update"&amp;Projections!$AH$17&amp;"!M"&amp;ROW(B78))</f>
        <v>16.1</v>
      </c>
      <c r="W97" s="73">
        <f t="array" ref="W97">INDIRECT("Update"&amp;Projections!$AH$17&amp;"!L"&amp;ROW(B78))</f>
        <v>1.1</v>
      </c>
      <c r="X97" s="73">
        <f t="array" ref="X97">INDIRECT("Update"&amp;Projections!$AH$17&amp;"!N"&amp;ROW(B78))</f>
        <v>7.4</v>
      </c>
      <c r="Y97" s="73">
        <f t="array" ref="Y97">INDIRECT("Update"&amp;Projections!$AH$17&amp;"!O"&amp;ROW(B78))</f>
        <v>6.1</v>
      </c>
      <c r="Z97" s="73">
        <f t="array" ref="Z97">INDIRECT("Update"&amp;Projections!$AH$17&amp;"!P"&amp;ROW(B78))</f>
        <v>0.8</v>
      </c>
      <c r="AA97" s="73">
        <f t="array" ref="AA97">INDIRECT("Update"&amp;Projections!$AH$17&amp;"!Q"&amp;ROW(B78))</f>
        <v>0.5</v>
      </c>
      <c r="AB97" s="107">
        <f t="array" ref="AB97">INDIRECT("Update"&amp;Projections!$AH$17&amp;"!I"&amp;ROW(B78))</f>
        <v>0.479</v>
      </c>
      <c r="AC97" s="107">
        <f t="array" ref="AC97">INDIRECT("Update"&amp;Projections!$AH$17&amp;"!K"&amp;ROW(B78))</f>
        <v>0.795</v>
      </c>
      <c r="AD97" s="73">
        <f t="array" ref="AD97">INDIRECT("Update"&amp;Projections!$AH$17&amp;"!R"&amp;ROW(B78))</f>
        <v>2.7</v>
      </c>
      <c r="AE97" s="73">
        <f t="shared" si="16"/>
        <v>-0.246925505</v>
      </c>
      <c r="AF97" s="73">
        <f t="shared" si="17"/>
        <v>-0.6459192917</v>
      </c>
      <c r="AG97" s="73">
        <f t="shared" si="18"/>
        <v>0.5221523574</v>
      </c>
      <c r="AH97" s="73">
        <f t="shared" si="19"/>
        <v>0.986065336</v>
      </c>
      <c r="AI97" s="73">
        <f t="shared" si="20"/>
        <v>-0.5847290887</v>
      </c>
      <c r="AJ97" s="73">
        <f t="shared" si="21"/>
        <v>-0.4371236408</v>
      </c>
      <c r="AK97" s="73">
        <f t="shared" si="22"/>
        <v>-0.2954839391</v>
      </c>
      <c r="AL97" s="73">
        <f t="shared" si="23"/>
        <v>0.0005792916225</v>
      </c>
      <c r="AM97" s="73">
        <f t="shared" si="24"/>
        <v>-0.2359136709</v>
      </c>
      <c r="AN97" s="120">
        <f t="shared" si="25"/>
        <v>-0.6459192917</v>
      </c>
      <c r="AO97" s="120">
        <f t="shared" si="26"/>
        <v>-1.23064838</v>
      </c>
      <c r="AP97" s="120">
        <f t="array" ref="AP97">INDIRECT("Update"&amp;Projections!$AH$17&amp;"!S"&amp;ROW(B78))</f>
        <v>14.1</v>
      </c>
      <c r="AQ97" s="120">
        <f t="array" ref="AQ97">INDIRECT("Update"&amp;Projections!$AH$17&amp;"!T"&amp;ROW(B78))</f>
        <v>1.9</v>
      </c>
      <c r="AR97" s="100">
        <f t="shared" si="27"/>
        <v>0.3335410146</v>
      </c>
    </row>
    <row r="98">
      <c r="A98" s="40" t="str">
        <f t="shared" si="3"/>
        <v>Amen Thompson</v>
      </c>
      <c r="B98" s="42">
        <f t="shared" si="4"/>
        <v>-0.9875823855</v>
      </c>
      <c r="C98" s="43">
        <f t="shared" si="5"/>
        <v>-1.442113684</v>
      </c>
      <c r="D98" s="42">
        <f t="shared" si="6"/>
        <v>0.4436996151</v>
      </c>
      <c r="E98" s="42">
        <f t="shared" si="7"/>
        <v>-0.3352260062</v>
      </c>
      <c r="F98" s="42">
        <f t="shared" si="8"/>
        <v>1.738799658</v>
      </c>
      <c r="G98" s="42">
        <f t="shared" si="9"/>
        <v>0.09805746537</v>
      </c>
      <c r="H98" s="42">
        <f t="shared" si="10"/>
        <v>0.3387936417</v>
      </c>
      <c r="I98" s="42">
        <f>UpdateHashtag!S96</f>
        <v>9</v>
      </c>
      <c r="J98" s="47">
        <f t="shared" si="11"/>
        <v>-0.8224346229</v>
      </c>
      <c r="K98" s="48">
        <f>UpdateHashtag!T96</f>
        <v>3.1</v>
      </c>
      <c r="L98" s="42">
        <f t="shared" si="12"/>
        <v>0.05091899834</v>
      </c>
      <c r="N98" s="100">
        <f t="shared" si="13"/>
        <v>86</v>
      </c>
      <c r="O98" s="94">
        <f t="array" ref="O98">INDIRECT("Update"&amp;Projections!$AH$17&amp;"!B"&amp;ROW(B79))</f>
        <v>99.3</v>
      </c>
      <c r="P98" s="101" t="str">
        <f t="array" ref="P98">INDIRECT("Update"&amp;Projections!$AH$17&amp;"!C"&amp;ROW(B79))</f>
        <v>Mark Williams</v>
      </c>
      <c r="Q98" s="94">
        <f>UpdateBBM!F79</f>
        <v>53</v>
      </c>
      <c r="R98" s="105" t="str">
        <f t="array" ref="R98">INDIRECT("Update"&amp;Projections!$AH$17&amp;"!D"&amp;ROW(B79))</f>
        <v>C</v>
      </c>
      <c r="S98" s="73">
        <f t="shared" si="14"/>
        <v>0.1571277586</v>
      </c>
      <c r="T98" s="73">
        <f>SUM(AE98:AM98)-IFERROR(IFS(Projections!$I$17,AN98,Projections!$J$17,AO98),"")</f>
        <v>0.1571277586</v>
      </c>
      <c r="U98" s="73">
        <f t="shared" si="15"/>
        <v>0</v>
      </c>
      <c r="V98" s="73">
        <f t="array" ref="V98">INDIRECT("Update"&amp;Projections!$AH$17&amp;"!M"&amp;ROW(B79))</f>
        <v>12.6</v>
      </c>
      <c r="W98" s="73">
        <f t="array" ref="W98">INDIRECT("Update"&amp;Projections!$AH$17&amp;"!L"&amp;ROW(B79))</f>
        <v>0</v>
      </c>
      <c r="X98" s="73">
        <f t="array" ref="X98">INDIRECT("Update"&amp;Projections!$AH$17&amp;"!N"&amp;ROW(B79))</f>
        <v>9.7</v>
      </c>
      <c r="Y98" s="73">
        <f t="array" ref="Y98">INDIRECT("Update"&amp;Projections!$AH$17&amp;"!O"&amp;ROW(B79))</f>
        <v>0.8</v>
      </c>
      <c r="Z98" s="73">
        <f t="array" ref="Z98">INDIRECT("Update"&amp;Projections!$AH$17&amp;"!P"&amp;ROW(B79))</f>
        <v>0.9</v>
      </c>
      <c r="AA98" s="73">
        <f t="array" ref="AA98">INDIRECT("Update"&amp;Projections!$AH$17&amp;"!Q"&amp;ROW(B79))</f>
        <v>1.2</v>
      </c>
      <c r="AB98" s="107">
        <f t="array" ref="AB98">INDIRECT("Update"&amp;Projections!$AH$17&amp;"!I"&amp;ROW(B79))</f>
        <v>0.641</v>
      </c>
      <c r="AC98" s="107">
        <f t="array" ref="AC98">INDIRECT("Update"&amp;Projections!$AH$17&amp;"!K"&amp;ROW(B79))</f>
        <v>0.704</v>
      </c>
      <c r="AD98" s="73">
        <f t="array" ref="AD98">INDIRECT("Update"&amp;Projections!$AH$17&amp;"!R"&amp;ROW(B79))</f>
        <v>1.1</v>
      </c>
      <c r="AE98" s="73">
        <f t="shared" si="16"/>
        <v>-0.8791935737</v>
      </c>
      <c r="AF98" s="73">
        <f t="shared" si="17"/>
        <v>-1.740686581</v>
      </c>
      <c r="AG98" s="73">
        <f t="shared" si="18"/>
        <v>1.424358893</v>
      </c>
      <c r="AH98" s="73">
        <f t="shared" si="19"/>
        <v>-1.428708496</v>
      </c>
      <c r="AI98" s="73">
        <f t="shared" si="20"/>
        <v>-0.2527964105</v>
      </c>
      <c r="AJ98" s="73">
        <f t="shared" si="21"/>
        <v>0.8116322736</v>
      </c>
      <c r="AK98" s="73">
        <f t="shared" si="22"/>
        <v>1.351262723</v>
      </c>
      <c r="AL98" s="73">
        <f t="shared" si="23"/>
        <v>-1.030285395</v>
      </c>
      <c r="AM98" s="73">
        <f t="shared" si="24"/>
        <v>0.1608577447</v>
      </c>
      <c r="AN98" s="120">
        <f t="shared" si="25"/>
        <v>-1.740686581</v>
      </c>
      <c r="AO98" s="120">
        <f t="shared" si="26"/>
        <v>-3.169395077</v>
      </c>
      <c r="AP98" s="120">
        <f t="array" ref="AP98">INDIRECT("Update"&amp;Projections!$AH$17&amp;"!S"&amp;ROW(B79))</f>
        <v>8</v>
      </c>
      <c r="AQ98" s="120">
        <f t="array" ref="AQ98">INDIRECT("Update"&amp;Projections!$AH$17&amp;"!T"&amp;ROW(B79))</f>
        <v>3.2</v>
      </c>
      <c r="AR98" s="100">
        <f t="shared" si="27"/>
        <v>0.2724484944</v>
      </c>
    </row>
    <row r="99">
      <c r="A99" s="40" t="str">
        <f t="shared" si="3"/>
        <v>CJ McCollum</v>
      </c>
      <c r="B99" s="42">
        <f t="shared" si="4"/>
        <v>0.1505001382</v>
      </c>
      <c r="C99" s="43">
        <f t="shared" si="5"/>
        <v>1.045993792</v>
      </c>
      <c r="D99" s="42">
        <f t="shared" si="6"/>
        <v>-0.850770632</v>
      </c>
      <c r="E99" s="42">
        <f t="shared" si="7"/>
        <v>0.07482992758</v>
      </c>
      <c r="F99" s="42">
        <f t="shared" si="8"/>
        <v>-0.5847290887</v>
      </c>
      <c r="G99" s="42">
        <f t="shared" si="9"/>
        <v>-0.4371236408</v>
      </c>
      <c r="H99" s="42">
        <f t="shared" si="10"/>
        <v>-0.8065849999</v>
      </c>
      <c r="I99" s="42">
        <f>UpdateHashtag!S97</f>
        <v>15</v>
      </c>
      <c r="J99" s="47">
        <f t="shared" si="11"/>
        <v>0.1554612328</v>
      </c>
      <c r="K99" s="48">
        <f>UpdateHashtag!T97</f>
        <v>2.3</v>
      </c>
      <c r="L99" s="42">
        <f t="shared" si="12"/>
        <v>0.1501118522</v>
      </c>
      <c r="N99" s="100">
        <f t="shared" si="13"/>
        <v>59</v>
      </c>
      <c r="O99" s="94">
        <f t="array" ref="O99">INDIRECT("Update"&amp;Projections!$AH$17&amp;"!B"&amp;ROW(B80))</f>
        <v>101.8</v>
      </c>
      <c r="P99" s="101" t="str">
        <f t="array" ref="P99">INDIRECT("Update"&amp;Projections!$AH$17&amp;"!C"&amp;ROW(B80))</f>
        <v>Jalen Suggs</v>
      </c>
      <c r="Q99" s="94">
        <f>UpdateBBM!F80</f>
        <v>66</v>
      </c>
      <c r="R99" s="105" t="str">
        <f t="array" ref="R99">INDIRECT("Update"&amp;Projections!$AH$17&amp;"!D"&amp;ROW(B80))</f>
        <v>PG,SG</v>
      </c>
      <c r="S99" s="73">
        <f t="shared" si="14"/>
        <v>0.8841082016</v>
      </c>
      <c r="T99" s="73">
        <f>SUM(AE99:AM99)-IFERROR(IFS(Projections!$I$17,AN99,Projections!$J$17,AO99),"")</f>
        <v>0.8841082016</v>
      </c>
      <c r="U99" s="73">
        <f t="shared" si="15"/>
        <v>0</v>
      </c>
      <c r="V99" s="73">
        <f t="array" ref="V99">INDIRECT("Update"&amp;Projections!$AH$17&amp;"!M"&amp;ROW(B80))</f>
        <v>14</v>
      </c>
      <c r="W99" s="73">
        <f t="array" ref="W99">INDIRECT("Update"&amp;Projections!$AH$17&amp;"!L"&amp;ROW(B80))</f>
        <v>2.2</v>
      </c>
      <c r="X99" s="73">
        <f t="array" ref="X99">INDIRECT("Update"&amp;Projections!$AH$17&amp;"!N"&amp;ROW(B80))</f>
        <v>3.5</v>
      </c>
      <c r="Y99" s="73">
        <f t="array" ref="Y99">INDIRECT("Update"&amp;Projections!$AH$17&amp;"!O"&amp;ROW(B80))</f>
        <v>3.6</v>
      </c>
      <c r="Z99" s="73">
        <f t="array" ref="Z99">INDIRECT("Update"&amp;Projections!$AH$17&amp;"!P"&amp;ROW(B80))</f>
        <v>1.6</v>
      </c>
      <c r="AA99" s="73">
        <f t="array" ref="AA99">INDIRECT("Update"&amp;Projections!$AH$17&amp;"!Q"&amp;ROW(B80))</f>
        <v>0.7</v>
      </c>
      <c r="AB99" s="107">
        <f t="array" ref="AB99">INDIRECT("Update"&amp;Projections!$AH$17&amp;"!I"&amp;ROW(B80))</f>
        <v>0.465</v>
      </c>
      <c r="AC99" s="107">
        <f t="array" ref="AC99">INDIRECT("Update"&amp;Projections!$AH$17&amp;"!K"&amp;ROW(B80))</f>
        <v>0.758</v>
      </c>
      <c r="AD99" s="73">
        <f t="array" ref="AD99">INDIRECT("Update"&amp;Projections!$AH$17&amp;"!R"&amp;ROW(B80))</f>
        <v>2</v>
      </c>
      <c r="AE99" s="73">
        <f t="shared" si="16"/>
        <v>-0.6262863462</v>
      </c>
      <c r="AF99" s="73">
        <f t="shared" si="17"/>
        <v>0.4488479976</v>
      </c>
      <c r="AG99" s="73">
        <f t="shared" si="18"/>
        <v>-1.007676117</v>
      </c>
      <c r="AH99" s="73">
        <f t="shared" si="19"/>
        <v>-0.1529789245</v>
      </c>
      <c r="AI99" s="73">
        <f t="shared" si="20"/>
        <v>2.070732337</v>
      </c>
      <c r="AJ99" s="73">
        <f t="shared" si="21"/>
        <v>-0.08033623669</v>
      </c>
      <c r="AK99" s="73">
        <f t="shared" si="22"/>
        <v>-0.3997982297</v>
      </c>
      <c r="AL99" s="73">
        <f t="shared" si="23"/>
        <v>-0.313746219</v>
      </c>
      <c r="AM99" s="73">
        <f t="shared" si="24"/>
        <v>-0.06232617654</v>
      </c>
      <c r="AN99" s="120">
        <f t="shared" si="25"/>
        <v>-1.007676117</v>
      </c>
      <c r="AO99" s="120">
        <f t="shared" si="26"/>
        <v>-1.633962463</v>
      </c>
      <c r="AP99" s="120">
        <f t="array" ref="AP99">INDIRECT("Update"&amp;Projections!$AH$17&amp;"!S"&amp;ROW(B80))</f>
        <v>10.7</v>
      </c>
      <c r="AQ99" s="120">
        <f t="array" ref="AQ99">INDIRECT("Update"&amp;Projections!$AH$17&amp;"!T"&amp;ROW(B80))</f>
        <v>2.4</v>
      </c>
      <c r="AR99" s="100">
        <f t="shared" si="27"/>
        <v>0.2704992278</v>
      </c>
    </row>
    <row r="100">
      <c r="A100" s="40" t="str">
        <f t="shared" si="3"/>
        <v>Cam Thomas</v>
      </c>
      <c r="B100" s="42">
        <f t="shared" si="4"/>
        <v>1.469230682</v>
      </c>
      <c r="C100" s="43">
        <f t="shared" si="5"/>
        <v>0.8469451937</v>
      </c>
      <c r="D100" s="42">
        <f t="shared" si="6"/>
        <v>-1.086128859</v>
      </c>
      <c r="E100" s="42">
        <f t="shared" si="7"/>
        <v>-0.4719113175</v>
      </c>
      <c r="F100" s="42">
        <f t="shared" si="8"/>
        <v>-0.9166617668</v>
      </c>
      <c r="G100" s="42">
        <f t="shared" si="9"/>
        <v>-0.7939110449</v>
      </c>
      <c r="H100" s="42">
        <f t="shared" si="10"/>
        <v>-1.379951908</v>
      </c>
      <c r="I100" s="42">
        <f>UpdateHashtag!S98</f>
        <v>20.7</v>
      </c>
      <c r="J100" s="47">
        <f t="shared" si="11"/>
        <v>1.287211784</v>
      </c>
      <c r="K100" s="48">
        <f>UpdateHashtag!T98</f>
        <v>5.5</v>
      </c>
      <c r="L100" s="42">
        <f t="shared" si="12"/>
        <v>0.2493047061</v>
      </c>
      <c r="N100" s="100">
        <f t="shared" si="13"/>
        <v>87</v>
      </c>
      <c r="O100" s="94">
        <f t="array" ref="O100">INDIRECT("Update"&amp;Projections!$AH$17&amp;"!B"&amp;ROW(B81))</f>
        <v>80.8</v>
      </c>
      <c r="P100" s="101" t="str">
        <f t="array" ref="P100">INDIRECT("Update"&amp;Projections!$AH$17&amp;"!C"&amp;ROW(B81))</f>
        <v>Jabari Smith Jr.</v>
      </c>
      <c r="Q100" s="94">
        <f>UpdateBBM!F81</f>
        <v>66</v>
      </c>
      <c r="R100" s="105" t="str">
        <f t="array" ref="R100">INDIRECT("Update"&amp;Projections!$AH$17&amp;"!D"&amp;ROW(B81))</f>
        <v>PF,C</v>
      </c>
      <c r="S100" s="73">
        <f t="shared" si="14"/>
        <v>0.08035400176</v>
      </c>
      <c r="T100" s="73">
        <f>SUM(AE100:AM100)-IFERROR(IFS(Projections!$I$17,AN100,Projections!$J$17,AO100),"")</f>
        <v>0.08035400176</v>
      </c>
      <c r="U100" s="73">
        <f t="shared" si="15"/>
        <v>0</v>
      </c>
      <c r="V100" s="73">
        <f t="array" ref="V100">INDIRECT("Update"&amp;Projections!$AH$17&amp;"!M"&amp;ROW(B81))</f>
        <v>14</v>
      </c>
      <c r="W100" s="73">
        <f t="array" ref="W100">INDIRECT("Update"&amp;Projections!$AH$17&amp;"!L"&amp;ROW(B81))</f>
        <v>1.9</v>
      </c>
      <c r="X100" s="73">
        <f t="array" ref="X100">INDIRECT("Update"&amp;Projections!$AH$17&amp;"!N"&amp;ROW(B81))</f>
        <v>8.4</v>
      </c>
      <c r="Y100" s="73">
        <f t="array" ref="Y100">INDIRECT("Update"&amp;Projections!$AH$17&amp;"!O"&amp;ROW(B81))</f>
        <v>1.5</v>
      </c>
      <c r="Z100" s="73">
        <f t="array" ref="Z100">INDIRECT("Update"&amp;Projections!$AH$17&amp;"!P"&amp;ROW(B81))</f>
        <v>0.8</v>
      </c>
      <c r="AA100" s="73">
        <f t="array" ref="AA100">INDIRECT("Update"&amp;Projections!$AH$17&amp;"!Q"&amp;ROW(B81))</f>
        <v>0.9</v>
      </c>
      <c r="AB100" s="107">
        <f t="array" ref="AB100">INDIRECT("Update"&amp;Projections!$AH$17&amp;"!I"&amp;ROW(B81))</f>
        <v>0.463</v>
      </c>
      <c r="AC100" s="107">
        <f t="array" ref="AC100">INDIRECT("Update"&amp;Projections!$AH$17&amp;"!K"&amp;ROW(B81))</f>
        <v>0.824</v>
      </c>
      <c r="AD100" s="73">
        <f t="array" ref="AD100">INDIRECT("Update"&amp;Projections!$AH$17&amp;"!R"&amp;ROW(B81))</f>
        <v>1.3</v>
      </c>
      <c r="AE100" s="73">
        <f t="shared" si="16"/>
        <v>-0.6262863462</v>
      </c>
      <c r="AF100" s="73">
        <f t="shared" si="17"/>
        <v>0.1502751005</v>
      </c>
      <c r="AG100" s="73">
        <f t="shared" si="18"/>
        <v>0.9144160686</v>
      </c>
      <c r="AH100" s="73">
        <f t="shared" si="19"/>
        <v>-1.109776103</v>
      </c>
      <c r="AI100" s="73">
        <f t="shared" si="20"/>
        <v>-0.5847290887</v>
      </c>
      <c r="AJ100" s="73">
        <f t="shared" si="21"/>
        <v>0.2764511674</v>
      </c>
      <c r="AK100" s="73">
        <f t="shared" si="22"/>
        <v>-0.4288498815</v>
      </c>
      <c r="AL100" s="73">
        <f t="shared" si="23"/>
        <v>0.2678156638</v>
      </c>
      <c r="AM100" s="73">
        <f t="shared" si="24"/>
        <v>0.1112613178</v>
      </c>
      <c r="AN100" s="120">
        <f t="shared" si="25"/>
        <v>-1.109776103</v>
      </c>
      <c r="AO100" s="120">
        <f t="shared" si="26"/>
        <v>-1.73606245</v>
      </c>
      <c r="AP100" s="120">
        <f t="array" ref="AP100">INDIRECT("Update"&amp;Projections!$AH$17&amp;"!S"&amp;ROW(B81))</f>
        <v>10.8</v>
      </c>
      <c r="AQ100" s="120">
        <f t="array" ref="AQ100">INDIRECT("Update"&amp;Projections!$AH$17&amp;"!T"&amp;ROW(B81))</f>
        <v>2.6</v>
      </c>
      <c r="AR100" s="100">
        <f t="shared" si="27"/>
        <v>0.2540436003</v>
      </c>
    </row>
    <row r="101">
      <c r="A101" s="40" t="str">
        <f t="shared" si="3"/>
        <v>Al Horford</v>
      </c>
      <c r="B101" s="42">
        <f t="shared" si="4"/>
        <v>-1.385008029</v>
      </c>
      <c r="C101" s="43">
        <f t="shared" si="5"/>
        <v>0.3493236986</v>
      </c>
      <c r="D101" s="42">
        <f t="shared" si="6"/>
        <v>0.2475677595</v>
      </c>
      <c r="E101" s="42">
        <f t="shared" si="7"/>
        <v>-0.4263495471</v>
      </c>
      <c r="F101" s="42">
        <f t="shared" si="8"/>
        <v>-1.248594445</v>
      </c>
      <c r="G101" s="42">
        <f t="shared" si="9"/>
        <v>0.4548448695</v>
      </c>
      <c r="H101" s="42">
        <f t="shared" si="10"/>
        <v>-0.03365738254</v>
      </c>
      <c r="I101" s="42">
        <f>UpdateHashtag!S99</f>
        <v>7.4</v>
      </c>
      <c r="J101" s="47">
        <f t="shared" si="11"/>
        <v>-0.005544313343</v>
      </c>
      <c r="K101" s="48">
        <f>UpdateHashtag!T99</f>
        <v>0.4</v>
      </c>
      <c r="L101" s="42">
        <f t="shared" si="12"/>
        <v>-1.040202395</v>
      </c>
      <c r="N101" s="100">
        <f t="shared" si="13"/>
        <v>70</v>
      </c>
      <c r="O101" s="94">
        <f t="array" ref="O101">INDIRECT("Update"&amp;Projections!$AH$17&amp;"!B"&amp;ROW(B82))</f>
        <v>138.9</v>
      </c>
      <c r="P101" s="101" t="str">
        <f t="array" ref="P101">INDIRECT("Update"&amp;Projections!$AH$17&amp;"!C"&amp;ROW(B82))</f>
        <v>Taylor Hendricks</v>
      </c>
      <c r="Q101" s="94">
        <f>UpdateBBM!F82</f>
        <v>71</v>
      </c>
      <c r="R101" s="105" t="str">
        <f t="array" ref="R101">INDIRECT("Update"&amp;Projections!$AH$17&amp;"!D"&amp;ROW(B82))</f>
        <v>SF,PF</v>
      </c>
      <c r="S101" s="73">
        <f t="shared" si="14"/>
        <v>0.4880697754</v>
      </c>
      <c r="T101" s="73">
        <f>SUM(AE101:AM101)-IFERROR(IFS(Projections!$I$17,AN101,Projections!$J$17,AO101),"")</f>
        <v>0.4880697754</v>
      </c>
      <c r="U101" s="73">
        <f t="shared" si="15"/>
        <v>0</v>
      </c>
      <c r="V101" s="73">
        <f t="array" ref="V101">INDIRECT("Update"&amp;Projections!$AH$17&amp;"!M"&amp;ROW(B82))</f>
        <v>11.4</v>
      </c>
      <c r="W101" s="73">
        <f t="array" ref="W101">INDIRECT("Update"&amp;Projections!$AH$17&amp;"!L"&amp;ROW(B82))</f>
        <v>2</v>
      </c>
      <c r="X101" s="73">
        <f t="array" ref="X101">INDIRECT("Update"&amp;Projections!$AH$17&amp;"!N"&amp;ROW(B82))</f>
        <v>7</v>
      </c>
      <c r="Y101" s="73">
        <f t="array" ref="Y101">INDIRECT("Update"&amp;Projections!$AH$17&amp;"!O"&amp;ROW(B82))</f>
        <v>1.2</v>
      </c>
      <c r="Z101" s="73">
        <f t="array" ref="Z101">INDIRECT("Update"&amp;Projections!$AH$17&amp;"!P"&amp;ROW(B82))</f>
        <v>1.1</v>
      </c>
      <c r="AA101" s="73">
        <f t="array" ref="AA101">INDIRECT("Update"&amp;Projections!$AH$17&amp;"!Q"&amp;ROW(B82))</f>
        <v>1.1</v>
      </c>
      <c r="AB101" s="107">
        <f t="array" ref="AB101">INDIRECT("Update"&amp;Projections!$AH$17&amp;"!I"&amp;ROW(B82))</f>
        <v>0.471</v>
      </c>
      <c r="AC101" s="107">
        <f t="array" ref="AC101">INDIRECT("Update"&amp;Projections!$AH$17&amp;"!K"&amp;ROW(B82))</f>
        <v>0.798</v>
      </c>
      <c r="AD101" s="73">
        <f t="array" ref="AD101">INDIRECT("Update"&amp;Projections!$AH$17&amp;"!R"&amp;ROW(B82))</f>
        <v>1</v>
      </c>
      <c r="AE101" s="73">
        <f t="shared" si="16"/>
        <v>-1.095971197</v>
      </c>
      <c r="AF101" s="73">
        <f t="shared" si="17"/>
        <v>0.2497993996</v>
      </c>
      <c r="AG101" s="73">
        <f t="shared" si="18"/>
        <v>0.3652468729</v>
      </c>
      <c r="AH101" s="73">
        <f t="shared" si="19"/>
        <v>-1.246461415</v>
      </c>
      <c r="AI101" s="73">
        <f t="shared" si="20"/>
        <v>0.4110689458</v>
      </c>
      <c r="AJ101" s="73">
        <f t="shared" si="21"/>
        <v>0.6332385715</v>
      </c>
      <c r="AK101" s="73">
        <f t="shared" si="22"/>
        <v>-0.2729908354</v>
      </c>
      <c r="AL101" s="73">
        <f t="shared" si="23"/>
        <v>0.01202206015</v>
      </c>
      <c r="AM101" s="73">
        <f t="shared" si="24"/>
        <v>0.1856559582</v>
      </c>
      <c r="AN101" s="120">
        <f t="shared" si="25"/>
        <v>-1.246461415</v>
      </c>
      <c r="AO101" s="120">
        <f t="shared" si="26"/>
        <v>-2.342432612</v>
      </c>
      <c r="AP101" s="120">
        <f t="array" ref="AP101">INDIRECT("Update"&amp;Projections!$AH$17&amp;"!S"&amp;ROW(B82))</f>
        <v>9</v>
      </c>
      <c r="AQ101" s="120">
        <f t="array" ref="AQ101">INDIRECT("Update"&amp;Projections!$AH$17&amp;"!T"&amp;ROW(B82))</f>
        <v>1.1</v>
      </c>
      <c r="AR101" s="100">
        <f t="shared" si="27"/>
        <v>0.2350194198</v>
      </c>
    </row>
    <row r="102">
      <c r="A102" s="40" t="str">
        <f t="shared" si="3"/>
        <v>Ivica Zubac</v>
      </c>
      <c r="B102" s="42">
        <f t="shared" si="4"/>
        <v>-0.9333879796</v>
      </c>
      <c r="C102" s="43">
        <f t="shared" si="5"/>
        <v>-1.740686581</v>
      </c>
      <c r="D102" s="42">
        <f t="shared" si="6"/>
        <v>1.581264378</v>
      </c>
      <c r="E102" s="42">
        <f t="shared" si="7"/>
        <v>-1.200899644</v>
      </c>
      <c r="F102" s="42">
        <f t="shared" si="8"/>
        <v>-1.912459801</v>
      </c>
      <c r="G102" s="42">
        <f t="shared" si="9"/>
        <v>1.168419678</v>
      </c>
      <c r="H102" s="42">
        <f t="shared" si="10"/>
        <v>1.343630746</v>
      </c>
      <c r="I102" s="42">
        <f>UpdateHashtag!S100</f>
        <v>7.9</v>
      </c>
      <c r="J102" s="47">
        <f t="shared" si="11"/>
        <v>-0.943196991</v>
      </c>
      <c r="K102" s="48">
        <f>UpdateHashtag!T100</f>
        <v>3.1</v>
      </c>
      <c r="L102" s="42">
        <f t="shared" si="12"/>
        <v>-0.2466595634</v>
      </c>
      <c r="N102" s="100">
        <f t="shared" si="13"/>
        <v>66</v>
      </c>
      <c r="O102" s="94">
        <f t="array" ref="O102">INDIRECT("Update"&amp;Projections!$AH$17&amp;"!B"&amp;ROW(B83))</f>
        <v>90.4</v>
      </c>
      <c r="P102" s="101" t="str">
        <f t="array" ref="P102">INDIRECT("Update"&amp;Projections!$AH$17&amp;"!C"&amp;ROW(B83))</f>
        <v>Bogdan Bogdanovic</v>
      </c>
      <c r="Q102" s="94">
        <f>UpdateBBM!F83</f>
        <v>71</v>
      </c>
      <c r="R102" s="105" t="str">
        <f t="array" ref="R102">INDIRECT("Update"&amp;Projections!$AH$17&amp;"!D"&amp;ROW(B83))</f>
        <v>SG,SF</v>
      </c>
      <c r="S102" s="73">
        <f t="shared" si="14"/>
        <v>0.5837576985</v>
      </c>
      <c r="T102" s="73">
        <f>SUM(AE102:AM102)-IFERROR(IFS(Projections!$I$17,AN102,Projections!$J$17,AO102),"")</f>
        <v>0.5837576985</v>
      </c>
      <c r="U102" s="73">
        <f t="shared" si="15"/>
        <v>0</v>
      </c>
      <c r="V102" s="73">
        <f t="array" ref="V102">INDIRECT("Update"&amp;Projections!$AH$17&amp;"!M"&amp;ROW(B83))</f>
        <v>17.1</v>
      </c>
      <c r="W102" s="73">
        <f t="array" ref="W102">INDIRECT("Update"&amp;Projections!$AH$17&amp;"!L"&amp;ROW(B83))</f>
        <v>3.1</v>
      </c>
      <c r="X102" s="73">
        <f t="array" ref="X102">INDIRECT("Update"&amp;Projections!$AH$17&amp;"!N"&amp;ROW(B83))</f>
        <v>3.5</v>
      </c>
      <c r="Y102" s="73">
        <f t="array" ref="Y102">INDIRECT("Update"&amp;Projections!$AH$17&amp;"!O"&amp;ROW(B83))</f>
        <v>3.2</v>
      </c>
      <c r="Z102" s="73">
        <f t="array" ref="Z102">INDIRECT("Update"&amp;Projections!$AH$17&amp;"!P"&amp;ROW(B83))</f>
        <v>1.1</v>
      </c>
      <c r="AA102" s="73">
        <f t="array" ref="AA102">INDIRECT("Update"&amp;Projections!$AH$17&amp;"!Q"&amp;ROW(B83))</f>
        <v>0.4</v>
      </c>
      <c r="AB102" s="107">
        <f t="array" ref="AB102">INDIRECT("Update"&amp;Projections!$AH$17&amp;"!I"&amp;ROW(B83))</f>
        <v>0.434</v>
      </c>
      <c r="AC102" s="107">
        <f t="array" ref="AC102">INDIRECT("Update"&amp;Projections!$AH$17&amp;"!K"&amp;ROW(B83))</f>
        <v>0.889</v>
      </c>
      <c r="AD102" s="73">
        <f t="array" ref="AD102">INDIRECT("Update"&amp;Projections!$AH$17&amp;"!R"&amp;ROW(B83))</f>
        <v>1.4</v>
      </c>
      <c r="AE102" s="73">
        <f t="shared" si="16"/>
        <v>-0.06627748535</v>
      </c>
      <c r="AF102" s="73">
        <f t="shared" si="17"/>
        <v>1.344566689</v>
      </c>
      <c r="AG102" s="73">
        <f t="shared" si="18"/>
        <v>-1.007676117</v>
      </c>
      <c r="AH102" s="73">
        <f t="shared" si="19"/>
        <v>-0.3352260062</v>
      </c>
      <c r="AI102" s="73">
        <f t="shared" si="20"/>
        <v>0.4110689458</v>
      </c>
      <c r="AJ102" s="73">
        <f t="shared" si="21"/>
        <v>-0.6155173428</v>
      </c>
      <c r="AK102" s="73">
        <f t="shared" si="22"/>
        <v>-1.00963998</v>
      </c>
      <c r="AL102" s="73">
        <f t="shared" si="23"/>
        <v>0.7663559104</v>
      </c>
      <c r="AM102" s="73">
        <f t="shared" si="24"/>
        <v>0.08646310432</v>
      </c>
      <c r="AN102" s="120">
        <f t="shared" si="25"/>
        <v>-1.00963998</v>
      </c>
      <c r="AO102" s="120">
        <f t="shared" si="26"/>
        <v>-2.017316096</v>
      </c>
      <c r="AP102" s="120">
        <f t="array" ref="AP102">INDIRECT("Update"&amp;Projections!$AH$17&amp;"!S"&amp;ROW(B83))</f>
        <v>13.7</v>
      </c>
      <c r="AQ102" s="120">
        <f t="array" ref="AQ102">INDIRECT("Update"&amp;Projections!$AH$17&amp;"!T"&amp;ROW(B83))</f>
        <v>2.3</v>
      </c>
      <c r="AR102" s="100">
        <f t="shared" si="27"/>
        <v>0.1799495928</v>
      </c>
    </row>
    <row r="103">
      <c r="A103" s="40" t="str">
        <f t="shared" si="3"/>
        <v>Khris Middleton</v>
      </c>
      <c r="B103" s="42">
        <f t="shared" si="4"/>
        <v>-0.1927310991</v>
      </c>
      <c r="C103" s="43">
        <f t="shared" si="5"/>
        <v>-0.04877349754</v>
      </c>
      <c r="D103" s="42">
        <f t="shared" si="6"/>
        <v>-0.6546387764</v>
      </c>
      <c r="E103" s="42">
        <f t="shared" si="7"/>
        <v>0.3482005501</v>
      </c>
      <c r="F103" s="42">
        <f t="shared" si="8"/>
        <v>-0.5847290887</v>
      </c>
      <c r="G103" s="42">
        <f t="shared" si="9"/>
        <v>-0.9723047469</v>
      </c>
      <c r="H103" s="42">
        <f t="shared" si="10"/>
        <v>-0.2249799344</v>
      </c>
      <c r="I103" s="42">
        <f>UpdateHashtag!S101</f>
        <v>12.9</v>
      </c>
      <c r="J103" s="47">
        <f t="shared" si="11"/>
        <v>0.6637462433</v>
      </c>
      <c r="K103" s="48">
        <f>UpdateHashtag!T101</f>
        <v>2.6</v>
      </c>
      <c r="L103" s="42">
        <f t="shared" si="12"/>
        <v>0.6460761218</v>
      </c>
      <c r="N103" s="100">
        <f t="shared" si="13"/>
        <v>56</v>
      </c>
      <c r="O103" s="94">
        <f t="array" ref="O103">INDIRECT("Update"&amp;Projections!$AH$17&amp;"!B"&amp;ROW(B84))</f>
        <v>34.6</v>
      </c>
      <c r="P103" s="101" t="str">
        <f t="array" ref="P103">INDIRECT("Update"&amp;Projections!$AH$17&amp;"!C"&amp;ROW(B84))</f>
        <v>Paolo Banchero</v>
      </c>
      <c r="Q103" s="94">
        <f>UpdateBBM!F84</f>
        <v>71</v>
      </c>
      <c r="R103" s="105" t="str">
        <f t="array" ref="R103">INDIRECT("Update"&amp;Projections!$AH$17&amp;"!D"&amp;ROW(B84))</f>
        <v>SF,PF</v>
      </c>
      <c r="S103" s="73">
        <f t="shared" si="14"/>
        <v>1.172457542</v>
      </c>
      <c r="T103" s="73">
        <f>SUM(AE103:AM103)-IFERROR(IFS(Projections!$I$17,AN103,Projections!$J$17,AO103),"")</f>
        <v>1.172457542</v>
      </c>
      <c r="U103" s="73">
        <f t="shared" si="15"/>
        <v>0</v>
      </c>
      <c r="V103" s="73">
        <f t="array" ref="V103">INDIRECT("Update"&amp;Projections!$AH$17&amp;"!M"&amp;ROW(B84))</f>
        <v>23.1</v>
      </c>
      <c r="W103" s="73">
        <f t="array" ref="W103">INDIRECT("Update"&amp;Projections!$AH$17&amp;"!L"&amp;ROW(B84))</f>
        <v>1.6</v>
      </c>
      <c r="X103" s="73">
        <f t="array" ref="X103">INDIRECT("Update"&amp;Projections!$AH$17&amp;"!N"&amp;ROW(B84))</f>
        <v>7.4</v>
      </c>
      <c r="Y103" s="73">
        <f t="array" ref="Y103">INDIRECT("Update"&amp;Projections!$AH$17&amp;"!O"&amp;ROW(B84))</f>
        <v>5.7</v>
      </c>
      <c r="Z103" s="73">
        <f t="array" ref="Z103">INDIRECT("Update"&amp;Projections!$AH$17&amp;"!P"&amp;ROW(B84))</f>
        <v>1</v>
      </c>
      <c r="AA103" s="73">
        <f t="array" ref="AA103">INDIRECT("Update"&amp;Projections!$AH$17&amp;"!Q"&amp;ROW(B84))</f>
        <v>0.7</v>
      </c>
      <c r="AB103" s="107">
        <f t="array" ref="AB103">INDIRECT("Update"&amp;Projections!$AH$17&amp;"!I"&amp;ROW(B84))</f>
        <v>0.462</v>
      </c>
      <c r="AC103" s="107">
        <f t="array" ref="AC103">INDIRECT("Update"&amp;Projections!$AH$17&amp;"!K"&amp;ROW(B84))</f>
        <v>0.731</v>
      </c>
      <c r="AD103" s="73">
        <f t="array" ref="AD103">INDIRECT("Update"&amp;Projections!$AH$17&amp;"!R"&amp;ROW(B84))</f>
        <v>3</v>
      </c>
      <c r="AE103" s="73">
        <f t="shared" si="16"/>
        <v>1.017610632</v>
      </c>
      <c r="AF103" s="73">
        <f t="shared" si="17"/>
        <v>-0.1482977966</v>
      </c>
      <c r="AG103" s="73">
        <f t="shared" si="18"/>
        <v>0.5221523574</v>
      </c>
      <c r="AH103" s="73">
        <f t="shared" si="19"/>
        <v>0.8038182543</v>
      </c>
      <c r="AI103" s="73">
        <f t="shared" si="20"/>
        <v>0.07913626764</v>
      </c>
      <c r="AJ103" s="73">
        <f t="shared" si="21"/>
        <v>-0.08033623669</v>
      </c>
      <c r="AK103" s="73">
        <f t="shared" si="22"/>
        <v>-0.711317625</v>
      </c>
      <c r="AL103" s="73">
        <f t="shared" si="23"/>
        <v>-1.674959576</v>
      </c>
      <c r="AM103" s="73">
        <f t="shared" si="24"/>
        <v>-0.3103083113</v>
      </c>
      <c r="AN103" s="120">
        <f t="shared" si="25"/>
        <v>-1.674959576</v>
      </c>
      <c r="AO103" s="120">
        <f t="shared" si="26"/>
        <v>-2.386277201</v>
      </c>
      <c r="AP103" s="120">
        <f t="array" ref="AP103">INDIRECT("Update"&amp;Projections!$AH$17&amp;"!S"&amp;ROW(B84))</f>
        <v>17.4</v>
      </c>
      <c r="AQ103" s="120">
        <f t="array" ref="AQ103">INDIRECT("Update"&amp;Projections!$AH$17&amp;"!T"&amp;ROW(B84))</f>
        <v>7.4</v>
      </c>
      <c r="AR103" s="100">
        <f t="shared" si="27"/>
        <v>0.1758205973</v>
      </c>
    </row>
    <row r="104">
      <c r="A104" s="40" t="str">
        <f t="shared" si="3"/>
        <v>Mike Conley</v>
      </c>
      <c r="B104" s="42">
        <f t="shared" si="4"/>
        <v>-1.059841593</v>
      </c>
      <c r="C104" s="43">
        <f t="shared" si="5"/>
        <v>0.4488479976</v>
      </c>
      <c r="D104" s="42">
        <f t="shared" si="6"/>
        <v>-1.282260714</v>
      </c>
      <c r="E104" s="42">
        <f t="shared" si="7"/>
        <v>0.9405035656</v>
      </c>
      <c r="F104" s="42">
        <f t="shared" si="8"/>
        <v>0.4110689458</v>
      </c>
      <c r="G104" s="42">
        <f t="shared" si="9"/>
        <v>-0.9723047469</v>
      </c>
      <c r="H104" s="42">
        <f t="shared" si="10"/>
        <v>-0.5595869715</v>
      </c>
      <c r="I104" s="42">
        <f>UpdateHashtag!S102</f>
        <v>8.7</v>
      </c>
      <c r="J104" s="47">
        <f t="shared" si="11"/>
        <v>0.6061618416</v>
      </c>
      <c r="K104" s="48">
        <f>UpdateHashtag!T102</f>
        <v>1.9</v>
      </c>
      <c r="L104" s="42">
        <f t="shared" si="12"/>
        <v>-0.3458524173</v>
      </c>
      <c r="N104" s="100">
        <f t="shared" si="13"/>
        <v>96</v>
      </c>
      <c r="O104" s="94">
        <f t="array" ref="O104">INDIRECT("Update"&amp;Projections!$AH$17&amp;"!B"&amp;ROW(B85))</f>
        <v>87.2</v>
      </c>
      <c r="P104" s="101" t="str">
        <f t="array" ref="P104">INDIRECT("Update"&amp;Projections!$AH$17&amp;"!C"&amp;ROW(B85))</f>
        <v>Austin Reaves</v>
      </c>
      <c r="Q104" s="94">
        <f>UpdateBBM!F85</f>
        <v>71</v>
      </c>
      <c r="R104" s="105" t="str">
        <f t="array" ref="R104">INDIRECT("Update"&amp;Projections!$AH$17&amp;"!D"&amp;ROW(B85))</f>
        <v>PG,SG</v>
      </c>
      <c r="S104" s="73">
        <f t="shared" si="14"/>
        <v>-0.2831321753</v>
      </c>
      <c r="T104" s="73">
        <f>SUM(AE104:AM104)-IFERROR(IFS(Projections!$I$17,AN104,Projections!$J$17,AO104),"")</f>
        <v>-0.2831321753</v>
      </c>
      <c r="U104" s="73">
        <f t="shared" si="15"/>
        <v>0</v>
      </c>
      <c r="V104" s="73">
        <f t="array" ref="V104">INDIRECT("Update"&amp;Projections!$AH$17&amp;"!M"&amp;ROW(B85))</f>
        <v>15.7</v>
      </c>
      <c r="W104" s="73">
        <f t="array" ref="W104">INDIRECT("Update"&amp;Projections!$AH$17&amp;"!L"&amp;ROW(B85))</f>
        <v>2</v>
      </c>
      <c r="X104" s="73">
        <f t="array" ref="X104">INDIRECT("Update"&amp;Projections!$AH$17&amp;"!N"&amp;ROW(B85))</f>
        <v>4</v>
      </c>
      <c r="Y104" s="73">
        <f t="array" ref="Y104">INDIRECT("Update"&amp;Projections!$AH$17&amp;"!O"&amp;ROW(B85))</f>
        <v>5.1</v>
      </c>
      <c r="Z104" s="73">
        <f t="array" ref="Z104">INDIRECT("Update"&amp;Projections!$AH$17&amp;"!P"&amp;ROW(B85))</f>
        <v>0.8</v>
      </c>
      <c r="AA104" s="73">
        <f t="array" ref="AA104">INDIRECT("Update"&amp;Projections!$AH$17&amp;"!Q"&amp;ROW(B85))</f>
        <v>0.3</v>
      </c>
      <c r="AB104" s="107">
        <f t="array" ref="AB104">INDIRECT("Update"&amp;Projections!$AH$17&amp;"!I"&amp;ROW(B85))</f>
        <v>0.482</v>
      </c>
      <c r="AC104" s="107">
        <f t="array" ref="AC104">INDIRECT("Update"&amp;Projections!$AH$17&amp;"!K"&amp;ROW(B85))</f>
        <v>0.859</v>
      </c>
      <c r="AD104" s="73">
        <f t="array" ref="AD104">INDIRECT("Update"&amp;Projections!$AH$17&amp;"!R"&amp;ROW(B85))</f>
        <v>2</v>
      </c>
      <c r="AE104" s="73">
        <f t="shared" si="16"/>
        <v>-0.3191847128</v>
      </c>
      <c r="AF104" s="73">
        <f t="shared" si="17"/>
        <v>0.2497993996</v>
      </c>
      <c r="AG104" s="73">
        <f t="shared" si="18"/>
        <v>-0.8115442609</v>
      </c>
      <c r="AH104" s="73">
        <f t="shared" si="19"/>
        <v>0.5304476318</v>
      </c>
      <c r="AI104" s="73">
        <f t="shared" si="20"/>
        <v>-0.5847290887</v>
      </c>
      <c r="AJ104" s="73">
        <f t="shared" si="21"/>
        <v>-0.7939110449</v>
      </c>
      <c r="AK104" s="73">
        <f t="shared" si="22"/>
        <v>-0.1883552939</v>
      </c>
      <c r="AL104" s="73">
        <f t="shared" si="23"/>
        <v>0.8851271102</v>
      </c>
      <c r="AM104" s="73">
        <f t="shared" si="24"/>
        <v>-0.06232617654</v>
      </c>
      <c r="AN104" s="120">
        <f t="shared" si="25"/>
        <v>-0.8115442609</v>
      </c>
      <c r="AO104" s="120">
        <f t="shared" si="26"/>
        <v>-1.605455306</v>
      </c>
      <c r="AP104" s="120">
        <f t="array" ref="AP104">INDIRECT("Update"&amp;Projections!$AH$17&amp;"!S"&amp;ROW(B85))</f>
        <v>10.8</v>
      </c>
      <c r="AQ104" s="120">
        <f t="array" ref="AQ104">INDIRECT("Update"&amp;Projections!$AH$17&amp;"!T"&amp;ROW(B85))</f>
        <v>3.9</v>
      </c>
      <c r="AR104" s="100">
        <f t="shared" si="27"/>
        <v>0.1647210036</v>
      </c>
    </row>
    <row r="105">
      <c r="A105" s="40" t="str">
        <f t="shared" si="3"/>
        <v>Jonas Valanciunas</v>
      </c>
      <c r="B105" s="42">
        <f t="shared" si="4"/>
        <v>-0.5901567423</v>
      </c>
      <c r="C105" s="43">
        <f t="shared" si="5"/>
        <v>-1.243065086</v>
      </c>
      <c r="D105" s="42">
        <f t="shared" si="6"/>
        <v>1.65971712</v>
      </c>
      <c r="E105" s="42">
        <f t="shared" si="7"/>
        <v>-0.8364054809</v>
      </c>
      <c r="F105" s="42">
        <f t="shared" si="8"/>
        <v>-1.912459801</v>
      </c>
      <c r="G105" s="42">
        <f t="shared" si="9"/>
        <v>0.09805746537</v>
      </c>
      <c r="H105" s="42">
        <f t="shared" si="10"/>
        <v>0.6230822555</v>
      </c>
      <c r="I105" s="42">
        <f>UpdateHashtag!S103</f>
        <v>10.4</v>
      </c>
      <c r="J105" s="47">
        <f t="shared" si="11"/>
        <v>0.01115429537</v>
      </c>
      <c r="K105" s="48">
        <f>UpdateHashtag!T103</f>
        <v>2.9</v>
      </c>
      <c r="L105" s="42">
        <f t="shared" si="12"/>
        <v>0.05091899834</v>
      </c>
      <c r="N105" s="100">
        <f t="shared" si="13"/>
        <v>84</v>
      </c>
      <c r="O105" s="94">
        <f t="array" ref="O105">INDIRECT("Update"&amp;Projections!$AH$17&amp;"!B"&amp;ROW(B86))</f>
        <v>81</v>
      </c>
      <c r="P105" s="101" t="str">
        <f t="array" ref="P105">INDIRECT("Update"&amp;Projections!$AH$17&amp;"!C"&amp;ROW(B86))</f>
        <v>Keegan Murray</v>
      </c>
      <c r="Q105" s="94">
        <f>UpdateBBM!F86</f>
        <v>66</v>
      </c>
      <c r="R105" s="105" t="str">
        <f t="array" ref="R105">INDIRECT("Update"&amp;Projections!$AH$17&amp;"!D"&amp;ROW(B86))</f>
        <v>SF,PF</v>
      </c>
      <c r="S105" s="73">
        <f t="shared" si="14"/>
        <v>0.1647210036</v>
      </c>
      <c r="T105" s="73">
        <f>SUM(AE105:AM105)-IFERROR(IFS(Projections!$I$17,AN105,Projections!$J$17,AO105),"")</f>
        <v>0.1647210036</v>
      </c>
      <c r="U105" s="73">
        <f t="shared" si="15"/>
        <v>0</v>
      </c>
      <c r="V105" s="73">
        <f t="array" ref="V105">INDIRECT("Update"&amp;Projections!$AH$17&amp;"!M"&amp;ROW(B86))</f>
        <v>14.6</v>
      </c>
      <c r="W105" s="73">
        <f t="array" ref="W105">INDIRECT("Update"&amp;Projections!$AH$17&amp;"!L"&amp;ROW(B86))</f>
        <v>2.7</v>
      </c>
      <c r="X105" s="73">
        <f t="array" ref="X105">INDIRECT("Update"&amp;Projections!$AH$17&amp;"!N"&amp;ROW(B86))</f>
        <v>5.4</v>
      </c>
      <c r="Y105" s="73">
        <f t="array" ref="Y105">INDIRECT("Update"&amp;Projections!$AH$17&amp;"!O"&amp;ROW(B86))</f>
        <v>1.6</v>
      </c>
      <c r="Z105" s="73">
        <f t="array" ref="Z105">INDIRECT("Update"&amp;Projections!$AH$17&amp;"!P"&amp;ROW(B86))</f>
        <v>1</v>
      </c>
      <c r="AA105" s="73">
        <f t="array" ref="AA105">INDIRECT("Update"&amp;Projections!$AH$17&amp;"!Q"&amp;ROW(B86))</f>
        <v>0.8</v>
      </c>
      <c r="AB105" s="107">
        <f t="array" ref="AB105">INDIRECT("Update"&amp;Projections!$AH$17&amp;"!I"&amp;ROW(B86))</f>
        <v>0.454</v>
      </c>
      <c r="AC105" s="107">
        <f t="array" ref="AC105">INDIRECT("Update"&amp;Projections!$AH$17&amp;"!K"&amp;ROW(B86))</f>
        <v>0.836</v>
      </c>
      <c r="AD105" s="73">
        <f t="array" ref="AD105">INDIRECT("Update"&amp;Projections!$AH$17&amp;"!R"&amp;ROW(B86))</f>
        <v>0.8</v>
      </c>
      <c r="AE105" s="73">
        <f t="shared" si="16"/>
        <v>-0.5178975344</v>
      </c>
      <c r="AF105" s="73">
        <f t="shared" si="17"/>
        <v>0.9464694928</v>
      </c>
      <c r="AG105" s="73">
        <f t="shared" si="18"/>
        <v>-0.2623750651</v>
      </c>
      <c r="AH105" s="73">
        <f t="shared" si="19"/>
        <v>-1.064214333</v>
      </c>
      <c r="AI105" s="73">
        <f t="shared" si="20"/>
        <v>0.07913626764</v>
      </c>
      <c r="AJ105" s="73">
        <f t="shared" si="21"/>
        <v>0.09805746537</v>
      </c>
      <c r="AK105" s="73">
        <f t="shared" si="22"/>
        <v>-0.603075967</v>
      </c>
      <c r="AL105" s="73">
        <f t="shared" si="23"/>
        <v>0.1891539593</v>
      </c>
      <c r="AM105" s="73">
        <f t="shared" si="24"/>
        <v>0.2352523852</v>
      </c>
      <c r="AN105" s="120">
        <f t="shared" si="25"/>
        <v>-1.064214333</v>
      </c>
      <c r="AO105" s="120">
        <f t="shared" si="26"/>
        <v>-1.6672903</v>
      </c>
      <c r="AP105" s="120">
        <f t="array" ref="AP105">INDIRECT("Update"&amp;Projections!$AH$17&amp;"!S"&amp;ROW(B86))</f>
        <v>12</v>
      </c>
      <c r="AQ105" s="120">
        <f t="array" ref="AQ105">INDIRECT("Update"&amp;Projections!$AH$17&amp;"!T"&amp;ROW(B86))</f>
        <v>1.3</v>
      </c>
      <c r="AR105" s="100">
        <f t="shared" si="27"/>
        <v>0.1573550826</v>
      </c>
    </row>
    <row r="106">
      <c r="A106" s="40" t="str">
        <f t="shared" si="3"/>
        <v>Brandon Miller</v>
      </c>
      <c r="B106" s="42">
        <f t="shared" si="4"/>
        <v>0.1143705343</v>
      </c>
      <c r="C106" s="43">
        <f t="shared" si="5"/>
        <v>0.8469451937</v>
      </c>
      <c r="D106" s="42">
        <f t="shared" si="6"/>
        <v>-0.6546387764</v>
      </c>
      <c r="E106" s="42">
        <f t="shared" si="7"/>
        <v>-0.6541583992</v>
      </c>
      <c r="F106" s="42">
        <f t="shared" si="8"/>
        <v>0.07913626764</v>
      </c>
      <c r="G106" s="42">
        <f t="shared" si="9"/>
        <v>-0.2587299387</v>
      </c>
      <c r="H106" s="42">
        <f t="shared" si="10"/>
        <v>-0.9181455161</v>
      </c>
      <c r="I106" s="42">
        <f>UpdateHashtag!S104</f>
        <v>15.1</v>
      </c>
      <c r="J106" s="47">
        <f t="shared" si="11"/>
        <v>0.37261116</v>
      </c>
      <c r="K106" s="48">
        <f>UpdateHashtag!T104</f>
        <v>2.5</v>
      </c>
      <c r="L106" s="42">
        <f t="shared" si="12"/>
        <v>0.1501118522</v>
      </c>
      <c r="N106" s="100">
        <f t="shared" si="13"/>
        <v>114</v>
      </c>
      <c r="O106" s="94">
        <f t="array" ref="O106">INDIRECT("Update"&amp;Projections!$AH$17&amp;"!B"&amp;ROW(B87))</f>
        <v>117.6</v>
      </c>
      <c r="P106" s="101" t="str">
        <f t="array" ref="P106">INDIRECT("Update"&amp;Projections!$AH$17&amp;"!C"&amp;ROW(B87))</f>
        <v>Onyeka Okongwu</v>
      </c>
      <c r="Q106" s="94">
        <f>UpdateBBM!F87</f>
        <v>71</v>
      </c>
      <c r="R106" s="105" t="str">
        <f t="array" ref="R106">INDIRECT("Update"&amp;Projections!$AH$17&amp;"!D"&amp;ROW(B87))</f>
        <v>PF,C</v>
      </c>
      <c r="S106" s="73">
        <f t="shared" si="14"/>
        <v>-0.7686995666</v>
      </c>
      <c r="T106" s="73">
        <f>SUM(AE106:AM106)-IFERROR(IFS(Projections!$I$17,AN106,Projections!$J$17,AO106),"")</f>
        <v>-0.7686995666</v>
      </c>
      <c r="U106" s="73">
        <f t="shared" si="15"/>
        <v>0</v>
      </c>
      <c r="V106" s="73">
        <f t="array" ref="V106">INDIRECT("Update"&amp;Projections!$AH$17&amp;"!M"&amp;ROW(B87))</f>
        <v>10.6</v>
      </c>
      <c r="W106" s="73">
        <f t="array" ref="W106">INDIRECT("Update"&amp;Projections!$AH$17&amp;"!L"&amp;ROW(B87))</f>
        <v>0.5</v>
      </c>
      <c r="X106" s="73">
        <f t="array" ref="X106">INDIRECT("Update"&amp;Projections!$AH$17&amp;"!N"&amp;ROW(B87))</f>
        <v>7.6</v>
      </c>
      <c r="Y106" s="73">
        <f t="array" ref="Y106">INDIRECT("Update"&amp;Projections!$AH$17&amp;"!O"&amp;ROW(B87))</f>
        <v>1.3</v>
      </c>
      <c r="Z106" s="73">
        <f t="array" ref="Z106">INDIRECT("Update"&amp;Projections!$AH$17&amp;"!P"&amp;ROW(B87))</f>
        <v>0.7</v>
      </c>
      <c r="AA106" s="73">
        <f t="array" ref="AA106">INDIRECT("Update"&amp;Projections!$AH$17&amp;"!Q"&amp;ROW(B87))</f>
        <v>1.3</v>
      </c>
      <c r="AB106" s="107">
        <f t="array" ref="AB106">INDIRECT("Update"&amp;Projections!$AH$17&amp;"!I"&amp;ROW(B87))</f>
        <v>0.617</v>
      </c>
      <c r="AC106" s="107">
        <f t="array" ref="AC106">INDIRECT("Update"&amp;Projections!$AH$17&amp;"!K"&amp;ROW(B87))</f>
        <v>0.785</v>
      </c>
      <c r="AD106" s="73">
        <f t="array" ref="AD106">INDIRECT("Update"&amp;Projections!$AH$17&amp;"!R"&amp;ROW(B87))</f>
        <v>1.1</v>
      </c>
      <c r="AE106" s="73">
        <f t="shared" si="16"/>
        <v>-1.240489613</v>
      </c>
      <c r="AF106" s="73">
        <f t="shared" si="17"/>
        <v>-1.243065086</v>
      </c>
      <c r="AG106" s="73">
        <f t="shared" si="18"/>
        <v>0.6006050996</v>
      </c>
      <c r="AH106" s="73">
        <f t="shared" si="19"/>
        <v>-1.200899644</v>
      </c>
      <c r="AI106" s="73">
        <f t="shared" si="20"/>
        <v>-0.9166617668</v>
      </c>
      <c r="AJ106" s="73">
        <f t="shared" si="21"/>
        <v>0.9900259756</v>
      </c>
      <c r="AK106" s="73">
        <f t="shared" si="22"/>
        <v>0.9291468015</v>
      </c>
      <c r="AL106" s="73">
        <f t="shared" si="23"/>
        <v>-0.09128416409</v>
      </c>
      <c r="AM106" s="73">
        <f t="shared" si="24"/>
        <v>0.1608577447</v>
      </c>
      <c r="AN106" s="120">
        <f t="shared" si="25"/>
        <v>-1.243065086</v>
      </c>
      <c r="AO106" s="120">
        <f t="shared" si="26"/>
        <v>-2.483554699</v>
      </c>
      <c r="AP106" s="120">
        <f t="array" ref="AP106">INDIRECT("Update"&amp;Projections!$AH$17&amp;"!S"&amp;ROW(B87))</f>
        <v>6.6</v>
      </c>
      <c r="AQ106" s="120">
        <f t="array" ref="AQ106">INDIRECT("Update"&amp;Projections!$AH$17&amp;"!T"&amp;ROW(B87))</f>
        <v>2.6</v>
      </c>
      <c r="AR106" s="100">
        <f t="shared" si="27"/>
        <v>0.1571277586</v>
      </c>
    </row>
    <row r="107">
      <c r="A107" s="40" t="str">
        <f t="shared" si="3"/>
        <v>Tyus Jones</v>
      </c>
      <c r="B107" s="42">
        <f t="shared" si="4"/>
        <v>-0.9514527815</v>
      </c>
      <c r="C107" s="43">
        <f t="shared" si="5"/>
        <v>-0.04877349754</v>
      </c>
      <c r="D107" s="42">
        <f t="shared" si="6"/>
        <v>-1.243034343</v>
      </c>
      <c r="E107" s="42">
        <f t="shared" si="7"/>
        <v>1.304997729</v>
      </c>
      <c r="F107" s="42">
        <f t="shared" si="8"/>
        <v>0.743001624</v>
      </c>
      <c r="G107" s="42">
        <f t="shared" si="9"/>
        <v>-0.9723047469</v>
      </c>
      <c r="H107" s="42">
        <f t="shared" si="10"/>
        <v>-0.2471703358</v>
      </c>
      <c r="I107" s="42">
        <f>UpdateHashtag!S105</f>
        <v>10.1</v>
      </c>
      <c r="J107" s="47">
        <f t="shared" si="11"/>
        <v>0.0276043012</v>
      </c>
      <c r="K107" s="48">
        <f>UpdateHashtag!T105</f>
        <v>1.1</v>
      </c>
      <c r="L107" s="42">
        <f t="shared" si="12"/>
        <v>-0.643430979</v>
      </c>
      <c r="N107" s="100">
        <f t="shared" si="13"/>
        <v>80</v>
      </c>
      <c r="O107" s="94">
        <f t="array" ref="O107">INDIRECT("Update"&amp;Projections!$AH$17&amp;"!B"&amp;ROW(B88))</f>
        <v>82.6</v>
      </c>
      <c r="P107" s="101" t="str">
        <f t="array" ref="P107">INDIRECT("Update"&amp;Projections!$AH$17&amp;"!C"&amp;ROW(B88))</f>
        <v>OG Anunoby</v>
      </c>
      <c r="Q107" s="94">
        <f>UpdateBBM!F88</f>
        <v>59</v>
      </c>
      <c r="R107" s="105" t="str">
        <f t="array" ref="R107">INDIRECT("Update"&amp;Projections!$AH$17&amp;"!D"&amp;ROW(B88))</f>
        <v>SF,PF</v>
      </c>
      <c r="S107" s="73">
        <f t="shared" si="14"/>
        <v>0.2540436003</v>
      </c>
      <c r="T107" s="73">
        <f>SUM(AE107:AM107)-IFERROR(IFS(Projections!$I$17,AN107,Projections!$J$17,AO107),"")</f>
        <v>0.2540436003</v>
      </c>
      <c r="U107" s="73">
        <f t="shared" si="15"/>
        <v>0</v>
      </c>
      <c r="V107" s="73">
        <f t="array" ref="V107">INDIRECT("Update"&amp;Projections!$AH$17&amp;"!M"&amp;ROW(B88))</f>
        <v>14.8</v>
      </c>
      <c r="W107" s="73">
        <f t="array" ref="W107">INDIRECT("Update"&amp;Projections!$AH$17&amp;"!L"&amp;ROW(B88))</f>
        <v>2</v>
      </c>
      <c r="X107" s="73">
        <f t="array" ref="X107">INDIRECT("Update"&amp;Projections!$AH$17&amp;"!N"&amp;ROW(B88))</f>
        <v>4.1</v>
      </c>
      <c r="Y107" s="73">
        <f t="array" ref="Y107">INDIRECT("Update"&amp;Projections!$AH$17&amp;"!O"&amp;ROW(B88))</f>
        <v>2</v>
      </c>
      <c r="Z107" s="73">
        <f t="array" ref="Z107">INDIRECT("Update"&amp;Projections!$AH$17&amp;"!P"&amp;ROW(B88))</f>
        <v>1.5</v>
      </c>
      <c r="AA107" s="73">
        <f t="array" ref="AA107">INDIRECT("Update"&amp;Projections!$AH$17&amp;"!Q"&amp;ROW(B88))</f>
        <v>0.7</v>
      </c>
      <c r="AB107" s="107">
        <f t="array" ref="AB107">INDIRECT("Update"&amp;Projections!$AH$17&amp;"!I"&amp;ROW(B88))</f>
        <v>0.48</v>
      </c>
      <c r="AC107" s="107">
        <f t="array" ref="AC107">INDIRECT("Update"&amp;Projections!$AH$17&amp;"!K"&amp;ROW(B88))</f>
        <v>0.77</v>
      </c>
      <c r="AD107" s="73">
        <f t="array" ref="AD107">INDIRECT("Update"&amp;Projections!$AH$17&amp;"!R"&amp;ROW(B88))</f>
        <v>1.8</v>
      </c>
      <c r="AE107" s="73">
        <f t="shared" si="16"/>
        <v>-0.4817679305</v>
      </c>
      <c r="AF107" s="73">
        <f t="shared" si="17"/>
        <v>0.2497993996</v>
      </c>
      <c r="AG107" s="73">
        <f t="shared" si="18"/>
        <v>-0.7723178898</v>
      </c>
      <c r="AH107" s="73">
        <f t="shared" si="19"/>
        <v>-0.8819672513</v>
      </c>
      <c r="AI107" s="73">
        <f t="shared" si="20"/>
        <v>1.738799658</v>
      </c>
      <c r="AJ107" s="73">
        <f t="shared" si="21"/>
        <v>-0.08033623669</v>
      </c>
      <c r="AK107" s="73">
        <f t="shared" si="22"/>
        <v>-0.2374116819</v>
      </c>
      <c r="AL107" s="73">
        <f t="shared" si="23"/>
        <v>-0.1499919693</v>
      </c>
      <c r="AM107" s="73">
        <f t="shared" si="24"/>
        <v>-0.01272974958</v>
      </c>
      <c r="AN107" s="120">
        <f t="shared" si="25"/>
        <v>-0.8819672513</v>
      </c>
      <c r="AO107" s="120">
        <f t="shared" si="26"/>
        <v>-1.654285141</v>
      </c>
      <c r="AP107" s="120">
        <f t="array" ref="AP107">INDIRECT("Update"&amp;Projections!$AH$17&amp;"!S"&amp;ROW(B88))</f>
        <v>12</v>
      </c>
      <c r="AQ107" s="120">
        <f t="array" ref="AQ107">INDIRECT("Update"&amp;Projections!$AH$17&amp;"!T"&amp;ROW(B88))</f>
        <v>1.7</v>
      </c>
      <c r="AR107" s="100">
        <f t="shared" si="27"/>
        <v>0.08035400176</v>
      </c>
    </row>
    <row r="108">
      <c r="A108" s="40" t="str">
        <f t="shared" si="3"/>
        <v>Brook Lopez</v>
      </c>
      <c r="B108" s="42">
        <f t="shared" si="4"/>
        <v>-1.041776791</v>
      </c>
      <c r="C108" s="43">
        <f t="shared" si="5"/>
        <v>-0.04877349754</v>
      </c>
      <c r="D108" s="42">
        <f t="shared" si="6"/>
        <v>-0.4585069208</v>
      </c>
      <c r="E108" s="42">
        <f t="shared" si="7"/>
        <v>-1.200899644</v>
      </c>
      <c r="F108" s="42">
        <f t="shared" si="8"/>
        <v>-1.580527123</v>
      </c>
      <c r="G108" s="42">
        <f t="shared" si="9"/>
        <v>2.23878189</v>
      </c>
      <c r="H108" s="42">
        <f t="shared" si="10"/>
        <v>-0.2729908354</v>
      </c>
      <c r="I108" s="42">
        <f>UpdateHashtag!S106</f>
        <v>9</v>
      </c>
      <c r="J108" s="47">
        <f t="shared" si="11"/>
        <v>0.05154522785</v>
      </c>
      <c r="K108" s="48">
        <f>UpdateHashtag!T106</f>
        <v>1.8</v>
      </c>
      <c r="L108" s="42">
        <f t="shared" si="12"/>
        <v>-0.7426238329</v>
      </c>
      <c r="N108" s="100">
        <f t="shared" si="13"/>
        <v>82</v>
      </c>
      <c r="O108" s="94">
        <f t="array" ref="O108">INDIRECT("Update"&amp;Projections!$AH$17&amp;"!B"&amp;ROW(B89))</f>
        <v>86.5</v>
      </c>
      <c r="P108" s="101" t="str">
        <f t="array" ref="P108">INDIRECT("Update"&amp;Projections!$AH$17&amp;"!C"&amp;ROW(B89))</f>
        <v>Coby White</v>
      </c>
      <c r="Q108" s="94">
        <f>UpdateBBM!F89</f>
        <v>60</v>
      </c>
      <c r="R108" s="105" t="str">
        <f t="array" ref="R108">INDIRECT("Update"&amp;Projections!$AH$17&amp;"!D"&amp;ROW(B89))</f>
        <v>PG,SG</v>
      </c>
      <c r="S108" s="73">
        <f t="shared" si="14"/>
        <v>0.1799495928</v>
      </c>
      <c r="T108" s="73">
        <f>SUM(AE108:AM108)-IFERROR(IFS(Projections!$I$17,AN108,Projections!$J$17,AO108),"")</f>
        <v>0.1799495928</v>
      </c>
      <c r="U108" s="73">
        <f t="shared" si="15"/>
        <v>0</v>
      </c>
      <c r="V108" s="73">
        <f t="array" ref="V108">INDIRECT("Update"&amp;Projections!$AH$17&amp;"!M"&amp;ROW(B89))</f>
        <v>18</v>
      </c>
      <c r="W108" s="73">
        <f t="array" ref="W108">INDIRECT("Update"&amp;Projections!$AH$17&amp;"!L"&amp;ROW(B89))</f>
        <v>2.7</v>
      </c>
      <c r="X108" s="73">
        <f t="array" ref="X108">INDIRECT("Update"&amp;Projections!$AH$17&amp;"!N"&amp;ROW(B89))</f>
        <v>4.6</v>
      </c>
      <c r="Y108" s="73">
        <f t="array" ref="Y108">INDIRECT("Update"&amp;Projections!$AH$17&amp;"!O"&amp;ROW(B89))</f>
        <v>4.9</v>
      </c>
      <c r="Z108" s="73">
        <f t="array" ref="Z108">INDIRECT("Update"&amp;Projections!$AH$17&amp;"!P"&amp;ROW(B89))</f>
        <v>0.9</v>
      </c>
      <c r="AA108" s="73">
        <f t="array" ref="AA108">INDIRECT("Update"&amp;Projections!$AH$17&amp;"!Q"&amp;ROW(B89))</f>
        <v>0.2</v>
      </c>
      <c r="AB108" s="107">
        <f t="array" ref="AB108">INDIRECT("Update"&amp;Projections!$AH$17&amp;"!I"&amp;ROW(B89))</f>
        <v>0.446</v>
      </c>
      <c r="AC108" s="107">
        <f t="array" ref="AC108">INDIRECT("Update"&amp;Projections!$AH$17&amp;"!K"&amp;ROW(B89))</f>
        <v>0.843</v>
      </c>
      <c r="AD108" s="73">
        <f t="array" ref="AD108">INDIRECT("Update"&amp;Projections!$AH$17&amp;"!R"&amp;ROW(B89))</f>
        <v>2</v>
      </c>
      <c r="AE108" s="73">
        <f t="shared" si="16"/>
        <v>0.09630573232</v>
      </c>
      <c r="AF108" s="73">
        <f t="shared" si="17"/>
        <v>0.9464694928</v>
      </c>
      <c r="AG108" s="73">
        <f t="shared" si="18"/>
        <v>-0.5761860341</v>
      </c>
      <c r="AH108" s="73">
        <f t="shared" si="19"/>
        <v>0.439324091</v>
      </c>
      <c r="AI108" s="73">
        <f t="shared" si="20"/>
        <v>-0.2527964105</v>
      </c>
      <c r="AJ108" s="73">
        <f t="shared" si="21"/>
        <v>-0.9723047469</v>
      </c>
      <c r="AK108" s="73">
        <f t="shared" si="22"/>
        <v>-0.8706321333</v>
      </c>
      <c r="AL108" s="73">
        <f t="shared" si="23"/>
        <v>0.4597910312</v>
      </c>
      <c r="AM108" s="73">
        <f t="shared" si="24"/>
        <v>-0.06232617654</v>
      </c>
      <c r="AN108" s="120">
        <f t="shared" si="25"/>
        <v>-0.9723047469</v>
      </c>
      <c r="AO108" s="120">
        <f t="shared" si="26"/>
        <v>-1.84293688</v>
      </c>
      <c r="AP108" s="120">
        <f t="array" ref="AP108">INDIRECT("Update"&amp;Projections!$AH$17&amp;"!S"&amp;ROW(B89))</f>
        <v>14.6</v>
      </c>
      <c r="AQ108" s="120">
        <f t="array" ref="AQ108">INDIRECT("Update"&amp;Projections!$AH$17&amp;"!T"&amp;ROW(B89))</f>
        <v>2.7</v>
      </c>
      <c r="AR108" s="100">
        <f t="shared" si="27"/>
        <v>0.01676003703</v>
      </c>
    </row>
    <row r="109">
      <c r="A109" s="40" t="str">
        <f t="shared" si="3"/>
        <v>Jerami Grant</v>
      </c>
      <c r="B109" s="42">
        <f t="shared" si="4"/>
        <v>0.4034073657</v>
      </c>
      <c r="C109" s="43">
        <f t="shared" si="5"/>
        <v>0.3493236986</v>
      </c>
      <c r="D109" s="42">
        <f t="shared" si="6"/>
        <v>-0.850770632</v>
      </c>
      <c r="E109" s="42">
        <f t="shared" si="7"/>
        <v>-0.6541583992</v>
      </c>
      <c r="F109" s="42">
        <f t="shared" si="8"/>
        <v>-0.5847290887</v>
      </c>
      <c r="G109" s="42">
        <f t="shared" si="9"/>
        <v>-0.08033623669</v>
      </c>
      <c r="H109" s="42">
        <f t="shared" si="10"/>
        <v>-0.5678290098</v>
      </c>
      <c r="I109" s="42">
        <f>UpdateHashtag!S107</f>
        <v>14.3</v>
      </c>
      <c r="J109" s="47">
        <f t="shared" si="11"/>
        <v>0.3582367537</v>
      </c>
      <c r="K109" s="48">
        <f>UpdateHashtag!T107</f>
        <v>5.3</v>
      </c>
      <c r="L109" s="42">
        <f t="shared" si="12"/>
        <v>0.1501118522</v>
      </c>
      <c r="N109" s="100">
        <f t="shared" si="13"/>
        <v>89</v>
      </c>
      <c r="O109" s="94">
        <f t="array" ref="O109">INDIRECT("Update"&amp;Projections!$AH$17&amp;"!B"&amp;ROW(B90))</f>
        <v>73.3</v>
      </c>
      <c r="P109" s="101" t="str">
        <f t="array" ref="P109">INDIRECT("Update"&amp;Projections!$AH$17&amp;"!C"&amp;ROW(B90))</f>
        <v>Michael Porter Jr.</v>
      </c>
      <c r="Q109" s="94">
        <f>UpdateBBM!F90</f>
        <v>71</v>
      </c>
      <c r="R109" s="105" t="str">
        <f t="array" ref="R109">INDIRECT("Update"&amp;Projections!$AH$17&amp;"!D"&amp;ROW(B90))</f>
        <v>SF,PF</v>
      </c>
      <c r="S109" s="73">
        <f t="shared" si="14"/>
        <v>-0.007776187497</v>
      </c>
      <c r="T109" s="73">
        <f>SUM(AE109:AM109)-IFERROR(IFS(Projections!$I$17,AN109,Projections!$J$17,AO109),"")</f>
        <v>-0.007776187497</v>
      </c>
      <c r="U109" s="73">
        <f t="shared" si="15"/>
        <v>0</v>
      </c>
      <c r="V109" s="73">
        <f t="array" ref="V109">INDIRECT("Update"&amp;Projections!$AH$17&amp;"!M"&amp;ROW(B90))</f>
        <v>17.5</v>
      </c>
      <c r="W109" s="73">
        <f t="array" ref="W109">INDIRECT("Update"&amp;Projections!$AH$17&amp;"!L"&amp;ROW(B90))</f>
        <v>2.9</v>
      </c>
      <c r="X109" s="73">
        <f t="array" ref="X109">INDIRECT("Update"&amp;Projections!$AH$17&amp;"!N"&amp;ROW(B90))</f>
        <v>6.5</v>
      </c>
      <c r="Y109" s="73">
        <f t="array" ref="Y109">INDIRECT("Update"&amp;Projections!$AH$17&amp;"!O"&amp;ROW(B90))</f>
        <v>1.4</v>
      </c>
      <c r="Z109" s="73">
        <f t="array" ref="Z109">INDIRECT("Update"&amp;Projections!$AH$17&amp;"!P"&amp;ROW(B90))</f>
        <v>0.6</v>
      </c>
      <c r="AA109" s="73">
        <f t="array" ref="AA109">INDIRECT("Update"&amp;Projections!$AH$17&amp;"!Q"&amp;ROW(B90))</f>
        <v>0.6</v>
      </c>
      <c r="AB109" s="107">
        <f t="array" ref="AB109">INDIRECT("Update"&amp;Projections!$AH$17&amp;"!I"&amp;ROW(B90))</f>
        <v>0.485</v>
      </c>
      <c r="AC109" s="107">
        <f t="array" ref="AC109">INDIRECT("Update"&amp;Projections!$AH$17&amp;"!K"&amp;ROW(B90))</f>
        <v>0.818</v>
      </c>
      <c r="AD109" s="73">
        <f t="array" ref="AD109">INDIRECT("Update"&amp;Projections!$AH$17&amp;"!R"&amp;ROW(B90))</f>
        <v>1.2</v>
      </c>
      <c r="AE109" s="73">
        <f t="shared" si="16"/>
        <v>0.005981722504</v>
      </c>
      <c r="AF109" s="73">
        <f t="shared" si="17"/>
        <v>1.145518091</v>
      </c>
      <c r="AG109" s="73">
        <f t="shared" si="18"/>
        <v>0.1691150172</v>
      </c>
      <c r="AH109" s="73">
        <f t="shared" si="19"/>
        <v>-1.155337874</v>
      </c>
      <c r="AI109" s="73">
        <f t="shared" si="20"/>
        <v>-1.248594445</v>
      </c>
      <c r="AJ109" s="73">
        <f t="shared" si="21"/>
        <v>-0.2587299387</v>
      </c>
      <c r="AK109" s="73">
        <f t="shared" si="22"/>
        <v>-0.1893705106</v>
      </c>
      <c r="AL109" s="73">
        <f t="shared" si="23"/>
        <v>0.1389877738</v>
      </c>
      <c r="AM109" s="73">
        <f t="shared" si="24"/>
        <v>0.1360595313</v>
      </c>
      <c r="AN109" s="120">
        <f t="shared" si="25"/>
        <v>-1.248594445</v>
      </c>
      <c r="AO109" s="120">
        <f t="shared" si="26"/>
        <v>-2.403932319</v>
      </c>
      <c r="AP109" s="120">
        <f t="array" ref="AP109">INDIRECT("Update"&amp;Projections!$AH$17&amp;"!S"&amp;ROW(B90))</f>
        <v>13.6</v>
      </c>
      <c r="AQ109" s="120">
        <f t="array" ref="AQ109">INDIRECT("Update"&amp;Projections!$AH$17&amp;"!T"&amp;ROW(B90))</f>
        <v>1.7</v>
      </c>
      <c r="AR109" s="100">
        <f t="shared" si="27"/>
        <v>-0.007776187497</v>
      </c>
    </row>
    <row r="110">
      <c r="A110" s="40" t="str">
        <f t="shared" si="3"/>
        <v>Kyle Kuzma</v>
      </c>
      <c r="B110" s="42">
        <f t="shared" si="4"/>
        <v>0.746638603</v>
      </c>
      <c r="C110" s="43">
        <f t="shared" si="5"/>
        <v>0.5483722967</v>
      </c>
      <c r="D110" s="42">
        <f t="shared" si="6"/>
        <v>0.3260205017</v>
      </c>
      <c r="E110" s="42">
        <f t="shared" si="7"/>
        <v>0.02926815716</v>
      </c>
      <c r="F110" s="42">
        <f t="shared" si="8"/>
        <v>-1.580527123</v>
      </c>
      <c r="G110" s="42">
        <f t="shared" si="9"/>
        <v>-0.2587299387</v>
      </c>
      <c r="H110" s="42">
        <f t="shared" si="10"/>
        <v>-0.8672131505</v>
      </c>
      <c r="I110" s="42">
        <f>UpdateHashtag!S108</f>
        <v>18.1</v>
      </c>
      <c r="J110" s="47">
        <f t="shared" si="11"/>
        <v>-0.2793827338</v>
      </c>
      <c r="K110" s="48">
        <f>UpdateHashtag!T108</f>
        <v>3.6</v>
      </c>
      <c r="L110" s="42">
        <f t="shared" si="12"/>
        <v>1.042847537</v>
      </c>
      <c r="N110" s="100">
        <f t="shared" si="13"/>
        <v>62</v>
      </c>
      <c r="O110" s="94">
        <f t="array" ref="O110">INDIRECT("Update"&amp;Projections!$AH$17&amp;"!B"&amp;ROW(B91))</f>
        <v>102</v>
      </c>
      <c r="P110" s="101" t="str">
        <f t="array" ref="P110">INDIRECT("Update"&amp;Projections!$AH$17&amp;"!C"&amp;ROW(B91))</f>
        <v>Alex Caruso</v>
      </c>
      <c r="Q110" s="94">
        <f>UpdateBBM!F91</f>
        <v>10</v>
      </c>
      <c r="R110" s="105" t="str">
        <f t="array" ref="R110">INDIRECT("Update"&amp;Projections!$AH$17&amp;"!D"&amp;ROW(B91))</f>
        <v>SG,SF</v>
      </c>
      <c r="S110" s="73">
        <f t="shared" si="14"/>
        <v>0.7860588756</v>
      </c>
      <c r="T110" s="73">
        <f>SUM(AE110:AM110)-IFERROR(IFS(Projections!$I$17,AN110,Projections!$J$17,AO110),"")</f>
        <v>0.7860588756</v>
      </c>
      <c r="U110" s="73">
        <f t="shared" si="15"/>
        <v>0</v>
      </c>
      <c r="V110" s="73">
        <f t="array" ref="V110">INDIRECT("Update"&amp;Projections!$AH$17&amp;"!M"&amp;ROW(B91))</f>
        <v>8.7</v>
      </c>
      <c r="W110" s="73">
        <f t="array" ref="W110">INDIRECT("Update"&amp;Projections!$AH$17&amp;"!L"&amp;ROW(B91))</f>
        <v>1.5</v>
      </c>
      <c r="X110" s="73">
        <f t="array" ref="X110">INDIRECT("Update"&amp;Projections!$AH$17&amp;"!N"&amp;ROW(B91))</f>
        <v>3.8</v>
      </c>
      <c r="Y110" s="73">
        <f t="array" ref="Y110">INDIRECT("Update"&amp;Projections!$AH$17&amp;"!O"&amp;ROW(B91))</f>
        <v>3.5</v>
      </c>
      <c r="Z110" s="73">
        <f t="array" ref="Z110">INDIRECT("Update"&amp;Projections!$AH$17&amp;"!P"&amp;ROW(B91))</f>
        <v>1.6</v>
      </c>
      <c r="AA110" s="73">
        <f t="array" ref="AA110">INDIRECT("Update"&amp;Projections!$AH$17&amp;"!Q"&amp;ROW(B91))</f>
        <v>0.9</v>
      </c>
      <c r="AB110" s="107">
        <f t="array" ref="AB110">INDIRECT("Update"&amp;Projections!$AH$17&amp;"!I"&amp;ROW(B91))</f>
        <v>0.463</v>
      </c>
      <c r="AC110" s="107">
        <f t="array" ref="AC110">INDIRECT("Update"&amp;Projections!$AH$17&amp;"!K"&amp;ROW(B91))</f>
        <v>0.785</v>
      </c>
      <c r="AD110" s="73">
        <f t="array" ref="AD110">INDIRECT("Update"&amp;Projections!$AH$17&amp;"!R"&amp;ROW(B91))</f>
        <v>1.4</v>
      </c>
      <c r="AE110" s="73">
        <f t="shared" si="16"/>
        <v>-1.58372085</v>
      </c>
      <c r="AF110" s="73">
        <f t="shared" si="17"/>
        <v>-0.2478220956</v>
      </c>
      <c r="AG110" s="73">
        <f t="shared" si="18"/>
        <v>-0.8899970031</v>
      </c>
      <c r="AH110" s="73">
        <f t="shared" si="19"/>
        <v>-0.198540695</v>
      </c>
      <c r="AI110" s="73">
        <f t="shared" si="20"/>
        <v>2.070732337</v>
      </c>
      <c r="AJ110" s="73">
        <f t="shared" si="21"/>
        <v>0.2764511674</v>
      </c>
      <c r="AK110" s="73">
        <f t="shared" si="22"/>
        <v>-0.2620749276</v>
      </c>
      <c r="AL110" s="73">
        <f t="shared" si="23"/>
        <v>-0.04915301144</v>
      </c>
      <c r="AM110" s="73">
        <f t="shared" si="24"/>
        <v>0.08646310432</v>
      </c>
      <c r="AN110" s="120">
        <f t="shared" si="25"/>
        <v>-1.58372085</v>
      </c>
      <c r="AO110" s="120">
        <f t="shared" si="26"/>
        <v>-2.473717853</v>
      </c>
      <c r="AP110" s="120">
        <f t="array" ref="AP110">INDIRECT("Update"&amp;Projections!$AH$17&amp;"!S"&amp;ROW(B91))</f>
        <v>6.6</v>
      </c>
      <c r="AQ110" s="120">
        <f t="array" ref="AQ110">INDIRECT("Update"&amp;Projections!$AH$17&amp;"!T"&amp;ROW(B91))</f>
        <v>1.4</v>
      </c>
      <c r="AR110" s="100">
        <f t="shared" si="27"/>
        <v>-0.01573814885</v>
      </c>
    </row>
    <row r="111">
      <c r="A111" s="40" t="str">
        <f t="shared" si="3"/>
        <v>Norman Powell</v>
      </c>
      <c r="B111" s="42">
        <f t="shared" si="4"/>
        <v>0.240824148</v>
      </c>
      <c r="C111" s="43">
        <f t="shared" si="5"/>
        <v>0.8469451937</v>
      </c>
      <c r="D111" s="42">
        <f t="shared" si="6"/>
        <v>-1.046902488</v>
      </c>
      <c r="E111" s="42">
        <f t="shared" si="7"/>
        <v>-1.018652563</v>
      </c>
      <c r="F111" s="42">
        <f t="shared" si="8"/>
        <v>-0.5847290887</v>
      </c>
      <c r="G111" s="42">
        <f t="shared" si="9"/>
        <v>-0.6155173428</v>
      </c>
      <c r="H111" s="42">
        <f t="shared" si="10"/>
        <v>-0.2337000869</v>
      </c>
      <c r="I111" s="42">
        <f>UpdateHashtag!S109</f>
        <v>13.4</v>
      </c>
      <c r="J111" s="47">
        <f t="shared" si="11"/>
        <v>0.378765254</v>
      </c>
      <c r="K111" s="48">
        <f>UpdateHashtag!T109</f>
        <v>4.1</v>
      </c>
      <c r="L111" s="42">
        <f t="shared" si="12"/>
        <v>-0.2466595634</v>
      </c>
      <c r="N111" s="100">
        <f t="shared" si="13"/>
        <v>81</v>
      </c>
      <c r="O111" s="94">
        <f t="array" ref="O111">INDIRECT("Update"&amp;Projections!$AH$17&amp;"!B"&amp;ROW(B92))</f>
        <v>96.2</v>
      </c>
      <c r="P111" s="101" t="str">
        <f t="array" ref="P111">INDIRECT("Update"&amp;Projections!$AH$17&amp;"!C"&amp;ROW(B92))</f>
        <v>Herbert Jones</v>
      </c>
      <c r="Q111" s="94">
        <f>UpdateBBM!F92</f>
        <v>62</v>
      </c>
      <c r="R111" s="105" t="str">
        <f t="array" ref="R111">INDIRECT("Update"&amp;Projections!$AH$17&amp;"!D"&amp;ROW(B92))</f>
        <v>SF,PF</v>
      </c>
      <c r="S111" s="73">
        <f t="shared" si="14"/>
        <v>0.2350194198</v>
      </c>
      <c r="T111" s="73">
        <f>SUM(AE111:AM111)-IFERROR(IFS(Projections!$I$17,AN111,Projections!$J$17,AO111),"")</f>
        <v>0.2350194198</v>
      </c>
      <c r="U111" s="73">
        <f t="shared" si="15"/>
        <v>0</v>
      </c>
      <c r="V111" s="73">
        <f t="array" ref="V111">INDIRECT("Update"&amp;Projections!$AH$17&amp;"!M"&amp;ROW(B92))</f>
        <v>10.5</v>
      </c>
      <c r="W111" s="73">
        <f t="array" ref="W111">INDIRECT("Update"&amp;Projections!$AH$17&amp;"!L"&amp;ROW(B92))</f>
        <v>1.2</v>
      </c>
      <c r="X111" s="73">
        <f t="array" ref="X111">INDIRECT("Update"&amp;Projections!$AH$17&amp;"!N"&amp;ROW(B92))</f>
        <v>4.2</v>
      </c>
      <c r="Y111" s="73">
        <f t="array" ref="Y111">INDIRECT("Update"&amp;Projections!$AH$17&amp;"!O"&amp;ROW(B92))</f>
        <v>2.6</v>
      </c>
      <c r="Z111" s="73">
        <f t="array" ref="Z111">INDIRECT("Update"&amp;Projections!$AH$17&amp;"!P"&amp;ROW(B92))</f>
        <v>1.4</v>
      </c>
      <c r="AA111" s="73">
        <f t="array" ref="AA111">INDIRECT("Update"&amp;Projections!$AH$17&amp;"!Q"&amp;ROW(B92))</f>
        <v>0.9</v>
      </c>
      <c r="AB111" s="107">
        <f t="array" ref="AB111">INDIRECT("Update"&amp;Projections!$AH$17&amp;"!I"&amp;ROW(B92))</f>
        <v>0.484</v>
      </c>
      <c r="AC111" s="107">
        <f t="array" ref="AC111">INDIRECT("Update"&amp;Projections!$AH$17&amp;"!K"&amp;ROW(B92))</f>
        <v>0.852</v>
      </c>
      <c r="AD111" s="73">
        <f t="array" ref="AD111">INDIRECT("Update"&amp;Projections!$AH$17&amp;"!R"&amp;ROW(B92))</f>
        <v>1.3</v>
      </c>
      <c r="AE111" s="73">
        <f t="shared" si="16"/>
        <v>-1.258554415</v>
      </c>
      <c r="AF111" s="73">
        <f t="shared" si="17"/>
        <v>-0.5463949927</v>
      </c>
      <c r="AG111" s="73">
        <f t="shared" si="18"/>
        <v>-0.7330915186</v>
      </c>
      <c r="AH111" s="73">
        <f t="shared" si="19"/>
        <v>-0.6085966288</v>
      </c>
      <c r="AI111" s="73">
        <f t="shared" si="20"/>
        <v>1.40686698</v>
      </c>
      <c r="AJ111" s="73">
        <f t="shared" si="21"/>
        <v>0.2764511674</v>
      </c>
      <c r="AK111" s="73">
        <f t="shared" si="22"/>
        <v>-0.1162415344</v>
      </c>
      <c r="AL111" s="73">
        <f t="shared" si="23"/>
        <v>0.4447646287</v>
      </c>
      <c r="AM111" s="73">
        <f t="shared" si="24"/>
        <v>0.1112613178</v>
      </c>
      <c r="AN111" s="120">
        <f t="shared" si="25"/>
        <v>-1.258554415</v>
      </c>
      <c r="AO111" s="120">
        <f t="shared" si="26"/>
        <v>-1.991645934</v>
      </c>
      <c r="AP111" s="120">
        <f t="array" ref="AP111">INDIRECT("Update"&amp;Projections!$AH$17&amp;"!S"&amp;ROW(B92))</f>
        <v>7.7</v>
      </c>
      <c r="AQ111" s="120">
        <f t="array" ref="AQ111">INDIRECT("Update"&amp;Projections!$AH$17&amp;"!T"&amp;ROW(B92))</f>
        <v>2.2</v>
      </c>
      <c r="AR111" s="100">
        <f t="shared" si="27"/>
        <v>-0.05428493235</v>
      </c>
    </row>
    <row r="112">
      <c r="A112" s="40" t="str">
        <f t="shared" si="3"/>
        <v>Clint Capela</v>
      </c>
      <c r="B112" s="42">
        <f t="shared" si="4"/>
        <v>-1.077906395</v>
      </c>
      <c r="C112" s="43">
        <f t="shared" si="5"/>
        <v>-1.740686581</v>
      </c>
      <c r="D112" s="42">
        <f t="shared" si="6"/>
        <v>1.816622604</v>
      </c>
      <c r="E112" s="42">
        <f t="shared" si="7"/>
        <v>-1.292023185</v>
      </c>
      <c r="F112" s="42">
        <f t="shared" si="8"/>
        <v>-1.248594445</v>
      </c>
      <c r="G112" s="42">
        <f t="shared" si="9"/>
        <v>0.9900259756</v>
      </c>
      <c r="H112" s="42">
        <f t="shared" si="10"/>
        <v>0.9856543211</v>
      </c>
      <c r="I112" s="42">
        <f>UpdateHashtag!S110</f>
        <v>8.4</v>
      </c>
      <c r="J112" s="47">
        <f t="shared" si="11"/>
        <v>-1.393170554</v>
      </c>
      <c r="K112" s="48">
        <f>UpdateHashtag!T110</f>
        <v>2.4</v>
      </c>
      <c r="L112" s="42">
        <f t="shared" si="12"/>
        <v>-0.8418166868</v>
      </c>
      <c r="N112" s="100">
        <f t="shared" si="13"/>
        <v>112</v>
      </c>
      <c r="O112" s="94">
        <f t="array" ref="O112">INDIRECT("Update"&amp;Projections!$AH$17&amp;"!B"&amp;ROW(B93))</f>
        <v>104.5</v>
      </c>
      <c r="P112" s="101" t="str">
        <f t="array" ref="P112">INDIRECT("Update"&amp;Projections!$AH$17&amp;"!C"&amp;ROW(B93))</f>
        <v>Daniel Gafford</v>
      </c>
      <c r="Q112" s="94">
        <f>UpdateBBM!F93</f>
        <v>66</v>
      </c>
      <c r="R112" s="105" t="str">
        <f t="array" ref="R112">INDIRECT("Update"&amp;Projections!$AH$17&amp;"!D"&amp;ROW(B93))</f>
        <v>PF,C</v>
      </c>
      <c r="S112" s="73">
        <f t="shared" si="14"/>
        <v>-0.6720351682</v>
      </c>
      <c r="T112" s="73">
        <f>SUM(AE112:AM112)-IFERROR(IFS(Projections!$I$17,AN112,Projections!$J$17,AO112),"")</f>
        <v>-0.6720351682</v>
      </c>
      <c r="U112" s="73">
        <f t="shared" si="15"/>
        <v>0</v>
      </c>
      <c r="V112" s="73">
        <f t="array" ref="V112">INDIRECT("Update"&amp;Projections!$AH$17&amp;"!M"&amp;ROW(B93))</f>
        <v>10.3</v>
      </c>
      <c r="W112" s="73">
        <f t="array" ref="W112">INDIRECT("Update"&amp;Projections!$AH$17&amp;"!L"&amp;ROW(B93))</f>
        <v>0</v>
      </c>
      <c r="X112" s="73">
        <f t="array" ref="X112">INDIRECT("Update"&amp;Projections!$AH$17&amp;"!N"&amp;ROW(B93))</f>
        <v>6.8</v>
      </c>
      <c r="Y112" s="73">
        <f t="array" ref="Y112">INDIRECT("Update"&amp;Projections!$AH$17&amp;"!O"&amp;ROW(B93))</f>
        <v>1.4</v>
      </c>
      <c r="Z112" s="73">
        <f t="array" ref="Z112">INDIRECT("Update"&amp;Projections!$AH$17&amp;"!P"&amp;ROW(B93))</f>
        <v>0.7</v>
      </c>
      <c r="AA112" s="73">
        <f t="array" ref="AA112">INDIRECT("Update"&amp;Projections!$AH$17&amp;"!Q"&amp;ROW(B93))</f>
        <v>1.7</v>
      </c>
      <c r="AB112" s="107">
        <f t="array" ref="AB112">INDIRECT("Update"&amp;Projections!$AH$17&amp;"!I"&amp;ROW(B93))</f>
        <v>0.729</v>
      </c>
      <c r="AC112" s="107">
        <f t="array" ref="AC112">INDIRECT("Update"&amp;Projections!$AH$17&amp;"!K"&amp;ROW(B93))</f>
        <v>0.675</v>
      </c>
      <c r="AD112" s="73">
        <f t="array" ref="AD112">INDIRECT("Update"&amp;Projections!$AH$17&amp;"!R"&amp;ROW(B93))</f>
        <v>1.1</v>
      </c>
      <c r="AE112" s="73">
        <f t="shared" si="16"/>
        <v>-1.294684019</v>
      </c>
      <c r="AF112" s="73">
        <f t="shared" si="17"/>
        <v>-1.740686581</v>
      </c>
      <c r="AG112" s="73">
        <f t="shared" si="18"/>
        <v>0.2867941306</v>
      </c>
      <c r="AH112" s="73">
        <f t="shared" si="19"/>
        <v>-1.155337874</v>
      </c>
      <c r="AI112" s="73">
        <f t="shared" si="20"/>
        <v>-0.9166617668</v>
      </c>
      <c r="AJ112" s="73">
        <f t="shared" si="21"/>
        <v>1.703600784</v>
      </c>
      <c r="AK112" s="73">
        <f t="shared" si="22"/>
        <v>1.605059133</v>
      </c>
      <c r="AL112" s="73">
        <f t="shared" si="23"/>
        <v>-1.0616633</v>
      </c>
      <c r="AM112" s="73">
        <f t="shared" si="24"/>
        <v>0.1608577447</v>
      </c>
      <c r="AN112" s="120">
        <f t="shared" si="25"/>
        <v>-1.740686581</v>
      </c>
      <c r="AO112" s="120">
        <f t="shared" si="26"/>
        <v>-3.0353706</v>
      </c>
      <c r="AP112" s="120">
        <f t="array" ref="AP112">INDIRECT("Update"&amp;Projections!$AH$17&amp;"!S"&amp;ROW(B93))</f>
        <v>5.9</v>
      </c>
      <c r="AQ112" s="120">
        <f t="array" ref="AQ112">INDIRECT("Update"&amp;Projections!$AH$17&amp;"!T"&amp;ROW(B93))</f>
        <v>2.5</v>
      </c>
      <c r="AR112" s="100">
        <f t="shared" si="27"/>
        <v>-0.09868785686</v>
      </c>
    </row>
    <row r="113">
      <c r="A113" s="40" t="str">
        <f t="shared" si="3"/>
        <v>Trayce Jackson-Davis</v>
      </c>
      <c r="B113" s="42">
        <f t="shared" si="4"/>
        <v>-0.9695175835</v>
      </c>
      <c r="C113" s="43">
        <f t="shared" si="5"/>
        <v>-1.740686581</v>
      </c>
      <c r="D113" s="42">
        <f t="shared" si="6"/>
        <v>0.6006050996</v>
      </c>
      <c r="E113" s="42">
        <f t="shared" si="7"/>
        <v>-0.9730907921</v>
      </c>
      <c r="F113" s="42">
        <f t="shared" si="8"/>
        <v>-1.248594445</v>
      </c>
      <c r="G113" s="42">
        <f t="shared" si="9"/>
        <v>1.525207082</v>
      </c>
      <c r="H113" s="42">
        <f t="shared" si="10"/>
        <v>1.787632038</v>
      </c>
      <c r="I113" s="42">
        <f>UpdateHashtag!S111</f>
        <v>7.4</v>
      </c>
      <c r="J113" s="47">
        <f t="shared" si="11"/>
        <v>-2.46391255</v>
      </c>
      <c r="K113" s="48">
        <f>UpdateHashtag!T111</f>
        <v>3</v>
      </c>
      <c r="L113" s="42">
        <f t="shared" si="12"/>
        <v>-0.643430979</v>
      </c>
      <c r="N113" s="100">
        <f t="shared" si="13"/>
        <v>75</v>
      </c>
      <c r="O113" s="94">
        <f t="array" ref="O113">INDIRECT("Update"&amp;Projections!$AH$17&amp;"!B"&amp;ROW(B94))</f>
        <v>101.4</v>
      </c>
      <c r="P113" s="101" t="str">
        <f t="array" ref="P113">INDIRECT("Update"&amp;Projections!$AH$17&amp;"!C"&amp;ROW(B94))</f>
        <v>Draymond Green</v>
      </c>
      <c r="Q113" s="94">
        <f>UpdateBBM!F94</f>
        <v>71</v>
      </c>
      <c r="R113" s="105" t="str">
        <f t="array" ref="R113">INDIRECT("Update"&amp;Projections!$AH$17&amp;"!D"&amp;ROW(B94))</f>
        <v>PF,C</v>
      </c>
      <c r="S113" s="73">
        <f t="shared" si="14"/>
        <v>0.3567137621</v>
      </c>
      <c r="T113" s="73">
        <f>SUM(AE113:AM113)-IFERROR(IFS(Projections!$I$17,AN113,Projections!$J$17,AO113),"")</f>
        <v>0.3567137621</v>
      </c>
      <c r="U113" s="73">
        <f t="shared" si="15"/>
        <v>0</v>
      </c>
      <c r="V113" s="73">
        <f t="array" ref="V113">INDIRECT("Update"&amp;Projections!$AH$17&amp;"!M"&amp;ROW(B94))</f>
        <v>8.2</v>
      </c>
      <c r="W113" s="73">
        <f t="array" ref="W113">INDIRECT("Update"&amp;Projections!$AH$17&amp;"!L"&amp;ROW(B94))</f>
        <v>0.7</v>
      </c>
      <c r="X113" s="73">
        <f t="array" ref="X113">INDIRECT("Update"&amp;Projections!$AH$17&amp;"!N"&amp;ROW(B94))</f>
        <v>6.9</v>
      </c>
      <c r="Y113" s="73">
        <f t="array" ref="Y113">INDIRECT("Update"&amp;Projections!$AH$17&amp;"!O"&amp;ROW(B94))</f>
        <v>6.2</v>
      </c>
      <c r="Z113" s="73">
        <f t="array" ref="Z113">INDIRECT("Update"&amp;Projections!$AH$17&amp;"!P"&amp;ROW(B94))</f>
        <v>1.1</v>
      </c>
      <c r="AA113" s="73">
        <f t="array" ref="AA113">INDIRECT("Update"&amp;Projections!$AH$17&amp;"!Q"&amp;ROW(B94))</f>
        <v>0.8</v>
      </c>
      <c r="AB113" s="107">
        <f t="array" ref="AB113">INDIRECT("Update"&amp;Projections!$AH$17&amp;"!I"&amp;ROW(B94))</f>
        <v>0.514</v>
      </c>
      <c r="AC113" s="107">
        <f t="array" ref="AC113">INDIRECT("Update"&amp;Projections!$AH$17&amp;"!K"&amp;ROW(B94))</f>
        <v>0.713</v>
      </c>
      <c r="AD113" s="73">
        <f t="array" ref="AD113">INDIRECT("Update"&amp;Projections!$AH$17&amp;"!R"&amp;ROW(B94))</f>
        <v>2.5</v>
      </c>
      <c r="AE113" s="73">
        <f t="shared" si="16"/>
        <v>-1.67404486</v>
      </c>
      <c r="AF113" s="73">
        <f t="shared" si="17"/>
        <v>-1.044016488</v>
      </c>
      <c r="AG113" s="73">
        <f t="shared" si="18"/>
        <v>0.3260205017</v>
      </c>
      <c r="AH113" s="73">
        <f t="shared" si="19"/>
        <v>1.031627106</v>
      </c>
      <c r="AI113" s="73">
        <f t="shared" si="20"/>
        <v>0.4110689458</v>
      </c>
      <c r="AJ113" s="73">
        <f t="shared" si="21"/>
        <v>0.09805746537</v>
      </c>
      <c r="AK113" s="73">
        <f t="shared" si="22"/>
        <v>0.1264014628</v>
      </c>
      <c r="AL113" s="73">
        <f t="shared" si="23"/>
        <v>-0.4061279883</v>
      </c>
      <c r="AM113" s="73">
        <f t="shared" si="24"/>
        <v>-0.1863172439</v>
      </c>
      <c r="AN113" s="120">
        <f t="shared" si="25"/>
        <v>-1.67404486</v>
      </c>
      <c r="AO113" s="120">
        <f t="shared" si="26"/>
        <v>-2.718061348</v>
      </c>
      <c r="AP113" s="120">
        <f t="array" ref="AP113">INDIRECT("Update"&amp;Projections!$AH$17&amp;"!S"&amp;ROW(B94))</f>
        <v>6.3</v>
      </c>
      <c r="AQ113" s="120">
        <f t="array" ref="AQ113">INDIRECT("Update"&amp;Projections!$AH$17&amp;"!T"&amp;ROW(B94))</f>
        <v>1.4</v>
      </c>
      <c r="AR113" s="100">
        <f t="shared" si="27"/>
        <v>-0.1075737017</v>
      </c>
    </row>
    <row r="114">
      <c r="A114" s="40" t="str">
        <f t="shared" si="3"/>
        <v>Jalen Green</v>
      </c>
      <c r="B114" s="42">
        <f t="shared" si="4"/>
        <v>0.5479257814</v>
      </c>
      <c r="C114" s="43">
        <f t="shared" si="5"/>
        <v>0.6478965957</v>
      </c>
      <c r="D114" s="42">
        <f t="shared" si="6"/>
        <v>-0.4585069208</v>
      </c>
      <c r="E114" s="42">
        <f t="shared" si="7"/>
        <v>-0.1074171541</v>
      </c>
      <c r="F114" s="42">
        <f t="shared" si="8"/>
        <v>-0.2527964105</v>
      </c>
      <c r="G114" s="42">
        <f t="shared" si="9"/>
        <v>-0.7939110449</v>
      </c>
      <c r="H114" s="42">
        <f t="shared" si="10"/>
        <v>-1.304724196</v>
      </c>
      <c r="I114" s="42">
        <f>UpdateHashtag!S112</f>
        <v>16.4</v>
      </c>
      <c r="J114" s="47">
        <f t="shared" si="11"/>
        <v>0.2140095569</v>
      </c>
      <c r="K114" s="48">
        <f>UpdateHashtag!T112</f>
        <v>5</v>
      </c>
      <c r="L114" s="42">
        <f t="shared" si="12"/>
        <v>0.6460761218</v>
      </c>
      <c r="N114" s="100">
        <f t="shared" si="13"/>
        <v>79</v>
      </c>
      <c r="O114" s="94">
        <f t="array" ref="O114">INDIRECT("Update"&amp;Projections!$AH$17&amp;"!B"&amp;ROW(B95))</f>
        <v>92.7</v>
      </c>
      <c r="P114" s="101" t="str">
        <f t="array" ref="P114">INDIRECT("Update"&amp;Projections!$AH$17&amp;"!C"&amp;ROW(B95))</f>
        <v>Jakob Poeltl</v>
      </c>
      <c r="Q114" s="94">
        <f>UpdateBBM!F95</f>
        <v>66</v>
      </c>
      <c r="R114" s="105" t="str">
        <f t="array" ref="R114">INDIRECT("Update"&amp;Projections!$AH$17&amp;"!D"&amp;ROW(B95))</f>
        <v>C</v>
      </c>
      <c r="S114" s="73">
        <f t="shared" si="14"/>
        <v>0.2704992278</v>
      </c>
      <c r="T114" s="73">
        <f>SUM(AE114:AM114)-IFERROR(IFS(Projections!$I$17,AN114,Projections!$J$17,AO114),"")</f>
        <v>0.2704992278</v>
      </c>
      <c r="U114" s="73">
        <f t="shared" si="15"/>
        <v>0</v>
      </c>
      <c r="V114" s="73">
        <f t="array" ref="V114">INDIRECT("Update"&amp;Projections!$AH$17&amp;"!M"&amp;ROW(B95))</f>
        <v>12.2</v>
      </c>
      <c r="W114" s="73">
        <f t="array" ref="W114">INDIRECT("Update"&amp;Projections!$AH$17&amp;"!L"&amp;ROW(B95))</f>
        <v>0</v>
      </c>
      <c r="X114" s="73">
        <f t="array" ref="X114">INDIRECT("Update"&amp;Projections!$AH$17&amp;"!N"&amp;ROW(B95))</f>
        <v>9.1</v>
      </c>
      <c r="Y114" s="73">
        <f t="array" ref="Y114">INDIRECT("Update"&amp;Projections!$AH$17&amp;"!O"&amp;ROW(B95))</f>
        <v>2.7</v>
      </c>
      <c r="Z114" s="73">
        <f t="array" ref="Z114">INDIRECT("Update"&amp;Projections!$AH$17&amp;"!P"&amp;ROW(B95))</f>
        <v>0.9</v>
      </c>
      <c r="AA114" s="73">
        <f t="array" ref="AA114">INDIRECT("Update"&amp;Projections!$AH$17&amp;"!Q"&amp;ROW(B95))</f>
        <v>1.4</v>
      </c>
      <c r="AB114" s="107">
        <f t="array" ref="AB114">INDIRECT("Update"&amp;Projections!$AH$17&amp;"!I"&amp;ROW(B95))</f>
        <v>0.64</v>
      </c>
      <c r="AC114" s="107">
        <f t="array" ref="AC114">INDIRECT("Update"&amp;Projections!$AH$17&amp;"!K"&amp;ROW(B95))</f>
        <v>0.575</v>
      </c>
      <c r="AD114" s="73">
        <f t="array" ref="AD114">INDIRECT("Update"&amp;Projections!$AH$17&amp;"!R"&amp;ROW(B95))</f>
        <v>1.7</v>
      </c>
      <c r="AE114" s="73">
        <f t="shared" si="16"/>
        <v>-0.9514527815</v>
      </c>
      <c r="AF114" s="73">
        <f t="shared" si="17"/>
        <v>-1.740686581</v>
      </c>
      <c r="AG114" s="73">
        <f t="shared" si="18"/>
        <v>1.189000666</v>
      </c>
      <c r="AH114" s="73">
        <f t="shared" si="19"/>
        <v>-0.5630348583</v>
      </c>
      <c r="AI114" s="73">
        <f t="shared" si="20"/>
        <v>-0.2527964105</v>
      </c>
      <c r="AJ114" s="73">
        <f t="shared" si="21"/>
        <v>1.168419678</v>
      </c>
      <c r="AK114" s="73">
        <f t="shared" si="22"/>
        <v>1.408981051</v>
      </c>
      <c r="AL114" s="73">
        <f t="shared" si="23"/>
        <v>-2.024898622</v>
      </c>
      <c r="AM114" s="73">
        <f t="shared" si="24"/>
        <v>0.01206846389</v>
      </c>
      <c r="AN114" s="120">
        <f t="shared" si="25"/>
        <v>-2.024898622</v>
      </c>
      <c r="AO114" s="120">
        <f t="shared" si="26"/>
        <v>-3.765585203</v>
      </c>
      <c r="AP114" s="120">
        <f t="array" ref="AP114">INDIRECT("Update"&amp;Projections!$AH$17&amp;"!S"&amp;ROW(B95))</f>
        <v>8.4</v>
      </c>
      <c r="AQ114" s="120">
        <f t="array" ref="AQ114">INDIRECT("Update"&amp;Projections!$AH$17&amp;"!T"&amp;ROW(B95))</f>
        <v>2.6</v>
      </c>
      <c r="AR114" s="100">
        <f t="shared" si="27"/>
        <v>-0.1152587046</v>
      </c>
    </row>
    <row r="115">
      <c r="A115" s="40" t="str">
        <f t="shared" si="3"/>
        <v>Naz Reid</v>
      </c>
      <c r="B115" s="42">
        <f t="shared" si="4"/>
        <v>-0.4998327325</v>
      </c>
      <c r="C115" s="43">
        <f t="shared" si="5"/>
        <v>0.2497993996</v>
      </c>
      <c r="D115" s="42">
        <f t="shared" si="6"/>
        <v>0.05143590386</v>
      </c>
      <c r="E115" s="42">
        <f t="shared" si="7"/>
        <v>-1.109776103</v>
      </c>
      <c r="F115" s="42">
        <f t="shared" si="8"/>
        <v>-0.2527964105</v>
      </c>
      <c r="G115" s="42">
        <f t="shared" si="9"/>
        <v>0.4548448695</v>
      </c>
      <c r="H115" s="42">
        <f t="shared" si="10"/>
        <v>-0.3411756754</v>
      </c>
      <c r="I115" s="42">
        <f>UpdateHashtag!S113</f>
        <v>11.7</v>
      </c>
      <c r="J115" s="47">
        <f t="shared" si="11"/>
        <v>-0.4667964729</v>
      </c>
      <c r="K115" s="48">
        <f>UpdateHashtag!T113</f>
        <v>2.2</v>
      </c>
      <c r="L115" s="42">
        <f t="shared" si="12"/>
        <v>-0.04827385557</v>
      </c>
      <c r="N115" s="100">
        <f t="shared" si="13"/>
        <v>71</v>
      </c>
      <c r="O115" s="94">
        <f t="array" ref="O115">INDIRECT("Update"&amp;Projections!$AH$17&amp;"!B"&amp;ROW(B96))</f>
        <v>116.8</v>
      </c>
      <c r="P115" s="101" t="str">
        <f t="array" ref="P115">INDIRECT("Update"&amp;Projections!$AH$17&amp;"!C"&amp;ROW(B96))</f>
        <v>Amen Thompson</v>
      </c>
      <c r="Q115" s="94">
        <f>UpdateBBM!F96</f>
        <v>66</v>
      </c>
      <c r="R115" s="105" t="str">
        <f t="array" ref="R115">INDIRECT("Update"&amp;Projections!$AH$17&amp;"!D"&amp;ROW(B96))</f>
        <v>SG,SF</v>
      </c>
      <c r="S115" s="73">
        <f t="shared" si="14"/>
        <v>0.4613776165</v>
      </c>
      <c r="T115" s="73">
        <f>SUM(AE115:AM115)-IFERROR(IFS(Projections!$I$17,AN115,Projections!$J$17,AO115),"")</f>
        <v>0.4613776165</v>
      </c>
      <c r="U115" s="73">
        <f t="shared" si="15"/>
        <v>0</v>
      </c>
      <c r="V115" s="73">
        <f t="array" ref="V115">INDIRECT("Update"&amp;Projections!$AH$17&amp;"!M"&amp;ROW(B96))</f>
        <v>12</v>
      </c>
      <c r="W115" s="73">
        <f t="array" ref="W115">INDIRECT("Update"&amp;Projections!$AH$17&amp;"!L"&amp;ROW(B96))</f>
        <v>0.3</v>
      </c>
      <c r="X115" s="73">
        <f t="array" ref="X115">INDIRECT("Update"&amp;Projections!$AH$17&amp;"!N"&amp;ROW(B96))</f>
        <v>7.2</v>
      </c>
      <c r="Y115" s="73">
        <f t="array" ref="Y115">INDIRECT("Update"&amp;Projections!$AH$17&amp;"!O"&amp;ROW(B96))</f>
        <v>3.2</v>
      </c>
      <c r="Z115" s="73">
        <f t="array" ref="Z115">INDIRECT("Update"&amp;Projections!$AH$17&amp;"!P"&amp;ROW(B96))</f>
        <v>1.5</v>
      </c>
      <c r="AA115" s="73">
        <f t="array" ref="AA115">INDIRECT("Update"&amp;Projections!$AH$17&amp;"!Q"&amp;ROW(B96))</f>
        <v>0.8</v>
      </c>
      <c r="AB115" s="107">
        <f t="array" ref="AB115">INDIRECT("Update"&amp;Projections!$AH$17&amp;"!I"&amp;ROW(B96))</f>
        <v>0.529</v>
      </c>
      <c r="AC115" s="107">
        <f t="array" ref="AC115">INDIRECT("Update"&amp;Projections!$AH$17&amp;"!K"&amp;ROW(B96))</f>
        <v>0.72</v>
      </c>
      <c r="AD115" s="73">
        <f t="array" ref="AD115">INDIRECT("Update"&amp;Projections!$AH$17&amp;"!R"&amp;ROW(B96))</f>
        <v>1.8</v>
      </c>
      <c r="AE115" s="73">
        <f t="shared" si="16"/>
        <v>-0.9875823855</v>
      </c>
      <c r="AF115" s="73">
        <f t="shared" si="17"/>
        <v>-1.442113684</v>
      </c>
      <c r="AG115" s="73">
        <f t="shared" si="18"/>
        <v>0.4436996151</v>
      </c>
      <c r="AH115" s="73">
        <f t="shared" si="19"/>
        <v>-0.3352260062</v>
      </c>
      <c r="AI115" s="73">
        <f t="shared" si="20"/>
        <v>1.738799658</v>
      </c>
      <c r="AJ115" s="73">
        <f t="shared" si="21"/>
        <v>0.09805746537</v>
      </c>
      <c r="AK115" s="73">
        <f t="shared" si="22"/>
        <v>0.3387936417</v>
      </c>
      <c r="AL115" s="73">
        <f t="shared" si="23"/>
        <v>-0.8224346229</v>
      </c>
      <c r="AM115" s="73">
        <f t="shared" si="24"/>
        <v>-0.01272974958</v>
      </c>
      <c r="AN115" s="120">
        <f t="shared" si="25"/>
        <v>-1.442113684</v>
      </c>
      <c r="AO115" s="120">
        <f t="shared" si="26"/>
        <v>-2.429696069</v>
      </c>
      <c r="AP115" s="120">
        <f t="array" ref="AP115">INDIRECT("Update"&amp;Projections!$AH$17&amp;"!S"&amp;ROW(B96))</f>
        <v>9</v>
      </c>
      <c r="AQ115" s="120">
        <f t="array" ref="AQ115">INDIRECT("Update"&amp;Projections!$AH$17&amp;"!T"&amp;ROW(B96))</f>
        <v>3.1</v>
      </c>
      <c r="AR115" s="100">
        <f t="shared" si="27"/>
        <v>-0.1919919217</v>
      </c>
    </row>
    <row r="116">
      <c r="A116" s="40" t="str">
        <f t="shared" si="3"/>
        <v>Julius Randle</v>
      </c>
      <c r="B116" s="42">
        <f t="shared" si="4"/>
        <v>0.5117961775</v>
      </c>
      <c r="C116" s="43">
        <f t="shared" si="5"/>
        <v>-0.3473463946</v>
      </c>
      <c r="D116" s="42">
        <f t="shared" si="6"/>
        <v>0.9536424397</v>
      </c>
      <c r="E116" s="42">
        <f t="shared" si="7"/>
        <v>-0.01629361326</v>
      </c>
      <c r="F116" s="42">
        <f t="shared" si="8"/>
        <v>-1.580527123</v>
      </c>
      <c r="G116" s="42">
        <f t="shared" si="9"/>
        <v>-0.9723047469</v>
      </c>
      <c r="H116" s="42">
        <f t="shared" si="10"/>
        <v>-0.3564947363</v>
      </c>
      <c r="I116" s="42">
        <f>UpdateHashtag!S114</f>
        <v>15.3</v>
      </c>
      <c r="J116" s="47">
        <f t="shared" si="11"/>
        <v>-0.2852084843</v>
      </c>
      <c r="K116" s="48">
        <f>UpdateHashtag!T114</f>
        <v>5.4</v>
      </c>
      <c r="L116" s="42">
        <f t="shared" si="12"/>
        <v>0.8444618296</v>
      </c>
      <c r="N116" s="100">
        <f t="shared" si="13"/>
        <v>104</v>
      </c>
      <c r="O116" s="94">
        <f t="array" ref="O116">INDIRECT("Update"&amp;Projections!$AH$17&amp;"!B"&amp;ROW(B97))</f>
        <v>86.9</v>
      </c>
      <c r="P116" s="101" t="str">
        <f t="array" ref="P116">INDIRECT("Update"&amp;Projections!$AH$17&amp;"!C"&amp;ROW(B97))</f>
        <v>CJ McCollum</v>
      </c>
      <c r="Q116" s="94">
        <f>UpdateBBM!F97</f>
        <v>71</v>
      </c>
      <c r="R116" s="105" t="str">
        <f t="array" ref="R116">INDIRECT("Update"&amp;Projections!$AH$17&amp;"!D"&amp;ROW(B97))</f>
        <v>PG,SG</v>
      </c>
      <c r="S116" s="73">
        <f t="shared" si="14"/>
        <v>-0.4391806021</v>
      </c>
      <c r="T116" s="73">
        <f>SUM(AE116:AM116)-IFERROR(IFS(Projections!$I$17,AN116,Projections!$J$17,AO116),"")</f>
        <v>-0.4391806021</v>
      </c>
      <c r="U116" s="73">
        <f t="shared" si="15"/>
        <v>0</v>
      </c>
      <c r="V116" s="73">
        <f t="array" ref="V116">INDIRECT("Update"&amp;Projections!$AH$17&amp;"!M"&amp;ROW(B97))</f>
        <v>18.3</v>
      </c>
      <c r="W116" s="73">
        <f t="array" ref="W116">INDIRECT("Update"&amp;Projections!$AH$17&amp;"!L"&amp;ROW(B97))</f>
        <v>2.8</v>
      </c>
      <c r="X116" s="73">
        <f t="array" ref="X116">INDIRECT("Update"&amp;Projections!$AH$17&amp;"!N"&amp;ROW(B97))</f>
        <v>3.9</v>
      </c>
      <c r="Y116" s="73">
        <f t="array" ref="Y116">INDIRECT("Update"&amp;Projections!$AH$17&amp;"!O"&amp;ROW(B97))</f>
        <v>4.1</v>
      </c>
      <c r="Z116" s="73">
        <f t="array" ref="Z116">INDIRECT("Update"&amp;Projections!$AH$17&amp;"!P"&amp;ROW(B97))</f>
        <v>0.8</v>
      </c>
      <c r="AA116" s="73">
        <f t="array" ref="AA116">INDIRECT("Update"&amp;Projections!$AH$17&amp;"!Q"&amp;ROW(B97))</f>
        <v>0.5</v>
      </c>
      <c r="AB116" s="107">
        <f t="array" ref="AB116">INDIRECT("Update"&amp;Projections!$AH$17&amp;"!I"&amp;ROW(B97))</f>
        <v>0.451</v>
      </c>
      <c r="AC116" s="107">
        <f t="array" ref="AC116">INDIRECT("Update"&amp;Projections!$AH$17&amp;"!K"&amp;ROW(B97))</f>
        <v>0.814</v>
      </c>
      <c r="AD116" s="73">
        <f t="array" ref="AD116">INDIRECT("Update"&amp;Projections!$AH$17&amp;"!R"&amp;ROW(B97))</f>
        <v>1.9</v>
      </c>
      <c r="AE116" s="73">
        <f t="shared" si="16"/>
        <v>0.1505001382</v>
      </c>
      <c r="AF116" s="73">
        <f t="shared" si="17"/>
        <v>1.045993792</v>
      </c>
      <c r="AG116" s="73">
        <f t="shared" si="18"/>
        <v>-0.850770632</v>
      </c>
      <c r="AH116" s="73">
        <f t="shared" si="19"/>
        <v>0.07482992758</v>
      </c>
      <c r="AI116" s="73">
        <f t="shared" si="20"/>
        <v>-0.5847290887</v>
      </c>
      <c r="AJ116" s="73">
        <f t="shared" si="21"/>
        <v>-0.4371236408</v>
      </c>
      <c r="AK116" s="73">
        <f t="shared" si="22"/>
        <v>-0.8065849999</v>
      </c>
      <c r="AL116" s="73">
        <f t="shared" si="23"/>
        <v>0.1554612328</v>
      </c>
      <c r="AM116" s="73">
        <f t="shared" si="24"/>
        <v>-0.03752796306</v>
      </c>
      <c r="AN116" s="120">
        <f t="shared" si="25"/>
        <v>-0.850770632</v>
      </c>
      <c r="AO116" s="120">
        <f t="shared" si="26"/>
        <v>-1.657355632</v>
      </c>
      <c r="AP116" s="120">
        <f t="array" ref="AP116">INDIRECT("Update"&amp;Projections!$AH$17&amp;"!S"&amp;ROW(B97))</f>
        <v>15</v>
      </c>
      <c r="AQ116" s="120">
        <f t="array" ref="AQ116">INDIRECT("Update"&amp;Projections!$AH$17&amp;"!T"&amp;ROW(B97))</f>
        <v>2.3</v>
      </c>
      <c r="AR116" s="100">
        <f t="shared" si="27"/>
        <v>-0.2831321753</v>
      </c>
    </row>
    <row r="117">
      <c r="A117" s="40" t="str">
        <f t="shared" si="3"/>
        <v>Donte DiVincenzo</v>
      </c>
      <c r="B117" s="42">
        <f t="shared" si="4"/>
        <v>-0.8611287717</v>
      </c>
      <c r="C117" s="43">
        <f t="shared" si="5"/>
        <v>0.9464694928</v>
      </c>
      <c r="D117" s="42">
        <f t="shared" si="6"/>
        <v>-0.850770632</v>
      </c>
      <c r="E117" s="42">
        <f t="shared" si="7"/>
        <v>-0.4263495471</v>
      </c>
      <c r="F117" s="42">
        <f t="shared" si="8"/>
        <v>1.074934302</v>
      </c>
      <c r="G117" s="42">
        <f t="shared" si="9"/>
        <v>-0.7939110449</v>
      </c>
      <c r="H117" s="42">
        <f t="shared" si="10"/>
        <v>-0.6259610313</v>
      </c>
      <c r="I117" s="42">
        <f>UpdateHashtag!S115</f>
        <v>10.1</v>
      </c>
      <c r="J117" s="47">
        <f t="shared" si="11"/>
        <v>-0.03788145055</v>
      </c>
      <c r="K117" s="48">
        <f>UpdateHashtag!T115</f>
        <v>1.2</v>
      </c>
      <c r="L117" s="42">
        <f t="shared" si="12"/>
        <v>-0.3458524173</v>
      </c>
      <c r="N117" s="100">
        <f t="shared" si="13"/>
        <v>78</v>
      </c>
      <c r="O117" s="94">
        <f t="array" ref="O117">INDIRECT("Update"&amp;Projections!$AH$17&amp;"!B"&amp;ROW(B98))</f>
        <v>70.1</v>
      </c>
      <c r="P117" s="101" t="str">
        <f t="array" ref="P117">INDIRECT("Update"&amp;Projections!$AH$17&amp;"!C"&amp;ROW(B98))</f>
        <v>Cam Thomas</v>
      </c>
      <c r="Q117" s="94">
        <f>UpdateBBM!F98</f>
        <v>54</v>
      </c>
      <c r="R117" s="105" t="str">
        <f t="array" ref="R117">INDIRECT("Update"&amp;Projections!$AH$17&amp;"!D"&amp;ROW(B98))</f>
        <v>SG</v>
      </c>
      <c r="S117" s="73">
        <f t="shared" si="14"/>
        <v>0.2724484944</v>
      </c>
      <c r="T117" s="73">
        <f>SUM(AE117:AM117)-IFERROR(IFS(Projections!$I$17,AN117,Projections!$J$17,AO117),"")</f>
        <v>0.2724484944</v>
      </c>
      <c r="U117" s="73">
        <f t="shared" si="15"/>
        <v>0</v>
      </c>
      <c r="V117" s="73">
        <f t="array" ref="V117">INDIRECT("Update"&amp;Projections!$AH$17&amp;"!M"&amp;ROW(B98))</f>
        <v>25.6</v>
      </c>
      <c r="W117" s="73">
        <f t="array" ref="W117">INDIRECT("Update"&amp;Projections!$AH$17&amp;"!L"&amp;ROW(B98))</f>
        <v>2.6</v>
      </c>
      <c r="X117" s="73">
        <f t="array" ref="X117">INDIRECT("Update"&amp;Projections!$AH$17&amp;"!N"&amp;ROW(B98))</f>
        <v>3.3</v>
      </c>
      <c r="Y117" s="73">
        <f t="array" ref="Y117">INDIRECT("Update"&amp;Projections!$AH$17&amp;"!O"&amp;ROW(B98))</f>
        <v>2.9</v>
      </c>
      <c r="Z117" s="73">
        <f t="array" ref="Z117">INDIRECT("Update"&amp;Projections!$AH$17&amp;"!P"&amp;ROW(B98))</f>
        <v>0.7</v>
      </c>
      <c r="AA117" s="73">
        <f t="array" ref="AA117">INDIRECT("Update"&amp;Projections!$AH$17&amp;"!Q"&amp;ROW(B98))</f>
        <v>0.3</v>
      </c>
      <c r="AB117" s="107">
        <f t="array" ref="AB117">INDIRECT("Update"&amp;Projections!$AH$17&amp;"!I"&amp;ROW(B98))</f>
        <v>0.44</v>
      </c>
      <c r="AC117" s="107">
        <f t="array" ref="AC117">INDIRECT("Update"&amp;Projections!$AH$17&amp;"!K"&amp;ROW(B98))</f>
        <v>0.861</v>
      </c>
      <c r="AD117" s="73">
        <f t="array" ref="AD117">INDIRECT("Update"&amp;Projections!$AH$17&amp;"!R"&amp;ROW(B98))</f>
        <v>2</v>
      </c>
      <c r="AE117" s="73">
        <f t="shared" si="16"/>
        <v>1.469230682</v>
      </c>
      <c r="AF117" s="73">
        <f t="shared" si="17"/>
        <v>0.8469451937</v>
      </c>
      <c r="AG117" s="73">
        <f t="shared" si="18"/>
        <v>-1.086128859</v>
      </c>
      <c r="AH117" s="73">
        <f t="shared" si="19"/>
        <v>-0.4719113175</v>
      </c>
      <c r="AI117" s="73">
        <f t="shared" si="20"/>
        <v>-0.9166617668</v>
      </c>
      <c r="AJ117" s="73">
        <f t="shared" si="21"/>
        <v>-0.7939110449</v>
      </c>
      <c r="AK117" s="73">
        <f t="shared" si="22"/>
        <v>-1.379951908</v>
      </c>
      <c r="AL117" s="73">
        <f t="shared" si="23"/>
        <v>1.287211784</v>
      </c>
      <c r="AM117" s="73">
        <f t="shared" si="24"/>
        <v>-0.06232617654</v>
      </c>
      <c r="AN117" s="120">
        <f t="shared" si="25"/>
        <v>-1.379951908</v>
      </c>
      <c r="AO117" s="120">
        <f t="shared" si="26"/>
        <v>-2.466080767</v>
      </c>
      <c r="AP117" s="120">
        <f t="array" ref="AP117">INDIRECT("Update"&amp;Projections!$AH$17&amp;"!S"&amp;ROW(B98))</f>
        <v>20.7</v>
      </c>
      <c r="AQ117" s="120">
        <f t="array" ref="AQ117">INDIRECT("Update"&amp;Projections!$AH$17&amp;"!T"&amp;ROW(B98))</f>
        <v>5.5</v>
      </c>
      <c r="AR117" s="100">
        <f t="shared" si="27"/>
        <v>-0.2885846477</v>
      </c>
    </row>
    <row r="118">
      <c r="A118" s="40" t="str">
        <f t="shared" si="3"/>
        <v>John Collins</v>
      </c>
      <c r="B118" s="42">
        <f t="shared" si="4"/>
        <v>-0.6804807521</v>
      </c>
      <c r="C118" s="43">
        <f t="shared" si="5"/>
        <v>-0.6459192917</v>
      </c>
      <c r="D118" s="42">
        <f t="shared" si="6"/>
        <v>0.4829259862</v>
      </c>
      <c r="E118" s="42">
        <f t="shared" si="7"/>
        <v>-1.292023185</v>
      </c>
      <c r="F118" s="42">
        <f t="shared" si="8"/>
        <v>-1.248594445</v>
      </c>
      <c r="G118" s="42">
        <f t="shared" si="9"/>
        <v>0.2764511674</v>
      </c>
      <c r="H118" s="42">
        <f t="shared" si="10"/>
        <v>0.2763764434</v>
      </c>
      <c r="I118" s="42">
        <f>UpdateHashtag!S116</f>
        <v>10.2</v>
      </c>
      <c r="J118" s="47">
        <f t="shared" si="11"/>
        <v>0.01000040275</v>
      </c>
      <c r="K118" s="48">
        <f>UpdateHashtag!T116</f>
        <v>2.6</v>
      </c>
      <c r="L118" s="42">
        <f t="shared" si="12"/>
        <v>-0.5442381251</v>
      </c>
      <c r="N118" s="100">
        <f t="shared" si="13"/>
        <v>102</v>
      </c>
      <c r="O118" s="94">
        <f t="array" ref="O118">INDIRECT("Update"&amp;Projections!$AH$17&amp;"!B"&amp;ROW(B99))</f>
        <v>136.7</v>
      </c>
      <c r="P118" s="101" t="str">
        <f t="array" ref="P118">INDIRECT("Update"&amp;Projections!$AH$17&amp;"!C"&amp;ROW(B99))</f>
        <v>Al Horford</v>
      </c>
      <c r="Q118" s="94">
        <f>UpdateBBM!F99</f>
        <v>71</v>
      </c>
      <c r="R118" s="105" t="str">
        <f t="array" ref="R118">INDIRECT("Update"&amp;Projections!$AH$17&amp;"!D"&amp;ROW(B99))</f>
        <v>PF,C</v>
      </c>
      <c r="S118" s="73">
        <f t="shared" si="14"/>
        <v>-0.4023587617</v>
      </c>
      <c r="T118" s="73">
        <f>SUM(AE118:AM118)-IFERROR(IFS(Projections!$I$17,AN118,Projections!$J$17,AO118),"")</f>
        <v>-0.4023587617</v>
      </c>
      <c r="U118" s="73">
        <f t="shared" si="15"/>
        <v>0</v>
      </c>
      <c r="V118" s="73">
        <f t="array" ref="V118">INDIRECT("Update"&amp;Projections!$AH$17&amp;"!M"&amp;ROW(B99))</f>
        <v>9.8</v>
      </c>
      <c r="W118" s="73">
        <f t="array" ref="W118">INDIRECT("Update"&amp;Projections!$AH$17&amp;"!L"&amp;ROW(B99))</f>
        <v>2.1</v>
      </c>
      <c r="X118" s="73">
        <f t="array" ref="X118">INDIRECT("Update"&amp;Projections!$AH$17&amp;"!N"&amp;ROW(B99))</f>
        <v>6.7</v>
      </c>
      <c r="Y118" s="73">
        <f t="array" ref="Y118">INDIRECT("Update"&amp;Projections!$AH$17&amp;"!O"&amp;ROW(B99))</f>
        <v>3</v>
      </c>
      <c r="Z118" s="73">
        <f t="array" ref="Z118">INDIRECT("Update"&amp;Projections!$AH$17&amp;"!P"&amp;ROW(B99))</f>
        <v>0.6</v>
      </c>
      <c r="AA118" s="73">
        <f t="array" ref="AA118">INDIRECT("Update"&amp;Projections!$AH$17&amp;"!Q"&amp;ROW(B99))</f>
        <v>1</v>
      </c>
      <c r="AB118" s="107">
        <f t="array" ref="AB118">INDIRECT("Update"&amp;Projections!$AH$17&amp;"!I"&amp;ROW(B99))</f>
        <v>0.493</v>
      </c>
      <c r="AC118" s="107">
        <f t="array" ref="AC118">INDIRECT("Update"&amp;Projections!$AH$17&amp;"!K"&amp;ROW(B99))</f>
        <v>0.791</v>
      </c>
      <c r="AD118" s="73">
        <f t="array" ref="AD118">INDIRECT("Update"&amp;Projections!$AH$17&amp;"!R"&amp;ROW(B99))</f>
        <v>0.7</v>
      </c>
      <c r="AE118" s="73">
        <f t="shared" si="16"/>
        <v>-1.385008029</v>
      </c>
      <c r="AF118" s="73">
        <f t="shared" si="17"/>
        <v>0.3493236986</v>
      </c>
      <c r="AG118" s="73">
        <f t="shared" si="18"/>
        <v>0.2475677595</v>
      </c>
      <c r="AH118" s="73">
        <f t="shared" si="19"/>
        <v>-0.4263495471</v>
      </c>
      <c r="AI118" s="73">
        <f t="shared" si="20"/>
        <v>-1.248594445</v>
      </c>
      <c r="AJ118" s="73">
        <f t="shared" si="21"/>
        <v>0.4548448695</v>
      </c>
      <c r="AK118" s="73">
        <f t="shared" si="22"/>
        <v>-0.03365738254</v>
      </c>
      <c r="AL118" s="73">
        <f t="shared" si="23"/>
        <v>-0.005544313343</v>
      </c>
      <c r="AM118" s="73">
        <f t="shared" si="24"/>
        <v>0.2600505987</v>
      </c>
      <c r="AN118" s="120">
        <f t="shared" si="25"/>
        <v>-1.385008029</v>
      </c>
      <c r="AO118" s="120">
        <f t="shared" si="26"/>
        <v>-2.633602474</v>
      </c>
      <c r="AP118" s="120">
        <f t="array" ref="AP118">INDIRECT("Update"&amp;Projections!$AH$17&amp;"!S"&amp;ROW(B99))</f>
        <v>7.4</v>
      </c>
      <c r="AQ118" s="120">
        <f t="array" ref="AQ118">INDIRECT("Update"&amp;Projections!$AH$17&amp;"!T"&amp;ROW(B99))</f>
        <v>0.4</v>
      </c>
      <c r="AR118" s="100">
        <f t="shared" si="27"/>
        <v>-0.2903459224</v>
      </c>
    </row>
    <row r="119">
      <c r="A119" s="40" t="str">
        <f t="shared" si="3"/>
        <v>Chris Paul</v>
      </c>
      <c r="B119" s="42">
        <f t="shared" si="4"/>
        <v>-1.312748821</v>
      </c>
      <c r="C119" s="43">
        <f t="shared" si="5"/>
        <v>-0.4468706937</v>
      </c>
      <c r="D119" s="42">
        <f t="shared" si="6"/>
        <v>-0.9684497454</v>
      </c>
      <c r="E119" s="42">
        <f t="shared" si="7"/>
        <v>1.350559499</v>
      </c>
      <c r="F119" s="42">
        <f t="shared" si="8"/>
        <v>0.743001624</v>
      </c>
      <c r="G119" s="42">
        <f t="shared" si="9"/>
        <v>-0.9723047469</v>
      </c>
      <c r="H119" s="42">
        <f t="shared" si="10"/>
        <v>-0.5632341452</v>
      </c>
      <c r="I119" s="42">
        <f>UpdateHashtag!S117</f>
        <v>8.6</v>
      </c>
      <c r="J119" s="47">
        <f t="shared" si="11"/>
        <v>0.2044735256</v>
      </c>
      <c r="K119" s="48">
        <f>UpdateHashtag!T117</f>
        <v>1.6</v>
      </c>
      <c r="L119" s="42">
        <f t="shared" si="12"/>
        <v>-0.3458524173</v>
      </c>
      <c r="N119" s="100">
        <f t="shared" si="13"/>
        <v>111</v>
      </c>
      <c r="O119" s="94">
        <f t="array" ref="O119">INDIRECT("Update"&amp;Projections!$AH$17&amp;"!B"&amp;ROW(B100))</f>
        <v>91.6</v>
      </c>
      <c r="P119" s="101" t="str">
        <f t="array" ref="P119">INDIRECT("Update"&amp;Projections!$AH$17&amp;"!C"&amp;ROW(B100))</f>
        <v>Ivica Zubac</v>
      </c>
      <c r="Q119" s="94">
        <f>UpdateBBM!F100</f>
        <v>66</v>
      </c>
      <c r="R119" s="105" t="str">
        <f t="array" ref="R119">INDIRECT("Update"&amp;Projections!$AH$17&amp;"!D"&amp;ROW(B100))</f>
        <v>C</v>
      </c>
      <c r="S119" s="73">
        <f t="shared" si="14"/>
        <v>-0.6631915037</v>
      </c>
      <c r="T119" s="73">
        <f>SUM(AE119:AM119)-IFERROR(IFS(Projections!$I$17,AN119,Projections!$J$17,AO119),"")</f>
        <v>-0.6631915037</v>
      </c>
      <c r="U119" s="73">
        <f t="shared" si="15"/>
        <v>0</v>
      </c>
      <c r="V119" s="73">
        <f t="array" ref="V119">INDIRECT("Update"&amp;Projections!$AH$17&amp;"!M"&amp;ROW(B100))</f>
        <v>12.3</v>
      </c>
      <c r="W119" s="73">
        <f t="array" ref="W119">INDIRECT("Update"&amp;Projections!$AH$17&amp;"!L"&amp;ROW(B100))</f>
        <v>0</v>
      </c>
      <c r="X119" s="73">
        <f t="array" ref="X119">INDIRECT("Update"&amp;Projections!$AH$17&amp;"!N"&amp;ROW(B100))</f>
        <v>10.1</v>
      </c>
      <c r="Y119" s="73">
        <f t="array" ref="Y119">INDIRECT("Update"&amp;Projections!$AH$17&amp;"!O"&amp;ROW(B100))</f>
        <v>1.3</v>
      </c>
      <c r="Z119" s="73">
        <f t="array" ref="Z119">INDIRECT("Update"&amp;Projections!$AH$17&amp;"!P"&amp;ROW(B100))</f>
        <v>0.4</v>
      </c>
      <c r="AA119" s="73">
        <f t="array" ref="AA119">INDIRECT("Update"&amp;Projections!$AH$17&amp;"!Q"&amp;ROW(B100))</f>
        <v>1.4</v>
      </c>
      <c r="AB119" s="107">
        <f t="array" ref="AB119">INDIRECT("Update"&amp;Projections!$AH$17&amp;"!I"&amp;ROW(B100))</f>
        <v>0.642</v>
      </c>
      <c r="AC119" s="107">
        <f t="array" ref="AC119">INDIRECT("Update"&amp;Projections!$AH$17&amp;"!K"&amp;ROW(B100))</f>
        <v>0.709</v>
      </c>
      <c r="AD119" s="73">
        <f t="array" ref="AD119">INDIRECT("Update"&amp;Projections!$AH$17&amp;"!R"&amp;ROW(B100))</f>
        <v>1.5</v>
      </c>
      <c r="AE119" s="73">
        <f t="shared" si="16"/>
        <v>-0.9333879796</v>
      </c>
      <c r="AF119" s="73">
        <f t="shared" si="17"/>
        <v>-1.740686581</v>
      </c>
      <c r="AG119" s="73">
        <f t="shared" si="18"/>
        <v>1.581264378</v>
      </c>
      <c r="AH119" s="73">
        <f t="shared" si="19"/>
        <v>-1.200899644</v>
      </c>
      <c r="AI119" s="73">
        <f t="shared" si="20"/>
        <v>-1.912459801</v>
      </c>
      <c r="AJ119" s="73">
        <f t="shared" si="21"/>
        <v>1.168419678</v>
      </c>
      <c r="AK119" s="73">
        <f t="shared" si="22"/>
        <v>1.343630746</v>
      </c>
      <c r="AL119" s="73">
        <f t="shared" si="23"/>
        <v>-0.943196991</v>
      </c>
      <c r="AM119" s="73">
        <f t="shared" si="24"/>
        <v>0.06166489084</v>
      </c>
      <c r="AN119" s="120">
        <f t="shared" si="25"/>
        <v>-1.912459801</v>
      </c>
      <c r="AO119" s="120">
        <f t="shared" si="26"/>
        <v>-3.653146382</v>
      </c>
      <c r="AP119" s="120">
        <f t="array" ref="AP119">INDIRECT("Update"&amp;Projections!$AH$17&amp;"!S"&amp;ROW(B100))</f>
        <v>7.9</v>
      </c>
      <c r="AQ119" s="120">
        <f t="array" ref="AQ119">INDIRECT("Update"&amp;Projections!$AH$17&amp;"!T"&amp;ROW(B100))</f>
        <v>3.1</v>
      </c>
      <c r="AR119" s="100">
        <f t="shared" si="27"/>
        <v>-0.2913788594</v>
      </c>
    </row>
    <row r="120">
      <c r="A120" s="40" t="str">
        <f t="shared" si="3"/>
        <v>Jusuf Nurkic</v>
      </c>
      <c r="B120" s="42">
        <f t="shared" si="4"/>
        <v>-0.9514527815</v>
      </c>
      <c r="C120" s="43">
        <f t="shared" si="5"/>
        <v>-1.243065086</v>
      </c>
      <c r="D120" s="42">
        <f t="shared" si="6"/>
        <v>1.738169862</v>
      </c>
      <c r="E120" s="42">
        <f t="shared" si="7"/>
        <v>-0.1529789245</v>
      </c>
      <c r="F120" s="42">
        <f t="shared" si="8"/>
        <v>0.07913626764</v>
      </c>
      <c r="G120" s="42">
        <f t="shared" si="9"/>
        <v>0.4548448695</v>
      </c>
      <c r="H120" s="42">
        <f t="shared" si="10"/>
        <v>0.1825798907</v>
      </c>
      <c r="I120" s="42">
        <f>UpdateHashtag!S118</f>
        <v>9.1</v>
      </c>
      <c r="J120" s="47">
        <f t="shared" si="11"/>
        <v>-1.88577013</v>
      </c>
      <c r="K120" s="48">
        <f>UpdateHashtag!T118</f>
        <v>3.6</v>
      </c>
      <c r="L120" s="42">
        <f t="shared" si="12"/>
        <v>0.6460761218</v>
      </c>
      <c r="N120" s="100">
        <f t="shared" si="13"/>
        <v>117</v>
      </c>
      <c r="O120" s="94">
        <f t="array" ref="O120">INDIRECT("Update"&amp;Projections!$AH$17&amp;"!B"&amp;ROW(B101))</f>
        <v>111.1</v>
      </c>
      <c r="P120" s="101" t="str">
        <f t="array" ref="P120">INDIRECT("Update"&amp;Projections!$AH$17&amp;"!C"&amp;ROW(B101))</f>
        <v>Khris Middleton</v>
      </c>
      <c r="Q120" s="94">
        <f>UpdateBBM!F101</f>
        <v>71</v>
      </c>
      <c r="R120" s="105" t="str">
        <f t="array" ref="R120">INDIRECT("Update"&amp;Projections!$AH$17&amp;"!D"&amp;ROW(B101))</f>
        <v>SF</v>
      </c>
      <c r="S120" s="73">
        <f t="shared" si="14"/>
        <v>-0.8554246332</v>
      </c>
      <c r="T120" s="73">
        <f>SUM(AE120:AM120)-IFERROR(IFS(Projections!$I$17,AN120,Projections!$J$17,AO120),"")</f>
        <v>-0.8554246332</v>
      </c>
      <c r="U120" s="73">
        <f t="shared" si="15"/>
        <v>0</v>
      </c>
      <c r="V120" s="73">
        <f t="array" ref="V120">INDIRECT("Update"&amp;Projections!$AH$17&amp;"!M"&amp;ROW(B101))</f>
        <v>16.4</v>
      </c>
      <c r="W120" s="73">
        <f t="array" ref="W120">INDIRECT("Update"&amp;Projections!$AH$17&amp;"!L"&amp;ROW(B101))</f>
        <v>1.7</v>
      </c>
      <c r="X120" s="73">
        <f t="array" ref="X120">INDIRECT("Update"&amp;Projections!$AH$17&amp;"!N"&amp;ROW(B101))</f>
        <v>4.4</v>
      </c>
      <c r="Y120" s="73">
        <f t="array" ref="Y120">INDIRECT("Update"&amp;Projections!$AH$17&amp;"!O"&amp;ROW(B101))</f>
        <v>4.7</v>
      </c>
      <c r="Z120" s="73">
        <f t="array" ref="Z120">INDIRECT("Update"&amp;Projections!$AH$17&amp;"!P"&amp;ROW(B101))</f>
        <v>0.8</v>
      </c>
      <c r="AA120" s="73">
        <f t="array" ref="AA120">INDIRECT("Update"&amp;Projections!$AH$17&amp;"!Q"&amp;ROW(B101))</f>
        <v>0.2</v>
      </c>
      <c r="AB120" s="107">
        <f t="array" ref="AB120">INDIRECT("Update"&amp;Projections!$AH$17&amp;"!I"&amp;ROW(B101))</f>
        <v>0.482</v>
      </c>
      <c r="AC120" s="107">
        <f t="array" ref="AC120">INDIRECT("Update"&amp;Projections!$AH$17&amp;"!K"&amp;ROW(B101))</f>
        <v>0.867</v>
      </c>
      <c r="AD120" s="73">
        <f t="array" ref="AD120">INDIRECT("Update"&amp;Projections!$AH$17&amp;"!R"&amp;ROW(B101))</f>
        <v>2.4</v>
      </c>
      <c r="AE120" s="73">
        <f t="shared" si="16"/>
        <v>-0.1927310991</v>
      </c>
      <c r="AF120" s="73">
        <f t="shared" si="17"/>
        <v>-0.04877349754</v>
      </c>
      <c r="AG120" s="73">
        <f t="shared" si="18"/>
        <v>-0.6546387764</v>
      </c>
      <c r="AH120" s="73">
        <f t="shared" si="19"/>
        <v>0.3482005501</v>
      </c>
      <c r="AI120" s="73">
        <f t="shared" si="20"/>
        <v>-0.5847290887</v>
      </c>
      <c r="AJ120" s="73">
        <f t="shared" si="21"/>
        <v>-0.9723047469</v>
      </c>
      <c r="AK120" s="73">
        <f t="shared" si="22"/>
        <v>-0.2249799344</v>
      </c>
      <c r="AL120" s="73">
        <f t="shared" si="23"/>
        <v>0.6637462433</v>
      </c>
      <c r="AM120" s="73">
        <f t="shared" si="24"/>
        <v>-0.1615190304</v>
      </c>
      <c r="AN120" s="120">
        <f t="shared" si="25"/>
        <v>-0.9723047469</v>
      </c>
      <c r="AO120" s="120">
        <f t="shared" si="26"/>
        <v>-1.626943523</v>
      </c>
      <c r="AP120" s="120">
        <f t="array" ref="AP120">INDIRECT("Update"&amp;Projections!$AH$17&amp;"!S"&amp;ROW(B101))</f>
        <v>12.9</v>
      </c>
      <c r="AQ120" s="120">
        <f t="array" ref="AQ120">INDIRECT("Update"&amp;Projections!$AH$17&amp;"!T"&amp;ROW(B101))</f>
        <v>2.6</v>
      </c>
      <c r="AR120" s="100">
        <f t="shared" si="27"/>
        <v>-0.3643186267</v>
      </c>
    </row>
    <row r="121">
      <c r="A121" s="40" t="str">
        <f t="shared" si="3"/>
        <v>Cameron Johnson</v>
      </c>
      <c r="B121" s="42">
        <f t="shared" si="4"/>
        <v>-0.4998327325</v>
      </c>
      <c r="C121" s="43">
        <f t="shared" si="5"/>
        <v>0.7474208947</v>
      </c>
      <c r="D121" s="42">
        <f t="shared" si="6"/>
        <v>-0.6154124053</v>
      </c>
      <c r="E121" s="42">
        <f t="shared" si="7"/>
        <v>-0.7908437104</v>
      </c>
      <c r="F121" s="42">
        <f t="shared" si="8"/>
        <v>0.07913626764</v>
      </c>
      <c r="G121" s="42">
        <f t="shared" si="9"/>
        <v>-0.7939110449</v>
      </c>
      <c r="H121" s="42">
        <f t="shared" si="10"/>
        <v>-0.5281657047</v>
      </c>
      <c r="I121" s="42">
        <f>UpdateHashtag!S119</f>
        <v>11.3</v>
      </c>
      <c r="J121" s="47">
        <f t="shared" si="11"/>
        <v>0.1962180336</v>
      </c>
      <c r="K121" s="48">
        <f>UpdateHashtag!T119</f>
        <v>2.4</v>
      </c>
      <c r="L121" s="42">
        <f t="shared" si="12"/>
        <v>-0.7426238329</v>
      </c>
      <c r="N121" s="100">
        <f t="shared" si="13"/>
        <v>92</v>
      </c>
      <c r="O121" s="94">
        <f t="array" ref="O121">INDIRECT("Update"&amp;Projections!$AH$17&amp;"!B"&amp;ROW(B102))</f>
        <v>132.8</v>
      </c>
      <c r="P121" s="101" t="str">
        <f t="array" ref="P121">INDIRECT("Update"&amp;Projections!$AH$17&amp;"!C"&amp;ROW(B102))</f>
        <v>Mike Conley</v>
      </c>
      <c r="Q121" s="94">
        <f>UpdateBBM!F102</f>
        <v>79</v>
      </c>
      <c r="R121" s="105" t="str">
        <f t="array" ref="R121">INDIRECT("Update"&amp;Projections!$AH$17&amp;"!D"&amp;ROW(B102))</f>
        <v>PG</v>
      </c>
      <c r="S121" s="73">
        <f t="shared" si="14"/>
        <v>-0.09868785686</v>
      </c>
      <c r="T121" s="73">
        <f>SUM(AE121:AM121)-IFERROR(IFS(Projections!$I$17,AN121,Projections!$J$17,AO121),"")</f>
        <v>-0.09868785686</v>
      </c>
      <c r="U121" s="73">
        <f t="shared" si="15"/>
        <v>0</v>
      </c>
      <c r="V121" s="73">
        <f t="array" ref="V121">INDIRECT("Update"&amp;Projections!$AH$17&amp;"!M"&amp;ROW(B102))</f>
        <v>11.6</v>
      </c>
      <c r="W121" s="73">
        <f t="array" ref="W121">INDIRECT("Update"&amp;Projections!$AH$17&amp;"!L"&amp;ROW(B102))</f>
        <v>2.2</v>
      </c>
      <c r="X121" s="73">
        <f t="array" ref="X121">INDIRECT("Update"&amp;Projections!$AH$17&amp;"!N"&amp;ROW(B102))</f>
        <v>2.8</v>
      </c>
      <c r="Y121" s="73">
        <f t="array" ref="Y121">INDIRECT("Update"&amp;Projections!$AH$17&amp;"!O"&amp;ROW(B102))</f>
        <v>6</v>
      </c>
      <c r="Z121" s="73">
        <f t="array" ref="Z121">INDIRECT("Update"&amp;Projections!$AH$17&amp;"!P"&amp;ROW(B102))</f>
        <v>1.1</v>
      </c>
      <c r="AA121" s="73">
        <f t="array" ref="AA121">INDIRECT("Update"&amp;Projections!$AH$17&amp;"!Q"&amp;ROW(B102))</f>
        <v>0.2</v>
      </c>
      <c r="AB121" s="107">
        <f t="array" ref="AB121">INDIRECT("Update"&amp;Projections!$AH$17&amp;"!I"&amp;ROW(B102))</f>
        <v>0.442</v>
      </c>
      <c r="AC121" s="107">
        <f t="array" ref="AC121">INDIRECT("Update"&amp;Projections!$AH$17&amp;"!K"&amp;ROW(B102))</f>
        <v>0.885</v>
      </c>
      <c r="AD121" s="73">
        <f t="array" ref="AD121">INDIRECT("Update"&amp;Projections!$AH$17&amp;"!R"&amp;ROW(B102))</f>
        <v>1.4</v>
      </c>
      <c r="AE121" s="73">
        <f t="shared" si="16"/>
        <v>-1.059841593</v>
      </c>
      <c r="AF121" s="73">
        <f t="shared" si="17"/>
        <v>0.4488479976</v>
      </c>
      <c r="AG121" s="73">
        <f t="shared" si="18"/>
        <v>-1.282260714</v>
      </c>
      <c r="AH121" s="73">
        <f t="shared" si="19"/>
        <v>0.9405035656</v>
      </c>
      <c r="AI121" s="73">
        <f t="shared" si="20"/>
        <v>0.4110689458</v>
      </c>
      <c r="AJ121" s="73">
        <f t="shared" si="21"/>
        <v>-0.9723047469</v>
      </c>
      <c r="AK121" s="73">
        <f t="shared" si="22"/>
        <v>-0.5595869715</v>
      </c>
      <c r="AL121" s="73">
        <f t="shared" si="23"/>
        <v>0.6061618416</v>
      </c>
      <c r="AM121" s="73">
        <f t="shared" si="24"/>
        <v>0.08646310432</v>
      </c>
      <c r="AN121" s="120">
        <f t="shared" si="25"/>
        <v>-1.282260714</v>
      </c>
      <c r="AO121" s="120">
        <f t="shared" si="26"/>
        <v>-2.342102308</v>
      </c>
      <c r="AP121" s="120">
        <f t="array" ref="AP121">INDIRECT("Update"&amp;Projections!$AH$17&amp;"!S"&amp;ROW(B102))</f>
        <v>8.7</v>
      </c>
      <c r="AQ121" s="120">
        <f t="array" ref="AQ121">INDIRECT("Update"&amp;Projections!$AH$17&amp;"!T"&amp;ROW(B102))</f>
        <v>1.9</v>
      </c>
      <c r="AR121" s="100">
        <f t="shared" si="27"/>
        <v>-0.3648775982</v>
      </c>
    </row>
    <row r="122">
      <c r="A122" s="40" t="str">
        <f t="shared" si="3"/>
        <v>Terry Rozier</v>
      </c>
      <c r="B122" s="42">
        <f t="shared" si="4"/>
        <v>0.04211132643</v>
      </c>
      <c r="C122" s="43">
        <f t="shared" si="5"/>
        <v>0.4488479976</v>
      </c>
      <c r="D122" s="42">
        <f t="shared" si="6"/>
        <v>-1.007676117</v>
      </c>
      <c r="E122" s="42">
        <f t="shared" si="7"/>
        <v>0.2570770093</v>
      </c>
      <c r="F122" s="42">
        <f t="shared" si="8"/>
        <v>0.07913626764</v>
      </c>
      <c r="G122" s="42">
        <f t="shared" si="9"/>
        <v>-0.7939110449</v>
      </c>
      <c r="H122" s="42">
        <f t="shared" si="10"/>
        <v>-1.087865219</v>
      </c>
      <c r="I122" s="42">
        <f>UpdateHashtag!S120</f>
        <v>15</v>
      </c>
      <c r="J122" s="47">
        <f t="shared" si="11"/>
        <v>0.4835795127</v>
      </c>
      <c r="K122" s="48">
        <f>UpdateHashtag!T120</f>
        <v>2.9</v>
      </c>
      <c r="L122" s="42">
        <f t="shared" si="12"/>
        <v>-0.04827385557</v>
      </c>
      <c r="N122" s="100">
        <f t="shared" si="13"/>
        <v>98</v>
      </c>
      <c r="O122" s="94">
        <f t="array" ref="O122">INDIRECT("Update"&amp;Projections!$AH$17&amp;"!B"&amp;ROW(B103))</f>
        <v>88.2</v>
      </c>
      <c r="P122" s="101" t="str">
        <f t="array" ref="P122">INDIRECT("Update"&amp;Projections!$AH$17&amp;"!C"&amp;ROW(B103))</f>
        <v>Jonas Valanciunas</v>
      </c>
      <c r="Q122" s="94">
        <f>UpdateBBM!F103</f>
        <v>71</v>
      </c>
      <c r="R122" s="105" t="str">
        <f t="array" ref="R122">INDIRECT("Update"&amp;Projections!$AH$17&amp;"!D"&amp;ROW(B103))</f>
        <v>C</v>
      </c>
      <c r="S122" s="73">
        <f t="shared" si="14"/>
        <v>-0.2903459224</v>
      </c>
      <c r="T122" s="73">
        <f>SUM(AE122:AM122)-IFERROR(IFS(Projections!$I$17,AN122,Projections!$J$17,AO122),"")</f>
        <v>-0.2903459224</v>
      </c>
      <c r="U122" s="73">
        <f t="shared" si="15"/>
        <v>0</v>
      </c>
      <c r="V122" s="73">
        <f t="array" ref="V122">INDIRECT("Update"&amp;Projections!$AH$17&amp;"!M"&amp;ROW(B103))</f>
        <v>14.2</v>
      </c>
      <c r="W122" s="73">
        <f t="array" ref="W122">INDIRECT("Update"&amp;Projections!$AH$17&amp;"!L"&amp;ROW(B103))</f>
        <v>0.5</v>
      </c>
      <c r="X122" s="73">
        <f t="array" ref="X122">INDIRECT("Update"&amp;Projections!$AH$17&amp;"!N"&amp;ROW(B103))</f>
        <v>10.3</v>
      </c>
      <c r="Y122" s="73">
        <f t="array" ref="Y122">INDIRECT("Update"&amp;Projections!$AH$17&amp;"!O"&amp;ROW(B103))</f>
        <v>2.1</v>
      </c>
      <c r="Z122" s="73">
        <f t="array" ref="Z122">INDIRECT("Update"&amp;Projections!$AH$17&amp;"!P"&amp;ROW(B103))</f>
        <v>0.4</v>
      </c>
      <c r="AA122" s="73">
        <f t="array" ref="AA122">INDIRECT("Update"&amp;Projections!$AH$17&amp;"!Q"&amp;ROW(B103))</f>
        <v>0.8</v>
      </c>
      <c r="AB122" s="107">
        <f t="array" ref="AB122">INDIRECT("Update"&amp;Projections!$AH$17&amp;"!I"&amp;ROW(B103))</f>
        <v>0.548</v>
      </c>
      <c r="AC122" s="107">
        <f t="array" ref="AC122">INDIRECT("Update"&amp;Projections!$AH$17&amp;"!K"&amp;ROW(B103))</f>
        <v>0.796</v>
      </c>
      <c r="AD122" s="73">
        <f t="array" ref="AD122">INDIRECT("Update"&amp;Projections!$AH$17&amp;"!R"&amp;ROW(B103))</f>
        <v>1.8</v>
      </c>
      <c r="AE122" s="73">
        <f t="shared" si="16"/>
        <v>-0.5901567423</v>
      </c>
      <c r="AF122" s="73">
        <f t="shared" si="17"/>
        <v>-1.243065086</v>
      </c>
      <c r="AG122" s="73">
        <f t="shared" si="18"/>
        <v>1.65971712</v>
      </c>
      <c r="AH122" s="73">
        <f t="shared" si="19"/>
        <v>-0.8364054809</v>
      </c>
      <c r="AI122" s="73">
        <f t="shared" si="20"/>
        <v>-1.912459801</v>
      </c>
      <c r="AJ122" s="73">
        <f t="shared" si="21"/>
        <v>0.09805746537</v>
      </c>
      <c r="AK122" s="73">
        <f t="shared" si="22"/>
        <v>0.6230822555</v>
      </c>
      <c r="AL122" s="73">
        <f t="shared" si="23"/>
        <v>0.01115429537</v>
      </c>
      <c r="AM122" s="73">
        <f t="shared" si="24"/>
        <v>-0.01272974958</v>
      </c>
      <c r="AN122" s="120">
        <f t="shared" si="25"/>
        <v>-1.912459801</v>
      </c>
      <c r="AO122" s="120">
        <f t="shared" si="26"/>
        <v>-3.155524887</v>
      </c>
      <c r="AP122" s="120">
        <f t="array" ref="AP122">INDIRECT("Update"&amp;Projections!$AH$17&amp;"!S"&amp;ROW(B103))</f>
        <v>10.4</v>
      </c>
      <c r="AQ122" s="120">
        <f t="array" ref="AQ122">INDIRECT("Update"&amp;Projections!$AH$17&amp;"!T"&amp;ROW(B103))</f>
        <v>2.9</v>
      </c>
      <c r="AR122" s="100">
        <f t="shared" si="27"/>
        <v>-0.4023587617</v>
      </c>
    </row>
    <row r="123">
      <c r="A123" s="40" t="str">
        <f t="shared" si="3"/>
        <v>De'Anthony Melton</v>
      </c>
      <c r="B123" s="42">
        <f t="shared" si="4"/>
        <v>-1.330813623</v>
      </c>
      <c r="C123" s="43">
        <f t="shared" si="5"/>
        <v>0.2497993996</v>
      </c>
      <c r="D123" s="42">
        <f t="shared" si="6"/>
        <v>-0.8899970031</v>
      </c>
      <c r="E123" s="42">
        <f t="shared" si="7"/>
        <v>-0.6085966288</v>
      </c>
      <c r="F123" s="42">
        <f t="shared" si="8"/>
        <v>2.070732337</v>
      </c>
      <c r="G123" s="42">
        <f t="shared" si="9"/>
        <v>-0.4371236408</v>
      </c>
      <c r="H123" s="42">
        <f t="shared" si="10"/>
        <v>-0.7478662018</v>
      </c>
      <c r="I123" s="42">
        <f>UpdateHashtag!S121</f>
        <v>8.3</v>
      </c>
      <c r="J123" s="47">
        <f t="shared" si="11"/>
        <v>0.1194185054</v>
      </c>
      <c r="K123" s="48">
        <f>UpdateHashtag!T121</f>
        <v>1.4</v>
      </c>
      <c r="L123" s="42">
        <f t="shared" si="12"/>
        <v>-0.5442381251</v>
      </c>
      <c r="N123" s="100">
        <f t="shared" si="13"/>
        <v>95</v>
      </c>
      <c r="O123" s="94">
        <f t="array" ref="O123">INDIRECT("Update"&amp;Projections!$AH$17&amp;"!B"&amp;ROW(B104))</f>
        <v>63</v>
      </c>
      <c r="P123" s="101" t="str">
        <f t="array" ref="P123">INDIRECT("Update"&amp;Projections!$AH$17&amp;"!C"&amp;ROW(B104))</f>
        <v>Brandon Miller</v>
      </c>
      <c r="Q123" s="94">
        <f>UpdateBBM!F104</f>
        <v>59</v>
      </c>
      <c r="R123" s="105" t="str">
        <f t="array" ref="R123">INDIRECT("Update"&amp;Projections!$AH$17&amp;"!D"&amp;ROW(B104))</f>
        <v>SG,SF</v>
      </c>
      <c r="S123" s="73">
        <f t="shared" si="14"/>
        <v>-0.1919919217</v>
      </c>
      <c r="T123" s="73">
        <f>SUM(AE123:AM123)-IFERROR(IFS(Projections!$I$17,AN123,Projections!$J$17,AO123),"")</f>
        <v>-0.1919919217</v>
      </c>
      <c r="U123" s="73">
        <f t="shared" si="15"/>
        <v>0</v>
      </c>
      <c r="V123" s="73">
        <f t="array" ref="V123">INDIRECT("Update"&amp;Projections!$AH$17&amp;"!M"&amp;ROW(B104))</f>
        <v>18.1</v>
      </c>
      <c r="W123" s="73">
        <f t="array" ref="W123">INDIRECT("Update"&amp;Projections!$AH$17&amp;"!L"&amp;ROW(B104))</f>
        <v>2.6</v>
      </c>
      <c r="X123" s="73">
        <f t="array" ref="X123">INDIRECT("Update"&amp;Projections!$AH$17&amp;"!N"&amp;ROW(B104))</f>
        <v>4.4</v>
      </c>
      <c r="Y123" s="73">
        <f t="array" ref="Y123">INDIRECT("Update"&amp;Projections!$AH$17&amp;"!O"&amp;ROW(B104))</f>
        <v>2.5</v>
      </c>
      <c r="Z123" s="73">
        <f t="array" ref="Z123">INDIRECT("Update"&amp;Projections!$AH$17&amp;"!P"&amp;ROW(B104))</f>
        <v>1</v>
      </c>
      <c r="AA123" s="73">
        <f t="array" ref="AA123">INDIRECT("Update"&amp;Projections!$AH$17&amp;"!Q"&amp;ROW(B104))</f>
        <v>0.6</v>
      </c>
      <c r="AB123" s="107">
        <f t="array" ref="AB123">INDIRECT("Update"&amp;Projections!$AH$17&amp;"!I"&amp;ROW(B104))</f>
        <v>0.445</v>
      </c>
      <c r="AC123" s="107">
        <f t="array" ref="AC123">INDIRECT("Update"&amp;Projections!$AH$17&amp;"!K"&amp;ROW(B104))</f>
        <v>0.837</v>
      </c>
      <c r="AD123" s="73">
        <f t="array" ref="AD123">INDIRECT("Update"&amp;Projections!$AH$17&amp;"!R"&amp;ROW(B104))</f>
        <v>1.9</v>
      </c>
      <c r="AE123" s="73">
        <f t="shared" si="16"/>
        <v>0.1143705343</v>
      </c>
      <c r="AF123" s="73">
        <f t="shared" si="17"/>
        <v>0.8469451937</v>
      </c>
      <c r="AG123" s="73">
        <f t="shared" si="18"/>
        <v>-0.6546387764</v>
      </c>
      <c r="AH123" s="73">
        <f t="shared" si="19"/>
        <v>-0.6541583992</v>
      </c>
      <c r="AI123" s="73">
        <f t="shared" si="20"/>
        <v>0.07913626764</v>
      </c>
      <c r="AJ123" s="73">
        <f t="shared" si="21"/>
        <v>-0.2587299387</v>
      </c>
      <c r="AK123" s="73">
        <f t="shared" si="22"/>
        <v>-0.9181455161</v>
      </c>
      <c r="AL123" s="73">
        <f t="shared" si="23"/>
        <v>0.37261116</v>
      </c>
      <c r="AM123" s="73">
        <f t="shared" si="24"/>
        <v>-0.03752796306</v>
      </c>
      <c r="AN123" s="120">
        <f t="shared" si="25"/>
        <v>-0.9181455161</v>
      </c>
      <c r="AO123" s="120">
        <f t="shared" si="26"/>
        <v>-1.572784292</v>
      </c>
      <c r="AP123" s="120">
        <f t="array" ref="AP123">INDIRECT("Update"&amp;Projections!$AH$17&amp;"!S"&amp;ROW(B104))</f>
        <v>15.1</v>
      </c>
      <c r="AQ123" s="120">
        <f t="array" ref="AQ123">INDIRECT("Update"&amp;Projections!$AH$17&amp;"!T"&amp;ROW(B104))</f>
        <v>2.5</v>
      </c>
      <c r="AR123" s="100">
        <f t="shared" si="27"/>
        <v>-0.4160735339</v>
      </c>
    </row>
    <row r="124">
      <c r="A124" s="40" t="str">
        <f t="shared" si="3"/>
        <v>Keon Ellis</v>
      </c>
      <c r="B124" s="42">
        <f t="shared" si="4"/>
        <v>-1.637915256</v>
      </c>
      <c r="C124" s="43">
        <f t="shared" si="5"/>
        <v>0.1502751005</v>
      </c>
      <c r="D124" s="42">
        <f t="shared" si="6"/>
        <v>-1.086128859</v>
      </c>
      <c r="E124" s="42">
        <f t="shared" si="7"/>
        <v>-0.74528194</v>
      </c>
      <c r="F124" s="42">
        <f t="shared" si="8"/>
        <v>1.40686698</v>
      </c>
      <c r="G124" s="42">
        <f t="shared" si="9"/>
        <v>0.09805746537</v>
      </c>
      <c r="H124" s="42">
        <f t="shared" si="10"/>
        <v>-0.26072441</v>
      </c>
      <c r="I124" s="42">
        <f>UpdateHashtag!S122</f>
        <v>6.2</v>
      </c>
      <c r="J124" s="47">
        <f t="shared" si="11"/>
        <v>-0.2121802149</v>
      </c>
      <c r="K124" s="48">
        <f>UpdateHashtag!T122</f>
        <v>1</v>
      </c>
      <c r="L124" s="42">
        <f t="shared" si="12"/>
        <v>-0.7426238329</v>
      </c>
      <c r="N124" s="100">
        <f t="shared" si="13"/>
        <v>88</v>
      </c>
      <c r="O124" s="94">
        <f t="array" ref="O124">INDIRECT("Update"&amp;Projections!$AH$17&amp;"!B"&amp;ROW(B105))</f>
        <v>116.1</v>
      </c>
      <c r="P124" s="101" t="str">
        <f t="array" ref="P124">INDIRECT("Update"&amp;Projections!$AH$17&amp;"!C"&amp;ROW(B105))</f>
        <v>Tyus Jones</v>
      </c>
      <c r="Q124" s="94">
        <f>UpdateBBM!F105</f>
        <v>54</v>
      </c>
      <c r="R124" s="105" t="str">
        <f t="array" ref="R124">INDIRECT("Update"&amp;Projections!$AH$17&amp;"!D"&amp;ROW(B105))</f>
        <v>PG</v>
      </c>
      <c r="S124" s="73">
        <f t="shared" si="14"/>
        <v>0.01676003703</v>
      </c>
      <c r="T124" s="73">
        <f>SUM(AE124:AM124)-IFERROR(IFS(Projections!$I$17,AN124,Projections!$J$17,AO124),"")</f>
        <v>0.01676003703</v>
      </c>
      <c r="U124" s="73">
        <f t="shared" si="15"/>
        <v>0</v>
      </c>
      <c r="V124" s="73">
        <f t="array" ref="V124">INDIRECT("Update"&amp;Projections!$AH$17&amp;"!M"&amp;ROW(B105))</f>
        <v>12.2</v>
      </c>
      <c r="W124" s="73">
        <f t="array" ref="W124">INDIRECT("Update"&amp;Projections!$AH$17&amp;"!L"&amp;ROW(B105))</f>
        <v>1.7</v>
      </c>
      <c r="X124" s="73">
        <f t="array" ref="X124">INDIRECT("Update"&amp;Projections!$AH$17&amp;"!N"&amp;ROW(B105))</f>
        <v>2.9</v>
      </c>
      <c r="Y124" s="73">
        <f t="array" ref="Y124">INDIRECT("Update"&amp;Projections!$AH$17&amp;"!O"&amp;ROW(B105))</f>
        <v>6.8</v>
      </c>
      <c r="Z124" s="73">
        <f t="array" ref="Z124">INDIRECT("Update"&amp;Projections!$AH$17&amp;"!P"&amp;ROW(B105))</f>
        <v>1.2</v>
      </c>
      <c r="AA124" s="73">
        <f t="array" ref="AA124">INDIRECT("Update"&amp;Projections!$AH$17&amp;"!Q"&amp;ROW(B105))</f>
        <v>0.2</v>
      </c>
      <c r="AB124" s="107">
        <f t="array" ref="AB124">INDIRECT("Update"&amp;Projections!$AH$17&amp;"!I"&amp;ROW(B105))</f>
        <v>0.476</v>
      </c>
      <c r="AC124" s="107">
        <f t="array" ref="AC124">INDIRECT("Update"&amp;Projections!$AH$17&amp;"!K"&amp;ROW(B105))</f>
        <v>0.802</v>
      </c>
      <c r="AD124" s="73">
        <f t="array" ref="AD124">INDIRECT("Update"&amp;Projections!$AH$17&amp;"!R"&amp;ROW(B105))</f>
        <v>1.1</v>
      </c>
      <c r="AE124" s="73">
        <f t="shared" si="16"/>
        <v>-0.9514527815</v>
      </c>
      <c r="AF124" s="73">
        <f t="shared" si="17"/>
        <v>-0.04877349754</v>
      </c>
      <c r="AG124" s="73">
        <f t="shared" si="18"/>
        <v>-1.243034343</v>
      </c>
      <c r="AH124" s="73">
        <f t="shared" si="19"/>
        <v>1.304997729</v>
      </c>
      <c r="AI124" s="73">
        <f t="shared" si="20"/>
        <v>0.743001624</v>
      </c>
      <c r="AJ124" s="73">
        <f t="shared" si="21"/>
        <v>-0.9723047469</v>
      </c>
      <c r="AK124" s="73">
        <f t="shared" si="22"/>
        <v>-0.2471703358</v>
      </c>
      <c r="AL124" s="73">
        <f t="shared" si="23"/>
        <v>0.0276043012</v>
      </c>
      <c r="AM124" s="73">
        <f t="shared" si="24"/>
        <v>0.1608577447</v>
      </c>
      <c r="AN124" s="120">
        <f t="shared" si="25"/>
        <v>-1.243034343</v>
      </c>
      <c r="AO124" s="120">
        <f t="shared" si="26"/>
        <v>-2.21533909</v>
      </c>
      <c r="AP124" s="120">
        <f t="array" ref="AP124">INDIRECT("Update"&amp;Projections!$AH$17&amp;"!S"&amp;ROW(B105))</f>
        <v>10.1</v>
      </c>
      <c r="AQ124" s="120">
        <f t="array" ref="AQ124">INDIRECT("Update"&amp;Projections!$AH$17&amp;"!T"&amp;ROW(B105))</f>
        <v>1.1</v>
      </c>
      <c r="AR124" s="100">
        <f t="shared" si="27"/>
        <v>-0.4391806021</v>
      </c>
    </row>
    <row r="125">
      <c r="A125" s="40" t="str">
        <f t="shared" si="3"/>
        <v>Brandin Podziemski</v>
      </c>
      <c r="B125" s="42">
        <f t="shared" si="4"/>
        <v>-1.132100801</v>
      </c>
      <c r="C125" s="43">
        <f t="shared" si="5"/>
        <v>-0.2478220956</v>
      </c>
      <c r="D125" s="42">
        <f t="shared" si="6"/>
        <v>0.3260205017</v>
      </c>
      <c r="E125" s="42">
        <f t="shared" si="7"/>
        <v>0.2115152388</v>
      </c>
      <c r="F125" s="42">
        <f t="shared" si="8"/>
        <v>0.743001624</v>
      </c>
      <c r="G125" s="42">
        <f t="shared" si="9"/>
        <v>-0.9723047469</v>
      </c>
      <c r="H125" s="42">
        <f t="shared" si="10"/>
        <v>-0.4306443624</v>
      </c>
      <c r="I125" s="42">
        <f>UpdateHashtag!S123</f>
        <v>9.7</v>
      </c>
      <c r="J125" s="47">
        <f t="shared" si="11"/>
        <v>-0.6027071997</v>
      </c>
      <c r="K125" s="48">
        <f>UpdateHashtag!T123</f>
        <v>1.3</v>
      </c>
      <c r="L125" s="42">
        <f t="shared" si="12"/>
        <v>-0.3458524173</v>
      </c>
      <c r="N125" s="100">
        <f t="shared" si="13"/>
        <v>107</v>
      </c>
      <c r="O125" s="94">
        <f t="array" ref="O125">INDIRECT("Update"&amp;Projections!$AH$17&amp;"!B"&amp;ROW(B106))</f>
        <v>76.9</v>
      </c>
      <c r="P125" s="101" t="str">
        <f t="array" ref="P125">INDIRECT("Update"&amp;Projections!$AH$17&amp;"!C"&amp;ROW(B106))</f>
        <v>Brook Lopez</v>
      </c>
      <c r="Q125" s="94">
        <f>UpdateBBM!F106</f>
        <v>66</v>
      </c>
      <c r="R125" s="105" t="str">
        <f t="array" ref="R125">INDIRECT("Update"&amp;Projections!$AH$17&amp;"!D"&amp;ROW(B106))</f>
        <v>C</v>
      </c>
      <c r="S125" s="73">
        <f t="shared" si="14"/>
        <v>-0.5469646133</v>
      </c>
      <c r="T125" s="73">
        <f>SUM(AE125:AM125)-IFERROR(IFS(Projections!$I$17,AN125,Projections!$J$17,AO125),"")</f>
        <v>-0.5469646133</v>
      </c>
      <c r="U125" s="73">
        <f t="shared" si="15"/>
        <v>0</v>
      </c>
      <c r="V125" s="73">
        <f t="array" ref="V125">INDIRECT("Update"&amp;Projections!$AH$17&amp;"!M"&amp;ROW(B106))</f>
        <v>11.7</v>
      </c>
      <c r="W125" s="73">
        <f t="array" ref="W125">INDIRECT("Update"&amp;Projections!$AH$17&amp;"!L"&amp;ROW(B106))</f>
        <v>1.7</v>
      </c>
      <c r="X125" s="73">
        <f t="array" ref="X125">INDIRECT("Update"&amp;Projections!$AH$17&amp;"!N"&amp;ROW(B106))</f>
        <v>4.9</v>
      </c>
      <c r="Y125" s="73">
        <f t="array" ref="Y125">INDIRECT("Update"&amp;Projections!$AH$17&amp;"!O"&amp;ROW(B106))</f>
        <v>1.3</v>
      </c>
      <c r="Z125" s="73">
        <f t="array" ref="Z125">INDIRECT("Update"&amp;Projections!$AH$17&amp;"!P"&amp;ROW(B106))</f>
        <v>0.5</v>
      </c>
      <c r="AA125" s="73">
        <f t="array" ref="AA125">INDIRECT("Update"&amp;Projections!$AH$17&amp;"!Q"&amp;ROW(B106))</f>
        <v>2</v>
      </c>
      <c r="AB125" s="107">
        <f t="array" ref="AB125">INDIRECT("Update"&amp;Projections!$AH$17&amp;"!I"&amp;ROW(B106))</f>
        <v>0.471</v>
      </c>
      <c r="AC125" s="107">
        <f t="array" ref="AC125">INDIRECT("Update"&amp;Projections!$AH$17&amp;"!K"&amp;ROW(B106))</f>
        <v>0.803</v>
      </c>
      <c r="AD125" s="73">
        <f t="array" ref="AD125">INDIRECT("Update"&amp;Projections!$AH$17&amp;"!R"&amp;ROW(B106))</f>
        <v>1</v>
      </c>
      <c r="AE125" s="73">
        <f t="shared" si="16"/>
        <v>-1.041776791</v>
      </c>
      <c r="AF125" s="73">
        <f t="shared" si="17"/>
        <v>-0.04877349754</v>
      </c>
      <c r="AG125" s="73">
        <f t="shared" si="18"/>
        <v>-0.4585069208</v>
      </c>
      <c r="AH125" s="73">
        <f t="shared" si="19"/>
        <v>-1.200899644</v>
      </c>
      <c r="AI125" s="73">
        <f t="shared" si="20"/>
        <v>-1.580527123</v>
      </c>
      <c r="AJ125" s="73">
        <f t="shared" si="21"/>
        <v>2.23878189</v>
      </c>
      <c r="AK125" s="73">
        <f t="shared" si="22"/>
        <v>-0.2729908354</v>
      </c>
      <c r="AL125" s="73">
        <f t="shared" si="23"/>
        <v>0.05154522785</v>
      </c>
      <c r="AM125" s="73">
        <f t="shared" si="24"/>
        <v>0.1856559582</v>
      </c>
      <c r="AN125" s="120">
        <f t="shared" si="25"/>
        <v>-1.580527123</v>
      </c>
      <c r="AO125" s="120">
        <f t="shared" si="26"/>
        <v>-2.781426767</v>
      </c>
      <c r="AP125" s="120">
        <f t="array" ref="AP125">INDIRECT("Update"&amp;Projections!$AH$17&amp;"!S"&amp;ROW(B106))</f>
        <v>9</v>
      </c>
      <c r="AQ125" s="120">
        <f t="array" ref="AQ125">INDIRECT("Update"&amp;Projections!$AH$17&amp;"!T"&amp;ROW(B106))</f>
        <v>1.8</v>
      </c>
      <c r="AR125" s="100">
        <f t="shared" si="27"/>
        <v>-0.4634599193</v>
      </c>
    </row>
    <row r="126">
      <c r="A126" s="40" t="str">
        <f t="shared" si="3"/>
        <v>Dennis Schröder</v>
      </c>
      <c r="B126" s="42">
        <f t="shared" si="4"/>
        <v>-0.4275735246</v>
      </c>
      <c r="C126" s="43">
        <f t="shared" si="5"/>
        <v>-0.04877349754</v>
      </c>
      <c r="D126" s="42">
        <f t="shared" si="6"/>
        <v>-1.203807972</v>
      </c>
      <c r="E126" s="42">
        <f t="shared" si="7"/>
        <v>0.8949417952</v>
      </c>
      <c r="F126" s="42">
        <f t="shared" si="8"/>
        <v>-0.5847290887</v>
      </c>
      <c r="G126" s="42">
        <f t="shared" si="9"/>
        <v>-0.9723047469</v>
      </c>
      <c r="H126" s="42">
        <f t="shared" si="10"/>
        <v>-0.8702921755</v>
      </c>
      <c r="I126" s="42">
        <f>UpdateHashtag!S124</f>
        <v>12</v>
      </c>
      <c r="J126" s="47">
        <f t="shared" si="11"/>
        <v>0.6456052688</v>
      </c>
      <c r="K126" s="48">
        <f>UpdateHashtag!T124</f>
        <v>3.5</v>
      </c>
      <c r="L126" s="42">
        <f t="shared" si="12"/>
        <v>0.2493047061</v>
      </c>
      <c r="N126" s="100">
        <f t="shared" si="13"/>
        <v>116</v>
      </c>
      <c r="O126" s="94">
        <f t="array" ref="O126">INDIRECT("Update"&amp;Projections!$AH$17&amp;"!B"&amp;ROW(B107))</f>
        <v>109.6</v>
      </c>
      <c r="P126" s="101" t="str">
        <f t="array" ref="P126">INDIRECT("Update"&amp;Projections!$AH$17&amp;"!C"&amp;ROW(B107))</f>
        <v>Jerami Grant</v>
      </c>
      <c r="Q126" s="94">
        <f>UpdateBBM!F107</f>
        <v>66</v>
      </c>
      <c r="R126" s="105" t="str">
        <f t="array" ref="R126">INDIRECT("Update"&amp;Projections!$AH$17&amp;"!D"&amp;ROW(B107))</f>
        <v>SF,PF</v>
      </c>
      <c r="S126" s="73">
        <f t="shared" si="14"/>
        <v>-0.8136128793</v>
      </c>
      <c r="T126" s="73">
        <f>SUM(AE126:AM126)-IFERROR(IFS(Projections!$I$17,AN126,Projections!$J$17,AO126),"")</f>
        <v>-0.8136128793</v>
      </c>
      <c r="U126" s="73">
        <f t="shared" si="15"/>
        <v>0</v>
      </c>
      <c r="V126" s="73">
        <f t="array" ref="V126">INDIRECT("Update"&amp;Projections!$AH$17&amp;"!M"&amp;ROW(B107))</f>
        <v>19.7</v>
      </c>
      <c r="W126" s="73">
        <f t="array" ref="W126">INDIRECT("Update"&amp;Projections!$AH$17&amp;"!L"&amp;ROW(B107))</f>
        <v>2.1</v>
      </c>
      <c r="X126" s="73">
        <f t="array" ref="X126">INDIRECT("Update"&amp;Projections!$AH$17&amp;"!N"&amp;ROW(B107))</f>
        <v>3.9</v>
      </c>
      <c r="Y126" s="73">
        <f t="array" ref="Y126">INDIRECT("Update"&amp;Projections!$AH$17&amp;"!O"&amp;ROW(B107))</f>
        <v>2.5</v>
      </c>
      <c r="Z126" s="73">
        <f t="array" ref="Z126">INDIRECT("Update"&amp;Projections!$AH$17&amp;"!P"&amp;ROW(B107))</f>
        <v>0.8</v>
      </c>
      <c r="AA126" s="73">
        <f t="array" ref="AA126">INDIRECT("Update"&amp;Projections!$AH$17&amp;"!Q"&amp;ROW(B107))</f>
        <v>0.7</v>
      </c>
      <c r="AB126" s="107">
        <f t="array" ref="AB126">INDIRECT("Update"&amp;Projections!$AH$17&amp;"!I"&amp;ROW(B107))</f>
        <v>0.463</v>
      </c>
      <c r="AC126" s="107">
        <f t="array" ref="AC126">INDIRECT("Update"&amp;Projections!$AH$17&amp;"!K"&amp;ROW(B107))</f>
        <v>0.814</v>
      </c>
      <c r="AD126" s="73">
        <f t="array" ref="AD126">INDIRECT("Update"&amp;Projections!$AH$17&amp;"!R"&amp;ROW(B107))</f>
        <v>1.9</v>
      </c>
      <c r="AE126" s="73">
        <f t="shared" si="16"/>
        <v>0.4034073657</v>
      </c>
      <c r="AF126" s="73">
        <f t="shared" si="17"/>
        <v>0.3493236986</v>
      </c>
      <c r="AG126" s="73">
        <f t="shared" si="18"/>
        <v>-0.850770632</v>
      </c>
      <c r="AH126" s="73">
        <f t="shared" si="19"/>
        <v>-0.6541583992</v>
      </c>
      <c r="AI126" s="73">
        <f t="shared" si="20"/>
        <v>-0.5847290887</v>
      </c>
      <c r="AJ126" s="73">
        <f t="shared" si="21"/>
        <v>-0.08033623669</v>
      </c>
      <c r="AK126" s="73">
        <f t="shared" si="22"/>
        <v>-0.5678290098</v>
      </c>
      <c r="AL126" s="73">
        <f t="shared" si="23"/>
        <v>0.3582367537</v>
      </c>
      <c r="AM126" s="73">
        <f t="shared" si="24"/>
        <v>-0.03752796306</v>
      </c>
      <c r="AN126" s="120">
        <f t="shared" si="25"/>
        <v>-0.850770632</v>
      </c>
      <c r="AO126" s="120">
        <f t="shared" si="26"/>
        <v>-1.504929031</v>
      </c>
      <c r="AP126" s="120">
        <f t="array" ref="AP126">INDIRECT("Update"&amp;Projections!$AH$17&amp;"!S"&amp;ROW(B107))</f>
        <v>14.3</v>
      </c>
      <c r="AQ126" s="120">
        <f t="array" ref="AQ126">INDIRECT("Update"&amp;Projections!$AH$17&amp;"!T"&amp;ROW(B107))</f>
        <v>5.3</v>
      </c>
      <c r="AR126" s="100">
        <f t="shared" si="27"/>
        <v>-0.4787665838</v>
      </c>
    </row>
    <row r="127">
      <c r="A127" s="40" t="str">
        <f t="shared" si="3"/>
        <v>Jonathan Kuminga</v>
      </c>
      <c r="B127" s="42">
        <f t="shared" si="4"/>
        <v>-0.228860703</v>
      </c>
      <c r="C127" s="43">
        <f t="shared" si="5"/>
        <v>-0.8449678898</v>
      </c>
      <c r="D127" s="42">
        <f t="shared" si="6"/>
        <v>-0.3800541785</v>
      </c>
      <c r="E127" s="42">
        <f t="shared" si="7"/>
        <v>-0.6541583992</v>
      </c>
      <c r="F127" s="42">
        <f t="shared" si="8"/>
        <v>-0.5847290887</v>
      </c>
      <c r="G127" s="42">
        <f t="shared" si="9"/>
        <v>-0.2587299387</v>
      </c>
      <c r="H127" s="42">
        <f t="shared" si="10"/>
        <v>0.4130069128</v>
      </c>
      <c r="I127" s="42">
        <f>UpdateHashtag!S125</f>
        <v>11.7</v>
      </c>
      <c r="J127" s="47">
        <f t="shared" si="11"/>
        <v>-0.4833074568</v>
      </c>
      <c r="K127" s="48">
        <f>UpdateHashtag!T125</f>
        <v>3.8</v>
      </c>
      <c r="L127" s="42">
        <f t="shared" si="12"/>
        <v>0.1501118522</v>
      </c>
      <c r="N127" s="100">
        <f t="shared" si="13"/>
        <v>90</v>
      </c>
      <c r="O127" s="94">
        <f t="array" ref="O127">INDIRECT("Update"&amp;Projections!$AH$17&amp;"!B"&amp;ROW(B108))</f>
        <v>82.5</v>
      </c>
      <c r="P127" s="101" t="str">
        <f t="array" ref="P127">INDIRECT("Update"&amp;Projections!$AH$17&amp;"!C"&amp;ROW(B108))</f>
        <v>Kyle Kuzma</v>
      </c>
      <c r="Q127" s="94">
        <f>UpdateBBM!F108</f>
        <v>71</v>
      </c>
      <c r="R127" s="105" t="str">
        <f t="array" ref="R127">INDIRECT("Update"&amp;Projections!$AH$17&amp;"!D"&amp;ROW(B108))</f>
        <v>PF</v>
      </c>
      <c r="S127" s="73">
        <f t="shared" si="14"/>
        <v>-0.01573814885</v>
      </c>
      <c r="T127" s="73">
        <f>SUM(AE127:AM127)-IFERROR(IFS(Projections!$I$17,AN127,Projections!$J$17,AO127),"")</f>
        <v>-0.01573814885</v>
      </c>
      <c r="U127" s="73">
        <f t="shared" si="15"/>
        <v>0</v>
      </c>
      <c r="V127" s="73">
        <f t="array" ref="V127">INDIRECT("Update"&amp;Projections!$AH$17&amp;"!M"&amp;ROW(B108))</f>
        <v>21.6</v>
      </c>
      <c r="W127" s="73">
        <f t="array" ref="W127">INDIRECT("Update"&amp;Projections!$AH$17&amp;"!L"&amp;ROW(B108))</f>
        <v>2.3</v>
      </c>
      <c r="X127" s="73">
        <f t="array" ref="X127">INDIRECT("Update"&amp;Projections!$AH$17&amp;"!N"&amp;ROW(B108))</f>
        <v>6.9</v>
      </c>
      <c r="Y127" s="73">
        <f t="array" ref="Y127">INDIRECT("Update"&amp;Projections!$AH$17&amp;"!O"&amp;ROW(B108))</f>
        <v>4</v>
      </c>
      <c r="Z127" s="73">
        <f t="array" ref="Z127">INDIRECT("Update"&amp;Projections!$AH$17&amp;"!P"&amp;ROW(B108))</f>
        <v>0.5</v>
      </c>
      <c r="AA127" s="73">
        <f t="array" ref="AA127">INDIRECT("Update"&amp;Projections!$AH$17&amp;"!Q"&amp;ROW(B108))</f>
        <v>0.6</v>
      </c>
      <c r="AB127" s="107">
        <f t="array" ref="AB127">INDIRECT("Update"&amp;Projections!$AH$17&amp;"!I"&amp;ROW(B108))</f>
        <v>0.456</v>
      </c>
      <c r="AC127" s="107">
        <f t="array" ref="AC127">INDIRECT("Update"&amp;Projections!$AH$17&amp;"!K"&amp;ROW(B108))</f>
        <v>0.773</v>
      </c>
      <c r="AD127" s="73">
        <f t="array" ref="AD127">INDIRECT("Update"&amp;Projections!$AH$17&amp;"!R"&amp;ROW(B108))</f>
        <v>2.8</v>
      </c>
      <c r="AE127" s="73">
        <f t="shared" si="16"/>
        <v>0.746638603</v>
      </c>
      <c r="AF127" s="73">
        <f t="shared" si="17"/>
        <v>0.5483722967</v>
      </c>
      <c r="AG127" s="73">
        <f t="shared" si="18"/>
        <v>0.3260205017</v>
      </c>
      <c r="AH127" s="73">
        <f t="shared" si="19"/>
        <v>0.02926815716</v>
      </c>
      <c r="AI127" s="73">
        <f t="shared" si="20"/>
        <v>-1.580527123</v>
      </c>
      <c r="AJ127" s="73">
        <f t="shared" si="21"/>
        <v>-0.2587299387</v>
      </c>
      <c r="AK127" s="73">
        <f t="shared" si="22"/>
        <v>-0.8672131505</v>
      </c>
      <c r="AL127" s="73">
        <f t="shared" si="23"/>
        <v>-0.2793827338</v>
      </c>
      <c r="AM127" s="73">
        <f t="shared" si="24"/>
        <v>-0.2607118843</v>
      </c>
      <c r="AN127" s="120">
        <f t="shared" si="25"/>
        <v>-1.580527123</v>
      </c>
      <c r="AO127" s="120">
        <f t="shared" si="26"/>
        <v>-2.447740274</v>
      </c>
      <c r="AP127" s="120">
        <f t="array" ref="AP127">INDIRECT("Update"&amp;Projections!$AH$17&amp;"!S"&amp;ROW(B108))</f>
        <v>18.1</v>
      </c>
      <c r="AQ127" s="120">
        <f t="array" ref="AQ127">INDIRECT("Update"&amp;Projections!$AH$17&amp;"!T"&amp;ROW(B108))</f>
        <v>3.6</v>
      </c>
      <c r="AR127" s="100">
        <f t="shared" si="27"/>
        <v>-0.5469646133</v>
      </c>
    </row>
    <row r="128">
      <c r="A128" s="40" t="str">
        <f t="shared" si="3"/>
        <v>Marcus Smart</v>
      </c>
      <c r="B128" s="42">
        <f t="shared" si="4"/>
        <v>-0.9695175835</v>
      </c>
      <c r="C128" s="43">
        <f t="shared" si="5"/>
        <v>0.1502751005</v>
      </c>
      <c r="D128" s="42">
        <f t="shared" si="6"/>
        <v>-1.203807972</v>
      </c>
      <c r="E128" s="42">
        <f t="shared" si="7"/>
        <v>0.3482005501</v>
      </c>
      <c r="F128" s="42">
        <f t="shared" si="8"/>
        <v>2.070732337</v>
      </c>
      <c r="G128" s="42">
        <f t="shared" si="9"/>
        <v>-0.7939110449</v>
      </c>
      <c r="H128" s="42">
        <f t="shared" si="10"/>
        <v>-0.9280749252</v>
      </c>
      <c r="I128" s="42">
        <f>UpdateHashtag!S126</f>
        <v>10.3</v>
      </c>
      <c r="J128" s="47">
        <f t="shared" si="11"/>
        <v>-0.3265867924</v>
      </c>
      <c r="K128" s="48">
        <f>UpdateHashtag!T126</f>
        <v>2.1</v>
      </c>
      <c r="L128" s="42">
        <f t="shared" si="12"/>
        <v>0.7452689757</v>
      </c>
      <c r="N128" s="100">
        <f t="shared" si="13"/>
        <v>120</v>
      </c>
      <c r="O128" s="94">
        <f t="array" ref="O128">INDIRECT("Update"&amp;Projections!$AH$17&amp;"!B"&amp;ROW(B109))</f>
        <v>132.1</v>
      </c>
      <c r="P128" s="101" t="str">
        <f t="array" ref="P128">INDIRECT("Update"&amp;Projections!$AH$17&amp;"!C"&amp;ROW(B109))</f>
        <v>Norman Powell</v>
      </c>
      <c r="Q128" s="94">
        <f>UpdateBBM!F109</f>
        <v>66</v>
      </c>
      <c r="R128" s="105" t="str">
        <f t="array" ref="R128">INDIRECT("Update"&amp;Projections!$AH$17&amp;"!D"&amp;ROW(B109))</f>
        <v>SG,SF</v>
      </c>
      <c r="S128" s="73">
        <f t="shared" si="14"/>
        <v>-0.9243995943</v>
      </c>
      <c r="T128" s="73">
        <f>SUM(AE128:AM128)-IFERROR(IFS(Projections!$I$17,AN128,Projections!$J$17,AO128),"")</f>
        <v>-0.9243995943</v>
      </c>
      <c r="U128" s="73">
        <f t="shared" si="15"/>
        <v>0</v>
      </c>
      <c r="V128" s="73">
        <f t="array" ref="V128">INDIRECT("Update"&amp;Projections!$AH$17&amp;"!M"&amp;ROW(B109))</f>
        <v>18.8</v>
      </c>
      <c r="W128" s="73">
        <f t="array" ref="W128">INDIRECT("Update"&amp;Projections!$AH$17&amp;"!L"&amp;ROW(B109))</f>
        <v>2.6</v>
      </c>
      <c r="X128" s="73">
        <f t="array" ref="X128">INDIRECT("Update"&amp;Projections!$AH$17&amp;"!N"&amp;ROW(B109))</f>
        <v>3.4</v>
      </c>
      <c r="Y128" s="73">
        <f t="array" ref="Y128">INDIRECT("Update"&amp;Projections!$AH$17&amp;"!O"&amp;ROW(B109))</f>
        <v>1.7</v>
      </c>
      <c r="Z128" s="73">
        <f t="array" ref="Z128">INDIRECT("Update"&amp;Projections!$AH$17&amp;"!P"&amp;ROW(B109))</f>
        <v>0.8</v>
      </c>
      <c r="AA128" s="73">
        <f t="array" ref="AA128">INDIRECT("Update"&amp;Projections!$AH$17&amp;"!Q"&amp;ROW(B109))</f>
        <v>0.4</v>
      </c>
      <c r="AB128" s="107">
        <f t="array" ref="AB128">INDIRECT("Update"&amp;Projections!$AH$17&amp;"!I"&amp;ROW(B109))</f>
        <v>0.482</v>
      </c>
      <c r="AC128" s="107">
        <f t="array" ref="AC128">INDIRECT("Update"&amp;Projections!$AH$17&amp;"!K"&amp;ROW(B109))</f>
        <v>0.821</v>
      </c>
      <c r="AD128" s="73">
        <f t="array" ref="AD128">INDIRECT("Update"&amp;Projections!$AH$17&amp;"!R"&amp;ROW(B109))</f>
        <v>1.5</v>
      </c>
      <c r="AE128" s="73">
        <f t="shared" si="16"/>
        <v>0.240824148</v>
      </c>
      <c r="AF128" s="73">
        <f t="shared" si="17"/>
        <v>0.8469451937</v>
      </c>
      <c r="AG128" s="73">
        <f t="shared" si="18"/>
        <v>-1.046902488</v>
      </c>
      <c r="AH128" s="73">
        <f t="shared" si="19"/>
        <v>-1.018652563</v>
      </c>
      <c r="AI128" s="73">
        <f t="shared" si="20"/>
        <v>-0.5847290887</v>
      </c>
      <c r="AJ128" s="73">
        <f t="shared" si="21"/>
        <v>-0.6155173428</v>
      </c>
      <c r="AK128" s="73">
        <f t="shared" si="22"/>
        <v>-0.2337000869</v>
      </c>
      <c r="AL128" s="73">
        <f t="shared" si="23"/>
        <v>0.378765254</v>
      </c>
      <c r="AM128" s="73">
        <f t="shared" si="24"/>
        <v>0.06166489084</v>
      </c>
      <c r="AN128" s="120">
        <f t="shared" si="25"/>
        <v>-1.046902488</v>
      </c>
      <c r="AO128" s="120">
        <f t="shared" si="26"/>
        <v>-2.06555505</v>
      </c>
      <c r="AP128" s="120">
        <f t="array" ref="AP128">INDIRECT("Update"&amp;Projections!$AH$17&amp;"!S"&amp;ROW(B109))</f>
        <v>13.4</v>
      </c>
      <c r="AQ128" s="120">
        <f t="array" ref="AQ128">INDIRECT("Update"&amp;Projections!$AH$17&amp;"!T"&amp;ROW(B109))</f>
        <v>4.1</v>
      </c>
      <c r="AR128" s="100">
        <f t="shared" si="27"/>
        <v>-0.566361578</v>
      </c>
    </row>
    <row r="129">
      <c r="A129" s="40" t="str">
        <f t="shared" si="3"/>
        <v>Jalen Smith</v>
      </c>
      <c r="B129" s="42">
        <f t="shared" si="4"/>
        <v>-0.8249991678</v>
      </c>
      <c r="C129" s="43">
        <f t="shared" si="5"/>
        <v>-0.4468706937</v>
      </c>
      <c r="D129" s="42">
        <f t="shared" si="6"/>
        <v>0.6006050996</v>
      </c>
      <c r="E129" s="42">
        <f t="shared" si="7"/>
        <v>-1.200899644</v>
      </c>
      <c r="F129" s="42">
        <f t="shared" si="8"/>
        <v>-1.912459801</v>
      </c>
      <c r="G129" s="42">
        <f t="shared" si="9"/>
        <v>0.4548448695</v>
      </c>
      <c r="H129" s="42">
        <f t="shared" si="10"/>
        <v>0.4325816566</v>
      </c>
      <c r="I129" s="42">
        <f>UpdateHashtag!S127</f>
        <v>9.2</v>
      </c>
      <c r="J129" s="47">
        <f t="shared" si="11"/>
        <v>-0.7132182169</v>
      </c>
      <c r="K129" s="48">
        <f>UpdateHashtag!T127</f>
        <v>2.4</v>
      </c>
      <c r="L129" s="42">
        <f t="shared" si="12"/>
        <v>-0.5442381251</v>
      </c>
      <c r="N129" s="100">
        <f t="shared" si="13"/>
        <v>121</v>
      </c>
      <c r="O129" s="94">
        <f t="array" ref="O129">INDIRECT("Update"&amp;Projections!$AH$17&amp;"!B"&amp;ROW(B110))</f>
        <v>102.7</v>
      </c>
      <c r="P129" s="101" t="str">
        <f t="array" ref="P129">INDIRECT("Update"&amp;Projections!$AH$17&amp;"!C"&amp;ROW(B110))</f>
        <v>Clint Capela</v>
      </c>
      <c r="Q129" s="94">
        <f>UpdateBBM!F110</f>
        <v>66</v>
      </c>
      <c r="R129" s="105" t="str">
        <f t="array" ref="R129">INDIRECT("Update"&amp;Projections!$AH$17&amp;"!D"&amp;ROW(B110))</f>
        <v>C</v>
      </c>
      <c r="S129" s="73">
        <f t="shared" si="14"/>
        <v>-1.008937506</v>
      </c>
      <c r="T129" s="73">
        <f>SUM(AE129:AM129)-IFERROR(IFS(Projections!$I$17,AN129,Projections!$J$17,AO129),"")</f>
        <v>-1.008937506</v>
      </c>
      <c r="U129" s="73">
        <f t="shared" si="15"/>
        <v>0</v>
      </c>
      <c r="V129" s="73">
        <f t="array" ref="V129">INDIRECT("Update"&amp;Projections!$AH$17&amp;"!M"&amp;ROW(B110))</f>
        <v>11.5</v>
      </c>
      <c r="W129" s="73">
        <f t="array" ref="W129">INDIRECT("Update"&amp;Projections!$AH$17&amp;"!L"&amp;ROW(B110))</f>
        <v>0</v>
      </c>
      <c r="X129" s="73">
        <f t="array" ref="X129">INDIRECT("Update"&amp;Projections!$AH$17&amp;"!N"&amp;ROW(B110))</f>
        <v>10.7</v>
      </c>
      <c r="Y129" s="73">
        <f t="array" ref="Y129">INDIRECT("Update"&amp;Projections!$AH$17&amp;"!O"&amp;ROW(B110))</f>
        <v>1.1</v>
      </c>
      <c r="Z129" s="73">
        <f t="array" ref="Z129">INDIRECT("Update"&amp;Projections!$AH$17&amp;"!P"&amp;ROW(B110))</f>
        <v>0.6</v>
      </c>
      <c r="AA129" s="73">
        <f t="array" ref="AA129">INDIRECT("Update"&amp;Projections!$AH$17&amp;"!Q"&amp;ROW(B110))</f>
        <v>1.3</v>
      </c>
      <c r="AB129" s="107">
        <f t="array" ref="AB129">INDIRECT("Update"&amp;Projections!$AH$17&amp;"!I"&amp;ROW(B110))</f>
        <v>0.597</v>
      </c>
      <c r="AC129" s="107">
        <f t="array" ref="AC129">INDIRECT("Update"&amp;Projections!$AH$17&amp;"!K"&amp;ROW(B110))</f>
        <v>0.631</v>
      </c>
      <c r="AD129" s="73">
        <f t="array" ref="AD129">INDIRECT("Update"&amp;Projections!$AH$17&amp;"!R"&amp;ROW(B110))</f>
        <v>0.9</v>
      </c>
      <c r="AE129" s="73">
        <f t="shared" si="16"/>
        <v>-1.077906395</v>
      </c>
      <c r="AF129" s="73">
        <f t="shared" si="17"/>
        <v>-1.740686581</v>
      </c>
      <c r="AG129" s="73">
        <f t="shared" si="18"/>
        <v>1.816622604</v>
      </c>
      <c r="AH129" s="73">
        <f t="shared" si="19"/>
        <v>-1.292023185</v>
      </c>
      <c r="AI129" s="73">
        <f t="shared" si="20"/>
        <v>-1.248594445</v>
      </c>
      <c r="AJ129" s="73">
        <f t="shared" si="21"/>
        <v>0.9900259756</v>
      </c>
      <c r="AK129" s="73">
        <f t="shared" si="22"/>
        <v>0.9856543211</v>
      </c>
      <c r="AL129" s="73">
        <f t="shared" si="23"/>
        <v>-1.393170554</v>
      </c>
      <c r="AM129" s="73">
        <f t="shared" si="24"/>
        <v>0.2104541717</v>
      </c>
      <c r="AN129" s="120">
        <f t="shared" si="25"/>
        <v>-1.740686581</v>
      </c>
      <c r="AO129" s="120">
        <f t="shared" si="26"/>
        <v>-3.133857135</v>
      </c>
      <c r="AP129" s="120">
        <f t="array" ref="AP129">INDIRECT("Update"&amp;Projections!$AH$17&amp;"!S"&amp;ROW(B110))</f>
        <v>8.4</v>
      </c>
      <c r="AQ129" s="120">
        <f t="array" ref="AQ129">INDIRECT("Update"&amp;Projections!$AH$17&amp;"!T"&amp;ROW(B110))</f>
        <v>2.4</v>
      </c>
      <c r="AR129" s="100">
        <f t="shared" si="27"/>
        <v>-0.6270068066</v>
      </c>
    </row>
    <row r="130">
      <c r="A130" s="40" t="str">
        <f t="shared" si="3"/>
        <v>Corey Kispert</v>
      </c>
      <c r="B130" s="42">
        <f t="shared" si="4"/>
        <v>-0.4275735246</v>
      </c>
      <c r="C130" s="43">
        <f t="shared" si="5"/>
        <v>0.9464694928</v>
      </c>
      <c r="D130" s="42">
        <f t="shared" si="6"/>
        <v>-1.046902488</v>
      </c>
      <c r="E130" s="42">
        <f t="shared" si="7"/>
        <v>-0.6997201696</v>
      </c>
      <c r="F130" s="42">
        <f t="shared" si="8"/>
        <v>-0.9166617668</v>
      </c>
      <c r="G130" s="42">
        <f t="shared" si="9"/>
        <v>-0.9723047469</v>
      </c>
      <c r="H130" s="42">
        <f t="shared" si="10"/>
        <v>-0.1675689651</v>
      </c>
      <c r="I130" s="42">
        <f>UpdateHashtag!S128</f>
        <v>11.1</v>
      </c>
      <c r="J130" s="47">
        <f t="shared" si="11"/>
        <v>0.1847635385</v>
      </c>
      <c r="K130" s="48">
        <f>UpdateHashtag!T128</f>
        <v>2</v>
      </c>
      <c r="L130" s="42">
        <f t="shared" si="12"/>
        <v>-0.5442381251</v>
      </c>
      <c r="N130" s="100">
        <f t="shared" si="13"/>
        <v>118</v>
      </c>
      <c r="O130" s="94">
        <f t="array" ref="O130">INDIRECT("Update"&amp;Projections!$AH$17&amp;"!B"&amp;ROW(B111))</f>
        <v>125.6</v>
      </c>
      <c r="P130" s="101" t="str">
        <f t="array" ref="P130">INDIRECT("Update"&amp;Projections!$AH$17&amp;"!C"&amp;ROW(B111))</f>
        <v>Trayce Jackson-Davis</v>
      </c>
      <c r="Q130" s="94">
        <f>UpdateBBM!F111</f>
        <v>66</v>
      </c>
      <c r="R130" s="105" t="str">
        <f t="array" ref="R130">INDIRECT("Update"&amp;Projections!$AH$17&amp;"!D"&amp;ROW(B111))</f>
        <v>PF,C</v>
      </c>
      <c r="S130" s="73">
        <f t="shared" si="14"/>
        <v>-0.8575874376</v>
      </c>
      <c r="T130" s="73">
        <f>SUM(AE130:AM130)-IFERROR(IFS(Projections!$I$17,AN130,Projections!$J$17,AO130),"")</f>
        <v>-0.8575874376</v>
      </c>
      <c r="U130" s="73">
        <f t="shared" si="15"/>
        <v>0</v>
      </c>
      <c r="V130" s="73">
        <f t="array" ref="V130">INDIRECT("Update"&amp;Projections!$AH$17&amp;"!M"&amp;ROW(B111))</f>
        <v>12.1</v>
      </c>
      <c r="W130" s="73">
        <f t="array" ref="W130">INDIRECT("Update"&amp;Projections!$AH$17&amp;"!L"&amp;ROW(B111))</f>
        <v>0</v>
      </c>
      <c r="X130" s="73">
        <f t="array" ref="X130">INDIRECT("Update"&amp;Projections!$AH$17&amp;"!N"&amp;ROW(B111))</f>
        <v>7.6</v>
      </c>
      <c r="Y130" s="73">
        <f t="array" ref="Y130">INDIRECT("Update"&amp;Projections!$AH$17&amp;"!O"&amp;ROW(B111))</f>
        <v>1.8</v>
      </c>
      <c r="Z130" s="73">
        <f t="array" ref="Z130">INDIRECT("Update"&amp;Projections!$AH$17&amp;"!P"&amp;ROW(B111))</f>
        <v>0.6</v>
      </c>
      <c r="AA130" s="73">
        <f t="array" ref="AA130">INDIRECT("Update"&amp;Projections!$AH$17&amp;"!Q"&amp;ROW(B111))</f>
        <v>1.6</v>
      </c>
      <c r="AB130" s="107">
        <f t="array" ref="AB130">INDIRECT("Update"&amp;Projections!$AH$17&amp;"!I"&amp;ROW(B111))</f>
        <v>0.703</v>
      </c>
      <c r="AC130" s="107">
        <f t="array" ref="AC130">INDIRECT("Update"&amp;Projections!$AH$17&amp;"!K"&amp;ROW(B111))</f>
        <v>0.563</v>
      </c>
      <c r="AD130" s="73">
        <f t="array" ref="AD130">INDIRECT("Update"&amp;Projections!$AH$17&amp;"!R"&amp;ROW(B111))</f>
        <v>1.1</v>
      </c>
      <c r="AE130" s="73">
        <f t="shared" si="16"/>
        <v>-0.9695175835</v>
      </c>
      <c r="AF130" s="73">
        <f t="shared" si="17"/>
        <v>-1.740686581</v>
      </c>
      <c r="AG130" s="73">
        <f t="shared" si="18"/>
        <v>0.6006050996</v>
      </c>
      <c r="AH130" s="73">
        <f t="shared" si="19"/>
        <v>-0.9730907921</v>
      </c>
      <c r="AI130" s="73">
        <f t="shared" si="20"/>
        <v>-1.248594445</v>
      </c>
      <c r="AJ130" s="73">
        <f t="shared" si="21"/>
        <v>1.525207082</v>
      </c>
      <c r="AK130" s="73">
        <f t="shared" si="22"/>
        <v>1.787632038</v>
      </c>
      <c r="AL130" s="73">
        <f t="shared" si="23"/>
        <v>-2.46391255</v>
      </c>
      <c r="AM130" s="73">
        <f t="shared" si="24"/>
        <v>0.1608577447</v>
      </c>
      <c r="AN130" s="120">
        <f t="shared" si="25"/>
        <v>-2.46391255</v>
      </c>
      <c r="AO130" s="120">
        <f t="shared" si="26"/>
        <v>-4.204599131</v>
      </c>
      <c r="AP130" s="120">
        <f t="array" ref="AP130">INDIRECT("Update"&amp;Projections!$AH$17&amp;"!S"&amp;ROW(B111))</f>
        <v>7.4</v>
      </c>
      <c r="AQ130" s="120">
        <f t="array" ref="AQ130">INDIRECT("Update"&amp;Projections!$AH$17&amp;"!T"&amp;ROW(B111))</f>
        <v>3</v>
      </c>
      <c r="AR130" s="100">
        <f t="shared" si="27"/>
        <v>-0.6351996027</v>
      </c>
    </row>
    <row r="131">
      <c r="A131" s="40" t="str">
        <f t="shared" si="3"/>
        <v>Buddy Hield</v>
      </c>
      <c r="B131" s="42">
        <f t="shared" si="4"/>
        <v>-0.7708047619</v>
      </c>
      <c r="C131" s="43">
        <f t="shared" si="5"/>
        <v>0.9464694928</v>
      </c>
      <c r="D131" s="42">
        <f t="shared" si="6"/>
        <v>-0.8899970031</v>
      </c>
      <c r="E131" s="42">
        <f t="shared" si="7"/>
        <v>-0.5630348583</v>
      </c>
      <c r="F131" s="42">
        <f t="shared" si="8"/>
        <v>-0.2527964105</v>
      </c>
      <c r="G131" s="42">
        <f t="shared" si="9"/>
        <v>-0.6155173428</v>
      </c>
      <c r="H131" s="42">
        <f t="shared" si="10"/>
        <v>-0.6506064253</v>
      </c>
      <c r="I131" s="42">
        <f>UpdateHashtag!S129</f>
        <v>10.7</v>
      </c>
      <c r="J131" s="47">
        <f t="shared" si="11"/>
        <v>0.1561577899</v>
      </c>
      <c r="K131" s="48">
        <f>UpdateHashtag!T129</f>
        <v>1.1</v>
      </c>
      <c r="L131" s="42">
        <f t="shared" si="12"/>
        <v>-0.3458524173</v>
      </c>
      <c r="N131" s="100">
        <f t="shared" si="13"/>
        <v>100</v>
      </c>
      <c r="O131" s="94">
        <f t="array" ref="O131">INDIRECT("Update"&amp;Projections!$AH$17&amp;"!B"&amp;ROW(B112))</f>
        <v>92.2</v>
      </c>
      <c r="P131" s="101" t="str">
        <f t="array" ref="P131">INDIRECT("Update"&amp;Projections!$AH$17&amp;"!C"&amp;ROW(B112))</f>
        <v>Jalen Green</v>
      </c>
      <c r="Q131" s="94">
        <f>UpdateBBM!F112</f>
        <v>66</v>
      </c>
      <c r="R131" s="105" t="str">
        <f t="array" ref="R131">INDIRECT("Update"&amp;Projections!$AH$17&amp;"!D"&amp;ROW(B112))</f>
        <v>PG,SG</v>
      </c>
      <c r="S131" s="73">
        <f t="shared" si="14"/>
        <v>-0.3643186267</v>
      </c>
      <c r="T131" s="73">
        <f>SUM(AE131:AM131)-IFERROR(IFS(Projections!$I$17,AN131,Projections!$J$17,AO131),"")</f>
        <v>-0.3643186267</v>
      </c>
      <c r="U131" s="73">
        <f t="shared" si="15"/>
        <v>0</v>
      </c>
      <c r="V131" s="73">
        <f t="array" ref="V131">INDIRECT("Update"&amp;Projections!$AH$17&amp;"!M"&amp;ROW(B112))</f>
        <v>20.5</v>
      </c>
      <c r="W131" s="73">
        <f t="array" ref="W131">INDIRECT("Update"&amp;Projections!$AH$17&amp;"!L"&amp;ROW(B112))</f>
        <v>2.4</v>
      </c>
      <c r="X131" s="73">
        <f t="array" ref="X131">INDIRECT("Update"&amp;Projections!$AH$17&amp;"!N"&amp;ROW(B112))</f>
        <v>4.9</v>
      </c>
      <c r="Y131" s="73">
        <f t="array" ref="Y131">INDIRECT("Update"&amp;Projections!$AH$17&amp;"!O"&amp;ROW(B112))</f>
        <v>3.7</v>
      </c>
      <c r="Z131" s="73">
        <f t="array" ref="Z131">INDIRECT("Update"&amp;Projections!$AH$17&amp;"!P"&amp;ROW(B112))</f>
        <v>0.9</v>
      </c>
      <c r="AA131" s="73">
        <f t="array" ref="AA131">INDIRECT("Update"&amp;Projections!$AH$17&amp;"!Q"&amp;ROW(B112))</f>
        <v>0.3</v>
      </c>
      <c r="AB131" s="107">
        <f t="array" ref="AB131">INDIRECT("Update"&amp;Projections!$AH$17&amp;"!I"&amp;ROW(B112))</f>
        <v>0.429</v>
      </c>
      <c r="AC131" s="107">
        <f t="array" ref="AC131">INDIRECT("Update"&amp;Projections!$AH$17&amp;"!K"&amp;ROW(B112))</f>
        <v>0.807</v>
      </c>
      <c r="AD131" s="73">
        <f t="array" ref="AD131">INDIRECT("Update"&amp;Projections!$AH$17&amp;"!R"&amp;ROW(B112))</f>
        <v>2.4</v>
      </c>
      <c r="AE131" s="73">
        <f t="shared" si="16"/>
        <v>0.5479257814</v>
      </c>
      <c r="AF131" s="73">
        <f t="shared" si="17"/>
        <v>0.6478965957</v>
      </c>
      <c r="AG131" s="73">
        <f t="shared" si="18"/>
        <v>-0.4585069208</v>
      </c>
      <c r="AH131" s="73">
        <f t="shared" si="19"/>
        <v>-0.1074171541</v>
      </c>
      <c r="AI131" s="73">
        <f t="shared" si="20"/>
        <v>-0.2527964105</v>
      </c>
      <c r="AJ131" s="73">
        <f t="shared" si="21"/>
        <v>-0.7939110449</v>
      </c>
      <c r="AK131" s="73">
        <f t="shared" si="22"/>
        <v>-1.304724196</v>
      </c>
      <c r="AL131" s="73">
        <f t="shared" si="23"/>
        <v>0.2140095569</v>
      </c>
      <c r="AM131" s="73">
        <f t="shared" si="24"/>
        <v>-0.1615190304</v>
      </c>
      <c r="AN131" s="120">
        <f t="shared" si="25"/>
        <v>-1.304724196</v>
      </c>
      <c r="AO131" s="120">
        <f t="shared" si="26"/>
        <v>-2.098635241</v>
      </c>
      <c r="AP131" s="120">
        <f t="array" ref="AP131">INDIRECT("Update"&amp;Projections!$AH$17&amp;"!S"&amp;ROW(B112))</f>
        <v>16.4</v>
      </c>
      <c r="AQ131" s="120">
        <f t="array" ref="AQ131">INDIRECT("Update"&amp;Projections!$AH$17&amp;"!T"&amp;ROW(B112))</f>
        <v>5</v>
      </c>
      <c r="AR131" s="100">
        <f t="shared" si="27"/>
        <v>-0.6631915037</v>
      </c>
    </row>
    <row r="132">
      <c r="A132" s="40" t="str">
        <f t="shared" si="3"/>
        <v>Klay Thompson</v>
      </c>
      <c r="B132" s="42">
        <f t="shared" si="4"/>
        <v>-0.04821268339</v>
      </c>
      <c r="C132" s="43">
        <f t="shared" si="5"/>
        <v>1.643139586</v>
      </c>
      <c r="D132" s="42">
        <f t="shared" si="6"/>
        <v>-1.12535523</v>
      </c>
      <c r="E132" s="42">
        <f t="shared" si="7"/>
        <v>-0.8819672513</v>
      </c>
      <c r="F132" s="42">
        <f t="shared" si="8"/>
        <v>-1.248594445</v>
      </c>
      <c r="G132" s="42">
        <f t="shared" si="9"/>
        <v>-0.6155173428</v>
      </c>
      <c r="H132" s="42">
        <f t="shared" si="10"/>
        <v>-1.053857789</v>
      </c>
      <c r="I132" s="42">
        <f>UpdateHashtag!S130</f>
        <v>14.3</v>
      </c>
      <c r="J132" s="47">
        <f t="shared" si="11"/>
        <v>0.6011123887</v>
      </c>
      <c r="K132" s="48">
        <f>UpdateHashtag!T130</f>
        <v>1.6</v>
      </c>
      <c r="L132" s="42">
        <f t="shared" si="12"/>
        <v>-0.3458524173</v>
      </c>
      <c r="N132" s="100">
        <f t="shared" si="13"/>
        <v>115</v>
      </c>
      <c r="O132" s="94">
        <f t="array" ref="O132">INDIRECT("Update"&amp;Projections!$AH$17&amp;"!B"&amp;ROW(B113))</f>
        <v>96.4</v>
      </c>
      <c r="P132" s="101" t="str">
        <f t="array" ref="P132">INDIRECT("Update"&amp;Projections!$AH$17&amp;"!C"&amp;ROW(B113))</f>
        <v>Naz Reid</v>
      </c>
      <c r="Q132" s="94">
        <f>UpdateBBM!F113</f>
        <v>71</v>
      </c>
      <c r="R132" s="105" t="str">
        <f t="array" ref="R132">INDIRECT("Update"&amp;Projections!$AH$17&amp;"!D"&amp;ROW(B113))</f>
        <v>PF,C</v>
      </c>
      <c r="S132" s="73">
        <f t="shared" si="14"/>
        <v>-0.7924526544</v>
      </c>
      <c r="T132" s="73">
        <f>SUM(AE132:AM132)-IFERROR(IFS(Projections!$I$17,AN132,Projections!$J$17,AO132),"")</f>
        <v>-0.7924526544</v>
      </c>
      <c r="U132" s="73">
        <f t="shared" si="15"/>
        <v>0</v>
      </c>
      <c r="V132" s="73">
        <f t="array" ref="V132">INDIRECT("Update"&amp;Projections!$AH$17&amp;"!M"&amp;ROW(B113))</f>
        <v>14.7</v>
      </c>
      <c r="W132" s="73">
        <f t="array" ref="W132">INDIRECT("Update"&amp;Projections!$AH$17&amp;"!L"&amp;ROW(B113))</f>
        <v>2</v>
      </c>
      <c r="X132" s="73">
        <f t="array" ref="X132">INDIRECT("Update"&amp;Projections!$AH$17&amp;"!N"&amp;ROW(B113))</f>
        <v>6.2</v>
      </c>
      <c r="Y132" s="73">
        <f t="array" ref="Y132">INDIRECT("Update"&amp;Projections!$AH$17&amp;"!O"&amp;ROW(B113))</f>
        <v>1.5</v>
      </c>
      <c r="Z132" s="73">
        <f t="array" ref="Z132">INDIRECT("Update"&amp;Projections!$AH$17&amp;"!P"&amp;ROW(B113))</f>
        <v>0.9</v>
      </c>
      <c r="AA132" s="73">
        <f t="array" ref="AA132">INDIRECT("Update"&amp;Projections!$AH$17&amp;"!Q"&amp;ROW(B113))</f>
        <v>1</v>
      </c>
      <c r="AB132" s="107">
        <f t="array" ref="AB132">INDIRECT("Update"&amp;Projections!$AH$17&amp;"!I"&amp;ROW(B113))</f>
        <v>0.472</v>
      </c>
      <c r="AC132" s="107">
        <f t="array" ref="AC132">INDIRECT("Update"&amp;Projections!$AH$17&amp;"!K"&amp;ROW(B113))</f>
        <v>0.735</v>
      </c>
      <c r="AD132" s="73">
        <f t="array" ref="AD132">INDIRECT("Update"&amp;Projections!$AH$17&amp;"!R"&amp;ROW(B113))</f>
        <v>1.7</v>
      </c>
      <c r="AE132" s="73">
        <f t="shared" si="16"/>
        <v>-0.4998327325</v>
      </c>
      <c r="AF132" s="73">
        <f t="shared" si="17"/>
        <v>0.2497993996</v>
      </c>
      <c r="AG132" s="73">
        <f t="shared" si="18"/>
        <v>0.05143590386</v>
      </c>
      <c r="AH132" s="73">
        <f t="shared" si="19"/>
        <v>-1.109776103</v>
      </c>
      <c r="AI132" s="73">
        <f t="shared" si="20"/>
        <v>-0.2527964105</v>
      </c>
      <c r="AJ132" s="73">
        <f t="shared" si="21"/>
        <v>0.4548448695</v>
      </c>
      <c r="AK132" s="73">
        <f t="shared" si="22"/>
        <v>-0.3411756754</v>
      </c>
      <c r="AL132" s="73">
        <f t="shared" si="23"/>
        <v>-0.4667964729</v>
      </c>
      <c r="AM132" s="73">
        <f t="shared" si="24"/>
        <v>0.01206846389</v>
      </c>
      <c r="AN132" s="120">
        <f t="shared" si="25"/>
        <v>-1.109776103</v>
      </c>
      <c r="AO132" s="120">
        <f t="shared" si="26"/>
        <v>-1.609608836</v>
      </c>
      <c r="AP132" s="120">
        <f t="array" ref="AP132">INDIRECT("Update"&amp;Projections!$AH$17&amp;"!S"&amp;ROW(B113))</f>
        <v>11.7</v>
      </c>
      <c r="AQ132" s="120">
        <f t="array" ref="AQ132">INDIRECT("Update"&amp;Projections!$AH$17&amp;"!T"&amp;ROW(B113))</f>
        <v>2.2</v>
      </c>
      <c r="AR132" s="100">
        <f t="shared" si="27"/>
        <v>-0.6720351682</v>
      </c>
    </row>
    <row r="133">
      <c r="A133" s="40" t="str">
        <f t="shared" si="3"/>
        <v>Grayson Allen</v>
      </c>
      <c r="B133" s="42">
        <f t="shared" si="4"/>
        <v>-1.095971197</v>
      </c>
      <c r="C133" s="43">
        <f t="shared" si="5"/>
        <v>0.4488479976</v>
      </c>
      <c r="D133" s="42">
        <f t="shared" si="6"/>
        <v>-1.086128859</v>
      </c>
      <c r="E133" s="42">
        <f t="shared" si="7"/>
        <v>-0.6997201696</v>
      </c>
      <c r="F133" s="42">
        <f t="shared" si="8"/>
        <v>-0.5847290887</v>
      </c>
      <c r="G133" s="42">
        <f t="shared" si="9"/>
        <v>-0.6155173428</v>
      </c>
      <c r="H133" s="42">
        <f t="shared" si="10"/>
        <v>-0.111394418</v>
      </c>
      <c r="I133" s="42">
        <f>UpdateHashtag!S131</f>
        <v>8</v>
      </c>
      <c r="J133" s="47">
        <f t="shared" si="11"/>
        <v>0.5905186225</v>
      </c>
      <c r="K133" s="48">
        <f>UpdateHashtag!T131</f>
        <v>1.7</v>
      </c>
      <c r="L133" s="42">
        <f t="shared" si="12"/>
        <v>-0.7426238329</v>
      </c>
      <c r="N133" s="100">
        <f t="shared" si="13"/>
        <v>113</v>
      </c>
      <c r="O133" s="94">
        <f t="array" ref="O133">INDIRECT("Update"&amp;Projections!$AH$17&amp;"!B"&amp;ROW(B114))</f>
        <v>63.6</v>
      </c>
      <c r="P133" s="101" t="str">
        <f t="array" ref="P133">INDIRECT("Update"&amp;Projections!$AH$17&amp;"!C"&amp;ROW(B114))</f>
        <v>Julius Randle</v>
      </c>
      <c r="Q133" s="94">
        <f>UpdateBBM!F114</f>
        <v>66</v>
      </c>
      <c r="R133" s="105" t="str">
        <f t="array" ref="R133">INDIRECT("Update"&amp;Projections!$AH$17&amp;"!D"&amp;ROW(B114))</f>
        <v>PF</v>
      </c>
      <c r="S133" s="73">
        <f t="shared" si="14"/>
        <v>-0.7233248157</v>
      </c>
      <c r="T133" s="73">
        <f>SUM(AE133:AM133)-IFERROR(IFS(Projections!$I$17,AN133,Projections!$J$17,AO133),"")</f>
        <v>-0.7233248157</v>
      </c>
      <c r="U133" s="73">
        <f t="shared" si="15"/>
        <v>0</v>
      </c>
      <c r="V133" s="73">
        <f t="array" ref="V133">INDIRECT("Update"&amp;Projections!$AH$17&amp;"!M"&amp;ROW(B114))</f>
        <v>20.3</v>
      </c>
      <c r="W133" s="73">
        <f t="array" ref="W133">INDIRECT("Update"&amp;Projections!$AH$17&amp;"!L"&amp;ROW(B114))</f>
        <v>1.4</v>
      </c>
      <c r="X133" s="73">
        <f t="array" ref="X133">INDIRECT("Update"&amp;Projections!$AH$17&amp;"!N"&amp;ROW(B114))</f>
        <v>8.5</v>
      </c>
      <c r="Y133" s="73">
        <f t="array" ref="Y133">INDIRECT("Update"&amp;Projections!$AH$17&amp;"!O"&amp;ROW(B114))</f>
        <v>3.9</v>
      </c>
      <c r="Z133" s="73">
        <f t="array" ref="Z133">INDIRECT("Update"&amp;Projections!$AH$17&amp;"!P"&amp;ROW(B114))</f>
        <v>0.5</v>
      </c>
      <c r="AA133" s="73">
        <f t="array" ref="AA133">INDIRECT("Update"&amp;Projections!$AH$17&amp;"!Q"&amp;ROW(B114))</f>
        <v>0.2</v>
      </c>
      <c r="AB133" s="107">
        <f t="array" ref="AB133">INDIRECT("Update"&amp;Projections!$AH$17&amp;"!I"&amp;ROW(B114))</f>
        <v>0.477</v>
      </c>
      <c r="AC133" s="107">
        <f t="array" ref="AC133">INDIRECT("Update"&amp;Projections!$AH$17&amp;"!K"&amp;ROW(B114))</f>
        <v>0.78</v>
      </c>
      <c r="AD133" s="73">
        <f t="array" ref="AD133">INDIRECT("Update"&amp;Projections!$AH$17&amp;"!R"&amp;ROW(B114))</f>
        <v>2.6</v>
      </c>
      <c r="AE133" s="73">
        <f t="shared" si="16"/>
        <v>0.5117961775</v>
      </c>
      <c r="AF133" s="73">
        <f t="shared" si="17"/>
        <v>-0.3473463946</v>
      </c>
      <c r="AG133" s="73">
        <f t="shared" si="18"/>
        <v>0.9536424397</v>
      </c>
      <c r="AH133" s="73">
        <f t="shared" si="19"/>
        <v>-0.01629361326</v>
      </c>
      <c r="AI133" s="73">
        <f t="shared" si="20"/>
        <v>-1.580527123</v>
      </c>
      <c r="AJ133" s="73">
        <f t="shared" si="21"/>
        <v>-0.9723047469</v>
      </c>
      <c r="AK133" s="73">
        <f t="shared" si="22"/>
        <v>-0.3564947363</v>
      </c>
      <c r="AL133" s="73">
        <f t="shared" si="23"/>
        <v>-0.2852084843</v>
      </c>
      <c r="AM133" s="73">
        <f t="shared" si="24"/>
        <v>-0.2111154574</v>
      </c>
      <c r="AN133" s="120">
        <f t="shared" si="25"/>
        <v>-1.580527123</v>
      </c>
      <c r="AO133" s="120">
        <f t="shared" si="26"/>
        <v>-2.55283187</v>
      </c>
      <c r="AP133" s="120">
        <f t="array" ref="AP133">INDIRECT("Update"&amp;Projections!$AH$17&amp;"!S"&amp;ROW(B114))</f>
        <v>15.3</v>
      </c>
      <c r="AQ133" s="120">
        <f t="array" ref="AQ133">INDIRECT("Update"&amp;Projections!$AH$17&amp;"!T"&amp;ROW(B114))</f>
        <v>5.4</v>
      </c>
      <c r="AR133" s="100">
        <f t="shared" si="27"/>
        <v>-0.7233248157</v>
      </c>
    </row>
    <row r="134">
      <c r="A134" s="40" t="str">
        <f t="shared" si="3"/>
        <v>Terance Mann</v>
      </c>
      <c r="B134" s="42">
        <f t="shared" si="4"/>
        <v>-0.8249991678</v>
      </c>
      <c r="C134" s="43">
        <f t="shared" si="5"/>
        <v>-0.4468706937</v>
      </c>
      <c r="D134" s="42">
        <f t="shared" si="6"/>
        <v>-0.4977332919</v>
      </c>
      <c r="E134" s="42">
        <f t="shared" si="7"/>
        <v>-0.5630348583</v>
      </c>
      <c r="F134" s="42">
        <f t="shared" si="8"/>
        <v>-0.5847290887</v>
      </c>
      <c r="G134" s="42">
        <f t="shared" si="9"/>
        <v>-0.6155173428</v>
      </c>
      <c r="H134" s="42">
        <f t="shared" si="10"/>
        <v>0.1851388888</v>
      </c>
      <c r="I134" s="42">
        <f>UpdateHashtag!S132</f>
        <v>9.8</v>
      </c>
      <c r="J134" s="47">
        <f t="shared" si="11"/>
        <v>0.07459493662</v>
      </c>
      <c r="K134" s="48">
        <f>UpdateHashtag!T132</f>
        <v>1.9</v>
      </c>
      <c r="L134" s="42">
        <f t="shared" si="12"/>
        <v>-0.643430979</v>
      </c>
      <c r="N134" s="100">
        <f t="shared" si="13"/>
        <v>109</v>
      </c>
      <c r="O134" s="94">
        <f t="array" ref="O134">INDIRECT("Update"&amp;Projections!$AH$17&amp;"!B"&amp;ROW(B115))</f>
        <v>110.3</v>
      </c>
      <c r="P134" s="101" t="str">
        <f t="array" ref="P134">INDIRECT("Update"&amp;Projections!$AH$17&amp;"!C"&amp;ROW(B115))</f>
        <v>Donte DiVincenzo</v>
      </c>
      <c r="Q134" s="94">
        <f>UpdateBBM!F115</f>
        <v>53</v>
      </c>
      <c r="R134" s="105" t="str">
        <f t="array" ref="R134">INDIRECT("Update"&amp;Projections!$AH$17&amp;"!D"&amp;ROW(B115))</f>
        <v>SG,SF</v>
      </c>
      <c r="S134" s="73">
        <f t="shared" si="14"/>
        <v>-0.6270068066</v>
      </c>
      <c r="T134" s="73">
        <f>SUM(AE134:AM134)-IFERROR(IFS(Projections!$I$17,AN134,Projections!$J$17,AO134),"")</f>
        <v>-0.6270068066</v>
      </c>
      <c r="U134" s="73">
        <f t="shared" si="15"/>
        <v>0</v>
      </c>
      <c r="V134" s="73">
        <f t="array" ref="V134">INDIRECT("Update"&amp;Projections!$AH$17&amp;"!M"&amp;ROW(B115))</f>
        <v>12.7</v>
      </c>
      <c r="W134" s="73">
        <f t="array" ref="W134">INDIRECT("Update"&amp;Projections!$AH$17&amp;"!L"&amp;ROW(B115))</f>
        <v>2.7</v>
      </c>
      <c r="X134" s="73">
        <f t="array" ref="X134">INDIRECT("Update"&amp;Projections!$AH$17&amp;"!N"&amp;ROW(B115))</f>
        <v>3.9</v>
      </c>
      <c r="Y134" s="73">
        <f t="array" ref="Y134">INDIRECT("Update"&amp;Projections!$AH$17&amp;"!O"&amp;ROW(B115))</f>
        <v>3</v>
      </c>
      <c r="Z134" s="73">
        <f t="array" ref="Z134">INDIRECT("Update"&amp;Projections!$AH$17&amp;"!P"&amp;ROW(B115))</f>
        <v>1.3</v>
      </c>
      <c r="AA134" s="73">
        <f t="array" ref="AA134">INDIRECT("Update"&amp;Projections!$AH$17&amp;"!Q"&amp;ROW(B115))</f>
        <v>0.3</v>
      </c>
      <c r="AB134" s="107">
        <f t="array" ref="AB134">INDIRECT("Update"&amp;Projections!$AH$17&amp;"!I"&amp;ROW(B115))</f>
        <v>0.444</v>
      </c>
      <c r="AC134" s="107">
        <f t="array" ref="AC134">INDIRECT("Update"&amp;Projections!$AH$17&amp;"!K"&amp;ROW(B115))</f>
        <v>0.786</v>
      </c>
      <c r="AD134" s="73">
        <f t="array" ref="AD134">INDIRECT("Update"&amp;Projections!$AH$17&amp;"!R"&amp;ROW(B115))</f>
        <v>1.4</v>
      </c>
      <c r="AE134" s="73">
        <f t="shared" si="16"/>
        <v>-0.8611287717</v>
      </c>
      <c r="AF134" s="73">
        <f t="shared" si="17"/>
        <v>0.9464694928</v>
      </c>
      <c r="AG134" s="73">
        <f t="shared" si="18"/>
        <v>-0.850770632</v>
      </c>
      <c r="AH134" s="73">
        <f t="shared" si="19"/>
        <v>-0.4263495471</v>
      </c>
      <c r="AI134" s="73">
        <f t="shared" si="20"/>
        <v>1.074934302</v>
      </c>
      <c r="AJ134" s="73">
        <f t="shared" si="21"/>
        <v>-0.7939110449</v>
      </c>
      <c r="AK134" s="73">
        <f t="shared" si="22"/>
        <v>-0.6259610313</v>
      </c>
      <c r="AL134" s="73">
        <f t="shared" si="23"/>
        <v>-0.03788145055</v>
      </c>
      <c r="AM134" s="73">
        <f t="shared" si="24"/>
        <v>0.08646310432</v>
      </c>
      <c r="AN134" s="120">
        <f t="shared" si="25"/>
        <v>-0.8611287717</v>
      </c>
      <c r="AO134" s="120">
        <f t="shared" si="26"/>
        <v>-1.711899404</v>
      </c>
      <c r="AP134" s="120">
        <f t="array" ref="AP134">INDIRECT("Update"&amp;Projections!$AH$17&amp;"!S"&amp;ROW(B115))</f>
        <v>10.1</v>
      </c>
      <c r="AQ134" s="120">
        <f t="array" ref="AQ134">INDIRECT("Update"&amp;Projections!$AH$17&amp;"!T"&amp;ROW(B115))</f>
        <v>1.2</v>
      </c>
      <c r="AR134" s="100">
        <f t="shared" si="27"/>
        <v>-0.7686995666</v>
      </c>
    </row>
    <row r="135">
      <c r="A135" s="40" t="str">
        <f t="shared" si="3"/>
        <v>Bobby Portis</v>
      </c>
      <c r="B135" s="42">
        <f t="shared" si="4"/>
        <v>-0.6082215442</v>
      </c>
      <c r="C135" s="43">
        <f t="shared" si="5"/>
        <v>-0.4468706937</v>
      </c>
      <c r="D135" s="42">
        <f t="shared" si="6"/>
        <v>0.8751896975</v>
      </c>
      <c r="E135" s="42">
        <f t="shared" si="7"/>
        <v>-1.155337874</v>
      </c>
      <c r="F135" s="42">
        <f t="shared" si="8"/>
        <v>-0.9166617668</v>
      </c>
      <c r="G135" s="42">
        <f t="shared" si="9"/>
        <v>-0.7939110449</v>
      </c>
      <c r="H135" s="42">
        <f t="shared" si="10"/>
        <v>0.06899670282</v>
      </c>
      <c r="I135" s="42">
        <f>UpdateHashtag!S133</f>
        <v>11.5</v>
      </c>
      <c r="J135" s="47">
        <f t="shared" si="11"/>
        <v>-0.1078490901</v>
      </c>
      <c r="K135" s="48">
        <f>UpdateHashtag!T133</f>
        <v>1.7</v>
      </c>
      <c r="L135" s="42">
        <f t="shared" si="12"/>
        <v>-0.643430979</v>
      </c>
      <c r="N135" s="100">
        <f t="shared" si="13"/>
        <v>129</v>
      </c>
      <c r="O135" s="94">
        <f t="array" ref="O135">INDIRECT("Update"&amp;Projections!$AH$17&amp;"!B"&amp;ROW(B116))</f>
        <v>106.7</v>
      </c>
      <c r="P135" s="101" t="str">
        <f t="array" ref="P135">INDIRECT("Update"&amp;Projections!$AH$17&amp;"!C"&amp;ROW(B116))</f>
        <v>John Collins</v>
      </c>
      <c r="Q135" s="94">
        <f>UpdateBBM!F116</f>
        <v>71</v>
      </c>
      <c r="R135" s="105" t="str">
        <f t="array" ref="R135">INDIRECT("Update"&amp;Projections!$AH$17&amp;"!D"&amp;ROW(B116))</f>
        <v>PF,C</v>
      </c>
      <c r="S135" s="73">
        <f t="shared" si="14"/>
        <v>-1.393180958</v>
      </c>
      <c r="T135" s="73">
        <f>SUM(AE135:AM135)-IFERROR(IFS(Projections!$I$17,AN135,Projections!$J$17,AO135),"")</f>
        <v>-1.393180958</v>
      </c>
      <c r="U135" s="73">
        <f t="shared" si="15"/>
        <v>0</v>
      </c>
      <c r="V135" s="73">
        <f t="array" ref="V135">INDIRECT("Update"&amp;Projections!$AH$17&amp;"!M"&amp;ROW(B116))</f>
        <v>13.7</v>
      </c>
      <c r="W135" s="73">
        <f t="array" ref="W135">INDIRECT("Update"&amp;Projections!$AH$17&amp;"!L"&amp;ROW(B116))</f>
        <v>1.1</v>
      </c>
      <c r="X135" s="73">
        <f t="array" ref="X135">INDIRECT("Update"&amp;Projections!$AH$17&amp;"!N"&amp;ROW(B116))</f>
        <v>7.3</v>
      </c>
      <c r="Y135" s="73">
        <f t="array" ref="Y135">INDIRECT("Update"&amp;Projections!$AH$17&amp;"!O"&amp;ROW(B116))</f>
        <v>1.1</v>
      </c>
      <c r="Z135" s="73">
        <f t="array" ref="Z135">INDIRECT("Update"&amp;Projections!$AH$17&amp;"!P"&amp;ROW(B116))</f>
        <v>0.6</v>
      </c>
      <c r="AA135" s="73">
        <f t="array" ref="AA135">INDIRECT("Update"&amp;Projections!$AH$17&amp;"!Q"&amp;ROW(B116))</f>
        <v>0.9</v>
      </c>
      <c r="AB135" s="107">
        <f t="array" ref="AB135">INDIRECT("Update"&amp;Projections!$AH$17&amp;"!I"&amp;ROW(B116))</f>
        <v>0.52</v>
      </c>
      <c r="AC135" s="107">
        <f t="array" ref="AC135">INDIRECT("Update"&amp;Projections!$AH$17&amp;"!K"&amp;ROW(B116))</f>
        <v>0.796</v>
      </c>
      <c r="AD135" s="73">
        <f t="array" ref="AD135">INDIRECT("Update"&amp;Projections!$AH$17&amp;"!R"&amp;ROW(B116))</f>
        <v>1.2</v>
      </c>
      <c r="AE135" s="73">
        <f t="shared" si="16"/>
        <v>-0.6804807521</v>
      </c>
      <c r="AF135" s="73">
        <f t="shared" si="17"/>
        <v>-0.6459192917</v>
      </c>
      <c r="AG135" s="73">
        <f t="shared" si="18"/>
        <v>0.4829259862</v>
      </c>
      <c r="AH135" s="73">
        <f t="shared" si="19"/>
        <v>-1.292023185</v>
      </c>
      <c r="AI135" s="73">
        <f t="shared" si="20"/>
        <v>-1.248594445</v>
      </c>
      <c r="AJ135" s="73">
        <f t="shared" si="21"/>
        <v>0.2764511674</v>
      </c>
      <c r="AK135" s="73">
        <f t="shared" si="22"/>
        <v>0.2763764434</v>
      </c>
      <c r="AL135" s="73">
        <f t="shared" si="23"/>
        <v>0.01000040275</v>
      </c>
      <c r="AM135" s="73">
        <f t="shared" si="24"/>
        <v>0.1360595313</v>
      </c>
      <c r="AN135" s="120">
        <f t="shared" si="25"/>
        <v>-1.292023185</v>
      </c>
      <c r="AO135" s="120">
        <f t="shared" si="26"/>
        <v>-2.54061763</v>
      </c>
      <c r="AP135" s="120">
        <f t="array" ref="AP135">INDIRECT("Update"&amp;Projections!$AH$17&amp;"!S"&amp;ROW(B116))</f>
        <v>10.2</v>
      </c>
      <c r="AQ135" s="120">
        <f t="array" ref="AQ135">INDIRECT("Update"&amp;Projections!$AH$17&amp;"!T"&amp;ROW(B116))</f>
        <v>2.6</v>
      </c>
      <c r="AR135" s="100">
        <f t="shared" si="27"/>
        <v>-0.7924526544</v>
      </c>
    </row>
    <row r="136">
      <c r="A136" s="40" t="str">
        <f t="shared" si="3"/>
        <v>Keyonte George</v>
      </c>
      <c r="B136" s="42">
        <f t="shared" si="4"/>
        <v>-0.2107959011</v>
      </c>
      <c r="C136" s="43">
        <f t="shared" si="5"/>
        <v>0.6478965957</v>
      </c>
      <c r="D136" s="42">
        <f t="shared" si="6"/>
        <v>-1.086128859</v>
      </c>
      <c r="E136" s="42">
        <f t="shared" si="7"/>
        <v>0.5760094022</v>
      </c>
      <c r="F136" s="42">
        <f t="shared" si="8"/>
        <v>-1.248594445</v>
      </c>
      <c r="G136" s="42">
        <f t="shared" si="9"/>
        <v>-0.9723047469</v>
      </c>
      <c r="H136" s="42">
        <f t="shared" si="10"/>
        <v>-1.132108642</v>
      </c>
      <c r="I136" s="42">
        <f>UpdateHashtag!S134</f>
        <v>12.9</v>
      </c>
      <c r="J136" s="47">
        <f t="shared" si="11"/>
        <v>0.6951851267</v>
      </c>
      <c r="K136" s="48">
        <f>UpdateHashtag!T134</f>
        <v>3.5</v>
      </c>
      <c r="L136" s="42">
        <f t="shared" si="12"/>
        <v>0.8444618296</v>
      </c>
      <c r="N136" s="100">
        <f t="shared" si="13"/>
        <v>108</v>
      </c>
      <c r="O136" s="94">
        <f t="array" ref="O136">INDIRECT("Update"&amp;Projections!$AH$17&amp;"!B"&amp;ROW(B117))</f>
        <v>103.8</v>
      </c>
      <c r="P136" s="101" t="str">
        <f t="array" ref="P136">INDIRECT("Update"&amp;Projections!$AH$17&amp;"!C"&amp;ROW(B117))</f>
        <v>Chris Paul</v>
      </c>
      <c r="Q136" s="94">
        <f>UpdateBBM!F117</f>
        <v>66</v>
      </c>
      <c r="R136" s="105" t="str">
        <f t="array" ref="R136">INDIRECT("Update"&amp;Projections!$AH$17&amp;"!D"&amp;ROW(B117))</f>
        <v>PG</v>
      </c>
      <c r="S136" s="73">
        <f t="shared" si="14"/>
        <v>-0.566361578</v>
      </c>
      <c r="T136" s="73">
        <f>SUM(AE136:AM136)-IFERROR(IFS(Projections!$I$17,AN136,Projections!$J$17,AO136),"")</f>
        <v>-0.566361578</v>
      </c>
      <c r="U136" s="73">
        <f t="shared" si="15"/>
        <v>0</v>
      </c>
      <c r="V136" s="73">
        <f t="array" ref="V136">INDIRECT("Update"&amp;Projections!$AH$17&amp;"!M"&amp;ROW(B117))</f>
        <v>10.2</v>
      </c>
      <c r="W136" s="73">
        <f t="array" ref="W136">INDIRECT("Update"&amp;Projections!$AH$17&amp;"!L"&amp;ROW(B117))</f>
        <v>1.3</v>
      </c>
      <c r="X136" s="73">
        <f t="array" ref="X136">INDIRECT("Update"&amp;Projections!$AH$17&amp;"!N"&amp;ROW(B117))</f>
        <v>3.6</v>
      </c>
      <c r="Y136" s="73">
        <f t="array" ref="Y136">INDIRECT("Update"&amp;Projections!$AH$17&amp;"!O"&amp;ROW(B117))</f>
        <v>6.9</v>
      </c>
      <c r="Z136" s="73">
        <f t="array" ref="Z136">INDIRECT("Update"&amp;Projections!$AH$17&amp;"!P"&amp;ROW(B117))</f>
        <v>1.2</v>
      </c>
      <c r="AA136" s="73">
        <f t="array" ref="AA136">INDIRECT("Update"&amp;Projections!$AH$17&amp;"!Q"&amp;ROW(B117))</f>
        <v>0.2</v>
      </c>
      <c r="AB136" s="107">
        <f t="array" ref="AB136">INDIRECT("Update"&amp;Projections!$AH$17&amp;"!I"&amp;ROW(B117))</f>
        <v>0.441</v>
      </c>
      <c r="AC136" s="107">
        <f t="array" ref="AC136">INDIRECT("Update"&amp;Projections!$AH$17&amp;"!K"&amp;ROW(B117))</f>
        <v>0.831</v>
      </c>
      <c r="AD136" s="73">
        <f t="array" ref="AD136">INDIRECT("Update"&amp;Projections!$AH$17&amp;"!R"&amp;ROW(B117))</f>
        <v>1.4</v>
      </c>
      <c r="AE136" s="73">
        <f t="shared" si="16"/>
        <v>-1.312748821</v>
      </c>
      <c r="AF136" s="73">
        <f t="shared" si="17"/>
        <v>-0.4468706937</v>
      </c>
      <c r="AG136" s="73">
        <f t="shared" si="18"/>
        <v>-0.9684497454</v>
      </c>
      <c r="AH136" s="73">
        <f t="shared" si="19"/>
        <v>1.350559499</v>
      </c>
      <c r="AI136" s="73">
        <f t="shared" si="20"/>
        <v>0.743001624</v>
      </c>
      <c r="AJ136" s="73">
        <f t="shared" si="21"/>
        <v>-0.9723047469</v>
      </c>
      <c r="AK136" s="73">
        <f t="shared" si="22"/>
        <v>-0.5632341452</v>
      </c>
      <c r="AL136" s="73">
        <f t="shared" si="23"/>
        <v>0.2044735256</v>
      </c>
      <c r="AM136" s="73">
        <f t="shared" si="24"/>
        <v>0.08646310432</v>
      </c>
      <c r="AN136" s="120">
        <f t="shared" si="25"/>
        <v>-1.312748821</v>
      </c>
      <c r="AO136" s="120">
        <f t="shared" si="26"/>
        <v>-2.285053568</v>
      </c>
      <c r="AP136" s="120">
        <f t="array" ref="AP136">INDIRECT("Update"&amp;Projections!$AH$17&amp;"!S"&amp;ROW(B117))</f>
        <v>8.6</v>
      </c>
      <c r="AQ136" s="120">
        <f t="array" ref="AQ136">INDIRECT("Update"&amp;Projections!$AH$17&amp;"!T"&amp;ROW(B117))</f>
        <v>1.6</v>
      </c>
      <c r="AR136" s="100">
        <f t="shared" si="27"/>
        <v>-0.8136128793</v>
      </c>
    </row>
    <row r="137">
      <c r="A137" s="40" t="str">
        <f t="shared" si="3"/>
        <v>Kentavious Caldwell-Pope</v>
      </c>
      <c r="B137" s="42">
        <f t="shared" si="4"/>
        <v>-1.330813623</v>
      </c>
      <c r="C137" s="43">
        <f t="shared" si="5"/>
        <v>-0.04877349754</v>
      </c>
      <c r="D137" s="42">
        <f t="shared" si="6"/>
        <v>-1.399939828</v>
      </c>
      <c r="E137" s="42">
        <f t="shared" si="7"/>
        <v>-0.74528194</v>
      </c>
      <c r="F137" s="42">
        <f t="shared" si="8"/>
        <v>1.074934302</v>
      </c>
      <c r="G137" s="42">
        <f t="shared" si="9"/>
        <v>-0.4371236408</v>
      </c>
      <c r="H137" s="42">
        <f t="shared" si="10"/>
        <v>-0.3280081287</v>
      </c>
      <c r="I137" s="42">
        <f>UpdateHashtag!S135</f>
        <v>7.8</v>
      </c>
      <c r="J137" s="47">
        <f t="shared" si="11"/>
        <v>0.3510577592</v>
      </c>
      <c r="K137" s="48">
        <f>UpdateHashtag!T135</f>
        <v>1.5</v>
      </c>
      <c r="L137" s="42">
        <f t="shared" si="12"/>
        <v>-0.7426238329</v>
      </c>
      <c r="N137" s="100">
        <f t="shared" si="13"/>
        <v>91</v>
      </c>
      <c r="O137" s="94">
        <f t="array" ref="O137">INDIRECT("Update"&amp;Projections!$AH$17&amp;"!B"&amp;ROW(B118))</f>
        <v>84.2</v>
      </c>
      <c r="P137" s="101" t="str">
        <f t="array" ref="P137">INDIRECT("Update"&amp;Projections!$AH$17&amp;"!C"&amp;ROW(B118))</f>
        <v>Jusuf Nurkic</v>
      </c>
      <c r="Q137" s="94">
        <f>UpdateBBM!F118</f>
        <v>66</v>
      </c>
      <c r="R137" s="105" t="str">
        <f t="array" ref="R137">INDIRECT("Update"&amp;Projections!$AH$17&amp;"!D"&amp;ROW(B118))</f>
        <v>C</v>
      </c>
      <c r="S137" s="73">
        <f t="shared" si="14"/>
        <v>-0.05428493235</v>
      </c>
      <c r="T137" s="73">
        <f>SUM(AE137:AM137)-IFERROR(IFS(Projections!$I$17,AN137,Projections!$J$17,AO137),"")</f>
        <v>-0.05428493235</v>
      </c>
      <c r="U137" s="73">
        <f t="shared" si="15"/>
        <v>0</v>
      </c>
      <c r="V137" s="73">
        <f t="array" ref="V137">INDIRECT("Update"&amp;Projections!$AH$17&amp;"!M"&amp;ROW(B118))</f>
        <v>12.2</v>
      </c>
      <c r="W137" s="73">
        <f t="array" ref="W137">INDIRECT("Update"&amp;Projections!$AH$17&amp;"!L"&amp;ROW(B118))</f>
        <v>0.5</v>
      </c>
      <c r="X137" s="73">
        <f t="array" ref="X137">INDIRECT("Update"&amp;Projections!$AH$17&amp;"!N"&amp;ROW(B118))</f>
        <v>10.5</v>
      </c>
      <c r="Y137" s="73">
        <f t="array" ref="Y137">INDIRECT("Update"&amp;Projections!$AH$17&amp;"!O"&amp;ROW(B118))</f>
        <v>3.6</v>
      </c>
      <c r="Z137" s="73">
        <f t="array" ref="Z137">INDIRECT("Update"&amp;Projections!$AH$17&amp;"!P"&amp;ROW(B118))</f>
        <v>1</v>
      </c>
      <c r="AA137" s="73">
        <f t="array" ref="AA137">INDIRECT("Update"&amp;Projections!$AH$17&amp;"!Q"&amp;ROW(B118))</f>
        <v>1</v>
      </c>
      <c r="AB137" s="107">
        <f t="array" ref="AB137">INDIRECT("Update"&amp;Projections!$AH$17&amp;"!I"&amp;ROW(B118))</f>
        <v>0.514</v>
      </c>
      <c r="AC137" s="107">
        <f t="array" ref="AC137">INDIRECT("Update"&amp;Projections!$AH$17&amp;"!K"&amp;ROW(B118))</f>
        <v>0.647</v>
      </c>
      <c r="AD137" s="73">
        <f t="array" ref="AD137">INDIRECT("Update"&amp;Projections!$AH$17&amp;"!R"&amp;ROW(B118))</f>
        <v>2.4</v>
      </c>
      <c r="AE137" s="73">
        <f t="shared" si="16"/>
        <v>-0.9514527815</v>
      </c>
      <c r="AF137" s="73">
        <f t="shared" si="17"/>
        <v>-1.243065086</v>
      </c>
      <c r="AG137" s="73">
        <f t="shared" si="18"/>
        <v>1.738169862</v>
      </c>
      <c r="AH137" s="73">
        <f t="shared" si="19"/>
        <v>-0.1529789245</v>
      </c>
      <c r="AI137" s="73">
        <f t="shared" si="20"/>
        <v>0.07913626764</v>
      </c>
      <c r="AJ137" s="73">
        <f t="shared" si="21"/>
        <v>0.4548448695</v>
      </c>
      <c r="AK137" s="73">
        <f t="shared" si="22"/>
        <v>0.1825798907</v>
      </c>
      <c r="AL137" s="73">
        <f t="shared" si="23"/>
        <v>-1.88577013</v>
      </c>
      <c r="AM137" s="73">
        <f t="shared" si="24"/>
        <v>-0.1615190304</v>
      </c>
      <c r="AN137" s="120">
        <f t="shared" si="25"/>
        <v>-1.88577013</v>
      </c>
      <c r="AO137" s="120">
        <f t="shared" si="26"/>
        <v>-3.128835215</v>
      </c>
      <c r="AP137" s="120">
        <f t="array" ref="AP137">INDIRECT("Update"&amp;Projections!$AH$17&amp;"!S"&amp;ROW(B118))</f>
        <v>9.1</v>
      </c>
      <c r="AQ137" s="120">
        <f t="array" ref="AQ137">INDIRECT("Update"&amp;Projections!$AH$17&amp;"!T"&amp;ROW(B118))</f>
        <v>3.6</v>
      </c>
      <c r="AR137" s="100">
        <f t="shared" si="27"/>
        <v>-0.8554246332</v>
      </c>
    </row>
    <row r="138">
      <c r="A138" s="40" t="str">
        <f t="shared" si="3"/>
        <v>Alexandre Sarr</v>
      </c>
      <c r="B138" s="42">
        <f t="shared" si="4"/>
        <v>-0.9514527815</v>
      </c>
      <c r="C138" s="43">
        <f t="shared" si="5"/>
        <v>-0.8449678898</v>
      </c>
      <c r="D138" s="42">
        <f t="shared" si="6"/>
        <v>0.1298886461</v>
      </c>
      <c r="E138" s="42">
        <f t="shared" si="7"/>
        <v>-1.200899644</v>
      </c>
      <c r="F138" s="42">
        <f t="shared" si="8"/>
        <v>-0.5847290887</v>
      </c>
      <c r="G138" s="42">
        <f t="shared" si="9"/>
        <v>2.060388188</v>
      </c>
      <c r="H138" s="42">
        <f t="shared" si="10"/>
        <v>-0.5728833607</v>
      </c>
      <c r="I138" s="42">
        <f>UpdateHashtag!S136</f>
        <v>10</v>
      </c>
      <c r="J138" s="47">
        <f t="shared" si="11"/>
        <v>-1.010392474</v>
      </c>
      <c r="K138" s="48">
        <f>UpdateHashtag!T136</f>
        <v>3.4</v>
      </c>
      <c r="L138" s="42">
        <f t="shared" si="12"/>
        <v>-0.4450452712</v>
      </c>
      <c r="N138" s="100">
        <f t="shared" si="13"/>
        <v>122</v>
      </c>
      <c r="O138" s="94">
        <f t="array" ref="O138">INDIRECT("Update"&amp;Projections!$AH$17&amp;"!B"&amp;ROW(B119))</f>
        <v>124</v>
      </c>
      <c r="P138" s="101" t="str">
        <f t="array" ref="P138">INDIRECT("Update"&amp;Projections!$AH$17&amp;"!C"&amp;ROW(B119))</f>
        <v>Cameron Johnson</v>
      </c>
      <c r="Q138" s="94">
        <f>UpdateBBM!F119</f>
        <v>66</v>
      </c>
      <c r="R138" s="105" t="str">
        <f t="array" ref="R138">INDIRECT("Update"&amp;Projections!$AH$17&amp;"!D"&amp;ROW(B119))</f>
        <v>SF,PF</v>
      </c>
      <c r="S138" s="73">
        <f t="shared" si="14"/>
        <v>-1.225823399</v>
      </c>
      <c r="T138" s="73">
        <f>SUM(AE138:AM138)-IFERROR(IFS(Projections!$I$17,AN138,Projections!$J$17,AO138),"")</f>
        <v>-1.225823399</v>
      </c>
      <c r="U138" s="73">
        <f t="shared" si="15"/>
        <v>0</v>
      </c>
      <c r="V138" s="73">
        <f t="array" ref="V138">INDIRECT("Update"&amp;Projections!$AH$17&amp;"!M"&amp;ROW(B119))</f>
        <v>14.7</v>
      </c>
      <c r="W138" s="73">
        <f t="array" ref="W138">INDIRECT("Update"&amp;Projections!$AH$17&amp;"!L"&amp;ROW(B119))</f>
        <v>2.5</v>
      </c>
      <c r="X138" s="73">
        <f t="array" ref="X138">INDIRECT("Update"&amp;Projections!$AH$17&amp;"!N"&amp;ROW(B119))</f>
        <v>4.5</v>
      </c>
      <c r="Y138" s="73">
        <f t="array" ref="Y138">INDIRECT("Update"&amp;Projections!$AH$17&amp;"!O"&amp;ROW(B119))</f>
        <v>2.2</v>
      </c>
      <c r="Z138" s="73">
        <f t="array" ref="Z138">INDIRECT("Update"&amp;Projections!$AH$17&amp;"!P"&amp;ROW(B119))</f>
        <v>1</v>
      </c>
      <c r="AA138" s="73">
        <f t="array" ref="AA138">INDIRECT("Update"&amp;Projections!$AH$17&amp;"!Q"&amp;ROW(B119))</f>
        <v>0.3</v>
      </c>
      <c r="AB138" s="107">
        <f t="array" ref="AB138">INDIRECT("Update"&amp;Projections!$AH$17&amp;"!I"&amp;ROW(B119))</f>
        <v>0.457</v>
      </c>
      <c r="AC138" s="107">
        <f t="array" ref="AC138">INDIRECT("Update"&amp;Projections!$AH$17&amp;"!K"&amp;ROW(B119))</f>
        <v>0.818</v>
      </c>
      <c r="AD138" s="73">
        <f t="array" ref="AD138">INDIRECT("Update"&amp;Projections!$AH$17&amp;"!R"&amp;ROW(B119))</f>
        <v>1</v>
      </c>
      <c r="AE138" s="73">
        <f t="shared" si="16"/>
        <v>-0.4998327325</v>
      </c>
      <c r="AF138" s="73">
        <f t="shared" si="17"/>
        <v>0.7474208947</v>
      </c>
      <c r="AG138" s="73">
        <f t="shared" si="18"/>
        <v>-0.6154124053</v>
      </c>
      <c r="AH138" s="73">
        <f t="shared" si="19"/>
        <v>-0.7908437104</v>
      </c>
      <c r="AI138" s="73">
        <f t="shared" si="20"/>
        <v>0.07913626764</v>
      </c>
      <c r="AJ138" s="73">
        <f t="shared" si="21"/>
        <v>-0.7939110449</v>
      </c>
      <c r="AK138" s="73">
        <f t="shared" si="22"/>
        <v>-0.5281657047</v>
      </c>
      <c r="AL138" s="73">
        <f t="shared" si="23"/>
        <v>0.1962180336</v>
      </c>
      <c r="AM138" s="73">
        <f t="shared" si="24"/>
        <v>0.1856559582</v>
      </c>
      <c r="AN138" s="120">
        <f t="shared" si="25"/>
        <v>-0.7939110449</v>
      </c>
      <c r="AO138" s="120">
        <f t="shared" si="26"/>
        <v>-1.584754755</v>
      </c>
      <c r="AP138" s="120">
        <f t="array" ref="AP138">INDIRECT("Update"&amp;Projections!$AH$17&amp;"!S"&amp;ROW(B119))</f>
        <v>11.3</v>
      </c>
      <c r="AQ138" s="120">
        <f t="array" ref="AQ138">INDIRECT("Update"&amp;Projections!$AH$17&amp;"!T"&amp;ROW(B119))</f>
        <v>2.4</v>
      </c>
      <c r="AR138" s="100">
        <f t="shared" si="27"/>
        <v>-0.8575874376</v>
      </c>
    </row>
    <row r="139">
      <c r="A139" s="40" t="str">
        <f t="shared" si="3"/>
        <v>Jaden Ivey</v>
      </c>
      <c r="B139" s="42">
        <f t="shared" si="4"/>
        <v>0.1685649402</v>
      </c>
      <c r="C139" s="43">
        <f t="shared" si="5"/>
        <v>0.4488479976</v>
      </c>
      <c r="D139" s="42">
        <f t="shared" si="6"/>
        <v>-0.9292233743</v>
      </c>
      <c r="E139" s="42">
        <f t="shared" si="7"/>
        <v>0.3026387797</v>
      </c>
      <c r="F139" s="42">
        <f t="shared" si="8"/>
        <v>-0.5847290887</v>
      </c>
      <c r="G139" s="42">
        <f t="shared" si="9"/>
        <v>-0.2587299387</v>
      </c>
      <c r="H139" s="42">
        <f t="shared" si="10"/>
        <v>-1.07336035</v>
      </c>
      <c r="I139" s="42">
        <f>UpdateHashtag!S137</f>
        <v>14.8</v>
      </c>
      <c r="J139" s="47">
        <f t="shared" si="11"/>
        <v>-0.5596191604</v>
      </c>
      <c r="K139" s="48">
        <f>UpdateHashtag!T137</f>
        <v>4.4</v>
      </c>
      <c r="L139" s="42">
        <f t="shared" si="12"/>
        <v>0.9436546835</v>
      </c>
      <c r="N139" s="100">
        <f t="shared" si="13"/>
        <v>106</v>
      </c>
      <c r="O139" s="94">
        <f t="array" ref="O139">INDIRECT("Update"&amp;Projections!$AH$17&amp;"!B"&amp;ROW(B120))</f>
        <v>105.4</v>
      </c>
      <c r="P139" s="101" t="str">
        <f t="array" ref="P139">INDIRECT("Update"&amp;Projections!$AH$17&amp;"!C"&amp;ROW(B120))</f>
        <v>Terry Rozier</v>
      </c>
      <c r="Q139" s="94">
        <f>UpdateBBM!F120</f>
        <v>66</v>
      </c>
      <c r="R139" s="105" t="str">
        <f t="array" ref="R139">INDIRECT("Update"&amp;Projections!$AH$17&amp;"!D"&amp;ROW(B120))</f>
        <v>PG</v>
      </c>
      <c r="S139" s="73">
        <f t="shared" si="14"/>
        <v>-0.4787665838</v>
      </c>
      <c r="T139" s="73">
        <f>SUM(AE139:AM139)-IFERROR(IFS(Projections!$I$17,AN139,Projections!$J$17,AO139),"")</f>
        <v>-0.4787665838</v>
      </c>
      <c r="U139" s="73">
        <f t="shared" si="15"/>
        <v>0</v>
      </c>
      <c r="V139" s="73">
        <f t="array" ref="V139">INDIRECT("Update"&amp;Projections!$AH$17&amp;"!M"&amp;ROW(B120))</f>
        <v>17.7</v>
      </c>
      <c r="W139" s="73">
        <f t="array" ref="W139">INDIRECT("Update"&amp;Projections!$AH$17&amp;"!L"&amp;ROW(B120))</f>
        <v>2.2</v>
      </c>
      <c r="X139" s="73">
        <f t="array" ref="X139">INDIRECT("Update"&amp;Projections!$AH$17&amp;"!N"&amp;ROW(B120))</f>
        <v>3.5</v>
      </c>
      <c r="Y139" s="73">
        <f t="array" ref="Y139">INDIRECT("Update"&amp;Projections!$AH$17&amp;"!O"&amp;ROW(B120))</f>
        <v>4.5</v>
      </c>
      <c r="Z139" s="73">
        <f t="array" ref="Z139">INDIRECT("Update"&amp;Projections!$AH$17&amp;"!P"&amp;ROW(B120))</f>
        <v>1</v>
      </c>
      <c r="AA139" s="73">
        <f t="array" ref="AA139">INDIRECT("Update"&amp;Projections!$AH$17&amp;"!Q"&amp;ROW(B120))</f>
        <v>0.3</v>
      </c>
      <c r="AB139" s="107">
        <f t="array" ref="AB139">INDIRECT("Update"&amp;Projections!$AH$17&amp;"!I"&amp;ROW(B120))</f>
        <v>0.435</v>
      </c>
      <c r="AC139" s="107">
        <f t="array" ref="AC139">INDIRECT("Update"&amp;Projections!$AH$17&amp;"!K"&amp;ROW(B120))</f>
        <v>0.842</v>
      </c>
      <c r="AD139" s="73">
        <f t="array" ref="AD139">INDIRECT("Update"&amp;Projections!$AH$17&amp;"!R"&amp;ROW(B120))</f>
        <v>1.7</v>
      </c>
      <c r="AE139" s="73">
        <f t="shared" si="16"/>
        <v>0.04211132643</v>
      </c>
      <c r="AF139" s="73">
        <f t="shared" si="17"/>
        <v>0.4488479976</v>
      </c>
      <c r="AG139" s="73">
        <f t="shared" si="18"/>
        <v>-1.007676117</v>
      </c>
      <c r="AH139" s="73">
        <f t="shared" si="19"/>
        <v>0.2570770093</v>
      </c>
      <c r="AI139" s="73">
        <f t="shared" si="20"/>
        <v>0.07913626764</v>
      </c>
      <c r="AJ139" s="73">
        <f t="shared" si="21"/>
        <v>-0.7939110449</v>
      </c>
      <c r="AK139" s="73">
        <f t="shared" si="22"/>
        <v>-1.087865219</v>
      </c>
      <c r="AL139" s="73">
        <f t="shared" si="23"/>
        <v>0.4835795127</v>
      </c>
      <c r="AM139" s="73">
        <f t="shared" si="24"/>
        <v>0.01206846389</v>
      </c>
      <c r="AN139" s="120">
        <f t="shared" si="25"/>
        <v>-1.087865219</v>
      </c>
      <c r="AO139" s="120">
        <f t="shared" si="26"/>
        <v>-2.095541336</v>
      </c>
      <c r="AP139" s="120">
        <f t="array" ref="AP139">INDIRECT("Update"&amp;Projections!$AH$17&amp;"!S"&amp;ROW(B120))</f>
        <v>15</v>
      </c>
      <c r="AQ139" s="120">
        <f t="array" ref="AQ139">INDIRECT("Update"&amp;Projections!$AH$17&amp;"!T"&amp;ROW(B120))</f>
        <v>2.9</v>
      </c>
      <c r="AR139" s="100">
        <f t="shared" si="27"/>
        <v>-0.8864779357</v>
      </c>
    </row>
    <row r="140">
      <c r="A140" s="40" t="str">
        <f t="shared" si="3"/>
        <v>RJ Barrett</v>
      </c>
      <c r="B140" s="42">
        <f t="shared" si="4"/>
        <v>0.6743793951</v>
      </c>
      <c r="C140" s="43">
        <f t="shared" si="5"/>
        <v>-0.1482977966</v>
      </c>
      <c r="D140" s="42">
        <f t="shared" si="6"/>
        <v>0.1298886461</v>
      </c>
      <c r="E140" s="42">
        <f t="shared" si="7"/>
        <v>-0.06185538369</v>
      </c>
      <c r="F140" s="42">
        <f t="shared" si="8"/>
        <v>-1.248594445</v>
      </c>
      <c r="G140" s="42">
        <f t="shared" si="9"/>
        <v>-0.6155173428</v>
      </c>
      <c r="H140" s="42">
        <f t="shared" si="10"/>
        <v>-0.2842769714</v>
      </c>
      <c r="I140" s="42">
        <f>UpdateHashtag!S138</f>
        <v>16.3</v>
      </c>
      <c r="J140" s="47">
        <f t="shared" si="11"/>
        <v>-1.317886096</v>
      </c>
      <c r="K140" s="48">
        <f>UpdateHashtag!T138</f>
        <v>5.4</v>
      </c>
      <c r="L140" s="42">
        <f t="shared" si="12"/>
        <v>0.5468832679</v>
      </c>
      <c r="N140" s="100">
        <f t="shared" si="13"/>
        <v>93</v>
      </c>
      <c r="O140" s="94">
        <f t="array" ref="O140">INDIRECT("Update"&amp;Projections!$AH$17&amp;"!B"&amp;ROW(B121))</f>
        <v>142</v>
      </c>
      <c r="P140" s="101" t="str">
        <f t="array" ref="P140">INDIRECT("Update"&amp;Projections!$AH$17&amp;"!C"&amp;ROW(B121))</f>
        <v>De'Anthony Melton</v>
      </c>
      <c r="Q140" s="94">
        <f>UpdateBBM!F121</f>
        <v>58</v>
      </c>
      <c r="R140" s="105" t="str">
        <f t="array" ref="R140">INDIRECT("Update"&amp;Projections!$AH$17&amp;"!D"&amp;ROW(B121))</f>
        <v>PG,SG</v>
      </c>
      <c r="S140" s="73">
        <f t="shared" si="14"/>
        <v>-0.1075737017</v>
      </c>
      <c r="T140" s="73">
        <f>SUM(AE140:AM140)-IFERROR(IFS(Projections!$I$17,AN140,Projections!$J$17,AO140),"")</f>
        <v>-0.1075737017</v>
      </c>
      <c r="U140" s="73">
        <f t="shared" si="15"/>
        <v>0</v>
      </c>
      <c r="V140" s="73">
        <f t="array" ref="V140">INDIRECT("Update"&amp;Projections!$AH$17&amp;"!M"&amp;ROW(B121))</f>
        <v>10.1</v>
      </c>
      <c r="W140" s="73">
        <f t="array" ref="W140">INDIRECT("Update"&amp;Projections!$AH$17&amp;"!L"&amp;ROW(B121))</f>
        <v>2</v>
      </c>
      <c r="X140" s="73">
        <f t="array" ref="X140">INDIRECT("Update"&amp;Projections!$AH$17&amp;"!N"&amp;ROW(B121))</f>
        <v>3.8</v>
      </c>
      <c r="Y140" s="73">
        <f t="array" ref="Y140">INDIRECT("Update"&amp;Projections!$AH$17&amp;"!O"&amp;ROW(B121))</f>
        <v>2.6</v>
      </c>
      <c r="Z140" s="73">
        <f t="array" ref="Z140">INDIRECT("Update"&amp;Projections!$AH$17&amp;"!P"&amp;ROW(B121))</f>
        <v>1.6</v>
      </c>
      <c r="AA140" s="73">
        <f t="array" ref="AA140">INDIRECT("Update"&amp;Projections!$AH$17&amp;"!Q"&amp;ROW(B121))</f>
        <v>0.5</v>
      </c>
      <c r="AB140" s="107">
        <f t="array" ref="AB140">INDIRECT("Update"&amp;Projections!$AH$17&amp;"!I"&amp;ROW(B121))</f>
        <v>0.42</v>
      </c>
      <c r="AC140" s="107">
        <f t="array" ref="AC140">INDIRECT("Update"&amp;Projections!$AH$17&amp;"!K"&amp;ROW(B121))</f>
        <v>0.819</v>
      </c>
      <c r="AD140" s="73">
        <f t="array" ref="AD140">INDIRECT("Update"&amp;Projections!$AH$17&amp;"!R"&amp;ROW(B121))</f>
        <v>1.2</v>
      </c>
      <c r="AE140" s="73">
        <f t="shared" si="16"/>
        <v>-1.330813623</v>
      </c>
      <c r="AF140" s="73">
        <f t="shared" si="17"/>
        <v>0.2497993996</v>
      </c>
      <c r="AG140" s="73">
        <f t="shared" si="18"/>
        <v>-0.8899970031</v>
      </c>
      <c r="AH140" s="73">
        <f t="shared" si="19"/>
        <v>-0.6085966288</v>
      </c>
      <c r="AI140" s="73">
        <f t="shared" si="20"/>
        <v>2.070732337</v>
      </c>
      <c r="AJ140" s="73">
        <f t="shared" si="21"/>
        <v>-0.4371236408</v>
      </c>
      <c r="AK140" s="73">
        <f t="shared" si="22"/>
        <v>-0.7478662018</v>
      </c>
      <c r="AL140" s="73">
        <f t="shared" si="23"/>
        <v>0.1194185054</v>
      </c>
      <c r="AM140" s="73">
        <f t="shared" si="24"/>
        <v>0.1360595313</v>
      </c>
      <c r="AN140" s="120">
        <f t="shared" si="25"/>
        <v>-1.330813623</v>
      </c>
      <c r="AO140" s="120">
        <f t="shared" si="26"/>
        <v>-2.220810626</v>
      </c>
      <c r="AP140" s="120">
        <f t="array" ref="AP140">INDIRECT("Update"&amp;Projections!$AH$17&amp;"!S"&amp;ROW(B121))</f>
        <v>8.3</v>
      </c>
      <c r="AQ140" s="120">
        <f t="array" ref="AQ140">INDIRECT("Update"&amp;Projections!$AH$17&amp;"!T"&amp;ROW(B121))</f>
        <v>1.4</v>
      </c>
      <c r="AR140" s="100">
        <f t="shared" si="27"/>
        <v>-0.9243995943</v>
      </c>
    </row>
    <row r="141">
      <c r="A141" s="40" t="str">
        <f t="shared" si="3"/>
        <v>P.J. Washington</v>
      </c>
      <c r="B141" s="42">
        <f t="shared" si="4"/>
        <v>-0.9153231776</v>
      </c>
      <c r="C141" s="43">
        <f t="shared" si="5"/>
        <v>0.1502751005</v>
      </c>
      <c r="D141" s="42">
        <f t="shared" si="6"/>
        <v>-0.223148694</v>
      </c>
      <c r="E141" s="42">
        <f t="shared" si="7"/>
        <v>-0.8364054809</v>
      </c>
      <c r="F141" s="42">
        <f t="shared" si="8"/>
        <v>0.4110689458</v>
      </c>
      <c r="G141" s="42">
        <f t="shared" si="9"/>
        <v>0.2764511674</v>
      </c>
      <c r="H141" s="42">
        <f t="shared" si="10"/>
        <v>-0.8107296919</v>
      </c>
      <c r="I141" s="42">
        <f>UpdateHashtag!S139</f>
        <v>10.5</v>
      </c>
      <c r="J141" s="47">
        <f t="shared" si="11"/>
        <v>-0.6612508332</v>
      </c>
      <c r="K141" s="48">
        <f>UpdateHashtag!T139</f>
        <v>2.1</v>
      </c>
      <c r="L141" s="42">
        <f t="shared" si="12"/>
        <v>-0.3458524173</v>
      </c>
      <c r="N141" s="100">
        <f t="shared" si="13"/>
        <v>105</v>
      </c>
      <c r="O141" s="94">
        <f t="array" ref="O141">INDIRECT("Update"&amp;Projections!$AH$17&amp;"!B"&amp;ROW(B122))</f>
        <v>146.3</v>
      </c>
      <c r="P141" s="101" t="str">
        <f t="array" ref="P141">INDIRECT("Update"&amp;Projections!$AH$17&amp;"!C"&amp;ROW(B122))</f>
        <v>Keon Ellis</v>
      </c>
      <c r="Q141" s="94">
        <f>UpdateBBM!F122</f>
        <v>43</v>
      </c>
      <c r="R141" s="105" t="str">
        <f t="array" ref="R141">INDIRECT("Update"&amp;Projections!$AH$17&amp;"!D"&amp;ROW(B122))</f>
        <v>SG,SF</v>
      </c>
      <c r="S141" s="73">
        <f t="shared" si="14"/>
        <v>-0.4634599193</v>
      </c>
      <c r="T141" s="73">
        <f>SUM(AE141:AM141)-IFERROR(IFS(Projections!$I$17,AN141,Projections!$J$17,AO141),"")</f>
        <v>-0.4634599193</v>
      </c>
      <c r="U141" s="73">
        <f t="shared" si="15"/>
        <v>0</v>
      </c>
      <c r="V141" s="73">
        <f t="array" ref="V141">INDIRECT("Update"&amp;Projections!$AH$17&amp;"!M"&amp;ROW(B122))</f>
        <v>8.4</v>
      </c>
      <c r="W141" s="73">
        <f t="array" ref="W141">INDIRECT("Update"&amp;Projections!$AH$17&amp;"!L"&amp;ROW(B122))</f>
        <v>1.9</v>
      </c>
      <c r="X141" s="73">
        <f t="array" ref="X141">INDIRECT("Update"&amp;Projections!$AH$17&amp;"!N"&amp;ROW(B122))</f>
        <v>3.3</v>
      </c>
      <c r="Y141" s="73">
        <f t="array" ref="Y141">INDIRECT("Update"&amp;Projections!$AH$17&amp;"!O"&amp;ROW(B122))</f>
        <v>2.3</v>
      </c>
      <c r="Z141" s="73">
        <f t="array" ref="Z141">INDIRECT("Update"&amp;Projections!$AH$17&amp;"!P"&amp;ROW(B122))</f>
        <v>1.4</v>
      </c>
      <c r="AA141" s="73">
        <f t="array" ref="AA141">INDIRECT("Update"&amp;Projections!$AH$17&amp;"!Q"&amp;ROW(B122))</f>
        <v>0.8</v>
      </c>
      <c r="AB141" s="107">
        <f t="array" ref="AB141">INDIRECT("Update"&amp;Projections!$AH$17&amp;"!I"&amp;ROW(B122))</f>
        <v>0.461</v>
      </c>
      <c r="AC141" s="107">
        <f t="array" ref="AC141">INDIRECT("Update"&amp;Projections!$AH$17&amp;"!K"&amp;ROW(B122))</f>
        <v>0.735</v>
      </c>
      <c r="AD141" s="73">
        <f t="array" ref="AD141">INDIRECT("Update"&amp;Projections!$AH$17&amp;"!R"&amp;ROW(B122))</f>
        <v>1</v>
      </c>
      <c r="AE141" s="73">
        <f t="shared" si="16"/>
        <v>-1.637915256</v>
      </c>
      <c r="AF141" s="73">
        <f t="shared" si="17"/>
        <v>0.1502751005</v>
      </c>
      <c r="AG141" s="73">
        <f t="shared" si="18"/>
        <v>-1.086128859</v>
      </c>
      <c r="AH141" s="73">
        <f t="shared" si="19"/>
        <v>-0.74528194</v>
      </c>
      <c r="AI141" s="73">
        <f t="shared" si="20"/>
        <v>1.40686698</v>
      </c>
      <c r="AJ141" s="73">
        <f t="shared" si="21"/>
        <v>0.09805746537</v>
      </c>
      <c r="AK141" s="73">
        <f t="shared" si="22"/>
        <v>-0.26072441</v>
      </c>
      <c r="AL141" s="73">
        <f t="shared" si="23"/>
        <v>-0.2121802149</v>
      </c>
      <c r="AM141" s="73">
        <f t="shared" si="24"/>
        <v>0.1856559582</v>
      </c>
      <c r="AN141" s="120">
        <f t="shared" si="25"/>
        <v>-1.637915256</v>
      </c>
      <c r="AO141" s="120">
        <f t="shared" si="26"/>
        <v>-2.724044115</v>
      </c>
      <c r="AP141" s="120">
        <f t="array" ref="AP141">INDIRECT("Update"&amp;Projections!$AH$17&amp;"!S"&amp;ROW(B122))</f>
        <v>6.2</v>
      </c>
      <c r="AQ141" s="120">
        <f t="array" ref="AQ141">INDIRECT("Update"&amp;Projections!$AH$17&amp;"!T"&amp;ROW(B122))</f>
        <v>1</v>
      </c>
      <c r="AR141" s="100">
        <f t="shared" si="27"/>
        <v>-1.008937506</v>
      </c>
    </row>
    <row r="142">
      <c r="A142" s="40" t="str">
        <f t="shared" si="3"/>
        <v>Malik Monk</v>
      </c>
      <c r="B142" s="42">
        <f t="shared" si="4"/>
        <v>-0.5359623364</v>
      </c>
      <c r="C142" s="43">
        <f t="shared" si="5"/>
        <v>0.2497993996</v>
      </c>
      <c r="D142" s="42">
        <f t="shared" si="6"/>
        <v>-1.282260714</v>
      </c>
      <c r="E142" s="42">
        <f t="shared" si="7"/>
        <v>0.2570770093</v>
      </c>
      <c r="F142" s="42">
        <f t="shared" si="8"/>
        <v>-1.248594445</v>
      </c>
      <c r="G142" s="42">
        <f t="shared" si="9"/>
        <v>-0.6155173428</v>
      </c>
      <c r="H142" s="42">
        <f t="shared" si="10"/>
        <v>-0.6798086521</v>
      </c>
      <c r="I142" s="42">
        <f>UpdateHashtag!S140</f>
        <v>11.4</v>
      </c>
      <c r="J142" s="47">
        <f t="shared" si="11"/>
        <v>0.6453918455</v>
      </c>
      <c r="K142" s="48">
        <f>UpdateHashtag!T140</f>
        <v>2.8</v>
      </c>
      <c r="L142" s="42">
        <f t="shared" si="12"/>
        <v>0.2493047061</v>
      </c>
      <c r="N142" s="100">
        <f t="shared" si="13"/>
        <v>119</v>
      </c>
      <c r="O142" s="94">
        <f t="array" ref="O142">INDIRECT("Update"&amp;Projections!$AH$17&amp;"!B"&amp;ROW(B123))</f>
        <v>116.6</v>
      </c>
      <c r="P142" s="101" t="str">
        <f t="array" ref="P142">INDIRECT("Update"&amp;Projections!$AH$17&amp;"!C"&amp;ROW(B123))</f>
        <v>Brandin Podziemski</v>
      </c>
      <c r="Q142" s="94">
        <f>UpdateBBM!F123</f>
        <v>71</v>
      </c>
      <c r="R142" s="105" t="str">
        <f t="array" ref="R142">INDIRECT("Update"&amp;Projections!$AH$17&amp;"!D"&amp;ROW(B123))</f>
        <v>SG</v>
      </c>
      <c r="S142" s="73">
        <f t="shared" si="14"/>
        <v>-0.8864779357</v>
      </c>
      <c r="T142" s="73">
        <f>SUM(AE142:AM142)-IFERROR(IFS(Projections!$I$17,AN142,Projections!$J$17,AO142),"")</f>
        <v>-0.8864779357</v>
      </c>
      <c r="U142" s="73">
        <f t="shared" si="15"/>
        <v>0</v>
      </c>
      <c r="V142" s="73">
        <f t="array" ref="V142">INDIRECT("Update"&amp;Projections!$AH$17&amp;"!M"&amp;ROW(B123))</f>
        <v>11.2</v>
      </c>
      <c r="W142" s="73">
        <f t="array" ref="W142">INDIRECT("Update"&amp;Projections!$AH$17&amp;"!L"&amp;ROW(B123))</f>
        <v>1.5</v>
      </c>
      <c r="X142" s="73">
        <f t="array" ref="X142">INDIRECT("Update"&amp;Projections!$AH$17&amp;"!N"&amp;ROW(B123))</f>
        <v>6.9</v>
      </c>
      <c r="Y142" s="73">
        <f t="array" ref="Y142">INDIRECT("Update"&amp;Projections!$AH$17&amp;"!O"&amp;ROW(B123))</f>
        <v>4.4</v>
      </c>
      <c r="Z142" s="73">
        <f t="array" ref="Z142">INDIRECT("Update"&amp;Projections!$AH$17&amp;"!P"&amp;ROW(B123))</f>
        <v>1.2</v>
      </c>
      <c r="AA142" s="73">
        <f t="array" ref="AA142">INDIRECT("Update"&amp;Projections!$AH$17&amp;"!Q"&amp;ROW(B123))</f>
        <v>0.2</v>
      </c>
      <c r="AB142" s="107">
        <f t="array" ref="AB142">INDIRECT("Update"&amp;Projections!$AH$17&amp;"!I"&amp;ROW(B123))</f>
        <v>0.459</v>
      </c>
      <c r="AC142" s="107">
        <f t="array" ref="AC142">INDIRECT("Update"&amp;Projections!$AH$17&amp;"!K"&amp;ROW(B123))</f>
        <v>0.664</v>
      </c>
      <c r="AD142" s="73">
        <f t="array" ref="AD142">INDIRECT("Update"&amp;Projections!$AH$17&amp;"!R"&amp;ROW(B123))</f>
        <v>1.4</v>
      </c>
      <c r="AE142" s="73">
        <f t="shared" si="16"/>
        <v>-1.132100801</v>
      </c>
      <c r="AF142" s="73">
        <f t="shared" si="17"/>
        <v>-0.2478220956</v>
      </c>
      <c r="AG142" s="73">
        <f t="shared" si="18"/>
        <v>0.3260205017</v>
      </c>
      <c r="AH142" s="73">
        <f t="shared" si="19"/>
        <v>0.2115152388</v>
      </c>
      <c r="AI142" s="73">
        <f t="shared" si="20"/>
        <v>0.743001624</v>
      </c>
      <c r="AJ142" s="73">
        <f t="shared" si="21"/>
        <v>-0.9723047469</v>
      </c>
      <c r="AK142" s="73">
        <f t="shared" si="22"/>
        <v>-0.4306443624</v>
      </c>
      <c r="AL142" s="73">
        <f t="shared" si="23"/>
        <v>-0.6027071997</v>
      </c>
      <c r="AM142" s="73">
        <f t="shared" si="24"/>
        <v>0.08646310432</v>
      </c>
      <c r="AN142" s="120">
        <f t="shared" si="25"/>
        <v>-1.132100801</v>
      </c>
      <c r="AO142" s="120">
        <f t="shared" si="26"/>
        <v>-2.104405548</v>
      </c>
      <c r="AP142" s="120">
        <f t="array" ref="AP142">INDIRECT("Update"&amp;Projections!$AH$17&amp;"!S"&amp;ROW(B123))</f>
        <v>9.7</v>
      </c>
      <c r="AQ142" s="120">
        <f t="array" ref="AQ142">INDIRECT("Update"&amp;Projections!$AH$17&amp;"!T"&amp;ROW(B123))</f>
        <v>1.3</v>
      </c>
      <c r="AR142" s="100">
        <f t="shared" si="27"/>
        <v>-1.225823399</v>
      </c>
    </row>
    <row r="143">
      <c r="A143" s="40" t="str">
        <f t="shared" si="3"/>
        <v>Luguentz Dort</v>
      </c>
      <c r="B143" s="42">
        <f t="shared" si="4"/>
        <v>-0.9875823855</v>
      </c>
      <c r="C143" s="43">
        <f t="shared" si="5"/>
        <v>0.2497993996</v>
      </c>
      <c r="D143" s="42">
        <f t="shared" si="6"/>
        <v>-0.7330915186</v>
      </c>
      <c r="E143" s="42">
        <f t="shared" si="7"/>
        <v>-0.9730907921</v>
      </c>
      <c r="F143" s="42">
        <f t="shared" si="8"/>
        <v>0.07913626764</v>
      </c>
      <c r="G143" s="42">
        <f t="shared" si="9"/>
        <v>-0.08033623669</v>
      </c>
      <c r="H143" s="42">
        <f t="shared" si="10"/>
        <v>-0.7262229929</v>
      </c>
      <c r="I143" s="42">
        <f>UpdateHashtag!S141</f>
        <v>9.7</v>
      </c>
      <c r="J143" s="47">
        <f t="shared" si="11"/>
        <v>0.2163126515</v>
      </c>
      <c r="K143" s="48">
        <f>UpdateHashtag!T141</f>
        <v>2.1</v>
      </c>
      <c r="L143" s="42">
        <f t="shared" si="12"/>
        <v>-0.643430979</v>
      </c>
      <c r="N143" s="100">
        <f t="shared" si="13"/>
        <v>131</v>
      </c>
      <c r="O143" s="94">
        <f t="array" ref="O143">INDIRECT("Update"&amp;Projections!$AH$17&amp;"!B"&amp;ROW(B124))</f>
        <v>139</v>
      </c>
      <c r="P143" s="101" t="str">
        <f t="array" ref="P143">INDIRECT("Update"&amp;Projections!$AH$17&amp;"!C"&amp;ROW(B124))</f>
        <v>Dennis Schröder</v>
      </c>
      <c r="Q143" s="94">
        <f>UpdateBBM!F124</f>
        <v>71</v>
      </c>
      <c r="R143" s="105" t="str">
        <f t="array" ref="R143">INDIRECT("Update"&amp;Projections!$AH$17&amp;"!D"&amp;ROW(B124))</f>
        <v>PG</v>
      </c>
      <c r="S143" s="73">
        <f t="shared" si="14"/>
        <v>-1.425452146</v>
      </c>
      <c r="T143" s="73">
        <f>SUM(AE143:AM143)-IFERROR(IFS(Projections!$I$17,AN143,Projections!$J$17,AO143),"")</f>
        <v>-1.425452146</v>
      </c>
      <c r="U143" s="73">
        <f t="shared" si="15"/>
        <v>0</v>
      </c>
      <c r="V143" s="73">
        <f t="array" ref="V143">INDIRECT("Update"&amp;Projections!$AH$17&amp;"!M"&amp;ROW(B124))</f>
        <v>15.1</v>
      </c>
      <c r="W143" s="73">
        <f t="array" ref="W143">INDIRECT("Update"&amp;Projections!$AH$17&amp;"!L"&amp;ROW(B124))</f>
        <v>1.7</v>
      </c>
      <c r="X143" s="73">
        <f t="array" ref="X143">INDIRECT("Update"&amp;Projections!$AH$17&amp;"!N"&amp;ROW(B124))</f>
        <v>3</v>
      </c>
      <c r="Y143" s="73">
        <f t="array" ref="Y143">INDIRECT("Update"&amp;Projections!$AH$17&amp;"!O"&amp;ROW(B124))</f>
        <v>5.9</v>
      </c>
      <c r="Z143" s="73">
        <f t="array" ref="Z143">INDIRECT("Update"&amp;Projections!$AH$17&amp;"!P"&amp;ROW(B124))</f>
        <v>0.8</v>
      </c>
      <c r="AA143" s="73">
        <f t="array" ref="AA143">INDIRECT("Update"&amp;Projections!$AH$17&amp;"!Q"&amp;ROW(B124))</f>
        <v>0.2</v>
      </c>
      <c r="AB143" s="107">
        <f t="array" ref="AB143">INDIRECT("Update"&amp;Projections!$AH$17&amp;"!I"&amp;ROW(B124))</f>
        <v>0.435</v>
      </c>
      <c r="AC143" s="107">
        <f t="array" ref="AC143">INDIRECT("Update"&amp;Projections!$AH$17&amp;"!K"&amp;ROW(B124))</f>
        <v>0.847</v>
      </c>
      <c r="AD143" s="73">
        <f t="array" ref="AD143">INDIRECT("Update"&amp;Projections!$AH$17&amp;"!R"&amp;ROW(B124))</f>
        <v>2</v>
      </c>
      <c r="AE143" s="73">
        <f t="shared" si="16"/>
        <v>-0.4275735246</v>
      </c>
      <c r="AF143" s="73">
        <f t="shared" si="17"/>
        <v>-0.04877349754</v>
      </c>
      <c r="AG143" s="73">
        <f t="shared" si="18"/>
        <v>-1.203807972</v>
      </c>
      <c r="AH143" s="73">
        <f t="shared" si="19"/>
        <v>0.8949417952</v>
      </c>
      <c r="AI143" s="73">
        <f t="shared" si="20"/>
        <v>-0.5847290887</v>
      </c>
      <c r="AJ143" s="73">
        <f t="shared" si="21"/>
        <v>-0.9723047469</v>
      </c>
      <c r="AK143" s="73">
        <f t="shared" si="22"/>
        <v>-0.8702921755</v>
      </c>
      <c r="AL143" s="73">
        <f t="shared" si="23"/>
        <v>0.6456052688</v>
      </c>
      <c r="AM143" s="73">
        <f t="shared" si="24"/>
        <v>-0.06232617654</v>
      </c>
      <c r="AN143" s="120">
        <f t="shared" si="25"/>
        <v>-1.203807972</v>
      </c>
      <c r="AO143" s="120">
        <f t="shared" si="26"/>
        <v>-2.176112719</v>
      </c>
      <c r="AP143" s="120">
        <f t="array" ref="AP143">INDIRECT("Update"&amp;Projections!$AH$17&amp;"!S"&amp;ROW(B124))</f>
        <v>12</v>
      </c>
      <c r="AQ143" s="120">
        <f t="array" ref="AQ143">INDIRECT("Update"&amp;Projections!$AH$17&amp;"!T"&amp;ROW(B124))</f>
        <v>3.5</v>
      </c>
      <c r="AR143" s="100">
        <f t="shared" si="27"/>
        <v>-1.226906134</v>
      </c>
    </row>
    <row r="144">
      <c r="A144" s="40" t="str">
        <f t="shared" si="3"/>
        <v>Ausar Thompson</v>
      </c>
      <c r="B144" s="42">
        <f t="shared" si="4"/>
        <v>-1.240489613</v>
      </c>
      <c r="C144" s="43">
        <f t="shared" si="5"/>
        <v>-1.342589385</v>
      </c>
      <c r="D144" s="42">
        <f t="shared" si="6"/>
        <v>0.4436996151</v>
      </c>
      <c r="E144" s="42">
        <f t="shared" si="7"/>
        <v>-0.7908437104</v>
      </c>
      <c r="F144" s="42">
        <f t="shared" si="8"/>
        <v>0.743001624</v>
      </c>
      <c r="G144" s="42">
        <f t="shared" si="9"/>
        <v>0.6332385715</v>
      </c>
      <c r="H144" s="42">
        <f t="shared" si="10"/>
        <v>-0.04093465444</v>
      </c>
      <c r="I144" s="42">
        <f>UpdateHashtag!S142</f>
        <v>9</v>
      </c>
      <c r="J144" s="47">
        <f t="shared" si="11"/>
        <v>-1.271083085</v>
      </c>
      <c r="K144" s="48">
        <f>UpdateHashtag!T142</f>
        <v>2.1</v>
      </c>
      <c r="L144" s="42">
        <f t="shared" si="12"/>
        <v>-0.2466595634</v>
      </c>
      <c r="N144" s="100">
        <f t="shared" si="13"/>
        <v>164</v>
      </c>
      <c r="O144" s="94">
        <f t="array" ref="O144">INDIRECT("Update"&amp;Projections!$AH$17&amp;"!B"&amp;ROW(B125))</f>
        <v>91</v>
      </c>
      <c r="P144" s="101" t="str">
        <f t="array" ref="P144">INDIRECT("Update"&amp;Projections!$AH$17&amp;"!C"&amp;ROW(B125))</f>
        <v>Jonathan Kuminga</v>
      </c>
      <c r="Q144" s="94">
        <f>UpdateBBM!F125</f>
        <v>75</v>
      </c>
      <c r="R144" s="105" t="str">
        <f t="array" ref="R144">INDIRECT("Update"&amp;Projections!$AH$17&amp;"!D"&amp;ROW(B125))</f>
        <v>PF</v>
      </c>
      <c r="S144" s="73">
        <f t="shared" si="14"/>
        <v>-2.214360815</v>
      </c>
      <c r="T144" s="73">
        <f>SUM(AE144:AM144)-IFERROR(IFS(Projections!$I$17,AN144,Projections!$J$17,AO144),"")</f>
        <v>-2.214360815</v>
      </c>
      <c r="U144" s="73">
        <f t="shared" si="15"/>
        <v>0</v>
      </c>
      <c r="V144" s="73">
        <f t="array" ref="V144">INDIRECT("Update"&amp;Projections!$AH$17&amp;"!M"&amp;ROW(B125))</f>
        <v>16.2</v>
      </c>
      <c r="W144" s="73">
        <f t="array" ref="W144">INDIRECT("Update"&amp;Projections!$AH$17&amp;"!L"&amp;ROW(B125))</f>
        <v>0.9</v>
      </c>
      <c r="X144" s="73">
        <f t="array" ref="X144">INDIRECT("Update"&amp;Projections!$AH$17&amp;"!N"&amp;ROW(B125))</f>
        <v>5.1</v>
      </c>
      <c r="Y144" s="73">
        <f t="array" ref="Y144">INDIRECT("Update"&amp;Projections!$AH$17&amp;"!O"&amp;ROW(B125))</f>
        <v>2.5</v>
      </c>
      <c r="Z144" s="73">
        <f t="array" ref="Z144">INDIRECT("Update"&amp;Projections!$AH$17&amp;"!P"&amp;ROW(B125))</f>
        <v>0.8</v>
      </c>
      <c r="AA144" s="73">
        <f t="array" ref="AA144">INDIRECT("Update"&amp;Projections!$AH$17&amp;"!Q"&amp;ROW(B125))</f>
        <v>0.6</v>
      </c>
      <c r="AB144" s="107">
        <f t="array" ref="AB144">INDIRECT("Update"&amp;Projections!$AH$17&amp;"!I"&amp;ROW(B125))</f>
        <v>0.527</v>
      </c>
      <c r="AC144" s="107">
        <f t="array" ref="AC144">INDIRECT("Update"&amp;Projections!$AH$17&amp;"!K"&amp;ROW(B125))</f>
        <v>0.759</v>
      </c>
      <c r="AD144" s="73">
        <f t="array" ref="AD144">INDIRECT("Update"&amp;Projections!$AH$17&amp;"!R"&amp;ROW(B125))</f>
        <v>1.9</v>
      </c>
      <c r="AE144" s="73">
        <f t="shared" si="16"/>
        <v>-0.228860703</v>
      </c>
      <c r="AF144" s="73">
        <f t="shared" si="17"/>
        <v>-0.8449678898</v>
      </c>
      <c r="AG144" s="73">
        <f t="shared" si="18"/>
        <v>-0.3800541785</v>
      </c>
      <c r="AH144" s="73">
        <f t="shared" si="19"/>
        <v>-0.6541583992</v>
      </c>
      <c r="AI144" s="73">
        <f t="shared" si="20"/>
        <v>-0.5847290887</v>
      </c>
      <c r="AJ144" s="73">
        <f t="shared" si="21"/>
        <v>-0.2587299387</v>
      </c>
      <c r="AK144" s="73">
        <f t="shared" si="22"/>
        <v>0.4130069128</v>
      </c>
      <c r="AL144" s="73">
        <f t="shared" si="23"/>
        <v>-0.4833074568</v>
      </c>
      <c r="AM144" s="73">
        <f t="shared" si="24"/>
        <v>-0.03752796306</v>
      </c>
      <c r="AN144" s="120">
        <f t="shared" si="25"/>
        <v>-0.8449678898</v>
      </c>
      <c r="AO144" s="120">
        <f t="shared" si="26"/>
        <v>-1.499126289</v>
      </c>
      <c r="AP144" s="120">
        <f t="array" ref="AP144">INDIRECT("Update"&amp;Projections!$AH$17&amp;"!S"&amp;ROW(B125))</f>
        <v>11.7</v>
      </c>
      <c r="AQ144" s="120">
        <f t="array" ref="AQ144">INDIRECT("Update"&amp;Projections!$AH$17&amp;"!T"&amp;ROW(B125))</f>
        <v>3.8</v>
      </c>
      <c r="AR144" s="100">
        <f t="shared" si="27"/>
        <v>-1.27835281</v>
      </c>
    </row>
    <row r="145">
      <c r="A145" s="40" t="str">
        <f t="shared" si="3"/>
        <v>Rui Hachimura</v>
      </c>
      <c r="B145" s="42">
        <f t="shared" si="4"/>
        <v>-0.4817679305</v>
      </c>
      <c r="C145" s="43">
        <f t="shared" si="5"/>
        <v>-0.2478220956</v>
      </c>
      <c r="D145" s="42">
        <f t="shared" si="6"/>
        <v>-0.3408278074</v>
      </c>
      <c r="E145" s="42">
        <f t="shared" si="7"/>
        <v>-1.200899644</v>
      </c>
      <c r="F145" s="42">
        <f t="shared" si="8"/>
        <v>-0.9166617668</v>
      </c>
      <c r="G145" s="42">
        <f t="shared" si="9"/>
        <v>-0.4371236408</v>
      </c>
      <c r="H145" s="42">
        <f t="shared" si="10"/>
        <v>0.2267200841</v>
      </c>
      <c r="I145" s="42">
        <f>UpdateHashtag!S143</f>
        <v>11.3</v>
      </c>
      <c r="J145" s="47">
        <f t="shared" si="11"/>
        <v>-0.4472881825</v>
      </c>
      <c r="K145" s="48">
        <f>UpdateHashtag!T143</f>
        <v>2.3</v>
      </c>
      <c r="L145" s="42">
        <f t="shared" si="12"/>
        <v>-0.8418166868</v>
      </c>
      <c r="N145" s="100">
        <f t="shared" si="13"/>
        <v>110</v>
      </c>
      <c r="O145" s="94">
        <f t="array" ref="O145">INDIRECT("Update"&amp;Projections!$AH$17&amp;"!B"&amp;ROW(B126))</f>
        <v>130.7</v>
      </c>
      <c r="P145" s="101" t="str">
        <f t="array" ref="P145">INDIRECT("Update"&amp;Projections!$AH$17&amp;"!C"&amp;ROW(B126))</f>
        <v>Marcus Smart</v>
      </c>
      <c r="Q145" s="94">
        <f>UpdateBBM!F126</f>
        <v>71</v>
      </c>
      <c r="R145" s="105" t="str">
        <f t="array" ref="R145">INDIRECT("Update"&amp;Projections!$AH$17&amp;"!D"&amp;ROW(B126))</f>
        <v>PG,SG</v>
      </c>
      <c r="S145" s="73">
        <f t="shared" si="14"/>
        <v>-0.6351996027</v>
      </c>
      <c r="T145" s="73">
        <f>SUM(AE145:AM145)-IFERROR(IFS(Projections!$I$17,AN145,Projections!$J$17,AO145),"")</f>
        <v>-0.6351996027</v>
      </c>
      <c r="U145" s="73">
        <f t="shared" si="15"/>
        <v>0</v>
      </c>
      <c r="V145" s="73">
        <f t="array" ref="V145">INDIRECT("Update"&amp;Projections!$AH$17&amp;"!M"&amp;ROW(B126))</f>
        <v>12.1</v>
      </c>
      <c r="W145" s="73">
        <f t="array" ref="W145">INDIRECT("Update"&amp;Projections!$AH$17&amp;"!L"&amp;ROW(B126))</f>
        <v>1.9</v>
      </c>
      <c r="X145" s="73">
        <f t="array" ref="X145">INDIRECT("Update"&amp;Projections!$AH$17&amp;"!N"&amp;ROW(B126))</f>
        <v>3</v>
      </c>
      <c r="Y145" s="73">
        <f t="array" ref="Y145">INDIRECT("Update"&amp;Projections!$AH$17&amp;"!O"&amp;ROW(B126))</f>
        <v>4.7</v>
      </c>
      <c r="Z145" s="73">
        <f t="array" ref="Z145">INDIRECT("Update"&amp;Projections!$AH$17&amp;"!P"&amp;ROW(B126))</f>
        <v>1.6</v>
      </c>
      <c r="AA145" s="73">
        <f t="array" ref="AA145">INDIRECT("Update"&amp;Projections!$AH$17&amp;"!Q"&amp;ROW(B126))</f>
        <v>0.3</v>
      </c>
      <c r="AB145" s="107">
        <f t="array" ref="AB145">INDIRECT("Update"&amp;Projections!$AH$17&amp;"!I"&amp;ROW(B126))</f>
        <v>0.42</v>
      </c>
      <c r="AC145" s="107">
        <f t="array" ref="AC145">INDIRECT("Update"&amp;Projections!$AH$17&amp;"!K"&amp;ROW(B126))</f>
        <v>0.751</v>
      </c>
      <c r="AD145" s="73">
        <f t="array" ref="AD145">INDIRECT("Update"&amp;Projections!$AH$17&amp;"!R"&amp;ROW(B126))</f>
        <v>2.5</v>
      </c>
      <c r="AE145" s="73">
        <f t="shared" si="16"/>
        <v>-0.9695175835</v>
      </c>
      <c r="AF145" s="73">
        <f t="shared" si="17"/>
        <v>0.1502751005</v>
      </c>
      <c r="AG145" s="73">
        <f t="shared" si="18"/>
        <v>-1.203807972</v>
      </c>
      <c r="AH145" s="73">
        <f t="shared" si="19"/>
        <v>0.3482005501</v>
      </c>
      <c r="AI145" s="73">
        <f t="shared" si="20"/>
        <v>2.070732337</v>
      </c>
      <c r="AJ145" s="73">
        <f t="shared" si="21"/>
        <v>-0.7939110449</v>
      </c>
      <c r="AK145" s="73">
        <f t="shared" si="22"/>
        <v>-0.9280749252</v>
      </c>
      <c r="AL145" s="73">
        <f t="shared" si="23"/>
        <v>-0.3265867924</v>
      </c>
      <c r="AM145" s="73">
        <f t="shared" si="24"/>
        <v>-0.1863172439</v>
      </c>
      <c r="AN145" s="120">
        <f t="shared" si="25"/>
        <v>-1.203807972</v>
      </c>
      <c r="AO145" s="120">
        <f t="shared" si="26"/>
        <v>-2.173325556</v>
      </c>
      <c r="AP145" s="120">
        <f t="array" ref="AP145">INDIRECT("Update"&amp;Projections!$AH$17&amp;"!S"&amp;ROW(B126))</f>
        <v>10.3</v>
      </c>
      <c r="AQ145" s="120">
        <f t="array" ref="AQ145">INDIRECT("Update"&amp;Projections!$AH$17&amp;"!T"&amp;ROW(B126))</f>
        <v>2.1</v>
      </c>
      <c r="AR145" s="100">
        <f t="shared" si="27"/>
        <v>-1.288141273</v>
      </c>
    </row>
    <row r="146">
      <c r="A146" s="40" t="str">
        <f t="shared" si="3"/>
        <v>Josh Hart</v>
      </c>
      <c r="B146" s="42">
        <f t="shared" si="4"/>
        <v>-1.511461642</v>
      </c>
      <c r="C146" s="43">
        <f t="shared" si="5"/>
        <v>-0.8449678898</v>
      </c>
      <c r="D146" s="42">
        <f t="shared" si="6"/>
        <v>0.718284213</v>
      </c>
      <c r="E146" s="42">
        <f t="shared" si="7"/>
        <v>-0.01629361326</v>
      </c>
      <c r="F146" s="42">
        <f t="shared" si="8"/>
        <v>0.07913626764</v>
      </c>
      <c r="G146" s="42">
        <f t="shared" si="9"/>
        <v>-0.7939110449</v>
      </c>
      <c r="H146" s="42">
        <f t="shared" si="10"/>
        <v>-0.3505524588</v>
      </c>
      <c r="I146" s="42">
        <f>UpdateHashtag!S144</f>
        <v>7.5</v>
      </c>
      <c r="J146" s="47">
        <f t="shared" si="11"/>
        <v>-0.1906877921</v>
      </c>
      <c r="K146" s="48">
        <f>UpdateHashtag!T144</f>
        <v>1.8</v>
      </c>
      <c r="L146" s="42">
        <f t="shared" si="12"/>
        <v>-0.04827385557</v>
      </c>
      <c r="N146" s="100">
        <f t="shared" si="13"/>
        <v>134</v>
      </c>
      <c r="O146" s="94">
        <f t="array" ref="O146">INDIRECT("Update"&amp;Projections!$AH$17&amp;"!B"&amp;ROW(B127))</f>
        <v>144.3</v>
      </c>
      <c r="P146" s="101" t="str">
        <f t="array" ref="P146">INDIRECT("Update"&amp;Projections!$AH$17&amp;"!C"&amp;ROW(B127))</f>
        <v>Jalen Smith</v>
      </c>
      <c r="Q146" s="94">
        <f>UpdateBBM!F127</f>
        <v>71</v>
      </c>
      <c r="R146" s="105" t="str">
        <f t="array" ref="R146">INDIRECT("Update"&amp;Projections!$AH$17&amp;"!D"&amp;ROW(B127))</f>
        <v>PF,C</v>
      </c>
      <c r="S146" s="73">
        <f t="shared" si="14"/>
        <v>-1.561896566</v>
      </c>
      <c r="T146" s="73">
        <f>SUM(AE146:AM146)-IFERROR(IFS(Projections!$I$17,AN146,Projections!$J$17,AO146),"")</f>
        <v>-1.561896566</v>
      </c>
      <c r="U146" s="73">
        <f t="shared" si="15"/>
        <v>0</v>
      </c>
      <c r="V146" s="73">
        <f t="array" ref="V146">INDIRECT("Update"&amp;Projections!$AH$17&amp;"!M"&amp;ROW(B127))</f>
        <v>12.9</v>
      </c>
      <c r="W146" s="73">
        <f t="array" ref="W146">INDIRECT("Update"&amp;Projections!$AH$17&amp;"!L"&amp;ROW(B127))</f>
        <v>1.3</v>
      </c>
      <c r="X146" s="73">
        <f t="array" ref="X146">INDIRECT("Update"&amp;Projections!$AH$17&amp;"!N"&amp;ROW(B127))</f>
        <v>7.6</v>
      </c>
      <c r="Y146" s="73">
        <f t="array" ref="Y146">INDIRECT("Update"&amp;Projections!$AH$17&amp;"!O"&amp;ROW(B127))</f>
        <v>1.3</v>
      </c>
      <c r="Z146" s="73">
        <f t="array" ref="Z146">INDIRECT("Update"&amp;Projections!$AH$17&amp;"!P"&amp;ROW(B127))</f>
        <v>0.4</v>
      </c>
      <c r="AA146" s="73">
        <f t="array" ref="AA146">INDIRECT("Update"&amp;Projections!$AH$17&amp;"!Q"&amp;ROW(B127))</f>
        <v>1</v>
      </c>
      <c r="AB146" s="107">
        <f t="array" ref="AB146">INDIRECT("Update"&amp;Projections!$AH$17&amp;"!I"&amp;ROW(B127))</f>
        <v>0.537</v>
      </c>
      <c r="AC146" s="107">
        <f t="array" ref="AC146">INDIRECT("Update"&amp;Projections!$AH$17&amp;"!K"&amp;ROW(B127))</f>
        <v>0.711</v>
      </c>
      <c r="AD146" s="73">
        <f t="array" ref="AD146">INDIRECT("Update"&amp;Projections!$AH$17&amp;"!R"&amp;ROW(B127))</f>
        <v>1.2</v>
      </c>
      <c r="AE146" s="73">
        <f t="shared" si="16"/>
        <v>-0.8249991678</v>
      </c>
      <c r="AF146" s="73">
        <f t="shared" si="17"/>
        <v>-0.4468706937</v>
      </c>
      <c r="AG146" s="73">
        <f t="shared" si="18"/>
        <v>0.6006050996</v>
      </c>
      <c r="AH146" s="73">
        <f t="shared" si="19"/>
        <v>-1.200899644</v>
      </c>
      <c r="AI146" s="73">
        <f t="shared" si="20"/>
        <v>-1.912459801</v>
      </c>
      <c r="AJ146" s="73">
        <f t="shared" si="21"/>
        <v>0.4548448695</v>
      </c>
      <c r="AK146" s="73">
        <f t="shared" si="22"/>
        <v>0.4325816566</v>
      </c>
      <c r="AL146" s="73">
        <f t="shared" si="23"/>
        <v>-0.7132182169</v>
      </c>
      <c r="AM146" s="73">
        <f t="shared" si="24"/>
        <v>0.1360595313</v>
      </c>
      <c r="AN146" s="120">
        <f t="shared" si="25"/>
        <v>-1.912459801</v>
      </c>
      <c r="AO146" s="120">
        <f t="shared" si="26"/>
        <v>-3.113359446</v>
      </c>
      <c r="AP146" s="120">
        <f t="array" ref="AP146">INDIRECT("Update"&amp;Projections!$AH$17&amp;"!S"&amp;ROW(B127))</f>
        <v>9.2</v>
      </c>
      <c r="AQ146" s="120">
        <f t="array" ref="AQ146">INDIRECT("Update"&amp;Projections!$AH$17&amp;"!T"&amp;ROW(B127))</f>
        <v>2.4</v>
      </c>
      <c r="AR146" s="100">
        <f t="shared" si="27"/>
        <v>-1.336040568</v>
      </c>
    </row>
    <row r="147">
      <c r="A147" s="40" t="str">
        <f t="shared" si="3"/>
        <v>Wendell Carter Jr.</v>
      </c>
      <c r="B147" s="42">
        <f t="shared" si="4"/>
        <v>-0.8069343658</v>
      </c>
      <c r="C147" s="43">
        <f t="shared" si="5"/>
        <v>-0.4468706937</v>
      </c>
      <c r="D147" s="42">
        <f t="shared" si="6"/>
        <v>0.6398314707</v>
      </c>
      <c r="E147" s="42">
        <f t="shared" si="7"/>
        <v>-0.8819672513</v>
      </c>
      <c r="F147" s="42">
        <f t="shared" si="8"/>
        <v>-1.248594445</v>
      </c>
      <c r="G147" s="42">
        <f t="shared" si="9"/>
        <v>-0.4371236408</v>
      </c>
      <c r="H147" s="42">
        <f t="shared" si="10"/>
        <v>0.3031927557</v>
      </c>
      <c r="I147" s="42">
        <f>UpdateHashtag!S145</f>
        <v>9.2</v>
      </c>
      <c r="J147" s="47">
        <f t="shared" si="11"/>
        <v>-0.7488340978</v>
      </c>
      <c r="K147" s="48">
        <f>UpdateHashtag!T145</f>
        <v>2.9</v>
      </c>
      <c r="L147" s="42">
        <f t="shared" si="12"/>
        <v>-0.2466595634</v>
      </c>
      <c r="N147" s="100">
        <f t="shared" si="13"/>
        <v>153</v>
      </c>
      <c r="O147" s="94">
        <f t="array" ref="O147">INDIRECT("Update"&amp;Projections!$AH$17&amp;"!B"&amp;ROW(B128))</f>
        <v>145.4</v>
      </c>
      <c r="P147" s="101" t="str">
        <f t="array" ref="P147">INDIRECT("Update"&amp;Projections!$AH$17&amp;"!C"&amp;ROW(B128))</f>
        <v>Corey Kispert</v>
      </c>
      <c r="Q147" s="94">
        <f>UpdateBBM!F128</f>
        <v>58</v>
      </c>
      <c r="R147" s="105" t="str">
        <f t="array" ref="R147">INDIRECT("Update"&amp;Projections!$AH$17&amp;"!D"&amp;ROW(B128))</f>
        <v>SG,SF</v>
      </c>
      <c r="S147" s="73">
        <f t="shared" si="14"/>
        <v>-1.916536611</v>
      </c>
      <c r="T147" s="73">
        <f>SUM(AE147:AM147)-IFERROR(IFS(Projections!$I$17,AN147,Projections!$J$17,AO147),"")</f>
        <v>-1.916536611</v>
      </c>
      <c r="U147" s="73">
        <f t="shared" si="15"/>
        <v>0</v>
      </c>
      <c r="V147" s="73">
        <f t="array" ref="V147">INDIRECT("Update"&amp;Projections!$AH$17&amp;"!M"&amp;ROW(B128))</f>
        <v>15.1</v>
      </c>
      <c r="W147" s="73">
        <f t="array" ref="W147">INDIRECT("Update"&amp;Projections!$AH$17&amp;"!L"&amp;ROW(B128))</f>
        <v>2.7</v>
      </c>
      <c r="X147" s="73">
        <f t="array" ref="X147">INDIRECT("Update"&amp;Projections!$AH$17&amp;"!N"&amp;ROW(B128))</f>
        <v>3.4</v>
      </c>
      <c r="Y147" s="73">
        <f t="array" ref="Y147">INDIRECT("Update"&amp;Projections!$AH$17&amp;"!O"&amp;ROW(B128))</f>
        <v>2.4</v>
      </c>
      <c r="Z147" s="73">
        <f t="array" ref="Z147">INDIRECT("Update"&amp;Projections!$AH$17&amp;"!P"&amp;ROW(B128))</f>
        <v>0.7</v>
      </c>
      <c r="AA147" s="73">
        <f t="array" ref="AA147">INDIRECT("Update"&amp;Projections!$AH$17&amp;"!Q"&amp;ROW(B128))</f>
        <v>0.2</v>
      </c>
      <c r="AB147" s="107">
        <f t="array" ref="AB147">INDIRECT("Update"&amp;Projections!$AH$17&amp;"!I"&amp;ROW(B128))</f>
        <v>0.484</v>
      </c>
      <c r="AC147" s="107">
        <f t="array" ref="AC147">INDIRECT("Update"&amp;Projections!$AH$17&amp;"!K"&amp;ROW(B128))</f>
        <v>0.821</v>
      </c>
      <c r="AD147" s="73">
        <f t="array" ref="AD147">INDIRECT("Update"&amp;Projections!$AH$17&amp;"!R"&amp;ROW(B128))</f>
        <v>1.2</v>
      </c>
      <c r="AE147" s="73">
        <f t="shared" si="16"/>
        <v>-0.4275735246</v>
      </c>
      <c r="AF147" s="73">
        <f t="shared" si="17"/>
        <v>0.9464694928</v>
      </c>
      <c r="AG147" s="73">
        <f t="shared" si="18"/>
        <v>-1.046902488</v>
      </c>
      <c r="AH147" s="73">
        <f t="shared" si="19"/>
        <v>-0.6997201696</v>
      </c>
      <c r="AI147" s="73">
        <f t="shared" si="20"/>
        <v>-0.9166617668</v>
      </c>
      <c r="AJ147" s="73">
        <f t="shared" si="21"/>
        <v>-0.9723047469</v>
      </c>
      <c r="AK147" s="73">
        <f t="shared" si="22"/>
        <v>-0.1675689651</v>
      </c>
      <c r="AL147" s="73">
        <f t="shared" si="23"/>
        <v>0.1847635385</v>
      </c>
      <c r="AM147" s="73">
        <f t="shared" si="24"/>
        <v>0.1360595313</v>
      </c>
      <c r="AN147" s="120">
        <f t="shared" si="25"/>
        <v>-1.046902488</v>
      </c>
      <c r="AO147" s="120">
        <f t="shared" si="26"/>
        <v>-2.019207235</v>
      </c>
      <c r="AP147" s="120">
        <f t="array" ref="AP147">INDIRECT("Update"&amp;Projections!$AH$17&amp;"!S"&amp;ROW(B128))</f>
        <v>11.1</v>
      </c>
      <c r="AQ147" s="120">
        <f t="array" ref="AQ147">INDIRECT("Update"&amp;Projections!$AH$17&amp;"!T"&amp;ROW(B128))</f>
        <v>2</v>
      </c>
      <c r="AR147" s="100">
        <f t="shared" si="27"/>
        <v>-1.372583711</v>
      </c>
    </row>
    <row r="148">
      <c r="A148" s="40" t="str">
        <f t="shared" si="3"/>
        <v>Jeremy Sochan</v>
      </c>
      <c r="B148" s="42">
        <f t="shared" si="4"/>
        <v>-0.9153231776</v>
      </c>
      <c r="C148" s="43">
        <f t="shared" si="5"/>
        <v>-0.7454435908</v>
      </c>
      <c r="D148" s="42">
        <f t="shared" si="6"/>
        <v>0.2867941306</v>
      </c>
      <c r="E148" s="42">
        <f t="shared" si="7"/>
        <v>-0.3352260062</v>
      </c>
      <c r="F148" s="42">
        <f t="shared" si="8"/>
        <v>0.07913626764</v>
      </c>
      <c r="G148" s="42">
        <f t="shared" si="9"/>
        <v>-0.2587299387</v>
      </c>
      <c r="H148" s="42">
        <f t="shared" si="10"/>
        <v>-0.681739737</v>
      </c>
      <c r="I148" s="42">
        <f>UpdateHashtag!S146</f>
        <v>11</v>
      </c>
      <c r="J148" s="47">
        <f t="shared" si="11"/>
        <v>-0.1941072544</v>
      </c>
      <c r="K148" s="48">
        <f>UpdateHashtag!T146</f>
        <v>2.2</v>
      </c>
      <c r="L148" s="42">
        <f t="shared" si="12"/>
        <v>0.2493047061</v>
      </c>
      <c r="N148" s="100">
        <f t="shared" si="13"/>
        <v>140</v>
      </c>
      <c r="O148" s="94">
        <f t="array" ref="O148">INDIRECT("Update"&amp;Projections!$AH$17&amp;"!B"&amp;ROW(B129))</f>
        <v>126.5</v>
      </c>
      <c r="P148" s="101" t="str">
        <f t="array" ref="P148">INDIRECT("Update"&amp;Projections!$AH$17&amp;"!C"&amp;ROW(B129))</f>
        <v>Buddy Hield</v>
      </c>
      <c r="Q148" s="94">
        <f>UpdateBBM!F129</f>
        <v>66</v>
      </c>
      <c r="R148" s="105" t="str">
        <f t="array" ref="R148">INDIRECT("Update"&amp;Projections!$AH$17&amp;"!D"&amp;ROW(B129))</f>
        <v>SG,SF</v>
      </c>
      <c r="S148" s="73">
        <f t="shared" si="14"/>
        <v>-1.663669412</v>
      </c>
      <c r="T148" s="73">
        <f>SUM(AE148:AM148)-IFERROR(IFS(Projections!$I$17,AN148,Projections!$J$17,AO148),"")</f>
        <v>-1.663669412</v>
      </c>
      <c r="U148" s="73">
        <f t="shared" si="15"/>
        <v>0</v>
      </c>
      <c r="V148" s="73">
        <f t="array" ref="V148">INDIRECT("Update"&amp;Projections!$AH$17&amp;"!M"&amp;ROW(B129))</f>
        <v>13.2</v>
      </c>
      <c r="W148" s="73">
        <f t="array" ref="W148">INDIRECT("Update"&amp;Projections!$AH$17&amp;"!L"&amp;ROW(B129))</f>
        <v>2.7</v>
      </c>
      <c r="X148" s="73">
        <f t="array" ref="X148">INDIRECT("Update"&amp;Projections!$AH$17&amp;"!N"&amp;ROW(B129))</f>
        <v>3.8</v>
      </c>
      <c r="Y148" s="73">
        <f t="array" ref="Y148">INDIRECT("Update"&amp;Projections!$AH$17&amp;"!O"&amp;ROW(B129))</f>
        <v>2.7</v>
      </c>
      <c r="Z148" s="73">
        <f t="array" ref="Z148">INDIRECT("Update"&amp;Projections!$AH$17&amp;"!P"&amp;ROW(B129))</f>
        <v>0.9</v>
      </c>
      <c r="AA148" s="73">
        <f t="array" ref="AA148">INDIRECT("Update"&amp;Projections!$AH$17&amp;"!Q"&amp;ROW(B129))</f>
        <v>0.4</v>
      </c>
      <c r="AB148" s="107">
        <f t="array" ref="AB148">INDIRECT("Update"&amp;Projections!$AH$17&amp;"!I"&amp;ROW(B129))</f>
        <v>0.445</v>
      </c>
      <c r="AC148" s="107">
        <f t="array" ref="AC148">INDIRECT("Update"&amp;Projections!$AH$17&amp;"!K"&amp;ROW(B129))</f>
        <v>0.835</v>
      </c>
      <c r="AD148" s="73">
        <f t="array" ref="AD148">INDIRECT("Update"&amp;Projections!$AH$17&amp;"!R"&amp;ROW(B129))</f>
        <v>1.4</v>
      </c>
      <c r="AE148" s="73">
        <f t="shared" si="16"/>
        <v>-0.7708047619</v>
      </c>
      <c r="AF148" s="73">
        <f t="shared" si="17"/>
        <v>0.9464694928</v>
      </c>
      <c r="AG148" s="73">
        <f t="shared" si="18"/>
        <v>-0.8899970031</v>
      </c>
      <c r="AH148" s="73">
        <f t="shared" si="19"/>
        <v>-0.5630348583</v>
      </c>
      <c r="AI148" s="73">
        <f t="shared" si="20"/>
        <v>-0.2527964105</v>
      </c>
      <c r="AJ148" s="73">
        <f t="shared" si="21"/>
        <v>-0.6155173428</v>
      </c>
      <c r="AK148" s="73">
        <f t="shared" si="22"/>
        <v>-0.6506064253</v>
      </c>
      <c r="AL148" s="73">
        <f t="shared" si="23"/>
        <v>0.1561577899</v>
      </c>
      <c r="AM148" s="73">
        <f t="shared" si="24"/>
        <v>0.08646310432</v>
      </c>
      <c r="AN148" s="120">
        <f t="shared" si="25"/>
        <v>-0.8899970031</v>
      </c>
      <c r="AO148" s="120">
        <f t="shared" si="26"/>
        <v>-1.660801765</v>
      </c>
      <c r="AP148" s="120">
        <f t="array" ref="AP148">INDIRECT("Update"&amp;Projections!$AH$17&amp;"!S"&amp;ROW(B129))</f>
        <v>10.7</v>
      </c>
      <c r="AQ148" s="120">
        <f t="array" ref="AQ148">INDIRECT("Update"&amp;Projections!$AH$17&amp;"!T"&amp;ROW(B129))</f>
        <v>1.1</v>
      </c>
      <c r="AR148" s="100">
        <f t="shared" si="27"/>
        <v>-1.386923854</v>
      </c>
    </row>
    <row r="149">
      <c r="A149" s="40" t="str">
        <f t="shared" si="3"/>
        <v>Aaron Nesmith</v>
      </c>
      <c r="B149" s="42">
        <f t="shared" si="4"/>
        <v>-1.005647187</v>
      </c>
      <c r="C149" s="43">
        <f t="shared" si="5"/>
        <v>0.1502751005</v>
      </c>
      <c r="D149" s="42">
        <f t="shared" si="6"/>
        <v>-0.7723178898</v>
      </c>
      <c r="E149" s="42">
        <f t="shared" si="7"/>
        <v>-1.109776103</v>
      </c>
      <c r="F149" s="42">
        <f t="shared" si="8"/>
        <v>-0.2527964105</v>
      </c>
      <c r="G149" s="42">
        <f t="shared" si="9"/>
        <v>-0.2587299387</v>
      </c>
      <c r="H149" s="42">
        <f t="shared" si="10"/>
        <v>-0.2050427242</v>
      </c>
      <c r="I149" s="42">
        <f>UpdateHashtag!S147</f>
        <v>8.8</v>
      </c>
      <c r="J149" s="47">
        <f t="shared" si="11"/>
        <v>0.007692617497</v>
      </c>
      <c r="K149" s="48">
        <f>UpdateHashtag!T147</f>
        <v>2</v>
      </c>
      <c r="L149" s="42">
        <f t="shared" si="12"/>
        <v>-0.7426238329</v>
      </c>
      <c r="N149" s="100">
        <f t="shared" si="13"/>
        <v>130</v>
      </c>
      <c r="O149" s="94">
        <f t="array" ref="O149">INDIRECT("Update"&amp;Projections!$AH$17&amp;"!B"&amp;ROW(B130))</f>
        <v>106.5</v>
      </c>
      <c r="P149" s="101" t="str">
        <f t="array" ref="P149">INDIRECT("Update"&amp;Projections!$AH$17&amp;"!C"&amp;ROW(B130))</f>
        <v>Klay Thompson</v>
      </c>
      <c r="Q149" s="94">
        <f>UpdateBBM!F130</f>
        <v>51</v>
      </c>
      <c r="R149" s="105" t="str">
        <f t="array" ref="R149">INDIRECT("Update"&amp;Projections!$AH$17&amp;"!D"&amp;ROW(B130))</f>
        <v>SG,SF</v>
      </c>
      <c r="S149" s="73">
        <f t="shared" si="14"/>
        <v>-1.394195217</v>
      </c>
      <c r="T149" s="73">
        <f>SUM(AE149:AM149)-IFERROR(IFS(Projections!$I$17,AN149,Projections!$J$17,AO149),"")</f>
        <v>-1.394195217</v>
      </c>
      <c r="U149" s="73">
        <f t="shared" si="15"/>
        <v>0</v>
      </c>
      <c r="V149" s="73">
        <f t="array" ref="V149">INDIRECT("Update"&amp;Projections!$AH$17&amp;"!M"&amp;ROW(B130))</f>
        <v>17.2</v>
      </c>
      <c r="W149" s="73">
        <f t="array" ref="W149">INDIRECT("Update"&amp;Projections!$AH$17&amp;"!L"&amp;ROW(B130))</f>
        <v>3.4</v>
      </c>
      <c r="X149" s="73">
        <f t="array" ref="X149">INDIRECT("Update"&amp;Projections!$AH$17&amp;"!N"&amp;ROW(B130))</f>
        <v>3.2</v>
      </c>
      <c r="Y149" s="73">
        <f t="array" ref="Y149">INDIRECT("Update"&amp;Projections!$AH$17&amp;"!O"&amp;ROW(B130))</f>
        <v>2</v>
      </c>
      <c r="Z149" s="73">
        <f t="array" ref="Z149">INDIRECT("Update"&amp;Projections!$AH$17&amp;"!P"&amp;ROW(B130))</f>
        <v>0.6</v>
      </c>
      <c r="AA149" s="73">
        <f t="array" ref="AA149">INDIRECT("Update"&amp;Projections!$AH$17&amp;"!Q"&amp;ROW(B130))</f>
        <v>0.4</v>
      </c>
      <c r="AB149" s="107">
        <f t="array" ref="AB149">INDIRECT("Update"&amp;Projections!$AH$17&amp;"!I"&amp;ROW(B130))</f>
        <v>0.434</v>
      </c>
      <c r="AC149" s="107">
        <f t="array" ref="AC149">INDIRECT("Update"&amp;Projections!$AH$17&amp;"!K"&amp;ROW(B130))</f>
        <v>0.901</v>
      </c>
      <c r="AD149" s="73">
        <f t="array" ref="AD149">INDIRECT("Update"&amp;Projections!$AH$17&amp;"!R"&amp;ROW(B130))</f>
        <v>1.4</v>
      </c>
      <c r="AE149" s="73">
        <f t="shared" si="16"/>
        <v>-0.04821268339</v>
      </c>
      <c r="AF149" s="73">
        <f t="shared" si="17"/>
        <v>1.643139586</v>
      </c>
      <c r="AG149" s="73">
        <f t="shared" si="18"/>
        <v>-1.12535523</v>
      </c>
      <c r="AH149" s="73">
        <f t="shared" si="19"/>
        <v>-0.8819672513</v>
      </c>
      <c r="AI149" s="73">
        <f t="shared" si="20"/>
        <v>-1.248594445</v>
      </c>
      <c r="AJ149" s="73">
        <f t="shared" si="21"/>
        <v>-0.6155173428</v>
      </c>
      <c r="AK149" s="73">
        <f t="shared" si="22"/>
        <v>-1.053857789</v>
      </c>
      <c r="AL149" s="73">
        <f t="shared" si="23"/>
        <v>0.6011123887</v>
      </c>
      <c r="AM149" s="73">
        <f t="shared" si="24"/>
        <v>0.08646310432</v>
      </c>
      <c r="AN149" s="120">
        <f t="shared" si="25"/>
        <v>-1.248594445</v>
      </c>
      <c r="AO149" s="120">
        <f t="shared" si="26"/>
        <v>-2.373949675</v>
      </c>
      <c r="AP149" s="120">
        <f t="array" ref="AP149">INDIRECT("Update"&amp;Projections!$AH$17&amp;"!S"&amp;ROW(B130))</f>
        <v>14.3</v>
      </c>
      <c r="AQ149" s="120">
        <f t="array" ref="AQ149">INDIRECT("Update"&amp;Projections!$AH$17&amp;"!T"&amp;ROW(B130))</f>
        <v>1.6</v>
      </c>
      <c r="AR149" s="100">
        <f t="shared" si="27"/>
        <v>-1.393180958</v>
      </c>
    </row>
    <row r="150">
      <c r="A150" s="40" t="str">
        <f t="shared" si="3"/>
        <v>Brandon Clarke</v>
      </c>
      <c r="B150" s="42">
        <f t="shared" si="4"/>
        <v>-1.095971197</v>
      </c>
      <c r="C150" s="43">
        <f t="shared" si="5"/>
        <v>-1.740686581</v>
      </c>
      <c r="D150" s="42">
        <f t="shared" si="6"/>
        <v>0.05143590386</v>
      </c>
      <c r="E150" s="42">
        <f t="shared" si="7"/>
        <v>-1.109776103</v>
      </c>
      <c r="F150" s="42">
        <f t="shared" si="8"/>
        <v>-0.9166617668</v>
      </c>
      <c r="G150" s="42">
        <f t="shared" si="9"/>
        <v>0.09805746537</v>
      </c>
      <c r="H150" s="42">
        <f t="shared" si="10"/>
        <v>1.258590825</v>
      </c>
      <c r="I150" s="42">
        <f>UpdateHashtag!S148</f>
        <v>7.4</v>
      </c>
      <c r="J150" s="47">
        <f t="shared" si="11"/>
        <v>-0.9199760746</v>
      </c>
      <c r="K150" s="48">
        <f>UpdateHashtag!T148</f>
        <v>2.6</v>
      </c>
      <c r="L150" s="42">
        <f t="shared" si="12"/>
        <v>-0.643430979</v>
      </c>
      <c r="N150" s="100">
        <f t="shared" si="13"/>
        <v>151</v>
      </c>
      <c r="O150" s="94">
        <f t="array" ref="O150">INDIRECT("Update"&amp;Projections!$AH$17&amp;"!B"&amp;ROW(B131))</f>
        <v>138.2</v>
      </c>
      <c r="P150" s="101" t="str">
        <f t="array" ref="P150">INDIRECT("Update"&amp;Projections!$AH$17&amp;"!C"&amp;ROW(B131))</f>
        <v>Grayson Allen</v>
      </c>
      <c r="Q150" s="94">
        <f>UpdateBBM!F131</f>
        <v>71</v>
      </c>
      <c r="R150" s="105" t="str">
        <f t="array" ref="R150">INDIRECT("Update"&amp;Projections!$AH$17&amp;"!D"&amp;ROW(B131))</f>
        <v>PG,SG</v>
      </c>
      <c r="S150" s="73">
        <f t="shared" si="14"/>
        <v>-1.8724673</v>
      </c>
      <c r="T150" s="73">
        <f>SUM(AE150:AM150)-IFERROR(IFS(Projections!$I$17,AN150,Projections!$J$17,AO150),"")</f>
        <v>-1.8724673</v>
      </c>
      <c r="U150" s="73">
        <f t="shared" si="15"/>
        <v>0</v>
      </c>
      <c r="V150" s="73">
        <f t="array" ref="V150">INDIRECT("Update"&amp;Projections!$AH$17&amp;"!M"&amp;ROW(B131))</f>
        <v>11.4</v>
      </c>
      <c r="W150" s="73">
        <f t="array" ref="W150">INDIRECT("Update"&amp;Projections!$AH$17&amp;"!L"&amp;ROW(B131))</f>
        <v>2.2</v>
      </c>
      <c r="X150" s="73">
        <f t="array" ref="X150">INDIRECT("Update"&amp;Projections!$AH$17&amp;"!N"&amp;ROW(B131))</f>
        <v>3.3</v>
      </c>
      <c r="Y150" s="73">
        <f t="array" ref="Y150">INDIRECT("Update"&amp;Projections!$AH$17&amp;"!O"&amp;ROW(B131))</f>
        <v>2.4</v>
      </c>
      <c r="Z150" s="73">
        <f t="array" ref="Z150">INDIRECT("Update"&amp;Projections!$AH$17&amp;"!P"&amp;ROW(B131))</f>
        <v>0.8</v>
      </c>
      <c r="AA150" s="73">
        <f t="array" ref="AA150">INDIRECT("Update"&amp;Projections!$AH$17&amp;"!Q"&amp;ROW(B131))</f>
        <v>0.4</v>
      </c>
      <c r="AB150" s="107">
        <f t="array" ref="AB150">INDIRECT("Update"&amp;Projections!$AH$17&amp;"!I"&amp;ROW(B131))</f>
        <v>0.485</v>
      </c>
      <c r="AC150" s="107">
        <f t="array" ref="AC150">INDIRECT("Update"&amp;Projections!$AH$17&amp;"!K"&amp;ROW(B131))</f>
        <v>0.893</v>
      </c>
      <c r="AD150" s="73">
        <f t="array" ref="AD150">INDIRECT("Update"&amp;Projections!$AH$17&amp;"!R"&amp;ROW(B131))</f>
        <v>1</v>
      </c>
      <c r="AE150" s="73">
        <f t="shared" si="16"/>
        <v>-1.095971197</v>
      </c>
      <c r="AF150" s="73">
        <f t="shared" si="17"/>
        <v>0.4488479976</v>
      </c>
      <c r="AG150" s="73">
        <f t="shared" si="18"/>
        <v>-1.086128859</v>
      </c>
      <c r="AH150" s="73">
        <f t="shared" si="19"/>
        <v>-0.6997201696</v>
      </c>
      <c r="AI150" s="73">
        <f t="shared" si="20"/>
        <v>-0.5847290887</v>
      </c>
      <c r="AJ150" s="73">
        <f t="shared" si="21"/>
        <v>-0.6155173428</v>
      </c>
      <c r="AK150" s="73">
        <f t="shared" si="22"/>
        <v>-0.111394418</v>
      </c>
      <c r="AL150" s="73">
        <f t="shared" si="23"/>
        <v>0.5905186225</v>
      </c>
      <c r="AM150" s="73">
        <f t="shared" si="24"/>
        <v>0.1856559582</v>
      </c>
      <c r="AN150" s="120">
        <f t="shared" si="25"/>
        <v>-1.095971197</v>
      </c>
      <c r="AO150" s="120">
        <f t="shared" si="26"/>
        <v>-2.182100056</v>
      </c>
      <c r="AP150" s="120">
        <f t="array" ref="AP150">INDIRECT("Update"&amp;Projections!$AH$17&amp;"!S"&amp;ROW(B131))</f>
        <v>8</v>
      </c>
      <c r="AQ150" s="120">
        <f t="array" ref="AQ150">INDIRECT("Update"&amp;Projections!$AH$17&amp;"!T"&amp;ROW(B131))</f>
        <v>1.7</v>
      </c>
      <c r="AR150" s="100">
        <f t="shared" si="27"/>
        <v>-1.394195217</v>
      </c>
    </row>
    <row r="151">
      <c r="A151" s="40" t="str">
        <f t="shared" si="3"/>
        <v>Marvin Bagley III</v>
      </c>
      <c r="B151" s="42">
        <f t="shared" si="4"/>
        <v>-0.734675158</v>
      </c>
      <c r="C151" s="43">
        <f t="shared" si="5"/>
        <v>-1.442113684</v>
      </c>
      <c r="D151" s="42">
        <f t="shared" si="6"/>
        <v>0.4436996151</v>
      </c>
      <c r="E151" s="42">
        <f t="shared" si="7"/>
        <v>-1.292023185</v>
      </c>
      <c r="F151" s="42">
        <f t="shared" si="8"/>
        <v>-1.580527123</v>
      </c>
      <c r="G151" s="42">
        <f t="shared" si="9"/>
        <v>0.09805746537</v>
      </c>
      <c r="H151" s="42">
        <f t="shared" si="10"/>
        <v>0.7019912919</v>
      </c>
      <c r="I151" s="42">
        <f>UpdateHashtag!S149</f>
        <v>9.8</v>
      </c>
      <c r="J151" s="47">
        <f t="shared" si="11"/>
        <v>-0.4099203549</v>
      </c>
      <c r="K151" s="48">
        <f>UpdateHashtag!T149</f>
        <v>2.9</v>
      </c>
      <c r="L151" s="42">
        <f t="shared" si="12"/>
        <v>-0.4450452712</v>
      </c>
      <c r="N151" s="100">
        <f t="shared" si="13"/>
        <v>166</v>
      </c>
      <c r="O151" s="94">
        <f t="array" ref="O151">INDIRECT("Update"&amp;Projections!$AH$17&amp;"!B"&amp;ROW(B132))</f>
        <v>144.9</v>
      </c>
      <c r="P151" s="101" t="str">
        <f t="array" ref="P151">INDIRECT("Update"&amp;Projections!$AH$17&amp;"!C"&amp;ROW(B132))</f>
        <v>Terance Mann</v>
      </c>
      <c r="Q151" s="94">
        <f>UpdateBBM!F132</f>
        <v>71</v>
      </c>
      <c r="R151" s="105" t="str">
        <f t="array" ref="R151">INDIRECT("Update"&amp;Projections!$AH$17&amp;"!D"&amp;ROW(B132))</f>
        <v>SG,SF</v>
      </c>
      <c r="S151" s="73">
        <f t="shared" si="14"/>
        <v>-2.287293705</v>
      </c>
      <c r="T151" s="73">
        <f>SUM(AE151:AM151)-IFERROR(IFS(Projections!$I$17,AN151,Projections!$J$17,AO151),"")</f>
        <v>-2.287293705</v>
      </c>
      <c r="U151" s="73">
        <f t="shared" si="15"/>
        <v>0</v>
      </c>
      <c r="V151" s="73">
        <f t="array" ref="V151">INDIRECT("Update"&amp;Projections!$AH$17&amp;"!M"&amp;ROW(B132))</f>
        <v>12.9</v>
      </c>
      <c r="W151" s="73">
        <f t="array" ref="W151">INDIRECT("Update"&amp;Projections!$AH$17&amp;"!L"&amp;ROW(B132))</f>
        <v>1.3</v>
      </c>
      <c r="X151" s="73">
        <f t="array" ref="X151">INDIRECT("Update"&amp;Projections!$AH$17&amp;"!N"&amp;ROW(B132))</f>
        <v>4.8</v>
      </c>
      <c r="Y151" s="73">
        <f t="array" ref="Y151">INDIRECT("Update"&amp;Projections!$AH$17&amp;"!O"&amp;ROW(B132))</f>
        <v>2.7</v>
      </c>
      <c r="Z151" s="73">
        <f t="array" ref="Z151">INDIRECT("Update"&amp;Projections!$AH$17&amp;"!P"&amp;ROW(B132))</f>
        <v>0.8</v>
      </c>
      <c r="AA151" s="73">
        <f t="array" ref="AA151">INDIRECT("Update"&amp;Projections!$AH$17&amp;"!Q"&amp;ROW(B132))</f>
        <v>0.4</v>
      </c>
      <c r="AB151" s="107">
        <f t="array" ref="AB151">INDIRECT("Update"&amp;Projections!$AH$17&amp;"!I"&amp;ROW(B132))</f>
        <v>0.513</v>
      </c>
      <c r="AC151" s="107">
        <f t="array" ref="AC151">INDIRECT("Update"&amp;Projections!$AH$17&amp;"!K"&amp;ROW(B132))</f>
        <v>0.806</v>
      </c>
      <c r="AD151" s="73">
        <f t="array" ref="AD151">INDIRECT("Update"&amp;Projections!$AH$17&amp;"!R"&amp;ROW(B132))</f>
        <v>1.1</v>
      </c>
      <c r="AE151" s="73">
        <f t="shared" si="16"/>
        <v>-0.8249991678</v>
      </c>
      <c r="AF151" s="73">
        <f t="shared" si="17"/>
        <v>-0.4468706937</v>
      </c>
      <c r="AG151" s="73">
        <f t="shared" si="18"/>
        <v>-0.4977332919</v>
      </c>
      <c r="AH151" s="73">
        <f t="shared" si="19"/>
        <v>-0.5630348583</v>
      </c>
      <c r="AI151" s="73">
        <f t="shared" si="20"/>
        <v>-0.5847290887</v>
      </c>
      <c r="AJ151" s="73">
        <f t="shared" si="21"/>
        <v>-0.6155173428</v>
      </c>
      <c r="AK151" s="73">
        <f t="shared" si="22"/>
        <v>0.1851388888</v>
      </c>
      <c r="AL151" s="73">
        <f t="shared" si="23"/>
        <v>0.07459493662</v>
      </c>
      <c r="AM151" s="73">
        <f t="shared" si="24"/>
        <v>0.1608577447</v>
      </c>
      <c r="AN151" s="120">
        <f t="shared" si="25"/>
        <v>-0.8249991678</v>
      </c>
      <c r="AO151" s="120">
        <f t="shared" si="26"/>
        <v>-1.440516511</v>
      </c>
      <c r="AP151" s="120">
        <f t="array" ref="AP151">INDIRECT("Update"&amp;Projections!$AH$17&amp;"!S"&amp;ROW(B132))</f>
        <v>9.8</v>
      </c>
      <c r="AQ151" s="120">
        <f t="array" ref="AQ151">INDIRECT("Update"&amp;Projections!$AH$17&amp;"!T"&amp;ROW(B132))</f>
        <v>1.9</v>
      </c>
      <c r="AR151" s="100">
        <f t="shared" si="27"/>
        <v>-1.425452146</v>
      </c>
    </row>
    <row r="152">
      <c r="A152" s="40" t="str">
        <f t="shared" si="3"/>
        <v>Kelly Olynyk</v>
      </c>
      <c r="B152" s="42">
        <f t="shared" si="4"/>
        <v>-1.421137633</v>
      </c>
      <c r="C152" s="43">
        <f t="shared" si="5"/>
        <v>-0.8449678898</v>
      </c>
      <c r="D152" s="42">
        <f t="shared" si="6"/>
        <v>-0.4192805496</v>
      </c>
      <c r="E152" s="42">
        <f t="shared" si="7"/>
        <v>-0.2441024654</v>
      </c>
      <c r="F152" s="42">
        <f t="shared" si="8"/>
        <v>-0.5847290887</v>
      </c>
      <c r="G152" s="42">
        <f t="shared" si="9"/>
        <v>-0.6155173428</v>
      </c>
      <c r="H152" s="42">
        <f t="shared" si="10"/>
        <v>0.2150047319</v>
      </c>
      <c r="I152" s="42">
        <f>UpdateHashtag!S150</f>
        <v>6.3</v>
      </c>
      <c r="J152" s="47">
        <f t="shared" si="11"/>
        <v>0.332208501</v>
      </c>
      <c r="K152" s="48">
        <f>UpdateHashtag!T150</f>
        <v>2.4</v>
      </c>
      <c r="L152" s="42">
        <f t="shared" si="12"/>
        <v>0.1501118522</v>
      </c>
      <c r="N152" s="100">
        <f t="shared" si="13"/>
        <v>146</v>
      </c>
      <c r="O152" s="94">
        <f t="array" ref="O152">INDIRECT("Update"&amp;Projections!$AH$17&amp;"!B"&amp;ROW(B133))</f>
        <v>115.9</v>
      </c>
      <c r="P152" s="101" t="str">
        <f t="array" ref="P152">INDIRECT("Update"&amp;Projections!$AH$17&amp;"!C"&amp;ROW(B133))</f>
        <v>Bobby Portis</v>
      </c>
      <c r="Q152" s="94">
        <f>UpdateBBM!F133</f>
        <v>66</v>
      </c>
      <c r="R152" s="105" t="str">
        <f t="array" ref="R152">INDIRECT("Update"&amp;Projections!$AH$17&amp;"!D"&amp;ROW(B133))</f>
        <v>PF,C</v>
      </c>
      <c r="S152" s="73">
        <f t="shared" si="14"/>
        <v>-1.768469995</v>
      </c>
      <c r="T152" s="73">
        <f>SUM(AE152:AM152)-IFERROR(IFS(Projections!$I$17,AN152,Projections!$J$17,AO152),"")</f>
        <v>-1.768469995</v>
      </c>
      <c r="U152" s="73">
        <f t="shared" si="15"/>
        <v>0</v>
      </c>
      <c r="V152" s="73">
        <f t="array" ref="V152">INDIRECT("Update"&amp;Projections!$AH$17&amp;"!M"&amp;ROW(B133))</f>
        <v>14.1</v>
      </c>
      <c r="W152" s="73">
        <f t="array" ref="W152">INDIRECT("Update"&amp;Projections!$AH$17&amp;"!L"&amp;ROW(B133))</f>
        <v>1.3</v>
      </c>
      <c r="X152" s="73">
        <f t="array" ref="X152">INDIRECT("Update"&amp;Projections!$AH$17&amp;"!N"&amp;ROW(B133))</f>
        <v>8.3</v>
      </c>
      <c r="Y152" s="73">
        <f t="array" ref="Y152">INDIRECT("Update"&amp;Projections!$AH$17&amp;"!O"&amp;ROW(B133))</f>
        <v>1.4</v>
      </c>
      <c r="Z152" s="73">
        <f t="array" ref="Z152">INDIRECT("Update"&amp;Projections!$AH$17&amp;"!P"&amp;ROW(B133))</f>
        <v>0.7</v>
      </c>
      <c r="AA152" s="73">
        <f t="array" ref="AA152">INDIRECT("Update"&amp;Projections!$AH$17&amp;"!Q"&amp;ROW(B133))</f>
        <v>0.3</v>
      </c>
      <c r="AB152" s="107">
        <f t="array" ref="AB152">INDIRECT("Update"&amp;Projections!$AH$17&amp;"!I"&amp;ROW(B133))</f>
        <v>0.502</v>
      </c>
      <c r="AC152" s="107">
        <f t="array" ref="AC152">INDIRECT("Update"&amp;Projections!$AH$17&amp;"!K"&amp;ROW(B133))</f>
        <v>0.777</v>
      </c>
      <c r="AD152" s="73">
        <f t="array" ref="AD152">INDIRECT("Update"&amp;Projections!$AH$17&amp;"!R"&amp;ROW(B133))</f>
        <v>1.1</v>
      </c>
      <c r="AE152" s="73">
        <f t="shared" si="16"/>
        <v>-0.6082215442</v>
      </c>
      <c r="AF152" s="73">
        <f t="shared" si="17"/>
        <v>-0.4468706937</v>
      </c>
      <c r="AG152" s="73">
        <f t="shared" si="18"/>
        <v>0.8751896975</v>
      </c>
      <c r="AH152" s="73">
        <f t="shared" si="19"/>
        <v>-1.155337874</v>
      </c>
      <c r="AI152" s="73">
        <f t="shared" si="20"/>
        <v>-0.9166617668</v>
      </c>
      <c r="AJ152" s="73">
        <f t="shared" si="21"/>
        <v>-0.7939110449</v>
      </c>
      <c r="AK152" s="73">
        <f t="shared" si="22"/>
        <v>0.06899670282</v>
      </c>
      <c r="AL152" s="73">
        <f t="shared" si="23"/>
        <v>-0.1078490901</v>
      </c>
      <c r="AM152" s="73">
        <f t="shared" si="24"/>
        <v>0.1608577447</v>
      </c>
      <c r="AN152" s="120">
        <f t="shared" si="25"/>
        <v>-1.155337874</v>
      </c>
      <c r="AO152" s="120">
        <f t="shared" si="26"/>
        <v>-2.071999641</v>
      </c>
      <c r="AP152" s="120">
        <f t="array" ref="AP152">INDIRECT("Update"&amp;Projections!$AH$17&amp;"!S"&amp;ROW(B133))</f>
        <v>11.5</v>
      </c>
      <c r="AQ152" s="120">
        <f t="array" ref="AQ152">INDIRECT("Update"&amp;Projections!$AH$17&amp;"!T"&amp;ROW(B133))</f>
        <v>1.7</v>
      </c>
      <c r="AR152" s="100">
        <f t="shared" si="27"/>
        <v>-1.454163596</v>
      </c>
    </row>
    <row r="153">
      <c r="A153" s="40" t="str">
        <f t="shared" si="3"/>
        <v>Bilal Coulibaly</v>
      </c>
      <c r="B153" s="42">
        <f t="shared" si="4"/>
        <v>-1.132100801</v>
      </c>
      <c r="C153" s="43">
        <f t="shared" si="5"/>
        <v>-0.4468706937</v>
      </c>
      <c r="D153" s="42">
        <f t="shared" si="6"/>
        <v>-0.3016014363</v>
      </c>
      <c r="E153" s="42">
        <f t="shared" si="7"/>
        <v>-0.74528194</v>
      </c>
      <c r="F153" s="42">
        <f t="shared" si="8"/>
        <v>0.743001624</v>
      </c>
      <c r="G153" s="42">
        <f t="shared" si="9"/>
        <v>0.4548448695</v>
      </c>
      <c r="H153" s="42">
        <f t="shared" si="10"/>
        <v>-0.5894310822</v>
      </c>
      <c r="I153" s="42">
        <f>UpdateHashtag!S151</f>
        <v>9</v>
      </c>
      <c r="J153" s="47">
        <f t="shared" si="11"/>
        <v>-0.8501796427</v>
      </c>
      <c r="K153" s="48">
        <f>UpdateHashtag!T151</f>
        <v>2.7</v>
      </c>
      <c r="L153" s="42">
        <f t="shared" si="12"/>
        <v>0.05091899834</v>
      </c>
      <c r="N153" s="100">
        <f t="shared" si="13"/>
        <v>143</v>
      </c>
      <c r="O153" s="94">
        <f t="array" ref="O153">INDIRECT("Update"&amp;Projections!$AH$17&amp;"!B"&amp;ROW(B134))</f>
        <v>118.7</v>
      </c>
      <c r="P153" s="101" t="str">
        <f t="array" ref="P153">INDIRECT("Update"&amp;Projections!$AH$17&amp;"!C"&amp;ROW(B134))</f>
        <v>Keyonte George</v>
      </c>
      <c r="Q153" s="94">
        <f>UpdateBBM!F134</f>
        <v>71</v>
      </c>
      <c r="R153" s="105" t="str">
        <f t="array" ref="R153">INDIRECT("Update"&amp;Projections!$AH$17&amp;"!D"&amp;ROW(B134))</f>
        <v>PG,SG</v>
      </c>
      <c r="S153" s="73">
        <f t="shared" si="14"/>
        <v>-1.693362481</v>
      </c>
      <c r="T153" s="73">
        <f>SUM(AE153:AM153)-IFERROR(IFS(Projections!$I$17,AN153,Projections!$J$17,AO153),"")</f>
        <v>-1.693362481</v>
      </c>
      <c r="U153" s="73">
        <f t="shared" si="15"/>
        <v>0</v>
      </c>
      <c r="V153" s="73">
        <f t="array" ref="V153">INDIRECT("Update"&amp;Projections!$AH$17&amp;"!M"&amp;ROW(B134))</f>
        <v>16.3</v>
      </c>
      <c r="W153" s="73">
        <f t="array" ref="W153">INDIRECT("Update"&amp;Projections!$AH$17&amp;"!L"&amp;ROW(B134))</f>
        <v>2.4</v>
      </c>
      <c r="X153" s="73">
        <f t="array" ref="X153">INDIRECT("Update"&amp;Projections!$AH$17&amp;"!N"&amp;ROW(B134))</f>
        <v>3.3</v>
      </c>
      <c r="Y153" s="73">
        <f t="array" ref="Y153">INDIRECT("Update"&amp;Projections!$AH$17&amp;"!O"&amp;ROW(B134))</f>
        <v>5.2</v>
      </c>
      <c r="Z153" s="73">
        <f t="array" ref="Z153">INDIRECT("Update"&amp;Projections!$AH$17&amp;"!P"&amp;ROW(B134))</f>
        <v>0.6</v>
      </c>
      <c r="AA153" s="73">
        <f t="array" ref="AA153">INDIRECT("Update"&amp;Projections!$AH$17&amp;"!Q"&amp;ROW(B134))</f>
        <v>0.2</v>
      </c>
      <c r="AB153" s="107">
        <f t="array" ref="AB153">INDIRECT("Update"&amp;Projections!$AH$17&amp;"!I"&amp;ROW(B134))</f>
        <v>0.422</v>
      </c>
      <c r="AC153" s="107">
        <f t="array" ref="AC153">INDIRECT("Update"&amp;Projections!$AH$17&amp;"!K"&amp;ROW(B134))</f>
        <v>0.851</v>
      </c>
      <c r="AD153" s="73">
        <f t="array" ref="AD153">INDIRECT("Update"&amp;Projections!$AH$17&amp;"!R"&amp;ROW(B134))</f>
        <v>2.6</v>
      </c>
      <c r="AE153" s="73">
        <f t="shared" si="16"/>
        <v>-0.2107959011</v>
      </c>
      <c r="AF153" s="73">
        <f t="shared" si="17"/>
        <v>0.6478965957</v>
      </c>
      <c r="AG153" s="73">
        <f t="shared" si="18"/>
        <v>-1.086128859</v>
      </c>
      <c r="AH153" s="73">
        <f t="shared" si="19"/>
        <v>0.5760094022</v>
      </c>
      <c r="AI153" s="73">
        <f t="shared" si="20"/>
        <v>-1.248594445</v>
      </c>
      <c r="AJ153" s="73">
        <f t="shared" si="21"/>
        <v>-0.9723047469</v>
      </c>
      <c r="AK153" s="73">
        <f t="shared" si="22"/>
        <v>-1.132108642</v>
      </c>
      <c r="AL153" s="73">
        <f t="shared" si="23"/>
        <v>0.6951851267</v>
      </c>
      <c r="AM153" s="73">
        <f t="shared" si="24"/>
        <v>-0.2111154574</v>
      </c>
      <c r="AN153" s="120">
        <f t="shared" si="25"/>
        <v>-1.248594445</v>
      </c>
      <c r="AO153" s="120">
        <f t="shared" si="26"/>
        <v>-2.380703087</v>
      </c>
      <c r="AP153" s="120">
        <f t="array" ref="AP153">INDIRECT("Update"&amp;Projections!$AH$17&amp;"!S"&amp;ROW(B134))</f>
        <v>12.9</v>
      </c>
      <c r="AQ153" s="120">
        <f t="array" ref="AQ153">INDIRECT("Update"&amp;Projections!$AH$17&amp;"!T"&amp;ROW(B134))</f>
        <v>3.5</v>
      </c>
      <c r="AR153" s="100">
        <f t="shared" si="27"/>
        <v>-1.461746362</v>
      </c>
    </row>
    <row r="154">
      <c r="A154" s="40" t="str">
        <f t="shared" si="3"/>
        <v>Kevin Porter Jr.</v>
      </c>
      <c r="B154" s="42">
        <f t="shared" si="4"/>
        <v>-0.5901567423</v>
      </c>
      <c r="C154" s="43">
        <f t="shared" si="5"/>
        <v>0.05075080149</v>
      </c>
      <c r="D154" s="42">
        <f t="shared" si="6"/>
        <v>-0.850770632</v>
      </c>
      <c r="E154" s="42">
        <f t="shared" si="7"/>
        <v>0.1659534684</v>
      </c>
      <c r="F154" s="42">
        <f t="shared" si="8"/>
        <v>0.07913626764</v>
      </c>
      <c r="G154" s="42">
        <f t="shared" si="9"/>
        <v>-0.9723047469</v>
      </c>
      <c r="H154" s="42">
        <f t="shared" si="10"/>
        <v>-0.7139557913</v>
      </c>
      <c r="I154" s="42">
        <f>UpdateHashtag!S152</f>
        <v>11.1</v>
      </c>
      <c r="J154" s="47">
        <f t="shared" si="11"/>
        <v>-0.1158606698</v>
      </c>
      <c r="K154" s="48">
        <f>UpdateHashtag!T152</f>
        <v>3.3</v>
      </c>
      <c r="L154" s="42">
        <f t="shared" si="12"/>
        <v>0.6460761218</v>
      </c>
      <c r="N154" s="100">
        <f t="shared" si="13"/>
        <v>124</v>
      </c>
      <c r="O154" s="94">
        <f t="array" ref="O154">INDIRECT("Update"&amp;Projections!$AH$17&amp;"!B"&amp;ROW(B135))</f>
        <v>140.4</v>
      </c>
      <c r="P154" s="101" t="str">
        <f t="array" ref="P154">INDIRECT("Update"&amp;Projections!$AH$17&amp;"!C"&amp;ROW(B135))</f>
        <v>Kentavious Caldwell-Pope</v>
      </c>
      <c r="Q154" s="94">
        <f>UpdateBBM!F135</f>
        <v>66</v>
      </c>
      <c r="R154" s="105" t="str">
        <f t="array" ref="R154">INDIRECT("Update"&amp;Projections!$AH$17&amp;"!D"&amp;ROW(B135))</f>
        <v>SG,SF</v>
      </c>
      <c r="S154" s="73">
        <f t="shared" si="14"/>
        <v>-1.27835281</v>
      </c>
      <c r="T154" s="73">
        <f>SUM(AE154:AM154)-IFERROR(IFS(Projections!$I$17,AN154,Projections!$J$17,AO154),"")</f>
        <v>-1.27835281</v>
      </c>
      <c r="U154" s="73">
        <f t="shared" si="15"/>
        <v>0</v>
      </c>
      <c r="V154" s="73">
        <f t="array" ref="V154">INDIRECT("Update"&amp;Projections!$AH$17&amp;"!M"&amp;ROW(B135))</f>
        <v>10.1</v>
      </c>
      <c r="W154" s="73">
        <f t="array" ref="W154">INDIRECT("Update"&amp;Projections!$AH$17&amp;"!L"&amp;ROW(B135))</f>
        <v>1.7</v>
      </c>
      <c r="X154" s="73">
        <f t="array" ref="X154">INDIRECT("Update"&amp;Projections!$AH$17&amp;"!N"&amp;ROW(B135))</f>
        <v>2.5</v>
      </c>
      <c r="Y154" s="73">
        <f t="array" ref="Y154">INDIRECT("Update"&amp;Projections!$AH$17&amp;"!O"&amp;ROW(B135))</f>
        <v>2.3</v>
      </c>
      <c r="Z154" s="73">
        <f t="array" ref="Z154">INDIRECT("Update"&amp;Projections!$AH$17&amp;"!P"&amp;ROW(B135))</f>
        <v>1.3</v>
      </c>
      <c r="AA154" s="73">
        <f t="array" ref="AA154">INDIRECT("Update"&amp;Projections!$AH$17&amp;"!Q"&amp;ROW(B135))</f>
        <v>0.5</v>
      </c>
      <c r="AB154" s="107">
        <f t="array" ref="AB154">INDIRECT("Update"&amp;Projections!$AH$17&amp;"!I"&amp;ROW(B135))</f>
        <v>0.461</v>
      </c>
      <c r="AC154" s="107">
        <f t="array" ref="AC154">INDIRECT("Update"&amp;Projections!$AH$17&amp;"!K"&amp;ROW(B135))</f>
        <v>0.861</v>
      </c>
      <c r="AD154" s="73">
        <f t="array" ref="AD154">INDIRECT("Update"&amp;Projections!$AH$17&amp;"!R"&amp;ROW(B135))</f>
        <v>1</v>
      </c>
      <c r="AE154" s="73">
        <f t="shared" si="16"/>
        <v>-1.330813623</v>
      </c>
      <c r="AF154" s="73">
        <f t="shared" si="17"/>
        <v>-0.04877349754</v>
      </c>
      <c r="AG154" s="73">
        <f t="shared" si="18"/>
        <v>-1.399939828</v>
      </c>
      <c r="AH154" s="73">
        <f t="shared" si="19"/>
        <v>-0.74528194</v>
      </c>
      <c r="AI154" s="73">
        <f t="shared" si="20"/>
        <v>1.074934302</v>
      </c>
      <c r="AJ154" s="73">
        <f t="shared" si="21"/>
        <v>-0.4371236408</v>
      </c>
      <c r="AK154" s="73">
        <f t="shared" si="22"/>
        <v>-0.3280081287</v>
      </c>
      <c r="AL154" s="73">
        <f t="shared" si="23"/>
        <v>0.3510577592</v>
      </c>
      <c r="AM154" s="73">
        <f t="shared" si="24"/>
        <v>0.1856559582</v>
      </c>
      <c r="AN154" s="120">
        <f t="shared" si="25"/>
        <v>-1.399939828</v>
      </c>
      <c r="AO154" s="120">
        <f t="shared" si="26"/>
        <v>-2.730753451</v>
      </c>
      <c r="AP154" s="120">
        <f t="array" ref="AP154">INDIRECT("Update"&amp;Projections!$AH$17&amp;"!S"&amp;ROW(B135))</f>
        <v>7.8</v>
      </c>
      <c r="AQ154" s="120">
        <f t="array" ref="AQ154">INDIRECT("Update"&amp;Projections!$AH$17&amp;"!T"&amp;ROW(B135))</f>
        <v>1.5</v>
      </c>
      <c r="AR154" s="100">
        <f t="shared" si="27"/>
        <v>-1.561896566</v>
      </c>
    </row>
    <row r="155">
      <c r="A155" s="40" t="str">
        <f t="shared" si="3"/>
        <v>Bruce Brown</v>
      </c>
      <c r="B155" s="42">
        <f t="shared" si="4"/>
        <v>-1.077906395</v>
      </c>
      <c r="C155" s="43">
        <f t="shared" si="5"/>
        <v>-0.7454435908</v>
      </c>
      <c r="D155" s="42">
        <f t="shared" si="6"/>
        <v>-0.6938651475</v>
      </c>
      <c r="E155" s="42">
        <f t="shared" si="7"/>
        <v>-0.3352260062</v>
      </c>
      <c r="F155" s="42">
        <f t="shared" si="8"/>
        <v>0.07913626764</v>
      </c>
      <c r="G155" s="42">
        <f t="shared" si="9"/>
        <v>-0.4371236408</v>
      </c>
      <c r="H155" s="42">
        <f t="shared" si="10"/>
        <v>-0.1712332143</v>
      </c>
      <c r="I155" s="42">
        <f>UpdateHashtag!S153</f>
        <v>9.2</v>
      </c>
      <c r="J155" s="47">
        <f t="shared" si="11"/>
        <v>-0.03654462373</v>
      </c>
      <c r="K155" s="48">
        <f>UpdateHashtag!T153</f>
        <v>2.1</v>
      </c>
      <c r="L155" s="42">
        <f t="shared" si="12"/>
        <v>-0.2466595634</v>
      </c>
      <c r="N155" s="100">
        <f t="shared" si="13"/>
        <v>139</v>
      </c>
      <c r="O155" s="94">
        <f t="array" ref="O155">INDIRECT("Update"&amp;Projections!$AH$17&amp;"!B"&amp;ROW(B136))</f>
        <v>133.4</v>
      </c>
      <c r="P155" s="101" t="str">
        <f t="array" ref="P155">INDIRECT("Update"&amp;Projections!$AH$17&amp;"!C"&amp;ROW(B136))</f>
        <v>Alexandre Sarr</v>
      </c>
      <c r="Q155" s="94">
        <f>UpdateBBM!F136</f>
        <v>75</v>
      </c>
      <c r="R155" s="105" t="str">
        <f t="array" ref="R155">INDIRECT("Update"&amp;Projections!$AH$17&amp;"!D"&amp;ROW(B136))</f>
        <v>PF</v>
      </c>
      <c r="S155" s="73">
        <f t="shared" si="14"/>
        <v>-1.662887443</v>
      </c>
      <c r="T155" s="73">
        <f>SUM(AE155:AM155)-IFERROR(IFS(Projections!$I$17,AN155,Projections!$J$17,AO155),"")</f>
        <v>-1.662887443</v>
      </c>
      <c r="U155" s="73">
        <f t="shared" si="15"/>
        <v>0</v>
      </c>
      <c r="V155" s="73">
        <f t="array" ref="V155">INDIRECT("Update"&amp;Projections!$AH$17&amp;"!M"&amp;ROW(B136))</f>
        <v>12.2</v>
      </c>
      <c r="W155" s="73">
        <f t="array" ref="W155">INDIRECT("Update"&amp;Projections!$AH$17&amp;"!L"&amp;ROW(B136))</f>
        <v>0.9</v>
      </c>
      <c r="X155" s="73">
        <f t="array" ref="X155">INDIRECT("Update"&amp;Projections!$AH$17&amp;"!N"&amp;ROW(B136))</f>
        <v>6.4</v>
      </c>
      <c r="Y155" s="73">
        <f t="array" ref="Y155">INDIRECT("Update"&amp;Projections!$AH$17&amp;"!O"&amp;ROW(B136))</f>
        <v>1.3</v>
      </c>
      <c r="Z155" s="73">
        <f t="array" ref="Z155">INDIRECT("Update"&amp;Projections!$AH$17&amp;"!P"&amp;ROW(B136))</f>
        <v>0.8</v>
      </c>
      <c r="AA155" s="73">
        <f t="array" ref="AA155">INDIRECT("Update"&amp;Projections!$AH$17&amp;"!Q"&amp;ROW(B136))</f>
        <v>1.9</v>
      </c>
      <c r="AB155" s="107">
        <f t="array" ref="AB155">INDIRECT("Update"&amp;Projections!$AH$17&amp;"!I"&amp;ROW(B136))</f>
        <v>0.448</v>
      </c>
      <c r="AC155" s="107">
        <f t="array" ref="AC155">INDIRECT("Update"&amp;Projections!$AH$17&amp;"!K"&amp;ROW(B136))</f>
        <v>0.711</v>
      </c>
      <c r="AD155" s="73">
        <f t="array" ref="AD155">INDIRECT("Update"&amp;Projections!$AH$17&amp;"!R"&amp;ROW(B136))</f>
        <v>1.3</v>
      </c>
      <c r="AE155" s="73">
        <f t="shared" si="16"/>
        <v>-0.9514527815</v>
      </c>
      <c r="AF155" s="73">
        <f t="shared" si="17"/>
        <v>-0.8449678898</v>
      </c>
      <c r="AG155" s="73">
        <f t="shared" si="18"/>
        <v>0.1298886461</v>
      </c>
      <c r="AH155" s="73">
        <f t="shared" si="19"/>
        <v>-1.200899644</v>
      </c>
      <c r="AI155" s="73">
        <f t="shared" si="20"/>
        <v>-0.5847290887</v>
      </c>
      <c r="AJ155" s="73">
        <f t="shared" si="21"/>
        <v>2.060388188</v>
      </c>
      <c r="AK155" s="73">
        <f t="shared" si="22"/>
        <v>-0.5728833607</v>
      </c>
      <c r="AL155" s="73">
        <f t="shared" si="23"/>
        <v>-1.010392474</v>
      </c>
      <c r="AM155" s="73">
        <f t="shared" si="24"/>
        <v>0.1112613178</v>
      </c>
      <c r="AN155" s="120">
        <f t="shared" si="25"/>
        <v>-1.200899644</v>
      </c>
      <c r="AO155" s="120">
        <f t="shared" si="26"/>
        <v>-2.211292118</v>
      </c>
      <c r="AP155" s="120">
        <f t="array" ref="AP155">INDIRECT("Update"&amp;Projections!$AH$17&amp;"!S"&amp;ROW(B136))</f>
        <v>10</v>
      </c>
      <c r="AQ155" s="120">
        <f t="array" ref="AQ155">INDIRECT("Update"&amp;Projections!$AH$17&amp;"!T"&amp;ROW(B136))</f>
        <v>3.4</v>
      </c>
      <c r="AR155" s="100">
        <f t="shared" si="27"/>
        <v>-1.579897179</v>
      </c>
    </row>
    <row r="156">
      <c r="A156" s="40" t="str">
        <f t="shared" si="3"/>
        <v>Kelly Oubre Jr.</v>
      </c>
      <c r="B156" s="42">
        <f t="shared" si="4"/>
        <v>-0.1566014952</v>
      </c>
      <c r="C156" s="43">
        <f t="shared" si="5"/>
        <v>0.05075080149</v>
      </c>
      <c r="D156" s="42">
        <f t="shared" si="6"/>
        <v>-0.4192805496</v>
      </c>
      <c r="E156" s="42">
        <f t="shared" si="7"/>
        <v>-1.200899644</v>
      </c>
      <c r="F156" s="42">
        <f t="shared" si="8"/>
        <v>0.743001624</v>
      </c>
      <c r="G156" s="42">
        <f t="shared" si="9"/>
        <v>-0.2587299387</v>
      </c>
      <c r="H156" s="42">
        <f t="shared" si="10"/>
        <v>-1.022593306</v>
      </c>
      <c r="I156" s="42">
        <f>UpdateHashtag!S154</f>
        <v>14.1</v>
      </c>
      <c r="J156" s="47">
        <f t="shared" si="11"/>
        <v>-0.420392165</v>
      </c>
      <c r="K156" s="48">
        <f>UpdateHashtag!T154</f>
        <v>3.4</v>
      </c>
      <c r="L156" s="42">
        <f t="shared" si="12"/>
        <v>-0.4450452712</v>
      </c>
      <c r="N156" s="100">
        <f t="shared" si="13"/>
        <v>138</v>
      </c>
      <c r="O156" s="94">
        <f t="array" ref="O156">INDIRECT("Update"&amp;Projections!$AH$17&amp;"!B"&amp;ROW(B137))</f>
        <v>132.1</v>
      </c>
      <c r="P156" s="101" t="str">
        <f t="array" ref="P156">INDIRECT("Update"&amp;Projections!$AH$17&amp;"!C"&amp;ROW(B137))</f>
        <v>Jaden Ivey</v>
      </c>
      <c r="Q156" s="94">
        <f>UpdateBBM!F137</f>
        <v>59</v>
      </c>
      <c r="R156" s="105" t="str">
        <f t="array" ref="R156">INDIRECT("Update"&amp;Projections!$AH$17&amp;"!D"&amp;ROW(B137))</f>
        <v>PG,SG</v>
      </c>
      <c r="S156" s="73">
        <f t="shared" si="14"/>
        <v>-1.648163516</v>
      </c>
      <c r="T156" s="73">
        <f>SUM(AE156:AM156)-IFERROR(IFS(Projections!$I$17,AN156,Projections!$J$17,AO156),"")</f>
        <v>-1.648163516</v>
      </c>
      <c r="U156" s="73">
        <f t="shared" si="15"/>
        <v>0</v>
      </c>
      <c r="V156" s="73">
        <f t="array" ref="V156">INDIRECT("Update"&amp;Projections!$AH$17&amp;"!M"&amp;ROW(B137))</f>
        <v>18.4</v>
      </c>
      <c r="W156" s="73">
        <f t="array" ref="W156">INDIRECT("Update"&amp;Projections!$AH$17&amp;"!L"&amp;ROW(B137))</f>
        <v>2.2</v>
      </c>
      <c r="X156" s="73">
        <f t="array" ref="X156">INDIRECT("Update"&amp;Projections!$AH$17&amp;"!N"&amp;ROW(B137))</f>
        <v>3.7</v>
      </c>
      <c r="Y156" s="73">
        <f t="array" ref="Y156">INDIRECT("Update"&amp;Projections!$AH$17&amp;"!O"&amp;ROW(B137))</f>
        <v>4.6</v>
      </c>
      <c r="Z156" s="73">
        <f t="array" ref="Z156">INDIRECT("Update"&amp;Projections!$AH$17&amp;"!P"&amp;ROW(B137))</f>
        <v>0.8</v>
      </c>
      <c r="AA156" s="73">
        <f t="array" ref="AA156">INDIRECT("Update"&amp;Projections!$AH$17&amp;"!Q"&amp;ROW(B137))</f>
        <v>0.6</v>
      </c>
      <c r="AB156" s="107">
        <f t="array" ref="AB156">INDIRECT("Update"&amp;Projections!$AH$17&amp;"!I"&amp;ROW(B137))</f>
        <v>0.435</v>
      </c>
      <c r="AC156" s="107">
        <f t="array" ref="AC156">INDIRECT("Update"&amp;Projections!$AH$17&amp;"!K"&amp;ROW(B137))</f>
        <v>0.759</v>
      </c>
      <c r="AD156" s="73">
        <f t="array" ref="AD156">INDIRECT("Update"&amp;Projections!$AH$17&amp;"!R"&amp;ROW(B137))</f>
        <v>2.7</v>
      </c>
      <c r="AE156" s="73">
        <f t="shared" si="16"/>
        <v>0.1685649402</v>
      </c>
      <c r="AF156" s="73">
        <f t="shared" si="17"/>
        <v>0.4488479976</v>
      </c>
      <c r="AG156" s="73">
        <f t="shared" si="18"/>
        <v>-0.9292233743</v>
      </c>
      <c r="AH156" s="73">
        <f t="shared" si="19"/>
        <v>0.3026387797</v>
      </c>
      <c r="AI156" s="73">
        <f t="shared" si="20"/>
        <v>-0.5847290887</v>
      </c>
      <c r="AJ156" s="73">
        <f t="shared" si="21"/>
        <v>-0.2587299387</v>
      </c>
      <c r="AK156" s="73">
        <f t="shared" si="22"/>
        <v>-1.07336035</v>
      </c>
      <c r="AL156" s="73">
        <f t="shared" si="23"/>
        <v>-0.5596191604</v>
      </c>
      <c r="AM156" s="73">
        <f t="shared" si="24"/>
        <v>-0.2359136709</v>
      </c>
      <c r="AN156" s="120">
        <f t="shared" si="25"/>
        <v>-1.07336035</v>
      </c>
      <c r="AO156" s="120">
        <f t="shared" si="26"/>
        <v>-2.002583724</v>
      </c>
      <c r="AP156" s="120">
        <f t="array" ref="AP156">INDIRECT("Update"&amp;Projections!$AH$17&amp;"!S"&amp;ROW(B137))</f>
        <v>14.8</v>
      </c>
      <c r="AQ156" s="120">
        <f t="array" ref="AQ156">INDIRECT("Update"&amp;Projections!$AH$17&amp;"!T"&amp;ROW(B137))</f>
        <v>4.4</v>
      </c>
      <c r="AR156" s="100">
        <f t="shared" si="27"/>
        <v>-1.607276382</v>
      </c>
    </row>
    <row r="157">
      <c r="A157" s="40" t="str">
        <f t="shared" si="3"/>
        <v>Nick Richards</v>
      </c>
      <c r="B157" s="42">
        <f t="shared" si="4"/>
        <v>-1.385008029</v>
      </c>
      <c r="C157" s="43">
        <f t="shared" si="5"/>
        <v>-1.740686581</v>
      </c>
      <c r="D157" s="42">
        <f t="shared" si="6"/>
        <v>0.7575105841</v>
      </c>
      <c r="E157" s="42">
        <f t="shared" si="7"/>
        <v>-1.428708496</v>
      </c>
      <c r="F157" s="42">
        <f t="shared" si="8"/>
        <v>-2.244392479</v>
      </c>
      <c r="G157" s="42">
        <f t="shared" si="9"/>
        <v>0.6332385715</v>
      </c>
      <c r="H157" s="42">
        <f t="shared" si="10"/>
        <v>1.081629554</v>
      </c>
      <c r="I157" s="42">
        <f>UpdateHashtag!S155</f>
        <v>5.8</v>
      </c>
      <c r="J157" s="47">
        <f t="shared" si="11"/>
        <v>-0.5515466027</v>
      </c>
      <c r="K157" s="48">
        <f>UpdateHashtag!T155</f>
        <v>3</v>
      </c>
      <c r="L157" s="42">
        <f t="shared" si="12"/>
        <v>-0.643430979</v>
      </c>
      <c r="N157" s="100">
        <f t="shared" si="13"/>
        <v>142</v>
      </c>
      <c r="O157" s="94">
        <f t="array" ref="O157">INDIRECT("Update"&amp;Projections!$AH$17&amp;"!B"&amp;ROW(B138))</f>
        <v>107.7</v>
      </c>
      <c r="P157" s="101" t="str">
        <f t="array" ref="P157">INDIRECT("Update"&amp;Projections!$AH$17&amp;"!C"&amp;ROW(B138))</f>
        <v>RJ Barrett</v>
      </c>
      <c r="Q157" s="94">
        <f>UpdateBBM!F138</f>
        <v>66</v>
      </c>
      <c r="R157" s="105" t="str">
        <f t="array" ref="R157">INDIRECT("Update"&amp;Projections!$AH$17&amp;"!D"&amp;ROW(B138))</f>
        <v>SF,PF</v>
      </c>
      <c r="S157" s="73">
        <f t="shared" si="14"/>
        <v>-1.690994715</v>
      </c>
      <c r="T157" s="73">
        <f>SUM(AE157:AM157)-IFERROR(IFS(Projections!$I$17,AN157,Projections!$J$17,AO157),"")</f>
        <v>-1.690994715</v>
      </c>
      <c r="U157" s="73">
        <f t="shared" si="15"/>
        <v>0</v>
      </c>
      <c r="V157" s="73">
        <f t="array" ref="V157">INDIRECT("Update"&amp;Projections!$AH$17&amp;"!M"&amp;ROW(B138))</f>
        <v>21.2</v>
      </c>
      <c r="W157" s="73">
        <f t="array" ref="W157">INDIRECT("Update"&amp;Projections!$AH$17&amp;"!L"&amp;ROW(B138))</f>
        <v>1.6</v>
      </c>
      <c r="X157" s="73">
        <f t="array" ref="X157">INDIRECT("Update"&amp;Projections!$AH$17&amp;"!N"&amp;ROW(B138))</f>
        <v>6.4</v>
      </c>
      <c r="Y157" s="73">
        <f t="array" ref="Y157">INDIRECT("Update"&amp;Projections!$AH$17&amp;"!O"&amp;ROW(B138))</f>
        <v>3.8</v>
      </c>
      <c r="Z157" s="73">
        <f t="array" ref="Z157">INDIRECT("Update"&amp;Projections!$AH$17&amp;"!P"&amp;ROW(B138))</f>
        <v>0.6</v>
      </c>
      <c r="AA157" s="73">
        <f t="array" ref="AA157">INDIRECT("Update"&amp;Projections!$AH$17&amp;"!Q"&amp;ROW(B138))</f>
        <v>0.4</v>
      </c>
      <c r="AB157" s="107">
        <f t="array" ref="AB157">INDIRECT("Update"&amp;Projections!$AH$17&amp;"!I"&amp;ROW(B138))</f>
        <v>0.482</v>
      </c>
      <c r="AC157" s="107">
        <f t="array" ref="AC157">INDIRECT("Update"&amp;Projections!$AH$17&amp;"!K"&amp;ROW(B138))</f>
        <v>0.726</v>
      </c>
      <c r="AD157" s="73">
        <f t="array" ref="AD157">INDIRECT("Update"&amp;Projections!$AH$17&amp;"!R"&amp;ROW(B138))</f>
        <v>2.3</v>
      </c>
      <c r="AE157" s="73">
        <f t="shared" si="16"/>
        <v>0.6743793951</v>
      </c>
      <c r="AF157" s="73">
        <f t="shared" si="17"/>
        <v>-0.1482977966</v>
      </c>
      <c r="AG157" s="73">
        <f t="shared" si="18"/>
        <v>0.1298886461</v>
      </c>
      <c r="AH157" s="73">
        <f t="shared" si="19"/>
        <v>-0.06185538369</v>
      </c>
      <c r="AI157" s="73">
        <f t="shared" si="20"/>
        <v>-1.248594445</v>
      </c>
      <c r="AJ157" s="73">
        <f t="shared" si="21"/>
        <v>-0.6155173428</v>
      </c>
      <c r="AK157" s="73">
        <f t="shared" si="22"/>
        <v>-0.2842769714</v>
      </c>
      <c r="AL157" s="73">
        <f t="shared" si="23"/>
        <v>-1.317886096</v>
      </c>
      <c r="AM157" s="73">
        <f t="shared" si="24"/>
        <v>-0.136720817</v>
      </c>
      <c r="AN157" s="120">
        <f t="shared" si="25"/>
        <v>-1.317886096</v>
      </c>
      <c r="AO157" s="120">
        <f t="shared" si="26"/>
        <v>-2.566480541</v>
      </c>
      <c r="AP157" s="120">
        <f t="array" ref="AP157">INDIRECT("Update"&amp;Projections!$AH$17&amp;"!S"&amp;ROW(B138))</f>
        <v>16.3</v>
      </c>
      <c r="AQ157" s="120">
        <f t="array" ref="AQ157">INDIRECT("Update"&amp;Projections!$AH$17&amp;"!T"&amp;ROW(B138))</f>
        <v>5.4</v>
      </c>
      <c r="AR157" s="100">
        <f t="shared" si="27"/>
        <v>-1.62724118</v>
      </c>
    </row>
    <row r="158">
      <c r="A158" s="40" t="str">
        <f t="shared" si="3"/>
        <v>Noah Clowney</v>
      </c>
      <c r="B158" s="42">
        <f t="shared" si="4"/>
        <v>-1.403072831</v>
      </c>
      <c r="C158" s="43">
        <f t="shared" si="5"/>
        <v>-0.8449678898</v>
      </c>
      <c r="D158" s="42">
        <f t="shared" si="6"/>
        <v>-0.1054695806</v>
      </c>
      <c r="E158" s="42">
        <f t="shared" si="7"/>
        <v>-1.200899644</v>
      </c>
      <c r="F158" s="42">
        <f t="shared" si="8"/>
        <v>-1.248594445</v>
      </c>
      <c r="G158" s="42">
        <f t="shared" si="9"/>
        <v>0.6332385715</v>
      </c>
      <c r="H158" s="42">
        <f t="shared" si="10"/>
        <v>0.4263584094</v>
      </c>
      <c r="I158" s="42">
        <f>UpdateHashtag!S156</f>
        <v>6.6</v>
      </c>
      <c r="J158" s="47">
        <f t="shared" si="11"/>
        <v>-0.4976373022</v>
      </c>
      <c r="K158" s="48">
        <f>UpdateHashtag!T156</f>
        <v>2.1</v>
      </c>
      <c r="L158" s="42">
        <f t="shared" si="12"/>
        <v>-0.643430979</v>
      </c>
      <c r="N158" s="100">
        <f t="shared" si="13"/>
        <v>136</v>
      </c>
      <c r="O158" s="94">
        <f t="array" ref="O158">INDIRECT("Update"&amp;Projections!$AH$17&amp;"!B"&amp;ROW(B139))</f>
        <v>134.2</v>
      </c>
      <c r="P158" s="101" t="str">
        <f t="array" ref="P158">INDIRECT("Update"&amp;Projections!$AH$17&amp;"!C"&amp;ROW(B139))</f>
        <v>P.J. Washington</v>
      </c>
      <c r="Q158" s="94">
        <f>UpdateBBM!F139</f>
        <v>68</v>
      </c>
      <c r="R158" s="105" t="str">
        <f t="array" ref="R158">INDIRECT("Update"&amp;Projections!$AH$17&amp;"!D"&amp;ROW(B139))</f>
        <v>PF</v>
      </c>
      <c r="S158" s="73">
        <f t="shared" si="14"/>
        <v>-1.607276382</v>
      </c>
      <c r="T158" s="73">
        <f>SUM(AE158:AM158)-IFERROR(IFS(Projections!$I$17,AN158,Projections!$J$17,AO158),"")</f>
        <v>-1.607276382</v>
      </c>
      <c r="U158" s="73">
        <f t="shared" si="15"/>
        <v>0</v>
      </c>
      <c r="V158" s="73">
        <f t="array" ref="V158">INDIRECT("Update"&amp;Projections!$AH$17&amp;"!M"&amp;ROW(B139))</f>
        <v>12.4</v>
      </c>
      <c r="W158" s="73">
        <f t="array" ref="W158">INDIRECT("Update"&amp;Projections!$AH$17&amp;"!L"&amp;ROW(B139))</f>
        <v>1.9</v>
      </c>
      <c r="X158" s="73">
        <f t="array" ref="X158">INDIRECT("Update"&amp;Projections!$AH$17&amp;"!N"&amp;ROW(B139))</f>
        <v>5.5</v>
      </c>
      <c r="Y158" s="73">
        <f t="array" ref="Y158">INDIRECT("Update"&amp;Projections!$AH$17&amp;"!O"&amp;ROW(B139))</f>
        <v>2.1</v>
      </c>
      <c r="Z158" s="73">
        <f t="array" ref="Z158">INDIRECT("Update"&amp;Projections!$AH$17&amp;"!P"&amp;ROW(B139))</f>
        <v>1.1</v>
      </c>
      <c r="AA158" s="73">
        <f t="array" ref="AA158">INDIRECT("Update"&amp;Projections!$AH$17&amp;"!Q"&amp;ROW(B139))</f>
        <v>0.9</v>
      </c>
      <c r="AB158" s="107">
        <f t="array" ref="AB158">INDIRECT("Update"&amp;Projections!$AH$17&amp;"!I"&amp;ROW(B139))</f>
        <v>0.431</v>
      </c>
      <c r="AC158" s="107">
        <f t="array" ref="AC158">INDIRECT("Update"&amp;Projections!$AH$17&amp;"!K"&amp;ROW(B139))</f>
        <v>0.706</v>
      </c>
      <c r="AD158" s="73">
        <f t="array" ref="AD158">INDIRECT("Update"&amp;Projections!$AH$17&amp;"!R"&amp;ROW(B139))</f>
        <v>1.4</v>
      </c>
      <c r="AE158" s="73">
        <f t="shared" si="16"/>
        <v>-0.9153231776</v>
      </c>
      <c r="AF158" s="73">
        <f t="shared" si="17"/>
        <v>0.1502751005</v>
      </c>
      <c r="AG158" s="73">
        <f t="shared" si="18"/>
        <v>-0.223148694</v>
      </c>
      <c r="AH158" s="73">
        <f t="shared" si="19"/>
        <v>-0.8364054809</v>
      </c>
      <c r="AI158" s="73">
        <f t="shared" si="20"/>
        <v>0.4110689458</v>
      </c>
      <c r="AJ158" s="73">
        <f t="shared" si="21"/>
        <v>0.2764511674</v>
      </c>
      <c r="AK158" s="73">
        <f t="shared" si="22"/>
        <v>-0.8107296919</v>
      </c>
      <c r="AL158" s="73">
        <f t="shared" si="23"/>
        <v>-0.6612508332</v>
      </c>
      <c r="AM158" s="73">
        <f t="shared" si="24"/>
        <v>0.08646310432</v>
      </c>
      <c r="AN158" s="120">
        <f t="shared" si="25"/>
        <v>-0.9153231776</v>
      </c>
      <c r="AO158" s="120">
        <f t="shared" si="26"/>
        <v>-1.751728658</v>
      </c>
      <c r="AP158" s="120">
        <f t="array" ref="AP158">INDIRECT("Update"&amp;Projections!$AH$17&amp;"!S"&amp;ROW(B139))</f>
        <v>10.5</v>
      </c>
      <c r="AQ158" s="120">
        <f t="array" ref="AQ158">INDIRECT("Update"&amp;Projections!$AH$17&amp;"!T"&amp;ROW(B139))</f>
        <v>2.1</v>
      </c>
      <c r="AR158" s="100">
        <f t="shared" si="27"/>
        <v>-1.648163516</v>
      </c>
    </row>
    <row r="159">
      <c r="A159" s="40" t="str">
        <f t="shared" si="3"/>
        <v>Mitchell Robinson</v>
      </c>
      <c r="B159" s="42">
        <f t="shared" si="4"/>
        <v>-1.926952088</v>
      </c>
      <c r="C159" s="43">
        <f t="shared" si="5"/>
        <v>-1.740686581</v>
      </c>
      <c r="D159" s="42">
        <f t="shared" si="6"/>
        <v>1.189000666</v>
      </c>
      <c r="E159" s="42">
        <f t="shared" si="7"/>
        <v>-1.428708496</v>
      </c>
      <c r="F159" s="42">
        <f t="shared" si="8"/>
        <v>0.07913626764</v>
      </c>
      <c r="G159" s="42">
        <f t="shared" si="9"/>
        <v>1.525207082</v>
      </c>
      <c r="H159" s="42">
        <f t="shared" si="10"/>
        <v>0.7548112774</v>
      </c>
      <c r="I159" s="42">
        <f>UpdateHashtag!S157</f>
        <v>4.5</v>
      </c>
      <c r="J159" s="47">
        <f t="shared" si="11"/>
        <v>-2.498184568</v>
      </c>
      <c r="K159" s="48">
        <f>UpdateHashtag!T157</f>
        <v>2.1</v>
      </c>
      <c r="L159" s="42">
        <f t="shared" si="12"/>
        <v>-1.040202395</v>
      </c>
      <c r="N159" s="100">
        <f t="shared" si="13"/>
        <v>156</v>
      </c>
      <c r="O159" s="94">
        <f t="array" ref="O159">INDIRECT("Update"&amp;Projections!$AH$17&amp;"!B"&amp;ROW(B140))</f>
        <v>129.5</v>
      </c>
      <c r="P159" s="101" t="str">
        <f t="array" ref="P159">INDIRECT("Update"&amp;Projections!$AH$17&amp;"!C"&amp;ROW(B140))</f>
        <v>Malik Monk</v>
      </c>
      <c r="Q159" s="94">
        <f>UpdateBBM!F140</f>
        <v>48</v>
      </c>
      <c r="R159" s="105" t="str">
        <f t="array" ref="R159">INDIRECT("Update"&amp;Projections!$AH$17&amp;"!D"&amp;ROW(B140))</f>
        <v>SG,SF</v>
      </c>
      <c r="S159" s="73">
        <f t="shared" si="14"/>
        <v>-1.989940698</v>
      </c>
      <c r="T159" s="73">
        <f>SUM(AE159:AM159)-IFERROR(IFS(Projections!$I$17,AN159,Projections!$J$17,AO159),"")</f>
        <v>-1.989940698</v>
      </c>
      <c r="U159" s="73">
        <f t="shared" si="15"/>
        <v>0</v>
      </c>
      <c r="V159" s="73">
        <f t="array" ref="V159">INDIRECT("Update"&amp;Projections!$AH$17&amp;"!M"&amp;ROW(B140))</f>
        <v>14.5</v>
      </c>
      <c r="W159" s="73">
        <f t="array" ref="W159">INDIRECT("Update"&amp;Projections!$AH$17&amp;"!L"&amp;ROW(B140))</f>
        <v>2</v>
      </c>
      <c r="X159" s="73">
        <f t="array" ref="X159">INDIRECT("Update"&amp;Projections!$AH$17&amp;"!N"&amp;ROW(B140))</f>
        <v>2.8</v>
      </c>
      <c r="Y159" s="73">
        <f t="array" ref="Y159">INDIRECT("Update"&amp;Projections!$AH$17&amp;"!O"&amp;ROW(B140))</f>
        <v>4.5</v>
      </c>
      <c r="Z159" s="73">
        <f t="array" ref="Z159">INDIRECT("Update"&amp;Projections!$AH$17&amp;"!P"&amp;ROW(B140))</f>
        <v>0.6</v>
      </c>
      <c r="AA159" s="73">
        <f t="array" ref="AA159">INDIRECT("Update"&amp;Projections!$AH$17&amp;"!Q"&amp;ROW(B140))</f>
        <v>0.4</v>
      </c>
      <c r="AB159" s="107">
        <f t="array" ref="AB159">INDIRECT("Update"&amp;Projections!$AH$17&amp;"!I"&amp;ROW(B140))</f>
        <v>0.446</v>
      </c>
      <c r="AC159" s="107">
        <f t="array" ref="AC159">INDIRECT("Update"&amp;Projections!$AH$17&amp;"!K"&amp;ROW(B140))</f>
        <v>0.86</v>
      </c>
      <c r="AD159" s="73">
        <f t="array" ref="AD159">INDIRECT("Update"&amp;Projections!$AH$17&amp;"!R"&amp;ROW(B140))</f>
        <v>2</v>
      </c>
      <c r="AE159" s="73">
        <f t="shared" si="16"/>
        <v>-0.5359623364</v>
      </c>
      <c r="AF159" s="73">
        <f t="shared" si="17"/>
        <v>0.2497993996</v>
      </c>
      <c r="AG159" s="73">
        <f t="shared" si="18"/>
        <v>-1.282260714</v>
      </c>
      <c r="AH159" s="73">
        <f t="shared" si="19"/>
        <v>0.2570770093</v>
      </c>
      <c r="AI159" s="73">
        <f t="shared" si="20"/>
        <v>-1.248594445</v>
      </c>
      <c r="AJ159" s="73">
        <f t="shared" si="21"/>
        <v>-0.6155173428</v>
      </c>
      <c r="AK159" s="73">
        <f t="shared" si="22"/>
        <v>-0.6798086521</v>
      </c>
      <c r="AL159" s="73">
        <f t="shared" si="23"/>
        <v>0.6453918455</v>
      </c>
      <c r="AM159" s="73">
        <f t="shared" si="24"/>
        <v>-0.06232617654</v>
      </c>
      <c r="AN159" s="120">
        <f t="shared" si="25"/>
        <v>-1.282260714</v>
      </c>
      <c r="AO159" s="120">
        <f t="shared" si="26"/>
        <v>-2.530855159</v>
      </c>
      <c r="AP159" s="120">
        <f t="array" ref="AP159">INDIRECT("Update"&amp;Projections!$AH$17&amp;"!S"&amp;ROW(B140))</f>
        <v>11.4</v>
      </c>
      <c r="AQ159" s="120">
        <f t="array" ref="AQ159">INDIRECT("Update"&amp;Projections!$AH$17&amp;"!T"&amp;ROW(B140))</f>
        <v>2.8</v>
      </c>
      <c r="AR159" s="100">
        <f t="shared" si="27"/>
        <v>-1.662887443</v>
      </c>
    </row>
    <row r="160">
      <c r="A160" s="40" t="str">
        <f t="shared" si="3"/>
        <v>Donovan Clingan</v>
      </c>
      <c r="B160" s="42">
        <f t="shared" si="4"/>
        <v>-1.312748821</v>
      </c>
      <c r="C160" s="43">
        <f t="shared" si="5"/>
        <v>-1.442113684</v>
      </c>
      <c r="D160" s="42">
        <f t="shared" si="6"/>
        <v>-0.1839223229</v>
      </c>
      <c r="E160" s="42">
        <f t="shared" si="7"/>
        <v>-1.246461415</v>
      </c>
      <c r="F160" s="42">
        <f t="shared" si="8"/>
        <v>-1.912459801</v>
      </c>
      <c r="G160" s="42">
        <f t="shared" si="9"/>
        <v>2.060388188</v>
      </c>
      <c r="H160" s="42">
        <f t="shared" si="10"/>
        <v>1.066008567</v>
      </c>
      <c r="I160" s="42">
        <f>UpdateHashtag!S158</f>
        <v>6.4</v>
      </c>
      <c r="J160" s="47">
        <f t="shared" si="11"/>
        <v>-1.919627028</v>
      </c>
      <c r="K160" s="48">
        <f>UpdateHashtag!T158</f>
        <v>2.9</v>
      </c>
      <c r="L160" s="42">
        <f t="shared" si="12"/>
        <v>-1.139395249</v>
      </c>
      <c r="N160" s="100">
        <f t="shared" si="13"/>
        <v>147</v>
      </c>
      <c r="O160" s="94">
        <f t="array" ref="O160">INDIRECT("Update"&amp;Projections!$AH$17&amp;"!B"&amp;ROW(B141))</f>
        <v>139.5</v>
      </c>
      <c r="P160" s="101" t="str">
        <f t="array" ref="P160">INDIRECT("Update"&amp;Projections!$AH$17&amp;"!C"&amp;ROW(B141))</f>
        <v>Luguentz Dort</v>
      </c>
      <c r="Q160" s="94">
        <f>UpdateBBM!F141</f>
        <v>71</v>
      </c>
      <c r="R160" s="105" t="str">
        <f t="array" ref="R160">INDIRECT("Update"&amp;Projections!$AH$17&amp;"!D"&amp;ROW(B141))</f>
        <v>SG,SF</v>
      </c>
      <c r="S160" s="73">
        <f t="shared" si="14"/>
        <v>-1.806635477</v>
      </c>
      <c r="T160" s="73">
        <f>SUM(AE160:AM160)-IFERROR(IFS(Projections!$I$17,AN160,Projections!$J$17,AO160),"")</f>
        <v>-1.806635477</v>
      </c>
      <c r="U160" s="73">
        <f t="shared" si="15"/>
        <v>0</v>
      </c>
      <c r="V160" s="73">
        <f t="array" ref="V160">INDIRECT("Update"&amp;Projections!$AH$17&amp;"!M"&amp;ROW(B141))</f>
        <v>12</v>
      </c>
      <c r="W160" s="73">
        <f t="array" ref="W160">INDIRECT("Update"&amp;Projections!$AH$17&amp;"!L"&amp;ROW(B141))</f>
        <v>2</v>
      </c>
      <c r="X160" s="73">
        <f t="array" ref="X160">INDIRECT("Update"&amp;Projections!$AH$17&amp;"!N"&amp;ROW(B141))</f>
        <v>4.2</v>
      </c>
      <c r="Y160" s="73">
        <f t="array" ref="Y160">INDIRECT("Update"&amp;Projections!$AH$17&amp;"!O"&amp;ROW(B141))</f>
        <v>1.8</v>
      </c>
      <c r="Z160" s="73">
        <f t="array" ref="Z160">INDIRECT("Update"&amp;Projections!$AH$17&amp;"!P"&amp;ROW(B141))</f>
        <v>1</v>
      </c>
      <c r="AA160" s="73">
        <f t="array" ref="AA160">INDIRECT("Update"&amp;Projections!$AH$17&amp;"!Q"&amp;ROW(B141))</f>
        <v>0.7</v>
      </c>
      <c r="AB160" s="107">
        <f t="array" ref="AB160">INDIRECT("Update"&amp;Projections!$AH$17&amp;"!I"&amp;ROW(B141))</f>
        <v>0.433</v>
      </c>
      <c r="AC160" s="107">
        <f t="array" ref="AC160">INDIRECT("Update"&amp;Projections!$AH$17&amp;"!K"&amp;ROW(B141))</f>
        <v>0.824</v>
      </c>
      <c r="AD160" s="73">
        <f t="array" ref="AD160">INDIRECT("Update"&amp;Projections!$AH$17&amp;"!R"&amp;ROW(B141))</f>
        <v>1.1</v>
      </c>
      <c r="AE160" s="73">
        <f t="shared" si="16"/>
        <v>-0.9875823855</v>
      </c>
      <c r="AF160" s="73">
        <f t="shared" si="17"/>
        <v>0.2497993996</v>
      </c>
      <c r="AG160" s="73">
        <f t="shared" si="18"/>
        <v>-0.7330915186</v>
      </c>
      <c r="AH160" s="73">
        <f t="shared" si="19"/>
        <v>-0.9730907921</v>
      </c>
      <c r="AI160" s="73">
        <f t="shared" si="20"/>
        <v>0.07913626764</v>
      </c>
      <c r="AJ160" s="73">
        <f t="shared" si="21"/>
        <v>-0.08033623669</v>
      </c>
      <c r="AK160" s="73">
        <f t="shared" si="22"/>
        <v>-0.7262229929</v>
      </c>
      <c r="AL160" s="73">
        <f t="shared" si="23"/>
        <v>0.2163126515</v>
      </c>
      <c r="AM160" s="73">
        <f t="shared" si="24"/>
        <v>0.1608577447</v>
      </c>
      <c r="AN160" s="120">
        <f t="shared" si="25"/>
        <v>-0.9875823855</v>
      </c>
      <c r="AO160" s="120">
        <f t="shared" si="26"/>
        <v>-1.960673178</v>
      </c>
      <c r="AP160" s="120">
        <f t="array" ref="AP160">INDIRECT("Update"&amp;Projections!$AH$17&amp;"!S"&amp;ROW(B141))</f>
        <v>9.7</v>
      </c>
      <c r="AQ160" s="120">
        <f t="array" ref="AQ160">INDIRECT("Update"&amp;Projections!$AH$17&amp;"!T"&amp;ROW(B141))</f>
        <v>2.1</v>
      </c>
      <c r="AR160" s="100">
        <f t="shared" si="27"/>
        <v>-1.663669412</v>
      </c>
    </row>
    <row r="161">
      <c r="A161" s="40" t="str">
        <f t="shared" si="3"/>
        <v>Tari Eason</v>
      </c>
      <c r="B161" s="42">
        <f t="shared" si="4"/>
        <v>-1.385008029</v>
      </c>
      <c r="C161" s="43">
        <f t="shared" si="5"/>
        <v>-0.9444921888</v>
      </c>
      <c r="D161" s="42">
        <f t="shared" si="6"/>
        <v>0.404473244</v>
      </c>
      <c r="E161" s="42">
        <f t="shared" si="7"/>
        <v>-1.246461415</v>
      </c>
      <c r="F161" s="42">
        <f t="shared" si="8"/>
        <v>1.074934302</v>
      </c>
      <c r="G161" s="42">
        <f t="shared" si="9"/>
        <v>-0.08033623669</v>
      </c>
      <c r="H161" s="42">
        <f t="shared" si="10"/>
        <v>-0.3972927867</v>
      </c>
      <c r="I161" s="42">
        <f>UpdateHashtag!S159</f>
        <v>8.5</v>
      </c>
      <c r="J161" s="47">
        <f t="shared" si="11"/>
        <v>-0.4010480464</v>
      </c>
      <c r="K161" s="48">
        <f>UpdateHashtag!T159</f>
        <v>1.8</v>
      </c>
      <c r="L161" s="42">
        <f t="shared" si="12"/>
        <v>-0.5442381251</v>
      </c>
      <c r="N161" s="100">
        <f t="shared" si="13"/>
        <v>133</v>
      </c>
      <c r="O161" s="94">
        <f t="array" ref="O161">INDIRECT("Update"&amp;Projections!$AH$17&amp;"!B"&amp;ROW(B142))</f>
        <v>138.1</v>
      </c>
      <c r="P161" s="101" t="str">
        <f t="array" ref="P161">INDIRECT("Update"&amp;Projections!$AH$17&amp;"!C"&amp;ROW(B142))</f>
        <v>Ausar Thompson</v>
      </c>
      <c r="Q161" s="94">
        <f>UpdateBBM!F142</f>
        <v>66</v>
      </c>
      <c r="R161" s="105" t="str">
        <f t="array" ref="R161">INDIRECT("Update"&amp;Projections!$AH$17&amp;"!D"&amp;ROW(B142))</f>
        <v>SF,PF</v>
      </c>
      <c r="S161" s="73">
        <f t="shared" si="14"/>
        <v>-1.461746362</v>
      </c>
      <c r="T161" s="73">
        <f>SUM(AE161:AM161)-IFERROR(IFS(Projections!$I$17,AN161,Projections!$J$17,AO161),"")</f>
        <v>-1.461746362</v>
      </c>
      <c r="U161" s="73">
        <f t="shared" si="15"/>
        <v>0</v>
      </c>
      <c r="V161" s="73">
        <f t="array" ref="V161">INDIRECT("Update"&amp;Projections!$AH$17&amp;"!M"&amp;ROW(B142))</f>
        <v>10.6</v>
      </c>
      <c r="W161" s="73">
        <f t="array" ref="W161">INDIRECT("Update"&amp;Projections!$AH$17&amp;"!L"&amp;ROW(B142))</f>
        <v>0.4</v>
      </c>
      <c r="X161" s="73">
        <f t="array" ref="X161">INDIRECT("Update"&amp;Projections!$AH$17&amp;"!N"&amp;ROW(B142))</f>
        <v>7.2</v>
      </c>
      <c r="Y161" s="73">
        <f t="array" ref="Y161">INDIRECT("Update"&amp;Projections!$AH$17&amp;"!O"&amp;ROW(B142))</f>
        <v>2.2</v>
      </c>
      <c r="Z161" s="73">
        <f t="array" ref="Z161">INDIRECT("Update"&amp;Projections!$AH$17&amp;"!P"&amp;ROW(B142))</f>
        <v>1.2</v>
      </c>
      <c r="AA161" s="73">
        <f t="array" ref="AA161">INDIRECT("Update"&amp;Projections!$AH$17&amp;"!Q"&amp;ROW(B142))</f>
        <v>1.1</v>
      </c>
      <c r="AB161" s="107">
        <f t="array" ref="AB161">INDIRECT("Update"&amp;Projections!$AH$17&amp;"!I"&amp;ROW(B142))</f>
        <v>0.493</v>
      </c>
      <c r="AC161" s="107">
        <f t="array" ref="AC161">INDIRECT("Update"&amp;Projections!$AH$17&amp;"!K"&amp;ROW(B142))</f>
        <v>0.624</v>
      </c>
      <c r="AD161" s="73">
        <f t="array" ref="AD161">INDIRECT("Update"&amp;Projections!$AH$17&amp;"!R"&amp;ROW(B142))</f>
        <v>1.5</v>
      </c>
      <c r="AE161" s="73">
        <f t="shared" si="16"/>
        <v>-1.240489613</v>
      </c>
      <c r="AF161" s="73">
        <f t="shared" si="17"/>
        <v>-1.342589385</v>
      </c>
      <c r="AG161" s="73">
        <f t="shared" si="18"/>
        <v>0.4436996151</v>
      </c>
      <c r="AH161" s="73">
        <f t="shared" si="19"/>
        <v>-0.7908437104</v>
      </c>
      <c r="AI161" s="73">
        <f t="shared" si="20"/>
        <v>0.743001624</v>
      </c>
      <c r="AJ161" s="73">
        <f t="shared" si="21"/>
        <v>0.6332385715</v>
      </c>
      <c r="AK161" s="73">
        <f t="shared" si="22"/>
        <v>-0.04093465444</v>
      </c>
      <c r="AL161" s="73">
        <f t="shared" si="23"/>
        <v>-1.271083085</v>
      </c>
      <c r="AM161" s="73">
        <f t="shared" si="24"/>
        <v>0.06166489084</v>
      </c>
      <c r="AN161" s="120">
        <f t="shared" si="25"/>
        <v>-1.342589385</v>
      </c>
      <c r="AO161" s="120">
        <f t="shared" si="26"/>
        <v>-2.61367247</v>
      </c>
      <c r="AP161" s="120">
        <f t="array" ref="AP161">INDIRECT("Update"&amp;Projections!$AH$17&amp;"!S"&amp;ROW(B142))</f>
        <v>9</v>
      </c>
      <c r="AQ161" s="120">
        <f t="array" ref="AQ161">INDIRECT("Update"&amp;Projections!$AH$17&amp;"!T"&amp;ROW(B142))</f>
        <v>2.1</v>
      </c>
      <c r="AR161" s="100">
        <f t="shared" si="27"/>
        <v>-1.687737282</v>
      </c>
    </row>
    <row r="162">
      <c r="A162" s="40" t="str">
        <f t="shared" si="3"/>
        <v>Aaron Gordon</v>
      </c>
      <c r="B162" s="42">
        <f t="shared" si="4"/>
        <v>-0.3914439207</v>
      </c>
      <c r="C162" s="43">
        <f t="shared" si="5"/>
        <v>-1.044016488</v>
      </c>
      <c r="D162" s="42">
        <f t="shared" si="6"/>
        <v>0.2083413884</v>
      </c>
      <c r="E162" s="42">
        <f t="shared" si="7"/>
        <v>-0.2896642358</v>
      </c>
      <c r="F162" s="42">
        <f t="shared" si="8"/>
        <v>-0.5847290887</v>
      </c>
      <c r="G162" s="42">
        <f t="shared" si="9"/>
        <v>-0.08033623669</v>
      </c>
      <c r="H162" s="42">
        <f t="shared" si="10"/>
        <v>0.7841431228</v>
      </c>
      <c r="I162" s="42">
        <f>UpdateHashtag!S160</f>
        <v>10.6</v>
      </c>
      <c r="J162" s="47">
        <f t="shared" si="11"/>
        <v>-2.423174512</v>
      </c>
      <c r="K162" s="48">
        <f>UpdateHashtag!T160</f>
        <v>4.2</v>
      </c>
      <c r="L162" s="42">
        <f t="shared" si="12"/>
        <v>-0.2466595634</v>
      </c>
      <c r="N162" s="100">
        <f t="shared" si="13"/>
        <v>170</v>
      </c>
      <c r="O162" s="94">
        <f t="array" ref="O162">INDIRECT("Update"&amp;Projections!$AH$17&amp;"!B"&amp;ROW(B143))</f>
        <v>136.5</v>
      </c>
      <c r="P162" s="101" t="str">
        <f t="array" ref="P162">INDIRECT("Update"&amp;Projections!$AH$17&amp;"!C"&amp;ROW(B143))</f>
        <v>Rui Hachimura</v>
      </c>
      <c r="Q162" s="94">
        <f>UpdateBBM!F143</f>
        <v>71</v>
      </c>
      <c r="R162" s="105" t="str">
        <f t="array" ref="R162">INDIRECT("Update"&amp;Projections!$AH$17&amp;"!D"&amp;ROW(B143))</f>
        <v>SF,PF</v>
      </c>
      <c r="S162" s="73">
        <f t="shared" si="14"/>
        <v>-2.434317168</v>
      </c>
      <c r="T162" s="73">
        <f>SUM(AE162:AM162)-IFERROR(IFS(Projections!$I$17,AN162,Projections!$J$17,AO162),"")</f>
        <v>-2.434317168</v>
      </c>
      <c r="U162" s="73">
        <f t="shared" si="15"/>
        <v>0</v>
      </c>
      <c r="V162" s="73">
        <f t="array" ref="V162">INDIRECT("Update"&amp;Projections!$AH$17&amp;"!M"&amp;ROW(B143))</f>
        <v>14.8</v>
      </c>
      <c r="W162" s="73">
        <f t="array" ref="W162">INDIRECT("Update"&amp;Projections!$AH$17&amp;"!L"&amp;ROW(B143))</f>
        <v>1.5</v>
      </c>
      <c r="X162" s="73">
        <f t="array" ref="X162">INDIRECT("Update"&amp;Projections!$AH$17&amp;"!N"&amp;ROW(B143))</f>
        <v>5.2</v>
      </c>
      <c r="Y162" s="73">
        <f t="array" ref="Y162">INDIRECT("Update"&amp;Projections!$AH$17&amp;"!O"&amp;ROW(B143))</f>
        <v>1.3</v>
      </c>
      <c r="Z162" s="73">
        <f t="array" ref="Z162">INDIRECT("Update"&amp;Projections!$AH$17&amp;"!P"&amp;ROW(B143))</f>
        <v>0.7</v>
      </c>
      <c r="AA162" s="73">
        <f t="array" ref="AA162">INDIRECT("Update"&amp;Projections!$AH$17&amp;"!Q"&amp;ROW(B143))</f>
        <v>0.5</v>
      </c>
      <c r="AB162" s="107">
        <f t="array" ref="AB162">INDIRECT("Update"&amp;Projections!$AH$17&amp;"!I"&amp;ROW(B143))</f>
        <v>0.514</v>
      </c>
      <c r="AC162" s="107">
        <f t="array" ref="AC162">INDIRECT("Update"&amp;Projections!$AH$17&amp;"!K"&amp;ROW(B143))</f>
        <v>0.74</v>
      </c>
      <c r="AD162" s="73">
        <f t="array" ref="AD162">INDIRECT("Update"&amp;Projections!$AH$17&amp;"!R"&amp;ROW(B143))</f>
        <v>0.9</v>
      </c>
      <c r="AE162" s="73">
        <f t="shared" si="16"/>
        <v>-0.4817679305</v>
      </c>
      <c r="AF162" s="73">
        <f t="shared" si="17"/>
        <v>-0.2478220956</v>
      </c>
      <c r="AG162" s="73">
        <f t="shared" si="18"/>
        <v>-0.3408278074</v>
      </c>
      <c r="AH162" s="73">
        <f t="shared" si="19"/>
        <v>-1.200899644</v>
      </c>
      <c r="AI162" s="73">
        <f t="shared" si="20"/>
        <v>-0.9166617668</v>
      </c>
      <c r="AJ162" s="73">
        <f t="shared" si="21"/>
        <v>-0.4371236408</v>
      </c>
      <c r="AK162" s="73">
        <f t="shared" si="22"/>
        <v>0.2267200841</v>
      </c>
      <c r="AL162" s="73">
        <f t="shared" si="23"/>
        <v>-0.4472881825</v>
      </c>
      <c r="AM162" s="73">
        <f t="shared" si="24"/>
        <v>0.2104541717</v>
      </c>
      <c r="AN162" s="120">
        <f t="shared" si="25"/>
        <v>-1.200899644</v>
      </c>
      <c r="AO162" s="120">
        <f t="shared" si="26"/>
        <v>-2.117561411</v>
      </c>
      <c r="AP162" s="120">
        <f t="array" ref="AP162">INDIRECT("Update"&amp;Projections!$AH$17&amp;"!S"&amp;ROW(B143))</f>
        <v>11.3</v>
      </c>
      <c r="AQ162" s="120">
        <f t="array" ref="AQ162">INDIRECT("Update"&amp;Projections!$AH$17&amp;"!T"&amp;ROW(B143))</f>
        <v>2.3</v>
      </c>
      <c r="AR162" s="100">
        <f t="shared" si="27"/>
        <v>-1.690994715</v>
      </c>
    </row>
    <row r="163">
      <c r="A163" s="40" t="str">
        <f t="shared" si="3"/>
        <v>Tre Jones</v>
      </c>
      <c r="B163" s="42">
        <f t="shared" si="4"/>
        <v>-1.385008029</v>
      </c>
      <c r="C163" s="43">
        <f t="shared" si="5"/>
        <v>-1.044016488</v>
      </c>
      <c r="D163" s="42">
        <f t="shared" si="6"/>
        <v>-1.12535523</v>
      </c>
      <c r="E163" s="42">
        <f t="shared" si="7"/>
        <v>0.7126947135</v>
      </c>
      <c r="F163" s="42">
        <f t="shared" si="8"/>
        <v>0.07913626764</v>
      </c>
      <c r="G163" s="42">
        <f t="shared" si="9"/>
        <v>-1.150698449</v>
      </c>
      <c r="H163" s="42">
        <f t="shared" si="10"/>
        <v>-0.1676504619</v>
      </c>
      <c r="I163" s="42">
        <f>UpdateHashtag!S161</f>
        <v>8</v>
      </c>
      <c r="J163" s="47">
        <f t="shared" si="11"/>
        <v>0.3978654604</v>
      </c>
      <c r="K163" s="48">
        <f>UpdateHashtag!T161</f>
        <v>1.7</v>
      </c>
      <c r="L163" s="42">
        <f t="shared" si="12"/>
        <v>-0.3458524173</v>
      </c>
      <c r="N163" s="100">
        <f t="shared" si="13"/>
        <v>128</v>
      </c>
      <c r="O163" s="94">
        <f t="array" ref="O163">INDIRECT("Update"&amp;Projections!$AH$17&amp;"!B"&amp;ROW(B144))</f>
        <v>116.3</v>
      </c>
      <c r="P163" s="101" t="str">
        <f t="array" ref="P163">INDIRECT("Update"&amp;Projections!$AH$17&amp;"!C"&amp;ROW(B144))</f>
        <v>Josh Hart</v>
      </c>
      <c r="Q163" s="94">
        <f>UpdateBBM!F144</f>
        <v>71</v>
      </c>
      <c r="R163" s="105" t="str">
        <f t="array" ref="R163">INDIRECT("Update"&amp;Projections!$AH$17&amp;"!D"&amp;ROW(B144))</f>
        <v>SF,PF</v>
      </c>
      <c r="S163" s="73">
        <f t="shared" si="14"/>
        <v>-1.386923854</v>
      </c>
      <c r="T163" s="73">
        <f>SUM(AE163:AM163)-IFERROR(IFS(Projections!$I$17,AN163,Projections!$J$17,AO163),"")</f>
        <v>-1.386923854</v>
      </c>
      <c r="U163" s="73">
        <f t="shared" si="15"/>
        <v>0</v>
      </c>
      <c r="V163" s="73">
        <f t="array" ref="V163">INDIRECT("Update"&amp;Projections!$AH$17&amp;"!M"&amp;ROW(B144))</f>
        <v>9.1</v>
      </c>
      <c r="W163" s="73">
        <f t="array" ref="W163">INDIRECT("Update"&amp;Projections!$AH$17&amp;"!L"&amp;ROW(B144))</f>
        <v>0.9</v>
      </c>
      <c r="X163" s="73">
        <f t="array" ref="X163">INDIRECT("Update"&amp;Projections!$AH$17&amp;"!N"&amp;ROW(B144))</f>
        <v>7.9</v>
      </c>
      <c r="Y163" s="73">
        <f t="array" ref="Y163">INDIRECT("Update"&amp;Projections!$AH$17&amp;"!O"&amp;ROW(B144))</f>
        <v>3.9</v>
      </c>
      <c r="Z163" s="73">
        <f t="array" ref="Z163">INDIRECT("Update"&amp;Projections!$AH$17&amp;"!P"&amp;ROW(B144))</f>
        <v>1</v>
      </c>
      <c r="AA163" s="73">
        <f t="array" ref="AA163">INDIRECT("Update"&amp;Projections!$AH$17&amp;"!Q"&amp;ROW(B144))</f>
        <v>0.3</v>
      </c>
      <c r="AB163" s="107">
        <f t="array" ref="AB163">INDIRECT("Update"&amp;Projections!$AH$17&amp;"!I"&amp;ROW(B144))</f>
        <v>0.457</v>
      </c>
      <c r="AC163" s="107">
        <f t="array" ref="AC163">INDIRECT("Update"&amp;Projections!$AH$17&amp;"!K"&amp;ROW(B144))</f>
        <v>0.765</v>
      </c>
      <c r="AD163" s="73">
        <f t="array" ref="AD163">INDIRECT("Update"&amp;Projections!$AH$17&amp;"!R"&amp;ROW(B144))</f>
        <v>1.7</v>
      </c>
      <c r="AE163" s="73">
        <f t="shared" si="16"/>
        <v>-1.511461642</v>
      </c>
      <c r="AF163" s="73">
        <f t="shared" si="17"/>
        <v>-0.8449678898</v>
      </c>
      <c r="AG163" s="73">
        <f t="shared" si="18"/>
        <v>0.718284213</v>
      </c>
      <c r="AH163" s="73">
        <f t="shared" si="19"/>
        <v>-0.01629361326</v>
      </c>
      <c r="AI163" s="73">
        <f t="shared" si="20"/>
        <v>0.07913626764</v>
      </c>
      <c r="AJ163" s="73">
        <f t="shared" si="21"/>
        <v>-0.7939110449</v>
      </c>
      <c r="AK163" s="73">
        <f t="shared" si="22"/>
        <v>-0.3505524588</v>
      </c>
      <c r="AL163" s="73">
        <f t="shared" si="23"/>
        <v>-0.1906877921</v>
      </c>
      <c r="AM163" s="73">
        <f t="shared" si="24"/>
        <v>0.01206846389</v>
      </c>
      <c r="AN163" s="120">
        <f t="shared" si="25"/>
        <v>-1.511461642</v>
      </c>
      <c r="AO163" s="120">
        <f t="shared" si="26"/>
        <v>-2.356429532</v>
      </c>
      <c r="AP163" s="120">
        <f t="array" ref="AP163">INDIRECT("Update"&amp;Projections!$AH$17&amp;"!S"&amp;ROW(B144))</f>
        <v>7.5</v>
      </c>
      <c r="AQ163" s="120">
        <f t="array" ref="AQ163">INDIRECT("Update"&amp;Projections!$AH$17&amp;"!T"&amp;ROW(B144))</f>
        <v>1.8</v>
      </c>
      <c r="AR163" s="100">
        <f t="shared" si="27"/>
        <v>-1.693362481</v>
      </c>
    </row>
    <row r="164">
      <c r="A164" s="40" t="str">
        <f t="shared" si="3"/>
        <v>Zach Edey</v>
      </c>
      <c r="B164" s="42">
        <f t="shared" si="4"/>
        <v>-1.312748821</v>
      </c>
      <c r="C164" s="43">
        <f t="shared" si="5"/>
        <v>-1.740686581</v>
      </c>
      <c r="D164" s="42">
        <f t="shared" si="6"/>
        <v>0.4436996151</v>
      </c>
      <c r="E164" s="42">
        <f t="shared" si="7"/>
        <v>-1.200899644</v>
      </c>
      <c r="F164" s="42">
        <f t="shared" si="8"/>
        <v>-2.244392479</v>
      </c>
      <c r="G164" s="42">
        <f t="shared" si="9"/>
        <v>0.9900259756</v>
      </c>
      <c r="H164" s="42">
        <f t="shared" si="10"/>
        <v>0.6683571941</v>
      </c>
      <c r="I164" s="42">
        <f>UpdateHashtag!S162</f>
        <v>7.3</v>
      </c>
      <c r="J164" s="47">
        <f t="shared" si="11"/>
        <v>-0.5835718137</v>
      </c>
      <c r="K164" s="48">
        <f>UpdateHashtag!T162</f>
        <v>2.5</v>
      </c>
      <c r="L164" s="42">
        <f t="shared" si="12"/>
        <v>-0.7426238329</v>
      </c>
      <c r="N164" s="100">
        <f t="shared" si="13"/>
        <v>167</v>
      </c>
      <c r="O164" s="94">
        <f t="array" ref="O164">INDIRECT("Update"&amp;Projections!$AH$17&amp;"!B"&amp;ROW(B145))</f>
        <v>142.1</v>
      </c>
      <c r="P164" s="101" t="str">
        <f t="array" ref="P164">INDIRECT("Update"&amp;Projections!$AH$17&amp;"!C"&amp;ROW(B145))</f>
        <v>Wendell Carter Jr.</v>
      </c>
      <c r="Q164" s="94">
        <f>UpdateBBM!F145</f>
        <v>75</v>
      </c>
      <c r="R164" s="105" t="str">
        <f t="array" ref="R164">INDIRECT("Update"&amp;Projections!$AH$17&amp;"!D"&amp;ROW(B145))</f>
        <v>C</v>
      </c>
      <c r="S164" s="73">
        <f t="shared" si="14"/>
        <v>-2.317040932</v>
      </c>
      <c r="T164" s="73">
        <f>SUM(AE164:AM164)-IFERROR(IFS(Projections!$I$17,AN164,Projections!$J$17,AO164),"")</f>
        <v>-2.317040932</v>
      </c>
      <c r="U164" s="73">
        <f t="shared" si="15"/>
        <v>0</v>
      </c>
      <c r="V164" s="73">
        <f t="array" ref="V164">INDIRECT("Update"&amp;Projections!$AH$17&amp;"!M"&amp;ROW(B145))</f>
        <v>13</v>
      </c>
      <c r="W164" s="73">
        <f t="array" ref="W164">INDIRECT("Update"&amp;Projections!$AH$17&amp;"!L"&amp;ROW(B145))</f>
        <v>1.3</v>
      </c>
      <c r="X164" s="73">
        <f t="array" ref="X164">INDIRECT("Update"&amp;Projections!$AH$17&amp;"!N"&amp;ROW(B145))</f>
        <v>7.7</v>
      </c>
      <c r="Y164" s="73">
        <f t="array" ref="Y164">INDIRECT("Update"&amp;Projections!$AH$17&amp;"!O"&amp;ROW(B145))</f>
        <v>2</v>
      </c>
      <c r="Z164" s="73">
        <f t="array" ref="Z164">INDIRECT("Update"&amp;Projections!$AH$17&amp;"!P"&amp;ROW(B145))</f>
        <v>0.6</v>
      </c>
      <c r="AA164" s="73">
        <f t="array" ref="AA164">INDIRECT("Update"&amp;Projections!$AH$17&amp;"!Q"&amp;ROW(B145))</f>
        <v>0.5</v>
      </c>
      <c r="AB164" s="107">
        <f t="array" ref="AB164">INDIRECT("Update"&amp;Projections!$AH$17&amp;"!I"&amp;ROW(B145))</f>
        <v>0.525</v>
      </c>
      <c r="AC164" s="107">
        <f t="array" ref="AC164">INDIRECT("Update"&amp;Projections!$AH$17&amp;"!K"&amp;ROW(B145))</f>
        <v>0.722</v>
      </c>
      <c r="AD164" s="73">
        <f t="array" ref="AD164">INDIRECT("Update"&amp;Projections!$AH$17&amp;"!R"&amp;ROW(B145))</f>
        <v>1.5</v>
      </c>
      <c r="AE164" s="73">
        <f t="shared" si="16"/>
        <v>-0.8069343658</v>
      </c>
      <c r="AF164" s="73">
        <f t="shared" si="17"/>
        <v>-0.4468706937</v>
      </c>
      <c r="AG164" s="73">
        <f t="shared" si="18"/>
        <v>0.6398314707</v>
      </c>
      <c r="AH164" s="73">
        <f t="shared" si="19"/>
        <v>-0.8819672513</v>
      </c>
      <c r="AI164" s="73">
        <f t="shared" si="20"/>
        <v>-1.248594445</v>
      </c>
      <c r="AJ164" s="73">
        <f t="shared" si="21"/>
        <v>-0.4371236408</v>
      </c>
      <c r="AK164" s="73">
        <f t="shared" si="22"/>
        <v>0.3031927557</v>
      </c>
      <c r="AL164" s="73">
        <f t="shared" si="23"/>
        <v>-0.7488340978</v>
      </c>
      <c r="AM164" s="73">
        <f t="shared" si="24"/>
        <v>0.06166489084</v>
      </c>
      <c r="AN164" s="120">
        <f t="shared" si="25"/>
        <v>-1.248594445</v>
      </c>
      <c r="AO164" s="120">
        <f t="shared" si="26"/>
        <v>-2.130561696</v>
      </c>
      <c r="AP164" s="120">
        <f t="array" ref="AP164">INDIRECT("Update"&amp;Projections!$AH$17&amp;"!S"&amp;ROW(B145))</f>
        <v>9.2</v>
      </c>
      <c r="AQ164" s="120">
        <f t="array" ref="AQ164">INDIRECT("Update"&amp;Projections!$AH$17&amp;"!T"&amp;ROW(B145))</f>
        <v>2.9</v>
      </c>
      <c r="AR164" s="100">
        <f t="shared" si="27"/>
        <v>-1.748248051</v>
      </c>
    </row>
    <row r="165">
      <c r="A165" s="40" t="str">
        <f t="shared" si="3"/>
        <v>Scoot Henderson</v>
      </c>
      <c r="B165" s="42">
        <f t="shared" si="4"/>
        <v>-0.3191847128</v>
      </c>
      <c r="C165" s="43">
        <f t="shared" si="5"/>
        <v>-0.2478220956</v>
      </c>
      <c r="D165" s="42">
        <f t="shared" si="6"/>
        <v>-1.086128859</v>
      </c>
      <c r="E165" s="42">
        <f t="shared" si="7"/>
        <v>0.8493800248</v>
      </c>
      <c r="F165" s="42">
        <f t="shared" si="8"/>
        <v>0.07913626764</v>
      </c>
      <c r="G165" s="42">
        <f t="shared" si="9"/>
        <v>-0.7939110449</v>
      </c>
      <c r="H165" s="42">
        <f t="shared" si="10"/>
        <v>-1.42134993</v>
      </c>
      <c r="I165" s="42">
        <f>UpdateHashtag!S163</f>
        <v>13.8</v>
      </c>
      <c r="J165" s="47">
        <f t="shared" si="11"/>
        <v>0.3233361925</v>
      </c>
      <c r="K165" s="48">
        <f>UpdateHashtag!T163</f>
        <v>3.5</v>
      </c>
      <c r="L165" s="42">
        <f t="shared" si="12"/>
        <v>1.538811807</v>
      </c>
      <c r="N165" s="100">
        <f t="shared" si="13"/>
        <v>152</v>
      </c>
      <c r="O165" s="94">
        <f t="array" ref="O165">INDIRECT("Update"&amp;Projections!$AH$17&amp;"!B"&amp;ROW(B146))</f>
        <v>141.7</v>
      </c>
      <c r="P165" s="101" t="str">
        <f t="array" ref="P165">INDIRECT("Update"&amp;Projections!$AH$17&amp;"!C"&amp;ROW(B146))</f>
        <v>Jeremy Sochan</v>
      </c>
      <c r="Q165" s="94">
        <f>UpdateBBM!F146</f>
        <v>25</v>
      </c>
      <c r="R165" s="105" t="str">
        <f t="array" ref="R165">INDIRECT("Update"&amp;Projections!$AH$17&amp;"!D"&amp;ROW(B146))</f>
        <v>SF,PF</v>
      </c>
      <c r="S165" s="73">
        <f t="shared" si="14"/>
        <v>-1.911642305</v>
      </c>
      <c r="T165" s="73">
        <f>SUM(AE165:AM165)-IFERROR(IFS(Projections!$I$17,AN165,Projections!$J$17,AO165),"")</f>
        <v>-1.911642305</v>
      </c>
      <c r="U165" s="73">
        <f t="shared" si="15"/>
        <v>0</v>
      </c>
      <c r="V165" s="73">
        <f t="array" ref="V165">INDIRECT("Update"&amp;Projections!$AH$17&amp;"!M"&amp;ROW(B146))</f>
        <v>12.4</v>
      </c>
      <c r="W165" s="73">
        <f t="array" ref="W165">INDIRECT("Update"&amp;Projections!$AH$17&amp;"!L"&amp;ROW(B146))</f>
        <v>1</v>
      </c>
      <c r="X165" s="73">
        <f t="array" ref="X165">INDIRECT("Update"&amp;Projections!$AH$17&amp;"!N"&amp;ROW(B146))</f>
        <v>6.8</v>
      </c>
      <c r="Y165" s="73">
        <f t="array" ref="Y165">INDIRECT("Update"&amp;Projections!$AH$17&amp;"!O"&amp;ROW(B146))</f>
        <v>3.2</v>
      </c>
      <c r="Z165" s="73">
        <f t="array" ref="Z165">INDIRECT("Update"&amp;Projections!$AH$17&amp;"!P"&amp;ROW(B146))</f>
        <v>1</v>
      </c>
      <c r="AA165" s="73">
        <f t="array" ref="AA165">INDIRECT("Update"&amp;Projections!$AH$17&amp;"!Q"&amp;ROW(B146))</f>
        <v>0.6</v>
      </c>
      <c r="AB165" s="107">
        <f t="array" ref="AB165">INDIRECT("Update"&amp;Projections!$AH$17&amp;"!I"&amp;ROW(B146))</f>
        <v>0.444</v>
      </c>
      <c r="AC165" s="107">
        <f t="array" ref="AC165">INDIRECT("Update"&amp;Projections!$AH$17&amp;"!K"&amp;ROW(B146))</f>
        <v>0.77</v>
      </c>
      <c r="AD165" s="73">
        <f t="array" ref="AD165">INDIRECT("Update"&amp;Projections!$AH$17&amp;"!R"&amp;ROW(B146))</f>
        <v>2</v>
      </c>
      <c r="AE165" s="73">
        <f t="shared" si="16"/>
        <v>-0.9153231776</v>
      </c>
      <c r="AF165" s="73">
        <f t="shared" si="17"/>
        <v>-0.7454435908</v>
      </c>
      <c r="AG165" s="73">
        <f t="shared" si="18"/>
        <v>0.2867941306</v>
      </c>
      <c r="AH165" s="73">
        <f t="shared" si="19"/>
        <v>-0.3352260062</v>
      </c>
      <c r="AI165" s="73">
        <f t="shared" si="20"/>
        <v>0.07913626764</v>
      </c>
      <c r="AJ165" s="73">
        <f t="shared" si="21"/>
        <v>-0.2587299387</v>
      </c>
      <c r="AK165" s="73">
        <f t="shared" si="22"/>
        <v>-0.681739737</v>
      </c>
      <c r="AL165" s="73">
        <f t="shared" si="23"/>
        <v>-0.1941072544</v>
      </c>
      <c r="AM165" s="73">
        <f t="shared" si="24"/>
        <v>-0.06232617654</v>
      </c>
      <c r="AN165" s="120">
        <f t="shared" si="25"/>
        <v>-0.9153231776</v>
      </c>
      <c r="AO165" s="120">
        <f t="shared" si="26"/>
        <v>-1.660766768</v>
      </c>
      <c r="AP165" s="120">
        <f t="array" ref="AP165">INDIRECT("Update"&amp;Projections!$AH$17&amp;"!S"&amp;ROW(B146))</f>
        <v>11</v>
      </c>
      <c r="AQ165" s="120">
        <f t="array" ref="AQ165">INDIRECT("Update"&amp;Projections!$AH$17&amp;"!T"&amp;ROW(B146))</f>
        <v>2.2</v>
      </c>
      <c r="AR165" s="100">
        <f t="shared" si="27"/>
        <v>-1.763634043</v>
      </c>
    </row>
    <row r="166">
      <c r="A166" s="40" t="str">
        <f t="shared" si="3"/>
        <v>Kyle Lowry</v>
      </c>
      <c r="B166" s="42">
        <f t="shared" si="4"/>
        <v>-1.511461642</v>
      </c>
      <c r="C166" s="43">
        <f t="shared" si="5"/>
        <v>-0.04877349754</v>
      </c>
      <c r="D166" s="42">
        <f t="shared" si="6"/>
        <v>-1.046902488</v>
      </c>
      <c r="E166" s="42">
        <f t="shared" si="7"/>
        <v>0.2115152388</v>
      </c>
      <c r="F166" s="42">
        <f t="shared" si="8"/>
        <v>0.07913626764</v>
      </c>
      <c r="G166" s="42">
        <f t="shared" si="9"/>
        <v>-0.7939110449</v>
      </c>
      <c r="H166" s="42">
        <f t="shared" si="10"/>
        <v>-0.6647045873</v>
      </c>
      <c r="I166" s="42">
        <f>UpdateHashtag!S164</f>
        <v>7.1</v>
      </c>
      <c r="J166" s="47">
        <f t="shared" si="11"/>
        <v>0.3617429925</v>
      </c>
      <c r="K166" s="48">
        <f>UpdateHashtag!T164</f>
        <v>1.7</v>
      </c>
      <c r="L166" s="42">
        <f t="shared" si="12"/>
        <v>-0.2466595634</v>
      </c>
      <c r="N166" s="100">
        <f t="shared" si="13"/>
        <v>161</v>
      </c>
      <c r="O166" s="94">
        <f t="array" ref="O166">INDIRECT("Update"&amp;Projections!$AH$17&amp;"!B"&amp;ROW(B147))</f>
        <v>137.4</v>
      </c>
      <c r="P166" s="101" t="str">
        <f t="array" ref="P166">INDIRECT("Update"&amp;Projections!$AH$17&amp;"!C"&amp;ROW(B147))</f>
        <v>Aaron Nesmith</v>
      </c>
      <c r="Q166" s="94">
        <f>UpdateBBM!F147</f>
        <v>59</v>
      </c>
      <c r="R166" s="105" t="str">
        <f t="array" ref="R166">INDIRECT("Update"&amp;Projections!$AH$17&amp;"!D"&amp;ROW(B147))</f>
        <v>SF,PF</v>
      </c>
      <c r="S166" s="73">
        <f t="shared" si="14"/>
        <v>-2.150910474</v>
      </c>
      <c r="T166" s="73">
        <f>SUM(AE166:AM166)-IFERROR(IFS(Projections!$I$17,AN166,Projections!$J$17,AO166),"")</f>
        <v>-2.150910474</v>
      </c>
      <c r="U166" s="73">
        <f t="shared" si="15"/>
        <v>0</v>
      </c>
      <c r="V166" s="73">
        <f t="array" ref="V166">INDIRECT("Update"&amp;Projections!$AH$17&amp;"!M"&amp;ROW(B147))</f>
        <v>11.9</v>
      </c>
      <c r="W166" s="73">
        <f t="array" ref="W166">INDIRECT("Update"&amp;Projections!$AH$17&amp;"!L"&amp;ROW(B147))</f>
        <v>1.9</v>
      </c>
      <c r="X166" s="73">
        <f t="array" ref="X166">INDIRECT("Update"&amp;Projections!$AH$17&amp;"!N"&amp;ROW(B147))</f>
        <v>4.1</v>
      </c>
      <c r="Y166" s="73">
        <f t="array" ref="Y166">INDIRECT("Update"&amp;Projections!$AH$17&amp;"!O"&amp;ROW(B147))</f>
        <v>1.5</v>
      </c>
      <c r="Z166" s="73">
        <f t="array" ref="Z166">INDIRECT("Update"&amp;Projections!$AH$17&amp;"!P"&amp;ROW(B147))</f>
        <v>0.9</v>
      </c>
      <c r="AA166" s="73">
        <f t="array" ref="AA166">INDIRECT("Update"&amp;Projections!$AH$17&amp;"!Q"&amp;ROW(B147))</f>
        <v>0.6</v>
      </c>
      <c r="AB166" s="107">
        <f t="array" ref="AB166">INDIRECT("Update"&amp;Projections!$AH$17&amp;"!I"&amp;ROW(B147))</f>
        <v>0.477</v>
      </c>
      <c r="AC166" s="107">
        <f t="array" ref="AC166">INDIRECT("Update"&amp;Projections!$AH$17&amp;"!K"&amp;ROW(B147))</f>
        <v>0.796</v>
      </c>
      <c r="AD166" s="73">
        <f t="array" ref="AD166">INDIRECT("Update"&amp;Projections!$AH$17&amp;"!R"&amp;ROW(B147))</f>
        <v>1</v>
      </c>
      <c r="AE166" s="73">
        <f t="shared" si="16"/>
        <v>-1.005647187</v>
      </c>
      <c r="AF166" s="73">
        <f t="shared" si="17"/>
        <v>0.1502751005</v>
      </c>
      <c r="AG166" s="73">
        <f t="shared" si="18"/>
        <v>-0.7723178898</v>
      </c>
      <c r="AH166" s="73">
        <f t="shared" si="19"/>
        <v>-1.109776103</v>
      </c>
      <c r="AI166" s="73">
        <f t="shared" si="20"/>
        <v>-0.2527964105</v>
      </c>
      <c r="AJ166" s="73">
        <f t="shared" si="21"/>
        <v>-0.2587299387</v>
      </c>
      <c r="AK166" s="73">
        <f t="shared" si="22"/>
        <v>-0.2050427242</v>
      </c>
      <c r="AL166" s="73">
        <f t="shared" si="23"/>
        <v>0.007692617497</v>
      </c>
      <c r="AM166" s="73">
        <f t="shared" si="24"/>
        <v>0.1856559582</v>
      </c>
      <c r="AN166" s="120">
        <f t="shared" si="25"/>
        <v>-1.109776103</v>
      </c>
      <c r="AO166" s="120">
        <f t="shared" si="26"/>
        <v>-2.115423291</v>
      </c>
      <c r="AP166" s="120">
        <f t="array" ref="AP166">INDIRECT("Update"&amp;Projections!$AH$17&amp;"!S"&amp;ROW(B147))</f>
        <v>8.8</v>
      </c>
      <c r="AQ166" s="120">
        <f t="array" ref="AQ166">INDIRECT("Update"&amp;Projections!$AH$17&amp;"!T"&amp;ROW(B147))</f>
        <v>2</v>
      </c>
      <c r="AR166" s="100">
        <f t="shared" si="27"/>
        <v>-1.768469995</v>
      </c>
    </row>
    <row r="167">
      <c r="A167" s="40" t="str">
        <f t="shared" si="3"/>
        <v>Dyson Daniels</v>
      </c>
      <c r="B167" s="42">
        <f t="shared" si="4"/>
        <v>-1.872757682</v>
      </c>
      <c r="C167" s="43">
        <f t="shared" si="5"/>
        <v>-0.9444921888</v>
      </c>
      <c r="D167" s="42">
        <f t="shared" si="6"/>
        <v>-0.4192805496</v>
      </c>
      <c r="E167" s="42">
        <f t="shared" si="7"/>
        <v>-0.198540695</v>
      </c>
      <c r="F167" s="42">
        <f t="shared" si="8"/>
        <v>1.738799658</v>
      </c>
      <c r="G167" s="42">
        <f t="shared" si="9"/>
        <v>-0.6155173428</v>
      </c>
      <c r="H167" s="42">
        <f t="shared" si="10"/>
        <v>-0.3137128222</v>
      </c>
      <c r="I167" s="42">
        <f>UpdateHashtag!S165</f>
        <v>6.1</v>
      </c>
      <c r="J167" s="47">
        <f t="shared" si="11"/>
        <v>-0.5606252985</v>
      </c>
      <c r="K167" s="48">
        <f>UpdateHashtag!T165</f>
        <v>1.1</v>
      </c>
      <c r="L167" s="42">
        <f t="shared" si="12"/>
        <v>-0.3458524173</v>
      </c>
      <c r="N167" s="100">
        <f t="shared" si="13"/>
        <v>172</v>
      </c>
      <c r="O167" s="94">
        <f t="array" ref="O167">INDIRECT("Update"&amp;Projections!$AH$17&amp;"!B"&amp;ROW(B148))</f>
        <v>138</v>
      </c>
      <c r="P167" s="101" t="str">
        <f t="array" ref="P167">INDIRECT("Update"&amp;Projections!$AH$17&amp;"!C"&amp;ROW(B148))</f>
        <v>Brandon Clarke</v>
      </c>
      <c r="Q167" s="94">
        <f>UpdateBBM!F148</f>
        <v>53</v>
      </c>
      <c r="R167" s="105" t="str">
        <f t="array" ref="R167">INDIRECT("Update"&amp;Projections!$AH$17&amp;"!D"&amp;ROW(B148))</f>
        <v>PF,C</v>
      </c>
      <c r="S167" s="73">
        <f t="shared" si="14"/>
        <v>-2.473443203</v>
      </c>
      <c r="T167" s="73">
        <f>SUM(AE167:AM167)-IFERROR(IFS(Projections!$I$17,AN167,Projections!$J$17,AO167),"")</f>
        <v>-2.473443203</v>
      </c>
      <c r="U167" s="73">
        <f t="shared" si="15"/>
        <v>0</v>
      </c>
      <c r="V167" s="73">
        <f t="array" ref="V167">INDIRECT("Update"&amp;Projections!$AH$17&amp;"!M"&amp;ROW(B148))</f>
        <v>11.4</v>
      </c>
      <c r="W167" s="73">
        <f t="array" ref="W167">INDIRECT("Update"&amp;Projections!$AH$17&amp;"!L"&amp;ROW(B148))</f>
        <v>0</v>
      </c>
      <c r="X167" s="73">
        <f t="array" ref="X167">INDIRECT("Update"&amp;Projections!$AH$17&amp;"!N"&amp;ROW(B148))</f>
        <v>6.2</v>
      </c>
      <c r="Y167" s="73">
        <f t="array" ref="Y167">INDIRECT("Update"&amp;Projections!$AH$17&amp;"!O"&amp;ROW(B148))</f>
        <v>1.5</v>
      </c>
      <c r="Z167" s="73">
        <f t="array" ref="Z167">INDIRECT("Update"&amp;Projections!$AH$17&amp;"!P"&amp;ROW(B148))</f>
        <v>0.7</v>
      </c>
      <c r="AA167" s="73">
        <f t="array" ref="AA167">INDIRECT("Update"&amp;Projections!$AH$17&amp;"!Q"&amp;ROW(B148))</f>
        <v>0.8</v>
      </c>
      <c r="AB167" s="107">
        <f t="array" ref="AB167">INDIRECT("Update"&amp;Projections!$AH$17&amp;"!I"&amp;ROW(B148))</f>
        <v>0.642</v>
      </c>
      <c r="AC167" s="107">
        <f t="array" ref="AC167">INDIRECT("Update"&amp;Projections!$AH$17&amp;"!K"&amp;ROW(B148))</f>
        <v>0.695</v>
      </c>
      <c r="AD167" s="73">
        <f t="array" ref="AD167">INDIRECT("Update"&amp;Projections!$AH$17&amp;"!R"&amp;ROW(B148))</f>
        <v>1.1</v>
      </c>
      <c r="AE167" s="73">
        <f t="shared" si="16"/>
        <v>-1.095971197</v>
      </c>
      <c r="AF167" s="73">
        <f t="shared" si="17"/>
        <v>-1.740686581</v>
      </c>
      <c r="AG167" s="73">
        <f t="shared" si="18"/>
        <v>0.05143590386</v>
      </c>
      <c r="AH167" s="73">
        <f t="shared" si="19"/>
        <v>-1.109776103</v>
      </c>
      <c r="AI167" s="73">
        <f t="shared" si="20"/>
        <v>-0.9166617668</v>
      </c>
      <c r="AJ167" s="73">
        <f t="shared" si="21"/>
        <v>0.09805746537</v>
      </c>
      <c r="AK167" s="73">
        <f t="shared" si="22"/>
        <v>1.258590825</v>
      </c>
      <c r="AL167" s="73">
        <f t="shared" si="23"/>
        <v>-0.9199760746</v>
      </c>
      <c r="AM167" s="73">
        <f t="shared" si="24"/>
        <v>0.1608577447</v>
      </c>
      <c r="AN167" s="120">
        <f t="shared" si="25"/>
        <v>-1.740686581</v>
      </c>
      <c r="AO167" s="120">
        <f t="shared" si="26"/>
        <v>-2.850462684</v>
      </c>
      <c r="AP167" s="120">
        <f t="array" ref="AP167">INDIRECT("Update"&amp;Projections!$AH$17&amp;"!S"&amp;ROW(B148))</f>
        <v>7.4</v>
      </c>
      <c r="AQ167" s="120">
        <f t="array" ref="AQ167">INDIRECT("Update"&amp;Projections!$AH$17&amp;"!T"&amp;ROW(B148))</f>
        <v>2.6</v>
      </c>
      <c r="AR167" s="100">
        <f t="shared" si="27"/>
        <v>-1.806635477</v>
      </c>
    </row>
    <row r="168">
      <c r="A168" s="40" t="str">
        <f t="shared" si="3"/>
        <v>Andrew Nembhard</v>
      </c>
      <c r="B168" s="42">
        <f t="shared" si="4"/>
        <v>-1.222424811</v>
      </c>
      <c r="C168" s="43">
        <f t="shared" si="5"/>
        <v>-0.5463949927</v>
      </c>
      <c r="D168" s="42">
        <f t="shared" si="6"/>
        <v>-1.321487086</v>
      </c>
      <c r="E168" s="42">
        <f t="shared" si="7"/>
        <v>0.4848858614</v>
      </c>
      <c r="F168" s="42">
        <f t="shared" si="8"/>
        <v>0.4110689458</v>
      </c>
      <c r="G168" s="42">
        <f t="shared" si="9"/>
        <v>-0.9723047469</v>
      </c>
      <c r="H168" s="42">
        <f t="shared" si="10"/>
        <v>-0.214362848</v>
      </c>
      <c r="I168" s="42">
        <f>UpdateHashtag!S166</f>
        <v>9.2</v>
      </c>
      <c r="J168" s="47">
        <f t="shared" si="11"/>
        <v>0.01801198243</v>
      </c>
      <c r="K168" s="48">
        <f>UpdateHashtag!T166</f>
        <v>1</v>
      </c>
      <c r="L168" s="42">
        <f t="shared" si="12"/>
        <v>0.05091899834</v>
      </c>
      <c r="N168" s="100">
        <f t="shared" si="13"/>
        <v>176</v>
      </c>
      <c r="O168" s="94">
        <f t="array" ref="O168">INDIRECT("Update"&amp;Projections!$AH$17&amp;"!B"&amp;ROW(B149))</f>
        <v>143.1</v>
      </c>
      <c r="P168" s="101" t="str">
        <f t="array" ref="P168">INDIRECT("Update"&amp;Projections!$AH$17&amp;"!C"&amp;ROW(B149))</f>
        <v>Marvin Bagley III</v>
      </c>
      <c r="Q168" s="94">
        <f>UpdateBBM!F149</f>
        <v>71</v>
      </c>
      <c r="R168" s="105" t="str">
        <f t="array" ref="R168">INDIRECT("Update"&amp;Projections!$AH$17&amp;"!D"&amp;ROW(B149))</f>
        <v>PF,C</v>
      </c>
      <c r="S168" s="73">
        <f t="shared" si="14"/>
        <v>-2.523722692</v>
      </c>
      <c r="T168" s="73">
        <f>SUM(AE168:AM168)-IFERROR(IFS(Projections!$I$17,AN168,Projections!$J$17,AO168),"")</f>
        <v>-2.523722692</v>
      </c>
      <c r="U168" s="73">
        <f t="shared" si="15"/>
        <v>0</v>
      </c>
      <c r="V168" s="73">
        <f t="array" ref="V168">INDIRECT("Update"&amp;Projections!$AH$17&amp;"!M"&amp;ROW(B149))</f>
        <v>13.4</v>
      </c>
      <c r="W168" s="73">
        <f t="array" ref="W168">INDIRECT("Update"&amp;Projections!$AH$17&amp;"!L"&amp;ROW(B149))</f>
        <v>0.3</v>
      </c>
      <c r="X168" s="73">
        <f t="array" ref="X168">INDIRECT("Update"&amp;Projections!$AH$17&amp;"!N"&amp;ROW(B149))</f>
        <v>7.2</v>
      </c>
      <c r="Y168" s="73">
        <f t="array" ref="Y168">INDIRECT("Update"&amp;Projections!$AH$17&amp;"!O"&amp;ROW(B149))</f>
        <v>1.1</v>
      </c>
      <c r="Z168" s="73">
        <f t="array" ref="Z168">INDIRECT("Update"&amp;Projections!$AH$17&amp;"!P"&amp;ROW(B149))</f>
        <v>0.5</v>
      </c>
      <c r="AA168" s="73">
        <f t="array" ref="AA168">INDIRECT("Update"&amp;Projections!$AH$17&amp;"!Q"&amp;ROW(B149))</f>
        <v>0.8</v>
      </c>
      <c r="AB168" s="107">
        <f t="array" ref="AB168">INDIRECT("Update"&amp;Projections!$AH$17&amp;"!I"&amp;ROW(B149))</f>
        <v>0.558</v>
      </c>
      <c r="AC168" s="107">
        <f t="array" ref="AC168">INDIRECT("Update"&amp;Projections!$AH$17&amp;"!K"&amp;ROW(B149))</f>
        <v>0.755</v>
      </c>
      <c r="AD168" s="73">
        <f t="array" ref="AD168">INDIRECT("Update"&amp;Projections!$AH$17&amp;"!R"&amp;ROW(B149))</f>
        <v>1.3</v>
      </c>
      <c r="AE168" s="73">
        <f t="shared" si="16"/>
        <v>-0.734675158</v>
      </c>
      <c r="AF168" s="73">
        <f t="shared" si="17"/>
        <v>-1.442113684</v>
      </c>
      <c r="AG168" s="73">
        <f t="shared" si="18"/>
        <v>0.4436996151</v>
      </c>
      <c r="AH168" s="73">
        <f t="shared" si="19"/>
        <v>-1.292023185</v>
      </c>
      <c r="AI168" s="73">
        <f t="shared" si="20"/>
        <v>-1.580527123</v>
      </c>
      <c r="AJ168" s="73">
        <f t="shared" si="21"/>
        <v>0.09805746537</v>
      </c>
      <c r="AK168" s="73">
        <f t="shared" si="22"/>
        <v>0.7019912919</v>
      </c>
      <c r="AL168" s="73">
        <f t="shared" si="23"/>
        <v>-0.4099203549</v>
      </c>
      <c r="AM168" s="73">
        <f t="shared" si="24"/>
        <v>0.1112613178</v>
      </c>
      <c r="AN168" s="120">
        <f t="shared" si="25"/>
        <v>-1.580527123</v>
      </c>
      <c r="AO168" s="120">
        <f t="shared" si="26"/>
        <v>-3.022640807</v>
      </c>
      <c r="AP168" s="120">
        <f t="array" ref="AP168">INDIRECT("Update"&amp;Projections!$AH$17&amp;"!S"&amp;ROW(B149))</f>
        <v>9.8</v>
      </c>
      <c r="AQ168" s="120">
        <f t="array" ref="AQ168">INDIRECT("Update"&amp;Projections!$AH$17&amp;"!T"&amp;ROW(B149))</f>
        <v>2.9</v>
      </c>
      <c r="AR168" s="100">
        <f t="shared" si="27"/>
        <v>-1.826953879</v>
      </c>
    </row>
    <row r="169">
      <c r="A169" s="40" t="str">
        <f t="shared" si="3"/>
        <v>Jaden McDaniels</v>
      </c>
      <c r="B169" s="42">
        <f t="shared" si="4"/>
        <v>-1.095971197</v>
      </c>
      <c r="C169" s="43">
        <f t="shared" si="5"/>
        <v>-0.4468706937</v>
      </c>
      <c r="D169" s="42">
        <f t="shared" si="6"/>
        <v>-1.007676117</v>
      </c>
      <c r="E169" s="42">
        <f t="shared" si="7"/>
        <v>-1.018652563</v>
      </c>
      <c r="F169" s="42">
        <f t="shared" si="8"/>
        <v>-0.2527964105</v>
      </c>
      <c r="G169" s="42">
        <f t="shared" si="9"/>
        <v>0.09805746537</v>
      </c>
      <c r="H169" s="42">
        <f t="shared" si="10"/>
        <v>0.07509343605</v>
      </c>
      <c r="I169" s="42">
        <f>UpdateHashtag!S167</f>
        <v>9</v>
      </c>
      <c r="J169" s="47">
        <f t="shared" si="11"/>
        <v>-0.3342067053</v>
      </c>
      <c r="K169" s="48">
        <f>UpdateHashtag!T167</f>
        <v>1.5</v>
      </c>
      <c r="L169" s="42">
        <f t="shared" si="12"/>
        <v>-0.4450452712</v>
      </c>
      <c r="N169" s="100">
        <f t="shared" si="13"/>
        <v>162</v>
      </c>
      <c r="O169" s="94">
        <f t="array" ref="O169">INDIRECT("Update"&amp;Projections!$AH$17&amp;"!B"&amp;ROW(B150))</f>
        <v>140.3</v>
      </c>
      <c r="P169" s="101" t="str">
        <f t="array" ref="P169">INDIRECT("Update"&amp;Projections!$AH$17&amp;"!C"&amp;ROW(B150))</f>
        <v>Kelly Olynyk</v>
      </c>
      <c r="Q169" s="94">
        <f>UpdateBBM!F150</f>
        <v>71</v>
      </c>
      <c r="R169" s="105" t="str">
        <f t="array" ref="R169">INDIRECT("Update"&amp;Projections!$AH$17&amp;"!D"&amp;ROW(B150))</f>
        <v>C</v>
      </c>
      <c r="S169" s="73">
        <f t="shared" si="14"/>
        <v>-2.198912066</v>
      </c>
      <c r="T169" s="73">
        <f>SUM(AE169:AM169)-IFERROR(IFS(Projections!$I$17,AN169,Projections!$J$17,AO169),"")</f>
        <v>-2.198912066</v>
      </c>
      <c r="U169" s="73">
        <f t="shared" si="15"/>
        <v>0</v>
      </c>
      <c r="V169" s="73">
        <f t="array" ref="V169">INDIRECT("Update"&amp;Projections!$AH$17&amp;"!M"&amp;ROW(B150))</f>
        <v>9.6</v>
      </c>
      <c r="W169" s="73">
        <f t="array" ref="W169">INDIRECT("Update"&amp;Projections!$AH$17&amp;"!L"&amp;ROW(B150))</f>
        <v>0.9</v>
      </c>
      <c r="X169" s="73">
        <f t="array" ref="X169">INDIRECT("Update"&amp;Projections!$AH$17&amp;"!N"&amp;ROW(B150))</f>
        <v>5</v>
      </c>
      <c r="Y169" s="73">
        <f t="array" ref="Y169">INDIRECT("Update"&amp;Projections!$AH$17&amp;"!O"&amp;ROW(B150))</f>
        <v>3.4</v>
      </c>
      <c r="Z169" s="73">
        <f t="array" ref="Z169">INDIRECT("Update"&amp;Projections!$AH$17&amp;"!P"&amp;ROW(B150))</f>
        <v>0.8</v>
      </c>
      <c r="AA169" s="73">
        <f t="array" ref="AA169">INDIRECT("Update"&amp;Projections!$AH$17&amp;"!Q"&amp;ROW(B150))</f>
        <v>0.4</v>
      </c>
      <c r="AB169" s="107">
        <f t="array" ref="AB169">INDIRECT("Update"&amp;Projections!$AH$17&amp;"!I"&amp;ROW(B150))</f>
        <v>0.526</v>
      </c>
      <c r="AC169" s="107">
        <f t="array" ref="AC169">INDIRECT("Update"&amp;Projections!$AH$17&amp;"!K"&amp;ROW(B150))</f>
        <v>0.834</v>
      </c>
      <c r="AD169" s="73">
        <f t="array" ref="AD169">INDIRECT("Update"&amp;Projections!$AH$17&amp;"!R"&amp;ROW(B150))</f>
        <v>1.9</v>
      </c>
      <c r="AE169" s="73">
        <f t="shared" si="16"/>
        <v>-1.421137633</v>
      </c>
      <c r="AF169" s="73">
        <f t="shared" si="17"/>
        <v>-0.8449678898</v>
      </c>
      <c r="AG169" s="73">
        <f t="shared" si="18"/>
        <v>-0.4192805496</v>
      </c>
      <c r="AH169" s="73">
        <f t="shared" si="19"/>
        <v>-0.2441024654</v>
      </c>
      <c r="AI169" s="73">
        <f t="shared" si="20"/>
        <v>-0.5847290887</v>
      </c>
      <c r="AJ169" s="73">
        <f t="shared" si="21"/>
        <v>-0.6155173428</v>
      </c>
      <c r="AK169" s="73">
        <f t="shared" si="22"/>
        <v>0.2150047319</v>
      </c>
      <c r="AL169" s="73">
        <f t="shared" si="23"/>
        <v>0.332208501</v>
      </c>
      <c r="AM169" s="73">
        <f t="shared" si="24"/>
        <v>-0.03752796306</v>
      </c>
      <c r="AN169" s="120">
        <f t="shared" si="25"/>
        <v>-1.421137633</v>
      </c>
      <c r="AO169" s="120">
        <f t="shared" si="26"/>
        <v>-2.266105522</v>
      </c>
      <c r="AP169" s="120">
        <f t="array" ref="AP169">INDIRECT("Update"&amp;Projections!$AH$17&amp;"!S"&amp;ROW(B150))</f>
        <v>6.3</v>
      </c>
      <c r="AQ169" s="120">
        <f t="array" ref="AQ169">INDIRECT("Update"&amp;Projections!$AH$17&amp;"!T"&amp;ROW(B150))</f>
        <v>2.4</v>
      </c>
      <c r="AR169" s="100">
        <f t="shared" si="27"/>
        <v>-1.827286524</v>
      </c>
    </row>
    <row r="170">
      <c r="A170" s="40" t="str">
        <f t="shared" si="3"/>
        <v>Patrick Williams</v>
      </c>
      <c r="B170" s="42">
        <f t="shared" si="4"/>
        <v>-1.294684019</v>
      </c>
      <c r="C170" s="43">
        <f t="shared" si="5"/>
        <v>-0.3473463946</v>
      </c>
      <c r="D170" s="42">
        <f t="shared" si="6"/>
        <v>-0.8115442609</v>
      </c>
      <c r="E170" s="42">
        <f t="shared" si="7"/>
        <v>-1.155337874</v>
      </c>
      <c r="F170" s="42">
        <f t="shared" si="8"/>
        <v>-0.2527964105</v>
      </c>
      <c r="G170" s="42">
        <f t="shared" si="9"/>
        <v>0.09805746537</v>
      </c>
      <c r="H170" s="42">
        <f t="shared" si="10"/>
        <v>-0.3972927867</v>
      </c>
      <c r="I170" s="42">
        <f>UpdateHashtag!S168</f>
        <v>8.5</v>
      </c>
      <c r="J170" s="47">
        <f t="shared" si="11"/>
        <v>0.1689983633</v>
      </c>
      <c r="K170" s="48">
        <f>UpdateHashtag!T168</f>
        <v>1.4</v>
      </c>
      <c r="L170" s="42">
        <f t="shared" si="12"/>
        <v>-0.4450452712</v>
      </c>
      <c r="N170" s="100">
        <f t="shared" si="13"/>
        <v>144</v>
      </c>
      <c r="O170" s="94">
        <f t="array" ref="O170">INDIRECT("Update"&amp;Projections!$AH$17&amp;"!B"&amp;ROW(B151))</f>
        <v>144.6</v>
      </c>
      <c r="P170" s="101" t="str">
        <f t="array" ref="P170">INDIRECT("Update"&amp;Projections!$AH$17&amp;"!C"&amp;ROW(B151))</f>
        <v>Bilal Coulibaly</v>
      </c>
      <c r="Q170" s="94">
        <f>UpdateBBM!F151</f>
        <v>66</v>
      </c>
      <c r="R170" s="105" t="str">
        <f t="array" ref="R170">INDIRECT("Update"&amp;Projections!$AH$17&amp;"!D"&amp;ROW(B151))</f>
        <v>SG,SF</v>
      </c>
      <c r="S170" s="73">
        <f t="shared" si="14"/>
        <v>-1.748248051</v>
      </c>
      <c r="T170" s="73">
        <f>SUM(AE170:AM170)-IFERROR(IFS(Projections!$I$17,AN170,Projections!$J$17,AO170),"")</f>
        <v>-1.748248051</v>
      </c>
      <c r="U170" s="73">
        <f t="shared" si="15"/>
        <v>0</v>
      </c>
      <c r="V170" s="73">
        <f t="array" ref="V170">INDIRECT("Update"&amp;Projections!$AH$17&amp;"!M"&amp;ROW(B151))</f>
        <v>11.2</v>
      </c>
      <c r="W170" s="73">
        <f t="array" ref="W170">INDIRECT("Update"&amp;Projections!$AH$17&amp;"!L"&amp;ROW(B151))</f>
        <v>1.3</v>
      </c>
      <c r="X170" s="73">
        <f t="array" ref="X170">INDIRECT("Update"&amp;Projections!$AH$17&amp;"!N"&amp;ROW(B151))</f>
        <v>5.3</v>
      </c>
      <c r="Y170" s="73">
        <f t="array" ref="Y170">INDIRECT("Update"&amp;Projections!$AH$17&amp;"!O"&amp;ROW(B151))</f>
        <v>2.3</v>
      </c>
      <c r="Z170" s="73">
        <f t="array" ref="Z170">INDIRECT("Update"&amp;Projections!$AH$17&amp;"!P"&amp;ROW(B151))</f>
        <v>1.2</v>
      </c>
      <c r="AA170" s="73">
        <f t="array" ref="AA170">INDIRECT("Update"&amp;Projections!$AH$17&amp;"!Q"&amp;ROW(B151))</f>
        <v>1</v>
      </c>
      <c r="AB170" s="107">
        <f t="array" ref="AB170">INDIRECT("Update"&amp;Projections!$AH$17&amp;"!I"&amp;ROW(B151))</f>
        <v>0.441</v>
      </c>
      <c r="AC170" s="107">
        <f t="array" ref="AC170">INDIRECT("Update"&amp;Projections!$AH$17&amp;"!K"&amp;ROW(B151))</f>
        <v>0.706</v>
      </c>
      <c r="AD170" s="73">
        <f t="array" ref="AD170">INDIRECT("Update"&amp;Projections!$AH$17&amp;"!R"&amp;ROW(B151))</f>
        <v>1.8</v>
      </c>
      <c r="AE170" s="73">
        <f t="shared" si="16"/>
        <v>-1.132100801</v>
      </c>
      <c r="AF170" s="73">
        <f t="shared" si="17"/>
        <v>-0.4468706937</v>
      </c>
      <c r="AG170" s="73">
        <f t="shared" si="18"/>
        <v>-0.3016014363</v>
      </c>
      <c r="AH170" s="73">
        <f t="shared" si="19"/>
        <v>-0.74528194</v>
      </c>
      <c r="AI170" s="73">
        <f t="shared" si="20"/>
        <v>0.743001624</v>
      </c>
      <c r="AJ170" s="73">
        <f t="shared" si="21"/>
        <v>0.4548448695</v>
      </c>
      <c r="AK170" s="73">
        <f t="shared" si="22"/>
        <v>-0.5894310822</v>
      </c>
      <c r="AL170" s="73">
        <f t="shared" si="23"/>
        <v>-0.8501796427</v>
      </c>
      <c r="AM170" s="73">
        <f t="shared" si="24"/>
        <v>-0.01272974958</v>
      </c>
      <c r="AN170" s="120">
        <f t="shared" si="25"/>
        <v>-1.132100801</v>
      </c>
      <c r="AO170" s="120">
        <f t="shared" si="26"/>
        <v>-1.982280444</v>
      </c>
      <c r="AP170" s="120">
        <f t="array" ref="AP170">INDIRECT("Update"&amp;Projections!$AH$17&amp;"!S"&amp;ROW(B151))</f>
        <v>9</v>
      </c>
      <c r="AQ170" s="120">
        <f t="array" ref="AQ170">INDIRECT("Update"&amp;Projections!$AH$17&amp;"!T"&amp;ROW(B151))</f>
        <v>2.7</v>
      </c>
      <c r="AR170" s="100">
        <f t="shared" si="27"/>
        <v>-1.840232228</v>
      </c>
    </row>
    <row r="171">
      <c r="A171" s="40" t="str">
        <f t="shared" si="3"/>
        <v>Karlo Matkovic</v>
      </c>
      <c r="B171" s="42">
        <f t="shared" si="4"/>
        <v>-1.403072831</v>
      </c>
      <c r="C171" s="43">
        <f t="shared" si="5"/>
        <v>-0.6459192917</v>
      </c>
      <c r="D171" s="42">
        <f t="shared" si="6"/>
        <v>-0.5761860341</v>
      </c>
      <c r="E171" s="42">
        <f t="shared" si="7"/>
        <v>-1.109776103</v>
      </c>
      <c r="F171" s="42">
        <f t="shared" si="8"/>
        <v>-0.9166617668</v>
      </c>
      <c r="G171" s="42">
        <f t="shared" si="9"/>
        <v>0.8116322736</v>
      </c>
      <c r="H171" s="42">
        <f t="shared" si="10"/>
        <v>-0.07702141636</v>
      </c>
      <c r="I171" s="42">
        <f>UpdateHashtag!S169</f>
        <v>7.4</v>
      </c>
      <c r="J171" s="47">
        <f t="shared" si="11"/>
        <v>-0.2954832884</v>
      </c>
      <c r="K171" s="48">
        <f>UpdateHashtag!T169</f>
        <v>1.9</v>
      </c>
      <c r="L171" s="42">
        <f t="shared" si="12"/>
        <v>-0.3458524173</v>
      </c>
      <c r="N171" s="100">
        <f t="shared" si="13"/>
        <v>160</v>
      </c>
      <c r="O171" s="94">
        <f t="array" ref="O171">INDIRECT("Update"&amp;Projections!$AH$17&amp;"!B"&amp;ROW(B152))</f>
        <v>144.2</v>
      </c>
      <c r="P171" s="101" t="str">
        <f t="array" ref="P171">INDIRECT("Update"&amp;Projections!$AH$17&amp;"!C"&amp;ROW(B152))</f>
        <v>Kevin Porter Jr.</v>
      </c>
      <c r="Q171" s="94">
        <f>UpdateBBM!F152</f>
        <v>71</v>
      </c>
      <c r="R171" s="105" t="str">
        <f t="array" ref="R171">INDIRECT("Update"&amp;Projections!$AH$17&amp;"!D"&amp;ROW(B152))</f>
        <v>PG</v>
      </c>
      <c r="S171" s="73">
        <f t="shared" si="14"/>
        <v>-2.136422328</v>
      </c>
      <c r="T171" s="73">
        <f>SUM(AE171:AM171)-IFERROR(IFS(Projections!$I$17,AN171,Projections!$J$17,AO171),"")</f>
        <v>-2.136422328</v>
      </c>
      <c r="U171" s="73">
        <f t="shared" si="15"/>
        <v>0</v>
      </c>
      <c r="V171" s="73">
        <f t="array" ref="V171">INDIRECT("Update"&amp;Projections!$AH$17&amp;"!M"&amp;ROW(B152))</f>
        <v>14.2</v>
      </c>
      <c r="W171" s="73">
        <f t="array" ref="W171">INDIRECT("Update"&amp;Projections!$AH$17&amp;"!L"&amp;ROW(B152))</f>
        <v>1.8</v>
      </c>
      <c r="X171" s="73">
        <f t="array" ref="X171">INDIRECT("Update"&amp;Projections!$AH$17&amp;"!N"&amp;ROW(B152))</f>
        <v>3.9</v>
      </c>
      <c r="Y171" s="73">
        <f t="array" ref="Y171">INDIRECT("Update"&amp;Projections!$AH$17&amp;"!O"&amp;ROW(B152))</f>
        <v>4.3</v>
      </c>
      <c r="Z171" s="73">
        <f t="array" ref="Z171">INDIRECT("Update"&amp;Projections!$AH$17&amp;"!P"&amp;ROW(B152))</f>
        <v>1</v>
      </c>
      <c r="AA171" s="73">
        <f t="array" ref="AA171">INDIRECT("Update"&amp;Projections!$AH$17&amp;"!Q"&amp;ROW(B152))</f>
        <v>0.2</v>
      </c>
      <c r="AB171" s="107">
        <f t="array" ref="AB171">INDIRECT("Update"&amp;Projections!$AH$17&amp;"!I"&amp;ROW(B152))</f>
        <v>0.442</v>
      </c>
      <c r="AC171" s="107">
        <f t="array" ref="AC171">INDIRECT("Update"&amp;Projections!$AH$17&amp;"!K"&amp;ROW(B152))</f>
        <v>0.785</v>
      </c>
      <c r="AD171" s="73">
        <f t="array" ref="AD171">INDIRECT("Update"&amp;Projections!$AH$17&amp;"!R"&amp;ROW(B152))</f>
        <v>2.4</v>
      </c>
      <c r="AE171" s="73">
        <f t="shared" si="16"/>
        <v>-0.5901567423</v>
      </c>
      <c r="AF171" s="73">
        <f t="shared" si="17"/>
        <v>0.05075080149</v>
      </c>
      <c r="AG171" s="73">
        <f t="shared" si="18"/>
        <v>-0.850770632</v>
      </c>
      <c r="AH171" s="73">
        <f t="shared" si="19"/>
        <v>0.1659534684</v>
      </c>
      <c r="AI171" s="73">
        <f t="shared" si="20"/>
        <v>0.07913626764</v>
      </c>
      <c r="AJ171" s="73">
        <f t="shared" si="21"/>
        <v>-0.9723047469</v>
      </c>
      <c r="AK171" s="73">
        <f t="shared" si="22"/>
        <v>-0.7139557913</v>
      </c>
      <c r="AL171" s="73">
        <f t="shared" si="23"/>
        <v>-0.1158606698</v>
      </c>
      <c r="AM171" s="73">
        <f t="shared" si="24"/>
        <v>-0.1615190304</v>
      </c>
      <c r="AN171" s="120">
        <f t="shared" si="25"/>
        <v>-0.9723047469</v>
      </c>
      <c r="AO171" s="120">
        <f t="shared" si="26"/>
        <v>-1.823075379</v>
      </c>
      <c r="AP171" s="120">
        <f t="array" ref="AP171">INDIRECT("Update"&amp;Projections!$AH$17&amp;"!S"&amp;ROW(B152))</f>
        <v>11.1</v>
      </c>
      <c r="AQ171" s="120">
        <f t="array" ref="AQ171">INDIRECT("Update"&amp;Projections!$AH$17&amp;"!T"&amp;ROW(B152))</f>
        <v>3.3</v>
      </c>
      <c r="AR171" s="100">
        <f t="shared" si="27"/>
        <v>-1.8724673</v>
      </c>
    </row>
    <row r="172">
      <c r="A172" s="40" t="str">
        <f t="shared" si="3"/>
        <v>Max Strus</v>
      </c>
      <c r="B172" s="42">
        <f t="shared" si="4"/>
        <v>-1.041776791</v>
      </c>
      <c r="C172" s="43">
        <f t="shared" si="5"/>
        <v>0.6478965957</v>
      </c>
      <c r="D172" s="42">
        <f t="shared" si="6"/>
        <v>-0.850770632</v>
      </c>
      <c r="E172" s="42">
        <f t="shared" si="7"/>
        <v>-0.2441024654</v>
      </c>
      <c r="F172" s="42">
        <f t="shared" si="8"/>
        <v>-0.5847290887</v>
      </c>
      <c r="G172" s="42">
        <f t="shared" si="9"/>
        <v>-0.7939110449</v>
      </c>
      <c r="H172" s="42">
        <f t="shared" si="10"/>
        <v>-0.9713636715</v>
      </c>
      <c r="I172" s="42">
        <f>UpdateHashtag!S170</f>
        <v>10</v>
      </c>
      <c r="J172" s="47">
        <f t="shared" si="11"/>
        <v>0.14485574</v>
      </c>
      <c r="K172" s="48">
        <f>UpdateHashtag!T170</f>
        <v>1.2</v>
      </c>
      <c r="L172" s="42">
        <f t="shared" si="12"/>
        <v>-0.5442381251</v>
      </c>
      <c r="N172" s="100">
        <f t="shared" si="13"/>
        <v>165</v>
      </c>
      <c r="O172" s="94">
        <f t="array" ref="O172">INDIRECT("Update"&amp;Projections!$AH$17&amp;"!B"&amp;ROW(B153))</f>
        <v>149.5</v>
      </c>
      <c r="P172" s="101" t="str">
        <f t="array" ref="P172">INDIRECT("Update"&amp;Projections!$AH$17&amp;"!C"&amp;ROW(B153))</f>
        <v>Bruce Brown</v>
      </c>
      <c r="Q172" s="94">
        <f>UpdateBBM!F153</f>
        <v>75</v>
      </c>
      <c r="R172" s="105" t="str">
        <f t="array" ref="R172">INDIRECT("Update"&amp;Projections!$AH$17&amp;"!D"&amp;ROW(B153))</f>
        <v>SG,SF</v>
      </c>
      <c r="S172" s="73">
        <f t="shared" si="14"/>
        <v>-2.278635065</v>
      </c>
      <c r="T172" s="73">
        <f>SUM(AE172:AM172)-IFERROR(IFS(Projections!$I$17,AN172,Projections!$J$17,AO172),"")</f>
        <v>-2.278635065</v>
      </c>
      <c r="U172" s="73">
        <f t="shared" si="15"/>
        <v>0</v>
      </c>
      <c r="V172" s="73">
        <f t="array" ref="V172">INDIRECT("Update"&amp;Projections!$AH$17&amp;"!M"&amp;ROW(B153))</f>
        <v>11.5</v>
      </c>
      <c r="W172" s="73">
        <f t="array" ref="W172">INDIRECT("Update"&amp;Projections!$AH$17&amp;"!L"&amp;ROW(B153))</f>
        <v>1</v>
      </c>
      <c r="X172" s="73">
        <f t="array" ref="X172">INDIRECT("Update"&amp;Projections!$AH$17&amp;"!N"&amp;ROW(B153))</f>
        <v>4.3</v>
      </c>
      <c r="Y172" s="73">
        <f t="array" ref="Y172">INDIRECT("Update"&amp;Projections!$AH$17&amp;"!O"&amp;ROW(B153))</f>
        <v>3.2</v>
      </c>
      <c r="Z172" s="73">
        <f t="array" ref="Z172">INDIRECT("Update"&amp;Projections!$AH$17&amp;"!P"&amp;ROW(B153))</f>
        <v>1</v>
      </c>
      <c r="AA172" s="73">
        <f t="array" ref="AA172">INDIRECT("Update"&amp;Projections!$AH$17&amp;"!Q"&amp;ROW(B153))</f>
        <v>0.5</v>
      </c>
      <c r="AB172" s="107">
        <f t="array" ref="AB172">INDIRECT("Update"&amp;Projections!$AH$17&amp;"!I"&amp;ROW(B153))</f>
        <v>0.481</v>
      </c>
      <c r="AC172" s="107">
        <f t="array" ref="AC172">INDIRECT("Update"&amp;Projections!$AH$17&amp;"!K"&amp;ROW(B153))</f>
        <v>0.79</v>
      </c>
      <c r="AD172" s="73">
        <f t="array" ref="AD172">INDIRECT("Update"&amp;Projections!$AH$17&amp;"!R"&amp;ROW(B153))</f>
        <v>1.5</v>
      </c>
      <c r="AE172" s="73">
        <f t="shared" si="16"/>
        <v>-1.077906395</v>
      </c>
      <c r="AF172" s="73">
        <f t="shared" si="17"/>
        <v>-0.7454435908</v>
      </c>
      <c r="AG172" s="73">
        <f t="shared" si="18"/>
        <v>-0.6938651475</v>
      </c>
      <c r="AH172" s="73">
        <f t="shared" si="19"/>
        <v>-0.3352260062</v>
      </c>
      <c r="AI172" s="73">
        <f t="shared" si="20"/>
        <v>0.07913626764</v>
      </c>
      <c r="AJ172" s="73">
        <f t="shared" si="21"/>
        <v>-0.4371236408</v>
      </c>
      <c r="AK172" s="73">
        <f t="shared" si="22"/>
        <v>-0.1712332143</v>
      </c>
      <c r="AL172" s="73">
        <f t="shared" si="23"/>
        <v>-0.03654462373</v>
      </c>
      <c r="AM172" s="73">
        <f t="shared" si="24"/>
        <v>0.06166489084</v>
      </c>
      <c r="AN172" s="120">
        <f t="shared" si="25"/>
        <v>-1.077906395</v>
      </c>
      <c r="AO172" s="120">
        <f t="shared" si="26"/>
        <v>-1.823349986</v>
      </c>
      <c r="AP172" s="120">
        <f t="array" ref="AP172">INDIRECT("Update"&amp;Projections!$AH$17&amp;"!S"&amp;ROW(B153))</f>
        <v>9.2</v>
      </c>
      <c r="AQ172" s="120">
        <f t="array" ref="AQ172">INDIRECT("Update"&amp;Projections!$AH$17&amp;"!T"&amp;ROW(B153))</f>
        <v>2.1</v>
      </c>
      <c r="AR172" s="100">
        <f t="shared" si="27"/>
        <v>-1.911642305</v>
      </c>
    </row>
    <row r="173">
      <c r="A173" s="40" t="str">
        <f t="shared" si="3"/>
        <v>T.J. McConnell</v>
      </c>
      <c r="B173" s="42">
        <f t="shared" si="4"/>
        <v>-1.49339684</v>
      </c>
      <c r="C173" s="43">
        <f t="shared" si="5"/>
        <v>-1.442113684</v>
      </c>
      <c r="D173" s="42">
        <f t="shared" si="6"/>
        <v>-1.282260714</v>
      </c>
      <c r="E173" s="42">
        <f t="shared" si="7"/>
        <v>0.6215711726</v>
      </c>
      <c r="F173" s="42">
        <f t="shared" si="8"/>
        <v>0.07913626764</v>
      </c>
      <c r="G173" s="42">
        <f t="shared" si="9"/>
        <v>-1.150698449</v>
      </c>
      <c r="H173" s="42">
        <f t="shared" si="10"/>
        <v>0.460692603</v>
      </c>
      <c r="I173" s="42">
        <f>UpdateHashtag!S171</f>
        <v>7.4</v>
      </c>
      <c r="J173" s="47">
        <f t="shared" si="11"/>
        <v>0.06720720945</v>
      </c>
      <c r="K173" s="48">
        <f>UpdateHashtag!T171</f>
        <v>0.9</v>
      </c>
      <c r="L173" s="42">
        <f t="shared" si="12"/>
        <v>-0.04827385557</v>
      </c>
      <c r="N173" s="100">
        <f t="shared" si="13"/>
        <v>127</v>
      </c>
      <c r="O173" s="94">
        <f t="array" ref="O173">INDIRECT("Update"&amp;Projections!$AH$17&amp;"!B"&amp;ROW(B154))</f>
        <v>142.5</v>
      </c>
      <c r="P173" s="101" t="str">
        <f t="array" ref="P173">INDIRECT("Update"&amp;Projections!$AH$17&amp;"!C"&amp;ROW(B154))</f>
        <v>Kelly Oubre Jr.</v>
      </c>
      <c r="Q173" s="94">
        <f>UpdateBBM!F154</f>
        <v>75</v>
      </c>
      <c r="R173" s="105" t="str">
        <f t="array" ref="R173">INDIRECT("Update"&amp;Projections!$AH$17&amp;"!D"&amp;ROW(B154))</f>
        <v>SG,SF</v>
      </c>
      <c r="S173" s="73">
        <f t="shared" si="14"/>
        <v>-1.372583711</v>
      </c>
      <c r="T173" s="73">
        <f>SUM(AE173:AM173)-IFERROR(IFS(Projections!$I$17,AN173,Projections!$J$17,AO173),"")</f>
        <v>-1.372583711</v>
      </c>
      <c r="U173" s="73">
        <f t="shared" si="15"/>
        <v>0</v>
      </c>
      <c r="V173" s="73">
        <f t="array" ref="V173">INDIRECT("Update"&amp;Projections!$AH$17&amp;"!M"&amp;ROW(B154))</f>
        <v>16.6</v>
      </c>
      <c r="W173" s="73">
        <f t="array" ref="W173">INDIRECT("Update"&amp;Projections!$AH$17&amp;"!L"&amp;ROW(B154))</f>
        <v>1.8</v>
      </c>
      <c r="X173" s="73">
        <f t="array" ref="X173">INDIRECT("Update"&amp;Projections!$AH$17&amp;"!N"&amp;ROW(B154))</f>
        <v>5</v>
      </c>
      <c r="Y173" s="73">
        <f t="array" ref="Y173">INDIRECT("Update"&amp;Projections!$AH$17&amp;"!O"&amp;ROW(B154))</f>
        <v>1.3</v>
      </c>
      <c r="Z173" s="73">
        <f t="array" ref="Z173">INDIRECT("Update"&amp;Projections!$AH$17&amp;"!P"&amp;ROW(B154))</f>
        <v>1.2</v>
      </c>
      <c r="AA173" s="73">
        <f t="array" ref="AA173">INDIRECT("Update"&amp;Projections!$AH$17&amp;"!Q"&amp;ROW(B154))</f>
        <v>0.6</v>
      </c>
      <c r="AB173" s="107">
        <f t="array" ref="AB173">INDIRECT("Update"&amp;Projections!$AH$17&amp;"!I"&amp;ROW(B154))</f>
        <v>0.435</v>
      </c>
      <c r="AC173" s="107">
        <f t="array" ref="AC173">INDIRECT("Update"&amp;Projections!$AH$17&amp;"!K"&amp;ROW(B154))</f>
        <v>0.76</v>
      </c>
      <c r="AD173" s="73">
        <f t="array" ref="AD173">INDIRECT("Update"&amp;Projections!$AH$17&amp;"!R"&amp;ROW(B154))</f>
        <v>1.3</v>
      </c>
      <c r="AE173" s="73">
        <f t="shared" si="16"/>
        <v>-0.1566014952</v>
      </c>
      <c r="AF173" s="73">
        <f t="shared" si="17"/>
        <v>0.05075080149</v>
      </c>
      <c r="AG173" s="73">
        <f t="shared" si="18"/>
        <v>-0.4192805496</v>
      </c>
      <c r="AH173" s="73">
        <f t="shared" si="19"/>
        <v>-1.200899644</v>
      </c>
      <c r="AI173" s="73">
        <f t="shared" si="20"/>
        <v>0.743001624</v>
      </c>
      <c r="AJ173" s="73">
        <f t="shared" si="21"/>
        <v>-0.2587299387</v>
      </c>
      <c r="AK173" s="73">
        <f t="shared" si="22"/>
        <v>-1.022593306</v>
      </c>
      <c r="AL173" s="73">
        <f t="shared" si="23"/>
        <v>-0.420392165</v>
      </c>
      <c r="AM173" s="73">
        <f t="shared" si="24"/>
        <v>0.1112613178</v>
      </c>
      <c r="AN173" s="120">
        <f t="shared" si="25"/>
        <v>-1.200899644</v>
      </c>
      <c r="AO173" s="120">
        <f t="shared" si="26"/>
        <v>-2.22349295</v>
      </c>
      <c r="AP173" s="120">
        <f t="array" ref="AP173">INDIRECT("Update"&amp;Projections!$AH$17&amp;"!S"&amp;ROW(B154))</f>
        <v>14.1</v>
      </c>
      <c r="AQ173" s="120">
        <f t="array" ref="AQ173">INDIRECT("Update"&amp;Projections!$AH$17&amp;"!T"&amp;ROW(B154))</f>
        <v>3.4</v>
      </c>
      <c r="AR173" s="100">
        <f t="shared" si="27"/>
        <v>-1.916536611</v>
      </c>
    </row>
    <row r="174">
      <c r="A174" s="40" t="str">
        <f t="shared" si="3"/>
        <v>Miles McBride</v>
      </c>
      <c r="B174" s="42">
        <f t="shared" si="4"/>
        <v>-1.204360009</v>
      </c>
      <c r="C174" s="43">
        <f t="shared" si="5"/>
        <v>0.3493236986</v>
      </c>
      <c r="D174" s="42">
        <f t="shared" si="6"/>
        <v>-1.556845312</v>
      </c>
      <c r="E174" s="42">
        <f t="shared" si="7"/>
        <v>-0.6085966288</v>
      </c>
      <c r="F174" s="42">
        <f t="shared" si="8"/>
        <v>0.743001624</v>
      </c>
      <c r="G174" s="42">
        <f t="shared" si="9"/>
        <v>-0.9723047469</v>
      </c>
      <c r="H174" s="42">
        <f t="shared" si="10"/>
        <v>-0.5188013397</v>
      </c>
      <c r="I174" s="42">
        <f>UpdateHashtag!S172</f>
        <v>8.7</v>
      </c>
      <c r="J174" s="47">
        <f t="shared" si="11"/>
        <v>0.2128509737</v>
      </c>
      <c r="K174" s="48">
        <f>UpdateHashtag!T172</f>
        <v>1.2</v>
      </c>
      <c r="L174" s="42">
        <f t="shared" si="12"/>
        <v>-0.9410095407</v>
      </c>
      <c r="N174" s="100">
        <f t="shared" si="13"/>
        <v>171</v>
      </c>
      <c r="O174" s="94">
        <f t="array" ref="O174">INDIRECT("Update"&amp;Projections!$AH$17&amp;"!B"&amp;ROW(B155))</f>
        <v>145.5</v>
      </c>
      <c r="P174" s="101" t="str">
        <f t="array" ref="P174">INDIRECT("Update"&amp;Projections!$AH$17&amp;"!C"&amp;ROW(B155))</f>
        <v>Nick Richards</v>
      </c>
      <c r="Q174" s="94">
        <f>UpdateBBM!F155</f>
        <v>55</v>
      </c>
      <c r="R174" s="105" t="str">
        <f t="array" ref="R174">INDIRECT("Update"&amp;Projections!$AH$17&amp;"!D"&amp;ROW(B155))</f>
        <v>C</v>
      </c>
      <c r="S174" s="73">
        <f t="shared" si="14"/>
        <v>-2.472713255</v>
      </c>
      <c r="T174" s="73">
        <f>SUM(AE174:AM174)-IFERROR(IFS(Projections!$I$17,AN174,Projections!$J$17,AO174),"")</f>
        <v>-2.472713255</v>
      </c>
      <c r="U174" s="73">
        <f t="shared" si="15"/>
        <v>0</v>
      </c>
      <c r="V174" s="73">
        <f t="array" ref="V174">INDIRECT("Update"&amp;Projections!$AH$17&amp;"!M"&amp;ROW(B155))</f>
        <v>9.8</v>
      </c>
      <c r="W174" s="73">
        <f t="array" ref="W174">INDIRECT("Update"&amp;Projections!$AH$17&amp;"!L"&amp;ROW(B155))</f>
        <v>0</v>
      </c>
      <c r="X174" s="73">
        <f t="array" ref="X174">INDIRECT("Update"&amp;Projections!$AH$17&amp;"!N"&amp;ROW(B155))</f>
        <v>8</v>
      </c>
      <c r="Y174" s="73">
        <f t="array" ref="Y174">INDIRECT("Update"&amp;Projections!$AH$17&amp;"!O"&amp;ROW(B155))</f>
        <v>0.8</v>
      </c>
      <c r="Z174" s="73">
        <f t="array" ref="Z174">INDIRECT("Update"&amp;Projections!$AH$17&amp;"!P"&amp;ROW(B155))</f>
        <v>0.3</v>
      </c>
      <c r="AA174" s="73">
        <f t="array" ref="AA174">INDIRECT("Update"&amp;Projections!$AH$17&amp;"!Q"&amp;ROW(B155))</f>
        <v>1.1</v>
      </c>
      <c r="AB174" s="107">
        <f t="array" ref="AB174">INDIRECT("Update"&amp;Projections!$AH$17&amp;"!I"&amp;ROW(B155))</f>
        <v>0.656</v>
      </c>
      <c r="AC174" s="107">
        <f t="array" ref="AC174">INDIRECT("Update"&amp;Projections!$AH$17&amp;"!K"&amp;ROW(B155))</f>
        <v>0.743</v>
      </c>
      <c r="AD174" s="73">
        <f t="array" ref="AD174">INDIRECT("Update"&amp;Projections!$AH$17&amp;"!R"&amp;ROW(B155))</f>
        <v>1.1</v>
      </c>
      <c r="AE174" s="73">
        <f t="shared" si="16"/>
        <v>-1.385008029</v>
      </c>
      <c r="AF174" s="73">
        <f t="shared" si="17"/>
        <v>-1.740686581</v>
      </c>
      <c r="AG174" s="73">
        <f t="shared" si="18"/>
        <v>0.7575105841</v>
      </c>
      <c r="AH174" s="73">
        <f t="shared" si="19"/>
        <v>-1.428708496</v>
      </c>
      <c r="AI174" s="73">
        <f t="shared" si="20"/>
        <v>-2.244392479</v>
      </c>
      <c r="AJ174" s="73">
        <f t="shared" si="21"/>
        <v>0.6332385715</v>
      </c>
      <c r="AK174" s="73">
        <f t="shared" si="22"/>
        <v>1.081629554</v>
      </c>
      <c r="AL174" s="73">
        <f t="shared" si="23"/>
        <v>-0.5515466027</v>
      </c>
      <c r="AM174" s="73">
        <f t="shared" si="24"/>
        <v>0.1608577447</v>
      </c>
      <c r="AN174" s="120">
        <f t="shared" si="25"/>
        <v>-2.244392479</v>
      </c>
      <c r="AO174" s="120">
        <f t="shared" si="26"/>
        <v>-3.985079061</v>
      </c>
      <c r="AP174" s="120">
        <f t="array" ref="AP174">INDIRECT("Update"&amp;Projections!$AH$17&amp;"!S"&amp;ROW(B155))</f>
        <v>5.8</v>
      </c>
      <c r="AQ174" s="120">
        <f t="array" ref="AQ174">INDIRECT("Update"&amp;Projections!$AH$17&amp;"!T"&amp;ROW(B155))</f>
        <v>3</v>
      </c>
      <c r="AR174" s="100">
        <f t="shared" si="27"/>
        <v>-1.921746412</v>
      </c>
    </row>
    <row r="175">
      <c r="A175" s="40" t="str">
        <f t="shared" si="3"/>
        <v>Deni Avdija</v>
      </c>
      <c r="B175" s="42">
        <f t="shared" si="4"/>
        <v>-1.005647187</v>
      </c>
      <c r="C175" s="43">
        <f t="shared" si="5"/>
        <v>-0.7454435908</v>
      </c>
      <c r="D175" s="42">
        <f t="shared" si="6"/>
        <v>0.1691150172</v>
      </c>
      <c r="E175" s="42">
        <f t="shared" si="7"/>
        <v>-0.2896642358</v>
      </c>
      <c r="F175" s="42">
        <f t="shared" si="8"/>
        <v>-0.5847290887</v>
      </c>
      <c r="G175" s="42">
        <f t="shared" si="9"/>
        <v>-0.6155173428</v>
      </c>
      <c r="H175" s="42">
        <f t="shared" si="10"/>
        <v>-0.212032817</v>
      </c>
      <c r="I175" s="42">
        <f>UpdateHashtag!S173</f>
        <v>9.1</v>
      </c>
      <c r="J175" s="47">
        <f t="shared" si="11"/>
        <v>-0.584512283</v>
      </c>
      <c r="K175" s="48">
        <f>UpdateHashtag!T173</f>
        <v>2.9</v>
      </c>
      <c r="L175" s="42">
        <f t="shared" si="12"/>
        <v>0.1501118522</v>
      </c>
      <c r="N175" s="100">
        <f t="shared" si="13"/>
        <v>181</v>
      </c>
      <c r="O175" s="94">
        <f t="array" ref="O175">INDIRECT("Update"&amp;Projections!$AH$17&amp;"!B"&amp;ROW(B156))</f>
        <v>144.2</v>
      </c>
      <c r="P175" s="101" t="str">
        <f t="array" ref="P175">INDIRECT("Update"&amp;Projections!$AH$17&amp;"!C"&amp;ROW(B156))</f>
        <v>Noah Clowney</v>
      </c>
      <c r="Q175" s="94">
        <f>UpdateBBM!F156</f>
        <v>71</v>
      </c>
      <c r="R175" s="105" t="str">
        <f t="array" ref="R175">INDIRECT("Update"&amp;Projections!$AH$17&amp;"!D"&amp;ROW(B156))</f>
        <v>SF,PF,C</v>
      </c>
      <c r="S175" s="73">
        <f t="shared" si="14"/>
        <v>-2.677114136</v>
      </c>
      <c r="T175" s="73">
        <f>SUM(AE175:AM175)-IFERROR(IFS(Projections!$I$17,AN175,Projections!$J$17,AO175),"")</f>
        <v>-2.677114136</v>
      </c>
      <c r="U175" s="73">
        <f t="shared" si="15"/>
        <v>0</v>
      </c>
      <c r="V175" s="73">
        <f t="array" ref="V175">INDIRECT("Update"&amp;Projections!$AH$17&amp;"!M"&amp;ROW(B156))</f>
        <v>9.7</v>
      </c>
      <c r="W175" s="73">
        <f t="array" ref="W175">INDIRECT("Update"&amp;Projections!$AH$17&amp;"!L"&amp;ROW(B156))</f>
        <v>0.9</v>
      </c>
      <c r="X175" s="73">
        <f t="array" ref="X175">INDIRECT("Update"&amp;Projections!$AH$17&amp;"!N"&amp;ROW(B156))</f>
        <v>5.8</v>
      </c>
      <c r="Y175" s="73">
        <f t="array" ref="Y175">INDIRECT("Update"&amp;Projections!$AH$17&amp;"!O"&amp;ROW(B156))</f>
        <v>1.3</v>
      </c>
      <c r="Z175" s="73">
        <f t="array" ref="Z175">INDIRECT("Update"&amp;Projections!$AH$17&amp;"!P"&amp;ROW(B156))</f>
        <v>0.6</v>
      </c>
      <c r="AA175" s="73">
        <f t="array" ref="AA175">INDIRECT("Update"&amp;Projections!$AH$17&amp;"!Q"&amp;ROW(B156))</f>
        <v>1.1</v>
      </c>
      <c r="AB175" s="107">
        <f t="array" ref="AB175">INDIRECT("Update"&amp;Projections!$AH$17&amp;"!I"&amp;ROW(B156))</f>
        <v>0.552</v>
      </c>
      <c r="AC175" s="107">
        <f t="array" ref="AC175">INDIRECT("Update"&amp;Projections!$AH$17&amp;"!K"&amp;ROW(B156))</f>
        <v>0.728</v>
      </c>
      <c r="AD175" s="73">
        <f t="array" ref="AD175">INDIRECT("Update"&amp;Projections!$AH$17&amp;"!R"&amp;ROW(B156))</f>
        <v>1.1</v>
      </c>
      <c r="AE175" s="73">
        <f t="shared" si="16"/>
        <v>-1.403072831</v>
      </c>
      <c r="AF175" s="73">
        <f t="shared" si="17"/>
        <v>-0.8449678898</v>
      </c>
      <c r="AG175" s="73">
        <f t="shared" si="18"/>
        <v>-0.1054695806</v>
      </c>
      <c r="AH175" s="73">
        <f t="shared" si="19"/>
        <v>-1.200899644</v>
      </c>
      <c r="AI175" s="73">
        <f t="shared" si="20"/>
        <v>-1.248594445</v>
      </c>
      <c r="AJ175" s="73">
        <f t="shared" si="21"/>
        <v>0.6332385715</v>
      </c>
      <c r="AK175" s="73">
        <f t="shared" si="22"/>
        <v>0.4263584094</v>
      </c>
      <c r="AL175" s="73">
        <f t="shared" si="23"/>
        <v>-0.4976373022</v>
      </c>
      <c r="AM175" s="73">
        <f t="shared" si="24"/>
        <v>0.1608577447</v>
      </c>
      <c r="AN175" s="120">
        <f t="shared" si="25"/>
        <v>-1.403072831</v>
      </c>
      <c r="AO175" s="120">
        <f t="shared" si="26"/>
        <v>-2.651667276</v>
      </c>
      <c r="AP175" s="120">
        <f t="array" ref="AP175">INDIRECT("Update"&amp;Projections!$AH$17&amp;"!S"&amp;ROW(B156))</f>
        <v>6.6</v>
      </c>
      <c r="AQ175" s="120">
        <f t="array" ref="AQ175">INDIRECT("Update"&amp;Projections!$AH$17&amp;"!T"&amp;ROW(B156))</f>
        <v>2.1</v>
      </c>
      <c r="AR175" s="100">
        <f t="shared" si="27"/>
        <v>-1.924263868</v>
      </c>
    </row>
    <row r="176">
      <c r="A176" s="40" t="str">
        <f t="shared" si="3"/>
        <v>Shaedon Sharpe</v>
      </c>
      <c r="B176" s="42">
        <f t="shared" si="4"/>
        <v>-0.2830551089</v>
      </c>
      <c r="C176" s="43">
        <f t="shared" si="5"/>
        <v>0.1502751005</v>
      </c>
      <c r="D176" s="42">
        <f t="shared" si="6"/>
        <v>-0.5761860341</v>
      </c>
      <c r="E176" s="42">
        <f t="shared" si="7"/>
        <v>-0.7908437104</v>
      </c>
      <c r="F176" s="42">
        <f t="shared" si="8"/>
        <v>-0.5847290887</v>
      </c>
      <c r="G176" s="42">
        <f t="shared" si="9"/>
        <v>-0.6155173428</v>
      </c>
      <c r="H176" s="42">
        <f t="shared" si="10"/>
        <v>-0.9506829004</v>
      </c>
      <c r="I176" s="42">
        <f>UpdateHashtag!S174</f>
        <v>12.9</v>
      </c>
      <c r="J176" s="47">
        <f t="shared" si="11"/>
        <v>0.2117815122</v>
      </c>
      <c r="K176" s="48">
        <f>UpdateHashtag!T174</f>
        <v>3.5</v>
      </c>
      <c r="L176" s="42">
        <f t="shared" si="12"/>
        <v>0.05091899834</v>
      </c>
      <c r="N176" s="100">
        <f t="shared" si="13"/>
        <v>125</v>
      </c>
      <c r="O176" s="94">
        <f t="array" ref="O176">INDIRECT("Update"&amp;Projections!$AH$17&amp;"!B"&amp;ROW(B157))</f>
        <v>140.1</v>
      </c>
      <c r="P176" s="101" t="str">
        <f t="array" ref="P176">INDIRECT("Update"&amp;Projections!$AH$17&amp;"!C"&amp;ROW(B157))</f>
        <v>Mitchell Robinson</v>
      </c>
      <c r="Q176" s="94">
        <f>UpdateBBM!F157</f>
        <v>75</v>
      </c>
      <c r="R176" s="105" t="str">
        <f t="array" ref="R176">INDIRECT("Update"&amp;Projections!$AH$17&amp;"!D"&amp;ROW(B157))</f>
        <v>C</v>
      </c>
      <c r="S176" s="73">
        <f t="shared" si="14"/>
        <v>-1.288141273</v>
      </c>
      <c r="T176" s="73">
        <f>SUM(AE176:AM176)-IFERROR(IFS(Projections!$I$17,AN176,Projections!$J$17,AO176),"")</f>
        <v>-1.288141273</v>
      </c>
      <c r="U176" s="73">
        <f t="shared" si="15"/>
        <v>0</v>
      </c>
      <c r="V176" s="73">
        <f t="array" ref="V176">INDIRECT("Update"&amp;Projections!$AH$17&amp;"!M"&amp;ROW(B157))</f>
        <v>6.8</v>
      </c>
      <c r="W176" s="73">
        <f t="array" ref="W176">INDIRECT("Update"&amp;Projections!$AH$17&amp;"!L"&amp;ROW(B157))</f>
        <v>0</v>
      </c>
      <c r="X176" s="73">
        <f t="array" ref="X176">INDIRECT("Update"&amp;Projections!$AH$17&amp;"!N"&amp;ROW(B157))</f>
        <v>9.1</v>
      </c>
      <c r="Y176" s="73">
        <f t="array" ref="Y176">INDIRECT("Update"&amp;Projections!$AH$17&amp;"!O"&amp;ROW(B157))</f>
        <v>0.8</v>
      </c>
      <c r="Z176" s="73">
        <f t="array" ref="Z176">INDIRECT("Update"&amp;Projections!$AH$17&amp;"!P"&amp;ROW(B157))</f>
        <v>1</v>
      </c>
      <c r="AA176" s="73">
        <f t="array" ref="AA176">INDIRECT("Update"&amp;Projections!$AH$17&amp;"!Q"&amp;ROW(B157))</f>
        <v>1.6</v>
      </c>
      <c r="AB176" s="107">
        <f t="array" ref="AB176">INDIRECT("Update"&amp;Projections!$AH$17&amp;"!I"&amp;ROW(B157))</f>
        <v>0.64</v>
      </c>
      <c r="AC176" s="107">
        <f t="array" ref="AC176">INDIRECT("Update"&amp;Projections!$AH$17&amp;"!K"&amp;ROW(B157))</f>
        <v>0.459</v>
      </c>
      <c r="AD176" s="73">
        <f t="array" ref="AD176">INDIRECT("Update"&amp;Projections!$AH$17&amp;"!R"&amp;ROW(B157))</f>
        <v>0.7</v>
      </c>
      <c r="AE176" s="73">
        <f t="shared" si="16"/>
        <v>-1.926952088</v>
      </c>
      <c r="AF176" s="73">
        <f t="shared" si="17"/>
        <v>-1.740686581</v>
      </c>
      <c r="AG176" s="73">
        <f t="shared" si="18"/>
        <v>1.189000666</v>
      </c>
      <c r="AH176" s="73">
        <f t="shared" si="19"/>
        <v>-1.428708496</v>
      </c>
      <c r="AI176" s="73">
        <f t="shared" si="20"/>
        <v>0.07913626764</v>
      </c>
      <c r="AJ176" s="73">
        <f t="shared" si="21"/>
        <v>1.525207082</v>
      </c>
      <c r="AK176" s="73">
        <f t="shared" si="22"/>
        <v>0.7548112774</v>
      </c>
      <c r="AL176" s="73">
        <f t="shared" si="23"/>
        <v>-2.498184568</v>
      </c>
      <c r="AM176" s="73">
        <f t="shared" si="24"/>
        <v>0.2600505987</v>
      </c>
      <c r="AN176" s="120">
        <f t="shared" si="25"/>
        <v>-2.498184568</v>
      </c>
      <c r="AO176" s="120">
        <f t="shared" si="26"/>
        <v>-4.425136656</v>
      </c>
      <c r="AP176" s="120">
        <f t="array" ref="AP176">INDIRECT("Update"&amp;Projections!$AH$17&amp;"!S"&amp;ROW(B157))</f>
        <v>4.5</v>
      </c>
      <c r="AQ176" s="120">
        <f t="array" ref="AQ176">INDIRECT("Update"&amp;Projections!$AH$17&amp;"!T"&amp;ROW(B157))</f>
        <v>2.1</v>
      </c>
      <c r="AR176" s="100">
        <f t="shared" si="27"/>
        <v>-1.989940698</v>
      </c>
    </row>
    <row r="177">
      <c r="A177" s="40" t="str">
        <f t="shared" si="3"/>
        <v>Ben Simmons</v>
      </c>
      <c r="B177" s="42">
        <f t="shared" si="4"/>
        <v>-1.963081691</v>
      </c>
      <c r="C177" s="43">
        <f t="shared" si="5"/>
        <v>-1.740686581</v>
      </c>
      <c r="D177" s="42">
        <f t="shared" si="6"/>
        <v>0.2083413884</v>
      </c>
      <c r="E177" s="42">
        <f t="shared" si="7"/>
        <v>0.8949417952</v>
      </c>
      <c r="F177" s="42">
        <f t="shared" si="8"/>
        <v>0.4110689458</v>
      </c>
      <c r="G177" s="42">
        <f t="shared" si="9"/>
        <v>-0.2587299387</v>
      </c>
      <c r="H177" s="42">
        <f t="shared" si="10"/>
        <v>0.447976005</v>
      </c>
      <c r="I177" s="42">
        <f>UpdateHashtag!S175</f>
        <v>5.3</v>
      </c>
      <c r="J177" s="47">
        <f t="shared" si="11"/>
        <v>-1.563524506</v>
      </c>
      <c r="K177" s="48">
        <f>UpdateHashtag!T175</f>
        <v>1.2</v>
      </c>
      <c r="L177" s="42">
        <f t="shared" si="12"/>
        <v>0.34849756</v>
      </c>
      <c r="N177" s="100">
        <f t="shared" si="13"/>
        <v>182</v>
      </c>
      <c r="O177" s="94">
        <f t="array" ref="O177">INDIRECT("Update"&amp;Projections!$AH$17&amp;"!B"&amp;ROW(B158))</f>
        <v>143.3</v>
      </c>
      <c r="P177" s="101" t="str">
        <f t="array" ref="P177">INDIRECT("Update"&amp;Projections!$AH$17&amp;"!C"&amp;ROW(B158))</f>
        <v>Donovan Clingan</v>
      </c>
      <c r="Q177" s="94">
        <f>UpdateBBM!F158</f>
        <v>66</v>
      </c>
      <c r="R177" s="105" t="str">
        <f t="array" ref="R177">INDIRECT("Update"&amp;Projections!$AH$17&amp;"!D"&amp;ROW(B158))</f>
        <v>C</v>
      </c>
      <c r="S177" s="73">
        <f t="shared" si="14"/>
        <v>-2.686460477</v>
      </c>
      <c r="T177" s="73">
        <f>SUM(AE177:AM177)-IFERROR(IFS(Projections!$I$17,AN177,Projections!$J$17,AO177),"")</f>
        <v>-2.686460477</v>
      </c>
      <c r="U177" s="73">
        <f t="shared" si="15"/>
        <v>0</v>
      </c>
      <c r="V177" s="73">
        <f t="array" ref="V177">INDIRECT("Update"&amp;Projections!$AH$17&amp;"!M"&amp;ROW(B158))</f>
        <v>10.2</v>
      </c>
      <c r="W177" s="73">
        <f t="array" ref="W177">INDIRECT("Update"&amp;Projections!$AH$17&amp;"!L"&amp;ROW(B158))</f>
        <v>0.3</v>
      </c>
      <c r="X177" s="73">
        <f t="array" ref="X177">INDIRECT("Update"&amp;Projections!$AH$17&amp;"!N"&amp;ROW(B158))</f>
        <v>5.6</v>
      </c>
      <c r="Y177" s="73">
        <f t="array" ref="Y177">INDIRECT("Update"&amp;Projections!$AH$17&amp;"!O"&amp;ROW(B158))</f>
        <v>1.2</v>
      </c>
      <c r="Z177" s="73">
        <f t="array" ref="Z177">INDIRECT("Update"&amp;Projections!$AH$17&amp;"!P"&amp;ROW(B158))</f>
        <v>0.4</v>
      </c>
      <c r="AA177" s="73">
        <f t="array" ref="AA177">INDIRECT("Update"&amp;Projections!$AH$17&amp;"!Q"&amp;ROW(B158))</f>
        <v>1.9</v>
      </c>
      <c r="AB177" s="107">
        <f t="array" ref="AB177">INDIRECT("Update"&amp;Projections!$AH$17&amp;"!I"&amp;ROW(B158))</f>
        <v>0.639</v>
      </c>
      <c r="AC177" s="107">
        <f t="array" ref="AC177">INDIRECT("Update"&amp;Projections!$AH$17&amp;"!K"&amp;ROW(B158))</f>
        <v>0.608</v>
      </c>
      <c r="AD177" s="73">
        <f t="array" ref="AD177">INDIRECT("Update"&amp;Projections!$AH$17&amp;"!R"&amp;ROW(B158))</f>
        <v>0.6</v>
      </c>
      <c r="AE177" s="73">
        <f t="shared" si="16"/>
        <v>-1.312748821</v>
      </c>
      <c r="AF177" s="73">
        <f t="shared" si="17"/>
        <v>-1.442113684</v>
      </c>
      <c r="AG177" s="73">
        <f t="shared" si="18"/>
        <v>-0.1839223229</v>
      </c>
      <c r="AH177" s="73">
        <f t="shared" si="19"/>
        <v>-1.246461415</v>
      </c>
      <c r="AI177" s="73">
        <f t="shared" si="20"/>
        <v>-1.912459801</v>
      </c>
      <c r="AJ177" s="73">
        <f t="shared" si="21"/>
        <v>2.060388188</v>
      </c>
      <c r="AK177" s="73">
        <f t="shared" si="22"/>
        <v>1.066008567</v>
      </c>
      <c r="AL177" s="73">
        <f t="shared" si="23"/>
        <v>-1.919627028</v>
      </c>
      <c r="AM177" s="73">
        <f t="shared" si="24"/>
        <v>0.2848488121</v>
      </c>
      <c r="AN177" s="120">
        <f t="shared" si="25"/>
        <v>-1.919627028</v>
      </c>
      <c r="AO177" s="120">
        <f t="shared" si="26"/>
        <v>-3.832086829</v>
      </c>
      <c r="AP177" s="120">
        <f t="array" ref="AP177">INDIRECT("Update"&amp;Projections!$AH$17&amp;"!S"&amp;ROW(B158))</f>
        <v>6.4</v>
      </c>
      <c r="AQ177" s="120">
        <f t="array" ref="AQ177">INDIRECT("Update"&amp;Projections!$AH$17&amp;"!T"&amp;ROW(B158))</f>
        <v>2.9</v>
      </c>
      <c r="AR177" s="100">
        <f t="shared" si="27"/>
        <v>-1.991348839</v>
      </c>
    </row>
    <row r="178">
      <c r="A178" s="40" t="str">
        <f t="shared" si="3"/>
        <v>Jonathan Isaac</v>
      </c>
      <c r="B178" s="42">
        <f t="shared" si="4"/>
        <v>-1.800498474</v>
      </c>
      <c r="C178" s="43">
        <f t="shared" si="5"/>
        <v>-0.9444921888</v>
      </c>
      <c r="D178" s="42">
        <f t="shared" si="6"/>
        <v>-0.3800541785</v>
      </c>
      <c r="E178" s="42">
        <f t="shared" si="7"/>
        <v>-1.519832037</v>
      </c>
      <c r="F178" s="42">
        <f t="shared" si="8"/>
        <v>0.07913626764</v>
      </c>
      <c r="G178" s="42">
        <f t="shared" si="9"/>
        <v>0.8116322736</v>
      </c>
      <c r="H178" s="42">
        <f t="shared" si="10"/>
        <v>-0.005884065516</v>
      </c>
      <c r="I178" s="42">
        <f>UpdateHashtag!S176</f>
        <v>5.7</v>
      </c>
      <c r="J178" s="47">
        <f t="shared" si="11"/>
        <v>-0.482946279</v>
      </c>
      <c r="K178" s="48">
        <f>UpdateHashtag!T176</f>
        <v>1.5</v>
      </c>
      <c r="L178" s="42">
        <f t="shared" si="12"/>
        <v>-1.238588102</v>
      </c>
      <c r="N178" s="100">
        <f t="shared" si="13"/>
        <v>132</v>
      </c>
      <c r="O178" s="94">
        <f t="array" ref="O178">INDIRECT("Update"&amp;Projections!$AH$17&amp;"!B"&amp;ROW(B159))</f>
        <v>144</v>
      </c>
      <c r="P178" s="101" t="str">
        <f t="array" ref="P178">INDIRECT("Update"&amp;Projections!$AH$17&amp;"!C"&amp;ROW(B159))</f>
        <v>Tari Eason</v>
      </c>
      <c r="Q178" s="94">
        <f>UpdateBBM!F159</f>
        <v>66</v>
      </c>
      <c r="R178" s="105" t="str">
        <f t="array" ref="R178">INDIRECT("Update"&amp;Projections!$AH$17&amp;"!D"&amp;ROW(B159))</f>
        <v>SF,PF</v>
      </c>
      <c r="S178" s="73">
        <f t="shared" si="14"/>
        <v>-1.454163596</v>
      </c>
      <c r="T178" s="73">
        <f>SUM(AE178:AM178)-IFERROR(IFS(Projections!$I$17,AN178,Projections!$J$17,AO178),"")</f>
        <v>-1.454163596</v>
      </c>
      <c r="U178" s="73">
        <f t="shared" si="15"/>
        <v>0</v>
      </c>
      <c r="V178" s="73">
        <f t="array" ref="V178">INDIRECT("Update"&amp;Projections!$AH$17&amp;"!M"&amp;ROW(B159))</f>
        <v>9.8</v>
      </c>
      <c r="W178" s="73">
        <f t="array" ref="W178">INDIRECT("Update"&amp;Projections!$AH$17&amp;"!L"&amp;ROW(B159))</f>
        <v>0.8</v>
      </c>
      <c r="X178" s="73">
        <f t="array" ref="X178">INDIRECT("Update"&amp;Projections!$AH$17&amp;"!N"&amp;ROW(B159))</f>
        <v>7.1</v>
      </c>
      <c r="Y178" s="73">
        <f t="array" ref="Y178">INDIRECT("Update"&amp;Projections!$AH$17&amp;"!O"&amp;ROW(B159))</f>
        <v>1.2</v>
      </c>
      <c r="Z178" s="73">
        <f t="array" ref="Z178">INDIRECT("Update"&amp;Projections!$AH$17&amp;"!P"&amp;ROW(B159))</f>
        <v>1.3</v>
      </c>
      <c r="AA178" s="73">
        <f t="array" ref="AA178">INDIRECT("Update"&amp;Projections!$AH$17&amp;"!Q"&amp;ROW(B159))</f>
        <v>0.7</v>
      </c>
      <c r="AB178" s="107">
        <f t="array" ref="AB178">INDIRECT("Update"&amp;Projections!$AH$17&amp;"!I"&amp;ROW(B159))</f>
        <v>0.457</v>
      </c>
      <c r="AC178" s="107">
        <f t="array" ref="AC178">INDIRECT("Update"&amp;Projections!$AH$17&amp;"!K"&amp;ROW(B159))</f>
        <v>0.732</v>
      </c>
      <c r="AD178" s="73">
        <f t="array" ref="AD178">INDIRECT("Update"&amp;Projections!$AH$17&amp;"!R"&amp;ROW(B159))</f>
        <v>1.2</v>
      </c>
      <c r="AE178" s="73">
        <f t="shared" si="16"/>
        <v>-1.385008029</v>
      </c>
      <c r="AF178" s="73">
        <f t="shared" si="17"/>
        <v>-0.9444921888</v>
      </c>
      <c r="AG178" s="73">
        <f t="shared" si="18"/>
        <v>0.404473244</v>
      </c>
      <c r="AH178" s="73">
        <f t="shared" si="19"/>
        <v>-1.246461415</v>
      </c>
      <c r="AI178" s="73">
        <f t="shared" si="20"/>
        <v>1.074934302</v>
      </c>
      <c r="AJ178" s="73">
        <f t="shared" si="21"/>
        <v>-0.08033623669</v>
      </c>
      <c r="AK178" s="73">
        <f t="shared" si="22"/>
        <v>-0.3972927867</v>
      </c>
      <c r="AL178" s="73">
        <f t="shared" si="23"/>
        <v>-0.4010480464</v>
      </c>
      <c r="AM178" s="73">
        <f t="shared" si="24"/>
        <v>0.1360595313</v>
      </c>
      <c r="AN178" s="120">
        <f t="shared" si="25"/>
        <v>-1.385008029</v>
      </c>
      <c r="AO178" s="120">
        <f t="shared" si="26"/>
        <v>-2.631469443</v>
      </c>
      <c r="AP178" s="120">
        <f t="array" ref="AP178">INDIRECT("Update"&amp;Projections!$AH$17&amp;"!S"&amp;ROW(B159))</f>
        <v>8.5</v>
      </c>
      <c r="AQ178" s="120">
        <f t="array" ref="AQ178">INDIRECT("Update"&amp;Projections!$AH$17&amp;"!T"&amp;ROW(B159))</f>
        <v>1.8</v>
      </c>
      <c r="AR178" s="100">
        <f t="shared" si="27"/>
        <v>-2.054250359</v>
      </c>
    </row>
    <row r="179">
      <c r="A179" s="40" t="str">
        <f t="shared" si="3"/>
        <v>Jaime Jaquez Jr.</v>
      </c>
      <c r="B179" s="42">
        <f t="shared" si="4"/>
        <v>-1.005647187</v>
      </c>
      <c r="C179" s="43">
        <f t="shared" si="5"/>
        <v>-0.8449678898</v>
      </c>
      <c r="D179" s="42">
        <f t="shared" si="6"/>
        <v>-0.8899970031</v>
      </c>
      <c r="E179" s="42">
        <f t="shared" si="7"/>
        <v>-0.6085966288</v>
      </c>
      <c r="F179" s="42">
        <f t="shared" si="8"/>
        <v>0.07913626764</v>
      </c>
      <c r="G179" s="42">
        <f t="shared" si="9"/>
        <v>-0.7939110449</v>
      </c>
      <c r="H179" s="42">
        <f t="shared" si="10"/>
        <v>-0.08589757693</v>
      </c>
      <c r="I179" s="42">
        <f>UpdateHashtag!S177</f>
        <v>9.3</v>
      </c>
      <c r="J179" s="47">
        <f t="shared" si="11"/>
        <v>0.139170708</v>
      </c>
      <c r="K179" s="48">
        <f>UpdateHashtag!T177</f>
        <v>2.3</v>
      </c>
      <c r="L179" s="42">
        <f t="shared" si="12"/>
        <v>-0.2466595634</v>
      </c>
      <c r="N179" s="100">
        <f t="shared" si="13"/>
        <v>126</v>
      </c>
      <c r="O179" s="94">
        <f t="array" ref="O179">INDIRECT("Update"&amp;Projections!$AH$17&amp;"!B"&amp;ROW(B160))</f>
        <v>116.7</v>
      </c>
      <c r="P179" s="101" t="str">
        <f t="array" ref="P179">INDIRECT("Update"&amp;Projections!$AH$17&amp;"!C"&amp;ROW(B160))</f>
        <v>Aaron Gordon</v>
      </c>
      <c r="Q179" s="94">
        <f>UpdateBBM!F160</f>
        <v>64</v>
      </c>
      <c r="R179" s="105" t="str">
        <f t="array" ref="R179">INDIRECT("Update"&amp;Projections!$AH$17&amp;"!D"&amp;ROW(B160))</f>
        <v>PF,C</v>
      </c>
      <c r="S179" s="73">
        <f t="shared" si="14"/>
        <v>-1.336040568</v>
      </c>
      <c r="T179" s="73">
        <f>SUM(AE179:AM179)-IFERROR(IFS(Projections!$I$17,AN179,Projections!$J$17,AO179),"")</f>
        <v>-1.336040568</v>
      </c>
      <c r="U179" s="73">
        <f t="shared" si="15"/>
        <v>0</v>
      </c>
      <c r="V179" s="73">
        <f t="array" ref="V179">INDIRECT("Update"&amp;Projections!$AH$17&amp;"!M"&amp;ROW(B160))</f>
        <v>15.3</v>
      </c>
      <c r="W179" s="73">
        <f t="array" ref="W179">INDIRECT("Update"&amp;Projections!$AH$17&amp;"!L"&amp;ROW(B160))</f>
        <v>0.7</v>
      </c>
      <c r="X179" s="73">
        <f t="array" ref="X179">INDIRECT("Update"&amp;Projections!$AH$17&amp;"!N"&amp;ROW(B160))</f>
        <v>6.6</v>
      </c>
      <c r="Y179" s="73">
        <f t="array" ref="Y179">INDIRECT("Update"&amp;Projections!$AH$17&amp;"!O"&amp;ROW(B160))</f>
        <v>3.3</v>
      </c>
      <c r="Z179" s="73">
        <f t="array" ref="Z179">INDIRECT("Update"&amp;Projections!$AH$17&amp;"!P"&amp;ROW(B160))</f>
        <v>0.8</v>
      </c>
      <c r="AA179" s="73">
        <f t="array" ref="AA179">INDIRECT("Update"&amp;Projections!$AH$17&amp;"!Q"&amp;ROW(B160))</f>
        <v>0.7</v>
      </c>
      <c r="AB179" s="107">
        <f t="array" ref="AB179">INDIRECT("Update"&amp;Projections!$AH$17&amp;"!I"&amp;ROW(B160))</f>
        <v>0.56</v>
      </c>
      <c r="AC179" s="107">
        <f t="array" ref="AC179">INDIRECT("Update"&amp;Projections!$AH$17&amp;"!K"&amp;ROW(B160))</f>
        <v>0.632</v>
      </c>
      <c r="AD179" s="73">
        <f t="array" ref="AD179">INDIRECT("Update"&amp;Projections!$AH$17&amp;"!R"&amp;ROW(B160))</f>
        <v>1.5</v>
      </c>
      <c r="AE179" s="73">
        <f t="shared" si="16"/>
        <v>-0.3914439207</v>
      </c>
      <c r="AF179" s="73">
        <f t="shared" si="17"/>
        <v>-1.044016488</v>
      </c>
      <c r="AG179" s="73">
        <f t="shared" si="18"/>
        <v>0.2083413884</v>
      </c>
      <c r="AH179" s="73">
        <f t="shared" si="19"/>
        <v>-0.2896642358</v>
      </c>
      <c r="AI179" s="73">
        <f t="shared" si="20"/>
        <v>-0.5847290887</v>
      </c>
      <c r="AJ179" s="73">
        <f t="shared" si="21"/>
        <v>-0.08033623669</v>
      </c>
      <c r="AK179" s="73">
        <f t="shared" si="22"/>
        <v>0.7841431228</v>
      </c>
      <c r="AL179" s="73">
        <f t="shared" si="23"/>
        <v>-2.423174512</v>
      </c>
      <c r="AM179" s="73">
        <f t="shared" si="24"/>
        <v>0.06166489084</v>
      </c>
      <c r="AN179" s="120">
        <f t="shared" si="25"/>
        <v>-2.423174512</v>
      </c>
      <c r="AO179" s="120">
        <f t="shared" si="26"/>
        <v>-3.467191</v>
      </c>
      <c r="AP179" s="120">
        <f t="array" ref="AP179">INDIRECT("Update"&amp;Projections!$AH$17&amp;"!S"&amp;ROW(B160))</f>
        <v>10.6</v>
      </c>
      <c r="AQ179" s="120">
        <f t="array" ref="AQ179">INDIRECT("Update"&amp;Projections!$AH$17&amp;"!T"&amp;ROW(B160))</f>
        <v>4.2</v>
      </c>
      <c r="AR179" s="100">
        <f t="shared" si="27"/>
        <v>-2.132793182</v>
      </c>
    </row>
    <row r="180">
      <c r="A180" s="40" t="str">
        <f t="shared" si="3"/>
        <v>Kevin Huerter</v>
      </c>
      <c r="B180" s="42">
        <f t="shared" si="4"/>
        <v>-0.9875823855</v>
      </c>
      <c r="C180" s="43">
        <f t="shared" si="5"/>
        <v>0.4488479976</v>
      </c>
      <c r="D180" s="42">
        <f t="shared" si="6"/>
        <v>-1.12535523</v>
      </c>
      <c r="E180" s="42">
        <f t="shared" si="7"/>
        <v>-0.6085966288</v>
      </c>
      <c r="F180" s="42">
        <f t="shared" si="8"/>
        <v>-0.5847290887</v>
      </c>
      <c r="G180" s="42">
        <f t="shared" si="9"/>
        <v>-0.7939110449</v>
      </c>
      <c r="H180" s="42">
        <f t="shared" si="10"/>
        <v>-0.321559019</v>
      </c>
      <c r="I180" s="42">
        <f>UpdateHashtag!S178</f>
        <v>9.5</v>
      </c>
      <c r="J180" s="47">
        <f t="shared" si="11"/>
        <v>-0.1908707263</v>
      </c>
      <c r="K180" s="48">
        <f>UpdateHashtag!T178</f>
        <v>1.2</v>
      </c>
      <c r="L180" s="42">
        <f t="shared" si="12"/>
        <v>-0.7426238329</v>
      </c>
      <c r="N180" s="100">
        <f t="shared" si="13"/>
        <v>163</v>
      </c>
      <c r="O180" s="94">
        <f t="array" ref="O180">INDIRECT("Update"&amp;Projections!$AH$17&amp;"!B"&amp;ROW(B161))</f>
        <v>141.5</v>
      </c>
      <c r="P180" s="101" t="str">
        <f t="array" ref="P180">INDIRECT("Update"&amp;Projections!$AH$17&amp;"!C"&amp;ROW(B161))</f>
        <v>Tre Jones</v>
      </c>
      <c r="Q180" s="94">
        <f>UpdateBBM!F161</f>
        <v>66</v>
      </c>
      <c r="R180" s="105" t="str">
        <f t="array" ref="R180">INDIRECT("Update"&amp;Projections!$AH$17&amp;"!D"&amp;ROW(B161))</f>
        <v>PG</v>
      </c>
      <c r="S180" s="73">
        <f t="shared" si="14"/>
        <v>-2.211561083</v>
      </c>
      <c r="T180" s="73">
        <f>SUM(AE180:AM180)-IFERROR(IFS(Projections!$I$17,AN180,Projections!$J$17,AO180),"")</f>
        <v>-2.211561083</v>
      </c>
      <c r="U180" s="73">
        <f t="shared" si="15"/>
        <v>0</v>
      </c>
      <c r="V180" s="73">
        <f t="array" ref="V180">INDIRECT("Update"&amp;Projections!$AH$17&amp;"!M"&amp;ROW(B161))</f>
        <v>9.8</v>
      </c>
      <c r="W180" s="73">
        <f t="array" ref="W180">INDIRECT("Update"&amp;Projections!$AH$17&amp;"!L"&amp;ROW(B161))</f>
        <v>0.7</v>
      </c>
      <c r="X180" s="73">
        <f t="array" ref="X180">INDIRECT("Update"&amp;Projections!$AH$17&amp;"!N"&amp;ROW(B161))</f>
        <v>3.2</v>
      </c>
      <c r="Y180" s="73">
        <f t="array" ref="Y180">INDIRECT("Update"&amp;Projections!$AH$17&amp;"!O"&amp;ROW(B161))</f>
        <v>5.5</v>
      </c>
      <c r="Z180" s="73">
        <f t="array" ref="Z180">INDIRECT("Update"&amp;Projections!$AH$17&amp;"!P"&amp;ROW(B161))</f>
        <v>1</v>
      </c>
      <c r="AA180" s="73">
        <f t="array" ref="AA180">INDIRECT("Update"&amp;Projections!$AH$17&amp;"!Q"&amp;ROW(B161))</f>
        <v>0.1</v>
      </c>
      <c r="AB180" s="107">
        <f t="array" ref="AB180">INDIRECT("Update"&amp;Projections!$AH$17&amp;"!I"&amp;ROW(B161))</f>
        <v>0.479</v>
      </c>
      <c r="AC180" s="107">
        <f t="array" ref="AC180">INDIRECT("Update"&amp;Projections!$AH$17&amp;"!K"&amp;ROW(B161))</f>
        <v>0.861</v>
      </c>
      <c r="AD180" s="73">
        <f t="array" ref="AD180">INDIRECT("Update"&amp;Projections!$AH$17&amp;"!R"&amp;ROW(B161))</f>
        <v>1.4</v>
      </c>
      <c r="AE180" s="73">
        <f t="shared" si="16"/>
        <v>-1.385008029</v>
      </c>
      <c r="AF180" s="73">
        <f t="shared" si="17"/>
        <v>-1.044016488</v>
      </c>
      <c r="AG180" s="73">
        <f t="shared" si="18"/>
        <v>-1.12535523</v>
      </c>
      <c r="AH180" s="73">
        <f t="shared" si="19"/>
        <v>0.7126947135</v>
      </c>
      <c r="AI180" s="73">
        <f t="shared" si="20"/>
        <v>0.07913626764</v>
      </c>
      <c r="AJ180" s="73">
        <f t="shared" si="21"/>
        <v>-1.150698449</v>
      </c>
      <c r="AK180" s="73">
        <f t="shared" si="22"/>
        <v>-0.1676504619</v>
      </c>
      <c r="AL180" s="73">
        <f t="shared" si="23"/>
        <v>0.3978654604</v>
      </c>
      <c r="AM180" s="73">
        <f t="shared" si="24"/>
        <v>0.08646310432</v>
      </c>
      <c r="AN180" s="120">
        <f t="shared" si="25"/>
        <v>-1.385008029</v>
      </c>
      <c r="AO180" s="120">
        <f t="shared" si="26"/>
        <v>-2.535706478</v>
      </c>
      <c r="AP180" s="120">
        <f t="array" ref="AP180">INDIRECT("Update"&amp;Projections!$AH$17&amp;"!S"&amp;ROW(B161))</f>
        <v>8</v>
      </c>
      <c r="AQ180" s="120">
        <f t="array" ref="AQ180">INDIRECT("Update"&amp;Projections!$AH$17&amp;"!T"&amp;ROW(B161))</f>
        <v>1.7</v>
      </c>
      <c r="AR180" s="100">
        <f t="shared" si="27"/>
        <v>-2.136422328</v>
      </c>
    </row>
    <row r="181">
      <c r="A181" s="40" t="str">
        <f t="shared" si="3"/>
        <v>Lonzo Ball</v>
      </c>
      <c r="B181" s="42">
        <f t="shared" si="4"/>
        <v>-1.782433672</v>
      </c>
      <c r="C181" s="43">
        <f t="shared" si="5"/>
        <v>0.05075080149</v>
      </c>
      <c r="D181" s="42">
        <f t="shared" si="6"/>
        <v>-1.12535523</v>
      </c>
      <c r="E181" s="42">
        <f t="shared" si="7"/>
        <v>-0.198540695</v>
      </c>
      <c r="F181" s="42">
        <f t="shared" si="8"/>
        <v>0.4110689458</v>
      </c>
      <c r="G181" s="42">
        <f t="shared" si="9"/>
        <v>-0.4371236408</v>
      </c>
      <c r="H181" s="42">
        <f t="shared" si="10"/>
        <v>-0.5541654971</v>
      </c>
      <c r="I181" s="42">
        <f>UpdateHashtag!S179</f>
        <v>6.4</v>
      </c>
      <c r="J181" s="47">
        <f t="shared" si="11"/>
        <v>-0.06005166799</v>
      </c>
      <c r="K181" s="48">
        <f>UpdateHashtag!T179</f>
        <v>0.5</v>
      </c>
      <c r="L181" s="42">
        <f t="shared" si="12"/>
        <v>-0.3458524173</v>
      </c>
      <c r="N181" s="100">
        <f t="shared" si="13"/>
        <v>177</v>
      </c>
      <c r="O181" s="94">
        <f t="array" ref="O181">INDIRECT("Update"&amp;Projections!$AH$17&amp;"!B"&amp;ROW(B162))</f>
        <v>103.5</v>
      </c>
      <c r="P181" s="101" t="str">
        <f t="array" ref="P181">INDIRECT("Update"&amp;Projections!$AH$17&amp;"!C"&amp;ROW(B162))</f>
        <v>Zach Edey</v>
      </c>
      <c r="Q181" s="94">
        <f>UpdateBBM!F162</f>
        <v>66</v>
      </c>
      <c r="R181" s="105" t="str">
        <f t="array" ref="R181">INDIRECT("Update"&amp;Projections!$AH$17&amp;"!D"&amp;ROW(B162))</f>
        <v>C</v>
      </c>
      <c r="S181" s="73">
        <f t="shared" si="14"/>
        <v>-2.550168117</v>
      </c>
      <c r="T181" s="73">
        <f>SUM(AE181:AM181)-IFERROR(IFS(Projections!$I$17,AN181,Projections!$J$17,AO181),"")</f>
        <v>-2.550168117</v>
      </c>
      <c r="U181" s="73">
        <f t="shared" si="15"/>
        <v>0</v>
      </c>
      <c r="V181" s="73">
        <f t="array" ref="V181">INDIRECT("Update"&amp;Projections!$AH$17&amp;"!M"&amp;ROW(B162))</f>
        <v>10.2</v>
      </c>
      <c r="W181" s="73">
        <f t="array" ref="W181">INDIRECT("Update"&amp;Projections!$AH$17&amp;"!L"&amp;ROW(B162))</f>
        <v>0</v>
      </c>
      <c r="X181" s="73">
        <f t="array" ref="X181">INDIRECT("Update"&amp;Projections!$AH$17&amp;"!N"&amp;ROW(B162))</f>
        <v>7.2</v>
      </c>
      <c r="Y181" s="73">
        <f t="array" ref="Y181">INDIRECT("Update"&amp;Projections!$AH$17&amp;"!O"&amp;ROW(B162))</f>
        <v>1.3</v>
      </c>
      <c r="Z181" s="73">
        <f t="array" ref="Z181">INDIRECT("Update"&amp;Projections!$AH$17&amp;"!P"&amp;ROW(B162))</f>
        <v>0.3</v>
      </c>
      <c r="AA181" s="73">
        <f t="array" ref="AA181">INDIRECT("Update"&amp;Projections!$AH$17&amp;"!Q"&amp;ROW(B162))</f>
        <v>1.3</v>
      </c>
      <c r="AB181" s="107">
        <f t="array" ref="AB181">INDIRECT("Update"&amp;Projections!$AH$17&amp;"!I"&amp;ROW(B162))</f>
        <v>0.575</v>
      </c>
      <c r="AC181" s="107">
        <f t="array" ref="AC181">INDIRECT("Update"&amp;Projections!$AH$17&amp;"!K"&amp;ROW(B162))</f>
        <v>0.729</v>
      </c>
      <c r="AD181" s="73">
        <f t="array" ref="AD181">INDIRECT("Update"&amp;Projections!$AH$17&amp;"!R"&amp;ROW(B162))</f>
        <v>1</v>
      </c>
      <c r="AE181" s="73">
        <f t="shared" si="16"/>
        <v>-1.312748821</v>
      </c>
      <c r="AF181" s="73">
        <f t="shared" si="17"/>
        <v>-1.740686581</v>
      </c>
      <c r="AG181" s="73">
        <f t="shared" si="18"/>
        <v>0.4436996151</v>
      </c>
      <c r="AH181" s="73">
        <f t="shared" si="19"/>
        <v>-1.200899644</v>
      </c>
      <c r="AI181" s="73">
        <f t="shared" si="20"/>
        <v>-2.244392479</v>
      </c>
      <c r="AJ181" s="73">
        <f t="shared" si="21"/>
        <v>0.9900259756</v>
      </c>
      <c r="AK181" s="73">
        <f t="shared" si="22"/>
        <v>0.6683571941</v>
      </c>
      <c r="AL181" s="73">
        <f t="shared" si="23"/>
        <v>-0.5835718137</v>
      </c>
      <c r="AM181" s="73">
        <f t="shared" si="24"/>
        <v>0.1856559582</v>
      </c>
      <c r="AN181" s="120">
        <f t="shared" si="25"/>
        <v>-2.244392479</v>
      </c>
      <c r="AO181" s="120">
        <f t="shared" si="26"/>
        <v>-3.985079061</v>
      </c>
      <c r="AP181" s="120">
        <f t="array" ref="AP181">INDIRECT("Update"&amp;Projections!$AH$17&amp;"!S"&amp;ROW(B162))</f>
        <v>7.3</v>
      </c>
      <c r="AQ181" s="120">
        <f t="array" ref="AQ181">INDIRECT("Update"&amp;Projections!$AH$17&amp;"!T"&amp;ROW(B162))</f>
        <v>2.5</v>
      </c>
      <c r="AR181" s="100">
        <f t="shared" si="27"/>
        <v>-2.150910474</v>
      </c>
    </row>
    <row r="182">
      <c r="A182" s="40" t="str">
        <f t="shared" si="3"/>
        <v>Vince Williams Jr.</v>
      </c>
      <c r="B182" s="42">
        <f t="shared" si="4"/>
        <v>-1.529526444</v>
      </c>
      <c r="C182" s="43">
        <f t="shared" si="5"/>
        <v>-0.4468706937</v>
      </c>
      <c r="D182" s="42">
        <f t="shared" si="6"/>
        <v>-0.4977332919</v>
      </c>
      <c r="E182" s="42">
        <f t="shared" si="7"/>
        <v>-0.5174730879</v>
      </c>
      <c r="F182" s="42">
        <f t="shared" si="8"/>
        <v>-0.5847290887</v>
      </c>
      <c r="G182" s="42">
        <f t="shared" si="9"/>
        <v>-0.2587299387</v>
      </c>
      <c r="H182" s="42">
        <f t="shared" si="10"/>
        <v>-0.3316917819</v>
      </c>
      <c r="I182" s="42">
        <f>UpdateHashtag!S180</f>
        <v>6.6</v>
      </c>
      <c r="J182" s="47">
        <f t="shared" si="11"/>
        <v>0.06013609916</v>
      </c>
      <c r="K182" s="48">
        <f>UpdateHashtag!T180</f>
        <v>2.1</v>
      </c>
      <c r="L182" s="42">
        <f t="shared" si="12"/>
        <v>-0.2466595634</v>
      </c>
      <c r="N182" s="100">
        <f t="shared" si="13"/>
        <v>135</v>
      </c>
      <c r="O182" s="94">
        <f t="array" ref="O182">INDIRECT("Update"&amp;Projections!$AH$17&amp;"!B"&amp;ROW(B163))</f>
        <v>130.8</v>
      </c>
      <c r="P182" s="101" t="str">
        <f t="array" ref="P182">INDIRECT("Update"&amp;Projections!$AH$17&amp;"!C"&amp;ROW(B163))</f>
        <v>Scoot Henderson</v>
      </c>
      <c r="Q182" s="94">
        <f>UpdateBBM!F163</f>
        <v>66</v>
      </c>
      <c r="R182" s="105" t="str">
        <f t="array" ref="R182">INDIRECT("Update"&amp;Projections!$AH$17&amp;"!D"&amp;ROW(B163))</f>
        <v>PG</v>
      </c>
      <c r="S182" s="73">
        <f t="shared" si="14"/>
        <v>-1.579897179</v>
      </c>
      <c r="T182" s="73">
        <f>SUM(AE182:AM182)-IFERROR(IFS(Projections!$I$17,AN182,Projections!$J$17,AO182),"")</f>
        <v>-1.579897179</v>
      </c>
      <c r="U182" s="73">
        <f t="shared" si="15"/>
        <v>0</v>
      </c>
      <c r="V182" s="73">
        <f t="array" ref="V182">INDIRECT("Update"&amp;Projections!$AH$17&amp;"!M"&amp;ROW(B163))</f>
        <v>15.7</v>
      </c>
      <c r="W182" s="73">
        <f t="array" ref="W182">INDIRECT("Update"&amp;Projections!$AH$17&amp;"!L"&amp;ROW(B163))</f>
        <v>1.5</v>
      </c>
      <c r="X182" s="73">
        <f t="array" ref="X182">INDIRECT("Update"&amp;Projections!$AH$17&amp;"!N"&amp;ROW(B163))</f>
        <v>3.3</v>
      </c>
      <c r="Y182" s="73">
        <f t="array" ref="Y182">INDIRECT("Update"&amp;Projections!$AH$17&amp;"!O"&amp;ROW(B163))</f>
        <v>5.8</v>
      </c>
      <c r="Z182" s="73">
        <f t="array" ref="Z182">INDIRECT("Update"&amp;Projections!$AH$17&amp;"!P"&amp;ROW(B163))</f>
        <v>1</v>
      </c>
      <c r="AA182" s="73">
        <f t="array" ref="AA182">INDIRECT("Update"&amp;Projections!$AH$17&amp;"!Q"&amp;ROW(B163))</f>
        <v>0.3</v>
      </c>
      <c r="AB182" s="107">
        <f t="array" ref="AB182">INDIRECT("Update"&amp;Projections!$AH$17&amp;"!I"&amp;ROW(B163))</f>
        <v>0.409</v>
      </c>
      <c r="AC182" s="107">
        <f t="array" ref="AC182">INDIRECT("Update"&amp;Projections!$AH$17&amp;"!K"&amp;ROW(B163))</f>
        <v>0.821</v>
      </c>
      <c r="AD182" s="73">
        <f t="array" ref="AD182">INDIRECT("Update"&amp;Projections!$AH$17&amp;"!R"&amp;ROW(B163))</f>
        <v>3.3</v>
      </c>
      <c r="AE182" s="73">
        <f t="shared" si="16"/>
        <v>-0.3191847128</v>
      </c>
      <c r="AF182" s="73">
        <f t="shared" si="17"/>
        <v>-0.2478220956</v>
      </c>
      <c r="AG182" s="73">
        <f t="shared" si="18"/>
        <v>-1.086128859</v>
      </c>
      <c r="AH182" s="73">
        <f t="shared" si="19"/>
        <v>0.8493800248</v>
      </c>
      <c r="AI182" s="73">
        <f t="shared" si="20"/>
        <v>0.07913626764</v>
      </c>
      <c r="AJ182" s="73">
        <f t="shared" si="21"/>
        <v>-0.7939110449</v>
      </c>
      <c r="AK182" s="73">
        <f t="shared" si="22"/>
        <v>-1.42134993</v>
      </c>
      <c r="AL182" s="73">
        <f t="shared" si="23"/>
        <v>0.3233361925</v>
      </c>
      <c r="AM182" s="73">
        <f t="shared" si="24"/>
        <v>-0.3847029517</v>
      </c>
      <c r="AN182" s="120">
        <f t="shared" si="25"/>
        <v>-1.42134993</v>
      </c>
      <c r="AO182" s="120">
        <f t="shared" si="26"/>
        <v>-2.507478789</v>
      </c>
      <c r="AP182" s="120">
        <f t="array" ref="AP182">INDIRECT("Update"&amp;Projections!$AH$17&amp;"!S"&amp;ROW(B163))</f>
        <v>13.8</v>
      </c>
      <c r="AQ182" s="120">
        <f t="array" ref="AQ182">INDIRECT("Update"&amp;Projections!$AH$17&amp;"!T"&amp;ROW(B163))</f>
        <v>3.5</v>
      </c>
      <c r="AR182" s="100">
        <f t="shared" si="27"/>
        <v>-2.198912066</v>
      </c>
    </row>
    <row r="183">
      <c r="A183" s="40" t="str">
        <f t="shared" si="3"/>
        <v>Gary Trent Jr.</v>
      </c>
      <c r="B183" s="42">
        <f t="shared" si="4"/>
        <v>-0.5359623364</v>
      </c>
      <c r="C183" s="43">
        <f t="shared" si="5"/>
        <v>0.6478965957</v>
      </c>
      <c r="D183" s="42">
        <f t="shared" si="6"/>
        <v>-1.399939828</v>
      </c>
      <c r="E183" s="42">
        <f t="shared" si="7"/>
        <v>-1.064214333</v>
      </c>
      <c r="F183" s="42">
        <f t="shared" si="8"/>
        <v>0.743001624</v>
      </c>
      <c r="G183" s="42">
        <f t="shared" si="9"/>
        <v>-0.9723047469</v>
      </c>
      <c r="H183" s="42">
        <f t="shared" si="10"/>
        <v>-0.9785431473</v>
      </c>
      <c r="I183" s="42">
        <f>UpdateHashtag!S181</f>
        <v>12.3</v>
      </c>
      <c r="J183" s="47">
        <f t="shared" si="11"/>
        <v>-0.02167066636</v>
      </c>
      <c r="K183" s="48">
        <f>UpdateHashtag!T181</f>
        <v>2.1</v>
      </c>
      <c r="L183" s="42">
        <f t="shared" si="12"/>
        <v>-1.040202395</v>
      </c>
      <c r="N183" s="100">
        <f t="shared" si="13"/>
        <v>150</v>
      </c>
      <c r="O183" s="94">
        <f t="array" ref="O183">INDIRECT("Update"&amp;Projections!$AH$17&amp;"!B"&amp;ROW(B164))</f>
        <v>140.2</v>
      </c>
      <c r="P183" s="101" t="str">
        <f t="array" ref="P183">INDIRECT("Update"&amp;Projections!$AH$17&amp;"!C"&amp;ROW(B164))</f>
        <v>Kyle Lowry</v>
      </c>
      <c r="Q183" s="94">
        <f>UpdateBBM!F164</f>
        <v>71</v>
      </c>
      <c r="R183" s="105" t="str">
        <f t="array" ref="R183">INDIRECT("Update"&amp;Projections!$AH$17&amp;"!D"&amp;ROW(B164))</f>
        <v>PG</v>
      </c>
      <c r="S183" s="73">
        <f t="shared" si="14"/>
        <v>-1.840232228</v>
      </c>
      <c r="T183" s="73">
        <f>SUM(AE183:AM183)-IFERROR(IFS(Projections!$I$17,AN183,Projections!$J$17,AO183),"")</f>
        <v>-1.840232228</v>
      </c>
      <c r="U183" s="73">
        <f t="shared" si="15"/>
        <v>0</v>
      </c>
      <c r="V183" s="73">
        <f t="array" ref="V183">INDIRECT("Update"&amp;Projections!$AH$17&amp;"!M"&amp;ROW(B164))</f>
        <v>9.1</v>
      </c>
      <c r="W183" s="73">
        <f t="array" ref="W183">INDIRECT("Update"&amp;Projections!$AH$17&amp;"!L"&amp;ROW(B164))</f>
        <v>1.7</v>
      </c>
      <c r="X183" s="73">
        <f t="array" ref="X183">INDIRECT("Update"&amp;Projections!$AH$17&amp;"!N"&amp;ROW(B164))</f>
        <v>3.4</v>
      </c>
      <c r="Y183" s="73">
        <f t="array" ref="Y183">INDIRECT("Update"&amp;Projections!$AH$17&amp;"!O"&amp;ROW(B164))</f>
        <v>4.4</v>
      </c>
      <c r="Z183" s="73">
        <f t="array" ref="Z183">INDIRECT("Update"&amp;Projections!$AH$17&amp;"!P"&amp;ROW(B164))</f>
        <v>1</v>
      </c>
      <c r="AA183" s="73">
        <f t="array" ref="AA183">INDIRECT("Update"&amp;Projections!$AH$17&amp;"!Q"&amp;ROW(B164))</f>
        <v>0.3</v>
      </c>
      <c r="AB183" s="107">
        <f t="array" ref="AB183">INDIRECT("Update"&amp;Projections!$AH$17&amp;"!I"&amp;ROW(B164))</f>
        <v>0.417</v>
      </c>
      <c r="AC183" s="107">
        <f t="array" ref="AC183">INDIRECT("Update"&amp;Projections!$AH$17&amp;"!K"&amp;ROW(B164))</f>
        <v>0.855</v>
      </c>
      <c r="AD183" s="73">
        <f t="array" ref="AD183">INDIRECT("Update"&amp;Projections!$AH$17&amp;"!R"&amp;ROW(B164))</f>
        <v>1.5</v>
      </c>
      <c r="AE183" s="73">
        <f t="shared" si="16"/>
        <v>-1.511461642</v>
      </c>
      <c r="AF183" s="73">
        <f t="shared" si="17"/>
        <v>-0.04877349754</v>
      </c>
      <c r="AG183" s="73">
        <f t="shared" si="18"/>
        <v>-1.046902488</v>
      </c>
      <c r="AH183" s="73">
        <f t="shared" si="19"/>
        <v>0.2115152388</v>
      </c>
      <c r="AI183" s="73">
        <f t="shared" si="20"/>
        <v>0.07913626764</v>
      </c>
      <c r="AJ183" s="73">
        <f t="shared" si="21"/>
        <v>-0.7939110449</v>
      </c>
      <c r="AK183" s="73">
        <f t="shared" si="22"/>
        <v>-0.6647045873</v>
      </c>
      <c r="AL183" s="73">
        <f t="shared" si="23"/>
        <v>0.3617429925</v>
      </c>
      <c r="AM183" s="73">
        <f t="shared" si="24"/>
        <v>0.06166489084</v>
      </c>
      <c r="AN183" s="120">
        <f t="shared" si="25"/>
        <v>-1.511461642</v>
      </c>
      <c r="AO183" s="120">
        <f t="shared" si="26"/>
        <v>-2.55836413</v>
      </c>
      <c r="AP183" s="120">
        <f t="array" ref="AP183">INDIRECT("Update"&amp;Projections!$AH$17&amp;"!S"&amp;ROW(B164))</f>
        <v>7.1</v>
      </c>
      <c r="AQ183" s="120">
        <f t="array" ref="AQ183">INDIRECT("Update"&amp;Projections!$AH$17&amp;"!T"&amp;ROW(B164))</f>
        <v>1.7</v>
      </c>
      <c r="AR183" s="100">
        <f t="shared" si="27"/>
        <v>-2.211561083</v>
      </c>
    </row>
    <row r="184">
      <c r="A184" s="40" t="str">
        <f t="shared" si="3"/>
        <v>Keldon Johnson</v>
      </c>
      <c r="B184" s="42">
        <f t="shared" si="4"/>
        <v>-0.1385366932</v>
      </c>
      <c r="C184" s="43">
        <f t="shared" si="5"/>
        <v>0.05075080149</v>
      </c>
      <c r="D184" s="42">
        <f t="shared" si="6"/>
        <v>-0.536959663</v>
      </c>
      <c r="E184" s="42">
        <f t="shared" si="7"/>
        <v>-0.6085966288</v>
      </c>
      <c r="F184" s="42">
        <f t="shared" si="8"/>
        <v>-0.9166617668</v>
      </c>
      <c r="G184" s="42">
        <f t="shared" si="9"/>
        <v>-0.9723047469</v>
      </c>
      <c r="H184" s="42">
        <f t="shared" si="10"/>
        <v>-0.6891396421</v>
      </c>
      <c r="I184" s="42">
        <f>UpdateHashtag!S182</f>
        <v>13.4</v>
      </c>
      <c r="J184" s="47">
        <f t="shared" si="11"/>
        <v>0.03934492413</v>
      </c>
      <c r="K184" s="48">
        <f>UpdateHashtag!T182</f>
        <v>3.6</v>
      </c>
      <c r="L184" s="42">
        <f t="shared" si="12"/>
        <v>-0.1474667095</v>
      </c>
      <c r="N184" s="100">
        <f t="shared" si="13"/>
        <v>123</v>
      </c>
      <c r="O184" s="94">
        <f t="array" ref="O184">INDIRECT("Update"&amp;Projections!$AH$17&amp;"!B"&amp;ROW(B165))</f>
        <v>144.4</v>
      </c>
      <c r="P184" s="101" t="str">
        <f t="array" ref="P184">INDIRECT("Update"&amp;Projections!$AH$17&amp;"!C"&amp;ROW(B165))</f>
        <v>Dyson Daniels</v>
      </c>
      <c r="Q184" s="94">
        <f>UpdateBBM!F165</f>
        <v>61</v>
      </c>
      <c r="R184" s="105" t="str">
        <f t="array" ref="R184">INDIRECT("Update"&amp;Projections!$AH$17&amp;"!D"&amp;ROW(B165))</f>
        <v>PG,SG</v>
      </c>
      <c r="S184" s="73">
        <f t="shared" si="14"/>
        <v>-1.226906134</v>
      </c>
      <c r="T184" s="73">
        <f>SUM(AE184:AM184)-IFERROR(IFS(Projections!$I$17,AN184,Projections!$J$17,AO184),"")</f>
        <v>-1.226906134</v>
      </c>
      <c r="U184" s="73">
        <f t="shared" si="15"/>
        <v>0</v>
      </c>
      <c r="V184" s="73">
        <f t="array" ref="V184">INDIRECT("Update"&amp;Projections!$AH$17&amp;"!M"&amp;ROW(B165))</f>
        <v>7.1</v>
      </c>
      <c r="W184" s="73">
        <f t="array" ref="W184">INDIRECT("Update"&amp;Projections!$AH$17&amp;"!L"&amp;ROW(B165))</f>
        <v>0.8</v>
      </c>
      <c r="X184" s="73">
        <f t="array" ref="X184">INDIRECT("Update"&amp;Projections!$AH$17&amp;"!N"&amp;ROW(B165))</f>
        <v>5</v>
      </c>
      <c r="Y184" s="73">
        <f t="array" ref="Y184">INDIRECT("Update"&amp;Projections!$AH$17&amp;"!O"&amp;ROW(B165))</f>
        <v>3.5</v>
      </c>
      <c r="Z184" s="73">
        <f t="array" ref="Z184">INDIRECT("Update"&amp;Projections!$AH$17&amp;"!P"&amp;ROW(B165))</f>
        <v>1.5</v>
      </c>
      <c r="AA184" s="73">
        <f t="array" ref="AA184">INDIRECT("Update"&amp;Projections!$AH$17&amp;"!Q"&amp;ROW(B165))</f>
        <v>0.4</v>
      </c>
      <c r="AB184" s="107">
        <f t="array" ref="AB184">INDIRECT("Update"&amp;Projections!$AH$17&amp;"!I"&amp;ROW(B165))</f>
        <v>0.453</v>
      </c>
      <c r="AC184" s="107">
        <f t="array" ref="AC184">INDIRECT("Update"&amp;Projections!$AH$17&amp;"!K"&amp;ROW(B165))</f>
        <v>0.651</v>
      </c>
      <c r="AD184" s="73">
        <f t="array" ref="AD184">INDIRECT("Update"&amp;Projections!$AH$17&amp;"!R"&amp;ROW(B165))</f>
        <v>1.4</v>
      </c>
      <c r="AE184" s="73">
        <f t="shared" si="16"/>
        <v>-1.872757682</v>
      </c>
      <c r="AF184" s="73">
        <f t="shared" si="17"/>
        <v>-0.9444921888</v>
      </c>
      <c r="AG184" s="73">
        <f t="shared" si="18"/>
        <v>-0.4192805496</v>
      </c>
      <c r="AH184" s="73">
        <f t="shared" si="19"/>
        <v>-0.198540695</v>
      </c>
      <c r="AI184" s="73">
        <f t="shared" si="20"/>
        <v>1.738799658</v>
      </c>
      <c r="AJ184" s="73">
        <f t="shared" si="21"/>
        <v>-0.6155173428</v>
      </c>
      <c r="AK184" s="73">
        <f t="shared" si="22"/>
        <v>-0.3137128222</v>
      </c>
      <c r="AL184" s="73">
        <f t="shared" si="23"/>
        <v>-0.5606252985</v>
      </c>
      <c r="AM184" s="73">
        <f t="shared" si="24"/>
        <v>0.08646310432</v>
      </c>
      <c r="AN184" s="120">
        <f t="shared" si="25"/>
        <v>-1.872757682</v>
      </c>
      <c r="AO184" s="120">
        <f t="shared" si="26"/>
        <v>-2.81724987</v>
      </c>
      <c r="AP184" s="120">
        <f t="array" ref="AP184">INDIRECT("Update"&amp;Projections!$AH$17&amp;"!S"&amp;ROW(B165))</f>
        <v>6.1</v>
      </c>
      <c r="AQ184" s="120">
        <f t="array" ref="AQ184">INDIRECT("Update"&amp;Projections!$AH$17&amp;"!T"&amp;ROW(B165))</f>
        <v>1.1</v>
      </c>
      <c r="AR184" s="100">
        <f t="shared" si="27"/>
        <v>-2.214360815</v>
      </c>
    </row>
    <row r="185">
      <c r="A185" s="40" t="str">
        <f t="shared" si="3"/>
        <v>Christian Braun</v>
      </c>
      <c r="B185" s="42">
        <f t="shared" si="4"/>
        <v>-1.168230405</v>
      </c>
      <c r="C185" s="43">
        <f t="shared" si="5"/>
        <v>-0.6459192917</v>
      </c>
      <c r="D185" s="42">
        <f t="shared" si="6"/>
        <v>-0.223148694</v>
      </c>
      <c r="E185" s="42">
        <f t="shared" si="7"/>
        <v>-0.7908437104</v>
      </c>
      <c r="F185" s="42">
        <f t="shared" si="8"/>
        <v>-0.2527964105</v>
      </c>
      <c r="G185" s="42">
        <f t="shared" si="9"/>
        <v>-0.2587299387</v>
      </c>
      <c r="H185" s="42">
        <f t="shared" si="10"/>
        <v>-0.2978651966</v>
      </c>
      <c r="I185" s="42">
        <f>UpdateHashtag!S183</f>
        <v>8.8</v>
      </c>
      <c r="J185" s="47">
        <f t="shared" si="11"/>
        <v>-0.497960955</v>
      </c>
      <c r="K185" s="48">
        <f>UpdateHashtag!T183</f>
        <v>2.2</v>
      </c>
      <c r="L185" s="42">
        <f t="shared" si="12"/>
        <v>-0.7426238329</v>
      </c>
      <c r="N185" s="100">
        <f t="shared" si="13"/>
        <v>158</v>
      </c>
      <c r="O185" s="94">
        <f t="array" ref="O185">INDIRECT("Update"&amp;Projections!$AH$17&amp;"!B"&amp;ROW(B166))</f>
        <v>140.6</v>
      </c>
      <c r="P185" s="101" t="str">
        <f t="array" ref="P185">INDIRECT("Update"&amp;Projections!$AH$17&amp;"!C"&amp;ROW(B166))</f>
        <v>Andrew Nembhard</v>
      </c>
      <c r="Q185" s="94">
        <f>UpdateBBM!F166</f>
        <v>66</v>
      </c>
      <c r="R185" s="105" t="str">
        <f t="array" ref="R185">INDIRECT("Update"&amp;Projections!$AH$17&amp;"!D"&amp;ROW(B166))</f>
        <v>PG,SG</v>
      </c>
      <c r="S185" s="73">
        <f t="shared" si="14"/>
        <v>-2.054250359</v>
      </c>
      <c r="T185" s="73">
        <f>SUM(AE185:AM185)-IFERROR(IFS(Projections!$I$17,AN185,Projections!$J$17,AO185),"")</f>
        <v>-2.054250359</v>
      </c>
      <c r="U185" s="73">
        <f t="shared" si="15"/>
        <v>0</v>
      </c>
      <c r="V185" s="73">
        <f t="array" ref="V185">INDIRECT("Update"&amp;Projections!$AH$17&amp;"!M"&amp;ROW(B166))</f>
        <v>10.7</v>
      </c>
      <c r="W185" s="73">
        <f t="array" ref="W185">INDIRECT("Update"&amp;Projections!$AH$17&amp;"!L"&amp;ROW(B166))</f>
        <v>1.2</v>
      </c>
      <c r="X185" s="73">
        <f t="array" ref="X185">INDIRECT("Update"&amp;Projections!$AH$17&amp;"!N"&amp;ROW(B166))</f>
        <v>2.7</v>
      </c>
      <c r="Y185" s="73">
        <f t="array" ref="Y185">INDIRECT("Update"&amp;Projections!$AH$17&amp;"!O"&amp;ROW(B166))</f>
        <v>5</v>
      </c>
      <c r="Z185" s="73">
        <f t="array" ref="Z185">INDIRECT("Update"&amp;Projections!$AH$17&amp;"!P"&amp;ROW(B166))</f>
        <v>1.1</v>
      </c>
      <c r="AA185" s="73">
        <f t="array" ref="AA185">INDIRECT("Update"&amp;Projections!$AH$17&amp;"!Q"&amp;ROW(B166))</f>
        <v>0.2</v>
      </c>
      <c r="AB185" s="107">
        <f t="array" ref="AB185">INDIRECT("Update"&amp;Projections!$AH$17&amp;"!I"&amp;ROW(B166))</f>
        <v>0.477</v>
      </c>
      <c r="AC185" s="107">
        <f t="array" ref="AC185">INDIRECT("Update"&amp;Projections!$AH$17&amp;"!K"&amp;ROW(B166))</f>
        <v>0.8</v>
      </c>
      <c r="AD185" s="73">
        <f t="array" ref="AD185">INDIRECT("Update"&amp;Projections!$AH$17&amp;"!R"&amp;ROW(B166))</f>
        <v>1.8</v>
      </c>
      <c r="AE185" s="73">
        <f t="shared" si="16"/>
        <v>-1.222424811</v>
      </c>
      <c r="AF185" s="73">
        <f t="shared" si="17"/>
        <v>-0.5463949927</v>
      </c>
      <c r="AG185" s="73">
        <f t="shared" si="18"/>
        <v>-1.321487086</v>
      </c>
      <c r="AH185" s="73">
        <f t="shared" si="19"/>
        <v>0.4848858614</v>
      </c>
      <c r="AI185" s="73">
        <f t="shared" si="20"/>
        <v>0.4110689458</v>
      </c>
      <c r="AJ185" s="73">
        <f t="shared" si="21"/>
        <v>-0.9723047469</v>
      </c>
      <c r="AK185" s="73">
        <f t="shared" si="22"/>
        <v>-0.214362848</v>
      </c>
      <c r="AL185" s="73">
        <f t="shared" si="23"/>
        <v>0.01801198243</v>
      </c>
      <c r="AM185" s="73">
        <f t="shared" si="24"/>
        <v>-0.01272974958</v>
      </c>
      <c r="AN185" s="120">
        <f t="shared" si="25"/>
        <v>-1.321487086</v>
      </c>
      <c r="AO185" s="120">
        <f t="shared" si="26"/>
        <v>-2.543911897</v>
      </c>
      <c r="AP185" s="120">
        <f t="array" ref="AP185">INDIRECT("Update"&amp;Projections!$AH$17&amp;"!S"&amp;ROW(B166))</f>
        <v>9.2</v>
      </c>
      <c r="AQ185" s="120">
        <f t="array" ref="AQ185">INDIRECT("Update"&amp;Projections!$AH$17&amp;"!T"&amp;ROW(B166))</f>
        <v>1</v>
      </c>
      <c r="AR185" s="100">
        <f t="shared" si="27"/>
        <v>-2.278635065</v>
      </c>
    </row>
    <row r="186">
      <c r="A186" s="40" t="str">
        <f t="shared" si="3"/>
        <v>Zaccharie Risacher</v>
      </c>
      <c r="B186" s="42">
        <f t="shared" si="4"/>
        <v>-0.6985455541</v>
      </c>
      <c r="C186" s="43">
        <f t="shared" si="5"/>
        <v>-0.3473463946</v>
      </c>
      <c r="D186" s="42">
        <f t="shared" si="6"/>
        <v>-0.7723178898</v>
      </c>
      <c r="E186" s="42">
        <f t="shared" si="7"/>
        <v>-1.109776103</v>
      </c>
      <c r="F186" s="42">
        <f t="shared" si="8"/>
        <v>0.4110689458</v>
      </c>
      <c r="G186" s="42">
        <f t="shared" si="9"/>
        <v>-0.08033623669</v>
      </c>
      <c r="H186" s="42">
        <f t="shared" si="10"/>
        <v>-0.5891237231</v>
      </c>
      <c r="I186" s="42">
        <f>UpdateHashtag!S184</f>
        <v>11.2</v>
      </c>
      <c r="J186" s="47">
        <f t="shared" si="11"/>
        <v>-0.5445247439</v>
      </c>
      <c r="K186" s="48">
        <f>UpdateHashtag!T184</f>
        <v>2.8</v>
      </c>
      <c r="L186" s="42">
        <f t="shared" si="12"/>
        <v>-0.1474667095</v>
      </c>
      <c r="N186" s="100">
        <f t="shared" si="13"/>
        <v>188</v>
      </c>
      <c r="O186" s="94">
        <f t="array" ref="O186">INDIRECT("Update"&amp;Projections!$AH$17&amp;"!B"&amp;ROW(B167))</f>
        <v>141.2</v>
      </c>
      <c r="P186" s="101" t="str">
        <f t="array" ref="P186">INDIRECT("Update"&amp;Projections!$AH$17&amp;"!C"&amp;ROW(B167))</f>
        <v>Jaden McDaniels</v>
      </c>
      <c r="Q186" s="94">
        <f>UpdateBBM!F167</f>
        <v>71</v>
      </c>
      <c r="R186" s="105" t="str">
        <f t="array" ref="R186">INDIRECT("Update"&amp;Projections!$AH$17&amp;"!D"&amp;ROW(B167))</f>
        <v>SF,PF</v>
      </c>
      <c r="S186" s="73">
        <f t="shared" si="14"/>
        <v>-2.775790269</v>
      </c>
      <c r="T186" s="73">
        <f>SUM(AE186:AM186)-IFERROR(IFS(Projections!$I$17,AN186,Projections!$J$17,AO186),"")</f>
        <v>-2.775790269</v>
      </c>
      <c r="U186" s="73">
        <f t="shared" si="15"/>
        <v>0</v>
      </c>
      <c r="V186" s="73">
        <f t="array" ref="V186">INDIRECT("Update"&amp;Projections!$AH$17&amp;"!M"&amp;ROW(B167))</f>
        <v>11.4</v>
      </c>
      <c r="W186" s="73">
        <f t="array" ref="W186">INDIRECT("Update"&amp;Projections!$AH$17&amp;"!L"&amp;ROW(B167))</f>
        <v>1.3</v>
      </c>
      <c r="X186" s="73">
        <f t="array" ref="X186">INDIRECT("Update"&amp;Projections!$AH$17&amp;"!N"&amp;ROW(B167))</f>
        <v>3.5</v>
      </c>
      <c r="Y186" s="73">
        <f t="array" ref="Y186">INDIRECT("Update"&amp;Projections!$AH$17&amp;"!O"&amp;ROW(B167))</f>
        <v>1.7</v>
      </c>
      <c r="Z186" s="73">
        <f t="array" ref="Z186">INDIRECT("Update"&amp;Projections!$AH$17&amp;"!P"&amp;ROW(B167))</f>
        <v>0.9</v>
      </c>
      <c r="AA186" s="73">
        <f t="array" ref="AA186">INDIRECT("Update"&amp;Projections!$AH$17&amp;"!Q"&amp;ROW(B167))</f>
        <v>0.8</v>
      </c>
      <c r="AB186" s="107">
        <f t="array" ref="AB186">INDIRECT("Update"&amp;Projections!$AH$17&amp;"!I"&amp;ROW(B167))</f>
        <v>0.504</v>
      </c>
      <c r="AC186" s="107">
        <f t="array" ref="AC186">INDIRECT("Update"&amp;Projections!$AH$17&amp;"!K"&amp;ROW(B167))</f>
        <v>0.732</v>
      </c>
      <c r="AD186" s="73">
        <f t="array" ref="AD186">INDIRECT("Update"&amp;Projections!$AH$17&amp;"!R"&amp;ROW(B167))</f>
        <v>1.3</v>
      </c>
      <c r="AE186" s="73">
        <f t="shared" si="16"/>
        <v>-1.095971197</v>
      </c>
      <c r="AF186" s="73">
        <f t="shared" si="17"/>
        <v>-0.4468706937</v>
      </c>
      <c r="AG186" s="73">
        <f t="shared" si="18"/>
        <v>-1.007676117</v>
      </c>
      <c r="AH186" s="73">
        <f t="shared" si="19"/>
        <v>-1.018652563</v>
      </c>
      <c r="AI186" s="73">
        <f t="shared" si="20"/>
        <v>-0.2527964105</v>
      </c>
      <c r="AJ186" s="73">
        <f t="shared" si="21"/>
        <v>0.09805746537</v>
      </c>
      <c r="AK186" s="73">
        <f t="shared" si="22"/>
        <v>0.07509343605</v>
      </c>
      <c r="AL186" s="73">
        <f t="shared" si="23"/>
        <v>-0.3342067053</v>
      </c>
      <c r="AM186" s="73">
        <f t="shared" si="24"/>
        <v>0.1112613178</v>
      </c>
      <c r="AN186" s="120">
        <f t="shared" si="25"/>
        <v>-1.095971197</v>
      </c>
      <c r="AO186" s="120">
        <f t="shared" si="26"/>
        <v>-2.11462376</v>
      </c>
      <c r="AP186" s="120">
        <f t="array" ref="AP186">INDIRECT("Update"&amp;Projections!$AH$17&amp;"!S"&amp;ROW(B167))</f>
        <v>9</v>
      </c>
      <c r="AQ186" s="120">
        <f t="array" ref="AQ186">INDIRECT("Update"&amp;Projections!$AH$17&amp;"!T"&amp;ROW(B167))</f>
        <v>1.5</v>
      </c>
      <c r="AR186" s="100">
        <f t="shared" si="27"/>
        <v>-2.287293705</v>
      </c>
    </row>
    <row r="187">
      <c r="A187" s="40" t="str">
        <f t="shared" si="3"/>
        <v>Jordan Clarkson</v>
      </c>
      <c r="B187" s="42">
        <f t="shared" si="4"/>
        <v>-0.01208307946</v>
      </c>
      <c r="C187" s="43">
        <f t="shared" si="5"/>
        <v>0.1502751005</v>
      </c>
      <c r="D187" s="42">
        <f t="shared" si="6"/>
        <v>-1.046902488</v>
      </c>
      <c r="E187" s="42">
        <f t="shared" si="7"/>
        <v>0.1659534684</v>
      </c>
      <c r="F187" s="42">
        <f t="shared" si="8"/>
        <v>-1.580527123</v>
      </c>
      <c r="G187" s="42">
        <f t="shared" si="9"/>
        <v>-0.9723047469</v>
      </c>
      <c r="H187" s="42">
        <f t="shared" si="10"/>
        <v>-1.119579098</v>
      </c>
      <c r="I187" s="42">
        <f>UpdateHashtag!S185</f>
        <v>14.5</v>
      </c>
      <c r="J187" s="47">
        <f t="shared" si="11"/>
        <v>0.6332103043</v>
      </c>
      <c r="K187" s="48">
        <f>UpdateHashtag!T185</f>
        <v>3.5</v>
      </c>
      <c r="L187" s="42">
        <f t="shared" si="12"/>
        <v>0.8444618296</v>
      </c>
      <c r="N187" s="100">
        <f t="shared" si="13"/>
        <v>179</v>
      </c>
      <c r="O187" s="94">
        <f t="array" ref="O187">INDIRECT("Update"&amp;Projections!$AH$17&amp;"!B"&amp;ROW(B168))</f>
        <v>147</v>
      </c>
      <c r="P187" s="101" t="str">
        <f t="array" ref="P187">INDIRECT("Update"&amp;Projections!$AH$17&amp;"!C"&amp;ROW(B168))</f>
        <v>Patrick Williams</v>
      </c>
      <c r="Q187" s="94">
        <f>UpdateBBM!F168</f>
        <v>56</v>
      </c>
      <c r="R187" s="105" t="str">
        <f t="array" ref="R187">INDIRECT("Update"&amp;Projections!$AH$17&amp;"!D"&amp;ROW(B168))</f>
        <v>PF</v>
      </c>
      <c r="S187" s="73">
        <f t="shared" si="14"/>
        <v>-2.58600058</v>
      </c>
      <c r="T187" s="73">
        <f>SUM(AE187:AM187)-IFERROR(IFS(Projections!$I$17,AN187,Projections!$J$17,AO187),"")</f>
        <v>-2.58600058</v>
      </c>
      <c r="U187" s="73">
        <f t="shared" si="15"/>
        <v>0</v>
      </c>
      <c r="V187" s="73">
        <f t="array" ref="V187">INDIRECT("Update"&amp;Projections!$AH$17&amp;"!M"&amp;ROW(B168))</f>
        <v>10.3</v>
      </c>
      <c r="W187" s="73">
        <f t="array" ref="W187">INDIRECT("Update"&amp;Projections!$AH$17&amp;"!L"&amp;ROW(B168))</f>
        <v>1.4</v>
      </c>
      <c r="X187" s="73">
        <f t="array" ref="X187">INDIRECT("Update"&amp;Projections!$AH$17&amp;"!N"&amp;ROW(B168))</f>
        <v>4</v>
      </c>
      <c r="Y187" s="73">
        <f t="array" ref="Y187">INDIRECT("Update"&amp;Projections!$AH$17&amp;"!O"&amp;ROW(B168))</f>
        <v>1.4</v>
      </c>
      <c r="Z187" s="73">
        <f t="array" ref="Z187">INDIRECT("Update"&amp;Projections!$AH$17&amp;"!P"&amp;ROW(B168))</f>
        <v>0.9</v>
      </c>
      <c r="AA187" s="73">
        <f t="array" ref="AA187">INDIRECT("Update"&amp;Projections!$AH$17&amp;"!Q"&amp;ROW(B168))</f>
        <v>0.8</v>
      </c>
      <c r="AB187" s="107">
        <f t="array" ref="AB187">INDIRECT("Update"&amp;Projections!$AH$17&amp;"!I"&amp;ROW(B168))</f>
        <v>0.457</v>
      </c>
      <c r="AC187" s="107">
        <f t="array" ref="AC187">INDIRECT("Update"&amp;Projections!$AH$17&amp;"!K"&amp;ROW(B168))</f>
        <v>0.829</v>
      </c>
      <c r="AD187" s="73">
        <f t="array" ref="AD187">INDIRECT("Update"&amp;Projections!$AH$17&amp;"!R"&amp;ROW(B168))</f>
        <v>1.3</v>
      </c>
      <c r="AE187" s="73">
        <f t="shared" si="16"/>
        <v>-1.294684019</v>
      </c>
      <c r="AF187" s="73">
        <f t="shared" si="17"/>
        <v>-0.3473463946</v>
      </c>
      <c r="AG187" s="73">
        <f t="shared" si="18"/>
        <v>-0.8115442609</v>
      </c>
      <c r="AH187" s="73">
        <f t="shared" si="19"/>
        <v>-1.155337874</v>
      </c>
      <c r="AI187" s="73">
        <f t="shared" si="20"/>
        <v>-0.2527964105</v>
      </c>
      <c r="AJ187" s="73">
        <f t="shared" si="21"/>
        <v>0.09805746537</v>
      </c>
      <c r="AK187" s="73">
        <f t="shared" si="22"/>
        <v>-0.3972927867</v>
      </c>
      <c r="AL187" s="73">
        <f t="shared" si="23"/>
        <v>0.1689983633</v>
      </c>
      <c r="AM187" s="73">
        <f t="shared" si="24"/>
        <v>0.1112613178</v>
      </c>
      <c r="AN187" s="120">
        <f t="shared" si="25"/>
        <v>-1.294684019</v>
      </c>
      <c r="AO187" s="120">
        <f t="shared" si="26"/>
        <v>-2.450021893</v>
      </c>
      <c r="AP187" s="120">
        <f t="array" ref="AP187">INDIRECT("Update"&amp;Projections!$AH$17&amp;"!S"&amp;ROW(B168))</f>
        <v>8.5</v>
      </c>
      <c r="AQ187" s="120">
        <f t="array" ref="AQ187">INDIRECT("Update"&amp;Projections!$AH$17&amp;"!T"&amp;ROW(B168))</f>
        <v>1.4</v>
      </c>
      <c r="AR187" s="100">
        <f t="shared" si="27"/>
        <v>-2.317040932</v>
      </c>
    </row>
    <row r="188">
      <c r="A188" s="40" t="str">
        <f t="shared" si="3"/>
        <v>Luke Kennard</v>
      </c>
      <c r="B188" s="42">
        <f t="shared" si="4"/>
        <v>-1.204360009</v>
      </c>
      <c r="C188" s="43">
        <f t="shared" si="5"/>
        <v>0.9464694928</v>
      </c>
      <c r="D188" s="42">
        <f t="shared" si="6"/>
        <v>-1.203807972</v>
      </c>
      <c r="E188" s="42">
        <f t="shared" si="7"/>
        <v>-0.6541583992</v>
      </c>
      <c r="F188" s="42">
        <f t="shared" si="8"/>
        <v>-1.248594445</v>
      </c>
      <c r="G188" s="42">
        <f t="shared" si="9"/>
        <v>-1.150698449</v>
      </c>
      <c r="H188" s="42">
        <f t="shared" si="10"/>
        <v>-0.2245344188</v>
      </c>
      <c r="I188" s="42">
        <f>UpdateHashtag!S186</f>
        <v>7.7</v>
      </c>
      <c r="J188" s="47">
        <f t="shared" si="11"/>
        <v>0.3795603142</v>
      </c>
      <c r="K188" s="48">
        <f>UpdateHashtag!T186</f>
        <v>0.9</v>
      </c>
      <c r="L188" s="42">
        <f t="shared" si="12"/>
        <v>-0.643430979</v>
      </c>
      <c r="N188" s="100">
        <f t="shared" si="13"/>
        <v>185</v>
      </c>
      <c r="O188" s="94">
        <f t="array" ref="O188">INDIRECT("Update"&amp;Projections!$AH$17&amp;"!B"&amp;ROW(B169))</f>
        <v>146.9</v>
      </c>
      <c r="P188" s="101" t="str">
        <f t="array" ref="P188">INDIRECT("Update"&amp;Projections!$AH$17&amp;"!C"&amp;ROW(B169))</f>
        <v>Karlo Matkovic</v>
      </c>
      <c r="Q188" s="94">
        <f>UpdateBBM!F169</f>
        <v>71</v>
      </c>
      <c r="R188" s="105" t="str">
        <f t="array" ref="R188">INDIRECT("Update"&amp;Projections!$AH$17&amp;"!D"&amp;ROW(B169))</f>
        <v>PF</v>
      </c>
      <c r="S188" s="73">
        <f t="shared" si="14"/>
        <v>-2.722952523</v>
      </c>
      <c r="T188" s="73">
        <f>SUM(AE188:AM188)-IFERROR(IFS(Projections!$I$17,AN188,Projections!$J$17,AO188),"")</f>
        <v>-2.722952523</v>
      </c>
      <c r="U188" s="73">
        <f t="shared" si="15"/>
        <v>0</v>
      </c>
      <c r="V188" s="73">
        <f t="array" ref="V188">INDIRECT("Update"&amp;Projections!$AH$17&amp;"!M"&amp;ROW(B169))</f>
        <v>9.7</v>
      </c>
      <c r="W188" s="73">
        <f t="array" ref="W188">INDIRECT("Update"&amp;Projections!$AH$17&amp;"!L"&amp;ROW(B169))</f>
        <v>1.1</v>
      </c>
      <c r="X188" s="73">
        <f t="array" ref="X188">INDIRECT("Update"&amp;Projections!$AH$17&amp;"!N"&amp;ROW(B169))</f>
        <v>4.6</v>
      </c>
      <c r="Y188" s="73">
        <f t="array" ref="Y188">INDIRECT("Update"&amp;Projections!$AH$17&amp;"!O"&amp;ROW(B169))</f>
        <v>1.5</v>
      </c>
      <c r="Z188" s="73">
        <f t="array" ref="Z188">INDIRECT("Update"&amp;Projections!$AH$17&amp;"!P"&amp;ROW(B169))</f>
        <v>0.7</v>
      </c>
      <c r="AA188" s="73">
        <f t="array" ref="AA188">INDIRECT("Update"&amp;Projections!$AH$17&amp;"!Q"&amp;ROW(B169))</f>
        <v>1.2</v>
      </c>
      <c r="AB188" s="107">
        <f t="array" ref="AB188">INDIRECT("Update"&amp;Projections!$AH$17&amp;"!I"&amp;ROW(B169))</f>
        <v>0.488</v>
      </c>
      <c r="AC188" s="107">
        <f t="array" ref="AC188">INDIRECT("Update"&amp;Projections!$AH$17&amp;"!K"&amp;ROW(B169))</f>
        <v>0.751</v>
      </c>
      <c r="AD188" s="73">
        <f t="array" ref="AD188">INDIRECT("Update"&amp;Projections!$AH$17&amp;"!R"&amp;ROW(B169))</f>
        <v>1.4</v>
      </c>
      <c r="AE188" s="73">
        <f t="shared" si="16"/>
        <v>-1.403072831</v>
      </c>
      <c r="AF188" s="73">
        <f t="shared" si="17"/>
        <v>-0.6459192917</v>
      </c>
      <c r="AG188" s="73">
        <f t="shared" si="18"/>
        <v>-0.5761860341</v>
      </c>
      <c r="AH188" s="73">
        <f t="shared" si="19"/>
        <v>-1.109776103</v>
      </c>
      <c r="AI188" s="73">
        <f t="shared" si="20"/>
        <v>-0.9166617668</v>
      </c>
      <c r="AJ188" s="73">
        <f t="shared" si="21"/>
        <v>0.8116322736</v>
      </c>
      <c r="AK188" s="73">
        <f t="shared" si="22"/>
        <v>-0.07702141636</v>
      </c>
      <c r="AL188" s="73">
        <f t="shared" si="23"/>
        <v>-0.2954832884</v>
      </c>
      <c r="AM188" s="73">
        <f t="shared" si="24"/>
        <v>0.08646310432</v>
      </c>
      <c r="AN188" s="120">
        <f t="shared" si="25"/>
        <v>-1.403072831</v>
      </c>
      <c r="AO188" s="120">
        <f t="shared" si="26"/>
        <v>-2.512848934</v>
      </c>
      <c r="AP188" s="120">
        <f t="array" ref="AP188">INDIRECT("Update"&amp;Projections!$AH$17&amp;"!S"&amp;ROW(B169))</f>
        <v>7.4</v>
      </c>
      <c r="AQ188" s="120">
        <f t="array" ref="AQ188">INDIRECT("Update"&amp;Projections!$AH$17&amp;"!T"&amp;ROW(B169))</f>
        <v>1.9</v>
      </c>
      <c r="AR188" s="100">
        <f t="shared" si="27"/>
        <v>-2.326985751</v>
      </c>
    </row>
    <row r="189">
      <c r="A189" s="40" t="str">
        <f t="shared" si="3"/>
        <v>Andre Drummond</v>
      </c>
      <c r="B189" s="42">
        <f t="shared" si="4"/>
        <v>-1.385008029</v>
      </c>
      <c r="C189" s="43">
        <f t="shared" si="5"/>
        <v>-1.740686581</v>
      </c>
      <c r="D189" s="42">
        <f t="shared" si="6"/>
        <v>1.777396233</v>
      </c>
      <c r="E189" s="42">
        <f t="shared" si="7"/>
        <v>-1.519832037</v>
      </c>
      <c r="F189" s="42">
        <f t="shared" si="8"/>
        <v>0.4110689458</v>
      </c>
      <c r="G189" s="42">
        <f t="shared" si="9"/>
        <v>-0.08033623669</v>
      </c>
      <c r="H189" s="42">
        <f t="shared" si="10"/>
        <v>0.6236480758</v>
      </c>
      <c r="I189" s="42">
        <f>UpdateHashtag!S187</f>
        <v>6.9</v>
      </c>
      <c r="J189" s="47">
        <f t="shared" si="11"/>
        <v>-2.028318084</v>
      </c>
      <c r="K189" s="48">
        <f>UpdateHashtag!T187</f>
        <v>3</v>
      </c>
      <c r="L189" s="42">
        <f t="shared" si="12"/>
        <v>-0.3458524173</v>
      </c>
      <c r="N189" s="100">
        <f t="shared" si="13"/>
        <v>175</v>
      </c>
      <c r="O189" s="94">
        <f t="array" ref="O189">INDIRECT("Update"&amp;Projections!$AH$17&amp;"!B"&amp;ROW(B170))</f>
        <v>144.8</v>
      </c>
      <c r="P189" s="101" t="str">
        <f t="array" ref="P189">INDIRECT("Update"&amp;Projections!$AH$17&amp;"!C"&amp;ROW(B170))</f>
        <v>Max Strus</v>
      </c>
      <c r="Q189" s="94">
        <f>UpdateBBM!F170</f>
        <v>66</v>
      </c>
      <c r="R189" s="105" t="str">
        <f t="array" ref="R189">INDIRECT("Update"&amp;Projections!$AH$17&amp;"!D"&amp;ROW(B170))</f>
        <v>SG,SF</v>
      </c>
      <c r="S189" s="73">
        <f t="shared" si="14"/>
        <v>-2.516065036</v>
      </c>
      <c r="T189" s="73">
        <f>SUM(AE189:AM189)-IFERROR(IFS(Projections!$I$17,AN189,Projections!$J$17,AO189),"")</f>
        <v>-2.516065036</v>
      </c>
      <c r="U189" s="73">
        <f t="shared" si="15"/>
        <v>0</v>
      </c>
      <c r="V189" s="73">
        <f t="array" ref="V189">INDIRECT("Update"&amp;Projections!$AH$17&amp;"!M"&amp;ROW(B170))</f>
        <v>11.7</v>
      </c>
      <c r="W189" s="73">
        <f t="array" ref="W189">INDIRECT("Update"&amp;Projections!$AH$17&amp;"!L"&amp;ROW(B170))</f>
        <v>2.4</v>
      </c>
      <c r="X189" s="73">
        <f t="array" ref="X189">INDIRECT("Update"&amp;Projections!$AH$17&amp;"!N"&amp;ROW(B170))</f>
        <v>3.9</v>
      </c>
      <c r="Y189" s="73">
        <f t="array" ref="Y189">INDIRECT("Update"&amp;Projections!$AH$17&amp;"!O"&amp;ROW(B170))</f>
        <v>3.4</v>
      </c>
      <c r="Z189" s="73">
        <f t="array" ref="Z189">INDIRECT("Update"&amp;Projections!$AH$17&amp;"!P"&amp;ROW(B170))</f>
        <v>0.8</v>
      </c>
      <c r="AA189" s="73">
        <f t="array" ref="AA189">INDIRECT("Update"&amp;Projections!$AH$17&amp;"!Q"&amp;ROW(B170))</f>
        <v>0.3</v>
      </c>
      <c r="AB189" s="107">
        <f t="array" ref="AB189">INDIRECT("Update"&amp;Projections!$AH$17&amp;"!I"&amp;ROW(B170))</f>
        <v>0.414</v>
      </c>
      <c r="AC189" s="107">
        <f t="array" ref="AC189">INDIRECT("Update"&amp;Projections!$AH$17&amp;"!K"&amp;ROW(B170))</f>
        <v>0.829</v>
      </c>
      <c r="AD189" s="73">
        <f t="array" ref="AD189">INDIRECT("Update"&amp;Projections!$AH$17&amp;"!R"&amp;ROW(B170))</f>
        <v>1.2</v>
      </c>
      <c r="AE189" s="73">
        <f t="shared" si="16"/>
        <v>-1.041776791</v>
      </c>
      <c r="AF189" s="73">
        <f t="shared" si="17"/>
        <v>0.6478965957</v>
      </c>
      <c r="AG189" s="73">
        <f t="shared" si="18"/>
        <v>-0.850770632</v>
      </c>
      <c r="AH189" s="73">
        <f t="shared" si="19"/>
        <v>-0.2441024654</v>
      </c>
      <c r="AI189" s="73">
        <f t="shared" si="20"/>
        <v>-0.5847290887</v>
      </c>
      <c r="AJ189" s="73">
        <f t="shared" si="21"/>
        <v>-0.7939110449</v>
      </c>
      <c r="AK189" s="73">
        <f t="shared" si="22"/>
        <v>-0.9713636715</v>
      </c>
      <c r="AL189" s="73">
        <f t="shared" si="23"/>
        <v>0.14485574</v>
      </c>
      <c r="AM189" s="73">
        <f t="shared" si="24"/>
        <v>0.1360595313</v>
      </c>
      <c r="AN189" s="120">
        <f t="shared" si="25"/>
        <v>-1.041776791</v>
      </c>
      <c r="AO189" s="120">
        <f t="shared" si="26"/>
        <v>-2.013140463</v>
      </c>
      <c r="AP189" s="120">
        <f t="array" ref="AP189">INDIRECT("Update"&amp;Projections!$AH$17&amp;"!S"&amp;ROW(B170))</f>
        <v>10</v>
      </c>
      <c r="AQ189" s="120">
        <f t="array" ref="AQ189">INDIRECT("Update"&amp;Projections!$AH$17&amp;"!T"&amp;ROW(B170))</f>
        <v>1.2</v>
      </c>
      <c r="AR189" s="100">
        <f t="shared" si="27"/>
        <v>-2.412545997</v>
      </c>
    </row>
    <row r="190">
      <c r="A190" s="40" t="str">
        <f t="shared" si="3"/>
        <v>Cole Anthony</v>
      </c>
      <c r="B190" s="42">
        <f t="shared" si="4"/>
        <v>-1.077906395</v>
      </c>
      <c r="C190" s="43">
        <f t="shared" si="5"/>
        <v>-0.4468706937</v>
      </c>
      <c r="D190" s="42">
        <f t="shared" si="6"/>
        <v>-0.850770632</v>
      </c>
      <c r="E190" s="42">
        <f t="shared" si="7"/>
        <v>-0.3807877766</v>
      </c>
      <c r="F190" s="42">
        <f t="shared" si="8"/>
        <v>-0.9166617668</v>
      </c>
      <c r="G190" s="42">
        <f t="shared" si="9"/>
        <v>-0.4371236408</v>
      </c>
      <c r="H190" s="42">
        <f t="shared" si="10"/>
        <v>-0.5577870576</v>
      </c>
      <c r="I190" s="42">
        <f>UpdateHashtag!S188</f>
        <v>9</v>
      </c>
      <c r="J190" s="47">
        <f t="shared" si="11"/>
        <v>0.5532539885</v>
      </c>
      <c r="K190" s="48">
        <f>UpdateHashtag!T188</f>
        <v>2.6</v>
      </c>
      <c r="L190" s="42">
        <f t="shared" si="12"/>
        <v>-0.3458524173</v>
      </c>
      <c r="N190" s="100">
        <f t="shared" si="13"/>
        <v>180</v>
      </c>
      <c r="O190" s="94">
        <f t="array" ref="O190">INDIRECT("Update"&amp;Projections!$AH$17&amp;"!B"&amp;ROW(B171))</f>
        <v>143.4</v>
      </c>
      <c r="P190" s="101" t="str">
        <f t="array" ref="P190">INDIRECT("Update"&amp;Projections!$AH$17&amp;"!C"&amp;ROW(B171))</f>
        <v>T.J. McConnell</v>
      </c>
      <c r="Q190" s="94">
        <f>UpdateBBM!F171</f>
        <v>71</v>
      </c>
      <c r="R190" s="105" t="str">
        <f t="array" ref="R190">INDIRECT("Update"&amp;Projections!$AH$17&amp;"!D"&amp;ROW(B171))</f>
        <v>PG</v>
      </c>
      <c r="S190" s="73">
        <f t="shared" si="14"/>
        <v>-2.634397131</v>
      </c>
      <c r="T190" s="73">
        <f>SUM(AE190:AM190)-IFERROR(IFS(Projections!$I$17,AN190,Projections!$J$17,AO190),"")</f>
        <v>-2.634397131</v>
      </c>
      <c r="U190" s="73">
        <f t="shared" si="15"/>
        <v>0</v>
      </c>
      <c r="V190" s="73">
        <f t="array" ref="V190">INDIRECT("Update"&amp;Projections!$AH$17&amp;"!M"&amp;ROW(B171))</f>
        <v>9.2</v>
      </c>
      <c r="W190" s="73">
        <f t="array" ref="W190">INDIRECT("Update"&amp;Projections!$AH$17&amp;"!L"&amp;ROW(B171))</f>
        <v>0.3</v>
      </c>
      <c r="X190" s="73">
        <f t="array" ref="X190">INDIRECT("Update"&amp;Projections!$AH$17&amp;"!N"&amp;ROW(B171))</f>
        <v>2.8</v>
      </c>
      <c r="Y190" s="73">
        <f t="array" ref="Y190">INDIRECT("Update"&amp;Projections!$AH$17&amp;"!O"&amp;ROW(B171))</f>
        <v>5.3</v>
      </c>
      <c r="Z190" s="73">
        <f t="array" ref="Z190">INDIRECT("Update"&amp;Projections!$AH$17&amp;"!P"&amp;ROW(B171))</f>
        <v>1</v>
      </c>
      <c r="AA190" s="73">
        <f t="array" ref="AA190">INDIRECT("Update"&amp;Projections!$AH$17&amp;"!Q"&amp;ROW(B171))</f>
        <v>0.1</v>
      </c>
      <c r="AB190" s="107">
        <f t="array" ref="AB190">INDIRECT("Update"&amp;Projections!$AH$17&amp;"!I"&amp;ROW(B171))</f>
        <v>0.55</v>
      </c>
      <c r="AC190" s="107">
        <f t="array" ref="AC190">INDIRECT("Update"&amp;Projections!$AH$17&amp;"!K"&amp;ROW(B171))</f>
        <v>0.816</v>
      </c>
      <c r="AD190" s="73">
        <f t="array" ref="AD190">INDIRECT("Update"&amp;Projections!$AH$17&amp;"!R"&amp;ROW(B171))</f>
        <v>1.7</v>
      </c>
      <c r="AE190" s="73">
        <f t="shared" si="16"/>
        <v>-1.49339684</v>
      </c>
      <c r="AF190" s="73">
        <f t="shared" si="17"/>
        <v>-1.442113684</v>
      </c>
      <c r="AG190" s="73">
        <f t="shared" si="18"/>
        <v>-1.282260714</v>
      </c>
      <c r="AH190" s="73">
        <f t="shared" si="19"/>
        <v>0.6215711726</v>
      </c>
      <c r="AI190" s="73">
        <f t="shared" si="20"/>
        <v>0.07913626764</v>
      </c>
      <c r="AJ190" s="73">
        <f t="shared" si="21"/>
        <v>-1.150698449</v>
      </c>
      <c r="AK190" s="73">
        <f t="shared" si="22"/>
        <v>0.460692603</v>
      </c>
      <c r="AL190" s="73">
        <f t="shared" si="23"/>
        <v>0.06720720945</v>
      </c>
      <c r="AM190" s="73">
        <f t="shared" si="24"/>
        <v>0.01206846389</v>
      </c>
      <c r="AN190" s="120">
        <f t="shared" si="25"/>
        <v>-1.49339684</v>
      </c>
      <c r="AO190" s="120">
        <f t="shared" si="26"/>
        <v>-2.935510524</v>
      </c>
      <c r="AP190" s="120">
        <f t="array" ref="AP190">INDIRECT("Update"&amp;Projections!$AH$17&amp;"!S"&amp;ROW(B171))</f>
        <v>7.4</v>
      </c>
      <c r="AQ190" s="120">
        <f t="array" ref="AQ190">INDIRECT("Update"&amp;Projections!$AH$17&amp;"!T"&amp;ROW(B171))</f>
        <v>0.9</v>
      </c>
      <c r="AR190" s="100">
        <f t="shared" si="27"/>
        <v>-2.434317168</v>
      </c>
    </row>
    <row r="191">
      <c r="A191" s="40" t="str">
        <f t="shared" si="3"/>
        <v>Reed Sheppard</v>
      </c>
      <c r="B191" s="42">
        <f t="shared" si="4"/>
        <v>-1.94501689</v>
      </c>
      <c r="C191" s="43">
        <f t="shared" si="5"/>
        <v>-0.4468706937</v>
      </c>
      <c r="D191" s="42">
        <f t="shared" si="6"/>
        <v>-1.399939828</v>
      </c>
      <c r="E191" s="42">
        <f t="shared" si="7"/>
        <v>-0.6997201696</v>
      </c>
      <c r="F191" s="42">
        <f t="shared" si="8"/>
        <v>1.074934302</v>
      </c>
      <c r="G191" s="42">
        <f t="shared" si="9"/>
        <v>-0.6155173428</v>
      </c>
      <c r="H191" s="42">
        <f t="shared" si="10"/>
        <v>-0.1399695078</v>
      </c>
      <c r="I191" s="42">
        <f>UpdateHashtag!S189</f>
        <v>4.8</v>
      </c>
      <c r="J191" s="47">
        <f t="shared" si="11"/>
        <v>0.1419616272</v>
      </c>
      <c r="K191" s="48">
        <f>UpdateHashtag!T189</f>
        <v>1</v>
      </c>
      <c r="L191" s="42">
        <f t="shared" si="12"/>
        <v>-0.643430979</v>
      </c>
      <c r="N191" s="100">
        <f t="shared" si="13"/>
        <v>145</v>
      </c>
      <c r="O191" s="94" t="str">
        <f t="array" ref="O191">INDIRECT("Update"&amp;Projections!$AH$17&amp;"!B"&amp;ROW(B172))</f>
        <v/>
      </c>
      <c r="P191" s="101" t="str">
        <f t="array" ref="P191">INDIRECT("Update"&amp;Projections!$AH$17&amp;"!C"&amp;ROW(B172))</f>
        <v>Miles McBride</v>
      </c>
      <c r="Q191" s="94">
        <f>UpdateBBM!F172</f>
        <v>71</v>
      </c>
      <c r="R191" s="105" t="str">
        <f t="array" ref="R191">INDIRECT("Update"&amp;Projections!$AH$17&amp;"!D"&amp;ROW(B172))</f>
        <v>PG,SG</v>
      </c>
      <c r="S191" s="73">
        <f t="shared" si="14"/>
        <v>-1.763634043</v>
      </c>
      <c r="T191" s="73">
        <f>SUM(AE191:AM191)-IFERROR(IFS(Projections!$I$17,AN191,Projections!$J$17,AO191),"")</f>
        <v>-1.763634043</v>
      </c>
      <c r="U191" s="73">
        <f t="shared" si="15"/>
        <v>0</v>
      </c>
      <c r="V191" s="73">
        <f t="array" ref="V191">INDIRECT("Update"&amp;Projections!$AH$17&amp;"!M"&amp;ROW(B172))</f>
        <v>10.8</v>
      </c>
      <c r="W191" s="73">
        <f t="array" ref="W191">INDIRECT("Update"&amp;Projections!$AH$17&amp;"!L"&amp;ROW(B172))</f>
        <v>2.1</v>
      </c>
      <c r="X191" s="73">
        <f t="array" ref="X191">INDIRECT("Update"&amp;Projections!$AH$17&amp;"!N"&amp;ROW(B172))</f>
        <v>2.1</v>
      </c>
      <c r="Y191" s="73">
        <f t="array" ref="Y191">INDIRECT("Update"&amp;Projections!$AH$17&amp;"!O"&amp;ROW(B172))</f>
        <v>2.6</v>
      </c>
      <c r="Z191" s="73">
        <f t="array" ref="Z191">INDIRECT("Update"&amp;Projections!$AH$17&amp;"!P"&amp;ROW(B172))</f>
        <v>1.2</v>
      </c>
      <c r="AA191" s="73">
        <f t="array" ref="AA191">INDIRECT("Update"&amp;Projections!$AH$17&amp;"!Q"&amp;ROW(B172))</f>
        <v>0.2</v>
      </c>
      <c r="AB191" s="107">
        <f t="array" ref="AB191">INDIRECT("Update"&amp;Projections!$AH$17&amp;"!I"&amp;ROW(B172))</f>
        <v>0.446</v>
      </c>
      <c r="AC191" s="107">
        <f t="array" ref="AC191">INDIRECT("Update"&amp;Projections!$AH$17&amp;"!K"&amp;ROW(B172))</f>
        <v>0.845</v>
      </c>
      <c r="AD191" s="73">
        <f t="array" ref="AD191">INDIRECT("Update"&amp;Projections!$AH$17&amp;"!R"&amp;ROW(B172))</f>
        <v>0.8</v>
      </c>
      <c r="AE191" s="73">
        <f t="shared" si="16"/>
        <v>-1.204360009</v>
      </c>
      <c r="AF191" s="73">
        <f t="shared" si="17"/>
        <v>0.3493236986</v>
      </c>
      <c r="AG191" s="73">
        <f t="shared" si="18"/>
        <v>-1.556845312</v>
      </c>
      <c r="AH191" s="73">
        <f t="shared" si="19"/>
        <v>-0.6085966288</v>
      </c>
      <c r="AI191" s="73">
        <f t="shared" si="20"/>
        <v>0.743001624</v>
      </c>
      <c r="AJ191" s="73">
        <f t="shared" si="21"/>
        <v>-0.9723047469</v>
      </c>
      <c r="AK191" s="73">
        <f t="shared" si="22"/>
        <v>-0.5188013397</v>
      </c>
      <c r="AL191" s="73">
        <f t="shared" si="23"/>
        <v>0.2128509737</v>
      </c>
      <c r="AM191" s="73">
        <f t="shared" si="24"/>
        <v>0.2352523852</v>
      </c>
      <c r="AN191" s="120">
        <f t="shared" si="25"/>
        <v>-1.556845312</v>
      </c>
      <c r="AO191" s="120">
        <f t="shared" si="26"/>
        <v>-2.761205321</v>
      </c>
      <c r="AP191" s="120">
        <f t="array" ref="AP191">INDIRECT("Update"&amp;Projections!$AH$17&amp;"!S"&amp;ROW(B172))</f>
        <v>8.7</v>
      </c>
      <c r="AQ191" s="120">
        <f t="array" ref="AQ191">INDIRECT("Update"&amp;Projections!$AH$17&amp;"!T"&amp;ROW(B172))</f>
        <v>1.2</v>
      </c>
      <c r="AR191" s="100">
        <f t="shared" si="27"/>
        <v>-2.472713255</v>
      </c>
    </row>
    <row r="192">
      <c r="A192" s="40" t="str">
        <f t="shared" si="3"/>
        <v>Andrew Wiggins</v>
      </c>
      <c r="B192" s="42">
        <f t="shared" si="4"/>
        <v>-0.5178975344</v>
      </c>
      <c r="C192" s="43">
        <f t="shared" si="5"/>
        <v>-0.04877349754</v>
      </c>
      <c r="D192" s="42">
        <f t="shared" si="6"/>
        <v>-0.536959663</v>
      </c>
      <c r="E192" s="42">
        <f t="shared" si="7"/>
        <v>-0.9275290217</v>
      </c>
      <c r="F192" s="42">
        <f t="shared" si="8"/>
        <v>-0.5847290887</v>
      </c>
      <c r="G192" s="42">
        <f t="shared" si="9"/>
        <v>-0.2587299387</v>
      </c>
      <c r="H192" s="42">
        <f t="shared" si="10"/>
        <v>-0.5088331227</v>
      </c>
      <c r="I192" s="42">
        <f>UpdateHashtag!S190</f>
        <v>12.1</v>
      </c>
      <c r="J192" s="47">
        <f t="shared" si="11"/>
        <v>-0.7132182169</v>
      </c>
      <c r="K192" s="48">
        <f>UpdateHashtag!T190</f>
        <v>2.4</v>
      </c>
      <c r="L192" s="42">
        <f t="shared" si="12"/>
        <v>-0.4450452712</v>
      </c>
      <c r="N192" s="100">
        <f t="shared" si="13"/>
        <v>194</v>
      </c>
      <c r="O192" s="94">
        <f t="array" ref="O192">INDIRECT("Update"&amp;Projections!$AH$17&amp;"!B"&amp;ROW(B173))</f>
        <v>123.8</v>
      </c>
      <c r="P192" s="101" t="str">
        <f t="array" ref="P192">INDIRECT("Update"&amp;Projections!$AH$17&amp;"!C"&amp;ROW(B173))</f>
        <v>Deni Avdija</v>
      </c>
      <c r="Q192" s="94">
        <f>UpdateBBM!F173</f>
        <v>71</v>
      </c>
      <c r="R192" s="105" t="str">
        <f t="array" ref="R192">INDIRECT("Update"&amp;Projections!$AH$17&amp;"!D"&amp;ROW(B173))</f>
        <v>SF,PF</v>
      </c>
      <c r="S192" s="73">
        <f t="shared" si="14"/>
        <v>-2.900312304</v>
      </c>
      <c r="T192" s="73">
        <f>SUM(AE192:AM192)-IFERROR(IFS(Projections!$I$17,AN192,Projections!$J$17,AO192),"")</f>
        <v>-2.900312304</v>
      </c>
      <c r="U192" s="73">
        <f t="shared" si="15"/>
        <v>0</v>
      </c>
      <c r="V192" s="73">
        <f t="array" ref="V192">INDIRECT("Update"&amp;Projections!$AH$17&amp;"!M"&amp;ROW(B173))</f>
        <v>11.9</v>
      </c>
      <c r="W192" s="73">
        <f t="array" ref="W192">INDIRECT("Update"&amp;Projections!$AH$17&amp;"!L"&amp;ROW(B173))</f>
        <v>1</v>
      </c>
      <c r="X192" s="73">
        <f t="array" ref="X192">INDIRECT("Update"&amp;Projections!$AH$17&amp;"!N"&amp;ROW(B173))</f>
        <v>6.5</v>
      </c>
      <c r="Y192" s="73">
        <f t="array" ref="Y192">INDIRECT("Update"&amp;Projections!$AH$17&amp;"!O"&amp;ROW(B173))</f>
        <v>3.3</v>
      </c>
      <c r="Z192" s="73">
        <f t="array" ref="Z192">INDIRECT("Update"&amp;Projections!$AH$17&amp;"!P"&amp;ROW(B173))</f>
        <v>0.8</v>
      </c>
      <c r="AA192" s="73">
        <f t="array" ref="AA192">INDIRECT("Update"&amp;Projections!$AH$17&amp;"!Q"&amp;ROW(B173))</f>
        <v>0.4</v>
      </c>
      <c r="AB192" s="107">
        <f t="array" ref="AB192">INDIRECT("Update"&amp;Projections!$AH$17&amp;"!I"&amp;ROW(B173))</f>
        <v>0.477</v>
      </c>
      <c r="AC192" s="107">
        <f t="array" ref="AC192">INDIRECT("Update"&amp;Projections!$AH$17&amp;"!K"&amp;ROW(B173))</f>
        <v>0.738</v>
      </c>
      <c r="AD192" s="73">
        <f t="array" ref="AD192">INDIRECT("Update"&amp;Projections!$AH$17&amp;"!R"&amp;ROW(B173))</f>
        <v>1.9</v>
      </c>
      <c r="AE192" s="73">
        <f t="shared" si="16"/>
        <v>-1.005647187</v>
      </c>
      <c r="AF192" s="73">
        <f t="shared" si="17"/>
        <v>-0.7454435908</v>
      </c>
      <c r="AG192" s="73">
        <f t="shared" si="18"/>
        <v>0.1691150172</v>
      </c>
      <c r="AH192" s="73">
        <f t="shared" si="19"/>
        <v>-0.2896642358</v>
      </c>
      <c r="AI192" s="73">
        <f t="shared" si="20"/>
        <v>-0.5847290887</v>
      </c>
      <c r="AJ192" s="73">
        <f t="shared" si="21"/>
        <v>-0.6155173428</v>
      </c>
      <c r="AK192" s="73">
        <f t="shared" si="22"/>
        <v>-0.212032817</v>
      </c>
      <c r="AL192" s="73">
        <f t="shared" si="23"/>
        <v>-0.584512283</v>
      </c>
      <c r="AM192" s="73">
        <f t="shared" si="24"/>
        <v>-0.03752796306</v>
      </c>
      <c r="AN192" s="120">
        <f t="shared" si="25"/>
        <v>-1.005647187</v>
      </c>
      <c r="AO192" s="120">
        <f t="shared" si="26"/>
        <v>-1.751090778</v>
      </c>
      <c r="AP192" s="120">
        <f t="array" ref="AP192">INDIRECT("Update"&amp;Projections!$AH$17&amp;"!S"&amp;ROW(B173))</f>
        <v>9.1</v>
      </c>
      <c r="AQ192" s="120">
        <f t="array" ref="AQ192">INDIRECT("Update"&amp;Projections!$AH$17&amp;"!T"&amp;ROW(B173))</f>
        <v>2.9</v>
      </c>
      <c r="AR192" s="100">
        <f t="shared" si="27"/>
        <v>-2.473443203</v>
      </c>
    </row>
    <row r="193">
      <c r="A193" s="40" t="str">
        <f t="shared" si="3"/>
        <v>Jarred Vanderbilt</v>
      </c>
      <c r="B193" s="42">
        <f t="shared" si="4"/>
        <v>-1.782433672</v>
      </c>
      <c r="C193" s="43">
        <f t="shared" si="5"/>
        <v>-1.342589385</v>
      </c>
      <c r="D193" s="42">
        <f t="shared" si="6"/>
        <v>0.404473244</v>
      </c>
      <c r="E193" s="42">
        <f t="shared" si="7"/>
        <v>-0.7908437104</v>
      </c>
      <c r="F193" s="42">
        <f t="shared" si="8"/>
        <v>0.743001624</v>
      </c>
      <c r="G193" s="42">
        <f t="shared" si="9"/>
        <v>-0.7939110449</v>
      </c>
      <c r="H193" s="42">
        <f t="shared" si="10"/>
        <v>0.2961265992</v>
      </c>
      <c r="I193" s="42">
        <f>UpdateHashtag!S191</f>
        <v>5.6</v>
      </c>
      <c r="J193" s="47">
        <f t="shared" si="11"/>
        <v>-0.6436656972</v>
      </c>
      <c r="K193" s="48">
        <f>UpdateHashtag!T191</f>
        <v>1.7</v>
      </c>
      <c r="L193" s="42">
        <f t="shared" si="12"/>
        <v>-0.5442381251</v>
      </c>
      <c r="N193" s="100">
        <f t="shared" si="13"/>
        <v>173</v>
      </c>
      <c r="O193" s="94">
        <f t="array" ref="O193">INDIRECT("Update"&amp;Projections!$AH$17&amp;"!B"&amp;ROW(B174))</f>
        <v>140.6</v>
      </c>
      <c r="P193" s="101" t="str">
        <f t="array" ref="P193">INDIRECT("Update"&amp;Projections!$AH$17&amp;"!C"&amp;ROW(B174))</f>
        <v>Shaedon Sharpe</v>
      </c>
      <c r="Q193" s="94">
        <f>UpdateBBM!F174</f>
        <v>71</v>
      </c>
      <c r="R193" s="105" t="str">
        <f t="array" ref="R193">INDIRECT("Update"&amp;Projections!$AH$17&amp;"!D"&amp;ROW(B174))</f>
        <v>SG,SF</v>
      </c>
      <c r="S193" s="73">
        <f t="shared" si="14"/>
        <v>-2.501004422</v>
      </c>
      <c r="T193" s="73">
        <f>SUM(AE193:AM193)-IFERROR(IFS(Projections!$I$17,AN193,Projections!$J$17,AO193),"")</f>
        <v>-2.501004422</v>
      </c>
      <c r="U193" s="73">
        <f t="shared" si="15"/>
        <v>0</v>
      </c>
      <c r="V193" s="73">
        <f t="array" ref="V193">INDIRECT("Update"&amp;Projections!$AH$17&amp;"!M"&amp;ROW(B174))</f>
        <v>15.9</v>
      </c>
      <c r="W193" s="73">
        <f t="array" ref="W193">INDIRECT("Update"&amp;Projections!$AH$17&amp;"!L"&amp;ROW(B174))</f>
        <v>1.9</v>
      </c>
      <c r="X193" s="73">
        <f t="array" ref="X193">INDIRECT("Update"&amp;Projections!$AH$17&amp;"!N"&amp;ROW(B174))</f>
        <v>4.6</v>
      </c>
      <c r="Y193" s="73">
        <f t="array" ref="Y193">INDIRECT("Update"&amp;Projections!$AH$17&amp;"!O"&amp;ROW(B174))</f>
        <v>2.2</v>
      </c>
      <c r="Z193" s="73">
        <f t="array" ref="Z193">INDIRECT("Update"&amp;Projections!$AH$17&amp;"!P"&amp;ROW(B174))</f>
        <v>0.8</v>
      </c>
      <c r="AA193" s="73">
        <f t="array" ref="AA193">INDIRECT("Update"&amp;Projections!$AH$17&amp;"!Q"&amp;ROW(B174))</f>
        <v>0.4</v>
      </c>
      <c r="AB193" s="107">
        <f t="array" ref="AB193">INDIRECT("Update"&amp;Projections!$AH$17&amp;"!I"&amp;ROW(B174))</f>
        <v>0.434</v>
      </c>
      <c r="AC193" s="107">
        <f t="array" ref="AC193">INDIRECT("Update"&amp;Projections!$AH$17&amp;"!K"&amp;ROW(B174))</f>
        <v>0.812</v>
      </c>
      <c r="AD193" s="73">
        <f t="array" ref="AD193">INDIRECT("Update"&amp;Projections!$AH$17&amp;"!R"&amp;ROW(B174))</f>
        <v>1.8</v>
      </c>
      <c r="AE193" s="73">
        <f t="shared" si="16"/>
        <v>-0.2830551089</v>
      </c>
      <c r="AF193" s="73">
        <f t="shared" si="17"/>
        <v>0.1502751005</v>
      </c>
      <c r="AG193" s="73">
        <f t="shared" si="18"/>
        <v>-0.5761860341</v>
      </c>
      <c r="AH193" s="73">
        <f t="shared" si="19"/>
        <v>-0.7908437104</v>
      </c>
      <c r="AI193" s="73">
        <f t="shared" si="20"/>
        <v>-0.5847290887</v>
      </c>
      <c r="AJ193" s="73">
        <f t="shared" si="21"/>
        <v>-0.6155173428</v>
      </c>
      <c r="AK193" s="73">
        <f t="shared" si="22"/>
        <v>-0.9506829004</v>
      </c>
      <c r="AL193" s="73">
        <f t="shared" si="23"/>
        <v>0.2117815122</v>
      </c>
      <c r="AM193" s="73">
        <f t="shared" si="24"/>
        <v>-0.01272974958</v>
      </c>
      <c r="AN193" s="120">
        <f t="shared" si="25"/>
        <v>-0.9506829004</v>
      </c>
      <c r="AO193" s="120">
        <f t="shared" si="26"/>
        <v>-1.741526611</v>
      </c>
      <c r="AP193" s="120">
        <f t="array" ref="AP193">INDIRECT("Update"&amp;Projections!$AH$17&amp;"!S"&amp;ROW(B174))</f>
        <v>12.9</v>
      </c>
      <c r="AQ193" s="120">
        <f t="array" ref="AQ193">INDIRECT("Update"&amp;Projections!$AH$17&amp;"!T"&amp;ROW(B174))</f>
        <v>3.5</v>
      </c>
      <c r="AR193" s="100">
        <f t="shared" si="27"/>
        <v>-2.501004422</v>
      </c>
    </row>
    <row r="194">
      <c r="A194" s="40" t="str">
        <f t="shared" si="3"/>
        <v>Caleb Martin</v>
      </c>
      <c r="B194" s="42">
        <f t="shared" si="4"/>
        <v>-1.258554415</v>
      </c>
      <c r="C194" s="43">
        <f t="shared" si="5"/>
        <v>-0.4468706937</v>
      </c>
      <c r="D194" s="42">
        <f t="shared" si="6"/>
        <v>-0.4585069208</v>
      </c>
      <c r="E194" s="42">
        <f t="shared" si="7"/>
        <v>-0.8364054809</v>
      </c>
      <c r="F194" s="42">
        <f t="shared" si="8"/>
        <v>-0.2527964105</v>
      </c>
      <c r="G194" s="42">
        <f t="shared" si="9"/>
        <v>-0.4371236408</v>
      </c>
      <c r="H194" s="42">
        <f t="shared" si="10"/>
        <v>-0.5144509655</v>
      </c>
      <c r="I194" s="42">
        <f>UpdateHashtag!S192</f>
        <v>8.8</v>
      </c>
      <c r="J194" s="47">
        <f t="shared" si="11"/>
        <v>0.006538724873</v>
      </c>
      <c r="K194" s="48">
        <f>UpdateHashtag!T192</f>
        <v>1.7</v>
      </c>
      <c r="L194" s="42">
        <f t="shared" si="12"/>
        <v>-0.5442381251</v>
      </c>
      <c r="N194" s="100">
        <f t="shared" si="13"/>
        <v>141</v>
      </c>
      <c r="O194" s="94">
        <f t="array" ref="O194">INDIRECT("Update"&amp;Projections!$AH$17&amp;"!B"&amp;ROW(B175))</f>
        <v>138.5</v>
      </c>
      <c r="P194" s="101" t="str">
        <f t="array" ref="P194">INDIRECT("Update"&amp;Projections!$AH$17&amp;"!C"&amp;ROW(B175))</f>
        <v>Ben Simmons</v>
      </c>
      <c r="Q194" s="94">
        <f>UpdateBBM!F175</f>
        <v>71</v>
      </c>
      <c r="R194" s="105" t="str">
        <f t="array" ref="R194">INDIRECT("Update"&amp;Projections!$AH$17&amp;"!D"&amp;ROW(B175))</f>
        <v>PG</v>
      </c>
      <c r="S194" s="73">
        <f t="shared" si="14"/>
        <v>-1.687737282</v>
      </c>
      <c r="T194" s="73">
        <f>SUM(AE194:AM194)-IFERROR(IFS(Projections!$I$17,AN194,Projections!$J$17,AO194),"")</f>
        <v>-1.687737282</v>
      </c>
      <c r="U194" s="73">
        <f t="shared" si="15"/>
        <v>0</v>
      </c>
      <c r="V194" s="73">
        <f t="array" ref="V194">INDIRECT("Update"&amp;Projections!$AH$17&amp;"!M"&amp;ROW(B175))</f>
        <v>6.6</v>
      </c>
      <c r="W194" s="73">
        <f t="array" ref="W194">INDIRECT("Update"&amp;Projections!$AH$17&amp;"!L"&amp;ROW(B175))</f>
        <v>0</v>
      </c>
      <c r="X194" s="73">
        <f t="array" ref="X194">INDIRECT("Update"&amp;Projections!$AH$17&amp;"!N"&amp;ROW(B175))</f>
        <v>6.6</v>
      </c>
      <c r="Y194" s="73">
        <f t="array" ref="Y194">INDIRECT("Update"&amp;Projections!$AH$17&amp;"!O"&amp;ROW(B175))</f>
        <v>5.9</v>
      </c>
      <c r="Z194" s="73">
        <f t="array" ref="Z194">INDIRECT("Update"&amp;Projections!$AH$17&amp;"!P"&amp;ROW(B175))</f>
        <v>1.1</v>
      </c>
      <c r="AA194" s="73">
        <f t="array" ref="AA194">INDIRECT("Update"&amp;Projections!$AH$17&amp;"!Q"&amp;ROW(B175))</f>
        <v>0.6</v>
      </c>
      <c r="AB194" s="107">
        <f t="array" ref="AB194">INDIRECT("Update"&amp;Projections!$AH$17&amp;"!I"&amp;ROW(B175))</f>
        <v>0.569</v>
      </c>
      <c r="AC194" s="107">
        <f t="array" ref="AC194">INDIRECT("Update"&amp;Projections!$AH$17&amp;"!K"&amp;ROW(B175))</f>
        <v>0.427</v>
      </c>
      <c r="AD194" s="73">
        <f t="array" ref="AD194">INDIRECT("Update"&amp;Projections!$AH$17&amp;"!R"&amp;ROW(B175))</f>
        <v>2.1</v>
      </c>
      <c r="AE194" s="73">
        <f t="shared" si="16"/>
        <v>-1.963081691</v>
      </c>
      <c r="AF194" s="73">
        <f t="shared" si="17"/>
        <v>-1.740686581</v>
      </c>
      <c r="AG194" s="73">
        <f t="shared" si="18"/>
        <v>0.2083413884</v>
      </c>
      <c r="AH194" s="73">
        <f t="shared" si="19"/>
        <v>0.8949417952</v>
      </c>
      <c r="AI194" s="73">
        <f t="shared" si="20"/>
        <v>0.4110689458</v>
      </c>
      <c r="AJ194" s="73">
        <f t="shared" si="21"/>
        <v>-0.2587299387</v>
      </c>
      <c r="AK194" s="73">
        <f t="shared" si="22"/>
        <v>0.447976005</v>
      </c>
      <c r="AL194" s="73">
        <f t="shared" si="23"/>
        <v>-1.563524506</v>
      </c>
      <c r="AM194" s="73">
        <f t="shared" si="24"/>
        <v>-0.08712439001</v>
      </c>
      <c r="AN194" s="120">
        <f t="shared" si="25"/>
        <v>-1.963081691</v>
      </c>
      <c r="AO194" s="120">
        <f t="shared" si="26"/>
        <v>-3.703768273</v>
      </c>
      <c r="AP194" s="120">
        <f t="array" ref="AP194">INDIRECT("Update"&amp;Projections!$AH$17&amp;"!S"&amp;ROW(B175))</f>
        <v>5.3</v>
      </c>
      <c r="AQ194" s="120">
        <f t="array" ref="AQ194">INDIRECT("Update"&amp;Projections!$AH$17&amp;"!T"&amp;ROW(B175))</f>
        <v>1.2</v>
      </c>
      <c r="AR194" s="100">
        <f t="shared" si="27"/>
        <v>-2.515426893</v>
      </c>
    </row>
    <row r="195">
      <c r="A195" s="40" t="str">
        <f t="shared" si="3"/>
        <v>Russell Westbrook</v>
      </c>
      <c r="B195" s="42">
        <f t="shared" si="4"/>
        <v>-0.4817679305</v>
      </c>
      <c r="C195" s="43">
        <f t="shared" si="5"/>
        <v>-0.7454435908</v>
      </c>
      <c r="D195" s="42">
        <f t="shared" si="6"/>
        <v>-0.06624320952</v>
      </c>
      <c r="E195" s="42">
        <f t="shared" si="7"/>
        <v>0.6671329431</v>
      </c>
      <c r="F195" s="42">
        <f t="shared" si="8"/>
        <v>0.743001624</v>
      </c>
      <c r="G195" s="42">
        <f t="shared" si="9"/>
        <v>-0.6155173428</v>
      </c>
      <c r="H195" s="42">
        <f t="shared" si="10"/>
        <v>-0.7932971485</v>
      </c>
      <c r="I195" s="42">
        <f>UpdateHashtag!S193</f>
        <v>12.8</v>
      </c>
      <c r="J195" s="47">
        <f t="shared" si="11"/>
        <v>-1.662984422</v>
      </c>
      <c r="K195" s="48">
        <f>UpdateHashtag!T193</f>
        <v>3.7</v>
      </c>
      <c r="L195" s="42">
        <f t="shared" si="12"/>
        <v>1.340426099</v>
      </c>
      <c r="N195" s="100">
        <f t="shared" si="13"/>
        <v>159</v>
      </c>
      <c r="O195" s="94">
        <f t="array" ref="O195">INDIRECT("Update"&amp;Projections!$AH$17&amp;"!B"&amp;ROW(B176))</f>
        <v>143.7</v>
      </c>
      <c r="P195" s="101" t="str">
        <f t="array" ref="P195">INDIRECT("Update"&amp;Projections!$AH$17&amp;"!C"&amp;ROW(B176))</f>
        <v>Jonathan Isaac</v>
      </c>
      <c r="Q195" s="94">
        <f>UpdateBBM!F176</f>
        <v>71</v>
      </c>
      <c r="R195" s="105" t="str">
        <f t="array" ref="R195">INDIRECT("Update"&amp;Projections!$AH$17&amp;"!D"&amp;ROW(B176))</f>
        <v>SF,PF</v>
      </c>
      <c r="S195" s="73">
        <f t="shared" si="14"/>
        <v>-2.132793182</v>
      </c>
      <c r="T195" s="73">
        <f>SUM(AE195:AM195)-IFERROR(IFS(Projections!$I$17,AN195,Projections!$J$17,AO195),"")</f>
        <v>-2.132793182</v>
      </c>
      <c r="U195" s="73">
        <f t="shared" si="15"/>
        <v>0</v>
      </c>
      <c r="V195" s="73">
        <f t="array" ref="V195">INDIRECT("Update"&amp;Projections!$AH$17&amp;"!M"&amp;ROW(B176))</f>
        <v>7.5</v>
      </c>
      <c r="W195" s="73">
        <f t="array" ref="W195">INDIRECT("Update"&amp;Projections!$AH$17&amp;"!L"&amp;ROW(B176))</f>
        <v>0.8</v>
      </c>
      <c r="X195" s="73">
        <f t="array" ref="X195">INDIRECT("Update"&amp;Projections!$AH$17&amp;"!N"&amp;ROW(B176))</f>
        <v>5.1</v>
      </c>
      <c r="Y195" s="73">
        <f t="array" ref="Y195">INDIRECT("Update"&amp;Projections!$AH$17&amp;"!O"&amp;ROW(B176))</f>
        <v>0.6</v>
      </c>
      <c r="Z195" s="73">
        <f t="array" ref="Z195">INDIRECT("Update"&amp;Projections!$AH$17&amp;"!P"&amp;ROW(B176))</f>
        <v>1</v>
      </c>
      <c r="AA195" s="73">
        <f t="array" ref="AA195">INDIRECT("Update"&amp;Projections!$AH$17&amp;"!Q"&amp;ROW(B176))</f>
        <v>1.2</v>
      </c>
      <c r="AB195" s="107">
        <f t="array" ref="AB195">INDIRECT("Update"&amp;Projections!$AH$17&amp;"!I"&amp;ROW(B176))</f>
        <v>0.496</v>
      </c>
      <c r="AC195" s="107">
        <f t="array" ref="AC195">INDIRECT("Update"&amp;Projections!$AH$17&amp;"!K"&amp;ROW(B176))</f>
        <v>0.704</v>
      </c>
      <c r="AD195" s="73">
        <f t="array" ref="AD195">INDIRECT("Update"&amp;Projections!$AH$17&amp;"!R"&amp;ROW(B176))</f>
        <v>0.5</v>
      </c>
      <c r="AE195" s="73">
        <f t="shared" si="16"/>
        <v>-1.800498474</v>
      </c>
      <c r="AF195" s="73">
        <f t="shared" si="17"/>
        <v>-0.9444921888</v>
      </c>
      <c r="AG195" s="73">
        <f t="shared" si="18"/>
        <v>-0.3800541785</v>
      </c>
      <c r="AH195" s="73">
        <f t="shared" si="19"/>
        <v>-1.519832037</v>
      </c>
      <c r="AI195" s="73">
        <f t="shared" si="20"/>
        <v>0.07913626764</v>
      </c>
      <c r="AJ195" s="73">
        <f t="shared" si="21"/>
        <v>0.8116322736</v>
      </c>
      <c r="AK195" s="73">
        <f t="shared" si="22"/>
        <v>-0.005884065516</v>
      </c>
      <c r="AL195" s="73">
        <f t="shared" si="23"/>
        <v>-0.482946279</v>
      </c>
      <c r="AM195" s="73">
        <f t="shared" si="24"/>
        <v>0.3096470256</v>
      </c>
      <c r="AN195" s="120">
        <f t="shared" si="25"/>
        <v>-1.800498474</v>
      </c>
      <c r="AO195" s="120">
        <f t="shared" si="26"/>
        <v>-3.320330511</v>
      </c>
      <c r="AP195" s="120">
        <f t="array" ref="AP195">INDIRECT("Update"&amp;Projections!$AH$17&amp;"!S"&amp;ROW(B176))</f>
        <v>5.7</v>
      </c>
      <c r="AQ195" s="120">
        <f t="array" ref="AQ195">INDIRECT("Update"&amp;Projections!$AH$17&amp;"!T"&amp;ROW(B176))</f>
        <v>1.5</v>
      </c>
      <c r="AR195" s="100">
        <f t="shared" si="27"/>
        <v>-2.516065036</v>
      </c>
    </row>
    <row r="196">
      <c r="A196" s="40" t="str">
        <f t="shared" si="3"/>
        <v>Malcolm Brogdon</v>
      </c>
      <c r="B196" s="42">
        <f t="shared" si="4"/>
        <v>-0.9695175835</v>
      </c>
      <c r="C196" s="43">
        <f t="shared" si="5"/>
        <v>-0.1482977966</v>
      </c>
      <c r="D196" s="42">
        <f t="shared" si="6"/>
        <v>-1.12535523</v>
      </c>
      <c r="E196" s="42">
        <f t="shared" si="7"/>
        <v>-0.198540695</v>
      </c>
      <c r="F196" s="42">
        <f t="shared" si="8"/>
        <v>-1.580527123</v>
      </c>
      <c r="G196" s="42">
        <f t="shared" si="9"/>
        <v>-0.9723047469</v>
      </c>
      <c r="H196" s="42">
        <f t="shared" si="10"/>
        <v>-0.3329693405</v>
      </c>
      <c r="I196" s="42">
        <f>UpdateHashtag!S194</f>
        <v>9.2</v>
      </c>
      <c r="J196" s="47">
        <f t="shared" si="11"/>
        <v>0.4405454156</v>
      </c>
      <c r="K196" s="48">
        <f>UpdateHashtag!T194</f>
        <v>2.3</v>
      </c>
      <c r="L196" s="42">
        <f t="shared" si="12"/>
        <v>-0.5442381251</v>
      </c>
      <c r="N196" s="100">
        <f t="shared" si="13"/>
        <v>195</v>
      </c>
      <c r="O196" s="94">
        <f t="array" ref="O196">INDIRECT("Update"&amp;Projections!$AH$17&amp;"!B"&amp;ROW(B177))</f>
        <v>133.6</v>
      </c>
      <c r="P196" s="101" t="str">
        <f t="array" ref="P196">INDIRECT("Update"&amp;Projections!$AH$17&amp;"!C"&amp;ROW(B177))</f>
        <v>Jaime Jaquez Jr.</v>
      </c>
      <c r="Q196" s="94">
        <f>UpdateBBM!F177</f>
        <v>71</v>
      </c>
      <c r="R196" s="105" t="str">
        <f t="array" ref="R196">INDIRECT("Update"&amp;Projections!$AH$17&amp;"!D"&amp;ROW(B177))</f>
        <v>SF</v>
      </c>
      <c r="S196" s="73">
        <f t="shared" si="14"/>
        <v>-2.943398277</v>
      </c>
      <c r="T196" s="73">
        <f>SUM(AE196:AM196)-IFERROR(IFS(Projections!$I$17,AN196,Projections!$J$17,AO196),"")</f>
        <v>-2.943398277</v>
      </c>
      <c r="U196" s="73">
        <f t="shared" si="15"/>
        <v>0</v>
      </c>
      <c r="V196" s="73">
        <f t="array" ref="V196">INDIRECT("Update"&amp;Projections!$AH$17&amp;"!M"&amp;ROW(B177))</f>
        <v>11.9</v>
      </c>
      <c r="W196" s="73">
        <f t="array" ref="W196">INDIRECT("Update"&amp;Projections!$AH$17&amp;"!L"&amp;ROW(B177))</f>
        <v>0.9</v>
      </c>
      <c r="X196" s="73">
        <f t="array" ref="X196">INDIRECT("Update"&amp;Projections!$AH$17&amp;"!N"&amp;ROW(B177))</f>
        <v>3.8</v>
      </c>
      <c r="Y196" s="73">
        <f t="array" ref="Y196">INDIRECT("Update"&amp;Projections!$AH$17&amp;"!O"&amp;ROW(B177))</f>
        <v>2.6</v>
      </c>
      <c r="Z196" s="73">
        <f t="array" ref="Z196">INDIRECT("Update"&amp;Projections!$AH$17&amp;"!P"&amp;ROW(B177))</f>
        <v>1</v>
      </c>
      <c r="AA196" s="73">
        <f t="array" ref="AA196">INDIRECT("Update"&amp;Projections!$AH$17&amp;"!Q"&amp;ROW(B177))</f>
        <v>0.3</v>
      </c>
      <c r="AB196" s="107">
        <f t="array" ref="AB196">INDIRECT("Update"&amp;Projections!$AH$17&amp;"!I"&amp;ROW(B177))</f>
        <v>0.489</v>
      </c>
      <c r="AC196" s="107">
        <f t="array" ref="AC196">INDIRECT("Update"&amp;Projections!$AH$17&amp;"!K"&amp;ROW(B177))</f>
        <v>0.812</v>
      </c>
      <c r="AD196" s="73">
        <f t="array" ref="AD196">INDIRECT("Update"&amp;Projections!$AH$17&amp;"!R"&amp;ROW(B177))</f>
        <v>1.5</v>
      </c>
      <c r="AE196" s="73">
        <f t="shared" si="16"/>
        <v>-1.005647187</v>
      </c>
      <c r="AF196" s="73">
        <f t="shared" si="17"/>
        <v>-0.8449678898</v>
      </c>
      <c r="AG196" s="73">
        <f t="shared" si="18"/>
        <v>-0.8899970031</v>
      </c>
      <c r="AH196" s="73">
        <f t="shared" si="19"/>
        <v>-0.6085966288</v>
      </c>
      <c r="AI196" s="73">
        <f t="shared" si="20"/>
        <v>0.07913626764</v>
      </c>
      <c r="AJ196" s="73">
        <f t="shared" si="21"/>
        <v>-0.7939110449</v>
      </c>
      <c r="AK196" s="73">
        <f t="shared" si="22"/>
        <v>-0.08589757693</v>
      </c>
      <c r="AL196" s="73">
        <f t="shared" si="23"/>
        <v>0.139170708</v>
      </c>
      <c r="AM196" s="73">
        <f t="shared" si="24"/>
        <v>0.06166489084</v>
      </c>
      <c r="AN196" s="120">
        <f t="shared" si="25"/>
        <v>-1.005647187</v>
      </c>
      <c r="AO196" s="120">
        <f t="shared" si="26"/>
        <v>-1.895644191</v>
      </c>
      <c r="AP196" s="120">
        <f t="array" ref="AP196">INDIRECT("Update"&amp;Projections!$AH$17&amp;"!S"&amp;ROW(B177))</f>
        <v>9.3</v>
      </c>
      <c r="AQ196" s="120">
        <f t="array" ref="AQ196">INDIRECT("Update"&amp;Projections!$AH$17&amp;"!T"&amp;ROW(B177))</f>
        <v>2.3</v>
      </c>
      <c r="AR196" s="100">
        <f t="shared" si="27"/>
        <v>-2.523722692</v>
      </c>
    </row>
    <row r="197">
      <c r="A197" s="40" t="str">
        <f t="shared" si="3"/>
        <v>Caris LeVert</v>
      </c>
      <c r="B197" s="42">
        <f t="shared" si="4"/>
        <v>-0.9514527815</v>
      </c>
      <c r="C197" s="43">
        <f t="shared" si="5"/>
        <v>-0.1482977966</v>
      </c>
      <c r="D197" s="42">
        <f t="shared" si="6"/>
        <v>-0.9292233743</v>
      </c>
      <c r="E197" s="42">
        <f t="shared" si="7"/>
        <v>0.120391698</v>
      </c>
      <c r="F197" s="42">
        <f t="shared" si="8"/>
        <v>0.07913626764</v>
      </c>
      <c r="G197" s="42">
        <f t="shared" si="9"/>
        <v>-0.6155173428</v>
      </c>
      <c r="H197" s="42">
        <f t="shared" si="10"/>
        <v>-0.8556452687</v>
      </c>
      <c r="I197" s="42">
        <f>UpdateHashtag!S195</f>
        <v>10.3</v>
      </c>
      <c r="J197" s="47">
        <f t="shared" si="11"/>
        <v>-0.4330615308</v>
      </c>
      <c r="K197" s="48">
        <f>UpdateHashtag!T195</f>
        <v>2.5</v>
      </c>
      <c r="L197" s="42">
        <f t="shared" si="12"/>
        <v>-0.2466595634</v>
      </c>
      <c r="N197" s="100">
        <f t="shared" si="13"/>
        <v>191</v>
      </c>
      <c r="O197" s="94" t="str">
        <f t="array" ref="O197">INDIRECT("Update"&amp;Projections!$AH$17&amp;"!B"&amp;ROW(B178))</f>
        <v/>
      </c>
      <c r="P197" s="101" t="str">
        <f t="array" ref="P197">INDIRECT("Update"&amp;Projections!$AH$17&amp;"!C"&amp;ROW(B178))</f>
        <v>Kevin Huerter</v>
      </c>
      <c r="Q197" s="94">
        <f>UpdateBBM!F178</f>
        <v>57</v>
      </c>
      <c r="R197" s="105" t="str">
        <f t="array" ref="R197">INDIRECT("Update"&amp;Projections!$AH$17&amp;"!D"&amp;ROW(B178))</f>
        <v>SG,SF</v>
      </c>
      <c r="S197" s="73">
        <f t="shared" si="14"/>
        <v>-2.852744937</v>
      </c>
      <c r="T197" s="73">
        <f>SUM(AE197:AM197)-IFERROR(IFS(Projections!$I$17,AN197,Projections!$J$17,AO197),"")</f>
        <v>-2.852744937</v>
      </c>
      <c r="U197" s="73">
        <f t="shared" si="15"/>
        <v>0</v>
      </c>
      <c r="V197" s="73">
        <f t="array" ref="V197">INDIRECT("Update"&amp;Projections!$AH$17&amp;"!M"&amp;ROW(B178))</f>
        <v>12</v>
      </c>
      <c r="W197" s="73">
        <f t="array" ref="W197">INDIRECT("Update"&amp;Projections!$AH$17&amp;"!L"&amp;ROW(B178))</f>
        <v>2.2</v>
      </c>
      <c r="X197" s="73">
        <f t="array" ref="X197">INDIRECT("Update"&amp;Projections!$AH$17&amp;"!N"&amp;ROW(B178))</f>
        <v>3.2</v>
      </c>
      <c r="Y197" s="73">
        <f t="array" ref="Y197">INDIRECT("Update"&amp;Projections!$AH$17&amp;"!O"&amp;ROW(B178))</f>
        <v>2.6</v>
      </c>
      <c r="Z197" s="73">
        <f t="array" ref="Z197">INDIRECT("Update"&amp;Projections!$AH$17&amp;"!P"&amp;ROW(B178))</f>
        <v>0.8</v>
      </c>
      <c r="AA197" s="73">
        <f t="array" ref="AA197">INDIRECT("Update"&amp;Projections!$AH$17&amp;"!Q"&amp;ROW(B178))</f>
        <v>0.3</v>
      </c>
      <c r="AB197" s="107">
        <f t="array" ref="AB197">INDIRECT("Update"&amp;Projections!$AH$17&amp;"!I"&amp;ROW(B178))</f>
        <v>0.468</v>
      </c>
      <c r="AC197" s="107">
        <f t="array" ref="AC197">INDIRECT("Update"&amp;Projections!$AH$17&amp;"!K"&amp;ROW(B178))</f>
        <v>0.75</v>
      </c>
      <c r="AD197" s="73">
        <f t="array" ref="AD197">INDIRECT("Update"&amp;Projections!$AH$17&amp;"!R"&amp;ROW(B178))</f>
        <v>1</v>
      </c>
      <c r="AE197" s="73">
        <f t="shared" si="16"/>
        <v>-0.9875823855</v>
      </c>
      <c r="AF197" s="73">
        <f t="shared" si="17"/>
        <v>0.4488479976</v>
      </c>
      <c r="AG197" s="73">
        <f t="shared" si="18"/>
        <v>-1.12535523</v>
      </c>
      <c r="AH197" s="73">
        <f t="shared" si="19"/>
        <v>-0.6085966288</v>
      </c>
      <c r="AI197" s="73">
        <f t="shared" si="20"/>
        <v>-0.5847290887</v>
      </c>
      <c r="AJ197" s="73">
        <f t="shared" si="21"/>
        <v>-0.7939110449</v>
      </c>
      <c r="AK197" s="73">
        <f t="shared" si="22"/>
        <v>-0.321559019</v>
      </c>
      <c r="AL197" s="73">
        <f t="shared" si="23"/>
        <v>-0.1908707263</v>
      </c>
      <c r="AM197" s="73">
        <f t="shared" si="24"/>
        <v>0.1856559582</v>
      </c>
      <c r="AN197" s="120">
        <f t="shared" si="25"/>
        <v>-1.12535523</v>
      </c>
      <c r="AO197" s="120">
        <f t="shared" si="26"/>
        <v>-2.112937615</v>
      </c>
      <c r="AP197" s="120">
        <f t="array" ref="AP197">INDIRECT("Update"&amp;Projections!$AH$17&amp;"!S"&amp;ROW(B178))</f>
        <v>9.5</v>
      </c>
      <c r="AQ197" s="120">
        <f t="array" ref="AQ197">INDIRECT("Update"&amp;Projections!$AH$17&amp;"!T"&amp;ROW(B178))</f>
        <v>1.2</v>
      </c>
      <c r="AR197" s="100">
        <f t="shared" si="27"/>
        <v>-2.550168117</v>
      </c>
    </row>
    <row r="198">
      <c r="A198" s="40" t="str">
        <f t="shared" si="3"/>
        <v>Duncan Robinson</v>
      </c>
      <c r="B198" s="42">
        <f t="shared" si="4"/>
        <v>-0.8972583757</v>
      </c>
      <c r="C198" s="43">
        <f t="shared" si="5"/>
        <v>0.8469451937</v>
      </c>
      <c r="D198" s="42">
        <f t="shared" si="6"/>
        <v>-1.399939828</v>
      </c>
      <c r="E198" s="42">
        <f t="shared" si="7"/>
        <v>-0.6541583992</v>
      </c>
      <c r="F198" s="42">
        <f t="shared" si="8"/>
        <v>-1.248594445</v>
      </c>
      <c r="G198" s="42">
        <f t="shared" si="9"/>
        <v>-0.9723047469</v>
      </c>
      <c r="H198" s="42">
        <f t="shared" si="10"/>
        <v>-0.5729113025</v>
      </c>
      <c r="I198" s="42">
        <f>UpdateHashtag!S196</f>
        <v>9.8</v>
      </c>
      <c r="J198" s="47">
        <f t="shared" si="11"/>
        <v>0.4331576885</v>
      </c>
      <c r="K198" s="48">
        <f>UpdateHashtag!T196</f>
        <v>1.3</v>
      </c>
      <c r="L198" s="42">
        <f t="shared" si="12"/>
        <v>-0.4450452712</v>
      </c>
      <c r="N198" s="100">
        <f t="shared" si="13"/>
        <v>148</v>
      </c>
      <c r="O198" s="94" t="str">
        <f t="array" ref="O198">INDIRECT("Update"&amp;Projections!$AH$17&amp;"!B"&amp;ROW(B179))</f>
        <v/>
      </c>
      <c r="P198" s="101" t="str">
        <f t="array" ref="P198">INDIRECT("Update"&amp;Projections!$AH$17&amp;"!C"&amp;ROW(B179))</f>
        <v>Lonzo Ball</v>
      </c>
      <c r="Q198" s="94">
        <f>UpdateBBM!F179</f>
        <v>52</v>
      </c>
      <c r="R198" s="105" t="str">
        <f t="array" ref="R198">INDIRECT("Update"&amp;Projections!$AH$17&amp;"!D"&amp;ROW(B179))</f>
        <v>PG</v>
      </c>
      <c r="S198" s="73">
        <f t="shared" si="14"/>
        <v>-1.826953879</v>
      </c>
      <c r="T198" s="73">
        <f>SUM(AE198:AM198)-IFERROR(IFS(Projections!$I$17,AN198,Projections!$J$17,AO198),"")</f>
        <v>-1.826953879</v>
      </c>
      <c r="U198" s="73">
        <f t="shared" si="15"/>
        <v>0</v>
      </c>
      <c r="V198" s="73">
        <f t="array" ref="V198">INDIRECT("Update"&amp;Projections!$AH$17&amp;"!M"&amp;ROW(B179))</f>
        <v>7.6</v>
      </c>
      <c r="W198" s="73">
        <f t="array" ref="W198">INDIRECT("Update"&amp;Projections!$AH$17&amp;"!L"&amp;ROW(B179))</f>
        <v>1.8</v>
      </c>
      <c r="X198" s="73">
        <f t="array" ref="X198">INDIRECT("Update"&amp;Projections!$AH$17&amp;"!N"&amp;ROW(B179))</f>
        <v>3.2</v>
      </c>
      <c r="Y198" s="73">
        <f t="array" ref="Y198">INDIRECT("Update"&amp;Projections!$AH$17&amp;"!O"&amp;ROW(B179))</f>
        <v>3.5</v>
      </c>
      <c r="Z198" s="73">
        <f t="array" ref="Z198">INDIRECT("Update"&amp;Projections!$AH$17&amp;"!P"&amp;ROW(B179))</f>
        <v>1.1</v>
      </c>
      <c r="AA198" s="73">
        <f t="array" ref="AA198">INDIRECT("Update"&amp;Projections!$AH$17&amp;"!Q"&amp;ROW(B179))</f>
        <v>0.5</v>
      </c>
      <c r="AB198" s="107">
        <f t="array" ref="AB198">INDIRECT("Update"&amp;Projections!$AH$17&amp;"!I"&amp;ROW(B179))</f>
        <v>0.423</v>
      </c>
      <c r="AC198" s="107">
        <f t="array" ref="AC198">INDIRECT("Update"&amp;Projections!$AH$17&amp;"!K"&amp;ROW(B179))</f>
        <v>0.761</v>
      </c>
      <c r="AD198" s="73">
        <f t="array" ref="AD198">INDIRECT("Update"&amp;Projections!$AH$17&amp;"!R"&amp;ROW(B179))</f>
        <v>1.4</v>
      </c>
      <c r="AE198" s="73">
        <f t="shared" si="16"/>
        <v>-1.782433672</v>
      </c>
      <c r="AF198" s="73">
        <f t="shared" si="17"/>
        <v>0.05075080149</v>
      </c>
      <c r="AG198" s="73">
        <f t="shared" si="18"/>
        <v>-1.12535523</v>
      </c>
      <c r="AH198" s="73">
        <f t="shared" si="19"/>
        <v>-0.198540695</v>
      </c>
      <c r="AI198" s="73">
        <f t="shared" si="20"/>
        <v>0.4110689458</v>
      </c>
      <c r="AJ198" s="73">
        <f t="shared" si="21"/>
        <v>-0.4371236408</v>
      </c>
      <c r="AK198" s="73">
        <f t="shared" si="22"/>
        <v>-0.5541654971</v>
      </c>
      <c r="AL198" s="73">
        <f t="shared" si="23"/>
        <v>-0.06005166799</v>
      </c>
      <c r="AM198" s="73">
        <f t="shared" si="24"/>
        <v>0.08646310432</v>
      </c>
      <c r="AN198" s="120">
        <f t="shared" si="25"/>
        <v>-1.782433672</v>
      </c>
      <c r="AO198" s="120">
        <f t="shared" si="26"/>
        <v>-2.907788902</v>
      </c>
      <c r="AP198" s="120">
        <f t="array" ref="AP198">INDIRECT("Update"&amp;Projections!$AH$17&amp;"!S"&amp;ROW(B179))</f>
        <v>6.4</v>
      </c>
      <c r="AQ198" s="120">
        <f t="array" ref="AQ198">INDIRECT("Update"&amp;Projections!$AH$17&amp;"!T"&amp;ROW(B179))</f>
        <v>0.5</v>
      </c>
      <c r="AR198" s="100">
        <f t="shared" si="27"/>
        <v>-2.584258919</v>
      </c>
    </row>
    <row r="199">
      <c r="A199" s="40" t="str">
        <f t="shared" si="3"/>
        <v>Nikola Jovic</v>
      </c>
      <c r="B199" s="42">
        <f t="shared" si="4"/>
        <v>-1.276619217</v>
      </c>
      <c r="C199" s="43">
        <f t="shared" si="5"/>
        <v>0.05075080149</v>
      </c>
      <c r="D199" s="42">
        <f t="shared" si="6"/>
        <v>-0.3016014363</v>
      </c>
      <c r="E199" s="42">
        <f t="shared" si="7"/>
        <v>-0.6997201696</v>
      </c>
      <c r="F199" s="42">
        <f t="shared" si="8"/>
        <v>-0.5847290887</v>
      </c>
      <c r="G199" s="42">
        <f t="shared" si="9"/>
        <v>-0.6155173428</v>
      </c>
      <c r="H199" s="42">
        <f t="shared" si="10"/>
        <v>-0.5304460614</v>
      </c>
      <c r="I199" s="42">
        <f>UpdateHashtag!S197</f>
        <v>8.4</v>
      </c>
      <c r="J199" s="47">
        <f t="shared" si="11"/>
        <v>-0.1638339902</v>
      </c>
      <c r="K199" s="48">
        <f>UpdateHashtag!T197</f>
        <v>1.6</v>
      </c>
      <c r="L199" s="42">
        <f t="shared" si="12"/>
        <v>-0.5442381251</v>
      </c>
      <c r="N199" s="100">
        <f t="shared" si="13"/>
        <v>174</v>
      </c>
      <c r="O199" s="94">
        <f t="array" ref="O199">INDIRECT("Update"&amp;Projections!$AH$17&amp;"!B"&amp;ROW(B180))</f>
        <v>146.7</v>
      </c>
      <c r="P199" s="101" t="str">
        <f t="array" ref="P199">INDIRECT("Update"&amp;Projections!$AH$17&amp;"!C"&amp;ROW(B180))</f>
        <v>Vince Williams Jr.</v>
      </c>
      <c r="Q199" s="94">
        <f>UpdateBBM!F180</f>
        <v>58</v>
      </c>
      <c r="R199" s="105" t="str">
        <f t="array" ref="R199">INDIRECT("Update"&amp;Projections!$AH$17&amp;"!D"&amp;ROW(B180))</f>
        <v>PG,SG,SF</v>
      </c>
      <c r="S199" s="73">
        <f t="shared" si="14"/>
        <v>-2.515426893</v>
      </c>
      <c r="T199" s="73">
        <f>SUM(AE199:AM199)-IFERROR(IFS(Projections!$I$17,AN199,Projections!$J$17,AO199),"")</f>
        <v>-2.515426893</v>
      </c>
      <c r="U199" s="73">
        <f t="shared" si="15"/>
        <v>0</v>
      </c>
      <c r="V199" s="73">
        <f t="array" ref="V199">INDIRECT("Update"&amp;Projections!$AH$17&amp;"!M"&amp;ROW(B180))</f>
        <v>9</v>
      </c>
      <c r="W199" s="73">
        <f t="array" ref="W199">INDIRECT("Update"&amp;Projections!$AH$17&amp;"!L"&amp;ROW(B180))</f>
        <v>1.3</v>
      </c>
      <c r="X199" s="73">
        <f t="array" ref="X199">INDIRECT("Update"&amp;Projections!$AH$17&amp;"!N"&amp;ROW(B180))</f>
        <v>4.8</v>
      </c>
      <c r="Y199" s="73">
        <f t="array" ref="Y199">INDIRECT("Update"&amp;Projections!$AH$17&amp;"!O"&amp;ROW(B180))</f>
        <v>2.8</v>
      </c>
      <c r="Z199" s="73">
        <f t="array" ref="Z199">INDIRECT("Update"&amp;Projections!$AH$17&amp;"!P"&amp;ROW(B180))</f>
        <v>0.8</v>
      </c>
      <c r="AA199" s="73">
        <f t="array" ref="AA199">INDIRECT("Update"&amp;Projections!$AH$17&amp;"!Q"&amp;ROW(B180))</f>
        <v>0.6</v>
      </c>
      <c r="AB199" s="107">
        <f t="array" ref="AB199">INDIRECT("Update"&amp;Projections!$AH$17&amp;"!I"&amp;ROW(B180))</f>
        <v>0.454</v>
      </c>
      <c r="AC199" s="107">
        <f t="array" ref="AC199">INDIRECT("Update"&amp;Projections!$AH$17&amp;"!K"&amp;ROW(B180))</f>
        <v>0.803</v>
      </c>
      <c r="AD199" s="73">
        <f t="array" ref="AD199">INDIRECT("Update"&amp;Projections!$AH$17&amp;"!R"&amp;ROW(B180))</f>
        <v>1.5</v>
      </c>
      <c r="AE199" s="73">
        <f t="shared" si="16"/>
        <v>-1.529526444</v>
      </c>
      <c r="AF199" s="73">
        <f t="shared" si="17"/>
        <v>-0.4468706937</v>
      </c>
      <c r="AG199" s="73">
        <f t="shared" si="18"/>
        <v>-0.4977332919</v>
      </c>
      <c r="AH199" s="73">
        <f t="shared" si="19"/>
        <v>-0.5174730879</v>
      </c>
      <c r="AI199" s="73">
        <f t="shared" si="20"/>
        <v>-0.5847290887</v>
      </c>
      <c r="AJ199" s="73">
        <f t="shared" si="21"/>
        <v>-0.2587299387</v>
      </c>
      <c r="AK199" s="73">
        <f t="shared" si="22"/>
        <v>-0.3316917819</v>
      </c>
      <c r="AL199" s="73">
        <f t="shared" si="23"/>
        <v>0.06013609916</v>
      </c>
      <c r="AM199" s="73">
        <f t="shared" si="24"/>
        <v>0.06166489084</v>
      </c>
      <c r="AN199" s="120">
        <f t="shared" si="25"/>
        <v>-1.529526444</v>
      </c>
      <c r="AO199" s="120">
        <f t="shared" si="26"/>
        <v>-2.114255533</v>
      </c>
      <c r="AP199" s="120">
        <f t="array" ref="AP199">INDIRECT("Update"&amp;Projections!$AH$17&amp;"!S"&amp;ROW(B180))</f>
        <v>6.6</v>
      </c>
      <c r="AQ199" s="120">
        <f t="array" ref="AQ199">INDIRECT("Update"&amp;Projections!$AH$17&amp;"!T"&amp;ROW(B180))</f>
        <v>2.1</v>
      </c>
      <c r="AR199" s="100">
        <f t="shared" si="27"/>
        <v>-2.58600058</v>
      </c>
    </row>
    <row r="200">
      <c r="A200" s="40" t="str">
        <f t="shared" si="3"/>
        <v>Josh Richardson</v>
      </c>
      <c r="B200" s="42">
        <f t="shared" si="4"/>
        <v>-1.276619217</v>
      </c>
      <c r="C200" s="43">
        <f t="shared" si="5"/>
        <v>-0.04877349754</v>
      </c>
      <c r="D200" s="42">
        <f t="shared" si="6"/>
        <v>-1.243034343</v>
      </c>
      <c r="E200" s="42">
        <f t="shared" si="7"/>
        <v>-0.5630348583</v>
      </c>
      <c r="F200" s="42">
        <f t="shared" si="8"/>
        <v>-0.2527964105</v>
      </c>
      <c r="G200" s="42">
        <f t="shared" si="9"/>
        <v>-0.7939110449</v>
      </c>
      <c r="H200" s="42">
        <f t="shared" si="10"/>
        <v>-0.6207654193</v>
      </c>
      <c r="I200" s="42">
        <f>UpdateHashtag!S198</f>
        <v>8.7</v>
      </c>
      <c r="J200" s="47">
        <f t="shared" si="11"/>
        <v>0.4147423127</v>
      </c>
      <c r="K200" s="48">
        <f>UpdateHashtag!T198</f>
        <v>1.3</v>
      </c>
      <c r="L200" s="42">
        <f t="shared" si="12"/>
        <v>-0.5442381251</v>
      </c>
      <c r="N200" s="100">
        <f t="shared" si="13"/>
        <v>154</v>
      </c>
      <c r="O200" s="94">
        <f t="array" ref="O200">INDIRECT("Update"&amp;Projections!$AH$17&amp;"!B"&amp;ROW(B181))</f>
        <v>143.9</v>
      </c>
      <c r="P200" s="101" t="str">
        <f t="array" ref="P200">INDIRECT("Update"&amp;Projections!$AH$17&amp;"!C"&amp;ROW(B181))</f>
        <v>Gary Trent Jr.</v>
      </c>
      <c r="Q200" s="94">
        <f>UpdateBBM!F181</f>
        <v>66</v>
      </c>
      <c r="R200" s="105" t="str">
        <f t="array" ref="R200">INDIRECT("Update"&amp;Projections!$AH$17&amp;"!D"&amp;ROW(B181))</f>
        <v>PG,SG</v>
      </c>
      <c r="S200" s="73">
        <f t="shared" si="14"/>
        <v>-1.921746412</v>
      </c>
      <c r="T200" s="73">
        <f>SUM(AE200:AM200)-IFERROR(IFS(Projections!$I$17,AN200,Projections!$J$17,AO200),"")</f>
        <v>-1.921746412</v>
      </c>
      <c r="U200" s="73">
        <f t="shared" si="15"/>
        <v>0</v>
      </c>
      <c r="V200" s="73">
        <f t="array" ref="V200">INDIRECT("Update"&amp;Projections!$AH$17&amp;"!M"&amp;ROW(B181))</f>
        <v>14.5</v>
      </c>
      <c r="W200" s="73">
        <f t="array" ref="W200">INDIRECT("Update"&amp;Projections!$AH$17&amp;"!L"&amp;ROW(B181))</f>
        <v>2.4</v>
      </c>
      <c r="X200" s="73">
        <f t="array" ref="X200">INDIRECT("Update"&amp;Projections!$AH$17&amp;"!N"&amp;ROW(B181))</f>
        <v>2.5</v>
      </c>
      <c r="Y200" s="73">
        <f t="array" ref="Y200">INDIRECT("Update"&amp;Projections!$AH$17&amp;"!O"&amp;ROW(B181))</f>
        <v>1.6</v>
      </c>
      <c r="Z200" s="73">
        <f t="array" ref="Z200">INDIRECT("Update"&amp;Projections!$AH$17&amp;"!P"&amp;ROW(B181))</f>
        <v>1.2</v>
      </c>
      <c r="AA200" s="73">
        <f t="array" ref="AA200">INDIRECT("Update"&amp;Projections!$AH$17&amp;"!Q"&amp;ROW(B181))</f>
        <v>0.2</v>
      </c>
      <c r="AB200" s="107">
        <f t="array" ref="AB200">INDIRECT("Update"&amp;Projections!$AH$17&amp;"!I"&amp;ROW(B181))</f>
        <v>0.429</v>
      </c>
      <c r="AC200" s="107">
        <f t="array" ref="AC200">INDIRECT("Update"&amp;Projections!$AH$17&amp;"!K"&amp;ROW(B181))</f>
        <v>0.792</v>
      </c>
      <c r="AD200" s="73">
        <f t="array" ref="AD200">INDIRECT("Update"&amp;Projections!$AH$17&amp;"!R"&amp;ROW(B181))</f>
        <v>0.7</v>
      </c>
      <c r="AE200" s="73">
        <f t="shared" si="16"/>
        <v>-0.5359623364</v>
      </c>
      <c r="AF200" s="73">
        <f t="shared" si="17"/>
        <v>0.6478965957</v>
      </c>
      <c r="AG200" s="73">
        <f t="shared" si="18"/>
        <v>-1.399939828</v>
      </c>
      <c r="AH200" s="73">
        <f t="shared" si="19"/>
        <v>-1.064214333</v>
      </c>
      <c r="AI200" s="73">
        <f t="shared" si="20"/>
        <v>0.743001624</v>
      </c>
      <c r="AJ200" s="73">
        <f t="shared" si="21"/>
        <v>-0.9723047469</v>
      </c>
      <c r="AK200" s="73">
        <f t="shared" si="22"/>
        <v>-0.9785431473</v>
      </c>
      <c r="AL200" s="73">
        <f t="shared" si="23"/>
        <v>-0.02167066636</v>
      </c>
      <c r="AM200" s="73">
        <f t="shared" si="24"/>
        <v>0.2600505987</v>
      </c>
      <c r="AN200" s="120">
        <f t="shared" si="25"/>
        <v>-1.399939828</v>
      </c>
      <c r="AO200" s="120">
        <f t="shared" si="26"/>
        <v>-2.464154161</v>
      </c>
      <c r="AP200" s="120">
        <f t="array" ref="AP200">INDIRECT("Update"&amp;Projections!$AH$17&amp;"!S"&amp;ROW(B181))</f>
        <v>12.3</v>
      </c>
      <c r="AQ200" s="120">
        <f t="array" ref="AQ200">INDIRECT("Update"&amp;Projections!$AH$17&amp;"!T"&amp;ROW(B181))</f>
        <v>2.1</v>
      </c>
      <c r="AR200" s="100">
        <f t="shared" si="27"/>
        <v>-2.634397131</v>
      </c>
    </row>
    <row r="201">
      <c r="A201" s="40" t="str">
        <f t="shared" si="3"/>
        <v>Kris Dunn</v>
      </c>
      <c r="B201" s="42">
        <f t="shared" si="4"/>
        <v>-1.85469288</v>
      </c>
      <c r="C201" s="43">
        <f t="shared" si="5"/>
        <v>-1.143540787</v>
      </c>
      <c r="D201" s="42">
        <f t="shared" si="6"/>
        <v>-1.12535523</v>
      </c>
      <c r="E201" s="42">
        <f t="shared" si="7"/>
        <v>0.120391698</v>
      </c>
      <c r="F201" s="42">
        <f t="shared" si="8"/>
        <v>0.07913626764</v>
      </c>
      <c r="G201" s="42">
        <f t="shared" si="9"/>
        <v>-0.6155173428</v>
      </c>
      <c r="H201" s="42">
        <f t="shared" si="10"/>
        <v>0.007739086831</v>
      </c>
      <c r="I201" s="42">
        <f>UpdateHashtag!S199</f>
        <v>5.9</v>
      </c>
      <c r="J201" s="47">
        <f t="shared" si="11"/>
        <v>-0.19414947</v>
      </c>
      <c r="K201" s="48">
        <f>UpdateHashtag!T199</f>
        <v>0.9</v>
      </c>
      <c r="L201" s="42">
        <f t="shared" si="12"/>
        <v>-0.4450452712</v>
      </c>
      <c r="N201" s="100">
        <f t="shared" si="13"/>
        <v>187</v>
      </c>
      <c r="O201" s="94">
        <f t="array" ref="O201">INDIRECT("Update"&amp;Projections!$AH$17&amp;"!B"&amp;ROW(B182))</f>
        <v>143.3</v>
      </c>
      <c r="P201" s="101" t="str">
        <f t="array" ref="P201">INDIRECT("Update"&amp;Projections!$AH$17&amp;"!C"&amp;ROW(B182))</f>
        <v>Keldon Johnson</v>
      </c>
      <c r="Q201" s="94">
        <f>UpdateBBM!F182</f>
        <v>66</v>
      </c>
      <c r="R201" s="105" t="str">
        <f t="array" ref="R201">INDIRECT("Update"&amp;Projections!$AH$17&amp;"!D"&amp;ROW(B182))</f>
        <v>SG,SF,PF</v>
      </c>
      <c r="S201" s="73">
        <f t="shared" si="14"/>
        <v>-2.762931991</v>
      </c>
      <c r="T201" s="73">
        <f>SUM(AE201:AM201)-IFERROR(IFS(Projections!$I$17,AN201,Projections!$J$17,AO201),"")</f>
        <v>-2.762931991</v>
      </c>
      <c r="U201" s="73">
        <f t="shared" si="15"/>
        <v>0</v>
      </c>
      <c r="V201" s="73">
        <f t="array" ref="V201">INDIRECT("Update"&amp;Projections!$AH$17&amp;"!M"&amp;ROW(B182))</f>
        <v>16.7</v>
      </c>
      <c r="W201" s="73">
        <f t="array" ref="W201">INDIRECT("Update"&amp;Projections!$AH$17&amp;"!L"&amp;ROW(B182))</f>
        <v>1.8</v>
      </c>
      <c r="X201" s="73">
        <f t="array" ref="X201">INDIRECT("Update"&amp;Projections!$AH$17&amp;"!N"&amp;ROW(B182))</f>
        <v>4.7</v>
      </c>
      <c r="Y201" s="73">
        <f t="array" ref="Y201">INDIRECT("Update"&amp;Projections!$AH$17&amp;"!O"&amp;ROW(B182))</f>
        <v>2.6</v>
      </c>
      <c r="Z201" s="73">
        <f t="array" ref="Z201">INDIRECT("Update"&amp;Projections!$AH$17&amp;"!P"&amp;ROW(B182))</f>
        <v>0.7</v>
      </c>
      <c r="AA201" s="73">
        <f t="array" ref="AA201">INDIRECT("Update"&amp;Projections!$AH$17&amp;"!Q"&amp;ROW(B182))</f>
        <v>0.2</v>
      </c>
      <c r="AB201" s="107">
        <f t="array" ref="AB201">INDIRECT("Update"&amp;Projections!$AH$17&amp;"!I"&amp;ROW(B182))</f>
        <v>0.453</v>
      </c>
      <c r="AC201" s="107">
        <f t="array" ref="AC201">INDIRECT("Update"&amp;Projections!$AH$17&amp;"!K"&amp;ROW(B182))</f>
        <v>0.798</v>
      </c>
      <c r="AD201" s="73">
        <f t="array" ref="AD201">INDIRECT("Update"&amp;Projections!$AH$17&amp;"!R"&amp;ROW(B182))</f>
        <v>1.6</v>
      </c>
      <c r="AE201" s="73">
        <f t="shared" si="16"/>
        <v>-0.1385366932</v>
      </c>
      <c r="AF201" s="73">
        <f t="shared" si="17"/>
        <v>0.05075080149</v>
      </c>
      <c r="AG201" s="73">
        <f t="shared" si="18"/>
        <v>-0.536959663</v>
      </c>
      <c r="AH201" s="73">
        <f t="shared" si="19"/>
        <v>-0.6085966288</v>
      </c>
      <c r="AI201" s="73">
        <f t="shared" si="20"/>
        <v>-0.9166617668</v>
      </c>
      <c r="AJ201" s="73">
        <f t="shared" si="21"/>
        <v>-0.9723047469</v>
      </c>
      <c r="AK201" s="73">
        <f t="shared" si="22"/>
        <v>-0.6891396421</v>
      </c>
      <c r="AL201" s="73">
        <f t="shared" si="23"/>
        <v>0.03934492413</v>
      </c>
      <c r="AM201" s="73">
        <f t="shared" si="24"/>
        <v>0.03686667737</v>
      </c>
      <c r="AN201" s="120">
        <f t="shared" si="25"/>
        <v>-0.9723047469</v>
      </c>
      <c r="AO201" s="120">
        <f t="shared" si="26"/>
        <v>-1.888966514</v>
      </c>
      <c r="AP201" s="120">
        <f t="array" ref="AP201">INDIRECT("Update"&amp;Projections!$AH$17&amp;"!S"&amp;ROW(B182))</f>
        <v>13.4</v>
      </c>
      <c r="AQ201" s="120">
        <f t="array" ref="AQ201">INDIRECT("Update"&amp;Projections!$AH$17&amp;"!T"&amp;ROW(B182))</f>
        <v>3.6</v>
      </c>
      <c r="AR201" s="100">
        <f t="shared" si="27"/>
        <v>-2.677114136</v>
      </c>
    </row>
    <row r="202">
      <c r="A202" s="40" t="str">
        <f t="shared" si="3"/>
        <v>Ayo Dosunmu</v>
      </c>
      <c r="B202" s="42">
        <f t="shared" si="4"/>
        <v>-1.312748821</v>
      </c>
      <c r="C202" s="43">
        <f t="shared" si="5"/>
        <v>-0.6459192917</v>
      </c>
      <c r="D202" s="42">
        <f t="shared" si="6"/>
        <v>-1.282260714</v>
      </c>
      <c r="E202" s="42">
        <f t="shared" si="7"/>
        <v>-0.5174730879</v>
      </c>
      <c r="F202" s="42">
        <f t="shared" si="8"/>
        <v>-0.5847290887</v>
      </c>
      <c r="G202" s="42">
        <f t="shared" si="9"/>
        <v>-0.6155173428</v>
      </c>
      <c r="H202" s="42">
        <f t="shared" si="10"/>
        <v>0.01075601899</v>
      </c>
      <c r="I202" s="42">
        <f>UpdateHashtag!S200</f>
        <v>8.2</v>
      </c>
      <c r="J202" s="47">
        <f t="shared" si="11"/>
        <v>0.08111020839</v>
      </c>
      <c r="K202" s="48">
        <f>UpdateHashtag!T200</f>
        <v>1.2</v>
      </c>
      <c r="L202" s="42">
        <f t="shared" si="12"/>
        <v>-0.4450452712</v>
      </c>
      <c r="N202" s="100">
        <f t="shared" si="13"/>
        <v>189</v>
      </c>
      <c r="O202" s="94">
        <f t="array" ref="O202">INDIRECT("Update"&amp;Projections!$AH$17&amp;"!B"&amp;ROW(B183))</f>
        <v>142.5</v>
      </c>
      <c r="P202" s="101" t="str">
        <f t="array" ref="P202">INDIRECT("Update"&amp;Projections!$AH$17&amp;"!C"&amp;ROW(B183))</f>
        <v>Christian Braun</v>
      </c>
      <c r="Q202" s="94">
        <f>UpdateBBM!F183</f>
        <v>50</v>
      </c>
      <c r="R202" s="105" t="str">
        <f t="array" ref="R202">INDIRECT("Update"&amp;Projections!$AH$17&amp;"!D"&amp;ROW(B183))</f>
        <v>SG,SF</v>
      </c>
      <c r="S202" s="73">
        <f t="shared" si="14"/>
        <v>-2.781608239</v>
      </c>
      <c r="T202" s="73">
        <f>SUM(AE202:AM202)-IFERROR(IFS(Projections!$I$17,AN202,Projections!$J$17,AO202),"")</f>
        <v>-2.781608239</v>
      </c>
      <c r="U202" s="73">
        <f t="shared" si="15"/>
        <v>0</v>
      </c>
      <c r="V202" s="73">
        <f t="array" ref="V202">INDIRECT("Update"&amp;Projections!$AH$17&amp;"!M"&amp;ROW(B183))</f>
        <v>11</v>
      </c>
      <c r="W202" s="73">
        <f t="array" ref="W202">INDIRECT("Update"&amp;Projections!$AH$17&amp;"!L"&amp;ROW(B183))</f>
        <v>1.1</v>
      </c>
      <c r="X202" s="73">
        <f t="array" ref="X202">INDIRECT("Update"&amp;Projections!$AH$17&amp;"!N"&amp;ROW(B183))</f>
        <v>5.5</v>
      </c>
      <c r="Y202" s="73">
        <f t="array" ref="Y202">INDIRECT("Update"&amp;Projections!$AH$17&amp;"!O"&amp;ROW(B183))</f>
        <v>2.2</v>
      </c>
      <c r="Z202" s="73">
        <f t="array" ref="Z202">INDIRECT("Update"&amp;Projections!$AH$17&amp;"!P"&amp;ROW(B183))</f>
        <v>0.9</v>
      </c>
      <c r="AA202" s="73">
        <f t="array" ref="AA202">INDIRECT("Update"&amp;Projections!$AH$17&amp;"!Q"&amp;ROW(B183))</f>
        <v>0.6</v>
      </c>
      <c r="AB202" s="107">
        <f t="array" ref="AB202">INDIRECT("Update"&amp;Projections!$AH$17&amp;"!I"&amp;ROW(B183))</f>
        <v>0.468</v>
      </c>
      <c r="AC202" s="107">
        <f t="array" ref="AC202">INDIRECT("Update"&amp;Projections!$AH$17&amp;"!K"&amp;ROW(B183))</f>
        <v>0.731</v>
      </c>
      <c r="AD202" s="73">
        <f t="array" ref="AD202">INDIRECT("Update"&amp;Projections!$AH$17&amp;"!R"&amp;ROW(B183))</f>
        <v>1</v>
      </c>
      <c r="AE202" s="73">
        <f t="shared" si="16"/>
        <v>-1.168230405</v>
      </c>
      <c r="AF202" s="73">
        <f t="shared" si="17"/>
        <v>-0.6459192917</v>
      </c>
      <c r="AG202" s="73">
        <f t="shared" si="18"/>
        <v>-0.223148694</v>
      </c>
      <c r="AH202" s="73">
        <f t="shared" si="19"/>
        <v>-0.7908437104</v>
      </c>
      <c r="AI202" s="73">
        <f t="shared" si="20"/>
        <v>-0.2527964105</v>
      </c>
      <c r="AJ202" s="73">
        <f t="shared" si="21"/>
        <v>-0.2587299387</v>
      </c>
      <c r="AK202" s="73">
        <f t="shared" si="22"/>
        <v>-0.2978651966</v>
      </c>
      <c r="AL202" s="73">
        <f t="shared" si="23"/>
        <v>-0.497960955</v>
      </c>
      <c r="AM202" s="73">
        <f t="shared" si="24"/>
        <v>0.1856559582</v>
      </c>
      <c r="AN202" s="120">
        <f t="shared" si="25"/>
        <v>-1.168230405</v>
      </c>
      <c r="AO202" s="120">
        <f t="shared" si="26"/>
        <v>-1.959074116</v>
      </c>
      <c r="AP202" s="120">
        <f t="array" ref="AP202">INDIRECT("Update"&amp;Projections!$AH$17&amp;"!S"&amp;ROW(B183))</f>
        <v>8.8</v>
      </c>
      <c r="AQ202" s="120">
        <f t="array" ref="AQ202">INDIRECT("Update"&amp;Projections!$AH$17&amp;"!T"&amp;ROW(B183))</f>
        <v>2.2</v>
      </c>
      <c r="AR202" s="100">
        <f t="shared" si="27"/>
        <v>-2.686460477</v>
      </c>
    </row>
    <row r="203">
      <c r="A203" s="40" t="str">
        <f t="shared" si="3"/>
        <v>Bennedict Mathurin</v>
      </c>
      <c r="B203" s="42">
        <f t="shared" si="4"/>
        <v>-0.1204718912</v>
      </c>
      <c r="C203" s="43">
        <f t="shared" si="5"/>
        <v>-0.3473463946</v>
      </c>
      <c r="D203" s="42">
        <f t="shared" si="6"/>
        <v>-0.6938651475</v>
      </c>
      <c r="E203" s="42">
        <f t="shared" si="7"/>
        <v>-0.9730907921</v>
      </c>
      <c r="F203" s="42">
        <f t="shared" si="8"/>
        <v>-0.9166617668</v>
      </c>
      <c r="G203" s="42">
        <f t="shared" si="9"/>
        <v>-0.9723047469</v>
      </c>
      <c r="H203" s="42">
        <f t="shared" si="10"/>
        <v>-0.789354258</v>
      </c>
      <c r="I203" s="42">
        <f>UpdateHashtag!S201</f>
        <v>12.5</v>
      </c>
      <c r="J203" s="47">
        <f t="shared" si="11"/>
        <v>0.5834709653</v>
      </c>
      <c r="K203" s="48">
        <f>UpdateHashtag!T201</f>
        <v>5.3</v>
      </c>
      <c r="L203" s="42">
        <f t="shared" si="12"/>
        <v>0.1501118522</v>
      </c>
      <c r="N203" s="100">
        <f t="shared" si="13"/>
        <v>178</v>
      </c>
      <c r="O203" s="94">
        <f t="array" ref="O203">INDIRECT("Update"&amp;Projections!$AH$17&amp;"!B"&amp;ROW(B184))</f>
        <v>139</v>
      </c>
      <c r="P203" s="101" t="str">
        <f t="array" ref="P203">INDIRECT("Update"&amp;Projections!$AH$17&amp;"!C"&amp;ROW(B184))</f>
        <v>Zaccharie Risacher</v>
      </c>
      <c r="Q203" s="94">
        <f>UpdateBBM!F184</f>
        <v>66</v>
      </c>
      <c r="R203" s="105" t="str">
        <f t="array" ref="R203">INDIRECT("Update"&amp;Projections!$AH$17&amp;"!D"&amp;ROW(B184))</f>
        <v>SF</v>
      </c>
      <c r="S203" s="73">
        <f t="shared" si="14"/>
        <v>-2.584258919</v>
      </c>
      <c r="T203" s="73">
        <f>SUM(AE203:AM203)-IFERROR(IFS(Projections!$I$17,AN203,Projections!$J$17,AO203),"")</f>
        <v>-2.584258919</v>
      </c>
      <c r="U203" s="73">
        <f t="shared" si="15"/>
        <v>0</v>
      </c>
      <c r="V203" s="73">
        <f t="array" ref="V203">INDIRECT("Update"&amp;Projections!$AH$17&amp;"!M"&amp;ROW(B184))</f>
        <v>13.6</v>
      </c>
      <c r="W203" s="73">
        <f t="array" ref="W203">INDIRECT("Update"&amp;Projections!$AH$17&amp;"!L"&amp;ROW(B184))</f>
        <v>1.4</v>
      </c>
      <c r="X203" s="73">
        <f t="array" ref="X203">INDIRECT("Update"&amp;Projections!$AH$17&amp;"!N"&amp;ROW(B184))</f>
        <v>4.1</v>
      </c>
      <c r="Y203" s="73">
        <f t="array" ref="Y203">INDIRECT("Update"&amp;Projections!$AH$17&amp;"!O"&amp;ROW(B184))</f>
        <v>1.5</v>
      </c>
      <c r="Z203" s="73">
        <f t="array" ref="Z203">INDIRECT("Update"&amp;Projections!$AH$17&amp;"!P"&amp;ROW(B184))</f>
        <v>1.1</v>
      </c>
      <c r="AA203" s="73">
        <f t="array" ref="AA203">INDIRECT("Update"&amp;Projections!$AH$17&amp;"!Q"&amp;ROW(B184))</f>
        <v>0.7</v>
      </c>
      <c r="AB203" s="107">
        <f t="array" ref="AB203">INDIRECT("Update"&amp;Projections!$AH$17&amp;"!I"&amp;ROW(B184))</f>
        <v>0.452</v>
      </c>
      <c r="AC203" s="107">
        <f t="array" ref="AC203">INDIRECT("Update"&amp;Projections!$AH$17&amp;"!K"&amp;ROW(B184))</f>
        <v>0.74</v>
      </c>
      <c r="AD203" s="73">
        <f t="array" ref="AD203">INDIRECT("Update"&amp;Projections!$AH$17&amp;"!R"&amp;ROW(B184))</f>
        <v>1.6</v>
      </c>
      <c r="AE203" s="73">
        <f t="shared" si="16"/>
        <v>-0.6985455541</v>
      </c>
      <c r="AF203" s="73">
        <f t="shared" si="17"/>
        <v>-0.3473463946</v>
      </c>
      <c r="AG203" s="73">
        <f t="shared" si="18"/>
        <v>-0.7723178898</v>
      </c>
      <c r="AH203" s="73">
        <f t="shared" si="19"/>
        <v>-1.109776103</v>
      </c>
      <c r="AI203" s="73">
        <f t="shared" si="20"/>
        <v>0.4110689458</v>
      </c>
      <c r="AJ203" s="73">
        <f t="shared" si="21"/>
        <v>-0.08033623669</v>
      </c>
      <c r="AK203" s="73">
        <f t="shared" si="22"/>
        <v>-0.5891237231</v>
      </c>
      <c r="AL203" s="73">
        <f t="shared" si="23"/>
        <v>-0.5445247439</v>
      </c>
      <c r="AM203" s="73">
        <f t="shared" si="24"/>
        <v>0.03686667737</v>
      </c>
      <c r="AN203" s="120">
        <f t="shared" si="25"/>
        <v>-1.109776103</v>
      </c>
      <c r="AO203" s="120">
        <f t="shared" si="26"/>
        <v>-1.882093993</v>
      </c>
      <c r="AP203" s="120">
        <f t="array" ref="AP203">INDIRECT("Update"&amp;Projections!$AH$17&amp;"!S"&amp;ROW(B184))</f>
        <v>11.2</v>
      </c>
      <c r="AQ203" s="120">
        <f t="array" ref="AQ203">INDIRECT("Update"&amp;Projections!$AH$17&amp;"!T"&amp;ROW(B184))</f>
        <v>2.8</v>
      </c>
      <c r="AR203" s="100">
        <f t="shared" si="27"/>
        <v>-2.709037756</v>
      </c>
    </row>
    <row r="204">
      <c r="A204" s="40" t="str">
        <f t="shared" si="3"/>
        <v>Josh Green</v>
      </c>
      <c r="B204" s="42">
        <f t="shared" si="4"/>
        <v>-1.168230405</v>
      </c>
      <c r="C204" s="43">
        <f t="shared" si="5"/>
        <v>-0.1482977966</v>
      </c>
      <c r="D204" s="42">
        <f t="shared" si="6"/>
        <v>-0.9684497454</v>
      </c>
      <c r="E204" s="42">
        <f t="shared" si="7"/>
        <v>-0.74528194</v>
      </c>
      <c r="F204" s="42">
        <f t="shared" si="8"/>
        <v>0.07913626764</v>
      </c>
      <c r="G204" s="42">
        <f t="shared" si="9"/>
        <v>-0.7939110449</v>
      </c>
      <c r="H204" s="42">
        <f t="shared" si="10"/>
        <v>-0.2595267958</v>
      </c>
      <c r="I204" s="42">
        <f>UpdateHashtag!S202</f>
        <v>8.9</v>
      </c>
      <c r="J204" s="47">
        <f t="shared" si="11"/>
        <v>-0.4563856408</v>
      </c>
      <c r="K204" s="48">
        <f>UpdateHashtag!T202</f>
        <v>1.5</v>
      </c>
      <c r="L204" s="42">
        <f t="shared" si="12"/>
        <v>-0.4450452712</v>
      </c>
      <c r="N204" s="100">
        <f t="shared" si="13"/>
        <v>169</v>
      </c>
      <c r="O204" s="94">
        <f t="array" ref="O204">INDIRECT("Update"&amp;Projections!$AH$17&amp;"!B"&amp;ROW(B185))</f>
        <v>138.9</v>
      </c>
      <c r="P204" s="101" t="str">
        <f t="array" ref="P204">INDIRECT("Update"&amp;Projections!$AH$17&amp;"!C"&amp;ROW(B185))</f>
        <v>Jordan Clarkson</v>
      </c>
      <c r="Q204" s="94">
        <f>UpdateBBM!F185</f>
        <v>71</v>
      </c>
      <c r="R204" s="105" t="str">
        <f t="array" ref="R204">INDIRECT("Update"&amp;Projections!$AH$17&amp;"!D"&amp;ROW(B185))</f>
        <v>SG,SF</v>
      </c>
      <c r="S204" s="73">
        <f t="shared" si="14"/>
        <v>-2.412545997</v>
      </c>
      <c r="T204" s="73">
        <f>SUM(AE204:AM204)-IFERROR(IFS(Projections!$I$17,AN204,Projections!$J$17,AO204),"")</f>
        <v>-2.412545997</v>
      </c>
      <c r="U204" s="73">
        <f t="shared" si="15"/>
        <v>0</v>
      </c>
      <c r="V204" s="73">
        <f t="array" ref="V204">INDIRECT("Update"&amp;Projections!$AH$17&amp;"!M"&amp;ROW(B185))</f>
        <v>17.4</v>
      </c>
      <c r="W204" s="73">
        <f t="array" ref="W204">INDIRECT("Update"&amp;Projections!$AH$17&amp;"!L"&amp;ROW(B185))</f>
        <v>1.9</v>
      </c>
      <c r="X204" s="73">
        <f t="array" ref="X204">INDIRECT("Update"&amp;Projections!$AH$17&amp;"!N"&amp;ROW(B185))</f>
        <v>3.4</v>
      </c>
      <c r="Y204" s="73">
        <f t="array" ref="Y204">INDIRECT("Update"&amp;Projections!$AH$17&amp;"!O"&amp;ROW(B185))</f>
        <v>4.3</v>
      </c>
      <c r="Z204" s="73">
        <f t="array" ref="Z204">INDIRECT("Update"&amp;Projections!$AH$17&amp;"!P"&amp;ROW(B185))</f>
        <v>0.5</v>
      </c>
      <c r="AA204" s="73">
        <f t="array" ref="AA204">INDIRECT("Update"&amp;Projections!$AH$17&amp;"!Q"&amp;ROW(B185))</f>
        <v>0.2</v>
      </c>
      <c r="AB204" s="107">
        <f t="array" ref="AB204">INDIRECT("Update"&amp;Projections!$AH$17&amp;"!I"&amp;ROW(B185))</f>
        <v>0.431</v>
      </c>
      <c r="AC204" s="107">
        <f t="array" ref="AC204">INDIRECT("Update"&amp;Projections!$AH$17&amp;"!K"&amp;ROW(B185))</f>
        <v>0.846</v>
      </c>
      <c r="AD204" s="73">
        <f t="array" ref="AD204">INDIRECT("Update"&amp;Projections!$AH$17&amp;"!R"&amp;ROW(B185))</f>
        <v>2.6</v>
      </c>
      <c r="AE204" s="73">
        <f t="shared" si="16"/>
        <v>-0.01208307946</v>
      </c>
      <c r="AF204" s="73">
        <f t="shared" si="17"/>
        <v>0.1502751005</v>
      </c>
      <c r="AG204" s="73">
        <f t="shared" si="18"/>
        <v>-1.046902488</v>
      </c>
      <c r="AH204" s="73">
        <f t="shared" si="19"/>
        <v>0.1659534684</v>
      </c>
      <c r="AI204" s="73">
        <f t="shared" si="20"/>
        <v>-1.580527123</v>
      </c>
      <c r="AJ204" s="73">
        <f t="shared" si="21"/>
        <v>-0.9723047469</v>
      </c>
      <c r="AK204" s="73">
        <f t="shared" si="22"/>
        <v>-1.119579098</v>
      </c>
      <c r="AL204" s="73">
        <f t="shared" si="23"/>
        <v>0.6332103043</v>
      </c>
      <c r="AM204" s="73">
        <f t="shared" si="24"/>
        <v>-0.2111154574</v>
      </c>
      <c r="AN204" s="120">
        <f t="shared" si="25"/>
        <v>-1.580527123</v>
      </c>
      <c r="AO204" s="120">
        <f t="shared" si="26"/>
        <v>-2.700106222</v>
      </c>
      <c r="AP204" s="120">
        <f t="array" ref="AP204">INDIRECT("Update"&amp;Projections!$AH$17&amp;"!S"&amp;ROW(B185))</f>
        <v>14.5</v>
      </c>
      <c r="AQ204" s="120">
        <f t="array" ref="AQ204">INDIRECT("Update"&amp;Projections!$AH$17&amp;"!T"&amp;ROW(B185))</f>
        <v>3.5</v>
      </c>
      <c r="AR204" s="100">
        <f t="shared" si="27"/>
        <v>-2.720552457</v>
      </c>
    </row>
    <row r="205">
      <c r="A205" s="40" t="str">
        <f t="shared" si="3"/>
        <v>Peyton Watson</v>
      </c>
      <c r="B205" s="42">
        <f t="shared" si="4"/>
        <v>-1.439202435</v>
      </c>
      <c r="C205" s="43">
        <f t="shared" si="5"/>
        <v>-0.9444921888</v>
      </c>
      <c r="D205" s="42">
        <f t="shared" si="6"/>
        <v>-0.5761860341</v>
      </c>
      <c r="E205" s="42">
        <f t="shared" si="7"/>
        <v>-1.109776103</v>
      </c>
      <c r="F205" s="42">
        <f t="shared" si="8"/>
        <v>-0.9166617668</v>
      </c>
      <c r="G205" s="42">
        <f t="shared" si="9"/>
        <v>1.34681338</v>
      </c>
      <c r="H205" s="42">
        <f t="shared" si="10"/>
        <v>-0.2766605178</v>
      </c>
      <c r="I205" s="42">
        <f>UpdateHashtag!S203</f>
        <v>7.9</v>
      </c>
      <c r="J205" s="47">
        <f t="shared" si="11"/>
        <v>-1.026401561</v>
      </c>
      <c r="K205" s="48">
        <f>UpdateHashtag!T203</f>
        <v>2</v>
      </c>
      <c r="L205" s="42">
        <f t="shared" si="12"/>
        <v>-0.7426238329</v>
      </c>
      <c r="N205" s="100">
        <f t="shared" si="13"/>
        <v>197</v>
      </c>
      <c r="O205" s="94" t="str">
        <f t="array" ref="O205">INDIRECT("Update"&amp;Projections!$AH$17&amp;"!B"&amp;ROW(B186))</f>
        <v/>
      </c>
      <c r="P205" s="101" t="str">
        <f t="array" ref="P205">INDIRECT("Update"&amp;Projections!$AH$17&amp;"!C"&amp;ROW(B186))</f>
        <v>Luke Kennard</v>
      </c>
      <c r="Q205" s="94">
        <f>UpdateBBM!F186</f>
        <v>66</v>
      </c>
      <c r="R205" s="105" t="str">
        <f t="array" ref="R205">INDIRECT("Update"&amp;Projections!$AH$17&amp;"!D"&amp;ROW(B186))</f>
        <v>SG</v>
      </c>
      <c r="S205" s="73">
        <f t="shared" si="14"/>
        <v>-2.950671696</v>
      </c>
      <c r="T205" s="73">
        <f>SUM(AE205:AM205)-IFERROR(IFS(Projections!$I$17,AN205,Projections!$J$17,AO205),"")</f>
        <v>-2.950671696</v>
      </c>
      <c r="U205" s="73">
        <f t="shared" si="15"/>
        <v>0</v>
      </c>
      <c r="V205" s="73">
        <f t="array" ref="V205">INDIRECT("Update"&amp;Projections!$AH$17&amp;"!M"&amp;ROW(B186))</f>
        <v>10.8</v>
      </c>
      <c r="W205" s="73">
        <f t="array" ref="W205">INDIRECT("Update"&amp;Projections!$AH$17&amp;"!L"&amp;ROW(B186))</f>
        <v>2.7</v>
      </c>
      <c r="X205" s="73">
        <f t="array" ref="X205">INDIRECT("Update"&amp;Projections!$AH$17&amp;"!N"&amp;ROW(B186))</f>
        <v>3</v>
      </c>
      <c r="Y205" s="73">
        <f t="array" ref="Y205">INDIRECT("Update"&amp;Projections!$AH$17&amp;"!O"&amp;ROW(B186))</f>
        <v>2.5</v>
      </c>
      <c r="Z205" s="73">
        <f t="array" ref="Z205">INDIRECT("Update"&amp;Projections!$AH$17&amp;"!P"&amp;ROW(B186))</f>
        <v>0.6</v>
      </c>
      <c r="AA205" s="73">
        <f t="array" ref="AA205">INDIRECT("Update"&amp;Projections!$AH$17&amp;"!Q"&amp;ROW(B186))</f>
        <v>0.1</v>
      </c>
      <c r="AB205" s="107">
        <f t="array" ref="AB205">INDIRECT("Update"&amp;Projections!$AH$17&amp;"!I"&amp;ROW(B186))</f>
        <v>0.472</v>
      </c>
      <c r="AC205" s="107">
        <f t="array" ref="AC205">INDIRECT("Update"&amp;Projections!$AH$17&amp;"!K"&amp;ROW(B186))</f>
        <v>0.914</v>
      </c>
      <c r="AD205" s="73">
        <f t="array" ref="AD205">INDIRECT("Update"&amp;Projections!$AH$17&amp;"!R"&amp;ROW(B186))</f>
        <v>1.1</v>
      </c>
      <c r="AE205" s="73">
        <f t="shared" si="16"/>
        <v>-1.204360009</v>
      </c>
      <c r="AF205" s="73">
        <f t="shared" si="17"/>
        <v>0.9464694928</v>
      </c>
      <c r="AG205" s="73">
        <f t="shared" si="18"/>
        <v>-1.203807972</v>
      </c>
      <c r="AH205" s="73">
        <f t="shared" si="19"/>
        <v>-0.6541583992</v>
      </c>
      <c r="AI205" s="73">
        <f t="shared" si="20"/>
        <v>-1.248594445</v>
      </c>
      <c r="AJ205" s="73">
        <f t="shared" si="21"/>
        <v>-1.150698449</v>
      </c>
      <c r="AK205" s="73">
        <f t="shared" si="22"/>
        <v>-0.2245344188</v>
      </c>
      <c r="AL205" s="73">
        <f t="shared" si="23"/>
        <v>0.3795603142</v>
      </c>
      <c r="AM205" s="73">
        <f t="shared" si="24"/>
        <v>0.1608577447</v>
      </c>
      <c r="AN205" s="120">
        <f t="shared" si="25"/>
        <v>-1.248594445</v>
      </c>
      <c r="AO205" s="120">
        <f t="shared" si="26"/>
        <v>-2.452954454</v>
      </c>
      <c r="AP205" s="120">
        <f t="array" ref="AP205">INDIRECT("Update"&amp;Projections!$AH$17&amp;"!S"&amp;ROW(B186))</f>
        <v>7.7</v>
      </c>
      <c r="AQ205" s="120">
        <f t="array" ref="AQ205">INDIRECT("Update"&amp;Projections!$AH$17&amp;"!T"&amp;ROW(B186))</f>
        <v>0.9</v>
      </c>
      <c r="AR205" s="100">
        <f t="shared" si="27"/>
        <v>-2.722952523</v>
      </c>
    </row>
    <row r="206">
      <c r="A206" s="40" t="str">
        <f t="shared" si="3"/>
        <v>Daniel Theis</v>
      </c>
      <c r="B206" s="42">
        <f t="shared" si="4"/>
        <v>-1.619850454</v>
      </c>
      <c r="C206" s="43">
        <f t="shared" si="5"/>
        <v>-1.143540787</v>
      </c>
      <c r="D206" s="42">
        <f t="shared" si="6"/>
        <v>-0.3408278074</v>
      </c>
      <c r="E206" s="42">
        <f t="shared" si="7"/>
        <v>-1.155337874</v>
      </c>
      <c r="F206" s="42">
        <f t="shared" si="8"/>
        <v>-1.580527123</v>
      </c>
      <c r="G206" s="42">
        <f t="shared" si="9"/>
        <v>0.4548448695</v>
      </c>
      <c r="H206" s="42">
        <f t="shared" si="10"/>
        <v>0.2129510138</v>
      </c>
      <c r="I206" s="42">
        <f>UpdateHashtag!S204</f>
        <v>6.7</v>
      </c>
      <c r="J206" s="47">
        <f t="shared" si="11"/>
        <v>-0.1398743011</v>
      </c>
      <c r="K206" s="48">
        <f>UpdateHashtag!T204</f>
        <v>1.2</v>
      </c>
      <c r="L206" s="42">
        <f t="shared" si="12"/>
        <v>-0.8418166868</v>
      </c>
      <c r="N206" s="100">
        <f t="shared" si="13"/>
        <v>149</v>
      </c>
      <c r="O206" s="94">
        <f t="array" ref="O206">INDIRECT("Update"&amp;Projections!$AH$17&amp;"!B"&amp;ROW(B187))</f>
        <v>139.1</v>
      </c>
      <c r="P206" s="101" t="str">
        <f t="array" ref="P206">INDIRECT("Update"&amp;Projections!$AH$17&amp;"!C"&amp;ROW(B187))</f>
        <v>Andre Drummond</v>
      </c>
      <c r="Q206" s="94">
        <f>UpdateBBM!F187</f>
        <v>71</v>
      </c>
      <c r="R206" s="105" t="str">
        <f t="array" ref="R206">INDIRECT("Update"&amp;Projections!$AH$17&amp;"!D"&amp;ROW(B187))</f>
        <v>C</v>
      </c>
      <c r="S206" s="73">
        <f t="shared" si="14"/>
        <v>-1.827286524</v>
      </c>
      <c r="T206" s="73">
        <f>SUM(AE206:AM206)-IFERROR(IFS(Projections!$I$17,AN206,Projections!$J$17,AO206),"")</f>
        <v>-1.827286524</v>
      </c>
      <c r="U206" s="73">
        <f t="shared" si="15"/>
        <v>0</v>
      </c>
      <c r="V206" s="73">
        <f t="array" ref="V206">INDIRECT("Update"&amp;Projections!$AH$17&amp;"!M"&amp;ROW(B187))</f>
        <v>9.8</v>
      </c>
      <c r="W206" s="73">
        <f t="array" ref="W206">INDIRECT("Update"&amp;Projections!$AH$17&amp;"!L"&amp;ROW(B187))</f>
        <v>0</v>
      </c>
      <c r="X206" s="73">
        <f t="array" ref="X206">INDIRECT("Update"&amp;Projections!$AH$17&amp;"!N"&amp;ROW(B187))</f>
        <v>10.6</v>
      </c>
      <c r="Y206" s="73">
        <f t="array" ref="Y206">INDIRECT("Update"&amp;Projections!$AH$17&amp;"!O"&amp;ROW(B187))</f>
        <v>0.6</v>
      </c>
      <c r="Z206" s="73">
        <f t="array" ref="Z206">INDIRECT("Update"&amp;Projections!$AH$17&amp;"!P"&amp;ROW(B187))</f>
        <v>1.1</v>
      </c>
      <c r="AA206" s="73">
        <f t="array" ref="AA206">INDIRECT("Update"&amp;Projections!$AH$17&amp;"!Q"&amp;ROW(B187))</f>
        <v>0.7</v>
      </c>
      <c r="AB206" s="107">
        <f t="array" ref="AB206">INDIRECT("Update"&amp;Projections!$AH$17&amp;"!I"&amp;ROW(B187))</f>
        <v>0.574</v>
      </c>
      <c r="AC206" s="107">
        <f t="array" ref="AC206">INDIRECT("Update"&amp;Projections!$AH$17&amp;"!K"&amp;ROW(B187))</f>
        <v>0.604</v>
      </c>
      <c r="AD206" s="73">
        <f t="array" ref="AD206">INDIRECT("Update"&amp;Projections!$AH$17&amp;"!R"&amp;ROW(B187))</f>
        <v>1.4</v>
      </c>
      <c r="AE206" s="73">
        <f t="shared" si="16"/>
        <v>-1.385008029</v>
      </c>
      <c r="AF206" s="73">
        <f t="shared" si="17"/>
        <v>-1.740686581</v>
      </c>
      <c r="AG206" s="73">
        <f t="shared" si="18"/>
        <v>1.777396233</v>
      </c>
      <c r="AH206" s="73">
        <f t="shared" si="19"/>
        <v>-1.519832037</v>
      </c>
      <c r="AI206" s="73">
        <f t="shared" si="20"/>
        <v>0.4110689458</v>
      </c>
      <c r="AJ206" s="73">
        <f t="shared" si="21"/>
        <v>-0.08033623669</v>
      </c>
      <c r="AK206" s="73">
        <f t="shared" si="22"/>
        <v>0.6236480758</v>
      </c>
      <c r="AL206" s="73">
        <f t="shared" si="23"/>
        <v>-2.028318084</v>
      </c>
      <c r="AM206" s="73">
        <f t="shared" si="24"/>
        <v>0.08646310432</v>
      </c>
      <c r="AN206" s="120">
        <f t="shared" si="25"/>
        <v>-2.028318084</v>
      </c>
      <c r="AO206" s="120">
        <f t="shared" si="26"/>
        <v>-3.769004665</v>
      </c>
      <c r="AP206" s="120">
        <f t="array" ref="AP206">INDIRECT("Update"&amp;Projections!$AH$17&amp;"!S"&amp;ROW(B187))</f>
        <v>6.9</v>
      </c>
      <c r="AQ206" s="120">
        <f t="array" ref="AQ206">INDIRECT("Update"&amp;Projections!$AH$17&amp;"!T"&amp;ROW(B187))</f>
        <v>3</v>
      </c>
      <c r="AR206" s="100">
        <f t="shared" si="27"/>
        <v>-2.760034459</v>
      </c>
    </row>
    <row r="207">
      <c r="A207" s="40" t="str">
        <f t="shared" si="3"/>
        <v>Nickeil Alexander-Walker</v>
      </c>
      <c r="B207" s="42">
        <f t="shared" si="4"/>
        <v>-1.439202435</v>
      </c>
      <c r="C207" s="43">
        <f t="shared" si="5"/>
        <v>0.05075080149</v>
      </c>
      <c r="D207" s="42">
        <f t="shared" si="6"/>
        <v>-1.399939828</v>
      </c>
      <c r="E207" s="42">
        <f t="shared" si="7"/>
        <v>-0.4719113175</v>
      </c>
      <c r="F207" s="42">
        <f t="shared" si="8"/>
        <v>-0.2527964105</v>
      </c>
      <c r="G207" s="42">
        <f t="shared" si="9"/>
        <v>-0.2587299387</v>
      </c>
      <c r="H207" s="42">
        <f t="shared" si="10"/>
        <v>-0.504291037</v>
      </c>
      <c r="I207" s="42">
        <f>UpdateHashtag!S205</f>
        <v>7.7</v>
      </c>
      <c r="J207" s="47">
        <f t="shared" si="11"/>
        <v>-0.2631156621</v>
      </c>
      <c r="K207" s="48">
        <f>UpdateHashtag!T205</f>
        <v>1.2</v>
      </c>
      <c r="L207" s="42">
        <f t="shared" si="12"/>
        <v>-0.5442381251</v>
      </c>
      <c r="N207" s="100">
        <f t="shared" si="13"/>
        <v>196</v>
      </c>
      <c r="O207" s="94">
        <f t="array" ref="O207">INDIRECT("Update"&amp;Projections!$AH$17&amp;"!B"&amp;ROW(B188))</f>
        <v>141.7</v>
      </c>
      <c r="P207" s="101" t="str">
        <f t="array" ref="P207">INDIRECT("Update"&amp;Projections!$AH$17&amp;"!C"&amp;ROW(B188))</f>
        <v>Cole Anthony</v>
      </c>
      <c r="Q207" s="94">
        <f>UpdateBBM!F188</f>
        <v>71</v>
      </c>
      <c r="R207" s="105" t="str">
        <f t="array" ref="R207">INDIRECT("Update"&amp;Projections!$AH$17&amp;"!D"&amp;ROW(B188))</f>
        <v>PG</v>
      </c>
      <c r="S207" s="73">
        <f t="shared" si="14"/>
        <v>-2.950284475</v>
      </c>
      <c r="T207" s="73">
        <f>SUM(AE207:AM207)-IFERROR(IFS(Projections!$I$17,AN207,Projections!$J$17,AO207),"")</f>
        <v>-2.950284475</v>
      </c>
      <c r="U207" s="73">
        <f t="shared" si="15"/>
        <v>0</v>
      </c>
      <c r="V207" s="73">
        <f t="array" ref="V207">INDIRECT("Update"&amp;Projections!$AH$17&amp;"!M"&amp;ROW(B188))</f>
        <v>11.5</v>
      </c>
      <c r="W207" s="73">
        <f t="array" ref="W207">INDIRECT("Update"&amp;Projections!$AH$17&amp;"!L"&amp;ROW(B188))</f>
        <v>1.3</v>
      </c>
      <c r="X207" s="73">
        <f t="array" ref="X207">INDIRECT("Update"&amp;Projections!$AH$17&amp;"!N"&amp;ROW(B188))</f>
        <v>3.9</v>
      </c>
      <c r="Y207" s="73">
        <f t="array" ref="Y207">INDIRECT("Update"&amp;Projections!$AH$17&amp;"!O"&amp;ROW(B188))</f>
        <v>3.1</v>
      </c>
      <c r="Z207" s="73">
        <f t="array" ref="Z207">INDIRECT("Update"&amp;Projections!$AH$17&amp;"!P"&amp;ROW(B188))</f>
        <v>0.7</v>
      </c>
      <c r="AA207" s="73">
        <f t="array" ref="AA207">INDIRECT("Update"&amp;Projections!$AH$17&amp;"!Q"&amp;ROW(B188))</f>
        <v>0.5</v>
      </c>
      <c r="AB207" s="107">
        <f t="array" ref="AB207">INDIRECT("Update"&amp;Projections!$AH$17&amp;"!I"&amp;ROW(B188))</f>
        <v>0.444</v>
      </c>
      <c r="AC207" s="107">
        <f t="array" ref="AC207">INDIRECT("Update"&amp;Projections!$AH$17&amp;"!K"&amp;ROW(B188))</f>
        <v>0.855</v>
      </c>
      <c r="AD207" s="73">
        <f t="array" ref="AD207">INDIRECT("Update"&amp;Projections!$AH$17&amp;"!R"&amp;ROW(B188))</f>
        <v>1.4</v>
      </c>
      <c r="AE207" s="73">
        <f t="shared" si="16"/>
        <v>-1.077906395</v>
      </c>
      <c r="AF207" s="73">
        <f t="shared" si="17"/>
        <v>-0.4468706937</v>
      </c>
      <c r="AG207" s="73">
        <f t="shared" si="18"/>
        <v>-0.850770632</v>
      </c>
      <c r="AH207" s="73">
        <f t="shared" si="19"/>
        <v>-0.3807877766</v>
      </c>
      <c r="AI207" s="73">
        <f t="shared" si="20"/>
        <v>-0.9166617668</v>
      </c>
      <c r="AJ207" s="73">
        <f t="shared" si="21"/>
        <v>-0.4371236408</v>
      </c>
      <c r="AK207" s="73">
        <f t="shared" si="22"/>
        <v>-0.5577870576</v>
      </c>
      <c r="AL207" s="73">
        <f t="shared" si="23"/>
        <v>0.5532539885</v>
      </c>
      <c r="AM207" s="73">
        <f t="shared" si="24"/>
        <v>0.08646310432</v>
      </c>
      <c r="AN207" s="120">
        <f t="shared" si="25"/>
        <v>-1.077906395</v>
      </c>
      <c r="AO207" s="120">
        <f t="shared" si="26"/>
        <v>-1.994568162</v>
      </c>
      <c r="AP207" s="120">
        <f t="array" ref="AP207">INDIRECT("Update"&amp;Projections!$AH$17&amp;"!S"&amp;ROW(B188))</f>
        <v>9</v>
      </c>
      <c r="AQ207" s="120">
        <f t="array" ref="AQ207">INDIRECT("Update"&amp;Projections!$AH$17&amp;"!T"&amp;ROW(B188))</f>
        <v>2.6</v>
      </c>
      <c r="AR207" s="100">
        <f t="shared" si="27"/>
        <v>-2.762931991</v>
      </c>
    </row>
    <row r="208">
      <c r="A208" s="40" t="str">
        <f t="shared" si="3"/>
        <v>Isaiah Jackson</v>
      </c>
      <c r="B208" s="42">
        <f t="shared" si="4"/>
        <v>-1.76436887</v>
      </c>
      <c r="C208" s="43">
        <f t="shared" si="5"/>
        <v>-1.740686581</v>
      </c>
      <c r="D208" s="42">
        <f t="shared" si="6"/>
        <v>-0.4977332919</v>
      </c>
      <c r="E208" s="42">
        <f t="shared" si="7"/>
        <v>-1.383146726</v>
      </c>
      <c r="F208" s="42">
        <f t="shared" si="8"/>
        <v>-1.248594445</v>
      </c>
      <c r="G208" s="42">
        <f t="shared" si="9"/>
        <v>1.168419678</v>
      </c>
      <c r="H208" s="42">
        <f t="shared" si="10"/>
        <v>0.6582050273</v>
      </c>
      <c r="I208" s="42">
        <f>UpdateHashtag!S206</f>
        <v>5.1</v>
      </c>
      <c r="J208" s="47">
        <f t="shared" si="11"/>
        <v>-0.9767302365</v>
      </c>
      <c r="K208" s="48">
        <f>UpdateHashtag!T206</f>
        <v>2.3</v>
      </c>
      <c r="L208" s="42">
        <f t="shared" si="12"/>
        <v>-0.9410095407</v>
      </c>
      <c r="N208" s="100">
        <f t="shared" si="13"/>
        <v>155</v>
      </c>
      <c r="O208" s="94">
        <f t="array" ref="O208">INDIRECT("Update"&amp;Projections!$AH$17&amp;"!B"&amp;ROW(B189))</f>
        <v>140.9</v>
      </c>
      <c r="P208" s="101" t="str">
        <f t="array" ref="P208">INDIRECT("Update"&amp;Projections!$AH$17&amp;"!C"&amp;ROW(B189))</f>
        <v>Reed Sheppard</v>
      </c>
      <c r="Q208" s="94">
        <f>UpdateBBM!F189</f>
        <v>71</v>
      </c>
      <c r="R208" s="105" t="str">
        <f t="array" ref="R208">INDIRECT("Update"&amp;Projections!$AH$17&amp;"!D"&amp;ROW(B189))</f>
        <v>SG</v>
      </c>
      <c r="S208" s="73">
        <f t="shared" si="14"/>
        <v>-1.924263868</v>
      </c>
      <c r="T208" s="73">
        <f>SUM(AE208:AM208)-IFERROR(IFS(Projections!$I$17,AN208,Projections!$J$17,AO208),"")</f>
        <v>-1.924263868</v>
      </c>
      <c r="U208" s="73">
        <f t="shared" si="15"/>
        <v>0</v>
      </c>
      <c r="V208" s="73">
        <f t="array" ref="V208">INDIRECT("Update"&amp;Projections!$AH$17&amp;"!M"&amp;ROW(B189))</f>
        <v>6.7</v>
      </c>
      <c r="W208" s="73">
        <f t="array" ref="W208">INDIRECT("Update"&amp;Projections!$AH$17&amp;"!L"&amp;ROW(B189))</f>
        <v>1.3</v>
      </c>
      <c r="X208" s="73">
        <f t="array" ref="X208">INDIRECT("Update"&amp;Projections!$AH$17&amp;"!N"&amp;ROW(B189))</f>
        <v>2.5</v>
      </c>
      <c r="Y208" s="73">
        <f t="array" ref="Y208">INDIRECT("Update"&amp;Projections!$AH$17&amp;"!O"&amp;ROW(B189))</f>
        <v>2.4</v>
      </c>
      <c r="Z208" s="73">
        <f t="array" ref="Z208">INDIRECT("Update"&amp;Projections!$AH$17&amp;"!P"&amp;ROW(B189))</f>
        <v>1.3</v>
      </c>
      <c r="AA208" s="73">
        <f t="array" ref="AA208">INDIRECT("Update"&amp;Projections!$AH$17&amp;"!Q"&amp;ROW(B189))</f>
        <v>0.4</v>
      </c>
      <c r="AB208" s="107">
        <f t="array" ref="AB208">INDIRECT("Update"&amp;Projections!$AH$17&amp;"!I"&amp;ROW(B189))</f>
        <v>0.472</v>
      </c>
      <c r="AC208" s="107">
        <f t="array" ref="AC208">INDIRECT("Update"&amp;Projections!$AH$17&amp;"!K"&amp;ROW(B189))</f>
        <v>0.835</v>
      </c>
      <c r="AD208" s="73">
        <f t="array" ref="AD208">INDIRECT("Update"&amp;Projections!$AH$17&amp;"!R"&amp;ROW(B189))</f>
        <v>1.1</v>
      </c>
      <c r="AE208" s="73">
        <f t="shared" si="16"/>
        <v>-1.94501689</v>
      </c>
      <c r="AF208" s="73">
        <f t="shared" si="17"/>
        <v>-0.4468706937</v>
      </c>
      <c r="AG208" s="73">
        <f t="shared" si="18"/>
        <v>-1.399939828</v>
      </c>
      <c r="AH208" s="73">
        <f t="shared" si="19"/>
        <v>-0.6997201696</v>
      </c>
      <c r="AI208" s="73">
        <f t="shared" si="20"/>
        <v>1.074934302</v>
      </c>
      <c r="AJ208" s="73">
        <f t="shared" si="21"/>
        <v>-0.6155173428</v>
      </c>
      <c r="AK208" s="73">
        <f t="shared" si="22"/>
        <v>-0.1399695078</v>
      </c>
      <c r="AL208" s="73">
        <f t="shared" si="23"/>
        <v>0.1419616272</v>
      </c>
      <c r="AM208" s="73">
        <f t="shared" si="24"/>
        <v>0.1608577447</v>
      </c>
      <c r="AN208" s="120">
        <f t="shared" si="25"/>
        <v>-1.94501689</v>
      </c>
      <c r="AO208" s="120">
        <f t="shared" si="26"/>
        <v>-3.344956717</v>
      </c>
      <c r="AP208" s="120">
        <f t="array" ref="AP208">INDIRECT("Update"&amp;Projections!$AH$17&amp;"!S"&amp;ROW(B189))</f>
        <v>4.8</v>
      </c>
      <c r="AQ208" s="120">
        <f t="array" ref="AQ208">INDIRECT("Update"&amp;Projections!$AH$17&amp;"!T"&amp;ROW(B189))</f>
        <v>1</v>
      </c>
      <c r="AR208" s="100">
        <f t="shared" si="27"/>
        <v>-2.775790269</v>
      </c>
    </row>
    <row r="209">
      <c r="A209" s="40" t="str">
        <f t="shared" si="3"/>
        <v>Sam Hauser</v>
      </c>
      <c r="B209" s="42">
        <f t="shared" si="4"/>
        <v>-1.421137633</v>
      </c>
      <c r="C209" s="43">
        <f t="shared" si="5"/>
        <v>0.8469451937</v>
      </c>
      <c r="D209" s="42">
        <f t="shared" si="6"/>
        <v>-0.8899970031</v>
      </c>
      <c r="E209" s="42">
        <f t="shared" si="7"/>
        <v>-1.246461415</v>
      </c>
      <c r="F209" s="42">
        <f t="shared" si="8"/>
        <v>-1.580527123</v>
      </c>
      <c r="G209" s="42">
        <f t="shared" si="9"/>
        <v>-0.6155173428</v>
      </c>
      <c r="H209" s="42">
        <f t="shared" si="10"/>
        <v>-0.4120825068</v>
      </c>
      <c r="I209" s="42">
        <f>UpdateHashtag!S207</f>
        <v>7.5</v>
      </c>
      <c r="J209" s="47">
        <f t="shared" si="11"/>
        <v>0.02771453078</v>
      </c>
      <c r="K209" s="48">
        <f>UpdateHashtag!T207</f>
        <v>0.3</v>
      </c>
      <c r="L209" s="42">
        <f t="shared" si="12"/>
        <v>-1.238588102</v>
      </c>
      <c r="N209" s="100">
        <f t="shared" si="13"/>
        <v>203</v>
      </c>
      <c r="O209" s="94">
        <f t="array" ref="O209">INDIRECT("Update"&amp;Projections!$AH$17&amp;"!B"&amp;ROW(B190))</f>
        <v>139.4</v>
      </c>
      <c r="P209" s="101" t="str">
        <f t="array" ref="P209">INDIRECT("Update"&amp;Projections!$AH$17&amp;"!C"&amp;ROW(B190))</f>
        <v>Andrew Wiggins</v>
      </c>
      <c r="Q209" s="94">
        <f>UpdateBBM!F190</f>
        <v>66</v>
      </c>
      <c r="R209" s="105" t="str">
        <f t="array" ref="R209">INDIRECT("Update"&amp;Projections!$AH$17&amp;"!D"&amp;ROW(B190))</f>
        <v>SF,PF</v>
      </c>
      <c r="S209" s="73">
        <f t="shared" si="14"/>
        <v>-3.057879744</v>
      </c>
      <c r="T209" s="73">
        <f>SUM(AE209:AM209)-IFERROR(IFS(Projections!$I$17,AN209,Projections!$J$17,AO209),"")</f>
        <v>-3.057879744</v>
      </c>
      <c r="U209" s="73">
        <f t="shared" si="15"/>
        <v>0</v>
      </c>
      <c r="V209" s="73">
        <f t="array" ref="V209">INDIRECT("Update"&amp;Projections!$AH$17&amp;"!M"&amp;ROW(B190))</f>
        <v>14.6</v>
      </c>
      <c r="W209" s="73">
        <f t="array" ref="W209">INDIRECT("Update"&amp;Projections!$AH$17&amp;"!L"&amp;ROW(B190))</f>
        <v>1.7</v>
      </c>
      <c r="X209" s="73">
        <f t="array" ref="X209">INDIRECT("Update"&amp;Projections!$AH$17&amp;"!N"&amp;ROW(B190))</f>
        <v>4.7</v>
      </c>
      <c r="Y209" s="73">
        <f t="array" ref="Y209">INDIRECT("Update"&amp;Projections!$AH$17&amp;"!O"&amp;ROW(B190))</f>
        <v>1.9</v>
      </c>
      <c r="Z209" s="73">
        <f t="array" ref="Z209">INDIRECT("Update"&amp;Projections!$AH$17&amp;"!P"&amp;ROW(B190))</f>
        <v>0.8</v>
      </c>
      <c r="AA209" s="73">
        <f t="array" ref="AA209">INDIRECT("Update"&amp;Projections!$AH$17&amp;"!Q"&amp;ROW(B190))</f>
        <v>0.6</v>
      </c>
      <c r="AB209" s="107">
        <f t="array" ref="AB209">INDIRECT("Update"&amp;Projections!$AH$17&amp;"!I"&amp;ROW(B190))</f>
        <v>0.461</v>
      </c>
      <c r="AC209" s="107">
        <f t="array" ref="AC209">INDIRECT("Update"&amp;Projections!$AH$17&amp;"!K"&amp;ROW(B190))</f>
        <v>0.711</v>
      </c>
      <c r="AD209" s="73">
        <f t="array" ref="AD209">INDIRECT("Update"&amp;Projections!$AH$17&amp;"!R"&amp;ROW(B190))</f>
        <v>1.3</v>
      </c>
      <c r="AE209" s="73">
        <f t="shared" si="16"/>
        <v>-0.5178975344</v>
      </c>
      <c r="AF209" s="73">
        <f t="shared" si="17"/>
        <v>-0.04877349754</v>
      </c>
      <c r="AG209" s="73">
        <f t="shared" si="18"/>
        <v>-0.536959663</v>
      </c>
      <c r="AH209" s="73">
        <f t="shared" si="19"/>
        <v>-0.9275290217</v>
      </c>
      <c r="AI209" s="73">
        <f t="shared" si="20"/>
        <v>-0.5847290887</v>
      </c>
      <c r="AJ209" s="73">
        <f t="shared" si="21"/>
        <v>-0.2587299387</v>
      </c>
      <c r="AK209" s="73">
        <f t="shared" si="22"/>
        <v>-0.5088331227</v>
      </c>
      <c r="AL209" s="73">
        <f t="shared" si="23"/>
        <v>-0.7132182169</v>
      </c>
      <c r="AM209" s="73">
        <f t="shared" si="24"/>
        <v>0.1112613178</v>
      </c>
      <c r="AN209" s="120">
        <f t="shared" si="25"/>
        <v>-0.9275290217</v>
      </c>
      <c r="AO209" s="120">
        <f t="shared" si="26"/>
        <v>-1.640747239</v>
      </c>
      <c r="AP209" s="120">
        <f t="array" ref="AP209">INDIRECT("Update"&amp;Projections!$AH$17&amp;"!S"&amp;ROW(B190))</f>
        <v>12.1</v>
      </c>
      <c r="AQ209" s="120">
        <f t="array" ref="AQ209">INDIRECT("Update"&amp;Projections!$AH$17&amp;"!T"&amp;ROW(B190))</f>
        <v>2.4</v>
      </c>
      <c r="AR209" s="100">
        <f t="shared" si="27"/>
        <v>-2.781608239</v>
      </c>
    </row>
    <row r="210">
      <c r="A210" s="40" t="str">
        <f t="shared" si="3"/>
        <v>Eric Gordon</v>
      </c>
      <c r="B210" s="42">
        <f t="shared" si="4"/>
        <v>-1.059841593</v>
      </c>
      <c r="C210" s="43">
        <f t="shared" si="5"/>
        <v>0.2497993996</v>
      </c>
      <c r="D210" s="42">
        <f t="shared" si="6"/>
        <v>-1.635298055</v>
      </c>
      <c r="E210" s="42">
        <f t="shared" si="7"/>
        <v>-0.74528194</v>
      </c>
      <c r="F210" s="42">
        <f t="shared" si="8"/>
        <v>-0.5847290887</v>
      </c>
      <c r="G210" s="42">
        <f t="shared" si="9"/>
        <v>-0.6155173428</v>
      </c>
      <c r="H210" s="42">
        <f t="shared" si="10"/>
        <v>-0.5701823255</v>
      </c>
      <c r="I210" s="42">
        <f>UpdateHashtag!S208</f>
        <v>9.2</v>
      </c>
      <c r="J210" s="47">
        <f t="shared" si="11"/>
        <v>0.1088857172</v>
      </c>
      <c r="K210" s="48">
        <f>UpdateHashtag!T208</f>
        <v>1.7</v>
      </c>
      <c r="L210" s="42">
        <f t="shared" si="12"/>
        <v>-0.4450452712</v>
      </c>
      <c r="N210" s="100">
        <f t="shared" si="13"/>
        <v>157</v>
      </c>
      <c r="O210" s="94" t="str">
        <f t="array" ref="O210">INDIRECT("Update"&amp;Projections!$AH$17&amp;"!B"&amp;ROW(B191))</f>
        <v/>
      </c>
      <c r="P210" s="101" t="str">
        <f t="array" ref="P210">INDIRECT("Update"&amp;Projections!$AH$17&amp;"!C"&amp;ROW(B191))</f>
        <v>Jarred Vanderbilt</v>
      </c>
      <c r="Q210" s="94">
        <f>UpdateBBM!F191</f>
        <v>66</v>
      </c>
      <c r="R210" s="105" t="str">
        <f t="array" ref="R210">INDIRECT("Update"&amp;Projections!$AH$17&amp;"!D"&amp;ROW(B191))</f>
        <v>PF</v>
      </c>
      <c r="S210" s="73">
        <f t="shared" si="14"/>
        <v>-1.991348839</v>
      </c>
      <c r="T210" s="73">
        <f>SUM(AE210:AM210)-IFERROR(IFS(Projections!$I$17,AN210,Projections!$J$17,AO210),"")</f>
        <v>-1.991348839</v>
      </c>
      <c r="U210" s="73">
        <f t="shared" si="15"/>
        <v>0</v>
      </c>
      <c r="V210" s="73">
        <f t="array" ref="V210">INDIRECT("Update"&amp;Projections!$AH$17&amp;"!M"&amp;ROW(B191))</f>
        <v>7.6</v>
      </c>
      <c r="W210" s="73">
        <f t="array" ref="W210">INDIRECT("Update"&amp;Projections!$AH$17&amp;"!L"&amp;ROW(B191))</f>
        <v>0.4</v>
      </c>
      <c r="X210" s="73">
        <f t="array" ref="X210">INDIRECT("Update"&amp;Projections!$AH$17&amp;"!N"&amp;ROW(B191))</f>
        <v>7.1</v>
      </c>
      <c r="Y210" s="73">
        <f t="array" ref="Y210">INDIRECT("Update"&amp;Projections!$AH$17&amp;"!O"&amp;ROW(B191))</f>
        <v>2.2</v>
      </c>
      <c r="Z210" s="73">
        <f t="array" ref="Z210">INDIRECT("Update"&amp;Projections!$AH$17&amp;"!P"&amp;ROW(B191))</f>
        <v>1.2</v>
      </c>
      <c r="AA210" s="73">
        <f t="array" ref="AA210">INDIRECT("Update"&amp;Projections!$AH$17&amp;"!Q"&amp;ROW(B191))</f>
        <v>0.3</v>
      </c>
      <c r="AB210" s="107">
        <f t="array" ref="AB210">INDIRECT("Update"&amp;Projections!$AH$17&amp;"!I"&amp;ROW(B191))</f>
        <v>0.542</v>
      </c>
      <c r="AC210" s="107">
        <f t="array" ref="AC210">INDIRECT("Update"&amp;Projections!$AH$17&amp;"!K"&amp;ROW(B191))</f>
        <v>0.688</v>
      </c>
      <c r="AD210" s="73">
        <f t="array" ref="AD210">INDIRECT("Update"&amp;Projections!$AH$17&amp;"!R"&amp;ROW(B191))</f>
        <v>1.2</v>
      </c>
      <c r="AE210" s="73">
        <f t="shared" si="16"/>
        <v>-1.782433672</v>
      </c>
      <c r="AF210" s="73">
        <f t="shared" si="17"/>
        <v>-1.342589385</v>
      </c>
      <c r="AG210" s="73">
        <f t="shared" si="18"/>
        <v>0.404473244</v>
      </c>
      <c r="AH210" s="73">
        <f t="shared" si="19"/>
        <v>-0.7908437104</v>
      </c>
      <c r="AI210" s="73">
        <f t="shared" si="20"/>
        <v>0.743001624</v>
      </c>
      <c r="AJ210" s="73">
        <f t="shared" si="21"/>
        <v>-0.7939110449</v>
      </c>
      <c r="AK210" s="73">
        <f t="shared" si="22"/>
        <v>0.2961265992</v>
      </c>
      <c r="AL210" s="73">
        <f t="shared" si="23"/>
        <v>-0.6436656972</v>
      </c>
      <c r="AM210" s="73">
        <f t="shared" si="24"/>
        <v>0.1360595313</v>
      </c>
      <c r="AN210" s="120">
        <f t="shared" si="25"/>
        <v>-1.782433672</v>
      </c>
      <c r="AO210" s="120">
        <f t="shared" si="26"/>
        <v>-3.125023057</v>
      </c>
      <c r="AP210" s="120">
        <f t="array" ref="AP210">INDIRECT("Update"&amp;Projections!$AH$17&amp;"!S"&amp;ROW(B191))</f>
        <v>5.6</v>
      </c>
      <c r="AQ210" s="120">
        <f t="array" ref="AQ210">INDIRECT("Update"&amp;Projections!$AH$17&amp;"!T"&amp;ROW(B191))</f>
        <v>1.7</v>
      </c>
      <c r="AR210" s="100">
        <f t="shared" si="27"/>
        <v>-2.803555856</v>
      </c>
    </row>
    <row r="211">
      <c r="A211" s="40" t="str">
        <f t="shared" si="3"/>
        <v>De'Andre Hunter</v>
      </c>
      <c r="B211" s="42">
        <f t="shared" si="4"/>
        <v>-0.5720919403</v>
      </c>
      <c r="C211" s="43">
        <f t="shared" si="5"/>
        <v>-0.1482977966</v>
      </c>
      <c r="D211" s="42">
        <f t="shared" si="6"/>
        <v>-0.8899970031</v>
      </c>
      <c r="E211" s="42">
        <f t="shared" si="7"/>
        <v>-1.155337874</v>
      </c>
      <c r="F211" s="42">
        <f t="shared" si="8"/>
        <v>-1.248594445</v>
      </c>
      <c r="G211" s="42">
        <f t="shared" si="9"/>
        <v>-0.7939110449</v>
      </c>
      <c r="H211" s="42">
        <f t="shared" si="10"/>
        <v>-0.4754675761</v>
      </c>
      <c r="I211" s="42">
        <f>UpdateHashtag!S209</f>
        <v>11</v>
      </c>
      <c r="J211" s="47">
        <f t="shared" si="11"/>
        <v>0.4365091368</v>
      </c>
      <c r="K211" s="48">
        <f>UpdateHashtag!T209</f>
        <v>3</v>
      </c>
      <c r="L211" s="42">
        <f t="shared" si="12"/>
        <v>-0.5442381251</v>
      </c>
      <c r="N211" s="100">
        <f t="shared" si="13"/>
        <v>190</v>
      </c>
      <c r="O211" s="94" t="str">
        <f t="array" ref="O211">INDIRECT("Update"&amp;Projections!$AH$17&amp;"!B"&amp;ROW(B192))</f>
        <v/>
      </c>
      <c r="P211" s="101" t="str">
        <f t="array" ref="P211">INDIRECT("Update"&amp;Projections!$AH$17&amp;"!C"&amp;ROW(B192))</f>
        <v>Caleb Martin</v>
      </c>
      <c r="Q211" s="94">
        <f>UpdateBBM!F192</f>
        <v>71</v>
      </c>
      <c r="R211" s="105" t="str">
        <f t="array" ref="R211">INDIRECT("Update"&amp;Projections!$AH$17&amp;"!D"&amp;ROW(B192))</f>
        <v>SG,SF</v>
      </c>
      <c r="S211" s="73">
        <f t="shared" si="14"/>
        <v>-2.803555856</v>
      </c>
      <c r="T211" s="73">
        <f>SUM(AE211:AM211)-IFERROR(IFS(Projections!$I$17,AN211,Projections!$J$17,AO211),"")</f>
        <v>-2.803555856</v>
      </c>
      <c r="U211" s="73">
        <f t="shared" si="15"/>
        <v>0</v>
      </c>
      <c r="V211" s="73">
        <f t="array" ref="V211">INDIRECT("Update"&amp;Projections!$AH$17&amp;"!M"&amp;ROW(B192))</f>
        <v>10.5</v>
      </c>
      <c r="W211" s="73">
        <f t="array" ref="W211">INDIRECT("Update"&amp;Projections!$AH$17&amp;"!L"&amp;ROW(B192))</f>
        <v>1.3</v>
      </c>
      <c r="X211" s="73">
        <f t="array" ref="X211">INDIRECT("Update"&amp;Projections!$AH$17&amp;"!N"&amp;ROW(B192))</f>
        <v>4.9</v>
      </c>
      <c r="Y211" s="73">
        <f t="array" ref="Y211">INDIRECT("Update"&amp;Projections!$AH$17&amp;"!O"&amp;ROW(B192))</f>
        <v>2.1</v>
      </c>
      <c r="Z211" s="73">
        <f t="array" ref="Z211">INDIRECT("Update"&amp;Projections!$AH$17&amp;"!P"&amp;ROW(B192))</f>
        <v>0.9</v>
      </c>
      <c r="AA211" s="73">
        <f t="array" ref="AA211">INDIRECT("Update"&amp;Projections!$AH$17&amp;"!Q"&amp;ROW(B192))</f>
        <v>0.5</v>
      </c>
      <c r="AB211" s="107">
        <f t="array" ref="AB211">INDIRECT("Update"&amp;Projections!$AH$17&amp;"!I"&amp;ROW(B192))</f>
        <v>0.447</v>
      </c>
      <c r="AC211" s="107">
        <f t="array" ref="AC211">INDIRECT("Update"&amp;Projections!$AH$17&amp;"!K"&amp;ROW(B192))</f>
        <v>0.796</v>
      </c>
      <c r="AD211" s="73">
        <f t="array" ref="AD211">INDIRECT("Update"&amp;Projections!$AH$17&amp;"!R"&amp;ROW(B192))</f>
        <v>1.2</v>
      </c>
      <c r="AE211" s="73">
        <f t="shared" si="16"/>
        <v>-1.258554415</v>
      </c>
      <c r="AF211" s="73">
        <f t="shared" si="17"/>
        <v>-0.4468706937</v>
      </c>
      <c r="AG211" s="73">
        <f t="shared" si="18"/>
        <v>-0.4585069208</v>
      </c>
      <c r="AH211" s="73">
        <f t="shared" si="19"/>
        <v>-0.8364054809</v>
      </c>
      <c r="AI211" s="73">
        <f t="shared" si="20"/>
        <v>-0.2527964105</v>
      </c>
      <c r="AJ211" s="73">
        <f t="shared" si="21"/>
        <v>-0.4371236408</v>
      </c>
      <c r="AK211" s="73">
        <f t="shared" si="22"/>
        <v>-0.5144509655</v>
      </c>
      <c r="AL211" s="73">
        <f t="shared" si="23"/>
        <v>0.006538724873</v>
      </c>
      <c r="AM211" s="73">
        <f t="shared" si="24"/>
        <v>0.1360595313</v>
      </c>
      <c r="AN211" s="120">
        <f t="shared" si="25"/>
        <v>-1.258554415</v>
      </c>
      <c r="AO211" s="120">
        <f t="shared" si="26"/>
        <v>-2.094959896</v>
      </c>
      <c r="AP211" s="120">
        <f t="array" ref="AP211">INDIRECT("Update"&amp;Projections!$AH$17&amp;"!S"&amp;ROW(B192))</f>
        <v>8.8</v>
      </c>
      <c r="AQ211" s="120">
        <f t="array" ref="AQ211">INDIRECT("Update"&amp;Projections!$AH$17&amp;"!T"&amp;ROW(B192))</f>
        <v>1.7</v>
      </c>
      <c r="AR211" s="100">
        <f t="shared" si="27"/>
        <v>-2.852744937</v>
      </c>
    </row>
    <row r="212">
      <c r="A212" s="40" t="str">
        <f t="shared" si="3"/>
        <v>Cason Wallace</v>
      </c>
      <c r="B212" s="42">
        <f t="shared" si="4"/>
        <v>-1.818563276</v>
      </c>
      <c r="C212" s="43">
        <f t="shared" si="5"/>
        <v>-0.4468706937</v>
      </c>
      <c r="D212" s="42">
        <f t="shared" si="6"/>
        <v>-1.399939828</v>
      </c>
      <c r="E212" s="42">
        <f t="shared" si="7"/>
        <v>-1.064214333</v>
      </c>
      <c r="F212" s="42">
        <f t="shared" si="8"/>
        <v>0.07913626764</v>
      </c>
      <c r="G212" s="42">
        <f t="shared" si="9"/>
        <v>-0.4371236408</v>
      </c>
      <c r="H212" s="42">
        <f t="shared" si="10"/>
        <v>-0.03997532124</v>
      </c>
      <c r="I212" s="42">
        <f>UpdateHashtag!S210</f>
        <v>5.8</v>
      </c>
      <c r="J212" s="47">
        <f t="shared" si="11"/>
        <v>-0.03349102984</v>
      </c>
      <c r="K212" s="48">
        <f>UpdateHashtag!T210</f>
        <v>0.5</v>
      </c>
      <c r="L212" s="42">
        <f t="shared" si="12"/>
        <v>-1.139395249</v>
      </c>
      <c r="N212" s="100">
        <f t="shared" si="13"/>
        <v>137</v>
      </c>
      <c r="O212" s="94">
        <f t="array" ref="O212">INDIRECT("Update"&amp;Projections!$AH$17&amp;"!B"&amp;ROW(B193))</f>
        <v>139.1</v>
      </c>
      <c r="P212" s="101" t="str">
        <f t="array" ref="P212">INDIRECT("Update"&amp;Projections!$AH$17&amp;"!C"&amp;ROW(B193))</f>
        <v>Russell Westbrook</v>
      </c>
      <c r="Q212" s="94">
        <f>UpdateBBM!F193</f>
        <v>71</v>
      </c>
      <c r="R212" s="105" t="str">
        <f t="array" ref="R212">INDIRECT("Update"&amp;Projections!$AH$17&amp;"!D"&amp;ROW(B193))</f>
        <v>PG</v>
      </c>
      <c r="S212" s="73">
        <f t="shared" si="14"/>
        <v>-1.62724118</v>
      </c>
      <c r="T212" s="73">
        <f>SUM(AE212:AM212)-IFERROR(IFS(Projections!$I$17,AN212,Projections!$J$17,AO212),"")</f>
        <v>-1.62724118</v>
      </c>
      <c r="U212" s="73">
        <f t="shared" si="15"/>
        <v>0</v>
      </c>
      <c r="V212" s="73">
        <f t="array" ref="V212">INDIRECT("Update"&amp;Projections!$AH$17&amp;"!M"&amp;ROW(B193))</f>
        <v>14.8</v>
      </c>
      <c r="W212" s="73">
        <f t="array" ref="W212">INDIRECT("Update"&amp;Projections!$AH$17&amp;"!L"&amp;ROW(B193))</f>
        <v>1</v>
      </c>
      <c r="X212" s="73">
        <f t="array" ref="X212">INDIRECT("Update"&amp;Projections!$AH$17&amp;"!N"&amp;ROW(B193))</f>
        <v>5.9</v>
      </c>
      <c r="Y212" s="73">
        <f t="array" ref="Y212">INDIRECT("Update"&amp;Projections!$AH$17&amp;"!O"&amp;ROW(B193))</f>
        <v>5.4</v>
      </c>
      <c r="Z212" s="73">
        <f t="array" ref="Z212">INDIRECT("Update"&amp;Projections!$AH$17&amp;"!P"&amp;ROW(B193))</f>
        <v>1.2</v>
      </c>
      <c r="AA212" s="73">
        <f t="array" ref="AA212">INDIRECT("Update"&amp;Projections!$AH$17&amp;"!Q"&amp;ROW(B193))</f>
        <v>0.4</v>
      </c>
      <c r="AB212" s="107">
        <f t="array" ref="AB212">INDIRECT("Update"&amp;Projections!$AH$17&amp;"!I"&amp;ROW(B193))</f>
        <v>0.444</v>
      </c>
      <c r="AC212" s="107">
        <f t="array" ref="AC212">INDIRECT("Update"&amp;Projections!$AH$17&amp;"!K"&amp;ROW(B193))</f>
        <v>0.668</v>
      </c>
      <c r="AD212" s="73">
        <f t="array" ref="AD212">INDIRECT("Update"&amp;Projections!$AH$17&amp;"!R"&amp;ROW(B193))</f>
        <v>3.1</v>
      </c>
      <c r="AE212" s="73">
        <f t="shared" si="16"/>
        <v>-0.4817679305</v>
      </c>
      <c r="AF212" s="73">
        <f t="shared" si="17"/>
        <v>-0.7454435908</v>
      </c>
      <c r="AG212" s="73">
        <f t="shared" si="18"/>
        <v>-0.06624320952</v>
      </c>
      <c r="AH212" s="73">
        <f t="shared" si="19"/>
        <v>0.6671329431</v>
      </c>
      <c r="AI212" s="73">
        <f t="shared" si="20"/>
        <v>0.743001624</v>
      </c>
      <c r="AJ212" s="73">
        <f t="shared" si="21"/>
        <v>-0.6155173428</v>
      </c>
      <c r="AK212" s="73">
        <f t="shared" si="22"/>
        <v>-0.7932971485</v>
      </c>
      <c r="AL212" s="73">
        <f t="shared" si="23"/>
        <v>-1.662984422</v>
      </c>
      <c r="AM212" s="73">
        <f t="shared" si="24"/>
        <v>-0.3351065248</v>
      </c>
      <c r="AN212" s="120">
        <f t="shared" si="25"/>
        <v>-1.662984422</v>
      </c>
      <c r="AO212" s="120">
        <f t="shared" si="26"/>
        <v>-2.45628157</v>
      </c>
      <c r="AP212" s="120">
        <f t="array" ref="AP212">INDIRECT("Update"&amp;Projections!$AH$17&amp;"!S"&amp;ROW(B193))</f>
        <v>12.8</v>
      </c>
      <c r="AQ212" s="120">
        <f t="array" ref="AQ212">INDIRECT("Update"&amp;Projections!$AH$17&amp;"!T"&amp;ROW(B193))</f>
        <v>3.7</v>
      </c>
      <c r="AR212" s="100">
        <f t="shared" si="27"/>
        <v>-2.873472536</v>
      </c>
    </row>
    <row r="213">
      <c r="A213" s="40" t="str">
        <f t="shared" si="3"/>
        <v>Nicolas Batum</v>
      </c>
      <c r="B213" s="42">
        <f t="shared" si="4"/>
        <v>-2.035340899</v>
      </c>
      <c r="C213" s="43">
        <f t="shared" si="5"/>
        <v>-0.2478220956</v>
      </c>
      <c r="D213" s="42">
        <f t="shared" si="6"/>
        <v>-0.7330915186</v>
      </c>
      <c r="E213" s="42">
        <f t="shared" si="7"/>
        <v>-0.9275290217</v>
      </c>
      <c r="F213" s="42">
        <f t="shared" si="8"/>
        <v>-0.5847290887</v>
      </c>
      <c r="G213" s="42">
        <f t="shared" si="9"/>
        <v>-0.2587299387</v>
      </c>
      <c r="H213" s="42">
        <f t="shared" si="10"/>
        <v>-0.3725977184</v>
      </c>
      <c r="I213" s="42">
        <f>UpdateHashtag!S211</f>
        <v>4.9</v>
      </c>
      <c r="J213" s="47">
        <f t="shared" si="11"/>
        <v>-0.1379628733</v>
      </c>
      <c r="K213" s="48">
        <f>UpdateHashtag!T211</f>
        <v>0.5</v>
      </c>
      <c r="L213" s="42">
        <f t="shared" si="12"/>
        <v>-1.040202395</v>
      </c>
      <c r="N213" s="100">
        <f t="shared" si="13"/>
        <v>205</v>
      </c>
      <c r="O213" s="94">
        <f t="array" ref="O213">INDIRECT("Update"&amp;Projections!$AH$17&amp;"!B"&amp;ROW(B194))</f>
        <v>138.6</v>
      </c>
      <c r="P213" s="101" t="str">
        <f t="array" ref="P213">INDIRECT("Update"&amp;Projections!$AH$17&amp;"!C"&amp;ROW(B194))</f>
        <v>Malcolm Brogdon</v>
      </c>
      <c r="Q213" s="94">
        <f>UpdateBBM!F194</f>
        <v>66</v>
      </c>
      <c r="R213" s="105" t="str">
        <f t="array" ref="R213">INDIRECT("Update"&amp;Projections!$AH$17&amp;"!D"&amp;ROW(B194))</f>
        <v>PG,SG</v>
      </c>
      <c r="S213" s="73">
        <f t="shared" si="14"/>
        <v>-3.170380445</v>
      </c>
      <c r="T213" s="73">
        <f>SUM(AE213:AM213)-IFERROR(IFS(Projections!$I$17,AN213,Projections!$J$17,AO213),"")</f>
        <v>-3.170380445</v>
      </c>
      <c r="U213" s="73">
        <f t="shared" si="15"/>
        <v>0</v>
      </c>
      <c r="V213" s="73">
        <f t="array" ref="V213">INDIRECT("Update"&amp;Projections!$AH$17&amp;"!M"&amp;ROW(B194))</f>
        <v>12.1</v>
      </c>
      <c r="W213" s="73">
        <f t="array" ref="W213">INDIRECT("Update"&amp;Projections!$AH$17&amp;"!L"&amp;ROW(B194))</f>
        <v>1.6</v>
      </c>
      <c r="X213" s="73">
        <f t="array" ref="X213">INDIRECT("Update"&amp;Projections!$AH$17&amp;"!N"&amp;ROW(B194))</f>
        <v>3.2</v>
      </c>
      <c r="Y213" s="73">
        <f t="array" ref="Y213">INDIRECT("Update"&amp;Projections!$AH$17&amp;"!O"&amp;ROW(B194))</f>
        <v>3.5</v>
      </c>
      <c r="Z213" s="73">
        <f t="array" ref="Z213">INDIRECT("Update"&amp;Projections!$AH$17&amp;"!P"&amp;ROW(B194))</f>
        <v>0.5</v>
      </c>
      <c r="AA213" s="73">
        <f t="array" ref="AA213">INDIRECT("Update"&amp;Projections!$AH$17&amp;"!Q"&amp;ROW(B194))</f>
        <v>0.2</v>
      </c>
      <c r="AB213" s="107">
        <f t="array" ref="AB213">INDIRECT("Update"&amp;Projections!$AH$17&amp;"!I"&amp;ROW(B194))</f>
        <v>0.466</v>
      </c>
      <c r="AC213" s="107">
        <f t="array" ref="AC213">INDIRECT("Update"&amp;Projections!$AH$17&amp;"!K"&amp;ROW(B194))</f>
        <v>0.849</v>
      </c>
      <c r="AD213" s="73">
        <f t="array" ref="AD213">INDIRECT("Update"&amp;Projections!$AH$17&amp;"!R"&amp;ROW(B194))</f>
        <v>1.2</v>
      </c>
      <c r="AE213" s="73">
        <f t="shared" si="16"/>
        <v>-0.9695175835</v>
      </c>
      <c r="AF213" s="73">
        <f t="shared" si="17"/>
        <v>-0.1482977966</v>
      </c>
      <c r="AG213" s="73">
        <f t="shared" si="18"/>
        <v>-1.12535523</v>
      </c>
      <c r="AH213" s="73">
        <f t="shared" si="19"/>
        <v>-0.198540695</v>
      </c>
      <c r="AI213" s="73">
        <f t="shared" si="20"/>
        <v>-1.580527123</v>
      </c>
      <c r="AJ213" s="73">
        <f t="shared" si="21"/>
        <v>-0.9723047469</v>
      </c>
      <c r="AK213" s="73">
        <f t="shared" si="22"/>
        <v>-0.3329693405</v>
      </c>
      <c r="AL213" s="73">
        <f t="shared" si="23"/>
        <v>0.4405454156</v>
      </c>
      <c r="AM213" s="73">
        <f t="shared" si="24"/>
        <v>0.1360595313</v>
      </c>
      <c r="AN213" s="120">
        <f t="shared" si="25"/>
        <v>-1.580527123</v>
      </c>
      <c r="AO213" s="120">
        <f t="shared" si="26"/>
        <v>-2.705882353</v>
      </c>
      <c r="AP213" s="120">
        <f t="array" ref="AP213">INDIRECT("Update"&amp;Projections!$AH$17&amp;"!S"&amp;ROW(B194))</f>
        <v>9.2</v>
      </c>
      <c r="AQ213" s="120">
        <f t="array" ref="AQ213">INDIRECT("Update"&amp;Projections!$AH$17&amp;"!T"&amp;ROW(B194))</f>
        <v>2.3</v>
      </c>
      <c r="AR213" s="100">
        <f t="shared" si="27"/>
        <v>-2.873579528</v>
      </c>
    </row>
    <row r="214">
      <c r="A214" s="40" t="str">
        <f t="shared" si="3"/>
        <v>Harrison Barnes</v>
      </c>
      <c r="B214" s="42">
        <f t="shared" si="4"/>
        <v>-0.9514527815</v>
      </c>
      <c r="C214" s="43">
        <f t="shared" si="5"/>
        <v>-0.2478220956</v>
      </c>
      <c r="D214" s="42">
        <f t="shared" si="6"/>
        <v>-1.046902488</v>
      </c>
      <c r="E214" s="42">
        <f t="shared" si="7"/>
        <v>-1.246461415</v>
      </c>
      <c r="F214" s="42">
        <f t="shared" si="8"/>
        <v>-1.248594445</v>
      </c>
      <c r="G214" s="42">
        <f t="shared" si="9"/>
        <v>-1.150698449</v>
      </c>
      <c r="H214" s="42">
        <f t="shared" si="10"/>
        <v>-0.235101831</v>
      </c>
      <c r="I214" s="42">
        <f>UpdateHashtag!S212</f>
        <v>8.4</v>
      </c>
      <c r="J214" s="47">
        <f t="shared" si="11"/>
        <v>0.4334133273</v>
      </c>
      <c r="K214" s="48">
        <f>UpdateHashtag!T212</f>
        <v>3.3</v>
      </c>
      <c r="L214" s="42">
        <f t="shared" si="12"/>
        <v>-0.9410095407</v>
      </c>
      <c r="N214" s="100">
        <f t="shared" si="13"/>
        <v>184</v>
      </c>
      <c r="O214" s="94">
        <f t="array" ref="O214">INDIRECT("Update"&amp;Projections!$AH$17&amp;"!B"&amp;ROW(B195))</f>
        <v>144.9</v>
      </c>
      <c r="P214" s="101" t="str">
        <f t="array" ref="P214">INDIRECT("Update"&amp;Projections!$AH$17&amp;"!C"&amp;ROW(B195))</f>
        <v>Caris LeVert</v>
      </c>
      <c r="Q214" s="94">
        <f>UpdateBBM!F195</f>
        <v>53</v>
      </c>
      <c r="R214" s="105" t="str">
        <f t="array" ref="R214">INDIRECT("Update"&amp;Projections!$AH$17&amp;"!D"&amp;ROW(B195))</f>
        <v>SG,SF</v>
      </c>
      <c r="S214" s="73">
        <f t="shared" si="14"/>
        <v>-2.720552457</v>
      </c>
      <c r="T214" s="73">
        <f>SUM(AE214:AM214)-IFERROR(IFS(Projections!$I$17,AN214,Projections!$J$17,AO214),"")</f>
        <v>-2.720552457</v>
      </c>
      <c r="U214" s="73">
        <f t="shared" si="15"/>
        <v>0</v>
      </c>
      <c r="V214" s="73">
        <f t="array" ref="V214">INDIRECT("Update"&amp;Projections!$AH$17&amp;"!M"&amp;ROW(B195))</f>
        <v>12.2</v>
      </c>
      <c r="W214" s="73">
        <f t="array" ref="W214">INDIRECT("Update"&amp;Projections!$AH$17&amp;"!L"&amp;ROW(B195))</f>
        <v>1.6</v>
      </c>
      <c r="X214" s="73">
        <f t="array" ref="X214">INDIRECT("Update"&amp;Projections!$AH$17&amp;"!N"&amp;ROW(B195))</f>
        <v>3.7</v>
      </c>
      <c r="Y214" s="73">
        <f t="array" ref="Y214">INDIRECT("Update"&amp;Projections!$AH$17&amp;"!O"&amp;ROW(B195))</f>
        <v>4.2</v>
      </c>
      <c r="Z214" s="73">
        <f t="array" ref="Z214">INDIRECT("Update"&amp;Projections!$AH$17&amp;"!P"&amp;ROW(B195))</f>
        <v>1</v>
      </c>
      <c r="AA214" s="73">
        <f t="array" ref="AA214">INDIRECT("Update"&amp;Projections!$AH$17&amp;"!Q"&amp;ROW(B195))</f>
        <v>0.4</v>
      </c>
      <c r="AB214" s="107">
        <f t="array" ref="AB214">INDIRECT("Update"&amp;Projections!$AH$17&amp;"!I"&amp;ROW(B195))</f>
        <v>0.426</v>
      </c>
      <c r="AC214" s="107">
        <f t="array" ref="AC214">INDIRECT("Update"&amp;Projections!$AH$17&amp;"!K"&amp;ROW(B195))</f>
        <v>0.746</v>
      </c>
      <c r="AD214" s="73">
        <f t="array" ref="AD214">INDIRECT("Update"&amp;Projections!$AH$17&amp;"!R"&amp;ROW(B195))</f>
        <v>1.5</v>
      </c>
      <c r="AE214" s="73">
        <f t="shared" si="16"/>
        <v>-0.9514527815</v>
      </c>
      <c r="AF214" s="73">
        <f t="shared" si="17"/>
        <v>-0.1482977966</v>
      </c>
      <c r="AG214" s="73">
        <f t="shared" si="18"/>
        <v>-0.9292233743</v>
      </c>
      <c r="AH214" s="73">
        <f t="shared" si="19"/>
        <v>0.120391698</v>
      </c>
      <c r="AI214" s="73">
        <f t="shared" si="20"/>
        <v>0.07913626764</v>
      </c>
      <c r="AJ214" s="73">
        <f t="shared" si="21"/>
        <v>-0.6155173428</v>
      </c>
      <c r="AK214" s="73">
        <f t="shared" si="22"/>
        <v>-0.8556452687</v>
      </c>
      <c r="AL214" s="73">
        <f t="shared" si="23"/>
        <v>-0.4330615308</v>
      </c>
      <c r="AM214" s="73">
        <f t="shared" si="24"/>
        <v>0.06166489084</v>
      </c>
      <c r="AN214" s="120">
        <f t="shared" si="25"/>
        <v>-0.9514527815</v>
      </c>
      <c r="AO214" s="120">
        <f t="shared" si="26"/>
        <v>-1.880676156</v>
      </c>
      <c r="AP214" s="120">
        <f t="array" ref="AP214">INDIRECT("Update"&amp;Projections!$AH$17&amp;"!S"&amp;ROW(B195))</f>
        <v>10.3</v>
      </c>
      <c r="AQ214" s="120">
        <f t="array" ref="AQ214">INDIRECT("Update"&amp;Projections!$AH$17&amp;"!T"&amp;ROW(B195))</f>
        <v>2.5</v>
      </c>
      <c r="AR214" s="100">
        <f t="shared" si="27"/>
        <v>-2.900312304</v>
      </c>
    </row>
    <row r="215">
      <c r="A215" s="40" t="str">
        <f t="shared" si="3"/>
        <v>Larry Nance Jr.</v>
      </c>
      <c r="B215" s="42">
        <f t="shared" si="4"/>
        <v>-2.089535305</v>
      </c>
      <c r="C215" s="43">
        <f t="shared" si="5"/>
        <v>-1.442113684</v>
      </c>
      <c r="D215" s="42">
        <f t="shared" si="6"/>
        <v>-0.4585069208</v>
      </c>
      <c r="E215" s="42">
        <f t="shared" si="7"/>
        <v>-1.018652563</v>
      </c>
      <c r="F215" s="42">
        <f t="shared" si="8"/>
        <v>-0.2527964105</v>
      </c>
      <c r="G215" s="42">
        <f t="shared" si="9"/>
        <v>-0.6155173428</v>
      </c>
      <c r="H215" s="42">
        <f t="shared" si="10"/>
        <v>0.4618723655</v>
      </c>
      <c r="I215" s="42">
        <f>UpdateHashtag!S213</f>
        <v>4.1</v>
      </c>
      <c r="J215" s="47">
        <f t="shared" si="11"/>
        <v>-0.1767660307</v>
      </c>
      <c r="K215" s="48">
        <f>UpdateHashtag!T213</f>
        <v>1</v>
      </c>
      <c r="L215" s="42">
        <f t="shared" si="12"/>
        <v>-1.040202395</v>
      </c>
      <c r="N215" s="100">
        <f t="shared" si="13"/>
        <v>198</v>
      </c>
      <c r="O215" s="94">
        <f t="array" ref="O215">INDIRECT("Update"&amp;Projections!$AH$17&amp;"!B"&amp;ROW(B196))</f>
        <v>144.6</v>
      </c>
      <c r="P215" s="101" t="str">
        <f t="array" ref="P215">INDIRECT("Update"&amp;Projections!$AH$17&amp;"!C"&amp;ROW(B196))</f>
        <v>Duncan Robinson</v>
      </c>
      <c r="Q215" s="94">
        <f>UpdateBBM!F196</f>
        <v>71</v>
      </c>
      <c r="R215" s="105" t="str">
        <f t="array" ref="R215">INDIRECT("Update"&amp;Projections!$AH$17&amp;"!D"&amp;ROW(B196))</f>
        <v>SG,SF</v>
      </c>
      <c r="S215" s="73">
        <f t="shared" si="14"/>
        <v>-2.953863069</v>
      </c>
      <c r="T215" s="73">
        <f>SUM(AE215:AM215)-IFERROR(IFS(Projections!$I$17,AN215,Projections!$J$17,AO215),"")</f>
        <v>-2.953863069</v>
      </c>
      <c r="U215" s="73">
        <f t="shared" si="15"/>
        <v>0</v>
      </c>
      <c r="V215" s="73">
        <f t="array" ref="V215">INDIRECT("Update"&amp;Projections!$AH$17&amp;"!M"&amp;ROW(B196))</f>
        <v>12.5</v>
      </c>
      <c r="W215" s="73">
        <f t="array" ref="W215">INDIRECT("Update"&amp;Projections!$AH$17&amp;"!L"&amp;ROW(B196))</f>
        <v>2.6</v>
      </c>
      <c r="X215" s="73">
        <f t="array" ref="X215">INDIRECT("Update"&amp;Projections!$AH$17&amp;"!N"&amp;ROW(B196))</f>
        <v>2.5</v>
      </c>
      <c r="Y215" s="73">
        <f t="array" ref="Y215">INDIRECT("Update"&amp;Projections!$AH$17&amp;"!O"&amp;ROW(B196))</f>
        <v>2.5</v>
      </c>
      <c r="Z215" s="73">
        <f t="array" ref="Z215">INDIRECT("Update"&amp;Projections!$AH$17&amp;"!P"&amp;ROW(B196))</f>
        <v>0.6</v>
      </c>
      <c r="AA215" s="73">
        <f t="array" ref="AA215">INDIRECT("Update"&amp;Projections!$AH$17&amp;"!Q"&amp;ROW(B196))</f>
        <v>0.2</v>
      </c>
      <c r="AB215" s="107">
        <f t="array" ref="AB215">INDIRECT("Update"&amp;Projections!$AH$17&amp;"!I"&amp;ROW(B196))</f>
        <v>0.447</v>
      </c>
      <c r="AC215" s="107">
        <f t="array" ref="AC215">INDIRECT("Update"&amp;Projections!$AH$17&amp;"!K"&amp;ROW(B196))</f>
        <v>0.889</v>
      </c>
      <c r="AD215" s="73">
        <f t="array" ref="AD215">INDIRECT("Update"&amp;Projections!$AH$17&amp;"!R"&amp;ROW(B196))</f>
        <v>1.3</v>
      </c>
      <c r="AE215" s="73">
        <f t="shared" si="16"/>
        <v>-0.8972583757</v>
      </c>
      <c r="AF215" s="73">
        <f t="shared" si="17"/>
        <v>0.8469451937</v>
      </c>
      <c r="AG215" s="73">
        <f t="shared" si="18"/>
        <v>-1.399939828</v>
      </c>
      <c r="AH215" s="73">
        <f t="shared" si="19"/>
        <v>-0.6541583992</v>
      </c>
      <c r="AI215" s="73">
        <f t="shared" si="20"/>
        <v>-1.248594445</v>
      </c>
      <c r="AJ215" s="73">
        <f t="shared" si="21"/>
        <v>-0.9723047469</v>
      </c>
      <c r="AK215" s="73">
        <f t="shared" si="22"/>
        <v>-0.5729113025</v>
      </c>
      <c r="AL215" s="73">
        <f t="shared" si="23"/>
        <v>0.4331576885</v>
      </c>
      <c r="AM215" s="73">
        <f t="shared" si="24"/>
        <v>0.1112613178</v>
      </c>
      <c r="AN215" s="120">
        <f t="shared" si="25"/>
        <v>-1.399939828</v>
      </c>
      <c r="AO215" s="120">
        <f t="shared" si="26"/>
        <v>-2.648534273</v>
      </c>
      <c r="AP215" s="120">
        <f t="array" ref="AP215">INDIRECT("Update"&amp;Projections!$AH$17&amp;"!S"&amp;ROW(B196))</f>
        <v>9.8</v>
      </c>
      <c r="AQ215" s="120">
        <f t="array" ref="AQ215">INDIRECT("Update"&amp;Projections!$AH$17&amp;"!T"&amp;ROW(B196))</f>
        <v>1.3</v>
      </c>
      <c r="AR215" s="100">
        <f t="shared" si="27"/>
        <v>-2.943398277</v>
      </c>
    </row>
    <row r="216">
      <c r="A216" s="40" t="str">
        <f t="shared" si="3"/>
        <v>Payton Pritchard</v>
      </c>
      <c r="B216" s="42">
        <f t="shared" si="4"/>
        <v>-1.258554415</v>
      </c>
      <c r="C216" s="43">
        <f t="shared" si="5"/>
        <v>0.2497993996</v>
      </c>
      <c r="D216" s="42">
        <f t="shared" si="6"/>
        <v>-1.007676117</v>
      </c>
      <c r="E216" s="42">
        <f t="shared" si="7"/>
        <v>-0.2441024654</v>
      </c>
      <c r="F216" s="42">
        <f t="shared" si="8"/>
        <v>-1.580527123</v>
      </c>
      <c r="G216" s="42">
        <f t="shared" si="9"/>
        <v>-1.150698449</v>
      </c>
      <c r="H216" s="42">
        <f t="shared" si="10"/>
        <v>-0.4525693172</v>
      </c>
      <c r="I216" s="42">
        <f>UpdateHashtag!S214</f>
        <v>8.8</v>
      </c>
      <c r="J216" s="47">
        <f t="shared" si="11"/>
        <v>0.02748234507</v>
      </c>
      <c r="K216" s="48">
        <f>UpdateHashtag!T214</f>
        <v>0.7</v>
      </c>
      <c r="L216" s="42">
        <f t="shared" si="12"/>
        <v>-0.7426238329</v>
      </c>
      <c r="N216" s="100">
        <f t="shared" si="13"/>
        <v>183</v>
      </c>
      <c r="O216" s="94">
        <f t="array" ref="O216">INDIRECT("Update"&amp;Projections!$AH$17&amp;"!B"&amp;ROW(B197))</f>
        <v>142.6</v>
      </c>
      <c r="P216" s="101" t="str">
        <f t="array" ref="P216">INDIRECT("Update"&amp;Projections!$AH$17&amp;"!C"&amp;ROW(B197))</f>
        <v>Nikola Jovic</v>
      </c>
      <c r="Q216" s="94">
        <f>UpdateBBM!F197</f>
        <v>71</v>
      </c>
      <c r="R216" s="105" t="str">
        <f t="array" ref="R216">INDIRECT("Update"&amp;Projections!$AH$17&amp;"!D"&amp;ROW(B197))</f>
        <v>PF,C</v>
      </c>
      <c r="S216" s="73">
        <f t="shared" si="14"/>
        <v>-2.709037756</v>
      </c>
      <c r="T216" s="73">
        <f>SUM(AE216:AM216)-IFERROR(IFS(Projections!$I$17,AN216,Projections!$J$17,AO216),"")</f>
        <v>-2.709037756</v>
      </c>
      <c r="U216" s="73">
        <f t="shared" si="15"/>
        <v>0</v>
      </c>
      <c r="V216" s="73">
        <f t="array" ref="V216">INDIRECT("Update"&amp;Projections!$AH$17&amp;"!M"&amp;ROW(B197))</f>
        <v>10.4</v>
      </c>
      <c r="W216" s="73">
        <f t="array" ref="W216">INDIRECT("Update"&amp;Projections!$AH$17&amp;"!L"&amp;ROW(B197))</f>
        <v>1.8</v>
      </c>
      <c r="X216" s="73">
        <f t="array" ref="X216">INDIRECT("Update"&amp;Projections!$AH$17&amp;"!N"&amp;ROW(B197))</f>
        <v>5.3</v>
      </c>
      <c r="Y216" s="73">
        <f t="array" ref="Y216">INDIRECT("Update"&amp;Projections!$AH$17&amp;"!O"&amp;ROW(B197))</f>
        <v>2.4</v>
      </c>
      <c r="Z216" s="73">
        <f t="array" ref="Z216">INDIRECT("Update"&amp;Projections!$AH$17&amp;"!P"&amp;ROW(B197))</f>
        <v>0.8</v>
      </c>
      <c r="AA216" s="73">
        <f t="array" ref="AA216">INDIRECT("Update"&amp;Projections!$AH$17&amp;"!Q"&amp;ROW(B197))</f>
        <v>0.4</v>
      </c>
      <c r="AB216" s="107">
        <f t="array" ref="AB216">INDIRECT("Update"&amp;Projections!$AH$17&amp;"!I"&amp;ROW(B197))</f>
        <v>0.443</v>
      </c>
      <c r="AC216" s="107">
        <f t="array" ref="AC216">INDIRECT("Update"&amp;Projections!$AH$17&amp;"!K"&amp;ROW(B197))</f>
        <v>0.766</v>
      </c>
      <c r="AD216" s="73">
        <f t="array" ref="AD216">INDIRECT("Update"&amp;Projections!$AH$17&amp;"!R"&amp;ROW(B197))</f>
        <v>1.2</v>
      </c>
      <c r="AE216" s="73">
        <f t="shared" si="16"/>
        <v>-1.276619217</v>
      </c>
      <c r="AF216" s="73">
        <f t="shared" si="17"/>
        <v>0.05075080149</v>
      </c>
      <c r="AG216" s="73">
        <f t="shared" si="18"/>
        <v>-0.3016014363</v>
      </c>
      <c r="AH216" s="73">
        <f t="shared" si="19"/>
        <v>-0.6997201696</v>
      </c>
      <c r="AI216" s="73">
        <f t="shared" si="20"/>
        <v>-0.5847290887</v>
      </c>
      <c r="AJ216" s="73">
        <f t="shared" si="21"/>
        <v>-0.6155173428</v>
      </c>
      <c r="AK216" s="73">
        <f t="shared" si="22"/>
        <v>-0.5304460614</v>
      </c>
      <c r="AL216" s="73">
        <f t="shared" si="23"/>
        <v>-0.1638339902</v>
      </c>
      <c r="AM216" s="73">
        <f t="shared" si="24"/>
        <v>0.1360595313</v>
      </c>
      <c r="AN216" s="120">
        <f t="shared" si="25"/>
        <v>-1.276619217</v>
      </c>
      <c r="AO216" s="120">
        <f t="shared" si="26"/>
        <v>-1.976339386</v>
      </c>
      <c r="AP216" s="120">
        <f t="array" ref="AP216">INDIRECT("Update"&amp;Projections!$AH$17&amp;"!S"&amp;ROW(B197))</f>
        <v>8.4</v>
      </c>
      <c r="AQ216" s="120">
        <f t="array" ref="AQ216">INDIRECT("Update"&amp;Projections!$AH$17&amp;"!T"&amp;ROW(B197))</f>
        <v>1.6</v>
      </c>
      <c r="AR216" s="100">
        <f t="shared" si="27"/>
        <v>-2.950284475</v>
      </c>
    </row>
    <row r="217">
      <c r="A217" s="40" t="str">
        <f t="shared" si="3"/>
        <v>Obi Toppin</v>
      </c>
      <c r="B217" s="42">
        <f t="shared" si="4"/>
        <v>-1.403072831</v>
      </c>
      <c r="C217" s="43">
        <f t="shared" si="5"/>
        <v>-0.3473463946</v>
      </c>
      <c r="D217" s="42">
        <f t="shared" si="6"/>
        <v>-0.9292233743</v>
      </c>
      <c r="E217" s="42">
        <f t="shared" si="7"/>
        <v>-1.155337874</v>
      </c>
      <c r="F217" s="42">
        <f t="shared" si="8"/>
        <v>-1.580527123</v>
      </c>
      <c r="G217" s="42">
        <f t="shared" si="9"/>
        <v>-0.6155173428</v>
      </c>
      <c r="H217" s="42">
        <f t="shared" si="10"/>
        <v>0.1977988271</v>
      </c>
      <c r="I217" s="42">
        <f>UpdateHashtag!S215</f>
        <v>7.3</v>
      </c>
      <c r="J217" s="47">
        <f t="shared" si="11"/>
        <v>-0.01135130143</v>
      </c>
      <c r="K217" s="48">
        <f>UpdateHashtag!T215</f>
        <v>1.1</v>
      </c>
      <c r="L217" s="42">
        <f t="shared" si="12"/>
        <v>-0.9410095407</v>
      </c>
      <c r="N217" s="100">
        <f t="shared" si="13"/>
        <v>200</v>
      </c>
      <c r="O217" s="94" t="str">
        <f t="array" ref="O217">INDIRECT("Update"&amp;Projections!$AH$17&amp;"!B"&amp;ROW(B198))</f>
        <v/>
      </c>
      <c r="P217" s="101" t="str">
        <f t="array" ref="P217">INDIRECT("Update"&amp;Projections!$AH$17&amp;"!C"&amp;ROW(B198))</f>
        <v>Josh Richardson</v>
      </c>
      <c r="Q217" s="94">
        <f>UpdateBBM!F198</f>
        <v>71</v>
      </c>
      <c r="R217" s="105" t="str">
        <f t="array" ref="R217">INDIRECT("Update"&amp;Projections!$AH$17&amp;"!D"&amp;ROW(B198))</f>
        <v>PG,SG</v>
      </c>
      <c r="S217" s="73">
        <f t="shared" si="14"/>
        <v>-2.97151373</v>
      </c>
      <c r="T217" s="73">
        <f>SUM(AE217:AM217)-IFERROR(IFS(Projections!$I$17,AN217,Projections!$J$17,AO217),"")</f>
        <v>-2.97151373</v>
      </c>
      <c r="U217" s="73">
        <f t="shared" si="15"/>
        <v>0</v>
      </c>
      <c r="V217" s="73">
        <f t="array" ref="V217">INDIRECT("Update"&amp;Projections!$AH$17&amp;"!M"&amp;ROW(B198))</f>
        <v>10.4</v>
      </c>
      <c r="W217" s="73">
        <f t="array" ref="W217">INDIRECT("Update"&amp;Projections!$AH$17&amp;"!L"&amp;ROW(B198))</f>
        <v>1.7</v>
      </c>
      <c r="X217" s="73">
        <f t="array" ref="X217">INDIRECT("Update"&amp;Projections!$AH$17&amp;"!N"&amp;ROW(B198))</f>
        <v>2.9</v>
      </c>
      <c r="Y217" s="73">
        <f t="array" ref="Y217">INDIRECT("Update"&amp;Projections!$AH$17&amp;"!O"&amp;ROW(B198))</f>
        <v>2.7</v>
      </c>
      <c r="Z217" s="73">
        <f t="array" ref="Z217">INDIRECT("Update"&amp;Projections!$AH$17&amp;"!P"&amp;ROW(B198))</f>
        <v>0.9</v>
      </c>
      <c r="AA217" s="73">
        <f t="array" ref="AA217">INDIRECT("Update"&amp;Projections!$AH$17&amp;"!Q"&amp;ROW(B198))</f>
        <v>0.3</v>
      </c>
      <c r="AB217" s="107">
        <f t="array" ref="AB217">INDIRECT("Update"&amp;Projections!$AH$17&amp;"!I"&amp;ROW(B198))</f>
        <v>0.436</v>
      </c>
      <c r="AC217" s="107">
        <f t="array" ref="AC217">INDIRECT("Update"&amp;Projections!$AH$17&amp;"!K"&amp;ROW(B198))</f>
        <v>0.885</v>
      </c>
      <c r="AD217" s="73">
        <f t="array" ref="AD217">INDIRECT("Update"&amp;Projections!$AH$17&amp;"!R"&amp;ROW(B198))</f>
        <v>1.2</v>
      </c>
      <c r="AE217" s="73">
        <f t="shared" si="16"/>
        <v>-1.276619217</v>
      </c>
      <c r="AF217" s="73">
        <f t="shared" si="17"/>
        <v>-0.04877349754</v>
      </c>
      <c r="AG217" s="73">
        <f t="shared" si="18"/>
        <v>-1.243034343</v>
      </c>
      <c r="AH217" s="73">
        <f t="shared" si="19"/>
        <v>-0.5630348583</v>
      </c>
      <c r="AI217" s="73">
        <f t="shared" si="20"/>
        <v>-0.2527964105</v>
      </c>
      <c r="AJ217" s="73">
        <f t="shared" si="21"/>
        <v>-0.7939110449</v>
      </c>
      <c r="AK217" s="73">
        <f t="shared" si="22"/>
        <v>-0.6207654193</v>
      </c>
      <c r="AL217" s="73">
        <f t="shared" si="23"/>
        <v>0.4147423127</v>
      </c>
      <c r="AM217" s="73">
        <f t="shared" si="24"/>
        <v>0.1360595313</v>
      </c>
      <c r="AN217" s="120">
        <f t="shared" si="25"/>
        <v>-1.276619217</v>
      </c>
      <c r="AO217" s="120">
        <f t="shared" si="26"/>
        <v>-2.51965356</v>
      </c>
      <c r="AP217" s="120">
        <f t="array" ref="AP217">INDIRECT("Update"&amp;Projections!$AH$17&amp;"!S"&amp;ROW(B198))</f>
        <v>8.7</v>
      </c>
      <c r="AQ217" s="120">
        <f t="array" ref="AQ217">INDIRECT("Update"&amp;Projections!$AH$17&amp;"!T"&amp;ROW(B198))</f>
        <v>1.3</v>
      </c>
      <c r="AR217" s="100">
        <f t="shared" si="27"/>
        <v>-2.950671696</v>
      </c>
    </row>
    <row r="218">
      <c r="A218" s="40" t="str">
        <f t="shared" si="3"/>
        <v>Moritz Wagner</v>
      </c>
      <c r="B218" s="42">
        <f t="shared" si="4"/>
        <v>-1.294684019</v>
      </c>
      <c r="C218" s="43">
        <f t="shared" si="5"/>
        <v>-1.143540787</v>
      </c>
      <c r="D218" s="42">
        <f t="shared" si="6"/>
        <v>-0.7330915186</v>
      </c>
      <c r="E218" s="42">
        <f t="shared" si="7"/>
        <v>-1.200899644</v>
      </c>
      <c r="F218" s="42">
        <f t="shared" si="8"/>
        <v>-1.580527123</v>
      </c>
      <c r="G218" s="42">
        <f t="shared" si="9"/>
        <v>-0.9723047469</v>
      </c>
      <c r="H218" s="42">
        <f t="shared" si="10"/>
        <v>0.4882400576</v>
      </c>
      <c r="I218" s="42">
        <f>UpdateHashtag!S216</f>
        <v>6.6</v>
      </c>
      <c r="J218" s="47">
        <f t="shared" si="11"/>
        <v>0.2972399257</v>
      </c>
      <c r="K218" s="48">
        <f>UpdateHashtag!T216</f>
        <v>2.7</v>
      </c>
      <c r="L218" s="42">
        <f t="shared" si="12"/>
        <v>-0.5442381251</v>
      </c>
      <c r="N218" s="100">
        <f t="shared" si="13"/>
        <v>186</v>
      </c>
      <c r="O218" s="94" t="str">
        <f t="array" ref="O218">INDIRECT("Update"&amp;Projections!$AH$17&amp;"!B"&amp;ROW(B199))</f>
        <v/>
      </c>
      <c r="P218" s="101" t="str">
        <f t="array" ref="P218">INDIRECT("Update"&amp;Projections!$AH$17&amp;"!C"&amp;ROW(B199))</f>
        <v>Kris Dunn</v>
      </c>
      <c r="Q218" s="94">
        <f>UpdateBBM!F199</f>
        <v>66</v>
      </c>
      <c r="R218" s="105" t="str">
        <f t="array" ref="R218">INDIRECT("Update"&amp;Projections!$AH$17&amp;"!D"&amp;ROW(B199))</f>
        <v>PG,SG</v>
      </c>
      <c r="S218" s="73">
        <f t="shared" si="14"/>
        <v>-2.760034459</v>
      </c>
      <c r="T218" s="73">
        <f>SUM(AE218:AM218)-IFERROR(IFS(Projections!$I$17,AN218,Projections!$J$17,AO218),"")</f>
        <v>-2.760034459</v>
      </c>
      <c r="U218" s="73">
        <f t="shared" si="15"/>
        <v>0</v>
      </c>
      <c r="V218" s="73">
        <f t="array" ref="V218">INDIRECT("Update"&amp;Projections!$AH$17&amp;"!M"&amp;ROW(B199))</f>
        <v>7.2</v>
      </c>
      <c r="W218" s="73">
        <f t="array" ref="W218">INDIRECT("Update"&amp;Projections!$AH$17&amp;"!L"&amp;ROW(B199))</f>
        <v>0.6</v>
      </c>
      <c r="X218" s="73">
        <f t="array" ref="X218">INDIRECT("Update"&amp;Projections!$AH$17&amp;"!N"&amp;ROW(B199))</f>
        <v>3.2</v>
      </c>
      <c r="Y218" s="73">
        <f t="array" ref="Y218">INDIRECT("Update"&amp;Projections!$AH$17&amp;"!O"&amp;ROW(B199))</f>
        <v>4.2</v>
      </c>
      <c r="Z218" s="73">
        <f t="array" ref="Z218">INDIRECT("Update"&amp;Projections!$AH$17&amp;"!P"&amp;ROW(B199))</f>
        <v>1</v>
      </c>
      <c r="AA218" s="73">
        <f t="array" ref="AA218">INDIRECT("Update"&amp;Projections!$AH$17&amp;"!Q"&amp;ROW(B199))</f>
        <v>0.4</v>
      </c>
      <c r="AB218" s="107">
        <f t="array" ref="AB218">INDIRECT("Update"&amp;Projections!$AH$17&amp;"!I"&amp;ROW(B199))</f>
        <v>0.498</v>
      </c>
      <c r="AC218" s="107">
        <f t="array" ref="AC218">INDIRECT("Update"&amp;Projections!$AH$17&amp;"!K"&amp;ROW(B199))</f>
        <v>0.734</v>
      </c>
      <c r="AD218" s="73">
        <f t="array" ref="AD218">INDIRECT("Update"&amp;Projections!$AH$17&amp;"!R"&amp;ROW(B199))</f>
        <v>1.3</v>
      </c>
      <c r="AE218" s="73">
        <f t="shared" si="16"/>
        <v>-1.85469288</v>
      </c>
      <c r="AF218" s="73">
        <f t="shared" si="17"/>
        <v>-1.143540787</v>
      </c>
      <c r="AG218" s="73">
        <f t="shared" si="18"/>
        <v>-1.12535523</v>
      </c>
      <c r="AH218" s="73">
        <f t="shared" si="19"/>
        <v>0.120391698</v>
      </c>
      <c r="AI218" s="73">
        <f t="shared" si="20"/>
        <v>0.07913626764</v>
      </c>
      <c r="AJ218" s="73">
        <f t="shared" si="21"/>
        <v>-0.6155173428</v>
      </c>
      <c r="AK218" s="73">
        <f t="shared" si="22"/>
        <v>0.007739086831</v>
      </c>
      <c r="AL218" s="73">
        <f t="shared" si="23"/>
        <v>-0.19414947</v>
      </c>
      <c r="AM218" s="73">
        <f t="shared" si="24"/>
        <v>0.1112613178</v>
      </c>
      <c r="AN218" s="120">
        <f t="shared" si="25"/>
        <v>-1.85469288</v>
      </c>
      <c r="AO218" s="120">
        <f t="shared" si="26"/>
        <v>-2.998233667</v>
      </c>
      <c r="AP218" s="120">
        <f t="array" ref="AP218">INDIRECT("Update"&amp;Projections!$AH$17&amp;"!S"&amp;ROW(B199))</f>
        <v>5.9</v>
      </c>
      <c r="AQ218" s="120">
        <f t="array" ref="AQ218">INDIRECT("Update"&amp;Projections!$AH$17&amp;"!T"&amp;ROW(B199))</f>
        <v>0.9</v>
      </c>
      <c r="AR218" s="100">
        <f t="shared" si="27"/>
        <v>-2.953863069</v>
      </c>
    </row>
    <row r="219">
      <c r="A219" s="40" t="str">
        <f t="shared" si="3"/>
        <v>Santi Aldama</v>
      </c>
      <c r="B219" s="42">
        <f t="shared" si="4"/>
        <v>-1.457267237</v>
      </c>
      <c r="C219" s="43">
        <f t="shared" si="5"/>
        <v>-0.3473463946</v>
      </c>
      <c r="D219" s="42">
        <f t="shared" si="6"/>
        <v>-0.3800541785</v>
      </c>
      <c r="E219" s="42">
        <f t="shared" si="7"/>
        <v>-1.064214333</v>
      </c>
      <c r="F219" s="42">
        <f t="shared" si="8"/>
        <v>-1.248594445</v>
      </c>
      <c r="G219" s="42">
        <f t="shared" si="9"/>
        <v>-0.08033623669</v>
      </c>
      <c r="H219" s="42">
        <f t="shared" si="10"/>
        <v>-0.3997625264</v>
      </c>
      <c r="I219" s="42">
        <f>UpdateHashtag!S217</f>
        <v>7.6</v>
      </c>
      <c r="J219" s="47">
        <f t="shared" si="11"/>
        <v>-0.5264752365</v>
      </c>
      <c r="K219" s="48">
        <f>UpdateHashtag!T217</f>
        <v>1.6</v>
      </c>
      <c r="L219" s="42">
        <f t="shared" si="12"/>
        <v>-0.8418166868</v>
      </c>
      <c r="N219" s="100">
        <f t="shared" si="13"/>
        <v>212</v>
      </c>
      <c r="O219" s="94">
        <f t="array" ref="O219">INDIRECT("Update"&amp;Projections!$AH$17&amp;"!B"&amp;ROW(B200))</f>
        <v>139.1</v>
      </c>
      <c r="P219" s="101" t="str">
        <f t="array" ref="P219">INDIRECT("Update"&amp;Projections!$AH$17&amp;"!C"&amp;ROW(B200))</f>
        <v>Ayo Dosunmu</v>
      </c>
      <c r="Q219" s="94">
        <f>UpdateBBM!F200</f>
        <v>66</v>
      </c>
      <c r="R219" s="105" t="str">
        <f t="array" ref="R219">INDIRECT("Update"&amp;Projections!$AH$17&amp;"!D"&amp;ROW(B200))</f>
        <v>SG,SF</v>
      </c>
      <c r="S219" s="73">
        <f t="shared" si="14"/>
        <v>-3.44277198</v>
      </c>
      <c r="T219" s="73">
        <f>SUM(AE219:AM219)-IFERROR(IFS(Projections!$I$17,AN219,Projections!$J$17,AO219),"")</f>
        <v>-3.44277198</v>
      </c>
      <c r="U219" s="73">
        <f t="shared" si="15"/>
        <v>0</v>
      </c>
      <c r="V219" s="73">
        <f t="array" ref="V219">INDIRECT("Update"&amp;Projections!$AH$17&amp;"!M"&amp;ROW(B200))</f>
        <v>10.2</v>
      </c>
      <c r="W219" s="73">
        <f t="array" ref="W219">INDIRECT("Update"&amp;Projections!$AH$17&amp;"!L"&amp;ROW(B200))</f>
        <v>1.1</v>
      </c>
      <c r="X219" s="73">
        <f t="array" ref="X219">INDIRECT("Update"&amp;Projections!$AH$17&amp;"!N"&amp;ROW(B200))</f>
        <v>2.8</v>
      </c>
      <c r="Y219" s="73">
        <f t="array" ref="Y219">INDIRECT("Update"&amp;Projections!$AH$17&amp;"!O"&amp;ROW(B200))</f>
        <v>2.8</v>
      </c>
      <c r="Z219" s="73">
        <f t="array" ref="Z219">INDIRECT("Update"&amp;Projections!$AH$17&amp;"!P"&amp;ROW(B200))</f>
        <v>0.8</v>
      </c>
      <c r="AA219" s="73">
        <f t="array" ref="AA219">INDIRECT("Update"&amp;Projections!$AH$17&amp;"!Q"&amp;ROW(B200))</f>
        <v>0.4</v>
      </c>
      <c r="AB219" s="107">
        <f t="array" ref="AB219">INDIRECT("Update"&amp;Projections!$AH$17&amp;"!I"&amp;ROW(B200))</f>
        <v>0.498</v>
      </c>
      <c r="AC219" s="107">
        <f t="array" ref="AC219">INDIRECT("Update"&amp;Projections!$AH$17&amp;"!K"&amp;ROW(B200))</f>
        <v>0.814</v>
      </c>
      <c r="AD219" s="73">
        <f t="array" ref="AD219">INDIRECT("Update"&amp;Projections!$AH$17&amp;"!R"&amp;ROW(B200))</f>
        <v>1.3</v>
      </c>
      <c r="AE219" s="73">
        <f t="shared" si="16"/>
        <v>-1.312748821</v>
      </c>
      <c r="AF219" s="73">
        <f t="shared" si="17"/>
        <v>-0.6459192917</v>
      </c>
      <c r="AG219" s="73">
        <f t="shared" si="18"/>
        <v>-1.282260714</v>
      </c>
      <c r="AH219" s="73">
        <f t="shared" si="19"/>
        <v>-0.5174730879</v>
      </c>
      <c r="AI219" s="73">
        <f t="shared" si="20"/>
        <v>-0.5847290887</v>
      </c>
      <c r="AJ219" s="73">
        <f t="shared" si="21"/>
        <v>-0.6155173428</v>
      </c>
      <c r="AK219" s="73">
        <f t="shared" si="22"/>
        <v>0.01075601899</v>
      </c>
      <c r="AL219" s="73">
        <f t="shared" si="23"/>
        <v>0.08111020839</v>
      </c>
      <c r="AM219" s="73">
        <f t="shared" si="24"/>
        <v>0.1112613178</v>
      </c>
      <c r="AN219" s="120">
        <f t="shared" si="25"/>
        <v>-1.312748821</v>
      </c>
      <c r="AO219" s="120">
        <f t="shared" si="26"/>
        <v>-2.595009535</v>
      </c>
      <c r="AP219" s="120">
        <f t="array" ref="AP219">INDIRECT("Update"&amp;Projections!$AH$17&amp;"!S"&amp;ROW(B200))</f>
        <v>8.2</v>
      </c>
      <c r="AQ219" s="120">
        <f t="array" ref="AQ219">INDIRECT("Update"&amp;Projections!$AH$17&amp;"!T"&amp;ROW(B200))</f>
        <v>1.2</v>
      </c>
      <c r="AR219" s="100">
        <f t="shared" si="27"/>
        <v>-2.963973861</v>
      </c>
    </row>
    <row r="220">
      <c r="A220" s="40" t="str">
        <f t="shared" si="3"/>
        <v>Matisse Thybulle</v>
      </c>
      <c r="B220" s="42">
        <f t="shared" si="4"/>
        <v>-2.270183325</v>
      </c>
      <c r="C220" s="43">
        <f t="shared" si="5"/>
        <v>-0.7454435908</v>
      </c>
      <c r="D220" s="42">
        <f t="shared" si="6"/>
        <v>-1.556845312</v>
      </c>
      <c r="E220" s="42">
        <f t="shared" si="7"/>
        <v>-1.292023185</v>
      </c>
      <c r="F220" s="42">
        <f t="shared" si="8"/>
        <v>1.738799658</v>
      </c>
      <c r="G220" s="42">
        <f t="shared" si="9"/>
        <v>-0.2587299387</v>
      </c>
      <c r="H220" s="42">
        <f t="shared" si="10"/>
        <v>-0.4176863787</v>
      </c>
      <c r="I220" s="42">
        <f>UpdateHashtag!S218</f>
        <v>4.3</v>
      </c>
      <c r="J220" s="47">
        <f t="shared" si="11"/>
        <v>-0.1047040291</v>
      </c>
      <c r="K220" s="48">
        <f>UpdateHashtag!T218</f>
        <v>0.4</v>
      </c>
      <c r="L220" s="42">
        <f t="shared" si="12"/>
        <v>-1.238588102</v>
      </c>
      <c r="N220" s="100">
        <f t="shared" si="13"/>
        <v>208</v>
      </c>
      <c r="O220" s="94">
        <f t="array" ref="O220">INDIRECT("Update"&amp;Projections!$AH$17&amp;"!B"&amp;ROW(B201))</f>
        <v>143</v>
      </c>
      <c r="P220" s="101" t="str">
        <f t="array" ref="P220">INDIRECT("Update"&amp;Projections!$AH$17&amp;"!C"&amp;ROW(B201))</f>
        <v>Bennedict Mathurin</v>
      </c>
      <c r="Q220" s="94">
        <f>UpdateBBM!F201</f>
        <v>66</v>
      </c>
      <c r="R220" s="105" t="str">
        <f t="array" ref="R220">INDIRECT("Update"&amp;Projections!$AH$17&amp;"!D"&amp;ROW(B201))</f>
        <v>SG,SF</v>
      </c>
      <c r="S220" s="73">
        <f t="shared" si="14"/>
        <v>-3.294061203</v>
      </c>
      <c r="T220" s="73">
        <f>SUM(AE220:AM220)-IFERROR(IFS(Projections!$I$17,AN220,Projections!$J$17,AO220),"")</f>
        <v>-3.294061203</v>
      </c>
      <c r="U220" s="73">
        <f t="shared" si="15"/>
        <v>0</v>
      </c>
      <c r="V220" s="73">
        <f t="array" ref="V220">INDIRECT("Update"&amp;Projections!$AH$17&amp;"!M"&amp;ROW(B201))</f>
        <v>16.8</v>
      </c>
      <c r="W220" s="73">
        <f t="array" ref="W220">INDIRECT("Update"&amp;Projections!$AH$17&amp;"!L"&amp;ROW(B201))</f>
        <v>1.4</v>
      </c>
      <c r="X220" s="73">
        <f t="array" ref="X220">INDIRECT("Update"&amp;Projections!$AH$17&amp;"!N"&amp;ROW(B201))</f>
        <v>4.3</v>
      </c>
      <c r="Y220" s="73">
        <f t="array" ref="Y220">INDIRECT("Update"&amp;Projections!$AH$17&amp;"!O"&amp;ROW(B201))</f>
        <v>1.8</v>
      </c>
      <c r="Z220" s="73">
        <f t="array" ref="Z220">INDIRECT("Update"&amp;Projections!$AH$17&amp;"!P"&amp;ROW(B201))</f>
        <v>0.7</v>
      </c>
      <c r="AA220" s="73">
        <f t="array" ref="AA220">INDIRECT("Update"&amp;Projections!$AH$17&amp;"!Q"&amp;ROW(B201))</f>
        <v>0.2</v>
      </c>
      <c r="AB220" s="107">
        <f t="array" ref="AB220">INDIRECT("Update"&amp;Projections!$AH$17&amp;"!I"&amp;ROW(B201))</f>
        <v>0.443</v>
      </c>
      <c r="AC220" s="107">
        <f t="array" ref="AC220">INDIRECT("Update"&amp;Projections!$AH$17&amp;"!K"&amp;ROW(B201))</f>
        <v>0.826</v>
      </c>
      <c r="AD220" s="73">
        <f t="array" ref="AD220">INDIRECT("Update"&amp;Projections!$AH$17&amp;"!R"&amp;ROW(B201))</f>
        <v>1.9</v>
      </c>
      <c r="AE220" s="73">
        <f t="shared" si="16"/>
        <v>-0.1204718912</v>
      </c>
      <c r="AF220" s="73">
        <f t="shared" si="17"/>
        <v>-0.3473463946</v>
      </c>
      <c r="AG220" s="73">
        <f t="shared" si="18"/>
        <v>-0.6938651475</v>
      </c>
      <c r="AH220" s="73">
        <f t="shared" si="19"/>
        <v>-0.9730907921</v>
      </c>
      <c r="AI220" s="73">
        <f t="shared" si="20"/>
        <v>-0.9166617668</v>
      </c>
      <c r="AJ220" s="73">
        <f t="shared" si="21"/>
        <v>-0.9723047469</v>
      </c>
      <c r="AK220" s="73">
        <f t="shared" si="22"/>
        <v>-0.789354258</v>
      </c>
      <c r="AL220" s="73">
        <f t="shared" si="23"/>
        <v>0.5834709653</v>
      </c>
      <c r="AM220" s="73">
        <f t="shared" si="24"/>
        <v>-0.03752796306</v>
      </c>
      <c r="AN220" s="120">
        <f t="shared" si="25"/>
        <v>-0.9730907921</v>
      </c>
      <c r="AO220" s="120">
        <f t="shared" si="26"/>
        <v>-1.945395539</v>
      </c>
      <c r="AP220" s="120">
        <f t="array" ref="AP220">INDIRECT("Update"&amp;Projections!$AH$17&amp;"!S"&amp;ROW(B201))</f>
        <v>12.5</v>
      </c>
      <c r="AQ220" s="120">
        <f t="array" ref="AQ220">INDIRECT("Update"&amp;Projections!$AH$17&amp;"!T"&amp;ROW(B201))</f>
        <v>5.3</v>
      </c>
      <c r="AR220" s="100">
        <f t="shared" si="27"/>
        <v>-2.97151373</v>
      </c>
    </row>
    <row r="221">
      <c r="A221" s="40" t="str">
        <f t="shared" si="3"/>
        <v>Robert Williams III</v>
      </c>
      <c r="B221" s="42">
        <f t="shared" si="4"/>
        <v>-2.197924117</v>
      </c>
      <c r="C221" s="43">
        <f t="shared" si="5"/>
        <v>-1.740686581</v>
      </c>
      <c r="D221" s="42">
        <f t="shared" si="6"/>
        <v>-0.223148694</v>
      </c>
      <c r="E221" s="42">
        <f t="shared" si="7"/>
        <v>-1.383146726</v>
      </c>
      <c r="F221" s="42">
        <f t="shared" si="8"/>
        <v>-1.580527123</v>
      </c>
      <c r="G221" s="42">
        <f t="shared" si="9"/>
        <v>0.2764511674</v>
      </c>
      <c r="H221" s="42">
        <f t="shared" si="10"/>
        <v>0.9005437699</v>
      </c>
      <c r="I221" s="42">
        <f>UpdateHashtag!S219</f>
        <v>3.2</v>
      </c>
      <c r="J221" s="47">
        <f t="shared" si="11"/>
        <v>-0.4417251067</v>
      </c>
      <c r="K221" s="48">
        <f>UpdateHashtag!T219</f>
        <v>0.8</v>
      </c>
      <c r="L221" s="42">
        <f t="shared" si="12"/>
        <v>-1.040202395</v>
      </c>
      <c r="N221" s="100">
        <f t="shared" si="13"/>
        <v>206</v>
      </c>
      <c r="O221" s="94" t="str">
        <f t="array" ref="O221">INDIRECT("Update"&amp;Projections!$AH$17&amp;"!B"&amp;ROW(B202))</f>
        <v/>
      </c>
      <c r="P221" s="101" t="str">
        <f t="array" ref="P221">INDIRECT("Update"&amp;Projections!$AH$17&amp;"!C"&amp;ROW(B202))</f>
        <v>Josh Green</v>
      </c>
      <c r="Q221" s="94">
        <f>UpdateBBM!F202</f>
        <v>71</v>
      </c>
      <c r="R221" s="105" t="str">
        <f t="array" ref="R221">INDIRECT("Update"&amp;Projections!$AH$17&amp;"!D"&amp;ROW(B202))</f>
        <v>SG,SF</v>
      </c>
      <c r="S221" s="73">
        <f t="shared" si="14"/>
        <v>-3.181455378</v>
      </c>
      <c r="T221" s="73">
        <f>SUM(AE221:AM221)-IFERROR(IFS(Projections!$I$17,AN221,Projections!$J$17,AO221),"")</f>
        <v>-3.181455378</v>
      </c>
      <c r="U221" s="73">
        <f t="shared" si="15"/>
        <v>0</v>
      </c>
      <c r="V221" s="73">
        <f t="array" ref="V221">INDIRECT("Update"&amp;Projections!$AH$17&amp;"!M"&amp;ROW(B202))</f>
        <v>11</v>
      </c>
      <c r="W221" s="73">
        <f t="array" ref="W221">INDIRECT("Update"&amp;Projections!$AH$17&amp;"!L"&amp;ROW(B202))</f>
        <v>1.6</v>
      </c>
      <c r="X221" s="73">
        <f t="array" ref="X221">INDIRECT("Update"&amp;Projections!$AH$17&amp;"!N"&amp;ROW(B202))</f>
        <v>3.6</v>
      </c>
      <c r="Y221" s="73">
        <f t="array" ref="Y221">INDIRECT("Update"&amp;Projections!$AH$17&amp;"!O"&amp;ROW(B202))</f>
        <v>2.3</v>
      </c>
      <c r="Z221" s="73">
        <f t="array" ref="Z221">INDIRECT("Update"&amp;Projections!$AH$17&amp;"!P"&amp;ROW(B202))</f>
        <v>1</v>
      </c>
      <c r="AA221" s="73">
        <f t="array" ref="AA221">INDIRECT("Update"&amp;Projections!$AH$17&amp;"!Q"&amp;ROW(B202))</f>
        <v>0.3</v>
      </c>
      <c r="AB221" s="107">
        <f t="array" ref="AB221">INDIRECT("Update"&amp;Projections!$AH$17&amp;"!I"&amp;ROW(B202))</f>
        <v>0.472</v>
      </c>
      <c r="AC221" s="107">
        <f t="array" ref="AC221">INDIRECT("Update"&amp;Projections!$AH$17&amp;"!K"&amp;ROW(B202))</f>
        <v>0.709</v>
      </c>
      <c r="AD221" s="73">
        <f t="array" ref="AD221">INDIRECT("Update"&amp;Projections!$AH$17&amp;"!R"&amp;ROW(B202))</f>
        <v>1.3</v>
      </c>
      <c r="AE221" s="73">
        <f t="shared" si="16"/>
        <v>-1.168230405</v>
      </c>
      <c r="AF221" s="73">
        <f t="shared" si="17"/>
        <v>-0.1482977966</v>
      </c>
      <c r="AG221" s="73">
        <f t="shared" si="18"/>
        <v>-0.9684497454</v>
      </c>
      <c r="AH221" s="73">
        <f t="shared" si="19"/>
        <v>-0.74528194</v>
      </c>
      <c r="AI221" s="73">
        <f t="shared" si="20"/>
        <v>0.07913626764</v>
      </c>
      <c r="AJ221" s="73">
        <f t="shared" si="21"/>
        <v>-0.7939110449</v>
      </c>
      <c r="AK221" s="73">
        <f t="shared" si="22"/>
        <v>-0.2595267958</v>
      </c>
      <c r="AL221" s="73">
        <f t="shared" si="23"/>
        <v>-0.4563856408</v>
      </c>
      <c r="AM221" s="73">
        <f t="shared" si="24"/>
        <v>0.1112613178</v>
      </c>
      <c r="AN221" s="120">
        <f t="shared" si="25"/>
        <v>-1.168230405</v>
      </c>
      <c r="AO221" s="120">
        <f t="shared" si="26"/>
        <v>-2.13668015</v>
      </c>
      <c r="AP221" s="120">
        <f t="array" ref="AP221">INDIRECT("Update"&amp;Projections!$AH$17&amp;"!S"&amp;ROW(B202))</f>
        <v>8.9</v>
      </c>
      <c r="AQ221" s="120">
        <f t="array" ref="AQ221">INDIRECT("Update"&amp;Projections!$AH$17&amp;"!T"&amp;ROW(B202))</f>
        <v>1.5</v>
      </c>
      <c r="AR221" s="100">
        <f t="shared" si="27"/>
        <v>-3.002411656</v>
      </c>
    </row>
    <row r="222">
      <c r="A222" s="40" t="str">
        <f t="shared" si="3"/>
        <v>Taurean Prince</v>
      </c>
      <c r="B222" s="42">
        <f t="shared" si="4"/>
        <v>-1.385008029</v>
      </c>
      <c r="C222" s="43">
        <f t="shared" si="5"/>
        <v>0.05075080149</v>
      </c>
      <c r="D222" s="42">
        <f t="shared" si="6"/>
        <v>-1.203807972</v>
      </c>
      <c r="E222" s="42">
        <f t="shared" si="7"/>
        <v>-1.018652563</v>
      </c>
      <c r="F222" s="42">
        <f t="shared" si="8"/>
        <v>-0.9166617668</v>
      </c>
      <c r="G222" s="42">
        <f t="shared" si="9"/>
        <v>-0.6155173428</v>
      </c>
      <c r="H222" s="42">
        <f t="shared" si="10"/>
        <v>-0.4062838189</v>
      </c>
      <c r="I222" s="42">
        <f>UpdateHashtag!S220</f>
        <v>7.9</v>
      </c>
      <c r="J222" s="47">
        <f t="shared" si="11"/>
        <v>-0.01238323792</v>
      </c>
      <c r="K222" s="48">
        <f>UpdateHashtag!T220</f>
        <v>1.2</v>
      </c>
      <c r="L222" s="42">
        <f t="shared" si="12"/>
        <v>-0.5442381251</v>
      </c>
      <c r="N222" s="100">
        <f t="shared" si="13"/>
        <v>209</v>
      </c>
      <c r="O222" s="94" t="str">
        <f t="array" ref="O222">INDIRECT("Update"&amp;Projections!$AH$17&amp;"!B"&amp;ROW(B203))</f>
        <v/>
      </c>
      <c r="P222" s="101" t="str">
        <f t="array" ref="P222">INDIRECT("Update"&amp;Projections!$AH$17&amp;"!C"&amp;ROW(B203))</f>
        <v>Peyton Watson</v>
      </c>
      <c r="Q222" s="94">
        <f>UpdateBBM!F203</f>
        <v>66</v>
      </c>
      <c r="R222" s="105" t="str">
        <f t="array" ref="R222">INDIRECT("Update"&amp;Projections!$AH$17&amp;"!D"&amp;ROW(B203))</f>
        <v>SF,PF</v>
      </c>
      <c r="S222" s="73">
        <f t="shared" si="14"/>
        <v>-3.317708834</v>
      </c>
      <c r="T222" s="73">
        <f>SUM(AE222:AM222)-IFERROR(IFS(Projections!$I$17,AN222,Projections!$J$17,AO222),"")</f>
        <v>-3.317708834</v>
      </c>
      <c r="U222" s="73">
        <f t="shared" si="15"/>
        <v>0</v>
      </c>
      <c r="V222" s="73">
        <f t="array" ref="V222">INDIRECT("Update"&amp;Projections!$AH$17&amp;"!M"&amp;ROW(B203))</f>
        <v>9.5</v>
      </c>
      <c r="W222" s="73">
        <f t="array" ref="W222">INDIRECT("Update"&amp;Projections!$AH$17&amp;"!L"&amp;ROW(B203))</f>
        <v>0.8</v>
      </c>
      <c r="X222" s="73">
        <f t="array" ref="X222">INDIRECT("Update"&amp;Projections!$AH$17&amp;"!N"&amp;ROW(B203))</f>
        <v>4.6</v>
      </c>
      <c r="Y222" s="73">
        <f t="array" ref="Y222">INDIRECT("Update"&amp;Projections!$AH$17&amp;"!O"&amp;ROW(B203))</f>
        <v>1.5</v>
      </c>
      <c r="Z222" s="73">
        <f t="array" ref="Z222">INDIRECT("Update"&amp;Projections!$AH$17&amp;"!P"&amp;ROW(B203))</f>
        <v>0.7</v>
      </c>
      <c r="AA222" s="73">
        <f t="array" ref="AA222">INDIRECT("Update"&amp;Projections!$AH$17&amp;"!Q"&amp;ROW(B203))</f>
        <v>1.5</v>
      </c>
      <c r="AB222" s="107">
        <f t="array" ref="AB222">INDIRECT("Update"&amp;Projections!$AH$17&amp;"!I"&amp;ROW(B203))</f>
        <v>0.467</v>
      </c>
      <c r="AC222" s="107">
        <f t="array" ref="AC222">INDIRECT("Update"&amp;Projections!$AH$17&amp;"!K"&amp;ROW(B203))</f>
        <v>0.65</v>
      </c>
      <c r="AD222" s="73">
        <f t="array" ref="AD222">INDIRECT("Update"&amp;Projections!$AH$17&amp;"!R"&amp;ROW(B203))</f>
        <v>1</v>
      </c>
      <c r="AE222" s="73">
        <f t="shared" si="16"/>
        <v>-1.439202435</v>
      </c>
      <c r="AF222" s="73">
        <f t="shared" si="17"/>
        <v>-0.9444921888</v>
      </c>
      <c r="AG222" s="73">
        <f t="shared" si="18"/>
        <v>-0.5761860341</v>
      </c>
      <c r="AH222" s="73">
        <f t="shared" si="19"/>
        <v>-1.109776103</v>
      </c>
      <c r="AI222" s="73">
        <f t="shared" si="20"/>
        <v>-0.9166617668</v>
      </c>
      <c r="AJ222" s="73">
        <f t="shared" si="21"/>
        <v>1.34681338</v>
      </c>
      <c r="AK222" s="73">
        <f t="shared" si="22"/>
        <v>-0.2766605178</v>
      </c>
      <c r="AL222" s="73">
        <f t="shared" si="23"/>
        <v>-1.026401561</v>
      </c>
      <c r="AM222" s="73">
        <f t="shared" si="24"/>
        <v>0.1856559582</v>
      </c>
      <c r="AN222" s="120">
        <f t="shared" si="25"/>
        <v>-1.439202435</v>
      </c>
      <c r="AO222" s="120">
        <f t="shared" si="26"/>
        <v>-2.548978538</v>
      </c>
      <c r="AP222" s="120">
        <f t="array" ref="AP222">INDIRECT("Update"&amp;Projections!$AH$17&amp;"!S"&amp;ROW(B203))</f>
        <v>7.9</v>
      </c>
      <c r="AQ222" s="120">
        <f t="array" ref="AQ222">INDIRECT("Update"&amp;Projections!$AH$17&amp;"!T"&amp;ROW(B203))</f>
        <v>2</v>
      </c>
      <c r="AR222" s="100">
        <f t="shared" si="27"/>
        <v>-3.057629767</v>
      </c>
    </row>
    <row r="223">
      <c r="A223" s="40" t="str">
        <f t="shared" si="3"/>
        <v>Spencer Dinwiddie</v>
      </c>
      <c r="B223" s="42">
        <f t="shared" si="4"/>
        <v>-1.186295207</v>
      </c>
      <c r="C223" s="43">
        <f t="shared" si="5"/>
        <v>-0.2478220956</v>
      </c>
      <c r="D223" s="42">
        <f t="shared" si="6"/>
        <v>-1.439166199</v>
      </c>
      <c r="E223" s="42">
        <f t="shared" si="7"/>
        <v>0.2115152388</v>
      </c>
      <c r="F223" s="42">
        <f t="shared" si="8"/>
        <v>-1.248594445</v>
      </c>
      <c r="G223" s="42">
        <f t="shared" si="9"/>
        <v>-0.9723047469</v>
      </c>
      <c r="H223" s="42">
        <f t="shared" si="10"/>
        <v>-0.7559250664</v>
      </c>
      <c r="I223" s="42">
        <f>UpdateHashtag!S221</f>
        <v>8.5</v>
      </c>
      <c r="J223" s="47">
        <f t="shared" si="11"/>
        <v>0.1346888202</v>
      </c>
      <c r="K223" s="48">
        <f>UpdateHashtag!T221</f>
        <v>2.7</v>
      </c>
      <c r="L223" s="42">
        <f t="shared" si="12"/>
        <v>-0.5442381251</v>
      </c>
      <c r="N223" s="100">
        <f t="shared" si="13"/>
        <v>214</v>
      </c>
      <c r="O223" s="94" t="str">
        <f t="array" ref="O223">INDIRECT("Update"&amp;Projections!$AH$17&amp;"!B"&amp;ROW(B204))</f>
        <v/>
      </c>
      <c r="P223" s="101" t="str">
        <f t="array" ref="P223">INDIRECT("Update"&amp;Projections!$AH$17&amp;"!C"&amp;ROW(B204))</f>
        <v>Daniel Theis</v>
      </c>
      <c r="Q223" s="94">
        <f>UpdateBBM!F204</f>
        <v>71</v>
      </c>
      <c r="R223" s="105" t="str">
        <f t="array" ref="R223">INDIRECT("Update"&amp;Projections!$AH$17&amp;"!D"&amp;ROW(B204))</f>
        <v>C</v>
      </c>
      <c r="S223" s="73">
        <f t="shared" si="14"/>
        <v>-3.481857837</v>
      </c>
      <c r="T223" s="73">
        <f>SUM(AE223:AM223)-IFERROR(IFS(Projections!$I$17,AN223,Projections!$J$17,AO223),"")</f>
        <v>-3.481857837</v>
      </c>
      <c r="U223" s="73">
        <f t="shared" si="15"/>
        <v>0</v>
      </c>
      <c r="V223" s="73">
        <f t="array" ref="V223">INDIRECT("Update"&amp;Projections!$AH$17&amp;"!M"&amp;ROW(B204))</f>
        <v>8.5</v>
      </c>
      <c r="W223" s="73">
        <f t="array" ref="W223">INDIRECT("Update"&amp;Projections!$AH$17&amp;"!L"&amp;ROW(B204))</f>
        <v>0.6</v>
      </c>
      <c r="X223" s="73">
        <f t="array" ref="X223">INDIRECT("Update"&amp;Projections!$AH$17&amp;"!N"&amp;ROW(B204))</f>
        <v>5.2</v>
      </c>
      <c r="Y223" s="73">
        <f t="array" ref="Y223">INDIRECT("Update"&amp;Projections!$AH$17&amp;"!O"&amp;ROW(B204))</f>
        <v>1.4</v>
      </c>
      <c r="Z223" s="73">
        <f t="array" ref="Z223">INDIRECT("Update"&amp;Projections!$AH$17&amp;"!P"&amp;ROW(B204))</f>
        <v>0.5</v>
      </c>
      <c r="AA223" s="73">
        <f t="array" ref="AA223">INDIRECT("Update"&amp;Projections!$AH$17&amp;"!Q"&amp;ROW(B204))</f>
        <v>1</v>
      </c>
      <c r="AB223" s="107">
        <f t="array" ref="AB223">INDIRECT("Update"&amp;Projections!$AH$17&amp;"!I"&amp;ROW(B204))</f>
        <v>0.524</v>
      </c>
      <c r="AC223" s="107">
        <f t="array" ref="AC223">INDIRECT("Update"&amp;Projections!$AH$17&amp;"!K"&amp;ROW(B204))</f>
        <v>0.762</v>
      </c>
      <c r="AD223" s="73">
        <f t="array" ref="AD223">INDIRECT("Update"&amp;Projections!$AH$17&amp;"!R"&amp;ROW(B204))</f>
        <v>0.9</v>
      </c>
      <c r="AE223" s="73">
        <f t="shared" si="16"/>
        <v>-1.619850454</v>
      </c>
      <c r="AF223" s="73">
        <f t="shared" si="17"/>
        <v>-1.143540787</v>
      </c>
      <c r="AG223" s="73">
        <f t="shared" si="18"/>
        <v>-0.3408278074</v>
      </c>
      <c r="AH223" s="73">
        <f t="shared" si="19"/>
        <v>-1.155337874</v>
      </c>
      <c r="AI223" s="73">
        <f t="shared" si="20"/>
        <v>-1.580527123</v>
      </c>
      <c r="AJ223" s="73">
        <f t="shared" si="21"/>
        <v>0.4548448695</v>
      </c>
      <c r="AK223" s="73">
        <f t="shared" si="22"/>
        <v>0.2129510138</v>
      </c>
      <c r="AL223" s="73">
        <f t="shared" si="23"/>
        <v>-0.1398743011</v>
      </c>
      <c r="AM223" s="73">
        <f t="shared" si="24"/>
        <v>0.2104541717</v>
      </c>
      <c r="AN223" s="120">
        <f t="shared" si="25"/>
        <v>-1.619850454</v>
      </c>
      <c r="AO223" s="120">
        <f t="shared" si="26"/>
        <v>-3.200377577</v>
      </c>
      <c r="AP223" s="120">
        <f t="array" ref="AP223">INDIRECT("Update"&amp;Projections!$AH$17&amp;"!S"&amp;ROW(B204))</f>
        <v>6.7</v>
      </c>
      <c r="AQ223" s="120">
        <f t="array" ref="AQ223">INDIRECT("Update"&amp;Projections!$AH$17&amp;"!T"&amp;ROW(B204))</f>
        <v>1.2</v>
      </c>
      <c r="AR223" s="100">
        <f t="shared" si="27"/>
        <v>-3.057879744</v>
      </c>
    </row>
    <row r="224">
      <c r="A224" s="40" t="str">
        <f t="shared" si="3"/>
        <v>Dillon Brooks</v>
      </c>
      <c r="B224" s="42">
        <f t="shared" si="4"/>
        <v>-0.8069343658</v>
      </c>
      <c r="C224" s="43">
        <f t="shared" si="5"/>
        <v>0.05075080149</v>
      </c>
      <c r="D224" s="42">
        <f t="shared" si="6"/>
        <v>-1.12535523</v>
      </c>
      <c r="E224" s="42">
        <f t="shared" si="7"/>
        <v>-0.8819672513</v>
      </c>
      <c r="F224" s="42">
        <f t="shared" si="8"/>
        <v>-0.2527964105</v>
      </c>
      <c r="G224" s="42">
        <f t="shared" si="9"/>
        <v>-0.9723047469</v>
      </c>
      <c r="H224" s="42">
        <f t="shared" si="10"/>
        <v>-0.9435367995</v>
      </c>
      <c r="I224" s="42">
        <f>UpdateHashtag!S222</f>
        <v>11.2</v>
      </c>
      <c r="J224" s="47">
        <f t="shared" si="11"/>
        <v>0.09976949644</v>
      </c>
      <c r="K224" s="48">
        <f>UpdateHashtag!T222</f>
        <v>2</v>
      </c>
      <c r="L224" s="42">
        <f t="shared" si="12"/>
        <v>-0.4450452712</v>
      </c>
      <c r="N224" s="100">
        <f t="shared" si="13"/>
        <v>199</v>
      </c>
      <c r="O224" s="94" t="str">
        <f t="array" ref="O224">INDIRECT("Update"&amp;Projections!$AH$17&amp;"!B"&amp;ROW(B205))</f>
        <v/>
      </c>
      <c r="P224" s="101" t="str">
        <f t="array" ref="P224">INDIRECT("Update"&amp;Projections!$AH$17&amp;"!C"&amp;ROW(B205))</f>
        <v>Nickeil Alexander-Walker</v>
      </c>
      <c r="Q224" s="94">
        <f>UpdateBBM!F205</f>
        <v>38</v>
      </c>
      <c r="R224" s="105" t="str">
        <f t="array" ref="R224">INDIRECT("Update"&amp;Projections!$AH$17&amp;"!D"&amp;ROW(B205))</f>
        <v>SG,SF</v>
      </c>
      <c r="S224" s="73">
        <f t="shared" si="14"/>
        <v>-2.963973861</v>
      </c>
      <c r="T224" s="73">
        <f>SUM(AE224:AM224)-IFERROR(IFS(Projections!$I$17,AN224,Projections!$J$17,AO224),"")</f>
        <v>-2.963973861</v>
      </c>
      <c r="U224" s="73">
        <f t="shared" si="15"/>
        <v>0</v>
      </c>
      <c r="V224" s="73">
        <f t="array" ref="V224">INDIRECT("Update"&amp;Projections!$AH$17&amp;"!M"&amp;ROW(B205))</f>
        <v>9.5</v>
      </c>
      <c r="W224" s="73">
        <f t="array" ref="W224">INDIRECT("Update"&amp;Projections!$AH$17&amp;"!L"&amp;ROW(B205))</f>
        <v>1.8</v>
      </c>
      <c r="X224" s="73">
        <f t="array" ref="X224">INDIRECT("Update"&amp;Projections!$AH$17&amp;"!N"&amp;ROW(B205))</f>
        <v>2.5</v>
      </c>
      <c r="Y224" s="73">
        <f t="array" ref="Y224">INDIRECT("Update"&amp;Projections!$AH$17&amp;"!O"&amp;ROW(B205))</f>
        <v>2.9</v>
      </c>
      <c r="Z224" s="73">
        <f t="array" ref="Z224">INDIRECT("Update"&amp;Projections!$AH$17&amp;"!P"&amp;ROW(B205))</f>
        <v>0.9</v>
      </c>
      <c r="AA224" s="73">
        <f t="array" ref="AA224">INDIRECT("Update"&amp;Projections!$AH$17&amp;"!Q"&amp;ROW(B205))</f>
        <v>0.6</v>
      </c>
      <c r="AB224" s="107">
        <f t="array" ref="AB224">INDIRECT("Update"&amp;Projections!$AH$17&amp;"!I"&amp;ROW(B205))</f>
        <v>0.441</v>
      </c>
      <c r="AC224" s="107">
        <f t="array" ref="AC224">INDIRECT("Update"&amp;Projections!$AH$17&amp;"!K"&amp;ROW(B205))</f>
        <v>0.733</v>
      </c>
      <c r="AD224" s="73">
        <f t="array" ref="AD224">INDIRECT("Update"&amp;Projections!$AH$17&amp;"!R"&amp;ROW(B205))</f>
        <v>1.2</v>
      </c>
      <c r="AE224" s="73">
        <f t="shared" si="16"/>
        <v>-1.439202435</v>
      </c>
      <c r="AF224" s="73">
        <f t="shared" si="17"/>
        <v>0.05075080149</v>
      </c>
      <c r="AG224" s="73">
        <f t="shared" si="18"/>
        <v>-1.399939828</v>
      </c>
      <c r="AH224" s="73">
        <f t="shared" si="19"/>
        <v>-0.4719113175</v>
      </c>
      <c r="AI224" s="73">
        <f t="shared" si="20"/>
        <v>-0.2527964105</v>
      </c>
      <c r="AJ224" s="73">
        <f t="shared" si="21"/>
        <v>-0.2587299387</v>
      </c>
      <c r="AK224" s="73">
        <f t="shared" si="22"/>
        <v>-0.504291037</v>
      </c>
      <c r="AL224" s="73">
        <f t="shared" si="23"/>
        <v>-0.2631156621</v>
      </c>
      <c r="AM224" s="73">
        <f t="shared" si="24"/>
        <v>0.1360595313</v>
      </c>
      <c r="AN224" s="120">
        <f t="shared" si="25"/>
        <v>-1.439202435</v>
      </c>
      <c r="AO224" s="120">
        <f t="shared" si="26"/>
        <v>-2.839142262</v>
      </c>
      <c r="AP224" s="120">
        <f t="array" ref="AP224">INDIRECT("Update"&amp;Projections!$AH$17&amp;"!S"&amp;ROW(B205))</f>
        <v>7.7</v>
      </c>
      <c r="AQ224" s="120">
        <f t="array" ref="AQ224">INDIRECT("Update"&amp;Projections!$AH$17&amp;"!T"&amp;ROW(B205))</f>
        <v>1.2</v>
      </c>
      <c r="AR224" s="100">
        <f t="shared" si="27"/>
        <v>-3.105605856</v>
      </c>
    </row>
    <row r="225">
      <c r="A225" s="40" t="str">
        <f t="shared" si="3"/>
        <v>John Konchar</v>
      </c>
      <c r="B225" s="42">
        <f t="shared" si="4"/>
        <v>-2.306312929</v>
      </c>
      <c r="C225" s="43">
        <f t="shared" si="5"/>
        <v>-0.9444921888</v>
      </c>
      <c r="D225" s="42">
        <f t="shared" si="6"/>
        <v>-0.6546387764</v>
      </c>
      <c r="E225" s="42">
        <f t="shared" si="7"/>
        <v>-1.018652563</v>
      </c>
      <c r="F225" s="42">
        <f t="shared" si="8"/>
        <v>0.07913626764</v>
      </c>
      <c r="G225" s="42">
        <f t="shared" si="9"/>
        <v>-0.2587299387</v>
      </c>
      <c r="H225" s="42">
        <f t="shared" si="10"/>
        <v>-0.3309862529</v>
      </c>
      <c r="I225" s="42">
        <f>UpdateHashtag!S223</f>
        <v>4.1</v>
      </c>
      <c r="J225" s="47">
        <f t="shared" si="11"/>
        <v>-0.005159682468</v>
      </c>
      <c r="K225" s="48">
        <f>UpdateHashtag!T223</f>
        <v>0.5</v>
      </c>
      <c r="L225" s="42">
        <f t="shared" si="12"/>
        <v>-1.040202395</v>
      </c>
      <c r="N225" s="100">
        <f t="shared" si="13"/>
        <v>220</v>
      </c>
      <c r="O225" s="94" t="str">
        <f t="array" ref="O225">INDIRECT("Update"&amp;Projections!$AH$17&amp;"!B"&amp;ROW(B206))</f>
        <v/>
      </c>
      <c r="P225" s="101" t="str">
        <f t="array" ref="P225">INDIRECT("Update"&amp;Projections!$AH$17&amp;"!C"&amp;ROW(B206))</f>
        <v>Isaiah Jackson</v>
      </c>
      <c r="Q225" s="94">
        <f>UpdateBBM!F206</f>
        <v>71</v>
      </c>
      <c r="R225" s="105" t="str">
        <f t="array" ref="R225">INDIRECT("Update"&amp;Projections!$AH$17&amp;"!D"&amp;ROW(B206))</f>
        <v>PF,C</v>
      </c>
      <c r="S225" s="73">
        <f t="shared" si="14"/>
        <v>-3.78501419</v>
      </c>
      <c r="T225" s="73">
        <f>SUM(AE225:AM225)-IFERROR(IFS(Projections!$I$17,AN225,Projections!$J$17,AO225),"")</f>
        <v>-3.78501419</v>
      </c>
      <c r="U225" s="73">
        <f t="shared" si="15"/>
        <v>0</v>
      </c>
      <c r="V225" s="73">
        <f t="array" ref="V225">INDIRECT("Update"&amp;Projections!$AH$17&amp;"!M"&amp;ROW(B206))</f>
        <v>7.7</v>
      </c>
      <c r="W225" s="73">
        <f t="array" ref="W225">INDIRECT("Update"&amp;Projections!$AH$17&amp;"!L"&amp;ROW(B206))</f>
        <v>0</v>
      </c>
      <c r="X225" s="73">
        <f t="array" ref="X225">INDIRECT("Update"&amp;Projections!$AH$17&amp;"!N"&amp;ROW(B206))</f>
        <v>4.8</v>
      </c>
      <c r="Y225" s="73">
        <f t="array" ref="Y225">INDIRECT("Update"&amp;Projections!$AH$17&amp;"!O"&amp;ROW(B206))</f>
        <v>0.9</v>
      </c>
      <c r="Z225" s="73">
        <f t="array" ref="Z225">INDIRECT("Update"&amp;Projections!$AH$17&amp;"!P"&amp;ROW(B206))</f>
        <v>0.6</v>
      </c>
      <c r="AA225" s="73">
        <f t="array" ref="AA225">INDIRECT("Update"&amp;Projections!$AH$17&amp;"!Q"&amp;ROW(B206))</f>
        <v>1.4</v>
      </c>
      <c r="AB225" s="107">
        <f t="array" ref="AB225">INDIRECT("Update"&amp;Projections!$AH$17&amp;"!I"&amp;ROW(B206))</f>
        <v>0.607</v>
      </c>
      <c r="AC225" s="107">
        <f t="array" ref="AC225">INDIRECT("Update"&amp;Projections!$AH$17&amp;"!K"&amp;ROW(B206))</f>
        <v>0.675</v>
      </c>
      <c r="AD225" s="73">
        <f t="array" ref="AD225">INDIRECT("Update"&amp;Projections!$AH$17&amp;"!R"&amp;ROW(B206))</f>
        <v>0.8</v>
      </c>
      <c r="AE225" s="73">
        <f t="shared" si="16"/>
        <v>-1.76436887</v>
      </c>
      <c r="AF225" s="73">
        <f t="shared" si="17"/>
        <v>-1.740686581</v>
      </c>
      <c r="AG225" s="73">
        <f t="shared" si="18"/>
        <v>-0.4977332919</v>
      </c>
      <c r="AH225" s="73">
        <f t="shared" si="19"/>
        <v>-1.383146726</v>
      </c>
      <c r="AI225" s="73">
        <f t="shared" si="20"/>
        <v>-1.248594445</v>
      </c>
      <c r="AJ225" s="73">
        <f t="shared" si="21"/>
        <v>1.168419678</v>
      </c>
      <c r="AK225" s="73">
        <f t="shared" si="22"/>
        <v>0.6582050273</v>
      </c>
      <c r="AL225" s="73">
        <f t="shared" si="23"/>
        <v>-0.9767302365</v>
      </c>
      <c r="AM225" s="73">
        <f t="shared" si="24"/>
        <v>0.2352523852</v>
      </c>
      <c r="AN225" s="120">
        <f t="shared" si="25"/>
        <v>-1.76436887</v>
      </c>
      <c r="AO225" s="120">
        <f t="shared" si="26"/>
        <v>-3.505055451</v>
      </c>
      <c r="AP225" s="120">
        <f t="array" ref="AP225">INDIRECT("Update"&amp;Projections!$AH$17&amp;"!S"&amp;ROW(B206))</f>
        <v>5.1</v>
      </c>
      <c r="AQ225" s="120">
        <f t="array" ref="AQ225">INDIRECT("Update"&amp;Projections!$AH$17&amp;"!T"&amp;ROW(B206))</f>
        <v>2.3</v>
      </c>
      <c r="AR225" s="100">
        <f t="shared" si="27"/>
        <v>-3.170380445</v>
      </c>
    </row>
    <row r="226">
      <c r="A226" s="40" t="str">
        <f t="shared" si="3"/>
        <v>Royce O'Neale</v>
      </c>
      <c r="B226" s="42">
        <f t="shared" si="4"/>
        <v>-1.85469288</v>
      </c>
      <c r="C226" s="43">
        <f t="shared" si="5"/>
        <v>0.05075080149</v>
      </c>
      <c r="D226" s="42">
        <f t="shared" si="6"/>
        <v>-0.6938651475</v>
      </c>
      <c r="E226" s="42">
        <f t="shared" si="7"/>
        <v>-0.5174730879</v>
      </c>
      <c r="F226" s="42">
        <f t="shared" si="8"/>
        <v>-0.9166617668</v>
      </c>
      <c r="G226" s="42">
        <f t="shared" si="9"/>
        <v>-0.4371236408</v>
      </c>
      <c r="H226" s="42">
        <f t="shared" si="10"/>
        <v>-0.7817820455</v>
      </c>
      <c r="I226" s="42">
        <f>UpdateHashtag!S224</f>
        <v>6.3</v>
      </c>
      <c r="J226" s="47">
        <f t="shared" si="11"/>
        <v>-0.1868039584</v>
      </c>
      <c r="K226" s="48">
        <f>UpdateHashtag!T224</f>
        <v>0.6</v>
      </c>
      <c r="L226" s="42">
        <f t="shared" si="12"/>
        <v>-0.643430979</v>
      </c>
      <c r="N226" s="100">
        <f t="shared" si="13"/>
        <v>211</v>
      </c>
      <c r="O226" s="94">
        <f t="array" ref="O226">INDIRECT("Update"&amp;Projections!$AH$17&amp;"!B"&amp;ROW(B207))</f>
        <v>146</v>
      </c>
      <c r="P226" s="101" t="str">
        <f t="array" ref="P226">INDIRECT("Update"&amp;Projections!$AH$17&amp;"!C"&amp;ROW(B207))</f>
        <v>Sam Hauser</v>
      </c>
      <c r="Q226" s="94">
        <f>UpdateBBM!F207</f>
        <v>66</v>
      </c>
      <c r="R226" s="105" t="str">
        <f t="array" ref="R226">INDIRECT("Update"&amp;Projections!$AH$17&amp;"!D"&amp;ROW(B207))</f>
        <v>SF,PF</v>
      </c>
      <c r="S226" s="73">
        <f t="shared" si="14"/>
        <v>-3.40088915</v>
      </c>
      <c r="T226" s="73">
        <f>SUM(AE226:AM226)-IFERROR(IFS(Projections!$I$17,AN226,Projections!$J$17,AO226),"")</f>
        <v>-3.40088915</v>
      </c>
      <c r="U226" s="73">
        <f t="shared" si="15"/>
        <v>0</v>
      </c>
      <c r="V226" s="73">
        <f t="array" ref="V226">INDIRECT("Update"&amp;Projections!$AH$17&amp;"!M"&amp;ROW(B207))</f>
        <v>9.6</v>
      </c>
      <c r="W226" s="73">
        <f t="array" ref="W226">INDIRECT("Update"&amp;Projections!$AH$17&amp;"!L"&amp;ROW(B207))</f>
        <v>2.6</v>
      </c>
      <c r="X226" s="73">
        <f t="array" ref="X226">INDIRECT("Update"&amp;Projections!$AH$17&amp;"!N"&amp;ROW(B207))</f>
        <v>3.8</v>
      </c>
      <c r="Y226" s="73">
        <f t="array" ref="Y226">INDIRECT("Update"&amp;Projections!$AH$17&amp;"!O"&amp;ROW(B207))</f>
        <v>1.2</v>
      </c>
      <c r="Z226" s="73">
        <f t="array" ref="Z226">INDIRECT("Update"&amp;Projections!$AH$17&amp;"!P"&amp;ROW(B207))</f>
        <v>0.5</v>
      </c>
      <c r="AA226" s="73">
        <f t="array" ref="AA226">INDIRECT("Update"&amp;Projections!$AH$17&amp;"!Q"&amp;ROW(B207))</f>
        <v>0.4</v>
      </c>
      <c r="AB226" s="107">
        <f t="array" ref="AB226">INDIRECT("Update"&amp;Projections!$AH$17&amp;"!I"&amp;ROW(B207))</f>
        <v>0.45</v>
      </c>
      <c r="AC226" s="107">
        <f t="array" ref="AC226">INDIRECT("Update"&amp;Projections!$AH$17&amp;"!K"&amp;ROW(B207))</f>
        <v>0.821</v>
      </c>
      <c r="AD226" s="73">
        <f t="array" ref="AD226">INDIRECT("Update"&amp;Projections!$AH$17&amp;"!R"&amp;ROW(B207))</f>
        <v>0.5</v>
      </c>
      <c r="AE226" s="73">
        <f t="shared" si="16"/>
        <v>-1.421137633</v>
      </c>
      <c r="AF226" s="73">
        <f t="shared" si="17"/>
        <v>0.8469451937</v>
      </c>
      <c r="AG226" s="73">
        <f t="shared" si="18"/>
        <v>-0.8899970031</v>
      </c>
      <c r="AH226" s="73">
        <f t="shared" si="19"/>
        <v>-1.246461415</v>
      </c>
      <c r="AI226" s="73">
        <f t="shared" si="20"/>
        <v>-1.580527123</v>
      </c>
      <c r="AJ226" s="73">
        <f t="shared" si="21"/>
        <v>-0.6155173428</v>
      </c>
      <c r="AK226" s="73">
        <f t="shared" si="22"/>
        <v>-0.4120825068</v>
      </c>
      <c r="AL226" s="73">
        <f t="shared" si="23"/>
        <v>0.02771453078</v>
      </c>
      <c r="AM226" s="73">
        <f t="shared" si="24"/>
        <v>0.3096470256</v>
      </c>
      <c r="AN226" s="120">
        <f t="shared" si="25"/>
        <v>-1.580527123</v>
      </c>
      <c r="AO226" s="120">
        <f t="shared" si="26"/>
        <v>-3.001664756</v>
      </c>
      <c r="AP226" s="120">
        <f t="array" ref="AP226">INDIRECT("Update"&amp;Projections!$AH$17&amp;"!S"&amp;ROW(B207))</f>
        <v>7.5</v>
      </c>
      <c r="AQ226" s="120">
        <f t="array" ref="AQ226">INDIRECT("Update"&amp;Projections!$AH$17&amp;"!T"&amp;ROW(B207))</f>
        <v>0.3</v>
      </c>
      <c r="AR226" s="100">
        <f t="shared" si="27"/>
        <v>-3.181455378</v>
      </c>
    </row>
    <row r="227">
      <c r="A227" s="40" t="str">
        <f t="shared" si="3"/>
        <v>Kyle Anderson</v>
      </c>
      <c r="B227" s="42">
        <f t="shared" si="4"/>
        <v>-1.999211295</v>
      </c>
      <c r="C227" s="43">
        <f t="shared" si="5"/>
        <v>-1.442113684</v>
      </c>
      <c r="D227" s="42">
        <f t="shared" si="6"/>
        <v>-0.9684497454</v>
      </c>
      <c r="E227" s="42">
        <f t="shared" si="7"/>
        <v>-0.1074171541</v>
      </c>
      <c r="F227" s="42">
        <f t="shared" si="8"/>
        <v>-0.5847290887</v>
      </c>
      <c r="G227" s="42">
        <f t="shared" si="9"/>
        <v>-0.2587299387</v>
      </c>
      <c r="H227" s="42">
        <f t="shared" si="10"/>
        <v>-0.06631196695</v>
      </c>
      <c r="I227" s="42">
        <f>UpdateHashtag!S225</f>
        <v>5.2</v>
      </c>
      <c r="J227" s="47">
        <f t="shared" si="11"/>
        <v>-0.3767037263</v>
      </c>
      <c r="K227" s="48">
        <f>UpdateHashtag!T225</f>
        <v>1.5</v>
      </c>
      <c r="L227" s="42">
        <f t="shared" si="12"/>
        <v>-0.643430979</v>
      </c>
      <c r="N227" s="100">
        <f t="shared" si="13"/>
        <v>204</v>
      </c>
      <c r="O227" s="94" t="str">
        <f t="array" ref="O227">INDIRECT("Update"&amp;Projections!$AH$17&amp;"!B"&amp;ROW(B208))</f>
        <v/>
      </c>
      <c r="P227" s="101" t="str">
        <f t="array" ref="P227">INDIRECT("Update"&amp;Projections!$AH$17&amp;"!C"&amp;ROW(B208))</f>
        <v>Eric Gordon</v>
      </c>
      <c r="Q227" s="94">
        <f>UpdateBBM!F208</f>
        <v>66</v>
      </c>
      <c r="R227" s="105" t="str">
        <f t="array" ref="R227">INDIRECT("Update"&amp;Projections!$AH$17&amp;"!D"&amp;ROW(B208))</f>
        <v>SG,SF</v>
      </c>
      <c r="S227" s="73">
        <f t="shared" si="14"/>
        <v>-3.105605856</v>
      </c>
      <c r="T227" s="73">
        <f>SUM(AE227:AM227)-IFERROR(IFS(Projections!$I$17,AN227,Projections!$J$17,AO227),"")</f>
        <v>-3.105605856</v>
      </c>
      <c r="U227" s="73">
        <f t="shared" si="15"/>
        <v>0</v>
      </c>
      <c r="V227" s="73">
        <f t="array" ref="V227">INDIRECT("Update"&amp;Projections!$AH$17&amp;"!M"&amp;ROW(B208))</f>
        <v>11.6</v>
      </c>
      <c r="W227" s="73">
        <f t="array" ref="W227">INDIRECT("Update"&amp;Projections!$AH$17&amp;"!L"&amp;ROW(B208))</f>
        <v>2</v>
      </c>
      <c r="X227" s="73">
        <f t="array" ref="X227">INDIRECT("Update"&amp;Projections!$AH$17&amp;"!N"&amp;ROW(B208))</f>
        <v>1.9</v>
      </c>
      <c r="Y227" s="73">
        <f t="array" ref="Y227">INDIRECT("Update"&amp;Projections!$AH$17&amp;"!O"&amp;ROW(B208))</f>
        <v>2.3</v>
      </c>
      <c r="Z227" s="73">
        <f t="array" ref="Z227">INDIRECT("Update"&amp;Projections!$AH$17&amp;"!P"&amp;ROW(B208))</f>
        <v>0.8</v>
      </c>
      <c r="AA227" s="73">
        <f t="array" ref="AA227">INDIRECT("Update"&amp;Projections!$AH$17&amp;"!Q"&amp;ROW(B208))</f>
        <v>0.4</v>
      </c>
      <c r="AB227" s="107">
        <f t="array" ref="AB227">INDIRECT("Update"&amp;Projections!$AH$17&amp;"!I"&amp;ROW(B208))</f>
        <v>0.444</v>
      </c>
      <c r="AC227" s="107">
        <f t="array" ref="AC227">INDIRECT("Update"&amp;Projections!$AH$17&amp;"!K"&amp;ROW(B208))</f>
        <v>0.813</v>
      </c>
      <c r="AD227" s="73">
        <f t="array" ref="AD227">INDIRECT("Update"&amp;Projections!$AH$17&amp;"!R"&amp;ROW(B208))</f>
        <v>1.3</v>
      </c>
      <c r="AE227" s="73">
        <f t="shared" si="16"/>
        <v>-1.059841593</v>
      </c>
      <c r="AF227" s="73">
        <f t="shared" si="17"/>
        <v>0.2497993996</v>
      </c>
      <c r="AG227" s="73">
        <f t="shared" si="18"/>
        <v>-1.635298055</v>
      </c>
      <c r="AH227" s="73">
        <f t="shared" si="19"/>
        <v>-0.74528194</v>
      </c>
      <c r="AI227" s="73">
        <f t="shared" si="20"/>
        <v>-0.5847290887</v>
      </c>
      <c r="AJ227" s="73">
        <f t="shared" si="21"/>
        <v>-0.6155173428</v>
      </c>
      <c r="AK227" s="73">
        <f t="shared" si="22"/>
        <v>-0.5701823255</v>
      </c>
      <c r="AL227" s="73">
        <f t="shared" si="23"/>
        <v>0.1088857172</v>
      </c>
      <c r="AM227" s="73">
        <f t="shared" si="24"/>
        <v>0.1112613178</v>
      </c>
      <c r="AN227" s="120">
        <f t="shared" si="25"/>
        <v>-1.635298055</v>
      </c>
      <c r="AO227" s="120">
        <f t="shared" si="26"/>
        <v>-2.695139648</v>
      </c>
      <c r="AP227" s="120">
        <f t="array" ref="AP227">INDIRECT("Update"&amp;Projections!$AH$17&amp;"!S"&amp;ROW(B208))</f>
        <v>9.2</v>
      </c>
      <c r="AQ227" s="120">
        <f t="array" ref="AQ227">INDIRECT("Update"&amp;Projections!$AH$17&amp;"!T"&amp;ROW(B208))</f>
        <v>1.7</v>
      </c>
      <c r="AR227" s="100">
        <f t="shared" si="27"/>
        <v>-3.242429987</v>
      </c>
    </row>
    <row r="228">
      <c r="A228" s="40" t="str">
        <f t="shared" si="3"/>
        <v>Luke Kornet</v>
      </c>
      <c r="B228" s="42">
        <f t="shared" si="4"/>
        <v>-2.197924117</v>
      </c>
      <c r="C228" s="43">
        <f t="shared" si="5"/>
        <v>-1.740686581</v>
      </c>
      <c r="D228" s="42">
        <f t="shared" si="6"/>
        <v>-0.8115442609</v>
      </c>
      <c r="E228" s="42">
        <f t="shared" si="7"/>
        <v>-1.292023185</v>
      </c>
      <c r="F228" s="42">
        <f t="shared" si="8"/>
        <v>-2.244392479</v>
      </c>
      <c r="G228" s="42">
        <f t="shared" si="9"/>
        <v>0.2764511674</v>
      </c>
      <c r="H228" s="42">
        <f t="shared" si="10"/>
        <v>0.7237028029</v>
      </c>
      <c r="I228" s="42">
        <f>UpdateHashtag!S226</f>
        <v>3.3</v>
      </c>
      <c r="J228" s="47">
        <f t="shared" si="11"/>
        <v>0.2013964786</v>
      </c>
      <c r="K228" s="48">
        <f>UpdateHashtag!T226</f>
        <v>0.8</v>
      </c>
      <c r="L228" s="42">
        <f t="shared" si="12"/>
        <v>-1.337780956</v>
      </c>
      <c r="N228" s="100">
        <f t="shared" si="13"/>
        <v>213</v>
      </c>
      <c r="O228" s="94">
        <f t="array" ref="O228">INDIRECT("Update"&amp;Projections!$AH$17&amp;"!B"&amp;ROW(B209))</f>
        <v>146.5</v>
      </c>
      <c r="P228" s="101" t="str">
        <f t="array" ref="P228">INDIRECT("Update"&amp;Projections!$AH$17&amp;"!C"&amp;ROW(B209))</f>
        <v>De'Andre Hunter</v>
      </c>
      <c r="Q228" s="94">
        <f>UpdateBBM!F209</f>
        <v>62</v>
      </c>
      <c r="R228" s="105" t="str">
        <f t="array" ref="R228">INDIRECT("Update"&amp;Projections!$AH$17&amp;"!D"&amp;ROW(B209))</f>
        <v>SF,PF</v>
      </c>
      <c r="S228" s="73">
        <f t="shared" si="14"/>
        <v>-3.462534567</v>
      </c>
      <c r="T228" s="73">
        <f>SUM(AE228:AM228)-IFERROR(IFS(Projections!$I$17,AN228,Projections!$J$17,AO228),"")</f>
        <v>-3.462534567</v>
      </c>
      <c r="U228" s="73">
        <f t="shared" si="15"/>
        <v>0</v>
      </c>
      <c r="V228" s="73">
        <f t="array" ref="V228">INDIRECT("Update"&amp;Projections!$AH$17&amp;"!M"&amp;ROW(B209))</f>
        <v>14.3</v>
      </c>
      <c r="W228" s="73">
        <f t="array" ref="W228">INDIRECT("Update"&amp;Projections!$AH$17&amp;"!L"&amp;ROW(B209))</f>
        <v>1.6</v>
      </c>
      <c r="X228" s="73">
        <f t="array" ref="X228">INDIRECT("Update"&amp;Projections!$AH$17&amp;"!N"&amp;ROW(B209))</f>
        <v>3.8</v>
      </c>
      <c r="Y228" s="73">
        <f t="array" ref="Y228">INDIRECT("Update"&amp;Projections!$AH$17&amp;"!O"&amp;ROW(B209))</f>
        <v>1.4</v>
      </c>
      <c r="Z228" s="73">
        <f t="array" ref="Z228">INDIRECT("Update"&amp;Projections!$AH$17&amp;"!P"&amp;ROW(B209))</f>
        <v>0.6</v>
      </c>
      <c r="AA228" s="73">
        <f t="array" ref="AA228">INDIRECT("Update"&amp;Projections!$AH$17&amp;"!Q"&amp;ROW(B209))</f>
        <v>0.3</v>
      </c>
      <c r="AB228" s="107">
        <f t="array" ref="AB228">INDIRECT("Update"&amp;Projections!$AH$17&amp;"!I"&amp;ROW(B209))</f>
        <v>0.46</v>
      </c>
      <c r="AC228" s="107">
        <f t="array" ref="AC228">INDIRECT("Update"&amp;Projections!$AH$17&amp;"!K"&amp;ROW(B209))</f>
        <v>0.836</v>
      </c>
      <c r="AD228" s="73">
        <f t="array" ref="AD228">INDIRECT("Update"&amp;Projections!$AH$17&amp;"!R"&amp;ROW(B209))</f>
        <v>1.2</v>
      </c>
      <c r="AE228" s="73">
        <f t="shared" si="16"/>
        <v>-0.5720919403</v>
      </c>
      <c r="AF228" s="73">
        <f t="shared" si="17"/>
        <v>-0.1482977966</v>
      </c>
      <c r="AG228" s="73">
        <f t="shared" si="18"/>
        <v>-0.8899970031</v>
      </c>
      <c r="AH228" s="73">
        <f t="shared" si="19"/>
        <v>-1.155337874</v>
      </c>
      <c r="AI228" s="73">
        <f t="shared" si="20"/>
        <v>-1.248594445</v>
      </c>
      <c r="AJ228" s="73">
        <f t="shared" si="21"/>
        <v>-0.7939110449</v>
      </c>
      <c r="AK228" s="73">
        <f t="shared" si="22"/>
        <v>-0.4754675761</v>
      </c>
      <c r="AL228" s="73">
        <f t="shared" si="23"/>
        <v>0.4365091368</v>
      </c>
      <c r="AM228" s="73">
        <f t="shared" si="24"/>
        <v>0.1360595313</v>
      </c>
      <c r="AN228" s="120">
        <f t="shared" si="25"/>
        <v>-1.248594445</v>
      </c>
      <c r="AO228" s="120">
        <f t="shared" si="26"/>
        <v>-2.403932319</v>
      </c>
      <c r="AP228" s="120">
        <f t="array" ref="AP228">INDIRECT("Update"&amp;Projections!$AH$17&amp;"!S"&amp;ROW(B209))</f>
        <v>11</v>
      </c>
      <c r="AQ228" s="120">
        <f t="array" ref="AQ228">INDIRECT("Update"&amp;Projections!$AH$17&amp;"!T"&amp;ROW(B209))</f>
        <v>3</v>
      </c>
      <c r="AR228" s="100">
        <f t="shared" si="27"/>
        <v>-3.294061203</v>
      </c>
    </row>
    <row r="229">
      <c r="A229" s="40" t="str">
        <f t="shared" si="3"/>
        <v>Bojan Bogdanovic</v>
      </c>
      <c r="B229" s="42">
        <f t="shared" si="4"/>
        <v>-0.1746662971</v>
      </c>
      <c r="C229" s="43">
        <f t="shared" si="5"/>
        <v>0.4488479976</v>
      </c>
      <c r="D229" s="42">
        <f t="shared" si="6"/>
        <v>-1.243034343</v>
      </c>
      <c r="E229" s="42">
        <f t="shared" si="7"/>
        <v>-0.9275290217</v>
      </c>
      <c r="F229" s="42">
        <f t="shared" si="8"/>
        <v>-1.580527123</v>
      </c>
      <c r="G229" s="42">
        <f t="shared" si="9"/>
        <v>-1.150698449</v>
      </c>
      <c r="H229" s="42">
        <f t="shared" si="10"/>
        <v>-0.71828909</v>
      </c>
      <c r="I229" s="42">
        <f>UpdateHashtag!S227</f>
        <v>12.8</v>
      </c>
      <c r="J229" s="47">
        <f t="shared" si="11"/>
        <v>-0.0237228128</v>
      </c>
      <c r="K229" s="48">
        <f>UpdateHashtag!T227</f>
        <v>3.5</v>
      </c>
      <c r="L229" s="42">
        <f t="shared" si="12"/>
        <v>0.05091899834</v>
      </c>
      <c r="N229" s="100">
        <f t="shared" si="13"/>
        <v>202</v>
      </c>
      <c r="O229" s="94" t="str">
        <f t="array" ref="O229">INDIRECT("Update"&amp;Projections!$AH$17&amp;"!B"&amp;ROW(B210))</f>
        <v/>
      </c>
      <c r="P229" s="101" t="str">
        <f t="array" ref="P229">INDIRECT("Update"&amp;Projections!$AH$17&amp;"!C"&amp;ROW(B210))</f>
        <v>Cason Wallace</v>
      </c>
      <c r="Q229" s="94">
        <f>UpdateBBM!F210</f>
        <v>52</v>
      </c>
      <c r="R229" s="105" t="str">
        <f t="array" ref="R229">INDIRECT("Update"&amp;Projections!$AH$17&amp;"!D"&amp;ROW(B210))</f>
        <v>PG,SG</v>
      </c>
      <c r="S229" s="73">
        <f t="shared" si="14"/>
        <v>-3.057629767</v>
      </c>
      <c r="T229" s="73">
        <f>SUM(AE229:AM229)-IFERROR(IFS(Projections!$I$17,AN229,Projections!$J$17,AO229),"")</f>
        <v>-3.057629767</v>
      </c>
      <c r="U229" s="73">
        <f t="shared" si="15"/>
        <v>0</v>
      </c>
      <c r="V229" s="73">
        <f t="array" ref="V229">INDIRECT("Update"&amp;Projections!$AH$17&amp;"!M"&amp;ROW(B210))</f>
        <v>7.4</v>
      </c>
      <c r="W229" s="73">
        <f t="array" ref="W229">INDIRECT("Update"&amp;Projections!$AH$17&amp;"!L"&amp;ROW(B210))</f>
        <v>1.3</v>
      </c>
      <c r="X229" s="73">
        <f t="array" ref="X229">INDIRECT("Update"&amp;Projections!$AH$17&amp;"!N"&amp;ROW(B210))</f>
        <v>2.5</v>
      </c>
      <c r="Y229" s="73">
        <f t="array" ref="Y229">INDIRECT("Update"&amp;Projections!$AH$17&amp;"!O"&amp;ROW(B210))</f>
        <v>1.6</v>
      </c>
      <c r="Z229" s="73">
        <f t="array" ref="Z229">INDIRECT("Update"&amp;Projections!$AH$17&amp;"!P"&amp;ROW(B210))</f>
        <v>1</v>
      </c>
      <c r="AA229" s="73">
        <f t="array" ref="AA229">INDIRECT("Update"&amp;Projections!$AH$17&amp;"!Q"&amp;ROW(B210))</f>
        <v>0.5</v>
      </c>
      <c r="AB229" s="107">
        <f t="array" ref="AB229">INDIRECT("Update"&amp;Projections!$AH$17&amp;"!I"&amp;ROW(B210))</f>
        <v>0.491</v>
      </c>
      <c r="AC229" s="107">
        <f t="array" ref="AC229">INDIRECT("Update"&amp;Projections!$AH$17&amp;"!K"&amp;ROW(B210))</f>
        <v>0.776</v>
      </c>
      <c r="AD229" s="73">
        <f t="array" ref="AD229">INDIRECT("Update"&amp;Projections!$AH$17&amp;"!R"&amp;ROW(B210))</f>
        <v>0.6</v>
      </c>
      <c r="AE229" s="73">
        <f t="shared" si="16"/>
        <v>-1.818563276</v>
      </c>
      <c r="AF229" s="73">
        <f t="shared" si="17"/>
        <v>-0.4468706937</v>
      </c>
      <c r="AG229" s="73">
        <f t="shared" si="18"/>
        <v>-1.399939828</v>
      </c>
      <c r="AH229" s="73">
        <f t="shared" si="19"/>
        <v>-1.064214333</v>
      </c>
      <c r="AI229" s="73">
        <f t="shared" si="20"/>
        <v>0.07913626764</v>
      </c>
      <c r="AJ229" s="73">
        <f t="shared" si="21"/>
        <v>-0.4371236408</v>
      </c>
      <c r="AK229" s="73">
        <f t="shared" si="22"/>
        <v>-0.03997532124</v>
      </c>
      <c r="AL229" s="73">
        <f t="shared" si="23"/>
        <v>-0.03349102984</v>
      </c>
      <c r="AM229" s="73">
        <f t="shared" si="24"/>
        <v>0.2848488121</v>
      </c>
      <c r="AN229" s="120">
        <f t="shared" si="25"/>
        <v>-1.818563276</v>
      </c>
      <c r="AO229" s="120">
        <f t="shared" si="26"/>
        <v>-3.218503104</v>
      </c>
      <c r="AP229" s="120">
        <f t="array" ref="AP229">INDIRECT("Update"&amp;Projections!$AH$17&amp;"!S"&amp;ROW(B210))</f>
        <v>5.8</v>
      </c>
      <c r="AQ229" s="120">
        <f t="array" ref="AQ229">INDIRECT("Update"&amp;Projections!$AH$17&amp;"!T"&amp;ROW(B210))</f>
        <v>0.5</v>
      </c>
      <c r="AR229" s="100">
        <f t="shared" si="27"/>
        <v>-3.317708834</v>
      </c>
    </row>
    <row r="230">
      <c r="A230" s="40" t="str">
        <f t="shared" si="3"/>
        <v>Day'Ron Sharpe</v>
      </c>
      <c r="B230" s="42">
        <f t="shared" si="4"/>
        <v>-1.710174464</v>
      </c>
      <c r="C230" s="43">
        <f t="shared" si="5"/>
        <v>-1.641162282</v>
      </c>
      <c r="D230" s="42">
        <f t="shared" si="6"/>
        <v>0.4829259862</v>
      </c>
      <c r="E230" s="42">
        <f t="shared" si="7"/>
        <v>-1.109776103</v>
      </c>
      <c r="F230" s="42">
        <f t="shared" si="8"/>
        <v>-1.580527123</v>
      </c>
      <c r="G230" s="42">
        <f t="shared" si="9"/>
        <v>0.2764511674</v>
      </c>
      <c r="H230" s="42">
        <f t="shared" si="10"/>
        <v>0.4283422732</v>
      </c>
      <c r="I230" s="42">
        <f>UpdateHashtag!S228</f>
        <v>5.7</v>
      </c>
      <c r="J230" s="47">
        <f t="shared" si="11"/>
        <v>-1.245908525</v>
      </c>
      <c r="K230" s="48">
        <f>UpdateHashtag!T228</f>
        <v>2.2</v>
      </c>
      <c r="L230" s="42">
        <f t="shared" si="12"/>
        <v>-0.3458524173</v>
      </c>
      <c r="N230" s="100">
        <f t="shared" si="13"/>
        <v>201</v>
      </c>
      <c r="O230" s="94" t="str">
        <f t="array" ref="O230">INDIRECT("Update"&amp;Projections!$AH$17&amp;"!B"&amp;ROW(B211))</f>
        <v/>
      </c>
      <c r="P230" s="101" t="str">
        <f t="array" ref="P230">INDIRECT("Update"&amp;Projections!$AH$17&amp;"!C"&amp;ROW(B211))</f>
        <v>Nicolas Batum</v>
      </c>
      <c r="Q230" s="94">
        <f>UpdateBBM!F211</f>
        <v>59</v>
      </c>
      <c r="R230" s="105" t="str">
        <f t="array" ref="R230">INDIRECT("Update"&amp;Projections!$AH$17&amp;"!D"&amp;ROW(B211))</f>
        <v>SF,PF</v>
      </c>
      <c r="S230" s="73">
        <f t="shared" si="14"/>
        <v>-3.002411656</v>
      </c>
      <c r="T230" s="73">
        <f>SUM(AE230:AM230)-IFERROR(IFS(Projections!$I$17,AN230,Projections!$J$17,AO230),"")</f>
        <v>-3.002411656</v>
      </c>
      <c r="U230" s="73">
        <f t="shared" si="15"/>
        <v>0</v>
      </c>
      <c r="V230" s="73">
        <f t="array" ref="V230">INDIRECT("Update"&amp;Projections!$AH$17&amp;"!M"&amp;ROW(B211))</f>
        <v>6.2</v>
      </c>
      <c r="W230" s="73">
        <f t="array" ref="W230">INDIRECT("Update"&amp;Projections!$AH$17&amp;"!L"&amp;ROW(B211))</f>
        <v>1.5</v>
      </c>
      <c r="X230" s="73">
        <f t="array" ref="X230">INDIRECT("Update"&amp;Projections!$AH$17&amp;"!N"&amp;ROW(B211))</f>
        <v>4.2</v>
      </c>
      <c r="Y230" s="73">
        <f t="array" ref="Y230">INDIRECT("Update"&amp;Projections!$AH$17&amp;"!O"&amp;ROW(B211))</f>
        <v>1.9</v>
      </c>
      <c r="Z230" s="73">
        <f t="array" ref="Z230">INDIRECT("Update"&amp;Projections!$AH$17&amp;"!P"&amp;ROW(B211))</f>
        <v>0.8</v>
      </c>
      <c r="AA230" s="73">
        <f t="array" ref="AA230">INDIRECT("Update"&amp;Projections!$AH$17&amp;"!Q"&amp;ROW(B211))</f>
        <v>0.6</v>
      </c>
      <c r="AB230" s="107">
        <f t="array" ref="AB230">INDIRECT("Update"&amp;Projections!$AH$17&amp;"!I"&amp;ROW(B211))</f>
        <v>0.432</v>
      </c>
      <c r="AC230" s="107">
        <f t="array" ref="AC230">INDIRECT("Update"&amp;Projections!$AH$17&amp;"!K"&amp;ROW(B211))</f>
        <v>0.717</v>
      </c>
      <c r="AD230" s="73">
        <f t="array" ref="AD230">INDIRECT("Update"&amp;Projections!$AH$17&amp;"!R"&amp;ROW(B211))</f>
        <v>0.7</v>
      </c>
      <c r="AE230" s="73">
        <f t="shared" si="16"/>
        <v>-2.035340899</v>
      </c>
      <c r="AF230" s="73">
        <f t="shared" si="17"/>
        <v>-0.2478220956</v>
      </c>
      <c r="AG230" s="73">
        <f t="shared" si="18"/>
        <v>-0.7330915186</v>
      </c>
      <c r="AH230" s="73">
        <f t="shared" si="19"/>
        <v>-0.9275290217</v>
      </c>
      <c r="AI230" s="73">
        <f t="shared" si="20"/>
        <v>-0.5847290887</v>
      </c>
      <c r="AJ230" s="73">
        <f t="shared" si="21"/>
        <v>-0.2587299387</v>
      </c>
      <c r="AK230" s="73">
        <f t="shared" si="22"/>
        <v>-0.3725977184</v>
      </c>
      <c r="AL230" s="73">
        <f t="shared" si="23"/>
        <v>-0.1379628733</v>
      </c>
      <c r="AM230" s="73">
        <f t="shared" si="24"/>
        <v>0.2600505987</v>
      </c>
      <c r="AN230" s="120">
        <f t="shared" si="25"/>
        <v>-2.035340899</v>
      </c>
      <c r="AO230" s="120">
        <f t="shared" si="26"/>
        <v>-2.962869921</v>
      </c>
      <c r="AP230" s="120">
        <f t="array" ref="AP230">INDIRECT("Update"&amp;Projections!$AH$17&amp;"!S"&amp;ROW(B211))</f>
        <v>4.9</v>
      </c>
      <c r="AQ230" s="120">
        <f t="array" ref="AQ230">INDIRECT("Update"&amp;Projections!$AH$17&amp;"!T"&amp;ROW(B211))</f>
        <v>0.5</v>
      </c>
      <c r="AR230" s="100">
        <f t="shared" si="27"/>
        <v>-3.322101101</v>
      </c>
    </row>
    <row r="231">
      <c r="A231" s="40" t="str">
        <f t="shared" si="3"/>
        <v>Isaac Okoro</v>
      </c>
      <c r="B231" s="42">
        <f t="shared" si="4"/>
        <v>-1.565656048</v>
      </c>
      <c r="C231" s="43">
        <f t="shared" si="5"/>
        <v>-0.6459192917</v>
      </c>
      <c r="D231" s="42">
        <f t="shared" si="6"/>
        <v>-1.203807972</v>
      </c>
      <c r="E231" s="42">
        <f t="shared" si="7"/>
        <v>-1.018652563</v>
      </c>
      <c r="F231" s="42">
        <f t="shared" si="8"/>
        <v>-0.2527964105</v>
      </c>
      <c r="G231" s="42">
        <f t="shared" si="9"/>
        <v>-0.4371236408</v>
      </c>
      <c r="H231" s="42">
        <f t="shared" si="10"/>
        <v>-0.0441106993</v>
      </c>
      <c r="I231" s="42">
        <f>UpdateHashtag!S229</f>
        <v>6.4</v>
      </c>
      <c r="J231" s="47">
        <f t="shared" si="11"/>
        <v>-0.5444450034</v>
      </c>
      <c r="K231" s="48">
        <f>UpdateHashtag!T229</f>
        <v>1.9</v>
      </c>
      <c r="L231" s="42">
        <f t="shared" si="12"/>
        <v>-1.040202395</v>
      </c>
      <c r="N231" s="100">
        <f t="shared" si="13"/>
        <v>234</v>
      </c>
      <c r="O231" s="94">
        <f t="array" ref="O231">INDIRECT("Update"&amp;Projections!$AH$17&amp;"!B"&amp;ROW(B212))</f>
        <v>142.2</v>
      </c>
      <c r="P231" s="101" t="str">
        <f t="array" ref="P231">INDIRECT("Update"&amp;Projections!$AH$17&amp;"!C"&amp;ROW(B212))</f>
        <v>Harrison Barnes</v>
      </c>
      <c r="Q231" s="94">
        <f>UpdateBBM!F212</f>
        <v>68</v>
      </c>
      <c r="R231" s="105" t="str">
        <f t="array" ref="R231">INDIRECT("Update"&amp;Projections!$AH$17&amp;"!D"&amp;ROW(B212))</f>
        <v>SF,PF</v>
      </c>
      <c r="S231" s="73">
        <f t="shared" si="14"/>
        <v>-4.209773347</v>
      </c>
      <c r="T231" s="73">
        <f>SUM(AE231:AM231)-IFERROR(IFS(Projections!$I$17,AN231,Projections!$J$17,AO231),"")</f>
        <v>-4.209773347</v>
      </c>
      <c r="U231" s="73">
        <f t="shared" si="15"/>
        <v>0</v>
      </c>
      <c r="V231" s="73">
        <f t="array" ref="V231">INDIRECT("Update"&amp;Projections!$AH$17&amp;"!M"&amp;ROW(B212))</f>
        <v>12.2</v>
      </c>
      <c r="W231" s="73">
        <f t="array" ref="W231">INDIRECT("Update"&amp;Projections!$AH$17&amp;"!L"&amp;ROW(B212))</f>
        <v>1.5</v>
      </c>
      <c r="X231" s="73">
        <f t="array" ref="X231">INDIRECT("Update"&amp;Projections!$AH$17&amp;"!N"&amp;ROW(B212))</f>
        <v>3.4</v>
      </c>
      <c r="Y231" s="73">
        <f t="array" ref="Y231">INDIRECT("Update"&amp;Projections!$AH$17&amp;"!O"&amp;ROW(B212))</f>
        <v>1.2</v>
      </c>
      <c r="Z231" s="73">
        <f t="array" ref="Z231">INDIRECT("Update"&amp;Projections!$AH$17&amp;"!P"&amp;ROW(B212))</f>
        <v>0.6</v>
      </c>
      <c r="AA231" s="73">
        <f t="array" ref="AA231">INDIRECT("Update"&amp;Projections!$AH$17&amp;"!Q"&amp;ROW(B212))</f>
        <v>0.1</v>
      </c>
      <c r="AB231" s="107">
        <f t="array" ref="AB231">INDIRECT("Update"&amp;Projections!$AH$17&amp;"!I"&amp;ROW(B212))</f>
        <v>0.473</v>
      </c>
      <c r="AC231" s="107">
        <f t="array" ref="AC231">INDIRECT("Update"&amp;Projections!$AH$17&amp;"!K"&amp;ROW(B212))</f>
        <v>0.832</v>
      </c>
      <c r="AD231" s="73">
        <f t="array" ref="AD231">INDIRECT("Update"&amp;Projections!$AH$17&amp;"!R"&amp;ROW(B212))</f>
        <v>0.8</v>
      </c>
      <c r="AE231" s="73">
        <f t="shared" si="16"/>
        <v>-0.9514527815</v>
      </c>
      <c r="AF231" s="73">
        <f t="shared" si="17"/>
        <v>-0.2478220956</v>
      </c>
      <c r="AG231" s="73">
        <f t="shared" si="18"/>
        <v>-1.046902488</v>
      </c>
      <c r="AH231" s="73">
        <f t="shared" si="19"/>
        <v>-1.246461415</v>
      </c>
      <c r="AI231" s="73">
        <f t="shared" si="20"/>
        <v>-1.248594445</v>
      </c>
      <c r="AJ231" s="73">
        <f t="shared" si="21"/>
        <v>-1.150698449</v>
      </c>
      <c r="AK231" s="73">
        <f t="shared" si="22"/>
        <v>-0.235101831</v>
      </c>
      <c r="AL231" s="73">
        <f t="shared" si="23"/>
        <v>0.4334133273</v>
      </c>
      <c r="AM231" s="73">
        <f t="shared" si="24"/>
        <v>0.2352523852</v>
      </c>
      <c r="AN231" s="120">
        <f t="shared" si="25"/>
        <v>-1.248594445</v>
      </c>
      <c r="AO231" s="120">
        <f t="shared" si="26"/>
        <v>-2.49505586</v>
      </c>
      <c r="AP231" s="120">
        <f t="array" ref="AP231">INDIRECT("Update"&amp;Projections!$AH$17&amp;"!S"&amp;ROW(B212))</f>
        <v>8.4</v>
      </c>
      <c r="AQ231" s="120">
        <f t="array" ref="AQ231">INDIRECT("Update"&amp;Projections!$AH$17&amp;"!T"&amp;ROW(B212))</f>
        <v>3.3</v>
      </c>
      <c r="AR231" s="100">
        <f t="shared" si="27"/>
        <v>-3.40088915</v>
      </c>
    </row>
    <row r="232">
      <c r="A232" s="40" t="str">
        <f t="shared" si="3"/>
        <v>Delon Wright</v>
      </c>
      <c r="B232" s="42">
        <f t="shared" si="4"/>
        <v>-2.252118523</v>
      </c>
      <c r="C232" s="43">
        <f t="shared" si="5"/>
        <v>-1.143540787</v>
      </c>
      <c r="D232" s="42">
        <f t="shared" si="6"/>
        <v>-1.47839257</v>
      </c>
      <c r="E232" s="42">
        <f t="shared" si="7"/>
        <v>-0.5630348583</v>
      </c>
      <c r="F232" s="42">
        <f t="shared" si="8"/>
        <v>1.074934302</v>
      </c>
      <c r="G232" s="42">
        <f t="shared" si="9"/>
        <v>-0.9723047469</v>
      </c>
      <c r="H232" s="42">
        <f t="shared" si="10"/>
        <v>-0.2637134004</v>
      </c>
      <c r="I232" s="42">
        <f>UpdateHashtag!S230</f>
        <v>4.1</v>
      </c>
      <c r="J232" s="47">
        <f t="shared" si="11"/>
        <v>0.1628255068</v>
      </c>
      <c r="K232" s="48">
        <f>UpdateHashtag!T230</f>
        <v>0.9</v>
      </c>
      <c r="L232" s="42">
        <f t="shared" si="12"/>
        <v>-1.238588102</v>
      </c>
      <c r="N232" s="100">
        <f t="shared" si="13"/>
        <v>207</v>
      </c>
      <c r="O232" s="94" t="str">
        <f t="array" ref="O232">INDIRECT("Update"&amp;Projections!$AH$17&amp;"!B"&amp;ROW(B213))</f>
        <v/>
      </c>
      <c r="P232" s="101" t="str">
        <f t="array" ref="P232">INDIRECT("Update"&amp;Projections!$AH$17&amp;"!C"&amp;ROW(B213))</f>
        <v>Larry Nance Jr.</v>
      </c>
      <c r="Q232" s="94">
        <f>UpdateBBM!F213</f>
        <v>71</v>
      </c>
      <c r="R232" s="105" t="str">
        <f t="array" ref="R232">INDIRECT("Update"&amp;Projections!$AH$17&amp;"!D"&amp;ROW(B213))</f>
        <v>C</v>
      </c>
      <c r="S232" s="73">
        <f t="shared" si="14"/>
        <v>-3.242429987</v>
      </c>
      <c r="T232" s="73">
        <f>SUM(AE232:AM232)-IFERROR(IFS(Projections!$I$17,AN232,Projections!$J$17,AO232),"")</f>
        <v>-3.242429987</v>
      </c>
      <c r="U232" s="73">
        <f t="shared" si="15"/>
        <v>0</v>
      </c>
      <c r="V232" s="73">
        <f t="array" ref="V232">INDIRECT("Update"&amp;Projections!$AH$17&amp;"!M"&amp;ROW(B213))</f>
        <v>5.9</v>
      </c>
      <c r="W232" s="73">
        <f t="array" ref="W232">INDIRECT("Update"&amp;Projections!$AH$17&amp;"!L"&amp;ROW(B213))</f>
        <v>0.3</v>
      </c>
      <c r="X232" s="73">
        <f t="array" ref="X232">INDIRECT("Update"&amp;Projections!$AH$17&amp;"!N"&amp;ROW(B213))</f>
        <v>4.9</v>
      </c>
      <c r="Y232" s="73">
        <f t="array" ref="Y232">INDIRECT("Update"&amp;Projections!$AH$17&amp;"!O"&amp;ROW(B213))</f>
        <v>1.7</v>
      </c>
      <c r="Z232" s="73">
        <f t="array" ref="Z232">INDIRECT("Update"&amp;Projections!$AH$17&amp;"!P"&amp;ROW(B213))</f>
        <v>0.9</v>
      </c>
      <c r="AA232" s="73">
        <f t="array" ref="AA232">INDIRECT("Update"&amp;Projections!$AH$17&amp;"!Q"&amp;ROW(B213))</f>
        <v>0.4</v>
      </c>
      <c r="AB232" s="107">
        <f t="array" ref="AB232">INDIRECT("Update"&amp;Projections!$AH$17&amp;"!I"&amp;ROW(B213))</f>
        <v>0.593</v>
      </c>
      <c r="AC232" s="107">
        <f t="array" ref="AC232">INDIRECT("Update"&amp;Projections!$AH$17&amp;"!K"&amp;ROW(B213))</f>
        <v>0.745</v>
      </c>
      <c r="AD232" s="73">
        <f t="array" ref="AD232">INDIRECT("Update"&amp;Projections!$AH$17&amp;"!R"&amp;ROW(B213))</f>
        <v>0.7</v>
      </c>
      <c r="AE232" s="73">
        <f t="shared" si="16"/>
        <v>-2.089535305</v>
      </c>
      <c r="AF232" s="73">
        <f t="shared" si="17"/>
        <v>-1.442113684</v>
      </c>
      <c r="AG232" s="73">
        <f t="shared" si="18"/>
        <v>-0.4585069208</v>
      </c>
      <c r="AH232" s="73">
        <f t="shared" si="19"/>
        <v>-1.018652563</v>
      </c>
      <c r="AI232" s="73">
        <f t="shared" si="20"/>
        <v>-0.2527964105</v>
      </c>
      <c r="AJ232" s="73">
        <f t="shared" si="21"/>
        <v>-0.6155173428</v>
      </c>
      <c r="AK232" s="73">
        <f t="shared" si="22"/>
        <v>0.4618723655</v>
      </c>
      <c r="AL232" s="73">
        <f t="shared" si="23"/>
        <v>-0.1767660307</v>
      </c>
      <c r="AM232" s="73">
        <f t="shared" si="24"/>
        <v>0.2600505987</v>
      </c>
      <c r="AN232" s="120">
        <f t="shared" si="25"/>
        <v>-2.089535305</v>
      </c>
      <c r="AO232" s="120">
        <f t="shared" si="26"/>
        <v>-3.531648989</v>
      </c>
      <c r="AP232" s="120">
        <f t="array" ref="AP232">INDIRECT("Update"&amp;Projections!$AH$17&amp;"!S"&amp;ROW(B213))</f>
        <v>4.1</v>
      </c>
      <c r="AQ232" s="120">
        <f t="array" ref="AQ232">INDIRECT("Update"&amp;Projections!$AH$17&amp;"!T"&amp;ROW(B213))</f>
        <v>1</v>
      </c>
      <c r="AR232" s="100">
        <f t="shared" si="27"/>
        <v>-3.44277198</v>
      </c>
    </row>
    <row r="233">
      <c r="A233" s="40" t="str">
        <f t="shared" si="3"/>
        <v>Malik Beasley</v>
      </c>
      <c r="B233" s="42">
        <f t="shared" si="4"/>
        <v>-1.150165603</v>
      </c>
      <c r="C233" s="43">
        <f t="shared" si="5"/>
        <v>0.8469451937</v>
      </c>
      <c r="D233" s="42">
        <f t="shared" si="6"/>
        <v>-1.086128859</v>
      </c>
      <c r="E233" s="42">
        <f t="shared" si="7"/>
        <v>-1.200899644</v>
      </c>
      <c r="F233" s="42">
        <f t="shared" si="8"/>
        <v>-0.9166617668</v>
      </c>
      <c r="G233" s="42">
        <f t="shared" si="9"/>
        <v>-1.150698449</v>
      </c>
      <c r="H233" s="42">
        <f t="shared" si="10"/>
        <v>-0.8003213924</v>
      </c>
      <c r="I233" s="42">
        <f>UpdateHashtag!S231</f>
        <v>9.5</v>
      </c>
      <c r="J233" s="47">
        <f t="shared" si="11"/>
        <v>-0.08693595896</v>
      </c>
      <c r="K233" s="48">
        <f>UpdateHashtag!T231</f>
        <v>0.6</v>
      </c>
      <c r="L233" s="42">
        <f t="shared" si="12"/>
        <v>-0.9410095407</v>
      </c>
      <c r="N233" s="100">
        <f t="shared" si="13"/>
        <v>218</v>
      </c>
      <c r="O233" s="94">
        <f t="array" ref="O233">INDIRECT("Update"&amp;Projections!$AH$17&amp;"!B"&amp;ROW(B214))</f>
        <v>143</v>
      </c>
      <c r="P233" s="101" t="str">
        <f t="array" ref="P233">INDIRECT("Update"&amp;Projections!$AH$17&amp;"!C"&amp;ROW(B214))</f>
        <v>Payton Pritchard</v>
      </c>
      <c r="Q233" s="94">
        <f>UpdateBBM!F214</f>
        <v>66</v>
      </c>
      <c r="R233" s="105" t="str">
        <f t="array" ref="R233">INDIRECT("Update"&amp;Projections!$AH$17&amp;"!D"&amp;ROW(B214))</f>
        <v>PG</v>
      </c>
      <c r="S233" s="73">
        <f t="shared" si="14"/>
        <v>-3.65066306</v>
      </c>
      <c r="T233" s="73">
        <f>SUM(AE233:AM233)-IFERROR(IFS(Projections!$I$17,AN233,Projections!$J$17,AO233),"")</f>
        <v>-3.65066306</v>
      </c>
      <c r="U233" s="73">
        <f t="shared" si="15"/>
        <v>0</v>
      </c>
      <c r="V233" s="73">
        <f t="array" ref="V233">INDIRECT("Update"&amp;Projections!$AH$17&amp;"!M"&amp;ROW(B214))</f>
        <v>10.5</v>
      </c>
      <c r="W233" s="73">
        <f t="array" ref="W233">INDIRECT("Update"&amp;Projections!$AH$17&amp;"!L"&amp;ROW(B214))</f>
        <v>2</v>
      </c>
      <c r="X233" s="73">
        <f t="array" ref="X233">INDIRECT("Update"&amp;Projections!$AH$17&amp;"!N"&amp;ROW(B214))</f>
        <v>3.5</v>
      </c>
      <c r="Y233" s="73">
        <f t="array" ref="Y233">INDIRECT("Update"&amp;Projections!$AH$17&amp;"!O"&amp;ROW(B214))</f>
        <v>3.4</v>
      </c>
      <c r="Z233" s="73">
        <f t="array" ref="Z233">INDIRECT("Update"&amp;Projections!$AH$17&amp;"!P"&amp;ROW(B214))</f>
        <v>0.5</v>
      </c>
      <c r="AA233" s="73">
        <f t="array" ref="AA233">INDIRECT("Update"&amp;Projections!$AH$17&amp;"!Q"&amp;ROW(B214))</f>
        <v>0.1</v>
      </c>
      <c r="AB233" s="107">
        <f t="array" ref="AB233">INDIRECT("Update"&amp;Projections!$AH$17&amp;"!I"&amp;ROW(B214))</f>
        <v>0.453</v>
      </c>
      <c r="AC233" s="107">
        <f t="array" ref="AC233">INDIRECT("Update"&amp;Projections!$AH$17&amp;"!K"&amp;ROW(B214))</f>
        <v>0.806</v>
      </c>
      <c r="AD233" s="73">
        <f t="array" ref="AD233">INDIRECT("Update"&amp;Projections!$AH$17&amp;"!R"&amp;ROW(B214))</f>
        <v>1</v>
      </c>
      <c r="AE233" s="73">
        <f t="shared" si="16"/>
        <v>-1.258554415</v>
      </c>
      <c r="AF233" s="73">
        <f t="shared" si="17"/>
        <v>0.2497993996</v>
      </c>
      <c r="AG233" s="73">
        <f t="shared" si="18"/>
        <v>-1.007676117</v>
      </c>
      <c r="AH233" s="73">
        <f t="shared" si="19"/>
        <v>-0.2441024654</v>
      </c>
      <c r="AI233" s="73">
        <f t="shared" si="20"/>
        <v>-1.580527123</v>
      </c>
      <c r="AJ233" s="73">
        <f t="shared" si="21"/>
        <v>-1.150698449</v>
      </c>
      <c r="AK233" s="73">
        <f t="shared" si="22"/>
        <v>-0.4525693172</v>
      </c>
      <c r="AL233" s="73">
        <f t="shared" si="23"/>
        <v>0.02748234507</v>
      </c>
      <c r="AM233" s="73">
        <f t="shared" si="24"/>
        <v>0.1856559582</v>
      </c>
      <c r="AN233" s="120">
        <f t="shared" si="25"/>
        <v>-1.580527123</v>
      </c>
      <c r="AO233" s="120">
        <f t="shared" si="26"/>
        <v>-2.839081538</v>
      </c>
      <c r="AP233" s="120">
        <f t="array" ref="AP233">INDIRECT("Update"&amp;Projections!$AH$17&amp;"!S"&amp;ROW(B214))</f>
        <v>8.8</v>
      </c>
      <c r="AQ233" s="120">
        <f t="array" ref="AQ233">INDIRECT("Update"&amp;Projections!$AH$17&amp;"!T"&amp;ROW(B214))</f>
        <v>0.7</v>
      </c>
      <c r="AR233" s="100">
        <f t="shared" si="27"/>
        <v>-3.462534567</v>
      </c>
    </row>
    <row r="234">
      <c r="A234" s="40" t="str">
        <f t="shared" si="3"/>
        <v>Julian Strawther</v>
      </c>
      <c r="B234" s="42">
        <f t="shared" si="4"/>
        <v>-1.258554415</v>
      </c>
      <c r="C234" s="43">
        <f t="shared" si="5"/>
        <v>0.1502751005</v>
      </c>
      <c r="D234" s="42">
        <f t="shared" si="6"/>
        <v>-1.282260714</v>
      </c>
      <c r="E234" s="42">
        <f t="shared" si="7"/>
        <v>-0.7908437104</v>
      </c>
      <c r="F234" s="42">
        <f t="shared" si="8"/>
        <v>-0.5847290887</v>
      </c>
      <c r="G234" s="42">
        <f t="shared" si="9"/>
        <v>-0.7939110449</v>
      </c>
      <c r="H234" s="42">
        <f t="shared" si="10"/>
        <v>-0.6309618272</v>
      </c>
      <c r="I234" s="42">
        <f>UpdateHashtag!S232</f>
        <v>8.7</v>
      </c>
      <c r="J234" s="47">
        <f t="shared" si="11"/>
        <v>-0.3268002156</v>
      </c>
      <c r="K234" s="48">
        <f>UpdateHashtag!T232</f>
        <v>1.4</v>
      </c>
      <c r="L234" s="42">
        <f t="shared" si="12"/>
        <v>-0.643430979</v>
      </c>
      <c r="N234" s="100">
        <f t="shared" si="13"/>
        <v>228</v>
      </c>
      <c r="O234" s="94">
        <f t="array" ref="O234">INDIRECT("Update"&amp;Projections!$AH$17&amp;"!B"&amp;ROW(B215))</f>
        <v>140.4</v>
      </c>
      <c r="P234" s="101" t="str">
        <f t="array" ref="P234">INDIRECT("Update"&amp;Projections!$AH$17&amp;"!C"&amp;ROW(B215))</f>
        <v>Obi Toppin</v>
      </c>
      <c r="Q234" s="94">
        <f>UpdateBBM!F215</f>
        <v>66</v>
      </c>
      <c r="R234" s="105" t="str">
        <f t="array" ref="R234">INDIRECT("Update"&amp;Projections!$AH$17&amp;"!D"&amp;ROW(B215))</f>
        <v>PF</v>
      </c>
      <c r="S234" s="73">
        <f t="shared" si="14"/>
        <v>-4.028797905</v>
      </c>
      <c r="T234" s="73">
        <f>SUM(AE234:AM234)-IFERROR(IFS(Projections!$I$17,AN234,Projections!$J$17,AO234),"")</f>
        <v>-4.028797905</v>
      </c>
      <c r="U234" s="73">
        <f t="shared" si="15"/>
        <v>0</v>
      </c>
      <c r="V234" s="73">
        <f t="array" ref="V234">INDIRECT("Update"&amp;Projections!$AH$17&amp;"!M"&amp;ROW(B215))</f>
        <v>9.7</v>
      </c>
      <c r="W234" s="73">
        <f t="array" ref="W234">INDIRECT("Update"&amp;Projections!$AH$17&amp;"!L"&amp;ROW(B215))</f>
        <v>1.4</v>
      </c>
      <c r="X234" s="73">
        <f t="array" ref="X234">INDIRECT("Update"&amp;Projections!$AH$17&amp;"!N"&amp;ROW(B215))</f>
        <v>3.7</v>
      </c>
      <c r="Y234" s="73">
        <f t="array" ref="Y234">INDIRECT("Update"&amp;Projections!$AH$17&amp;"!O"&amp;ROW(B215))</f>
        <v>1.4</v>
      </c>
      <c r="Z234" s="73">
        <f t="array" ref="Z234">INDIRECT("Update"&amp;Projections!$AH$17&amp;"!P"&amp;ROW(B215))</f>
        <v>0.5</v>
      </c>
      <c r="AA234" s="73">
        <f t="array" ref="AA234">INDIRECT("Update"&amp;Projections!$AH$17&amp;"!Q"&amp;ROW(B215))</f>
        <v>0.4</v>
      </c>
      <c r="AB234" s="107">
        <f t="array" ref="AB234">INDIRECT("Update"&amp;Projections!$AH$17&amp;"!I"&amp;ROW(B215))</f>
        <v>0.52</v>
      </c>
      <c r="AC234" s="107">
        <f t="array" ref="AC234">INDIRECT("Update"&amp;Projections!$AH$17&amp;"!K"&amp;ROW(B215))</f>
        <v>0.792</v>
      </c>
      <c r="AD234" s="73">
        <f t="array" ref="AD234">INDIRECT("Update"&amp;Projections!$AH$17&amp;"!R"&amp;ROW(B215))</f>
        <v>0.8</v>
      </c>
      <c r="AE234" s="73">
        <f t="shared" si="16"/>
        <v>-1.403072831</v>
      </c>
      <c r="AF234" s="73">
        <f t="shared" si="17"/>
        <v>-0.3473463946</v>
      </c>
      <c r="AG234" s="73">
        <f t="shared" si="18"/>
        <v>-0.9292233743</v>
      </c>
      <c r="AH234" s="73">
        <f t="shared" si="19"/>
        <v>-1.155337874</v>
      </c>
      <c r="AI234" s="73">
        <f t="shared" si="20"/>
        <v>-1.580527123</v>
      </c>
      <c r="AJ234" s="73">
        <f t="shared" si="21"/>
        <v>-0.6155173428</v>
      </c>
      <c r="AK234" s="73">
        <f t="shared" si="22"/>
        <v>0.1977988271</v>
      </c>
      <c r="AL234" s="73">
        <f t="shared" si="23"/>
        <v>-0.01135130143</v>
      </c>
      <c r="AM234" s="73">
        <f t="shared" si="24"/>
        <v>0.2352523852</v>
      </c>
      <c r="AN234" s="120">
        <f t="shared" si="25"/>
        <v>-1.580527123</v>
      </c>
      <c r="AO234" s="120">
        <f t="shared" si="26"/>
        <v>-2.983599954</v>
      </c>
      <c r="AP234" s="120">
        <f t="array" ref="AP234">INDIRECT("Update"&amp;Projections!$AH$17&amp;"!S"&amp;ROW(B215))</f>
        <v>7.3</v>
      </c>
      <c r="AQ234" s="120">
        <f t="array" ref="AQ234">INDIRECT("Update"&amp;Projections!$AH$17&amp;"!T"&amp;ROW(B215))</f>
        <v>1.1</v>
      </c>
      <c r="AR234" s="100">
        <f t="shared" si="27"/>
        <v>-3.481857837</v>
      </c>
    </row>
    <row r="235">
      <c r="A235" s="40" t="str">
        <f t="shared" si="3"/>
        <v>Zach Collins</v>
      </c>
      <c r="B235" s="42">
        <f t="shared" si="4"/>
        <v>-1.511461642</v>
      </c>
      <c r="C235" s="43">
        <f t="shared" si="5"/>
        <v>-1.044016488</v>
      </c>
      <c r="D235" s="42">
        <f t="shared" si="6"/>
        <v>-0.536959663</v>
      </c>
      <c r="E235" s="42">
        <f t="shared" si="7"/>
        <v>-0.74528194</v>
      </c>
      <c r="F235" s="42">
        <f t="shared" si="8"/>
        <v>-1.912459801</v>
      </c>
      <c r="G235" s="42">
        <f t="shared" si="9"/>
        <v>-0.2587299387</v>
      </c>
      <c r="H235" s="42">
        <f t="shared" si="10"/>
        <v>0.03379398662</v>
      </c>
      <c r="I235" s="42">
        <f>UpdateHashtag!S233</f>
        <v>7</v>
      </c>
      <c r="J235" s="47">
        <f t="shared" si="11"/>
        <v>-0.2225605579</v>
      </c>
      <c r="K235" s="48">
        <f>UpdateHashtag!T233</f>
        <v>1.8</v>
      </c>
      <c r="L235" s="42">
        <f t="shared" si="12"/>
        <v>-0.1474667095</v>
      </c>
      <c r="N235" s="100">
        <f t="shared" si="13"/>
        <v>248</v>
      </c>
      <c r="O235" s="94">
        <f t="array" ref="O235">INDIRECT("Update"&amp;Projections!$AH$17&amp;"!B"&amp;ROW(B216))</f>
        <v>140</v>
      </c>
      <c r="P235" s="101" t="str">
        <f t="array" ref="P235">INDIRECT("Update"&amp;Projections!$AH$17&amp;"!C"&amp;ROW(B216))</f>
        <v>Moritz Wagner</v>
      </c>
      <c r="Q235" s="94">
        <f>UpdateBBM!F216</f>
        <v>71</v>
      </c>
      <c r="R235" s="105" t="str">
        <f t="array" ref="R235">INDIRECT("Update"&amp;Projections!$AH$17&amp;"!D"&amp;ROW(B216))</f>
        <v>C</v>
      </c>
      <c r="S235" s="73">
        <f t="shared" si="14"/>
        <v>-4.422981201</v>
      </c>
      <c r="T235" s="73">
        <f>SUM(AE235:AM235)-IFERROR(IFS(Projections!$I$17,AN235,Projections!$J$17,AO235),"")</f>
        <v>-4.422981201</v>
      </c>
      <c r="U235" s="73">
        <f t="shared" si="15"/>
        <v>0</v>
      </c>
      <c r="V235" s="73">
        <f t="array" ref="V235">INDIRECT("Update"&amp;Projections!$AH$17&amp;"!M"&amp;ROW(B216))</f>
        <v>10.3</v>
      </c>
      <c r="W235" s="73">
        <f t="array" ref="W235">INDIRECT("Update"&amp;Projections!$AH$17&amp;"!L"&amp;ROW(B216))</f>
        <v>0.6</v>
      </c>
      <c r="X235" s="73">
        <f t="array" ref="X235">INDIRECT("Update"&amp;Projections!$AH$17&amp;"!N"&amp;ROW(B216))</f>
        <v>4.2</v>
      </c>
      <c r="Y235" s="73">
        <f t="array" ref="Y235">INDIRECT("Update"&amp;Projections!$AH$17&amp;"!O"&amp;ROW(B216))</f>
        <v>1.3</v>
      </c>
      <c r="Z235" s="73">
        <f t="array" ref="Z235">INDIRECT("Update"&amp;Projections!$AH$17&amp;"!P"&amp;ROW(B216))</f>
        <v>0.5</v>
      </c>
      <c r="AA235" s="73">
        <f t="array" ref="AA235">INDIRECT("Update"&amp;Projections!$AH$17&amp;"!Q"&amp;ROW(B216))</f>
        <v>0.2</v>
      </c>
      <c r="AB235" s="107">
        <f t="array" ref="AB235">INDIRECT("Update"&amp;Projections!$AH$17&amp;"!I"&amp;ROW(B216))</f>
        <v>0.56</v>
      </c>
      <c r="AC235" s="107">
        <f t="array" ref="AC235">INDIRECT("Update"&amp;Projections!$AH$17&amp;"!K"&amp;ROW(B216))</f>
        <v>0.826</v>
      </c>
      <c r="AD235" s="73">
        <f t="array" ref="AD235">INDIRECT("Update"&amp;Projections!$AH$17&amp;"!R"&amp;ROW(B216))</f>
        <v>1.2</v>
      </c>
      <c r="AE235" s="73">
        <f t="shared" si="16"/>
        <v>-1.294684019</v>
      </c>
      <c r="AF235" s="73">
        <f t="shared" si="17"/>
        <v>-1.143540787</v>
      </c>
      <c r="AG235" s="73">
        <f t="shared" si="18"/>
        <v>-0.7330915186</v>
      </c>
      <c r="AH235" s="73">
        <f t="shared" si="19"/>
        <v>-1.200899644</v>
      </c>
      <c r="AI235" s="73">
        <f t="shared" si="20"/>
        <v>-1.580527123</v>
      </c>
      <c r="AJ235" s="73">
        <f t="shared" si="21"/>
        <v>-0.9723047469</v>
      </c>
      <c r="AK235" s="73">
        <f t="shared" si="22"/>
        <v>0.4882400576</v>
      </c>
      <c r="AL235" s="73">
        <f t="shared" si="23"/>
        <v>0.2972399257</v>
      </c>
      <c r="AM235" s="73">
        <f t="shared" si="24"/>
        <v>0.1360595313</v>
      </c>
      <c r="AN235" s="120">
        <f t="shared" si="25"/>
        <v>-1.580527123</v>
      </c>
      <c r="AO235" s="120">
        <f t="shared" si="26"/>
        <v>-2.875211142</v>
      </c>
      <c r="AP235" s="120">
        <f t="array" ref="AP235">INDIRECT("Update"&amp;Projections!$AH$17&amp;"!S"&amp;ROW(B216))</f>
        <v>6.6</v>
      </c>
      <c r="AQ235" s="120">
        <f t="array" ref="AQ235">INDIRECT("Update"&amp;Projections!$AH$17&amp;"!T"&amp;ROW(B216))</f>
        <v>2.7</v>
      </c>
      <c r="AR235" s="100">
        <f t="shared" si="27"/>
        <v>-3.595757958</v>
      </c>
    </row>
    <row r="236">
      <c r="A236" s="40" t="str">
        <f t="shared" si="3"/>
        <v>Grant Williams</v>
      </c>
      <c r="B236" s="42">
        <f t="shared" si="4"/>
        <v>-1.547591246</v>
      </c>
      <c r="C236" s="43">
        <f t="shared" si="5"/>
        <v>-0.2478220956</v>
      </c>
      <c r="D236" s="42">
        <f t="shared" si="6"/>
        <v>-0.6938651475</v>
      </c>
      <c r="E236" s="42">
        <f t="shared" si="7"/>
        <v>-0.9275290217</v>
      </c>
      <c r="F236" s="42">
        <f t="shared" si="8"/>
        <v>-1.580527123</v>
      </c>
      <c r="G236" s="42">
        <f t="shared" si="9"/>
        <v>-0.6155173428</v>
      </c>
      <c r="H236" s="42">
        <f t="shared" si="10"/>
        <v>-0.3337734418</v>
      </c>
      <c r="I236" s="42">
        <f>UpdateHashtag!S234</f>
        <v>6.8</v>
      </c>
      <c r="J236" s="47">
        <f t="shared" si="11"/>
        <v>-0.1864990681</v>
      </c>
      <c r="K236" s="48">
        <f>UpdateHashtag!T234</f>
        <v>1.6</v>
      </c>
      <c r="L236" s="42">
        <f t="shared" si="12"/>
        <v>-0.5442381251</v>
      </c>
      <c r="N236" s="100">
        <f t="shared" si="13"/>
        <v>222</v>
      </c>
      <c r="O236" s="94" t="str">
        <f t="array" ref="O236">INDIRECT("Update"&amp;Projections!$AH$17&amp;"!B"&amp;ROW(B217))</f>
        <v/>
      </c>
      <c r="P236" s="101" t="str">
        <f t="array" ref="P236">INDIRECT("Update"&amp;Projections!$AH$17&amp;"!C"&amp;ROW(B217))</f>
        <v>Santi Aldama</v>
      </c>
      <c r="Q236" s="94">
        <f>UpdateBBM!F217</f>
        <v>56</v>
      </c>
      <c r="R236" s="105" t="str">
        <f t="array" ref="R236">INDIRECT("Update"&amp;Projections!$AH$17&amp;"!D"&amp;ROW(B217))</f>
        <v>PF,C</v>
      </c>
      <c r="S236" s="73">
        <f t="shared" si="14"/>
        <v>-3.836329179</v>
      </c>
      <c r="T236" s="73">
        <f>SUM(AE236:AM236)-IFERROR(IFS(Projections!$I$17,AN236,Projections!$J$17,AO236),"")</f>
        <v>-3.836329179</v>
      </c>
      <c r="U236" s="73">
        <f t="shared" si="15"/>
        <v>0</v>
      </c>
      <c r="V236" s="73">
        <f t="array" ref="V236">INDIRECT("Update"&amp;Projections!$AH$17&amp;"!M"&amp;ROW(B217))</f>
        <v>9.4</v>
      </c>
      <c r="W236" s="73">
        <f t="array" ref="W236">INDIRECT("Update"&amp;Projections!$AH$17&amp;"!L"&amp;ROW(B217))</f>
        <v>1.4</v>
      </c>
      <c r="X236" s="73">
        <f t="array" ref="X236">INDIRECT("Update"&amp;Projections!$AH$17&amp;"!N"&amp;ROW(B217))</f>
        <v>5.1</v>
      </c>
      <c r="Y236" s="73">
        <f t="array" ref="Y236">INDIRECT("Update"&amp;Projections!$AH$17&amp;"!O"&amp;ROW(B217))</f>
        <v>1.6</v>
      </c>
      <c r="Z236" s="73">
        <f t="array" ref="Z236">INDIRECT("Update"&amp;Projections!$AH$17&amp;"!P"&amp;ROW(B217))</f>
        <v>0.6</v>
      </c>
      <c r="AA236" s="73">
        <f t="array" ref="AA236">INDIRECT("Update"&amp;Projections!$AH$17&amp;"!Q"&amp;ROW(B217))</f>
        <v>0.7</v>
      </c>
      <c r="AB236" s="107">
        <f t="array" ref="AB236">INDIRECT("Update"&amp;Projections!$AH$17&amp;"!I"&amp;ROW(B217))</f>
        <v>0.452</v>
      </c>
      <c r="AC236" s="107">
        <f t="array" ref="AC236">INDIRECT("Update"&amp;Projections!$AH$17&amp;"!K"&amp;ROW(B217))</f>
        <v>0.702</v>
      </c>
      <c r="AD236" s="73">
        <f t="array" ref="AD236">INDIRECT("Update"&amp;Projections!$AH$17&amp;"!R"&amp;ROW(B217))</f>
        <v>0.9</v>
      </c>
      <c r="AE236" s="73">
        <f t="shared" si="16"/>
        <v>-1.457267237</v>
      </c>
      <c r="AF236" s="73">
        <f t="shared" si="17"/>
        <v>-0.3473463946</v>
      </c>
      <c r="AG236" s="73">
        <f t="shared" si="18"/>
        <v>-0.3800541785</v>
      </c>
      <c r="AH236" s="73">
        <f t="shared" si="19"/>
        <v>-1.064214333</v>
      </c>
      <c r="AI236" s="73">
        <f t="shared" si="20"/>
        <v>-1.248594445</v>
      </c>
      <c r="AJ236" s="73">
        <f t="shared" si="21"/>
        <v>-0.08033623669</v>
      </c>
      <c r="AK236" s="73">
        <f t="shared" si="22"/>
        <v>-0.3997625264</v>
      </c>
      <c r="AL236" s="73">
        <f t="shared" si="23"/>
        <v>-0.5264752365</v>
      </c>
      <c r="AM236" s="73">
        <f t="shared" si="24"/>
        <v>0.2104541717</v>
      </c>
      <c r="AN236" s="120">
        <f t="shared" si="25"/>
        <v>-1.457267237</v>
      </c>
      <c r="AO236" s="120">
        <f t="shared" si="26"/>
        <v>-2.705861682</v>
      </c>
      <c r="AP236" s="120">
        <f t="array" ref="AP236">INDIRECT("Update"&amp;Projections!$AH$17&amp;"!S"&amp;ROW(B217))</f>
        <v>7.6</v>
      </c>
      <c r="AQ236" s="120">
        <f t="array" ref="AQ236">INDIRECT("Update"&amp;Projections!$AH$17&amp;"!T"&amp;ROW(B217))</f>
        <v>1.6</v>
      </c>
      <c r="AR236" s="100">
        <f t="shared" si="27"/>
        <v>-3.601802669</v>
      </c>
    </row>
    <row r="237">
      <c r="A237" s="40" t="str">
        <f t="shared" si="3"/>
        <v>Dorian Finney-Smith</v>
      </c>
      <c r="B237" s="42">
        <f t="shared" si="4"/>
        <v>-1.746304068</v>
      </c>
      <c r="C237" s="43">
        <f t="shared" si="5"/>
        <v>-0.1482977966</v>
      </c>
      <c r="D237" s="42">
        <f t="shared" si="6"/>
        <v>-0.6546387764</v>
      </c>
      <c r="E237" s="42">
        <f t="shared" si="7"/>
        <v>-1.155337874</v>
      </c>
      <c r="F237" s="42">
        <f t="shared" si="8"/>
        <v>-0.5847290887</v>
      </c>
      <c r="G237" s="42">
        <f t="shared" si="9"/>
        <v>-0.4371236408</v>
      </c>
      <c r="H237" s="42">
        <f t="shared" si="10"/>
        <v>-0.7455866212</v>
      </c>
      <c r="I237" s="42">
        <f>UpdateHashtag!S235</f>
        <v>7</v>
      </c>
      <c r="J237" s="47">
        <f t="shared" si="11"/>
        <v>-0.111341257</v>
      </c>
      <c r="K237" s="48">
        <f>UpdateHashtag!T235</f>
        <v>0.7</v>
      </c>
      <c r="L237" s="42">
        <f t="shared" si="12"/>
        <v>-0.9410095407</v>
      </c>
      <c r="N237" s="100">
        <f t="shared" si="13"/>
        <v>168</v>
      </c>
      <c r="O237" s="94" t="str">
        <f t="array" ref="O237">INDIRECT("Update"&amp;Projections!$AH$17&amp;"!B"&amp;ROW(B218))</f>
        <v/>
      </c>
      <c r="P237" s="101" t="str">
        <f t="array" ref="P237">INDIRECT("Update"&amp;Projections!$AH$17&amp;"!C"&amp;ROW(B218))</f>
        <v>Matisse Thybulle</v>
      </c>
      <c r="Q237" s="94">
        <f>UpdateBBM!F218</f>
        <v>60</v>
      </c>
      <c r="R237" s="105" t="str">
        <f t="array" ref="R237">INDIRECT("Update"&amp;Projections!$AH$17&amp;"!D"&amp;ROW(B218))</f>
        <v>SG,SF</v>
      </c>
      <c r="S237" s="73">
        <f t="shared" si="14"/>
        <v>-2.326985751</v>
      </c>
      <c r="T237" s="73">
        <f>SUM(AE237:AM237)-IFERROR(IFS(Projections!$I$17,AN237,Projections!$J$17,AO237),"")</f>
        <v>-2.326985751</v>
      </c>
      <c r="U237" s="73">
        <f t="shared" si="15"/>
        <v>0</v>
      </c>
      <c r="V237" s="73">
        <f t="array" ref="V237">INDIRECT("Update"&amp;Projections!$AH$17&amp;"!M"&amp;ROW(B218))</f>
        <v>4.9</v>
      </c>
      <c r="W237" s="73">
        <f t="array" ref="W237">INDIRECT("Update"&amp;Projections!$AH$17&amp;"!L"&amp;ROW(B218))</f>
        <v>1</v>
      </c>
      <c r="X237" s="73">
        <f t="array" ref="X237">INDIRECT("Update"&amp;Projections!$AH$17&amp;"!N"&amp;ROW(B218))</f>
        <v>2.1</v>
      </c>
      <c r="Y237" s="73">
        <f t="array" ref="Y237">INDIRECT("Update"&amp;Projections!$AH$17&amp;"!O"&amp;ROW(B218))</f>
        <v>1.1</v>
      </c>
      <c r="Z237" s="73">
        <f t="array" ref="Z237">INDIRECT("Update"&amp;Projections!$AH$17&amp;"!P"&amp;ROW(B218))</f>
        <v>1.5</v>
      </c>
      <c r="AA237" s="73">
        <f t="array" ref="AA237">INDIRECT("Update"&amp;Projections!$AH$17&amp;"!Q"&amp;ROW(B218))</f>
        <v>0.6</v>
      </c>
      <c r="AB237" s="107">
        <f t="array" ref="AB237">INDIRECT("Update"&amp;Projections!$AH$17&amp;"!I"&amp;ROW(B218))</f>
        <v>0.414</v>
      </c>
      <c r="AC237" s="107">
        <f t="array" ref="AC237">INDIRECT("Update"&amp;Projections!$AH$17&amp;"!K"&amp;ROW(B218))</f>
        <v>0.721</v>
      </c>
      <c r="AD237" s="73">
        <f t="array" ref="AD237">INDIRECT("Update"&amp;Projections!$AH$17&amp;"!R"&amp;ROW(B218))</f>
        <v>0.5</v>
      </c>
      <c r="AE237" s="73">
        <f t="shared" si="16"/>
        <v>-2.270183325</v>
      </c>
      <c r="AF237" s="73">
        <f t="shared" si="17"/>
        <v>-0.7454435908</v>
      </c>
      <c r="AG237" s="73">
        <f t="shared" si="18"/>
        <v>-1.556845312</v>
      </c>
      <c r="AH237" s="73">
        <f t="shared" si="19"/>
        <v>-1.292023185</v>
      </c>
      <c r="AI237" s="73">
        <f t="shared" si="20"/>
        <v>1.738799658</v>
      </c>
      <c r="AJ237" s="73">
        <f t="shared" si="21"/>
        <v>-0.2587299387</v>
      </c>
      <c r="AK237" s="73">
        <f t="shared" si="22"/>
        <v>-0.4176863787</v>
      </c>
      <c r="AL237" s="73">
        <f t="shared" si="23"/>
        <v>-0.1047040291</v>
      </c>
      <c r="AM237" s="73">
        <f t="shared" si="24"/>
        <v>0.3096470256</v>
      </c>
      <c r="AN237" s="120">
        <f t="shared" si="25"/>
        <v>-2.270183325</v>
      </c>
      <c r="AO237" s="120">
        <f t="shared" si="26"/>
        <v>-3.827028637</v>
      </c>
      <c r="AP237" s="120">
        <f t="array" ref="AP237">INDIRECT("Update"&amp;Projections!$AH$17&amp;"!S"&amp;ROW(B218))</f>
        <v>4.3</v>
      </c>
      <c r="AQ237" s="120">
        <f t="array" ref="AQ237">INDIRECT("Update"&amp;Projections!$AH$17&amp;"!T"&amp;ROW(B218))</f>
        <v>0.4</v>
      </c>
      <c r="AR237" s="100">
        <f t="shared" si="27"/>
        <v>-3.643597559</v>
      </c>
    </row>
    <row r="238">
      <c r="A238" s="40" t="str">
        <f t="shared" si="3"/>
        <v>Paul Reed</v>
      </c>
      <c r="B238" s="42">
        <f t="shared" si="4"/>
        <v>-2.179859315</v>
      </c>
      <c r="C238" s="43">
        <f t="shared" si="5"/>
        <v>-1.641162282</v>
      </c>
      <c r="D238" s="42">
        <f t="shared" si="6"/>
        <v>-0.5761860341</v>
      </c>
      <c r="E238" s="42">
        <f t="shared" si="7"/>
        <v>-1.428708496</v>
      </c>
      <c r="F238" s="42">
        <f t="shared" si="8"/>
        <v>-0.9166617668</v>
      </c>
      <c r="G238" s="42">
        <f t="shared" si="9"/>
        <v>0.09805746537</v>
      </c>
      <c r="H238" s="42">
        <f t="shared" si="10"/>
        <v>0.2860861993</v>
      </c>
      <c r="I238" s="42">
        <f>UpdateHashtag!S236</f>
        <v>4.2</v>
      </c>
      <c r="J238" s="47">
        <f t="shared" si="11"/>
        <v>-0.1697441719</v>
      </c>
      <c r="K238" s="48">
        <f>UpdateHashtag!T236</f>
        <v>0.8</v>
      </c>
      <c r="L238" s="42">
        <f t="shared" si="12"/>
        <v>-1.040202395</v>
      </c>
      <c r="N238" s="100">
        <f t="shared" si="13"/>
        <v>226</v>
      </c>
      <c r="O238" s="94" t="str">
        <f t="array" ref="O238">INDIRECT("Update"&amp;Projections!$AH$17&amp;"!B"&amp;ROW(B219))</f>
        <v/>
      </c>
      <c r="P238" s="101" t="str">
        <f t="array" ref="P238">INDIRECT("Update"&amp;Projections!$AH$17&amp;"!C"&amp;ROW(B219))</f>
        <v>Robert Williams III</v>
      </c>
      <c r="Q238" s="94">
        <f>UpdateBBM!F219</f>
        <v>46</v>
      </c>
      <c r="R238" s="105" t="str">
        <f t="array" ref="R238">INDIRECT("Update"&amp;Projections!$AH$17&amp;"!D"&amp;ROW(B219))</f>
        <v>C</v>
      </c>
      <c r="S238" s="73">
        <f t="shared" si="14"/>
        <v>-3.932188695</v>
      </c>
      <c r="T238" s="73">
        <f>SUM(AE238:AM238)-IFERROR(IFS(Projections!$I$17,AN238,Projections!$J$17,AO238),"")</f>
        <v>-3.932188695</v>
      </c>
      <c r="U238" s="73">
        <f t="shared" si="15"/>
        <v>0</v>
      </c>
      <c r="V238" s="73">
        <f t="array" ref="V238">INDIRECT("Update"&amp;Projections!$AH$17&amp;"!M"&amp;ROW(B219))</f>
        <v>5.3</v>
      </c>
      <c r="W238" s="73">
        <f t="array" ref="W238">INDIRECT("Update"&amp;Projections!$AH$17&amp;"!L"&amp;ROW(B219))</f>
        <v>0</v>
      </c>
      <c r="X238" s="73">
        <f t="array" ref="X238">INDIRECT("Update"&amp;Projections!$AH$17&amp;"!N"&amp;ROW(B219))</f>
        <v>5.5</v>
      </c>
      <c r="Y238" s="73">
        <f t="array" ref="Y238">INDIRECT("Update"&amp;Projections!$AH$17&amp;"!O"&amp;ROW(B219))</f>
        <v>0.9</v>
      </c>
      <c r="Z238" s="73">
        <f t="array" ref="Z238">INDIRECT("Update"&amp;Projections!$AH$17&amp;"!P"&amp;ROW(B219))</f>
        <v>0.5</v>
      </c>
      <c r="AA238" s="73">
        <f t="array" ref="AA238">INDIRECT("Update"&amp;Projections!$AH$17&amp;"!Q"&amp;ROW(B219))</f>
        <v>0.9</v>
      </c>
      <c r="AB238" s="107">
        <f t="array" ref="AB238">INDIRECT("Update"&amp;Projections!$AH$17&amp;"!I"&amp;ROW(B219))</f>
        <v>0.737</v>
      </c>
      <c r="AC238" s="107">
        <f t="array" ref="AC238">INDIRECT("Update"&amp;Projections!$AH$17&amp;"!K"&amp;ROW(B219))</f>
        <v>0.639</v>
      </c>
      <c r="AD238" s="73">
        <f t="array" ref="AD238">INDIRECT("Update"&amp;Projections!$AH$17&amp;"!R"&amp;ROW(B219))</f>
        <v>0.7</v>
      </c>
      <c r="AE238" s="73">
        <f t="shared" si="16"/>
        <v>-2.197924117</v>
      </c>
      <c r="AF238" s="73">
        <f t="shared" si="17"/>
        <v>-1.740686581</v>
      </c>
      <c r="AG238" s="73">
        <f t="shared" si="18"/>
        <v>-0.223148694</v>
      </c>
      <c r="AH238" s="73">
        <f t="shared" si="19"/>
        <v>-1.383146726</v>
      </c>
      <c r="AI238" s="73">
        <f t="shared" si="20"/>
        <v>-1.580527123</v>
      </c>
      <c r="AJ238" s="73">
        <f t="shared" si="21"/>
        <v>0.2764511674</v>
      </c>
      <c r="AK238" s="73">
        <f t="shared" si="22"/>
        <v>0.9005437699</v>
      </c>
      <c r="AL238" s="73">
        <f t="shared" si="23"/>
        <v>-0.4417251067</v>
      </c>
      <c r="AM238" s="73">
        <f t="shared" si="24"/>
        <v>0.2600505987</v>
      </c>
      <c r="AN238" s="120">
        <f t="shared" si="25"/>
        <v>-2.197924117</v>
      </c>
      <c r="AO238" s="120">
        <f t="shared" si="26"/>
        <v>-3.938610698</v>
      </c>
      <c r="AP238" s="120">
        <f t="array" ref="AP238">INDIRECT("Update"&amp;Projections!$AH$17&amp;"!S"&amp;ROW(B219))</f>
        <v>3.2</v>
      </c>
      <c r="AQ238" s="120">
        <f t="array" ref="AQ238">INDIRECT("Update"&amp;Projections!$AH$17&amp;"!T"&amp;ROW(B219))</f>
        <v>0.8</v>
      </c>
      <c r="AR238" s="100">
        <f t="shared" si="27"/>
        <v>-3.65066306</v>
      </c>
    </row>
    <row r="239">
      <c r="A239" s="40" t="str">
        <f t="shared" si="3"/>
        <v>Dario Saric</v>
      </c>
      <c r="B239" s="42">
        <f t="shared" si="4"/>
        <v>-1.601785652</v>
      </c>
      <c r="C239" s="43">
        <f t="shared" si="5"/>
        <v>-0.5463949927</v>
      </c>
      <c r="D239" s="42">
        <f t="shared" si="6"/>
        <v>-0.4977332919</v>
      </c>
      <c r="E239" s="42">
        <f t="shared" si="7"/>
        <v>-0.8364054809</v>
      </c>
      <c r="F239" s="42">
        <f t="shared" si="8"/>
        <v>-1.580527123</v>
      </c>
      <c r="G239" s="42">
        <f t="shared" si="9"/>
        <v>-0.9723047469</v>
      </c>
      <c r="H239" s="42">
        <f t="shared" si="10"/>
        <v>-0.2504860894</v>
      </c>
      <c r="I239" s="42">
        <f>UpdateHashtag!S237</f>
        <v>6.5</v>
      </c>
      <c r="J239" s="47">
        <f t="shared" si="11"/>
        <v>0.2834776454</v>
      </c>
      <c r="K239" s="48">
        <f>UpdateHashtag!T237</f>
        <v>1.7</v>
      </c>
      <c r="L239" s="42">
        <f t="shared" si="12"/>
        <v>-0.4450452712</v>
      </c>
      <c r="N239" s="100">
        <f t="shared" si="13"/>
        <v>227</v>
      </c>
      <c r="O239" s="94" t="str">
        <f t="array" ref="O239">INDIRECT("Update"&amp;Projections!$AH$17&amp;"!B"&amp;ROW(B220))</f>
        <v/>
      </c>
      <c r="P239" s="101" t="str">
        <f t="array" ref="P239">INDIRECT("Update"&amp;Projections!$AH$17&amp;"!C"&amp;ROW(B220))</f>
        <v>Taurean Prince</v>
      </c>
      <c r="Q239" s="94">
        <f>UpdateBBM!F220</f>
        <v>71</v>
      </c>
      <c r="R239" s="105" t="str">
        <f t="array" ref="R239">INDIRECT("Update"&amp;Projections!$AH$17&amp;"!D"&amp;ROW(B220))</f>
        <v>SG,SF</v>
      </c>
      <c r="S239" s="73">
        <f t="shared" si="14"/>
        <v>-3.986496368</v>
      </c>
      <c r="T239" s="73">
        <f>SUM(AE239:AM239)-IFERROR(IFS(Projections!$I$17,AN239,Projections!$J$17,AO239),"")</f>
        <v>-3.986496368</v>
      </c>
      <c r="U239" s="73">
        <f t="shared" si="15"/>
        <v>0</v>
      </c>
      <c r="V239" s="73">
        <f t="array" ref="V239">INDIRECT("Update"&amp;Projections!$AH$17&amp;"!M"&amp;ROW(B220))</f>
        <v>9.8</v>
      </c>
      <c r="W239" s="73">
        <f t="array" ref="W239">INDIRECT("Update"&amp;Projections!$AH$17&amp;"!L"&amp;ROW(B220))</f>
        <v>1.8</v>
      </c>
      <c r="X239" s="73">
        <f t="array" ref="X239">INDIRECT("Update"&amp;Projections!$AH$17&amp;"!N"&amp;ROW(B220))</f>
        <v>3</v>
      </c>
      <c r="Y239" s="73">
        <f t="array" ref="Y239">INDIRECT("Update"&amp;Projections!$AH$17&amp;"!O"&amp;ROW(B220))</f>
        <v>1.7</v>
      </c>
      <c r="Z239" s="73">
        <f t="array" ref="Z239">INDIRECT("Update"&amp;Projections!$AH$17&amp;"!P"&amp;ROW(B220))</f>
        <v>0.7</v>
      </c>
      <c r="AA239" s="73">
        <f t="array" ref="AA239">INDIRECT("Update"&amp;Projections!$AH$17&amp;"!Q"&amp;ROW(B220))</f>
        <v>0.4</v>
      </c>
      <c r="AB239" s="107">
        <f t="array" ref="AB239">INDIRECT("Update"&amp;Projections!$AH$17&amp;"!I"&amp;ROW(B220))</f>
        <v>0.453</v>
      </c>
      <c r="AC239" s="107">
        <f t="array" ref="AC239">INDIRECT("Update"&amp;Projections!$AH$17&amp;"!K"&amp;ROW(B220))</f>
        <v>0.792</v>
      </c>
      <c r="AD239" s="73">
        <f t="array" ref="AD239">INDIRECT("Update"&amp;Projections!$AH$17&amp;"!R"&amp;ROW(B220))</f>
        <v>1.2</v>
      </c>
      <c r="AE239" s="73">
        <f t="shared" si="16"/>
        <v>-1.385008029</v>
      </c>
      <c r="AF239" s="73">
        <f t="shared" si="17"/>
        <v>0.05075080149</v>
      </c>
      <c r="AG239" s="73">
        <f t="shared" si="18"/>
        <v>-1.203807972</v>
      </c>
      <c r="AH239" s="73">
        <f t="shared" si="19"/>
        <v>-1.018652563</v>
      </c>
      <c r="AI239" s="73">
        <f t="shared" si="20"/>
        <v>-0.9166617668</v>
      </c>
      <c r="AJ239" s="73">
        <f t="shared" si="21"/>
        <v>-0.6155173428</v>
      </c>
      <c r="AK239" s="73">
        <f t="shared" si="22"/>
        <v>-0.4062838189</v>
      </c>
      <c r="AL239" s="73">
        <f t="shared" si="23"/>
        <v>-0.01238323792</v>
      </c>
      <c r="AM239" s="73">
        <f t="shared" si="24"/>
        <v>0.1360595313</v>
      </c>
      <c r="AN239" s="120">
        <f t="shared" si="25"/>
        <v>-1.385008029</v>
      </c>
      <c r="AO239" s="120">
        <f t="shared" si="26"/>
        <v>-2.588816001</v>
      </c>
      <c r="AP239" s="120">
        <f t="array" ref="AP239">INDIRECT("Update"&amp;Projections!$AH$17&amp;"!S"&amp;ROW(B220))</f>
        <v>7.9</v>
      </c>
      <c r="AQ239" s="120">
        <f t="array" ref="AQ239">INDIRECT("Update"&amp;Projections!$AH$17&amp;"!T"&amp;ROW(B220))</f>
        <v>1.2</v>
      </c>
      <c r="AR239" s="100">
        <f t="shared" si="27"/>
        <v>-3.76729577</v>
      </c>
    </row>
    <row r="240">
      <c r="A240" s="40" t="str">
        <f t="shared" si="3"/>
        <v>Christian Wood</v>
      </c>
      <c r="B240" s="42">
        <f t="shared" si="4"/>
        <v>-1.403072831</v>
      </c>
      <c r="C240" s="43">
        <f t="shared" si="5"/>
        <v>-0.8449678898</v>
      </c>
      <c r="D240" s="42">
        <f t="shared" si="6"/>
        <v>-0.4192805496</v>
      </c>
      <c r="E240" s="42">
        <f t="shared" si="7"/>
        <v>-1.292023185</v>
      </c>
      <c r="F240" s="42">
        <f t="shared" si="8"/>
        <v>-2.244392479</v>
      </c>
      <c r="G240" s="42">
        <f t="shared" si="9"/>
        <v>-0.08033623669</v>
      </c>
      <c r="H240" s="42">
        <f t="shared" si="10"/>
        <v>0.04139802169</v>
      </c>
      <c r="I240" s="42">
        <f>UpdateHashtag!S238</f>
        <v>6.9</v>
      </c>
      <c r="J240" s="47">
        <f t="shared" si="11"/>
        <v>-0.3799402544</v>
      </c>
      <c r="K240" s="48">
        <f>UpdateHashtag!T238</f>
        <v>2.5</v>
      </c>
      <c r="L240" s="42">
        <f t="shared" si="12"/>
        <v>-0.643430979</v>
      </c>
      <c r="N240" s="100">
        <f t="shared" si="13"/>
        <v>225</v>
      </c>
      <c r="O240" s="94" t="str">
        <f t="array" ref="O240">INDIRECT("Update"&amp;Projections!$AH$17&amp;"!B"&amp;ROW(B221))</f>
        <v/>
      </c>
      <c r="P240" s="101" t="str">
        <f t="array" ref="P240">INDIRECT("Update"&amp;Projections!$AH$17&amp;"!C"&amp;ROW(B221))</f>
        <v>Spencer Dinwiddie</v>
      </c>
      <c r="Q240" s="94">
        <f>UpdateBBM!F221</f>
        <v>66</v>
      </c>
      <c r="R240" s="105" t="str">
        <f t="array" ref="R240">INDIRECT("Update"&amp;Projections!$AH$17&amp;"!D"&amp;ROW(B221))</f>
        <v>PG,SG</v>
      </c>
      <c r="S240" s="73">
        <f t="shared" si="14"/>
        <v>-3.928677971</v>
      </c>
      <c r="T240" s="73">
        <f>SUM(AE240:AM240)-IFERROR(IFS(Projections!$I$17,AN240,Projections!$J$17,AO240),"")</f>
        <v>-3.928677971</v>
      </c>
      <c r="U240" s="73">
        <f t="shared" si="15"/>
        <v>0</v>
      </c>
      <c r="V240" s="73">
        <f t="array" ref="V240">INDIRECT("Update"&amp;Projections!$AH$17&amp;"!M"&amp;ROW(B221))</f>
        <v>10.9</v>
      </c>
      <c r="W240" s="73">
        <f t="array" ref="W240">INDIRECT("Update"&amp;Projections!$AH$17&amp;"!L"&amp;ROW(B221))</f>
        <v>1.5</v>
      </c>
      <c r="X240" s="73">
        <f t="array" ref="X240">INDIRECT("Update"&amp;Projections!$AH$17&amp;"!N"&amp;ROW(B221))</f>
        <v>2.4</v>
      </c>
      <c r="Y240" s="73">
        <f t="array" ref="Y240">INDIRECT("Update"&amp;Projections!$AH$17&amp;"!O"&amp;ROW(B221))</f>
        <v>4.4</v>
      </c>
      <c r="Z240" s="73">
        <f t="array" ref="Z240">INDIRECT("Update"&amp;Projections!$AH$17&amp;"!P"&amp;ROW(B221))</f>
        <v>0.6</v>
      </c>
      <c r="AA240" s="73">
        <f t="array" ref="AA240">INDIRECT("Update"&amp;Projections!$AH$17&amp;"!Q"&amp;ROW(B221))</f>
        <v>0.2</v>
      </c>
      <c r="AB240" s="107">
        <f t="array" ref="AB240">INDIRECT("Update"&amp;Projections!$AH$17&amp;"!I"&amp;ROW(B221))</f>
        <v>0.421</v>
      </c>
      <c r="AC240" s="107">
        <f t="array" ref="AC240">INDIRECT("Update"&amp;Projections!$AH$17&amp;"!K"&amp;ROW(B221))</f>
        <v>0.809</v>
      </c>
      <c r="AD240" s="73">
        <f t="array" ref="AD240">INDIRECT("Update"&amp;Projections!$AH$17&amp;"!R"&amp;ROW(B221))</f>
        <v>1.2</v>
      </c>
      <c r="AE240" s="73">
        <f t="shared" si="16"/>
        <v>-1.186295207</v>
      </c>
      <c r="AF240" s="73">
        <f t="shared" si="17"/>
        <v>-0.2478220956</v>
      </c>
      <c r="AG240" s="73">
        <f t="shared" si="18"/>
        <v>-1.439166199</v>
      </c>
      <c r="AH240" s="73">
        <f t="shared" si="19"/>
        <v>0.2115152388</v>
      </c>
      <c r="AI240" s="73">
        <f t="shared" si="20"/>
        <v>-1.248594445</v>
      </c>
      <c r="AJ240" s="73">
        <f t="shared" si="21"/>
        <v>-0.9723047469</v>
      </c>
      <c r="AK240" s="73">
        <f t="shared" si="22"/>
        <v>-0.7559250664</v>
      </c>
      <c r="AL240" s="73">
        <f t="shared" si="23"/>
        <v>0.1346888202</v>
      </c>
      <c r="AM240" s="73">
        <f t="shared" si="24"/>
        <v>0.1360595313</v>
      </c>
      <c r="AN240" s="120">
        <f t="shared" si="25"/>
        <v>-1.439166199</v>
      </c>
      <c r="AO240" s="120">
        <f t="shared" si="26"/>
        <v>-2.687760644</v>
      </c>
      <c r="AP240" s="120">
        <f t="array" ref="AP240">INDIRECT("Update"&amp;Projections!$AH$17&amp;"!S"&amp;ROW(B221))</f>
        <v>8.5</v>
      </c>
      <c r="AQ240" s="120">
        <f t="array" ref="AQ240">INDIRECT("Update"&amp;Projections!$AH$17&amp;"!T"&amp;ROW(B221))</f>
        <v>2.7</v>
      </c>
      <c r="AR240" s="100">
        <f t="shared" si="27"/>
        <v>-3.78501419</v>
      </c>
    </row>
    <row r="241">
      <c r="A241" s="40" t="str">
        <f t="shared" si="3"/>
        <v>Rob Dillingham</v>
      </c>
      <c r="B241" s="42">
        <f t="shared" si="4"/>
        <v>-1.168230405</v>
      </c>
      <c r="C241" s="43">
        <f t="shared" si="5"/>
        <v>-0.1482977966</v>
      </c>
      <c r="D241" s="42">
        <f t="shared" si="6"/>
        <v>-1.556845312</v>
      </c>
      <c r="E241" s="42">
        <f t="shared" si="7"/>
        <v>-0.5174730879</v>
      </c>
      <c r="F241" s="42">
        <f t="shared" si="8"/>
        <v>-0.9166617668</v>
      </c>
      <c r="G241" s="42">
        <f t="shared" si="9"/>
        <v>-1.329092151</v>
      </c>
      <c r="H241" s="42">
        <f t="shared" si="10"/>
        <v>-0.4221531769</v>
      </c>
      <c r="I241" s="42">
        <f>UpdateHashtag!S239</f>
        <v>8.4</v>
      </c>
      <c r="J241" s="47">
        <f t="shared" si="11"/>
        <v>0.0552086024</v>
      </c>
      <c r="K241" s="48">
        <f>UpdateHashtag!T239</f>
        <v>2.2</v>
      </c>
      <c r="L241" s="42">
        <f t="shared" si="12"/>
        <v>-0.3458524173</v>
      </c>
      <c r="N241" s="100">
        <f t="shared" si="13"/>
        <v>215</v>
      </c>
      <c r="O241" s="94">
        <f t="array" ref="O241">INDIRECT("Update"&amp;Projections!$AH$17&amp;"!B"&amp;ROW(B222))</f>
        <v>138.6</v>
      </c>
      <c r="P241" s="101" t="str">
        <f t="array" ref="P241">INDIRECT("Update"&amp;Projections!$AH$17&amp;"!C"&amp;ROW(B222))</f>
        <v>Dillon Brooks</v>
      </c>
      <c r="Q241" s="94">
        <f>UpdateBBM!F222</f>
        <v>71</v>
      </c>
      <c r="R241" s="105" t="str">
        <f t="array" ref="R241">INDIRECT("Update"&amp;Projections!$AH$17&amp;"!D"&amp;ROW(B222))</f>
        <v>SG,SF</v>
      </c>
      <c r="S241" s="73">
        <f t="shared" si="14"/>
        <v>-3.595757958</v>
      </c>
      <c r="T241" s="73">
        <f>SUM(AE241:AM241)-IFERROR(IFS(Projections!$I$17,AN241,Projections!$J$17,AO241),"")</f>
        <v>-3.595757958</v>
      </c>
      <c r="U241" s="73">
        <f t="shared" si="15"/>
        <v>0</v>
      </c>
      <c r="V241" s="73">
        <f t="array" ref="V241">INDIRECT("Update"&amp;Projections!$AH$17&amp;"!M"&amp;ROW(B222))</f>
        <v>13</v>
      </c>
      <c r="W241" s="73">
        <f t="array" ref="W241">INDIRECT("Update"&amp;Projections!$AH$17&amp;"!L"&amp;ROW(B222))</f>
        <v>1.8</v>
      </c>
      <c r="X241" s="73">
        <f t="array" ref="X241">INDIRECT("Update"&amp;Projections!$AH$17&amp;"!N"&amp;ROW(B222))</f>
        <v>3.2</v>
      </c>
      <c r="Y241" s="73">
        <f t="array" ref="Y241">INDIRECT("Update"&amp;Projections!$AH$17&amp;"!O"&amp;ROW(B222))</f>
        <v>2</v>
      </c>
      <c r="Z241" s="73">
        <f t="array" ref="Z241">INDIRECT("Update"&amp;Projections!$AH$17&amp;"!P"&amp;ROW(B222))</f>
        <v>0.9</v>
      </c>
      <c r="AA241" s="73">
        <f t="array" ref="AA241">INDIRECT("Update"&amp;Projections!$AH$17&amp;"!Q"&amp;ROW(B222))</f>
        <v>0.2</v>
      </c>
      <c r="AB241" s="107">
        <f t="array" ref="AB241">INDIRECT("Update"&amp;Projections!$AH$17&amp;"!I"&amp;ROW(B222))</f>
        <v>0.425</v>
      </c>
      <c r="AC241" s="107">
        <f t="array" ref="AC241">INDIRECT("Update"&amp;Projections!$AH$17&amp;"!K"&amp;ROW(B222))</f>
        <v>0.809</v>
      </c>
      <c r="AD241" s="73">
        <f t="array" ref="AD241">INDIRECT("Update"&amp;Projections!$AH$17&amp;"!R"&amp;ROW(B222))</f>
        <v>1.3</v>
      </c>
      <c r="AE241" s="73">
        <f t="shared" si="16"/>
        <v>-0.8069343658</v>
      </c>
      <c r="AF241" s="73">
        <f t="shared" si="17"/>
        <v>0.05075080149</v>
      </c>
      <c r="AG241" s="73">
        <f t="shared" si="18"/>
        <v>-1.12535523</v>
      </c>
      <c r="AH241" s="73">
        <f t="shared" si="19"/>
        <v>-0.8819672513</v>
      </c>
      <c r="AI241" s="73">
        <f t="shared" si="20"/>
        <v>-0.2527964105</v>
      </c>
      <c r="AJ241" s="73">
        <f t="shared" si="21"/>
        <v>-0.9723047469</v>
      </c>
      <c r="AK241" s="73">
        <f t="shared" si="22"/>
        <v>-0.9435367995</v>
      </c>
      <c r="AL241" s="73">
        <f t="shared" si="23"/>
        <v>0.09976949644</v>
      </c>
      <c r="AM241" s="73">
        <f t="shared" si="24"/>
        <v>0.1112613178</v>
      </c>
      <c r="AN241" s="120">
        <f t="shared" si="25"/>
        <v>-1.12535523</v>
      </c>
      <c r="AO241" s="120">
        <f t="shared" si="26"/>
        <v>-2.097659977</v>
      </c>
      <c r="AP241" s="120">
        <f t="array" ref="AP241">INDIRECT("Update"&amp;Projections!$AH$17&amp;"!S"&amp;ROW(B222))</f>
        <v>11.2</v>
      </c>
      <c r="AQ241" s="120">
        <f t="array" ref="AQ241">INDIRECT("Update"&amp;Projections!$AH$17&amp;"!T"&amp;ROW(B222))</f>
        <v>2</v>
      </c>
      <c r="AR241" s="100">
        <f t="shared" si="27"/>
        <v>-3.801821766</v>
      </c>
    </row>
    <row r="242">
      <c r="A242" s="40" t="str">
        <f t="shared" si="3"/>
        <v>Xavier Tillman Sr.</v>
      </c>
      <c r="B242" s="42">
        <f t="shared" si="4"/>
        <v>-1.85469288</v>
      </c>
      <c r="C242" s="43">
        <f t="shared" si="5"/>
        <v>-1.044016488</v>
      </c>
      <c r="D242" s="42">
        <f t="shared" si="6"/>
        <v>-0.4585069208</v>
      </c>
      <c r="E242" s="42">
        <f t="shared" si="7"/>
        <v>-1.064214333</v>
      </c>
      <c r="F242" s="42">
        <f t="shared" si="8"/>
        <v>0.07913626764</v>
      </c>
      <c r="G242" s="42">
        <f t="shared" si="9"/>
        <v>-0.08033623669</v>
      </c>
      <c r="H242" s="42">
        <f t="shared" si="10"/>
        <v>-0.1707287106</v>
      </c>
      <c r="I242" s="42">
        <f>UpdateHashtag!S240</f>
        <v>6.1</v>
      </c>
      <c r="J242" s="47">
        <f t="shared" si="11"/>
        <v>-1.288679948</v>
      </c>
      <c r="K242" s="48">
        <f>UpdateHashtag!T240</f>
        <v>1.3</v>
      </c>
      <c r="L242" s="42">
        <f t="shared" si="12"/>
        <v>-1.040202395</v>
      </c>
      <c r="N242" s="100">
        <f t="shared" si="13"/>
        <v>192</v>
      </c>
      <c r="O242" s="94" t="str">
        <f t="array" ref="O242">INDIRECT("Update"&amp;Projections!$AH$17&amp;"!B"&amp;ROW(B223))</f>
        <v/>
      </c>
      <c r="P242" s="101" t="str">
        <f t="array" ref="P242">INDIRECT("Update"&amp;Projections!$AH$17&amp;"!C"&amp;ROW(B223))</f>
        <v>John Konchar</v>
      </c>
      <c r="Q242" s="94">
        <f>UpdateBBM!F223</f>
        <v>58</v>
      </c>
      <c r="R242" s="105" t="str">
        <f t="array" ref="R242">INDIRECT("Update"&amp;Projections!$AH$17&amp;"!D"&amp;ROW(B223))</f>
        <v>SG,SF</v>
      </c>
      <c r="S242" s="73">
        <f t="shared" si="14"/>
        <v>-2.873472536</v>
      </c>
      <c r="T242" s="73">
        <f>SUM(AE242:AM242)-IFERROR(IFS(Projections!$I$17,AN242,Projections!$J$17,AO242),"")</f>
        <v>-2.873472536</v>
      </c>
      <c r="U242" s="73">
        <f t="shared" si="15"/>
        <v>0</v>
      </c>
      <c r="V242" s="73">
        <f t="array" ref="V242">INDIRECT("Update"&amp;Projections!$AH$17&amp;"!M"&amp;ROW(B223))</f>
        <v>4.7</v>
      </c>
      <c r="W242" s="73">
        <f t="array" ref="W242">INDIRECT("Update"&amp;Projections!$AH$17&amp;"!L"&amp;ROW(B223))</f>
        <v>0.8</v>
      </c>
      <c r="X242" s="73">
        <f t="array" ref="X242">INDIRECT("Update"&amp;Projections!$AH$17&amp;"!N"&amp;ROW(B223))</f>
        <v>4.4</v>
      </c>
      <c r="Y242" s="73">
        <f t="array" ref="Y242">INDIRECT("Update"&amp;Projections!$AH$17&amp;"!O"&amp;ROW(B223))</f>
        <v>1.7</v>
      </c>
      <c r="Z242" s="73">
        <f t="array" ref="Z242">INDIRECT("Update"&amp;Projections!$AH$17&amp;"!P"&amp;ROW(B223))</f>
        <v>1</v>
      </c>
      <c r="AA242" s="73">
        <f t="array" ref="AA242">INDIRECT("Update"&amp;Projections!$AH$17&amp;"!Q"&amp;ROW(B223))</f>
        <v>0.6</v>
      </c>
      <c r="AB242" s="107">
        <f t="array" ref="AB242">INDIRECT("Update"&amp;Projections!$AH$17&amp;"!I"&amp;ROW(B223))</f>
        <v>0.428</v>
      </c>
      <c r="AC242" s="107">
        <f t="array" ref="AC242">INDIRECT("Update"&amp;Projections!$AH$17&amp;"!K"&amp;ROW(B223))</f>
        <v>0.792</v>
      </c>
      <c r="AD242" s="73">
        <f t="array" ref="AD242">INDIRECT("Update"&amp;Projections!$AH$17&amp;"!R"&amp;ROW(B223))</f>
        <v>0.7</v>
      </c>
      <c r="AE242" s="73">
        <f t="shared" si="16"/>
        <v>-2.306312929</v>
      </c>
      <c r="AF242" s="73">
        <f t="shared" si="17"/>
        <v>-0.9444921888</v>
      </c>
      <c r="AG242" s="73">
        <f t="shared" si="18"/>
        <v>-0.6546387764</v>
      </c>
      <c r="AH242" s="73">
        <f t="shared" si="19"/>
        <v>-1.018652563</v>
      </c>
      <c r="AI242" s="73">
        <f t="shared" si="20"/>
        <v>0.07913626764</v>
      </c>
      <c r="AJ242" s="73">
        <f t="shared" si="21"/>
        <v>-0.2587299387</v>
      </c>
      <c r="AK242" s="73">
        <f t="shared" si="22"/>
        <v>-0.3309862529</v>
      </c>
      <c r="AL242" s="73">
        <f t="shared" si="23"/>
        <v>-0.005159682468</v>
      </c>
      <c r="AM242" s="73">
        <f t="shared" si="24"/>
        <v>0.2600505987</v>
      </c>
      <c r="AN242" s="120">
        <f t="shared" si="25"/>
        <v>-2.306312929</v>
      </c>
      <c r="AO242" s="120">
        <f t="shared" si="26"/>
        <v>-3.324965491</v>
      </c>
      <c r="AP242" s="120">
        <f t="array" ref="AP242">INDIRECT("Update"&amp;Projections!$AH$17&amp;"!S"&amp;ROW(B223))</f>
        <v>4.1</v>
      </c>
      <c r="AQ242" s="120">
        <f t="array" ref="AQ242">INDIRECT("Update"&amp;Projections!$AH$17&amp;"!T"&amp;ROW(B223))</f>
        <v>0.5</v>
      </c>
      <c r="AR242" s="100">
        <f t="shared" si="27"/>
        <v>-3.836329179</v>
      </c>
    </row>
    <row r="243">
      <c r="A243" s="40" t="str">
        <f t="shared" si="3"/>
        <v>Gradey Dick</v>
      </c>
      <c r="B243" s="42">
        <f t="shared" si="4"/>
        <v>-1.095971197</v>
      </c>
      <c r="C243" s="43">
        <f t="shared" si="5"/>
        <v>0.2497993996</v>
      </c>
      <c r="D243" s="42">
        <f t="shared" si="6"/>
        <v>-1.243034343</v>
      </c>
      <c r="E243" s="42">
        <f t="shared" si="7"/>
        <v>-1.109776103</v>
      </c>
      <c r="F243" s="42">
        <f t="shared" si="8"/>
        <v>-0.5847290887</v>
      </c>
      <c r="G243" s="42">
        <f t="shared" si="9"/>
        <v>-1.329092151</v>
      </c>
      <c r="H243" s="42">
        <f t="shared" si="10"/>
        <v>-0.8456219443</v>
      </c>
      <c r="I243" s="42">
        <f>UpdateHashtag!S241</f>
        <v>9.9</v>
      </c>
      <c r="J243" s="47">
        <f t="shared" si="11"/>
        <v>0.2535467965</v>
      </c>
      <c r="K243" s="48">
        <f>UpdateHashtag!T241</f>
        <v>1.1</v>
      </c>
      <c r="L243" s="42">
        <f t="shared" si="12"/>
        <v>-0.643430979</v>
      </c>
      <c r="N243" s="100">
        <f t="shared" si="13"/>
        <v>210</v>
      </c>
      <c r="O243" s="94" t="str">
        <f t="array" ref="O243">INDIRECT("Update"&amp;Projections!$AH$17&amp;"!B"&amp;ROW(B224))</f>
        <v/>
      </c>
      <c r="P243" s="101" t="str">
        <f t="array" ref="P243">INDIRECT("Update"&amp;Projections!$AH$17&amp;"!C"&amp;ROW(B224))</f>
        <v>Royce O'Neale</v>
      </c>
      <c r="Q243" s="94">
        <f>UpdateBBM!F224</f>
        <v>75</v>
      </c>
      <c r="R243" s="105" t="str">
        <f t="array" ref="R243">INDIRECT("Update"&amp;Projections!$AH$17&amp;"!D"&amp;ROW(B224))</f>
        <v>SF,PF</v>
      </c>
      <c r="S243" s="73">
        <f t="shared" si="14"/>
        <v>-3.322101101</v>
      </c>
      <c r="T243" s="73">
        <f>SUM(AE243:AM243)-IFERROR(IFS(Projections!$I$17,AN243,Projections!$J$17,AO243),"")</f>
        <v>-3.322101101</v>
      </c>
      <c r="U243" s="73">
        <f t="shared" si="15"/>
        <v>0</v>
      </c>
      <c r="V243" s="73">
        <f t="array" ref="V243">INDIRECT("Update"&amp;Projections!$AH$17&amp;"!M"&amp;ROW(B224))</f>
        <v>7.2</v>
      </c>
      <c r="W243" s="73">
        <f t="array" ref="W243">INDIRECT("Update"&amp;Projections!$AH$17&amp;"!L"&amp;ROW(B224))</f>
        <v>1.8</v>
      </c>
      <c r="X243" s="73">
        <f t="array" ref="X243">INDIRECT("Update"&amp;Projections!$AH$17&amp;"!N"&amp;ROW(B224))</f>
        <v>4.3</v>
      </c>
      <c r="Y243" s="73">
        <f t="array" ref="Y243">INDIRECT("Update"&amp;Projections!$AH$17&amp;"!O"&amp;ROW(B224))</f>
        <v>2.8</v>
      </c>
      <c r="Z243" s="73">
        <f t="array" ref="Z243">INDIRECT("Update"&amp;Projections!$AH$17&amp;"!P"&amp;ROW(B224))</f>
        <v>0.7</v>
      </c>
      <c r="AA243" s="73">
        <f t="array" ref="AA243">INDIRECT("Update"&amp;Projections!$AH$17&amp;"!Q"&amp;ROW(B224))</f>
        <v>0.5</v>
      </c>
      <c r="AB243" s="107">
        <f t="array" ref="AB243">INDIRECT("Update"&amp;Projections!$AH$17&amp;"!I"&amp;ROW(B224))</f>
        <v>0.391</v>
      </c>
      <c r="AC243" s="107">
        <f t="array" ref="AC243">INDIRECT("Update"&amp;Projections!$AH$17&amp;"!K"&amp;ROW(B224))</f>
        <v>0.707</v>
      </c>
      <c r="AD243" s="73">
        <f t="array" ref="AD243">INDIRECT("Update"&amp;Projections!$AH$17&amp;"!R"&amp;ROW(B224))</f>
        <v>1.1</v>
      </c>
      <c r="AE243" s="73">
        <f t="shared" si="16"/>
        <v>-1.85469288</v>
      </c>
      <c r="AF243" s="73">
        <f t="shared" si="17"/>
        <v>0.05075080149</v>
      </c>
      <c r="AG243" s="73">
        <f t="shared" si="18"/>
        <v>-0.6938651475</v>
      </c>
      <c r="AH243" s="73">
        <f t="shared" si="19"/>
        <v>-0.5174730879</v>
      </c>
      <c r="AI243" s="73">
        <f t="shared" si="20"/>
        <v>-0.9166617668</v>
      </c>
      <c r="AJ243" s="73">
        <f t="shared" si="21"/>
        <v>-0.4371236408</v>
      </c>
      <c r="AK243" s="73">
        <f t="shared" si="22"/>
        <v>-0.7817820455</v>
      </c>
      <c r="AL243" s="73">
        <f t="shared" si="23"/>
        <v>-0.1868039584</v>
      </c>
      <c r="AM243" s="73">
        <f t="shared" si="24"/>
        <v>0.1608577447</v>
      </c>
      <c r="AN243" s="120">
        <f t="shared" si="25"/>
        <v>-1.85469288</v>
      </c>
      <c r="AO243" s="120">
        <f t="shared" si="26"/>
        <v>-2.771354647</v>
      </c>
      <c r="AP243" s="120">
        <f t="array" ref="AP243">INDIRECT("Update"&amp;Projections!$AH$17&amp;"!S"&amp;ROW(B224))</f>
        <v>6.3</v>
      </c>
      <c r="AQ243" s="120">
        <f t="array" ref="AQ243">INDIRECT("Update"&amp;Projections!$AH$17&amp;"!T"&amp;ROW(B224))</f>
        <v>0.6</v>
      </c>
      <c r="AR243" s="100">
        <f t="shared" si="27"/>
        <v>-3.845275664</v>
      </c>
    </row>
    <row r="244">
      <c r="A244" s="40" t="str">
        <f t="shared" si="3"/>
        <v>Ron Holland II</v>
      </c>
      <c r="B244" s="42">
        <f t="shared" si="4"/>
        <v>-1.294684019</v>
      </c>
      <c r="C244" s="43">
        <f t="shared" si="5"/>
        <v>-1.243065086</v>
      </c>
      <c r="D244" s="42">
        <f t="shared" si="6"/>
        <v>-0.9292233743</v>
      </c>
      <c r="E244" s="42">
        <f t="shared" si="7"/>
        <v>-1.018652563</v>
      </c>
      <c r="F244" s="42">
        <f t="shared" si="8"/>
        <v>1.074934302</v>
      </c>
      <c r="G244" s="42">
        <f t="shared" si="9"/>
        <v>-0.6155173428</v>
      </c>
      <c r="H244" s="42">
        <f t="shared" si="10"/>
        <v>-0.5866462218</v>
      </c>
      <c r="I244" s="42">
        <f>UpdateHashtag!S242</f>
        <v>8.8</v>
      </c>
      <c r="J244" s="47">
        <f t="shared" si="11"/>
        <v>-0.5639720562</v>
      </c>
      <c r="K244" s="48">
        <f>UpdateHashtag!T242</f>
        <v>2.9</v>
      </c>
      <c r="L244" s="42">
        <f t="shared" si="12"/>
        <v>-0.1474667095</v>
      </c>
      <c r="N244" s="100">
        <f t="shared" si="13"/>
        <v>217</v>
      </c>
      <c r="O244" s="94">
        <f t="array" ref="O244">INDIRECT("Update"&amp;Projections!$AH$17&amp;"!B"&amp;ROW(B225))</f>
        <v>142.2</v>
      </c>
      <c r="P244" s="101" t="str">
        <f t="array" ref="P244">INDIRECT("Update"&amp;Projections!$AH$17&amp;"!C"&amp;ROW(B225))</f>
        <v>Kyle Anderson</v>
      </c>
      <c r="Q244" s="94">
        <f>UpdateBBM!F225</f>
        <v>66</v>
      </c>
      <c r="R244" s="105" t="str">
        <f t="array" ref="R244">INDIRECT("Update"&amp;Projections!$AH$17&amp;"!D"&amp;ROW(B225))</f>
        <v>SF,PF</v>
      </c>
      <c r="S244" s="73">
        <f t="shared" si="14"/>
        <v>-3.643597559</v>
      </c>
      <c r="T244" s="73">
        <f>SUM(AE244:AM244)-IFERROR(IFS(Projections!$I$17,AN244,Projections!$J$17,AO244),"")</f>
        <v>-3.643597559</v>
      </c>
      <c r="U244" s="73">
        <f t="shared" si="15"/>
        <v>0</v>
      </c>
      <c r="V244" s="73">
        <f t="array" ref="V244">INDIRECT("Update"&amp;Projections!$AH$17&amp;"!M"&amp;ROW(B225))</f>
        <v>6.4</v>
      </c>
      <c r="W244" s="73">
        <f t="array" ref="W244">INDIRECT("Update"&amp;Projections!$AH$17&amp;"!L"&amp;ROW(B225))</f>
        <v>0.3</v>
      </c>
      <c r="X244" s="73">
        <f t="array" ref="X244">INDIRECT("Update"&amp;Projections!$AH$17&amp;"!N"&amp;ROW(B225))</f>
        <v>3.6</v>
      </c>
      <c r="Y244" s="73">
        <f t="array" ref="Y244">INDIRECT("Update"&amp;Projections!$AH$17&amp;"!O"&amp;ROW(B225))</f>
        <v>3.7</v>
      </c>
      <c r="Z244" s="73">
        <f t="array" ref="Z244">INDIRECT("Update"&amp;Projections!$AH$17&amp;"!P"&amp;ROW(B225))</f>
        <v>0.8</v>
      </c>
      <c r="AA244" s="73">
        <f t="array" ref="AA244">INDIRECT("Update"&amp;Projections!$AH$17&amp;"!Q"&amp;ROW(B225))</f>
        <v>0.6</v>
      </c>
      <c r="AB244" s="107">
        <f t="array" ref="AB244">INDIRECT("Update"&amp;Projections!$AH$17&amp;"!I"&amp;ROW(B225))</f>
        <v>0.486</v>
      </c>
      <c r="AC244" s="107">
        <f t="array" ref="AC244">INDIRECT("Update"&amp;Projections!$AH$17&amp;"!K"&amp;ROW(B225))</f>
        <v>0.724</v>
      </c>
      <c r="AD244" s="73">
        <f t="array" ref="AD244">INDIRECT("Update"&amp;Projections!$AH$17&amp;"!R"&amp;ROW(B225))</f>
        <v>1.1</v>
      </c>
      <c r="AE244" s="73">
        <f t="shared" si="16"/>
        <v>-1.999211295</v>
      </c>
      <c r="AF244" s="73">
        <f t="shared" si="17"/>
        <v>-1.442113684</v>
      </c>
      <c r="AG244" s="73">
        <f t="shared" si="18"/>
        <v>-0.9684497454</v>
      </c>
      <c r="AH244" s="73">
        <f t="shared" si="19"/>
        <v>-0.1074171541</v>
      </c>
      <c r="AI244" s="73">
        <f t="shared" si="20"/>
        <v>-0.5847290887</v>
      </c>
      <c r="AJ244" s="73">
        <f t="shared" si="21"/>
        <v>-0.2587299387</v>
      </c>
      <c r="AK244" s="73">
        <f t="shared" si="22"/>
        <v>-0.06631196695</v>
      </c>
      <c r="AL244" s="73">
        <f t="shared" si="23"/>
        <v>-0.3767037263</v>
      </c>
      <c r="AM244" s="73">
        <f t="shared" si="24"/>
        <v>0.1608577447</v>
      </c>
      <c r="AN244" s="120">
        <f t="shared" si="25"/>
        <v>-1.999211295</v>
      </c>
      <c r="AO244" s="120">
        <f t="shared" si="26"/>
        <v>-3.441324979</v>
      </c>
      <c r="AP244" s="120">
        <f t="array" ref="AP244">INDIRECT("Update"&amp;Projections!$AH$17&amp;"!S"&amp;ROW(B225))</f>
        <v>5.2</v>
      </c>
      <c r="AQ244" s="120">
        <f t="array" ref="AQ244">INDIRECT("Update"&amp;Projections!$AH$17&amp;"!T"&amp;ROW(B225))</f>
        <v>1.5</v>
      </c>
      <c r="AR244" s="100">
        <f t="shared" si="27"/>
        <v>-3.886804982</v>
      </c>
    </row>
    <row r="245">
      <c r="A245" s="40" t="str">
        <f t="shared" si="3"/>
        <v>Mo Bamba</v>
      </c>
      <c r="B245" s="42">
        <f t="shared" si="4"/>
        <v>-2.053405701</v>
      </c>
      <c r="C245" s="43">
        <f t="shared" si="5"/>
        <v>-0.9444921888</v>
      </c>
      <c r="D245" s="42">
        <f t="shared" si="6"/>
        <v>-0.4585069208</v>
      </c>
      <c r="E245" s="42">
        <f t="shared" si="7"/>
        <v>-1.383146726</v>
      </c>
      <c r="F245" s="42">
        <f t="shared" si="8"/>
        <v>-1.912459801</v>
      </c>
      <c r="G245" s="42">
        <f t="shared" si="9"/>
        <v>0.6332385715</v>
      </c>
      <c r="H245" s="42">
        <f t="shared" si="10"/>
        <v>-0.05326938194</v>
      </c>
      <c r="I245" s="42">
        <f>UpdateHashtag!S243</f>
        <v>4.6</v>
      </c>
      <c r="J245" s="47">
        <f t="shared" si="11"/>
        <v>-0.5350965969</v>
      </c>
      <c r="K245" s="48">
        <f>UpdateHashtag!T243</f>
        <v>1.2</v>
      </c>
      <c r="L245" s="42">
        <f t="shared" si="12"/>
        <v>-1.040202395</v>
      </c>
      <c r="N245" s="100">
        <f t="shared" si="13"/>
        <v>251</v>
      </c>
      <c r="O245" s="94" t="str">
        <f t="array" ref="O245">INDIRECT("Update"&amp;Projections!$AH$17&amp;"!B"&amp;ROW(B226))</f>
        <v/>
      </c>
      <c r="P245" s="101" t="str">
        <f t="array" ref="P245">INDIRECT("Update"&amp;Projections!$AH$17&amp;"!C"&amp;ROW(B226))</f>
        <v>Luke Kornet</v>
      </c>
      <c r="Q245" s="94">
        <f>UpdateBBM!F226</f>
        <v>66</v>
      </c>
      <c r="R245" s="105" t="str">
        <f t="array" ref="R245">INDIRECT("Update"&amp;Projections!$AH$17&amp;"!D"&amp;ROW(B226))</f>
        <v>C</v>
      </c>
      <c r="S245" s="73">
        <f t="shared" si="14"/>
        <v>-4.506182456</v>
      </c>
      <c r="T245" s="73">
        <f>SUM(AE245:AM245)-IFERROR(IFS(Projections!$I$17,AN245,Projections!$J$17,AO245),"")</f>
        <v>-4.506182456</v>
      </c>
      <c r="U245" s="73">
        <f t="shared" si="15"/>
        <v>0</v>
      </c>
      <c r="V245" s="73">
        <f t="array" ref="V245">INDIRECT("Update"&amp;Projections!$AH$17&amp;"!M"&amp;ROW(B226))</f>
        <v>5.3</v>
      </c>
      <c r="W245" s="73">
        <f t="array" ref="W245">INDIRECT("Update"&amp;Projections!$AH$17&amp;"!L"&amp;ROW(B226))</f>
        <v>0</v>
      </c>
      <c r="X245" s="73">
        <f t="array" ref="X245">INDIRECT("Update"&amp;Projections!$AH$17&amp;"!N"&amp;ROW(B226))</f>
        <v>4</v>
      </c>
      <c r="Y245" s="73">
        <f t="array" ref="Y245">INDIRECT("Update"&amp;Projections!$AH$17&amp;"!O"&amp;ROW(B226))</f>
        <v>1.1</v>
      </c>
      <c r="Z245" s="73">
        <f t="array" ref="Z245">INDIRECT("Update"&amp;Projections!$AH$17&amp;"!P"&amp;ROW(B226))</f>
        <v>0.3</v>
      </c>
      <c r="AA245" s="73">
        <f t="array" ref="AA245">INDIRECT("Update"&amp;Projections!$AH$17&amp;"!Q"&amp;ROW(B226))</f>
        <v>0.9</v>
      </c>
      <c r="AB245" s="107">
        <f t="array" ref="AB245">INDIRECT("Update"&amp;Projections!$AH$17&amp;"!I"&amp;ROW(B226))</f>
        <v>0.684</v>
      </c>
      <c r="AC245" s="107">
        <f t="array" ref="AC245">INDIRECT("Update"&amp;Projections!$AH$17&amp;"!K"&amp;ROW(B226))</f>
        <v>0.866</v>
      </c>
      <c r="AD245" s="73">
        <f t="array" ref="AD245">INDIRECT("Update"&amp;Projections!$AH$17&amp;"!R"&amp;ROW(B226))</f>
        <v>0.4</v>
      </c>
      <c r="AE245" s="73">
        <f t="shared" si="16"/>
        <v>-2.197924117</v>
      </c>
      <c r="AF245" s="73">
        <f t="shared" si="17"/>
        <v>-1.740686581</v>
      </c>
      <c r="AG245" s="73">
        <f t="shared" si="18"/>
        <v>-0.8115442609</v>
      </c>
      <c r="AH245" s="73">
        <f t="shared" si="19"/>
        <v>-1.292023185</v>
      </c>
      <c r="AI245" s="73">
        <f t="shared" si="20"/>
        <v>-2.244392479</v>
      </c>
      <c r="AJ245" s="73">
        <f t="shared" si="21"/>
        <v>0.2764511674</v>
      </c>
      <c r="AK245" s="73">
        <f t="shared" si="22"/>
        <v>0.7237028029</v>
      </c>
      <c r="AL245" s="73">
        <f t="shared" si="23"/>
        <v>0.2013964786</v>
      </c>
      <c r="AM245" s="73">
        <f t="shared" si="24"/>
        <v>0.3344452391</v>
      </c>
      <c r="AN245" s="120">
        <f t="shared" si="25"/>
        <v>-2.244392479</v>
      </c>
      <c r="AO245" s="120">
        <f t="shared" si="26"/>
        <v>-4.442316596</v>
      </c>
      <c r="AP245" s="120">
        <f t="array" ref="AP245">INDIRECT("Update"&amp;Projections!$AH$17&amp;"!S"&amp;ROW(B226))</f>
        <v>3.3</v>
      </c>
      <c r="AQ245" s="120">
        <f t="array" ref="AQ245">INDIRECT("Update"&amp;Projections!$AH$17&amp;"!T"&amp;ROW(B226))</f>
        <v>0.8</v>
      </c>
      <c r="AR245" s="100">
        <f t="shared" si="27"/>
        <v>-3.928677971</v>
      </c>
    </row>
    <row r="246">
      <c r="A246" s="40" t="str">
        <f t="shared" si="3"/>
        <v>Derrick Jones Jr.</v>
      </c>
      <c r="B246" s="42">
        <f t="shared" si="4"/>
        <v>-1.710174464</v>
      </c>
      <c r="C246" s="43">
        <f t="shared" si="5"/>
        <v>-0.8449678898</v>
      </c>
      <c r="D246" s="42">
        <f t="shared" si="6"/>
        <v>-1.086128859</v>
      </c>
      <c r="E246" s="42">
        <f t="shared" si="7"/>
        <v>-1.383146726</v>
      </c>
      <c r="F246" s="42">
        <f t="shared" si="8"/>
        <v>-0.9166617668</v>
      </c>
      <c r="G246" s="42">
        <f t="shared" si="9"/>
        <v>-0.08033623669</v>
      </c>
      <c r="H246" s="42">
        <f t="shared" si="10"/>
        <v>-0.06244979705</v>
      </c>
      <c r="I246" s="42">
        <f>UpdateHashtag!S244</f>
        <v>6</v>
      </c>
      <c r="J246" s="47">
        <f t="shared" si="11"/>
        <v>-0.4520444716</v>
      </c>
      <c r="K246" s="48">
        <f>UpdateHashtag!T244</f>
        <v>1.8</v>
      </c>
      <c r="L246" s="42">
        <f t="shared" si="12"/>
        <v>-1.040202395</v>
      </c>
      <c r="N246" s="100">
        <f t="shared" si="13"/>
        <v>221</v>
      </c>
      <c r="O246" s="94">
        <f t="array" ref="O246">INDIRECT("Update"&amp;Projections!$AH$17&amp;"!B"&amp;ROW(B227))</f>
        <v>144.4</v>
      </c>
      <c r="P246" s="101" t="str">
        <f t="array" ref="P246">INDIRECT("Update"&amp;Projections!$AH$17&amp;"!C"&amp;ROW(B227))</f>
        <v>Bojan Bogdanovic</v>
      </c>
      <c r="Q246" s="94">
        <f>UpdateBBM!F227</f>
        <v>71</v>
      </c>
      <c r="R246" s="105" t="str">
        <f t="array" ref="R246">INDIRECT("Update"&amp;Projections!$AH$17&amp;"!D"&amp;ROW(B227))</f>
        <v>SF,PF</v>
      </c>
      <c r="S246" s="73">
        <f t="shared" si="14"/>
        <v>-3.801821766</v>
      </c>
      <c r="T246" s="73">
        <f>SUM(AE246:AM246)-IFERROR(IFS(Projections!$I$17,AN246,Projections!$J$17,AO246),"")</f>
        <v>-3.801821766</v>
      </c>
      <c r="U246" s="73">
        <f t="shared" si="15"/>
        <v>0</v>
      </c>
      <c r="V246" s="73">
        <f t="array" ref="V246">INDIRECT("Update"&amp;Projections!$AH$17&amp;"!M"&amp;ROW(B227))</f>
        <v>16.5</v>
      </c>
      <c r="W246" s="73">
        <f t="array" ref="W246">INDIRECT("Update"&amp;Projections!$AH$17&amp;"!L"&amp;ROW(B227))</f>
        <v>2.2</v>
      </c>
      <c r="X246" s="73">
        <f t="array" ref="X246">INDIRECT("Update"&amp;Projections!$AH$17&amp;"!N"&amp;ROW(B227))</f>
        <v>2.9</v>
      </c>
      <c r="Y246" s="73">
        <f t="array" ref="Y246">INDIRECT("Update"&amp;Projections!$AH$17&amp;"!O"&amp;ROW(B227))</f>
        <v>1.9</v>
      </c>
      <c r="Z246" s="73">
        <f t="array" ref="Z246">INDIRECT("Update"&amp;Projections!$AH$17&amp;"!P"&amp;ROW(B227))</f>
        <v>0.5</v>
      </c>
      <c r="AA246" s="73">
        <f t="array" ref="AA246">INDIRECT("Update"&amp;Projections!$AH$17&amp;"!Q"&amp;ROW(B227))</f>
        <v>0.1</v>
      </c>
      <c r="AB246" s="107">
        <f t="array" ref="AB246">INDIRECT("Update"&amp;Projections!$AH$17&amp;"!I"&amp;ROW(B227))</f>
        <v>0.449</v>
      </c>
      <c r="AC246" s="107">
        <f t="array" ref="AC246">INDIRECT("Update"&amp;Projections!$AH$17&amp;"!K"&amp;ROW(B227))</f>
        <v>0.793</v>
      </c>
      <c r="AD246" s="73">
        <f t="array" ref="AD246">INDIRECT("Update"&amp;Projections!$AH$17&amp;"!R"&amp;ROW(B227))</f>
        <v>1.8</v>
      </c>
      <c r="AE246" s="73">
        <f t="shared" si="16"/>
        <v>-0.1746662971</v>
      </c>
      <c r="AF246" s="73">
        <f t="shared" si="17"/>
        <v>0.4488479976</v>
      </c>
      <c r="AG246" s="73">
        <f t="shared" si="18"/>
        <v>-1.243034343</v>
      </c>
      <c r="AH246" s="73">
        <f t="shared" si="19"/>
        <v>-0.9275290217</v>
      </c>
      <c r="AI246" s="73">
        <f t="shared" si="20"/>
        <v>-1.580527123</v>
      </c>
      <c r="AJ246" s="73">
        <f t="shared" si="21"/>
        <v>-1.150698449</v>
      </c>
      <c r="AK246" s="73">
        <f t="shared" si="22"/>
        <v>-0.71828909</v>
      </c>
      <c r="AL246" s="73">
        <f t="shared" si="23"/>
        <v>-0.0237228128</v>
      </c>
      <c r="AM246" s="73">
        <f t="shared" si="24"/>
        <v>-0.01272974958</v>
      </c>
      <c r="AN246" s="120">
        <f t="shared" si="25"/>
        <v>-1.580527123</v>
      </c>
      <c r="AO246" s="120">
        <f t="shared" si="26"/>
        <v>-2.823561466</v>
      </c>
      <c r="AP246" s="120">
        <f t="array" ref="AP246">INDIRECT("Update"&amp;Projections!$AH$17&amp;"!S"&amp;ROW(B227))</f>
        <v>12.8</v>
      </c>
      <c r="AQ246" s="120">
        <f t="array" ref="AQ246">INDIRECT("Update"&amp;Projections!$AH$17&amp;"!T"&amp;ROW(B227))</f>
        <v>3.5</v>
      </c>
      <c r="AR246" s="100">
        <f t="shared" si="27"/>
        <v>-3.932188695</v>
      </c>
    </row>
    <row r="247">
      <c r="A247" s="40" t="str">
        <f t="shared" si="3"/>
        <v>Isaiah Joe</v>
      </c>
      <c r="B247" s="42">
        <f t="shared" si="4"/>
        <v>-1.619850454</v>
      </c>
      <c r="C247" s="43">
        <f t="shared" si="5"/>
        <v>0.2497993996</v>
      </c>
      <c r="D247" s="42">
        <f t="shared" si="6"/>
        <v>-1.47839257</v>
      </c>
      <c r="E247" s="42">
        <f t="shared" si="7"/>
        <v>-1.246461415</v>
      </c>
      <c r="F247" s="42">
        <f t="shared" si="8"/>
        <v>-1.248594445</v>
      </c>
      <c r="G247" s="42">
        <f t="shared" si="9"/>
        <v>-0.9723047469</v>
      </c>
      <c r="H247" s="42">
        <f t="shared" si="10"/>
        <v>-0.359144545</v>
      </c>
      <c r="I247" s="42">
        <f>UpdateHashtag!S245</f>
        <v>6.4</v>
      </c>
      <c r="J247" s="47">
        <f t="shared" si="11"/>
        <v>0.1136302798</v>
      </c>
      <c r="K247" s="48">
        <f>UpdateHashtag!T245</f>
        <v>1</v>
      </c>
      <c r="L247" s="42">
        <f t="shared" si="12"/>
        <v>-1.139395249</v>
      </c>
      <c r="N247" s="100">
        <f t="shared" si="13"/>
        <v>240</v>
      </c>
      <c r="O247" s="94" t="str">
        <f t="array" ref="O247">INDIRECT("Update"&amp;Projections!$AH$17&amp;"!B"&amp;ROW(B228))</f>
        <v/>
      </c>
      <c r="P247" s="101" t="str">
        <f t="array" ref="P247">INDIRECT("Update"&amp;Projections!$AH$17&amp;"!C"&amp;ROW(B228))</f>
        <v>Day'Ron Sharpe</v>
      </c>
      <c r="Q247" s="94">
        <f>UpdateBBM!F228</f>
        <v>56</v>
      </c>
      <c r="R247" s="105" t="str">
        <f t="array" ref="R247">INDIRECT("Update"&amp;Projections!$AH$17&amp;"!D"&amp;ROW(B228))</f>
        <v>C</v>
      </c>
      <c r="S247" s="73">
        <f t="shared" si="14"/>
        <v>-4.303191503</v>
      </c>
      <c r="T247" s="73">
        <f>SUM(AE247:AM247)-IFERROR(IFS(Projections!$I$17,AN247,Projections!$J$17,AO247),"")</f>
        <v>-4.303191503</v>
      </c>
      <c r="U247" s="73">
        <f t="shared" si="15"/>
        <v>0</v>
      </c>
      <c r="V247" s="73">
        <f t="array" ref="V247">INDIRECT("Update"&amp;Projections!$AH$17&amp;"!M"&amp;ROW(B228))</f>
        <v>8</v>
      </c>
      <c r="W247" s="73">
        <f t="array" ref="W247">INDIRECT("Update"&amp;Projections!$AH$17&amp;"!L"&amp;ROW(B228))</f>
        <v>0.1</v>
      </c>
      <c r="X247" s="73">
        <f t="array" ref="X247">INDIRECT("Update"&amp;Projections!$AH$17&amp;"!N"&amp;ROW(B228))</f>
        <v>7.3</v>
      </c>
      <c r="Y247" s="73">
        <f t="array" ref="Y247">INDIRECT("Update"&amp;Projections!$AH$17&amp;"!O"&amp;ROW(B228))</f>
        <v>1.5</v>
      </c>
      <c r="Z247" s="73">
        <f t="array" ref="Z247">INDIRECT("Update"&amp;Projections!$AH$17&amp;"!P"&amp;ROW(B228))</f>
        <v>0.5</v>
      </c>
      <c r="AA247" s="73">
        <f t="array" ref="AA247">INDIRECT("Update"&amp;Projections!$AH$17&amp;"!Q"&amp;ROW(B228))</f>
        <v>0.9</v>
      </c>
      <c r="AB247" s="107">
        <f t="array" ref="AB247">INDIRECT("Update"&amp;Projections!$AH$17&amp;"!I"&amp;ROW(B228))</f>
        <v>0.561</v>
      </c>
      <c r="AC247" s="107">
        <f t="array" ref="AC247">INDIRECT("Update"&amp;Projections!$AH$17&amp;"!K"&amp;ROW(B228))</f>
        <v>0.635</v>
      </c>
      <c r="AD247" s="73">
        <f t="array" ref="AD247">INDIRECT("Update"&amp;Projections!$AH$17&amp;"!R"&amp;ROW(B228))</f>
        <v>1.4</v>
      </c>
      <c r="AE247" s="73">
        <f t="shared" si="16"/>
        <v>-1.710174464</v>
      </c>
      <c r="AF247" s="73">
        <f t="shared" si="17"/>
        <v>-1.641162282</v>
      </c>
      <c r="AG247" s="73">
        <f t="shared" si="18"/>
        <v>0.4829259862</v>
      </c>
      <c r="AH247" s="73">
        <f t="shared" si="19"/>
        <v>-1.109776103</v>
      </c>
      <c r="AI247" s="73">
        <f t="shared" si="20"/>
        <v>-1.580527123</v>
      </c>
      <c r="AJ247" s="73">
        <f t="shared" si="21"/>
        <v>0.2764511674</v>
      </c>
      <c r="AK247" s="73">
        <f t="shared" si="22"/>
        <v>0.4283422732</v>
      </c>
      <c r="AL247" s="73">
        <f t="shared" si="23"/>
        <v>-1.245908525</v>
      </c>
      <c r="AM247" s="73">
        <f t="shared" si="24"/>
        <v>0.08646310432</v>
      </c>
      <c r="AN247" s="120">
        <f t="shared" si="25"/>
        <v>-1.710174464</v>
      </c>
      <c r="AO247" s="120">
        <f t="shared" si="26"/>
        <v>-3.351336746</v>
      </c>
      <c r="AP247" s="120">
        <f t="array" ref="AP247">INDIRECT("Update"&amp;Projections!$AH$17&amp;"!S"&amp;ROW(B228))</f>
        <v>5.7</v>
      </c>
      <c r="AQ247" s="120">
        <f t="array" ref="AQ247">INDIRECT("Update"&amp;Projections!$AH$17&amp;"!T"&amp;ROW(B228))</f>
        <v>2.2</v>
      </c>
      <c r="AR247" s="100">
        <f t="shared" si="27"/>
        <v>-3.986496368</v>
      </c>
    </row>
    <row r="248">
      <c r="A248" s="40" t="str">
        <f t="shared" si="3"/>
        <v>Naji Marshall</v>
      </c>
      <c r="B248" s="42">
        <f t="shared" si="4"/>
        <v>-1.619850454</v>
      </c>
      <c r="C248" s="43">
        <f t="shared" si="5"/>
        <v>-0.8449678898</v>
      </c>
      <c r="D248" s="42">
        <f t="shared" si="6"/>
        <v>-0.8899970031</v>
      </c>
      <c r="E248" s="42">
        <f t="shared" si="7"/>
        <v>-0.74528194</v>
      </c>
      <c r="F248" s="42">
        <f t="shared" si="8"/>
        <v>-0.5847290887</v>
      </c>
      <c r="G248" s="42">
        <f t="shared" si="9"/>
        <v>-0.9723047469</v>
      </c>
      <c r="H248" s="42">
        <f t="shared" si="10"/>
        <v>-0.4054998977</v>
      </c>
      <c r="I248" s="42">
        <f>UpdateHashtag!S246</f>
        <v>6.8</v>
      </c>
      <c r="J248" s="47">
        <f t="shared" si="11"/>
        <v>-0.03979287838</v>
      </c>
      <c r="K248" s="48">
        <f>UpdateHashtag!T246</f>
        <v>1.9</v>
      </c>
      <c r="L248" s="42">
        <f t="shared" si="12"/>
        <v>-0.5442381251</v>
      </c>
      <c r="N248" s="100">
        <f t="shared" si="13"/>
        <v>224</v>
      </c>
      <c r="O248" s="94" t="str">
        <f t="array" ref="O248">INDIRECT("Update"&amp;Projections!$AH$17&amp;"!B"&amp;ROW(B229))</f>
        <v/>
      </c>
      <c r="P248" s="101" t="str">
        <f t="array" ref="P248">INDIRECT("Update"&amp;Projections!$AH$17&amp;"!C"&amp;ROW(B229))</f>
        <v>Isaac Okoro</v>
      </c>
      <c r="Q248" s="94">
        <f>UpdateBBM!F229</f>
        <v>71</v>
      </c>
      <c r="R248" s="105" t="str">
        <f t="array" ref="R248">INDIRECT("Update"&amp;Projections!$AH$17&amp;"!D"&amp;ROW(B229))</f>
        <v>SF,PF</v>
      </c>
      <c r="S248" s="73">
        <f t="shared" si="14"/>
        <v>-3.886804982</v>
      </c>
      <c r="T248" s="73">
        <f>SUM(AE248:AM248)-IFERROR(IFS(Projections!$I$17,AN248,Projections!$J$17,AO248),"")</f>
        <v>-3.886804982</v>
      </c>
      <c r="U248" s="73">
        <f t="shared" si="15"/>
        <v>0</v>
      </c>
      <c r="V248" s="73">
        <f t="array" ref="V248">INDIRECT("Update"&amp;Projections!$AH$17&amp;"!M"&amp;ROW(B229))</f>
        <v>8.8</v>
      </c>
      <c r="W248" s="73">
        <f t="array" ref="W248">INDIRECT("Update"&amp;Projections!$AH$17&amp;"!L"&amp;ROW(B229))</f>
        <v>1.1</v>
      </c>
      <c r="X248" s="73">
        <f t="array" ref="X248">INDIRECT("Update"&amp;Projections!$AH$17&amp;"!N"&amp;ROW(B229))</f>
        <v>3</v>
      </c>
      <c r="Y248" s="73">
        <f t="array" ref="Y248">INDIRECT("Update"&amp;Projections!$AH$17&amp;"!O"&amp;ROW(B229))</f>
        <v>1.7</v>
      </c>
      <c r="Z248" s="73">
        <f t="array" ref="Z248">INDIRECT("Update"&amp;Projections!$AH$17&amp;"!P"&amp;ROW(B229))</f>
        <v>0.9</v>
      </c>
      <c r="AA248" s="73">
        <f t="array" ref="AA248">INDIRECT("Update"&amp;Projections!$AH$17&amp;"!Q"&amp;ROW(B229))</f>
        <v>0.5</v>
      </c>
      <c r="AB248" s="107">
        <f t="array" ref="AB248">INDIRECT("Update"&amp;Projections!$AH$17&amp;"!I"&amp;ROW(B229))</f>
        <v>0.491</v>
      </c>
      <c r="AC248" s="107">
        <f t="array" ref="AC248">INDIRECT("Update"&amp;Projections!$AH$17&amp;"!K"&amp;ROW(B229))</f>
        <v>0.714</v>
      </c>
      <c r="AD248" s="73">
        <f t="array" ref="AD248">INDIRECT("Update"&amp;Projections!$AH$17&amp;"!R"&amp;ROW(B229))</f>
        <v>0.7</v>
      </c>
      <c r="AE248" s="73">
        <f t="shared" si="16"/>
        <v>-1.565656048</v>
      </c>
      <c r="AF248" s="73">
        <f t="shared" si="17"/>
        <v>-0.6459192917</v>
      </c>
      <c r="AG248" s="73">
        <f t="shared" si="18"/>
        <v>-1.203807972</v>
      </c>
      <c r="AH248" s="73">
        <f t="shared" si="19"/>
        <v>-1.018652563</v>
      </c>
      <c r="AI248" s="73">
        <f t="shared" si="20"/>
        <v>-0.2527964105</v>
      </c>
      <c r="AJ248" s="73">
        <f t="shared" si="21"/>
        <v>-0.4371236408</v>
      </c>
      <c r="AK248" s="73">
        <f t="shared" si="22"/>
        <v>-0.0441106993</v>
      </c>
      <c r="AL248" s="73">
        <f t="shared" si="23"/>
        <v>-0.5444450034</v>
      </c>
      <c r="AM248" s="73">
        <f t="shared" si="24"/>
        <v>0.2600505987</v>
      </c>
      <c r="AN248" s="120">
        <f t="shared" si="25"/>
        <v>-1.565656048</v>
      </c>
      <c r="AO248" s="120">
        <f t="shared" si="26"/>
        <v>-2.76946402</v>
      </c>
      <c r="AP248" s="120">
        <f t="array" ref="AP248">INDIRECT("Update"&amp;Projections!$AH$17&amp;"!S"&amp;ROW(B229))</f>
        <v>6.4</v>
      </c>
      <c r="AQ248" s="120">
        <f t="array" ref="AQ248">INDIRECT("Update"&amp;Projections!$AH$17&amp;"!T"&amp;ROW(B229))</f>
        <v>1.9</v>
      </c>
      <c r="AR248" s="100">
        <f t="shared" si="27"/>
        <v>-4.028797905</v>
      </c>
    </row>
    <row r="249">
      <c r="A249" s="40" t="str">
        <f t="shared" si="3"/>
        <v>Carlton Carrington</v>
      </c>
      <c r="B249" s="42">
        <f t="shared" si="4"/>
        <v>-1.168230405</v>
      </c>
      <c r="C249" s="43">
        <f t="shared" si="5"/>
        <v>-0.1482977966</v>
      </c>
      <c r="D249" s="42">
        <f t="shared" si="6"/>
        <v>-0.7723178898</v>
      </c>
      <c r="E249" s="42">
        <f t="shared" si="7"/>
        <v>-0.2896642358</v>
      </c>
      <c r="F249" s="42">
        <f t="shared" si="8"/>
        <v>-1.580527123</v>
      </c>
      <c r="G249" s="42">
        <f t="shared" si="9"/>
        <v>-0.9723047469</v>
      </c>
      <c r="H249" s="42">
        <f t="shared" si="10"/>
        <v>-0.9251674315</v>
      </c>
      <c r="I249" s="42">
        <f>UpdateHashtag!S247</f>
        <v>9.3</v>
      </c>
      <c r="J249" s="47">
        <f t="shared" si="11"/>
        <v>-0.07724044654</v>
      </c>
      <c r="K249" s="48">
        <f>UpdateHashtag!T247</f>
        <v>2.2</v>
      </c>
      <c r="L249" s="42">
        <f t="shared" si="12"/>
        <v>-0.2466595634</v>
      </c>
      <c r="N249" s="100">
        <f t="shared" si="13"/>
        <v>193</v>
      </c>
      <c r="O249" s="94" t="str">
        <f t="array" ref="O249">INDIRECT("Update"&amp;Projections!$AH$17&amp;"!B"&amp;ROW(B230))</f>
        <v/>
      </c>
      <c r="P249" s="101" t="str">
        <f t="array" ref="P249">INDIRECT("Update"&amp;Projections!$AH$17&amp;"!C"&amp;ROW(B230))</f>
        <v>Delon Wright</v>
      </c>
      <c r="Q249" s="94">
        <f>UpdateBBM!F230</f>
        <v>71</v>
      </c>
      <c r="R249" s="105" t="str">
        <f t="array" ref="R249">INDIRECT("Update"&amp;Projections!$AH$17&amp;"!D"&amp;ROW(B230))</f>
        <v>PG,SG</v>
      </c>
      <c r="S249" s="73">
        <f t="shared" si="14"/>
        <v>-2.873579528</v>
      </c>
      <c r="T249" s="73">
        <f>SUM(AE249:AM249)-IFERROR(IFS(Projections!$I$17,AN249,Projections!$J$17,AO249),"")</f>
        <v>-2.873579528</v>
      </c>
      <c r="U249" s="73">
        <f t="shared" si="15"/>
        <v>0</v>
      </c>
      <c r="V249" s="73">
        <f t="array" ref="V249">INDIRECT("Update"&amp;Projections!$AH$17&amp;"!M"&amp;ROW(B230))</f>
        <v>5</v>
      </c>
      <c r="W249" s="73">
        <f t="array" ref="W249">INDIRECT("Update"&amp;Projections!$AH$17&amp;"!L"&amp;ROW(B230))</f>
        <v>0.6</v>
      </c>
      <c r="X249" s="73">
        <f t="array" ref="X249">INDIRECT("Update"&amp;Projections!$AH$17&amp;"!N"&amp;ROW(B230))</f>
        <v>2.3</v>
      </c>
      <c r="Y249" s="73">
        <f t="array" ref="Y249">INDIRECT("Update"&amp;Projections!$AH$17&amp;"!O"&amp;ROW(B230))</f>
        <v>2.7</v>
      </c>
      <c r="Z249" s="73">
        <f t="array" ref="Z249">INDIRECT("Update"&amp;Projections!$AH$17&amp;"!P"&amp;ROW(B230))</f>
        <v>1.3</v>
      </c>
      <c r="AA249" s="73">
        <f t="array" ref="AA249">INDIRECT("Update"&amp;Projections!$AH$17&amp;"!Q"&amp;ROW(B230))</f>
        <v>0.2</v>
      </c>
      <c r="AB249" s="107">
        <f t="array" ref="AB249">INDIRECT("Update"&amp;Projections!$AH$17&amp;"!I"&amp;ROW(B230))</f>
        <v>0.442</v>
      </c>
      <c r="AC249" s="107">
        <f t="array" ref="AC249">INDIRECT("Update"&amp;Projections!$AH$17&amp;"!K"&amp;ROW(B230))</f>
        <v>0.846</v>
      </c>
      <c r="AD249" s="73">
        <f t="array" ref="AD249">INDIRECT("Update"&amp;Projections!$AH$17&amp;"!R"&amp;ROW(B230))</f>
        <v>0.5</v>
      </c>
      <c r="AE249" s="73">
        <f t="shared" si="16"/>
        <v>-2.252118523</v>
      </c>
      <c r="AF249" s="73">
        <f t="shared" si="17"/>
        <v>-1.143540787</v>
      </c>
      <c r="AG249" s="73">
        <f t="shared" si="18"/>
        <v>-1.47839257</v>
      </c>
      <c r="AH249" s="73">
        <f t="shared" si="19"/>
        <v>-0.5630348583</v>
      </c>
      <c r="AI249" s="73">
        <f t="shared" si="20"/>
        <v>1.074934302</v>
      </c>
      <c r="AJ249" s="73">
        <f t="shared" si="21"/>
        <v>-0.9723047469</v>
      </c>
      <c r="AK249" s="73">
        <f t="shared" si="22"/>
        <v>-0.2637134004</v>
      </c>
      <c r="AL249" s="73">
        <f t="shared" si="23"/>
        <v>0.1628255068</v>
      </c>
      <c r="AM249" s="73">
        <f t="shared" si="24"/>
        <v>0.3096470256</v>
      </c>
      <c r="AN249" s="120">
        <f t="shared" si="25"/>
        <v>-2.252118523</v>
      </c>
      <c r="AO249" s="120">
        <f t="shared" si="26"/>
        <v>-3.730511093</v>
      </c>
      <c r="AP249" s="120">
        <f t="array" ref="AP249">INDIRECT("Update"&amp;Projections!$AH$17&amp;"!S"&amp;ROW(B230))</f>
        <v>4.1</v>
      </c>
      <c r="AQ249" s="120">
        <f t="array" ref="AQ249">INDIRECT("Update"&amp;Projections!$AH$17&amp;"!T"&amp;ROW(B230))</f>
        <v>0.9</v>
      </c>
      <c r="AR249" s="100">
        <f t="shared" si="27"/>
        <v>-4.074667457</v>
      </c>
    </row>
    <row r="250">
      <c r="A250" s="40" t="str">
        <f t="shared" si="3"/>
        <v>Bones Hyland</v>
      </c>
      <c r="B250" s="42">
        <f t="shared" si="4"/>
        <v>-1.312748821</v>
      </c>
      <c r="C250" s="43">
        <f t="shared" si="5"/>
        <v>0.05075080149</v>
      </c>
      <c r="D250" s="42">
        <f t="shared" si="6"/>
        <v>-1.556845312</v>
      </c>
      <c r="E250" s="42">
        <f t="shared" si="7"/>
        <v>-0.4263495471</v>
      </c>
      <c r="F250" s="42">
        <f t="shared" si="8"/>
        <v>-0.9166617668</v>
      </c>
      <c r="G250" s="42">
        <f t="shared" si="9"/>
        <v>-0.9723047469</v>
      </c>
      <c r="H250" s="42">
        <f t="shared" si="10"/>
        <v>-1.098520338</v>
      </c>
      <c r="I250" s="42">
        <f>UpdateHashtag!S248</f>
        <v>9.2</v>
      </c>
      <c r="J250" s="47">
        <f t="shared" si="11"/>
        <v>0.1689983633</v>
      </c>
      <c r="K250" s="48">
        <f>UpdateHashtag!T248</f>
        <v>1.4</v>
      </c>
      <c r="L250" s="42">
        <f t="shared" si="12"/>
        <v>-0.3458524173</v>
      </c>
      <c r="N250" s="100">
        <f t="shared" si="13"/>
        <v>231</v>
      </c>
      <c r="O250" s="94">
        <f t="array" ref="O250">INDIRECT("Update"&amp;Projections!$AH$17&amp;"!B"&amp;ROW(B231))</f>
        <v>143.8</v>
      </c>
      <c r="P250" s="101" t="str">
        <f t="array" ref="P250">INDIRECT("Update"&amp;Projections!$AH$17&amp;"!C"&amp;ROW(B231))</f>
        <v>Malik Beasley</v>
      </c>
      <c r="Q250" s="94">
        <f>UpdateBBM!F231</f>
        <v>66</v>
      </c>
      <c r="R250" s="105" t="str">
        <f t="array" ref="R250">INDIRECT("Update"&amp;Projections!$AH$17&amp;"!D"&amp;ROW(B231))</f>
        <v>SG</v>
      </c>
      <c r="S250" s="73">
        <f t="shared" si="14"/>
        <v>-4.10871445</v>
      </c>
      <c r="T250" s="73">
        <f>SUM(AE250:AM250)-IFERROR(IFS(Projections!$I$17,AN250,Projections!$J$17,AO250),"")</f>
        <v>-4.10871445</v>
      </c>
      <c r="U250" s="73">
        <f t="shared" si="15"/>
        <v>0</v>
      </c>
      <c r="V250" s="73">
        <f t="array" ref="V250">INDIRECT("Update"&amp;Projections!$AH$17&amp;"!M"&amp;ROW(B231))</f>
        <v>11.1</v>
      </c>
      <c r="W250" s="73">
        <f t="array" ref="W250">INDIRECT("Update"&amp;Projections!$AH$17&amp;"!L"&amp;ROW(B231))</f>
        <v>2.6</v>
      </c>
      <c r="X250" s="73">
        <f t="array" ref="X250">INDIRECT("Update"&amp;Projections!$AH$17&amp;"!N"&amp;ROW(B231))</f>
        <v>3.3</v>
      </c>
      <c r="Y250" s="73">
        <f t="array" ref="Y250">INDIRECT("Update"&amp;Projections!$AH$17&amp;"!O"&amp;ROW(B231))</f>
        <v>1.3</v>
      </c>
      <c r="Z250" s="73">
        <f t="array" ref="Z250">INDIRECT("Update"&amp;Projections!$AH$17&amp;"!P"&amp;ROW(B231))</f>
        <v>0.7</v>
      </c>
      <c r="AA250" s="73">
        <f t="array" ref="AA250">INDIRECT("Update"&amp;Projections!$AH$17&amp;"!Q"&amp;ROW(B231))</f>
        <v>0.1</v>
      </c>
      <c r="AB250" s="107">
        <f t="array" ref="AB250">INDIRECT("Update"&amp;Projections!$AH$17&amp;"!I"&amp;ROW(B231))</f>
        <v>0.425</v>
      </c>
      <c r="AC250" s="107">
        <f t="array" ref="AC250">INDIRECT("Update"&amp;Projections!$AH$17&amp;"!K"&amp;ROW(B231))</f>
        <v>0.754</v>
      </c>
      <c r="AD250" s="73">
        <f t="array" ref="AD250">INDIRECT("Update"&amp;Projections!$AH$17&amp;"!R"&amp;ROW(B231))</f>
        <v>0.8</v>
      </c>
      <c r="AE250" s="73">
        <f t="shared" si="16"/>
        <v>-1.150165603</v>
      </c>
      <c r="AF250" s="73">
        <f t="shared" si="17"/>
        <v>0.8469451937</v>
      </c>
      <c r="AG250" s="73">
        <f t="shared" si="18"/>
        <v>-1.086128859</v>
      </c>
      <c r="AH250" s="73">
        <f t="shared" si="19"/>
        <v>-1.200899644</v>
      </c>
      <c r="AI250" s="73">
        <f t="shared" si="20"/>
        <v>-0.9166617668</v>
      </c>
      <c r="AJ250" s="73">
        <f t="shared" si="21"/>
        <v>-1.150698449</v>
      </c>
      <c r="AK250" s="73">
        <f t="shared" si="22"/>
        <v>-0.8003213924</v>
      </c>
      <c r="AL250" s="73">
        <f t="shared" si="23"/>
        <v>-0.08693595896</v>
      </c>
      <c r="AM250" s="73">
        <f t="shared" si="24"/>
        <v>0.2352523852</v>
      </c>
      <c r="AN250" s="120">
        <f t="shared" si="25"/>
        <v>-1.200899644</v>
      </c>
      <c r="AO250" s="120">
        <f t="shared" si="26"/>
        <v>-2.351598093</v>
      </c>
      <c r="AP250" s="120">
        <f t="array" ref="AP250">INDIRECT("Update"&amp;Projections!$AH$17&amp;"!S"&amp;ROW(B231))</f>
        <v>9.5</v>
      </c>
      <c r="AQ250" s="120">
        <f t="array" ref="AQ250">INDIRECT("Update"&amp;Projections!$AH$17&amp;"!T"&amp;ROW(B231))</f>
        <v>0.6</v>
      </c>
      <c r="AR250" s="100">
        <f t="shared" si="27"/>
        <v>-4.088268488</v>
      </c>
    </row>
    <row r="251">
      <c r="A251" s="40" t="str">
        <f t="shared" si="3"/>
        <v>GG Jackson II</v>
      </c>
      <c r="B251" s="42">
        <f t="shared" si="4"/>
        <v>-0.8249991678</v>
      </c>
      <c r="C251" s="43">
        <f t="shared" si="5"/>
        <v>0.1502751005</v>
      </c>
      <c r="D251" s="42">
        <f t="shared" si="6"/>
        <v>-0.9684497454</v>
      </c>
      <c r="E251" s="42">
        <f t="shared" si="7"/>
        <v>-1.292023185</v>
      </c>
      <c r="F251" s="42">
        <f t="shared" si="8"/>
        <v>-1.580527123</v>
      </c>
      <c r="G251" s="42">
        <f t="shared" si="9"/>
        <v>-0.6155173428</v>
      </c>
      <c r="H251" s="42">
        <f t="shared" si="10"/>
        <v>-0.8395748853</v>
      </c>
      <c r="I251" s="42">
        <f>UpdateHashtag!S249</f>
        <v>10.4</v>
      </c>
      <c r="J251" s="47">
        <f t="shared" si="11"/>
        <v>-0.4156171134</v>
      </c>
      <c r="K251" s="48">
        <f>UpdateHashtag!T249</f>
        <v>2.8</v>
      </c>
      <c r="L251" s="42">
        <f t="shared" si="12"/>
        <v>-0.5442381251</v>
      </c>
      <c r="N251" s="100">
        <f t="shared" si="13"/>
        <v>229</v>
      </c>
      <c r="O251" s="94" t="str">
        <f t="array" ref="O251">INDIRECT("Update"&amp;Projections!$AH$17&amp;"!B"&amp;ROW(B232))</f>
        <v/>
      </c>
      <c r="P251" s="101" t="str">
        <f t="array" ref="P251">INDIRECT("Update"&amp;Projections!$AH$17&amp;"!C"&amp;ROW(B232))</f>
        <v>Julian Strawther</v>
      </c>
      <c r="Q251" s="94">
        <f>UpdateBBM!F232</f>
        <v>71</v>
      </c>
      <c r="R251" s="105" t="str">
        <f t="array" ref="R251">INDIRECT("Update"&amp;Projections!$AH$17&amp;"!D"&amp;ROW(B232))</f>
        <v>SG</v>
      </c>
      <c r="S251" s="73">
        <f t="shared" si="14"/>
        <v>-4.074667457</v>
      </c>
      <c r="T251" s="73">
        <f>SUM(AE251:AM251)-IFERROR(IFS(Projections!$I$17,AN251,Projections!$J$17,AO251),"")</f>
        <v>-4.074667457</v>
      </c>
      <c r="U251" s="73">
        <f t="shared" si="15"/>
        <v>0</v>
      </c>
      <c r="V251" s="73">
        <f t="array" ref="V251">INDIRECT("Update"&amp;Projections!$AH$17&amp;"!M"&amp;ROW(B232))</f>
        <v>10.5</v>
      </c>
      <c r="W251" s="73">
        <f t="array" ref="W251">INDIRECT("Update"&amp;Projections!$AH$17&amp;"!L"&amp;ROW(B232))</f>
        <v>1.9</v>
      </c>
      <c r="X251" s="73">
        <f t="array" ref="X251">INDIRECT("Update"&amp;Projections!$AH$17&amp;"!N"&amp;ROW(B232))</f>
        <v>2.8</v>
      </c>
      <c r="Y251" s="73">
        <f t="array" ref="Y251">INDIRECT("Update"&amp;Projections!$AH$17&amp;"!O"&amp;ROW(B232))</f>
        <v>2.2</v>
      </c>
      <c r="Z251" s="73">
        <f t="array" ref="Z251">INDIRECT("Update"&amp;Projections!$AH$17&amp;"!P"&amp;ROW(B232))</f>
        <v>0.8</v>
      </c>
      <c r="AA251" s="73">
        <f t="array" ref="AA251">INDIRECT("Update"&amp;Projections!$AH$17&amp;"!Q"&amp;ROW(B232))</f>
        <v>0.3</v>
      </c>
      <c r="AB251" s="107">
        <f t="array" ref="AB251">INDIRECT("Update"&amp;Projections!$AH$17&amp;"!I"&amp;ROW(B232))</f>
        <v>0.435</v>
      </c>
      <c r="AC251" s="107">
        <f t="array" ref="AC251">INDIRECT("Update"&amp;Projections!$AH$17&amp;"!K"&amp;ROW(B232))</f>
        <v>0.729</v>
      </c>
      <c r="AD251" s="73">
        <f t="array" ref="AD251">INDIRECT("Update"&amp;Projections!$AH$17&amp;"!R"&amp;ROW(B232))</f>
        <v>1.1</v>
      </c>
      <c r="AE251" s="73">
        <f t="shared" si="16"/>
        <v>-1.258554415</v>
      </c>
      <c r="AF251" s="73">
        <f t="shared" si="17"/>
        <v>0.1502751005</v>
      </c>
      <c r="AG251" s="73">
        <f t="shared" si="18"/>
        <v>-1.282260714</v>
      </c>
      <c r="AH251" s="73">
        <f t="shared" si="19"/>
        <v>-0.7908437104</v>
      </c>
      <c r="AI251" s="73">
        <f t="shared" si="20"/>
        <v>-0.5847290887</v>
      </c>
      <c r="AJ251" s="73">
        <f t="shared" si="21"/>
        <v>-0.7939110449</v>
      </c>
      <c r="AK251" s="73">
        <f t="shared" si="22"/>
        <v>-0.6309618272</v>
      </c>
      <c r="AL251" s="73">
        <f t="shared" si="23"/>
        <v>-0.3268002156</v>
      </c>
      <c r="AM251" s="73">
        <f t="shared" si="24"/>
        <v>0.1608577447</v>
      </c>
      <c r="AN251" s="120">
        <f t="shared" si="25"/>
        <v>-1.282260714</v>
      </c>
      <c r="AO251" s="120">
        <f t="shared" si="26"/>
        <v>-2.540815129</v>
      </c>
      <c r="AP251" s="120">
        <f t="array" ref="AP251">INDIRECT("Update"&amp;Projections!$AH$17&amp;"!S"&amp;ROW(B232))</f>
        <v>8.7</v>
      </c>
      <c r="AQ251" s="120">
        <f t="array" ref="AQ251">INDIRECT("Update"&amp;Projections!$AH$17&amp;"!T"&amp;ROW(B232))</f>
        <v>1.4</v>
      </c>
      <c r="AR251" s="100">
        <f t="shared" si="27"/>
        <v>-4.10871445</v>
      </c>
    </row>
    <row r="252">
      <c r="A252" s="40" t="str">
        <f t="shared" si="3"/>
        <v>Neemias Queta</v>
      </c>
      <c r="B252" s="42">
        <f t="shared" si="4"/>
        <v>-2.143729711</v>
      </c>
      <c r="C252" s="43">
        <f t="shared" si="5"/>
        <v>-1.740686581</v>
      </c>
      <c r="D252" s="42">
        <f t="shared" si="6"/>
        <v>-0.6154124053</v>
      </c>
      <c r="E252" s="42">
        <f t="shared" si="7"/>
        <v>-1.474270267</v>
      </c>
      <c r="F252" s="42">
        <f t="shared" si="8"/>
        <v>-1.912459801</v>
      </c>
      <c r="G252" s="42">
        <f t="shared" si="9"/>
        <v>0.09805746537</v>
      </c>
      <c r="H252" s="42">
        <f t="shared" si="10"/>
        <v>0.6685714142</v>
      </c>
      <c r="I252" s="42">
        <f>UpdateHashtag!S250</f>
        <v>3.8</v>
      </c>
      <c r="J252" s="47">
        <f t="shared" si="11"/>
        <v>-0.431748157</v>
      </c>
      <c r="K252" s="48">
        <f>UpdateHashtag!T250</f>
        <v>1</v>
      </c>
      <c r="L252" s="42">
        <f t="shared" si="12"/>
        <v>-1.238588102</v>
      </c>
      <c r="N252" s="100">
        <f t="shared" si="13"/>
        <v>237</v>
      </c>
      <c r="O252" s="94">
        <f t="array" ref="O252">INDIRECT("Update"&amp;Projections!$AH$17&amp;"!B"&amp;ROW(B233))</f>
        <v>143.2</v>
      </c>
      <c r="P252" s="101" t="str">
        <f t="array" ref="P252">INDIRECT("Update"&amp;Projections!$AH$17&amp;"!C"&amp;ROW(B233))</f>
        <v>Zach Collins</v>
      </c>
      <c r="Q252" s="94">
        <f>UpdateBBM!F233</f>
        <v>71</v>
      </c>
      <c r="R252" s="105" t="str">
        <f t="array" ref="R252">INDIRECT("Update"&amp;Projections!$AH$17&amp;"!D"&amp;ROW(B233))</f>
        <v>PF,C</v>
      </c>
      <c r="S252" s="73">
        <f t="shared" si="14"/>
        <v>-4.248349566</v>
      </c>
      <c r="T252" s="73">
        <f>SUM(AE252:AM252)-IFERROR(IFS(Projections!$I$17,AN252,Projections!$J$17,AO252),"")</f>
        <v>-4.248349566</v>
      </c>
      <c r="U252" s="73">
        <f t="shared" si="15"/>
        <v>0</v>
      </c>
      <c r="V252" s="73">
        <f t="array" ref="V252">INDIRECT("Update"&amp;Projections!$AH$17&amp;"!M"&amp;ROW(B233))</f>
        <v>9.1</v>
      </c>
      <c r="W252" s="73">
        <f t="array" ref="W252">INDIRECT("Update"&amp;Projections!$AH$17&amp;"!L"&amp;ROW(B233))</f>
        <v>0.7</v>
      </c>
      <c r="X252" s="73">
        <f t="array" ref="X252">INDIRECT("Update"&amp;Projections!$AH$17&amp;"!N"&amp;ROW(B233))</f>
        <v>4.7</v>
      </c>
      <c r="Y252" s="73">
        <f t="array" ref="Y252">INDIRECT("Update"&amp;Projections!$AH$17&amp;"!O"&amp;ROW(B233))</f>
        <v>2.3</v>
      </c>
      <c r="Z252" s="73">
        <f t="array" ref="Z252">INDIRECT("Update"&amp;Projections!$AH$17&amp;"!P"&amp;ROW(B233))</f>
        <v>0.4</v>
      </c>
      <c r="AA252" s="73">
        <f t="array" ref="AA252">INDIRECT("Update"&amp;Projections!$AH$17&amp;"!Q"&amp;ROW(B233))</f>
        <v>0.6</v>
      </c>
      <c r="AB252" s="107">
        <f t="array" ref="AB252">INDIRECT("Update"&amp;Projections!$AH$17&amp;"!I"&amp;ROW(B233))</f>
        <v>0.501</v>
      </c>
      <c r="AC252" s="107">
        <f t="array" ref="AC252">INDIRECT("Update"&amp;Projections!$AH$17&amp;"!K"&amp;ROW(B233))</f>
        <v>0.76</v>
      </c>
      <c r="AD252" s="73">
        <f t="array" ref="AD252">INDIRECT("Update"&amp;Projections!$AH$17&amp;"!R"&amp;ROW(B233))</f>
        <v>1.6</v>
      </c>
      <c r="AE252" s="73">
        <f t="shared" si="16"/>
        <v>-1.511461642</v>
      </c>
      <c r="AF252" s="73">
        <f t="shared" si="17"/>
        <v>-1.044016488</v>
      </c>
      <c r="AG252" s="73">
        <f t="shared" si="18"/>
        <v>-0.536959663</v>
      </c>
      <c r="AH252" s="73">
        <f t="shared" si="19"/>
        <v>-0.74528194</v>
      </c>
      <c r="AI252" s="73">
        <f t="shared" si="20"/>
        <v>-1.912459801</v>
      </c>
      <c r="AJ252" s="73">
        <f t="shared" si="21"/>
        <v>-0.2587299387</v>
      </c>
      <c r="AK252" s="73">
        <f t="shared" si="22"/>
        <v>0.03379398662</v>
      </c>
      <c r="AL252" s="73">
        <f t="shared" si="23"/>
        <v>-0.2225605579</v>
      </c>
      <c r="AM252" s="73">
        <f t="shared" si="24"/>
        <v>0.03686667737</v>
      </c>
      <c r="AN252" s="120">
        <f t="shared" si="25"/>
        <v>-1.912459801</v>
      </c>
      <c r="AO252" s="120">
        <f t="shared" si="26"/>
        <v>-3.423921444</v>
      </c>
      <c r="AP252" s="120">
        <f t="array" ref="AP252">INDIRECT("Update"&amp;Projections!$AH$17&amp;"!S"&amp;ROW(B233))</f>
        <v>7</v>
      </c>
      <c r="AQ252" s="120">
        <f t="array" ref="AQ252">INDIRECT("Update"&amp;Projections!$AH$17&amp;"!T"&amp;ROW(B233))</f>
        <v>1.8</v>
      </c>
      <c r="AR252" s="100">
        <f t="shared" si="27"/>
        <v>-4.174659897</v>
      </c>
    </row>
    <row r="253">
      <c r="A253" s="40" t="str">
        <f t="shared" si="3"/>
        <v>Scotty Pippen Jr.</v>
      </c>
      <c r="B253" s="42">
        <f t="shared" si="4"/>
        <v>-1.800498474</v>
      </c>
      <c r="C253" s="43">
        <f t="shared" si="5"/>
        <v>-0.9444921888</v>
      </c>
      <c r="D253" s="42">
        <f t="shared" si="6"/>
        <v>-1.635298055</v>
      </c>
      <c r="E253" s="42">
        <f t="shared" si="7"/>
        <v>-0.6085966288</v>
      </c>
      <c r="F253" s="42">
        <f t="shared" si="8"/>
        <v>0.07913626764</v>
      </c>
      <c r="G253" s="42">
        <f t="shared" si="9"/>
        <v>-0.7939110449</v>
      </c>
      <c r="H253" s="42">
        <f t="shared" si="10"/>
        <v>-0.08453929772</v>
      </c>
      <c r="I253" s="42">
        <f>UpdateHashtag!S251</f>
        <v>5.6</v>
      </c>
      <c r="J253" s="47">
        <f t="shared" si="11"/>
        <v>-0.4510125351</v>
      </c>
      <c r="K253" s="48">
        <f>UpdateHashtag!T251</f>
        <v>1.7</v>
      </c>
      <c r="L253" s="42">
        <f t="shared" si="12"/>
        <v>-0.2466595634</v>
      </c>
      <c r="N253" s="100">
        <f t="shared" si="13"/>
        <v>246</v>
      </c>
      <c r="O253" s="94">
        <f t="array" ref="O253">INDIRECT("Update"&amp;Projections!$AH$17&amp;"!B"&amp;ROW(B234))</f>
        <v>143.1</v>
      </c>
      <c r="P253" s="101" t="str">
        <f t="array" ref="P253">INDIRECT("Update"&amp;Projections!$AH$17&amp;"!C"&amp;ROW(B234))</f>
        <v>Grant Williams</v>
      </c>
      <c r="Q253" s="94">
        <f>UpdateBBM!F234</f>
        <v>75</v>
      </c>
      <c r="R253" s="105" t="str">
        <f t="array" ref="R253">INDIRECT("Update"&amp;Projections!$AH$17&amp;"!D"&amp;ROW(B234))</f>
        <v>PF,C</v>
      </c>
      <c r="S253" s="73">
        <f t="shared" si="14"/>
        <v>-4.416537833</v>
      </c>
      <c r="T253" s="73">
        <f>SUM(AE253:AM253)-IFERROR(IFS(Projections!$I$17,AN253,Projections!$J$17,AO253),"")</f>
        <v>-4.416537833</v>
      </c>
      <c r="U253" s="73">
        <f t="shared" si="15"/>
        <v>0</v>
      </c>
      <c r="V253" s="73">
        <f t="array" ref="V253">INDIRECT("Update"&amp;Projections!$AH$17&amp;"!M"&amp;ROW(B234))</f>
        <v>8.9</v>
      </c>
      <c r="W253" s="73">
        <f t="array" ref="W253">INDIRECT("Update"&amp;Projections!$AH$17&amp;"!L"&amp;ROW(B234))</f>
        <v>1.5</v>
      </c>
      <c r="X253" s="73">
        <f t="array" ref="X253">INDIRECT("Update"&amp;Projections!$AH$17&amp;"!N"&amp;ROW(B234))</f>
        <v>4.3</v>
      </c>
      <c r="Y253" s="73">
        <f t="array" ref="Y253">INDIRECT("Update"&amp;Projections!$AH$17&amp;"!O"&amp;ROW(B234))</f>
        <v>1.9</v>
      </c>
      <c r="Z253" s="73">
        <f t="array" ref="Z253">INDIRECT("Update"&amp;Projections!$AH$17&amp;"!P"&amp;ROW(B234))</f>
        <v>0.5</v>
      </c>
      <c r="AA253" s="73">
        <f t="array" ref="AA253">INDIRECT("Update"&amp;Projections!$AH$17&amp;"!Q"&amp;ROW(B234))</f>
        <v>0.4</v>
      </c>
      <c r="AB253" s="107">
        <f t="array" ref="AB253">INDIRECT("Update"&amp;Projections!$AH$17&amp;"!I"&amp;ROW(B234))</f>
        <v>0.455</v>
      </c>
      <c r="AC253" s="107">
        <f t="array" ref="AC253">INDIRECT("Update"&amp;Projections!$AH$17&amp;"!K"&amp;ROW(B234))</f>
        <v>0.762</v>
      </c>
      <c r="AD253" s="73">
        <f t="array" ref="AD253">INDIRECT("Update"&amp;Projections!$AH$17&amp;"!R"&amp;ROW(B234))</f>
        <v>1.2</v>
      </c>
      <c r="AE253" s="73">
        <f t="shared" si="16"/>
        <v>-1.547591246</v>
      </c>
      <c r="AF253" s="73">
        <f t="shared" si="17"/>
        <v>-0.2478220956</v>
      </c>
      <c r="AG253" s="73">
        <f t="shared" si="18"/>
        <v>-0.6938651475</v>
      </c>
      <c r="AH253" s="73">
        <f t="shared" si="19"/>
        <v>-0.9275290217</v>
      </c>
      <c r="AI253" s="73">
        <f t="shared" si="20"/>
        <v>-1.580527123</v>
      </c>
      <c r="AJ253" s="73">
        <f t="shared" si="21"/>
        <v>-0.6155173428</v>
      </c>
      <c r="AK253" s="73">
        <f t="shared" si="22"/>
        <v>-0.3337734418</v>
      </c>
      <c r="AL253" s="73">
        <f t="shared" si="23"/>
        <v>-0.1864990681</v>
      </c>
      <c r="AM253" s="73">
        <f t="shared" si="24"/>
        <v>0.1360595313</v>
      </c>
      <c r="AN253" s="120">
        <f t="shared" si="25"/>
        <v>-1.580527123</v>
      </c>
      <c r="AO253" s="120">
        <f t="shared" si="26"/>
        <v>-3.128118369</v>
      </c>
      <c r="AP253" s="120">
        <f t="array" ref="AP253">INDIRECT("Update"&amp;Projections!$AH$17&amp;"!S"&amp;ROW(B234))</f>
        <v>6.8</v>
      </c>
      <c r="AQ253" s="120">
        <f t="array" ref="AQ253">INDIRECT("Update"&amp;Projections!$AH$17&amp;"!T"&amp;ROW(B234))</f>
        <v>1.6</v>
      </c>
      <c r="AR253" s="100">
        <f t="shared" si="27"/>
        <v>-4.176985795</v>
      </c>
    </row>
    <row r="254">
      <c r="A254" s="40" t="str">
        <f t="shared" si="3"/>
        <v>Brice Sensabaugh</v>
      </c>
      <c r="B254" s="42">
        <f t="shared" si="4"/>
        <v>-1.385008029</v>
      </c>
      <c r="C254" s="43">
        <f t="shared" si="5"/>
        <v>-0.3473463946</v>
      </c>
      <c r="D254" s="42">
        <f t="shared" si="6"/>
        <v>-0.7723178898</v>
      </c>
      <c r="E254" s="42">
        <f t="shared" si="7"/>
        <v>-0.7908437104</v>
      </c>
      <c r="F254" s="42">
        <f t="shared" si="8"/>
        <v>-1.580527123</v>
      </c>
      <c r="G254" s="42">
        <f t="shared" si="9"/>
        <v>-0.9723047469</v>
      </c>
      <c r="H254" s="42">
        <f t="shared" si="10"/>
        <v>-1.102326624</v>
      </c>
      <c r="I254" s="42">
        <f>UpdateHashtag!S252</f>
        <v>8.8</v>
      </c>
      <c r="J254" s="47">
        <f t="shared" si="11"/>
        <v>0.656743147</v>
      </c>
      <c r="K254" s="48">
        <f>UpdateHashtag!T252</f>
        <v>1.7</v>
      </c>
      <c r="L254" s="42">
        <f t="shared" si="12"/>
        <v>0.1501118522</v>
      </c>
      <c r="N254" s="100">
        <f t="shared" si="13"/>
        <v>216</v>
      </c>
      <c r="O254" s="94">
        <f t="array" ref="O254">INDIRECT("Update"&amp;Projections!$AH$17&amp;"!B"&amp;ROW(B235))</f>
        <v>140.3</v>
      </c>
      <c r="P254" s="101" t="str">
        <f t="array" ref="P254">INDIRECT("Update"&amp;Projections!$AH$17&amp;"!C"&amp;ROW(B235))</f>
        <v>Dorian Finney-Smith</v>
      </c>
      <c r="Q254" s="94">
        <f>UpdateBBM!F235</f>
        <v>71</v>
      </c>
      <c r="R254" s="105" t="str">
        <f t="array" ref="R254">INDIRECT("Update"&amp;Projections!$AH$17&amp;"!D"&amp;ROW(B235))</f>
        <v>SF,PF,C</v>
      </c>
      <c r="S254" s="73">
        <f t="shared" si="14"/>
        <v>-3.601802669</v>
      </c>
      <c r="T254" s="73">
        <f>SUM(AE254:AM254)-IFERROR(IFS(Projections!$I$17,AN254,Projections!$J$17,AO254),"")</f>
        <v>-3.601802669</v>
      </c>
      <c r="U254" s="73">
        <f t="shared" si="15"/>
        <v>0</v>
      </c>
      <c r="V254" s="73">
        <f t="array" ref="V254">INDIRECT("Update"&amp;Projections!$AH$17&amp;"!M"&amp;ROW(B235))</f>
        <v>7.8</v>
      </c>
      <c r="W254" s="73">
        <f t="array" ref="W254">INDIRECT("Update"&amp;Projections!$AH$17&amp;"!L"&amp;ROW(B235))</f>
        <v>1.6</v>
      </c>
      <c r="X254" s="73">
        <f t="array" ref="X254">INDIRECT("Update"&amp;Projections!$AH$17&amp;"!N"&amp;ROW(B235))</f>
        <v>4.4</v>
      </c>
      <c r="Y254" s="73">
        <f t="array" ref="Y254">INDIRECT("Update"&amp;Projections!$AH$17&amp;"!O"&amp;ROW(B235))</f>
        <v>1.4</v>
      </c>
      <c r="Z254" s="73">
        <f t="array" ref="Z254">INDIRECT("Update"&amp;Projections!$AH$17&amp;"!P"&amp;ROW(B235))</f>
        <v>0.8</v>
      </c>
      <c r="AA254" s="73">
        <f t="array" ref="AA254">INDIRECT("Update"&amp;Projections!$AH$17&amp;"!Q"&amp;ROW(B235))</f>
        <v>0.5</v>
      </c>
      <c r="AB254" s="107">
        <f t="array" ref="AB254">INDIRECT("Update"&amp;Projections!$AH$17&amp;"!I"&amp;ROW(B235))</f>
        <v>0.406</v>
      </c>
      <c r="AC254" s="107">
        <f t="array" ref="AC254">INDIRECT("Update"&amp;Projections!$AH$17&amp;"!K"&amp;ROW(B235))</f>
        <v>0.75</v>
      </c>
      <c r="AD254" s="73">
        <f t="array" ref="AD254">INDIRECT("Update"&amp;Projections!$AH$17&amp;"!R"&amp;ROW(B235))</f>
        <v>0.8</v>
      </c>
      <c r="AE254" s="73">
        <f t="shared" si="16"/>
        <v>-1.746304068</v>
      </c>
      <c r="AF254" s="73">
        <f t="shared" si="17"/>
        <v>-0.1482977966</v>
      </c>
      <c r="AG254" s="73">
        <f t="shared" si="18"/>
        <v>-0.6546387764</v>
      </c>
      <c r="AH254" s="73">
        <f t="shared" si="19"/>
        <v>-1.155337874</v>
      </c>
      <c r="AI254" s="73">
        <f t="shared" si="20"/>
        <v>-0.5847290887</v>
      </c>
      <c r="AJ254" s="73">
        <f t="shared" si="21"/>
        <v>-0.4371236408</v>
      </c>
      <c r="AK254" s="73">
        <f t="shared" si="22"/>
        <v>-0.7455866212</v>
      </c>
      <c r="AL254" s="73">
        <f t="shared" si="23"/>
        <v>-0.111341257</v>
      </c>
      <c r="AM254" s="73">
        <f t="shared" si="24"/>
        <v>0.2352523852</v>
      </c>
      <c r="AN254" s="120">
        <f t="shared" si="25"/>
        <v>-1.746304068</v>
      </c>
      <c r="AO254" s="120">
        <f t="shared" si="26"/>
        <v>-2.901641942</v>
      </c>
      <c r="AP254" s="120">
        <f t="array" ref="AP254">INDIRECT("Update"&amp;Projections!$AH$17&amp;"!S"&amp;ROW(B235))</f>
        <v>7</v>
      </c>
      <c r="AQ254" s="120">
        <f t="array" ref="AQ254">INDIRECT("Update"&amp;Projections!$AH$17&amp;"!T"&amp;ROW(B235))</f>
        <v>0.7</v>
      </c>
      <c r="AR254" s="100">
        <f t="shared" si="27"/>
        <v>-4.209773347</v>
      </c>
    </row>
    <row r="255">
      <c r="A255" s="40" t="str">
        <f t="shared" si="3"/>
        <v>Precious Achiuwa</v>
      </c>
      <c r="B255" s="42">
        <f t="shared" si="4"/>
        <v>-1.76436887</v>
      </c>
      <c r="C255" s="43">
        <f t="shared" si="5"/>
        <v>-1.342589385</v>
      </c>
      <c r="D255" s="42">
        <f t="shared" si="6"/>
        <v>-0.1054695806</v>
      </c>
      <c r="E255" s="42">
        <f t="shared" si="7"/>
        <v>-1.292023185</v>
      </c>
      <c r="F255" s="42">
        <f t="shared" si="8"/>
        <v>-1.580527123</v>
      </c>
      <c r="G255" s="42">
        <f t="shared" si="9"/>
        <v>-0.08033623669</v>
      </c>
      <c r="H255" s="42">
        <f t="shared" si="10"/>
        <v>-0.02093302295</v>
      </c>
      <c r="I255" s="42">
        <f>UpdateHashtag!S253</f>
        <v>6.2</v>
      </c>
      <c r="J255" s="47">
        <f t="shared" si="11"/>
        <v>-0.8062168028</v>
      </c>
      <c r="K255" s="48">
        <f>UpdateHashtag!T253</f>
        <v>1.7</v>
      </c>
      <c r="L255" s="42">
        <f t="shared" si="12"/>
        <v>-0.7426238329</v>
      </c>
      <c r="N255" s="100">
        <f t="shared" si="13"/>
        <v>230</v>
      </c>
      <c r="O255" s="94" t="str">
        <f t="array" ref="O255">INDIRECT("Update"&amp;Projections!$AH$17&amp;"!B"&amp;ROW(B236))</f>
        <v/>
      </c>
      <c r="P255" s="101" t="str">
        <f t="array" ref="P255">INDIRECT("Update"&amp;Projections!$AH$17&amp;"!C"&amp;ROW(B236))</f>
        <v>Paul Reed</v>
      </c>
      <c r="Q255" s="94">
        <f>UpdateBBM!F236</f>
        <v>66</v>
      </c>
      <c r="R255" s="105" t="str">
        <f t="array" ref="R255">INDIRECT("Update"&amp;Projections!$AH$17&amp;"!D"&amp;ROW(B236))</f>
        <v>PF,C</v>
      </c>
      <c r="S255" s="73">
        <f t="shared" si="14"/>
        <v>-4.088268488</v>
      </c>
      <c r="T255" s="73">
        <f>SUM(AE255:AM255)-IFERROR(IFS(Projections!$I$17,AN255,Projections!$J$17,AO255),"")</f>
        <v>-4.088268488</v>
      </c>
      <c r="U255" s="73">
        <f t="shared" si="15"/>
        <v>0</v>
      </c>
      <c r="V255" s="73">
        <f t="array" ref="V255">INDIRECT("Update"&amp;Projections!$AH$17&amp;"!M"&amp;ROW(B236))</f>
        <v>5.4</v>
      </c>
      <c r="W255" s="73">
        <f t="array" ref="W255">INDIRECT("Update"&amp;Projections!$AH$17&amp;"!L"&amp;ROW(B236))</f>
        <v>0.1</v>
      </c>
      <c r="X255" s="73">
        <f t="array" ref="X255">INDIRECT("Update"&amp;Projections!$AH$17&amp;"!N"&amp;ROW(B236))</f>
        <v>4.6</v>
      </c>
      <c r="Y255" s="73">
        <f t="array" ref="Y255">INDIRECT("Update"&amp;Projections!$AH$17&amp;"!O"&amp;ROW(B236))</f>
        <v>0.8</v>
      </c>
      <c r="Z255" s="73">
        <f t="array" ref="Z255">INDIRECT("Update"&amp;Projections!$AH$17&amp;"!P"&amp;ROW(B236))</f>
        <v>0.7</v>
      </c>
      <c r="AA255" s="73">
        <f t="array" ref="AA255">INDIRECT("Update"&amp;Projections!$AH$17&amp;"!Q"&amp;ROW(B236))</f>
        <v>0.8</v>
      </c>
      <c r="AB255" s="107">
        <f t="array" ref="AB255">INDIRECT("Update"&amp;Projections!$AH$17&amp;"!I"&amp;ROW(B236))</f>
        <v>0.555</v>
      </c>
      <c r="AC255" s="107">
        <f t="array" ref="AC255">INDIRECT("Update"&amp;Projections!$AH$17&amp;"!K"&amp;ROW(B236))</f>
        <v>0.735</v>
      </c>
      <c r="AD255" s="73">
        <f t="array" ref="AD255">INDIRECT("Update"&amp;Projections!$AH$17&amp;"!R"&amp;ROW(B236))</f>
        <v>0.7</v>
      </c>
      <c r="AE255" s="73">
        <f t="shared" si="16"/>
        <v>-2.179859315</v>
      </c>
      <c r="AF255" s="73">
        <f t="shared" si="17"/>
        <v>-1.641162282</v>
      </c>
      <c r="AG255" s="73">
        <f t="shared" si="18"/>
        <v>-0.5761860341</v>
      </c>
      <c r="AH255" s="73">
        <f t="shared" si="19"/>
        <v>-1.428708496</v>
      </c>
      <c r="AI255" s="73">
        <f t="shared" si="20"/>
        <v>-0.9166617668</v>
      </c>
      <c r="AJ255" s="73">
        <f t="shared" si="21"/>
        <v>0.09805746537</v>
      </c>
      <c r="AK255" s="73">
        <f t="shared" si="22"/>
        <v>0.2860861993</v>
      </c>
      <c r="AL255" s="73">
        <f t="shared" si="23"/>
        <v>-0.1697441719</v>
      </c>
      <c r="AM255" s="73">
        <f t="shared" si="24"/>
        <v>0.2600505987</v>
      </c>
      <c r="AN255" s="120">
        <f t="shared" si="25"/>
        <v>-2.179859315</v>
      </c>
      <c r="AO255" s="120">
        <f t="shared" si="26"/>
        <v>-3.821021597</v>
      </c>
      <c r="AP255" s="120">
        <f t="array" ref="AP255">INDIRECT("Update"&amp;Projections!$AH$17&amp;"!S"&amp;ROW(B236))</f>
        <v>4.2</v>
      </c>
      <c r="AQ255" s="120">
        <f t="array" ref="AQ255">INDIRECT("Update"&amp;Projections!$AH$17&amp;"!T"&amp;ROW(B236))</f>
        <v>0.8</v>
      </c>
      <c r="AR255" s="100">
        <f t="shared" si="27"/>
        <v>-4.214928736</v>
      </c>
    </row>
    <row r="256">
      <c r="A256" s="40" t="str">
        <f t="shared" si="3"/>
        <v>Marcus Sasser</v>
      </c>
      <c r="B256" s="42">
        <f t="shared" si="4"/>
        <v>-1.655980058</v>
      </c>
      <c r="C256" s="43">
        <f t="shared" si="5"/>
        <v>-0.4468706937</v>
      </c>
      <c r="D256" s="42">
        <f t="shared" si="6"/>
        <v>-1.674524426</v>
      </c>
      <c r="E256" s="42">
        <f t="shared" si="7"/>
        <v>-0.2441024654</v>
      </c>
      <c r="F256" s="42">
        <f t="shared" si="8"/>
        <v>-1.248594445</v>
      </c>
      <c r="G256" s="42">
        <f t="shared" si="9"/>
        <v>-0.9723047469</v>
      </c>
      <c r="H256" s="42">
        <f t="shared" si="10"/>
        <v>-0.5893169868</v>
      </c>
      <c r="I256" s="42">
        <f>UpdateHashtag!S254</f>
        <v>7.3</v>
      </c>
      <c r="J256" s="47">
        <f t="shared" si="11"/>
        <v>0.2456946979</v>
      </c>
      <c r="K256" s="48">
        <f>UpdateHashtag!T254</f>
        <v>0.9</v>
      </c>
      <c r="L256" s="42">
        <f t="shared" si="12"/>
        <v>-0.4450452712</v>
      </c>
      <c r="N256" s="100">
        <f t="shared" si="13"/>
        <v>238</v>
      </c>
      <c r="O256" s="94" t="str">
        <f t="array" ref="O256">INDIRECT("Update"&amp;Projections!$AH$17&amp;"!B"&amp;ROW(B237))</f>
        <v/>
      </c>
      <c r="P256" s="101" t="str">
        <f t="array" ref="P256">INDIRECT("Update"&amp;Projections!$AH$17&amp;"!C"&amp;ROW(B237))</f>
        <v>Dario Saric</v>
      </c>
      <c r="Q256" s="94">
        <f>UpdateBBM!F237</f>
        <v>58</v>
      </c>
      <c r="R256" s="105" t="str">
        <f t="array" ref="R256">INDIRECT("Update"&amp;Projections!$AH$17&amp;"!D"&amp;ROW(B237))</f>
        <v>PF,C</v>
      </c>
      <c r="S256" s="73">
        <f t="shared" si="14"/>
        <v>-4.289112762</v>
      </c>
      <c r="T256" s="73">
        <f>SUM(AE256:AM256)-IFERROR(IFS(Projections!$I$17,AN256,Projections!$J$17,AO256),"")</f>
        <v>-4.289112762</v>
      </c>
      <c r="U256" s="73">
        <f t="shared" si="15"/>
        <v>0</v>
      </c>
      <c r="V256" s="73">
        <f t="array" ref="V256">INDIRECT("Update"&amp;Projections!$AH$17&amp;"!M"&amp;ROW(B237))</f>
        <v>8.6</v>
      </c>
      <c r="W256" s="73">
        <f t="array" ref="W256">INDIRECT("Update"&amp;Projections!$AH$17&amp;"!L"&amp;ROW(B237))</f>
        <v>1.2</v>
      </c>
      <c r="X256" s="73">
        <f t="array" ref="X256">INDIRECT("Update"&amp;Projections!$AH$17&amp;"!N"&amp;ROW(B237))</f>
        <v>4.8</v>
      </c>
      <c r="Y256" s="73">
        <f t="array" ref="Y256">INDIRECT("Update"&amp;Projections!$AH$17&amp;"!O"&amp;ROW(B237))</f>
        <v>2.1</v>
      </c>
      <c r="Z256" s="73">
        <f t="array" ref="Z256">INDIRECT("Update"&amp;Projections!$AH$17&amp;"!P"&amp;ROW(B237))</f>
        <v>0.5</v>
      </c>
      <c r="AA256" s="73">
        <f t="array" ref="AA256">INDIRECT("Update"&amp;Projections!$AH$17&amp;"!Q"&amp;ROW(B237))</f>
        <v>0.2</v>
      </c>
      <c r="AB256" s="107">
        <f t="array" ref="AB256">INDIRECT("Update"&amp;Projections!$AH$17&amp;"!I"&amp;ROW(B237))</f>
        <v>0.464</v>
      </c>
      <c r="AC256" s="107">
        <f t="array" ref="AC256">INDIRECT("Update"&amp;Projections!$AH$17&amp;"!K"&amp;ROW(B237))</f>
        <v>0.842</v>
      </c>
      <c r="AD256" s="73">
        <f t="array" ref="AD256">INDIRECT("Update"&amp;Projections!$AH$17&amp;"!R"&amp;ROW(B237))</f>
        <v>1.3</v>
      </c>
      <c r="AE256" s="73">
        <f t="shared" si="16"/>
        <v>-1.601785652</v>
      </c>
      <c r="AF256" s="73">
        <f t="shared" si="17"/>
        <v>-0.5463949927</v>
      </c>
      <c r="AG256" s="73">
        <f t="shared" si="18"/>
        <v>-0.4977332919</v>
      </c>
      <c r="AH256" s="73">
        <f t="shared" si="19"/>
        <v>-0.8364054809</v>
      </c>
      <c r="AI256" s="73">
        <f t="shared" si="20"/>
        <v>-1.580527123</v>
      </c>
      <c r="AJ256" s="73">
        <f t="shared" si="21"/>
        <v>-0.9723047469</v>
      </c>
      <c r="AK256" s="73">
        <f t="shared" si="22"/>
        <v>-0.2504860894</v>
      </c>
      <c r="AL256" s="73">
        <f t="shared" si="23"/>
        <v>0.2834776454</v>
      </c>
      <c r="AM256" s="73">
        <f t="shared" si="24"/>
        <v>0.1112613178</v>
      </c>
      <c r="AN256" s="120">
        <f t="shared" si="25"/>
        <v>-1.601785652</v>
      </c>
      <c r="AO256" s="120">
        <f t="shared" si="26"/>
        <v>-3.182312775</v>
      </c>
      <c r="AP256" s="120">
        <f t="array" ref="AP256">INDIRECT("Update"&amp;Projections!$AH$17&amp;"!S"&amp;ROW(B237))</f>
        <v>6.5</v>
      </c>
      <c r="AQ256" s="120">
        <f t="array" ref="AQ256">INDIRECT("Update"&amp;Projections!$AH$17&amp;"!T"&amp;ROW(B237))</f>
        <v>1.7</v>
      </c>
      <c r="AR256" s="100">
        <f t="shared" si="27"/>
        <v>-4.21736518</v>
      </c>
    </row>
    <row r="257">
      <c r="A257" s="40" t="str">
        <f t="shared" si="3"/>
        <v>Trey Lyles</v>
      </c>
      <c r="B257" s="42">
        <f t="shared" si="4"/>
        <v>-1.710174464</v>
      </c>
      <c r="C257" s="43">
        <f t="shared" si="5"/>
        <v>-0.3473463946</v>
      </c>
      <c r="D257" s="42">
        <f t="shared" si="6"/>
        <v>-0.6154124053</v>
      </c>
      <c r="E257" s="42">
        <f t="shared" si="7"/>
        <v>-1.292023185</v>
      </c>
      <c r="F257" s="42">
        <f t="shared" si="8"/>
        <v>-1.912459801</v>
      </c>
      <c r="G257" s="42">
        <f t="shared" si="9"/>
        <v>-0.6155173428</v>
      </c>
      <c r="H257" s="42">
        <f t="shared" si="10"/>
        <v>-0.3034271559</v>
      </c>
      <c r="I257" s="42">
        <f>UpdateHashtag!S255</f>
        <v>5.9</v>
      </c>
      <c r="J257" s="47">
        <f t="shared" si="11"/>
        <v>-0.1298363734</v>
      </c>
      <c r="K257" s="48">
        <f>UpdateHashtag!T255</f>
        <v>1.6</v>
      </c>
      <c r="L257" s="42">
        <f t="shared" si="12"/>
        <v>-0.9410095407</v>
      </c>
      <c r="N257" s="100">
        <f t="shared" si="13"/>
        <v>236</v>
      </c>
      <c r="O257" s="94" t="str">
        <f t="array" ref="O257">INDIRECT("Update"&amp;Projections!$AH$17&amp;"!B"&amp;ROW(B238))</f>
        <v/>
      </c>
      <c r="P257" s="101" t="str">
        <f t="array" ref="P257">INDIRECT("Update"&amp;Projections!$AH$17&amp;"!C"&amp;ROW(B238))</f>
        <v>Christian Wood</v>
      </c>
      <c r="Q257" s="94">
        <f>UpdateBBM!F238</f>
        <v>71</v>
      </c>
      <c r="R257" s="105" t="str">
        <f t="array" ref="R257">INDIRECT("Update"&amp;Projections!$AH$17&amp;"!D"&amp;ROW(B238))</f>
        <v>PF,C</v>
      </c>
      <c r="S257" s="73">
        <f t="shared" si="14"/>
        <v>-4.21736518</v>
      </c>
      <c r="T257" s="73">
        <f>SUM(AE257:AM257)-IFERROR(IFS(Projections!$I$17,AN257,Projections!$J$17,AO257),"")</f>
        <v>-4.21736518</v>
      </c>
      <c r="U257" s="73">
        <f t="shared" si="15"/>
        <v>0</v>
      </c>
      <c r="V257" s="73">
        <f t="array" ref="V257">INDIRECT("Update"&amp;Projections!$AH$17&amp;"!M"&amp;ROW(B238))</f>
        <v>9.7</v>
      </c>
      <c r="W257" s="73">
        <f t="array" ref="W257">INDIRECT("Update"&amp;Projections!$AH$17&amp;"!L"&amp;ROW(B238))</f>
        <v>0.9</v>
      </c>
      <c r="X257" s="73">
        <f t="array" ref="X257">INDIRECT("Update"&amp;Projections!$AH$17&amp;"!N"&amp;ROW(B238))</f>
        <v>5</v>
      </c>
      <c r="Y257" s="73">
        <f t="array" ref="Y257">INDIRECT("Update"&amp;Projections!$AH$17&amp;"!O"&amp;ROW(B238))</f>
        <v>1.1</v>
      </c>
      <c r="Z257" s="73">
        <f t="array" ref="Z257">INDIRECT("Update"&amp;Projections!$AH$17&amp;"!P"&amp;ROW(B238))</f>
        <v>0.3</v>
      </c>
      <c r="AA257" s="73">
        <f t="array" ref="AA257">INDIRECT("Update"&amp;Projections!$AH$17&amp;"!Q"&amp;ROW(B238))</f>
        <v>0.7</v>
      </c>
      <c r="AB257" s="107">
        <f t="array" ref="AB257">INDIRECT("Update"&amp;Projections!$AH$17&amp;"!I"&amp;ROW(B238))</f>
        <v>0.502</v>
      </c>
      <c r="AC257" s="107">
        <f t="array" ref="AC257">INDIRECT("Update"&amp;Projections!$AH$17&amp;"!K"&amp;ROW(B238))</f>
        <v>0.752</v>
      </c>
      <c r="AD257" s="73">
        <f t="array" ref="AD257">INDIRECT("Update"&amp;Projections!$AH$17&amp;"!R"&amp;ROW(B238))</f>
        <v>1.1</v>
      </c>
      <c r="AE257" s="73">
        <f t="shared" si="16"/>
        <v>-1.403072831</v>
      </c>
      <c r="AF257" s="73">
        <f t="shared" si="17"/>
        <v>-0.8449678898</v>
      </c>
      <c r="AG257" s="73">
        <f t="shared" si="18"/>
        <v>-0.4192805496</v>
      </c>
      <c r="AH257" s="73">
        <f t="shared" si="19"/>
        <v>-1.292023185</v>
      </c>
      <c r="AI257" s="73">
        <f t="shared" si="20"/>
        <v>-2.244392479</v>
      </c>
      <c r="AJ257" s="73">
        <f t="shared" si="21"/>
        <v>-0.08033623669</v>
      </c>
      <c r="AK257" s="73">
        <f t="shared" si="22"/>
        <v>0.04139802169</v>
      </c>
      <c r="AL257" s="73">
        <f t="shared" si="23"/>
        <v>-0.3799402544</v>
      </c>
      <c r="AM257" s="73">
        <f t="shared" si="24"/>
        <v>0.1608577447</v>
      </c>
      <c r="AN257" s="120">
        <f t="shared" si="25"/>
        <v>-2.244392479</v>
      </c>
      <c r="AO257" s="120">
        <f t="shared" si="26"/>
        <v>-3.64746531</v>
      </c>
      <c r="AP257" s="120">
        <f t="array" ref="AP257">INDIRECT("Update"&amp;Projections!$AH$17&amp;"!S"&amp;ROW(B238))</f>
        <v>6.9</v>
      </c>
      <c r="AQ257" s="120">
        <f t="array" ref="AQ257">INDIRECT("Update"&amp;Projections!$AH$17&amp;"!T"&amp;ROW(B238))</f>
        <v>2.5</v>
      </c>
      <c r="AR257" s="100">
        <f t="shared" si="27"/>
        <v>-4.248349566</v>
      </c>
    </row>
    <row r="258">
      <c r="A258" s="40" t="str">
        <f t="shared" si="3"/>
        <v>Isaiah Stewart</v>
      </c>
      <c r="B258" s="42">
        <f t="shared" si="4"/>
        <v>-1.637915256</v>
      </c>
      <c r="C258" s="43">
        <f t="shared" si="5"/>
        <v>-0.6459192917</v>
      </c>
      <c r="D258" s="42">
        <f t="shared" si="6"/>
        <v>-0.1839223229</v>
      </c>
      <c r="E258" s="42">
        <f t="shared" si="7"/>
        <v>-1.292023185</v>
      </c>
      <c r="F258" s="42">
        <f t="shared" si="8"/>
        <v>-2.244392479</v>
      </c>
      <c r="G258" s="42">
        <f t="shared" si="9"/>
        <v>-0.2587299387</v>
      </c>
      <c r="H258" s="42">
        <f t="shared" si="10"/>
        <v>-0.2657221013</v>
      </c>
      <c r="I258" s="42">
        <f>UpdateHashtag!S256</f>
        <v>6.5</v>
      </c>
      <c r="J258" s="47">
        <f t="shared" si="11"/>
        <v>-0.3309279616</v>
      </c>
      <c r="K258" s="48">
        <f>UpdateHashtag!T256</f>
        <v>1.8</v>
      </c>
      <c r="L258" s="42">
        <f t="shared" si="12"/>
        <v>-0.643430979</v>
      </c>
      <c r="N258" s="100">
        <f t="shared" si="13"/>
        <v>242</v>
      </c>
      <c r="O258" s="94" t="str">
        <f t="array" ref="O258">INDIRECT("Update"&amp;Projections!$AH$17&amp;"!B"&amp;ROW(B239))</f>
        <v/>
      </c>
      <c r="P258" s="101" t="str">
        <f t="array" ref="P258">INDIRECT("Update"&amp;Projections!$AH$17&amp;"!C"&amp;ROW(B239))</f>
        <v>Rob Dillingham</v>
      </c>
      <c r="Q258" s="94">
        <f>UpdateBBM!F239</f>
        <v>66</v>
      </c>
      <c r="R258" s="105" t="str">
        <f t="array" ref="R258">INDIRECT("Update"&amp;Projections!$AH$17&amp;"!D"&amp;ROW(B239))</f>
        <v>PG</v>
      </c>
      <c r="S258" s="73">
        <f t="shared" si="14"/>
        <v>-4.360236678</v>
      </c>
      <c r="T258" s="73">
        <f>SUM(AE258:AM258)-IFERROR(IFS(Projections!$I$17,AN258,Projections!$J$17,AO258),"")</f>
        <v>-4.360236678</v>
      </c>
      <c r="U258" s="73">
        <f t="shared" si="15"/>
        <v>0</v>
      </c>
      <c r="V258" s="73">
        <f t="array" ref="V258">INDIRECT("Update"&amp;Projections!$AH$17&amp;"!M"&amp;ROW(B239))</f>
        <v>11</v>
      </c>
      <c r="W258" s="73">
        <f t="array" ref="W258">INDIRECT("Update"&amp;Projections!$AH$17&amp;"!L"&amp;ROW(B239))</f>
        <v>1.6</v>
      </c>
      <c r="X258" s="73">
        <f t="array" ref="X258">INDIRECT("Update"&amp;Projections!$AH$17&amp;"!N"&amp;ROW(B239))</f>
        <v>2.1</v>
      </c>
      <c r="Y258" s="73">
        <f t="array" ref="Y258">INDIRECT("Update"&amp;Projections!$AH$17&amp;"!O"&amp;ROW(B239))</f>
        <v>2.8</v>
      </c>
      <c r="Z258" s="73">
        <f t="array" ref="Z258">INDIRECT("Update"&amp;Projections!$AH$17&amp;"!P"&amp;ROW(B239))</f>
        <v>0.7</v>
      </c>
      <c r="AA258" s="73">
        <f t="array" ref="AA258">INDIRECT("Update"&amp;Projections!$AH$17&amp;"!Q"&amp;ROW(B239))</f>
        <v>0</v>
      </c>
      <c r="AB258" s="107">
        <f t="array" ref="AB258">INDIRECT("Update"&amp;Projections!$AH$17&amp;"!I"&amp;ROW(B239))</f>
        <v>0.454</v>
      </c>
      <c r="AC258" s="107">
        <f t="array" ref="AC258">INDIRECT("Update"&amp;Projections!$AH$17&amp;"!K"&amp;ROW(B239))</f>
        <v>0.802</v>
      </c>
      <c r="AD258" s="73">
        <f t="array" ref="AD258">INDIRECT("Update"&amp;Projections!$AH$17&amp;"!R"&amp;ROW(B239))</f>
        <v>1.4</v>
      </c>
      <c r="AE258" s="73">
        <f t="shared" si="16"/>
        <v>-1.168230405</v>
      </c>
      <c r="AF258" s="73">
        <f t="shared" si="17"/>
        <v>-0.1482977966</v>
      </c>
      <c r="AG258" s="73">
        <f t="shared" si="18"/>
        <v>-1.556845312</v>
      </c>
      <c r="AH258" s="73">
        <f t="shared" si="19"/>
        <v>-0.5174730879</v>
      </c>
      <c r="AI258" s="73">
        <f t="shared" si="20"/>
        <v>-0.9166617668</v>
      </c>
      <c r="AJ258" s="73">
        <f t="shared" si="21"/>
        <v>-1.329092151</v>
      </c>
      <c r="AK258" s="73">
        <f t="shared" si="22"/>
        <v>-0.4221531769</v>
      </c>
      <c r="AL258" s="73">
        <f t="shared" si="23"/>
        <v>0.0552086024</v>
      </c>
      <c r="AM258" s="73">
        <f t="shared" si="24"/>
        <v>0.08646310432</v>
      </c>
      <c r="AN258" s="120">
        <f t="shared" si="25"/>
        <v>-1.556845312</v>
      </c>
      <c r="AO258" s="120">
        <f t="shared" si="26"/>
        <v>-2.885937463</v>
      </c>
      <c r="AP258" s="120">
        <f t="array" ref="AP258">INDIRECT("Update"&amp;Projections!$AH$17&amp;"!S"&amp;ROW(B239))</f>
        <v>8.4</v>
      </c>
      <c r="AQ258" s="120">
        <f t="array" ref="AQ258">INDIRECT("Update"&amp;Projections!$AH$17&amp;"!T"&amp;ROW(B239))</f>
        <v>2.2</v>
      </c>
      <c r="AR258" s="100">
        <f t="shared" si="27"/>
        <v>-4.289112762</v>
      </c>
    </row>
    <row r="259">
      <c r="A259" s="40" t="str">
        <f t="shared" si="3"/>
        <v>Georges Niang</v>
      </c>
      <c r="B259" s="42">
        <f t="shared" si="4"/>
        <v>-1.511461642</v>
      </c>
      <c r="C259" s="43">
        <f t="shared" si="5"/>
        <v>0.2497993996</v>
      </c>
      <c r="D259" s="42">
        <f t="shared" si="6"/>
        <v>-1.203807972</v>
      </c>
      <c r="E259" s="42">
        <f t="shared" si="7"/>
        <v>-1.292023185</v>
      </c>
      <c r="F259" s="42">
        <f t="shared" si="8"/>
        <v>-1.912459801</v>
      </c>
      <c r="G259" s="42">
        <f t="shared" si="9"/>
        <v>-0.9723047469</v>
      </c>
      <c r="H259" s="42">
        <f t="shared" si="10"/>
        <v>-0.4353160667</v>
      </c>
      <c r="I259" s="42">
        <f>UpdateHashtag!S257</f>
        <v>7.3</v>
      </c>
      <c r="J259" s="47">
        <f t="shared" si="11"/>
        <v>0.1439950111</v>
      </c>
      <c r="K259" s="48">
        <f>UpdateHashtag!T257</f>
        <v>0.7</v>
      </c>
      <c r="L259" s="42">
        <f t="shared" si="12"/>
        <v>-0.9410095407</v>
      </c>
      <c r="N259" s="100">
        <f t="shared" si="13"/>
        <v>219</v>
      </c>
      <c r="O259" s="94" t="str">
        <f t="array" ref="O259">INDIRECT("Update"&amp;Projections!$AH$17&amp;"!B"&amp;ROW(B240))</f>
        <v/>
      </c>
      <c r="P259" s="101" t="str">
        <f t="array" ref="P259">INDIRECT("Update"&amp;Projections!$AH$17&amp;"!C"&amp;ROW(B240))</f>
        <v>Xavier Tillman Sr.</v>
      </c>
      <c r="Q259" s="94">
        <f>UpdateBBM!F240</f>
        <v>40</v>
      </c>
      <c r="R259" s="105" t="str">
        <f t="array" ref="R259">INDIRECT("Update"&amp;Projections!$AH$17&amp;"!D"&amp;ROW(B240))</f>
        <v>PF,C</v>
      </c>
      <c r="S259" s="73">
        <f t="shared" si="14"/>
        <v>-3.76729577</v>
      </c>
      <c r="T259" s="73">
        <f>SUM(AE259:AM259)-IFERROR(IFS(Projections!$I$17,AN259,Projections!$J$17,AO259),"")</f>
        <v>-3.76729577</v>
      </c>
      <c r="U259" s="73">
        <f t="shared" si="15"/>
        <v>0</v>
      </c>
      <c r="V259" s="73">
        <f t="array" ref="V259">INDIRECT("Update"&amp;Projections!$AH$17&amp;"!M"&amp;ROW(B240))</f>
        <v>7.2</v>
      </c>
      <c r="W259" s="73">
        <f t="array" ref="W259">INDIRECT("Update"&amp;Projections!$AH$17&amp;"!L"&amp;ROW(B240))</f>
        <v>0.7</v>
      </c>
      <c r="X259" s="73">
        <f t="array" ref="X259">INDIRECT("Update"&amp;Projections!$AH$17&amp;"!N"&amp;ROW(B240))</f>
        <v>4.9</v>
      </c>
      <c r="Y259" s="73">
        <f t="array" ref="Y259">INDIRECT("Update"&amp;Projections!$AH$17&amp;"!O"&amp;ROW(B240))</f>
        <v>1.6</v>
      </c>
      <c r="Z259" s="73">
        <f t="array" ref="Z259">INDIRECT("Update"&amp;Projections!$AH$17&amp;"!P"&amp;ROW(B240))</f>
        <v>1</v>
      </c>
      <c r="AA259" s="73">
        <f t="array" ref="AA259">INDIRECT("Update"&amp;Projections!$AH$17&amp;"!Q"&amp;ROW(B240))</f>
        <v>0.7</v>
      </c>
      <c r="AB259" s="107">
        <f t="array" ref="AB259">INDIRECT("Update"&amp;Projections!$AH$17&amp;"!I"&amp;ROW(B240))</f>
        <v>0.473</v>
      </c>
      <c r="AC259" s="107">
        <f t="array" ref="AC259">INDIRECT("Update"&amp;Projections!$AH$17&amp;"!K"&amp;ROW(B240))</f>
        <v>0.515</v>
      </c>
      <c r="AD259" s="73">
        <f t="array" ref="AD259">INDIRECT("Update"&amp;Projections!$AH$17&amp;"!R"&amp;ROW(B240))</f>
        <v>0.7</v>
      </c>
      <c r="AE259" s="73">
        <f t="shared" si="16"/>
        <v>-1.85469288</v>
      </c>
      <c r="AF259" s="73">
        <f t="shared" si="17"/>
        <v>-1.044016488</v>
      </c>
      <c r="AG259" s="73">
        <f t="shared" si="18"/>
        <v>-0.4585069208</v>
      </c>
      <c r="AH259" s="73">
        <f t="shared" si="19"/>
        <v>-1.064214333</v>
      </c>
      <c r="AI259" s="73">
        <f t="shared" si="20"/>
        <v>0.07913626764</v>
      </c>
      <c r="AJ259" s="73">
        <f t="shared" si="21"/>
        <v>-0.08033623669</v>
      </c>
      <c r="AK259" s="73">
        <f t="shared" si="22"/>
        <v>-0.1707287106</v>
      </c>
      <c r="AL259" s="73">
        <f t="shared" si="23"/>
        <v>-1.288679948</v>
      </c>
      <c r="AM259" s="73">
        <f t="shared" si="24"/>
        <v>0.2600505987</v>
      </c>
      <c r="AN259" s="120">
        <f t="shared" si="25"/>
        <v>-1.85469288</v>
      </c>
      <c r="AO259" s="120">
        <f t="shared" si="26"/>
        <v>-3.143372828</v>
      </c>
      <c r="AP259" s="120">
        <f t="array" ref="AP259">INDIRECT("Update"&amp;Projections!$AH$17&amp;"!S"&amp;ROW(B240))</f>
        <v>6.1</v>
      </c>
      <c r="AQ259" s="120">
        <f t="array" ref="AQ259">INDIRECT("Update"&amp;Projections!$AH$17&amp;"!T"&amp;ROW(B240))</f>
        <v>1.3</v>
      </c>
      <c r="AR259" s="100">
        <f t="shared" si="27"/>
        <v>-4.291558061</v>
      </c>
    </row>
    <row r="260">
      <c r="A260" s="40" t="str">
        <f t="shared" si="3"/>
        <v>Jose Alvarado</v>
      </c>
      <c r="B260" s="42">
        <f t="shared" si="4"/>
        <v>-1.818563276</v>
      </c>
      <c r="C260" s="43">
        <f t="shared" si="5"/>
        <v>-0.4468706937</v>
      </c>
      <c r="D260" s="42">
        <f t="shared" si="6"/>
        <v>-1.556845312</v>
      </c>
      <c r="E260" s="42">
        <f t="shared" si="7"/>
        <v>-0.6997201696</v>
      </c>
      <c r="F260" s="42">
        <f t="shared" si="8"/>
        <v>0.07913626764</v>
      </c>
      <c r="G260" s="42">
        <f t="shared" si="9"/>
        <v>-0.9723047469</v>
      </c>
      <c r="H260" s="42">
        <f t="shared" si="10"/>
        <v>-0.6542404043</v>
      </c>
      <c r="I260" s="42">
        <f>UpdateHashtag!S258</f>
        <v>6.5</v>
      </c>
      <c r="J260" s="47">
        <f t="shared" si="11"/>
        <v>-0.1342690097</v>
      </c>
      <c r="K260" s="48">
        <f>UpdateHashtag!T258</f>
        <v>1</v>
      </c>
      <c r="L260" s="42">
        <f t="shared" si="12"/>
        <v>-0.8418166868</v>
      </c>
      <c r="N260" s="100">
        <f t="shared" si="13"/>
        <v>235</v>
      </c>
      <c r="O260" s="94">
        <f t="array" ref="O260">INDIRECT("Update"&amp;Projections!$AH$17&amp;"!B"&amp;ROW(B241))</f>
        <v>143.5</v>
      </c>
      <c r="P260" s="101" t="str">
        <f t="array" ref="P260">INDIRECT("Update"&amp;Projections!$AH$17&amp;"!C"&amp;ROW(B241))</f>
        <v>Gradey Dick</v>
      </c>
      <c r="Q260" s="94">
        <f>UpdateBBM!F241</f>
        <v>66</v>
      </c>
      <c r="R260" s="105" t="str">
        <f t="array" ref="R260">INDIRECT("Update"&amp;Projections!$AH$17&amp;"!D"&amp;ROW(B241))</f>
        <v>SG,SF</v>
      </c>
      <c r="S260" s="73">
        <f t="shared" si="14"/>
        <v>-4.214928736</v>
      </c>
      <c r="T260" s="73">
        <f>SUM(AE260:AM260)-IFERROR(IFS(Projections!$I$17,AN260,Projections!$J$17,AO260),"")</f>
        <v>-4.214928736</v>
      </c>
      <c r="U260" s="73">
        <f t="shared" si="15"/>
        <v>0</v>
      </c>
      <c r="V260" s="73">
        <f t="array" ref="V260">INDIRECT("Update"&amp;Projections!$AH$17&amp;"!M"&amp;ROW(B241))</f>
        <v>11.4</v>
      </c>
      <c r="W260" s="73">
        <f t="array" ref="W260">INDIRECT("Update"&amp;Projections!$AH$17&amp;"!L"&amp;ROW(B241))</f>
        <v>2</v>
      </c>
      <c r="X260" s="73">
        <f t="array" ref="X260">INDIRECT("Update"&amp;Projections!$AH$17&amp;"!N"&amp;ROW(B241))</f>
        <v>2.9</v>
      </c>
      <c r="Y260" s="73">
        <f t="array" ref="Y260">INDIRECT("Update"&amp;Projections!$AH$17&amp;"!O"&amp;ROW(B241))</f>
        <v>1.5</v>
      </c>
      <c r="Z260" s="73">
        <f t="array" ref="Z260">INDIRECT("Update"&amp;Projections!$AH$17&amp;"!P"&amp;ROW(B241))</f>
        <v>0.8</v>
      </c>
      <c r="AA260" s="73">
        <f t="array" ref="AA260">INDIRECT("Update"&amp;Projections!$AH$17&amp;"!Q"&amp;ROW(B241))</f>
        <v>0</v>
      </c>
      <c r="AB260" s="107">
        <f t="array" ref="AB260">INDIRECT("Update"&amp;Projections!$AH$17&amp;"!I"&amp;ROW(B241))</f>
        <v>0.424</v>
      </c>
      <c r="AC260" s="107">
        <f t="array" ref="AC260">INDIRECT("Update"&amp;Projections!$AH$17&amp;"!K"&amp;ROW(B241))</f>
        <v>0.86</v>
      </c>
      <c r="AD260" s="73">
        <f t="array" ref="AD260">INDIRECT("Update"&amp;Projections!$AH$17&amp;"!R"&amp;ROW(B241))</f>
        <v>1.1</v>
      </c>
      <c r="AE260" s="73">
        <f t="shared" si="16"/>
        <v>-1.095971197</v>
      </c>
      <c r="AF260" s="73">
        <f t="shared" si="17"/>
        <v>0.2497993996</v>
      </c>
      <c r="AG260" s="73">
        <f t="shared" si="18"/>
        <v>-1.243034343</v>
      </c>
      <c r="AH260" s="73">
        <f t="shared" si="19"/>
        <v>-1.109776103</v>
      </c>
      <c r="AI260" s="73">
        <f t="shared" si="20"/>
        <v>-0.5847290887</v>
      </c>
      <c r="AJ260" s="73">
        <f t="shared" si="21"/>
        <v>-1.329092151</v>
      </c>
      <c r="AK260" s="73">
        <f t="shared" si="22"/>
        <v>-0.8456219443</v>
      </c>
      <c r="AL260" s="73">
        <f t="shared" si="23"/>
        <v>0.2535467965</v>
      </c>
      <c r="AM260" s="73">
        <f t="shared" si="24"/>
        <v>0.1608577447</v>
      </c>
      <c r="AN260" s="120">
        <f t="shared" si="25"/>
        <v>-1.329092151</v>
      </c>
      <c r="AO260" s="120">
        <f t="shared" si="26"/>
        <v>-2.572126494</v>
      </c>
      <c r="AP260" s="120">
        <f t="array" ref="AP260">INDIRECT("Update"&amp;Projections!$AH$17&amp;"!S"&amp;ROW(B241))</f>
        <v>9.9</v>
      </c>
      <c r="AQ260" s="120">
        <f t="array" ref="AQ260">INDIRECT("Update"&amp;Projections!$AH$17&amp;"!T"&amp;ROW(B241))</f>
        <v>1.1</v>
      </c>
      <c r="AR260" s="100">
        <f t="shared" si="27"/>
        <v>-4.303191503</v>
      </c>
    </row>
    <row r="261">
      <c r="A261" s="40" t="str">
        <f t="shared" si="3"/>
        <v>Saddiq Bey</v>
      </c>
      <c r="B261" s="42">
        <f t="shared" si="4"/>
        <v>-1.475332038</v>
      </c>
      <c r="C261" s="43">
        <f t="shared" si="5"/>
        <v>-0.4468706937</v>
      </c>
      <c r="D261" s="42">
        <f t="shared" si="6"/>
        <v>-0.9292233743</v>
      </c>
      <c r="E261" s="42">
        <f t="shared" si="7"/>
        <v>-1.337584956</v>
      </c>
      <c r="F261" s="42">
        <f t="shared" si="8"/>
        <v>-1.248594445</v>
      </c>
      <c r="G261" s="42">
        <f t="shared" si="9"/>
        <v>-1.150698449</v>
      </c>
      <c r="H261" s="42">
        <f t="shared" si="10"/>
        <v>-0.6754450831</v>
      </c>
      <c r="I261" s="42">
        <f>UpdateHashtag!S259</f>
        <v>7.4</v>
      </c>
      <c r="J261" s="47">
        <f t="shared" si="11"/>
        <v>0.4394220121</v>
      </c>
      <c r="K261" s="48">
        <f>UpdateHashtag!T259</f>
        <v>2.1</v>
      </c>
      <c r="L261" s="42">
        <f t="shared" si="12"/>
        <v>-1.139395249</v>
      </c>
      <c r="N261" s="100">
        <f t="shared" si="13"/>
        <v>223</v>
      </c>
      <c r="O261" s="94" t="str">
        <f t="array" ref="O261">INDIRECT("Update"&amp;Projections!$AH$17&amp;"!B"&amp;ROW(B242))</f>
        <v/>
      </c>
      <c r="P261" s="101" t="str">
        <f t="array" ref="P261">INDIRECT("Update"&amp;Projections!$AH$17&amp;"!C"&amp;ROW(B242))</f>
        <v>Ron Holland II</v>
      </c>
      <c r="Q261" s="94">
        <f>UpdateBBM!F242</f>
        <v>71</v>
      </c>
      <c r="R261" s="105" t="str">
        <f t="array" ref="R261">INDIRECT("Update"&amp;Projections!$AH$17&amp;"!D"&amp;ROW(B242))</f>
        <v>SF</v>
      </c>
      <c r="S261" s="73">
        <f t="shared" si="14"/>
        <v>-3.845275664</v>
      </c>
      <c r="T261" s="73">
        <f>SUM(AE261:AM261)-IFERROR(IFS(Projections!$I$17,AN261,Projections!$J$17,AO261),"")</f>
        <v>-3.845275664</v>
      </c>
      <c r="U261" s="73">
        <f t="shared" si="15"/>
        <v>0</v>
      </c>
      <c r="V261" s="73">
        <f t="array" ref="V261">INDIRECT("Update"&amp;Projections!$AH$17&amp;"!M"&amp;ROW(B242))</f>
        <v>10.3</v>
      </c>
      <c r="W261" s="73">
        <f t="array" ref="W261">INDIRECT("Update"&amp;Projections!$AH$17&amp;"!L"&amp;ROW(B242))</f>
        <v>0.5</v>
      </c>
      <c r="X261" s="73">
        <f t="array" ref="X261">INDIRECT("Update"&amp;Projections!$AH$17&amp;"!N"&amp;ROW(B242))</f>
        <v>3.7</v>
      </c>
      <c r="Y261" s="73">
        <f t="array" ref="Y261">INDIRECT("Update"&amp;Projections!$AH$17&amp;"!O"&amp;ROW(B242))</f>
        <v>1.7</v>
      </c>
      <c r="Z261" s="73">
        <f t="array" ref="Z261">INDIRECT("Update"&amp;Projections!$AH$17&amp;"!P"&amp;ROW(B242))</f>
        <v>1.3</v>
      </c>
      <c r="AA261" s="73">
        <f t="array" ref="AA261">INDIRECT("Update"&amp;Projections!$AH$17&amp;"!Q"&amp;ROW(B242))</f>
        <v>0.4</v>
      </c>
      <c r="AB261" s="107">
        <f t="array" ref="AB261">INDIRECT("Update"&amp;Projections!$AH$17&amp;"!I"&amp;ROW(B242))</f>
        <v>0.44</v>
      </c>
      <c r="AC261" s="107">
        <f t="array" ref="AC261">INDIRECT("Update"&amp;Projections!$AH$17&amp;"!K"&amp;ROW(B242))</f>
        <v>0.74</v>
      </c>
      <c r="AD261" s="73">
        <f t="array" ref="AD261">INDIRECT("Update"&amp;Projections!$AH$17&amp;"!R"&amp;ROW(B242))</f>
        <v>1.6</v>
      </c>
      <c r="AE261" s="73">
        <f t="shared" si="16"/>
        <v>-1.294684019</v>
      </c>
      <c r="AF261" s="73">
        <f t="shared" si="17"/>
        <v>-1.243065086</v>
      </c>
      <c r="AG261" s="73">
        <f t="shared" si="18"/>
        <v>-0.9292233743</v>
      </c>
      <c r="AH261" s="73">
        <f t="shared" si="19"/>
        <v>-1.018652563</v>
      </c>
      <c r="AI261" s="73">
        <f t="shared" si="20"/>
        <v>1.074934302</v>
      </c>
      <c r="AJ261" s="73">
        <f t="shared" si="21"/>
        <v>-0.6155173428</v>
      </c>
      <c r="AK261" s="73">
        <f t="shared" si="22"/>
        <v>-0.5866462218</v>
      </c>
      <c r="AL261" s="73">
        <f t="shared" si="23"/>
        <v>-0.5639720562</v>
      </c>
      <c r="AM261" s="73">
        <f t="shared" si="24"/>
        <v>0.03686667737</v>
      </c>
      <c r="AN261" s="120">
        <f t="shared" si="25"/>
        <v>-1.294684019</v>
      </c>
      <c r="AO261" s="120">
        <f t="shared" si="26"/>
        <v>-2.537749105</v>
      </c>
      <c r="AP261" s="120">
        <f t="array" ref="AP261">INDIRECT("Update"&amp;Projections!$AH$17&amp;"!S"&amp;ROW(B242))</f>
        <v>8.8</v>
      </c>
      <c r="AQ261" s="120">
        <f t="array" ref="AQ261">INDIRECT("Update"&amp;Projections!$AH$17&amp;"!T"&amp;ROW(B242))</f>
        <v>2.9</v>
      </c>
      <c r="AR261" s="100">
        <f t="shared" si="27"/>
        <v>-4.346513913</v>
      </c>
    </row>
    <row r="262">
      <c r="A262" s="40" t="str">
        <f t="shared" si="3"/>
        <v>Reggie Jackson</v>
      </c>
      <c r="B262" s="42">
        <f t="shared" si="4"/>
        <v>-1.366943227</v>
      </c>
      <c r="C262" s="43">
        <f t="shared" si="5"/>
        <v>-0.4468706937</v>
      </c>
      <c r="D262" s="42">
        <f t="shared" si="6"/>
        <v>-1.596071683</v>
      </c>
      <c r="E262" s="42">
        <f t="shared" si="7"/>
        <v>-0.198540695</v>
      </c>
      <c r="F262" s="42">
        <f t="shared" si="8"/>
        <v>-1.248594445</v>
      </c>
      <c r="G262" s="42">
        <f t="shared" si="9"/>
        <v>-1.150698449</v>
      </c>
      <c r="H262" s="42">
        <f t="shared" si="10"/>
        <v>-0.7986192745</v>
      </c>
      <c r="I262" s="42">
        <f>UpdateHashtag!S260</f>
        <v>9.1</v>
      </c>
      <c r="J262" s="47">
        <f t="shared" si="11"/>
        <v>0.2425988884</v>
      </c>
      <c r="K262" s="48">
        <f>UpdateHashtag!T260</f>
        <v>1.2</v>
      </c>
      <c r="L262" s="42">
        <f t="shared" si="12"/>
        <v>-0.3458524173</v>
      </c>
      <c r="N262" s="100">
        <f t="shared" si="13"/>
        <v>244</v>
      </c>
      <c r="O262" s="94" t="str">
        <f t="array" ref="O262">INDIRECT("Update"&amp;Projections!$AH$17&amp;"!B"&amp;ROW(B243))</f>
        <v/>
      </c>
      <c r="P262" s="101" t="str">
        <f t="array" ref="P262">INDIRECT("Update"&amp;Projections!$AH$17&amp;"!C"&amp;ROW(B243))</f>
        <v>Mo Bamba</v>
      </c>
      <c r="Q262" s="94">
        <f>UpdateBBM!F243</f>
        <v>59</v>
      </c>
      <c r="R262" s="105" t="str">
        <f t="array" ref="R262">INDIRECT("Update"&amp;Projections!$AH$17&amp;"!D"&amp;ROW(B243))</f>
        <v>C</v>
      </c>
      <c r="S262" s="73">
        <f t="shared" si="14"/>
        <v>-4.393682445</v>
      </c>
      <c r="T262" s="73">
        <f>SUM(AE262:AM262)-IFERROR(IFS(Projections!$I$17,AN262,Projections!$J$17,AO262),"")</f>
        <v>-4.393682445</v>
      </c>
      <c r="U262" s="73">
        <f t="shared" si="15"/>
        <v>0</v>
      </c>
      <c r="V262" s="73">
        <f t="array" ref="V262">INDIRECT("Update"&amp;Projections!$AH$17&amp;"!M"&amp;ROW(B243))</f>
        <v>6.1</v>
      </c>
      <c r="W262" s="73">
        <f t="array" ref="W262">INDIRECT("Update"&amp;Projections!$AH$17&amp;"!L"&amp;ROW(B243))</f>
        <v>0.8</v>
      </c>
      <c r="X262" s="73">
        <f t="array" ref="X262">INDIRECT("Update"&amp;Projections!$AH$17&amp;"!N"&amp;ROW(B243))</f>
        <v>4.9</v>
      </c>
      <c r="Y262" s="73">
        <f t="array" ref="Y262">INDIRECT("Update"&amp;Projections!$AH$17&amp;"!O"&amp;ROW(B243))</f>
        <v>0.9</v>
      </c>
      <c r="Z262" s="73">
        <f t="array" ref="Z262">INDIRECT("Update"&amp;Projections!$AH$17&amp;"!P"&amp;ROW(B243))</f>
        <v>0.4</v>
      </c>
      <c r="AA262" s="73">
        <f t="array" ref="AA262">INDIRECT("Update"&amp;Projections!$AH$17&amp;"!Q"&amp;ROW(B243))</f>
        <v>1.1</v>
      </c>
      <c r="AB262" s="107">
        <f t="array" ref="AB262">INDIRECT("Update"&amp;Projections!$AH$17&amp;"!I"&amp;ROW(B243))</f>
        <v>0.487</v>
      </c>
      <c r="AC262" s="107">
        <f t="array" ref="AC262">INDIRECT("Update"&amp;Projections!$AH$17&amp;"!K"&amp;ROW(B243))</f>
        <v>0.669</v>
      </c>
      <c r="AD262" s="73">
        <f t="array" ref="AD262">INDIRECT("Update"&amp;Projections!$AH$17&amp;"!R"&amp;ROW(B243))</f>
        <v>0.7</v>
      </c>
      <c r="AE262" s="73">
        <f t="shared" si="16"/>
        <v>-2.053405701</v>
      </c>
      <c r="AF262" s="73">
        <f t="shared" si="17"/>
        <v>-0.9444921888</v>
      </c>
      <c r="AG262" s="73">
        <f t="shared" si="18"/>
        <v>-0.4585069208</v>
      </c>
      <c r="AH262" s="73">
        <f t="shared" si="19"/>
        <v>-1.383146726</v>
      </c>
      <c r="AI262" s="73">
        <f t="shared" si="20"/>
        <v>-1.912459801</v>
      </c>
      <c r="AJ262" s="73">
        <f t="shared" si="21"/>
        <v>0.6332385715</v>
      </c>
      <c r="AK262" s="73">
        <f t="shared" si="22"/>
        <v>-0.05326938194</v>
      </c>
      <c r="AL262" s="73">
        <f t="shared" si="23"/>
        <v>-0.5350965969</v>
      </c>
      <c r="AM262" s="73">
        <f t="shared" si="24"/>
        <v>0.2600505987</v>
      </c>
      <c r="AN262" s="120">
        <f t="shared" si="25"/>
        <v>-2.053405701</v>
      </c>
      <c r="AO262" s="120">
        <f t="shared" si="26"/>
        <v>-3.965865503</v>
      </c>
      <c r="AP262" s="120">
        <f t="array" ref="AP262">INDIRECT("Update"&amp;Projections!$AH$17&amp;"!S"&amp;ROW(B243))</f>
        <v>4.6</v>
      </c>
      <c r="AQ262" s="120">
        <f t="array" ref="AQ262">INDIRECT("Update"&amp;Projections!$AH$17&amp;"!T"&amp;ROW(B243))</f>
        <v>1.2</v>
      </c>
      <c r="AR262" s="100">
        <f t="shared" si="27"/>
        <v>-4.360236678</v>
      </c>
    </row>
    <row r="263">
      <c r="A263" s="40" t="str">
        <f t="shared" si="3"/>
        <v>Goga Bitadze</v>
      </c>
      <c r="B263" s="42">
        <f t="shared" si="4"/>
        <v>-2.270183325</v>
      </c>
      <c r="C263" s="43">
        <f t="shared" si="5"/>
        <v>-1.641162282</v>
      </c>
      <c r="D263" s="42">
        <f t="shared" si="6"/>
        <v>-0.6546387764</v>
      </c>
      <c r="E263" s="42">
        <f t="shared" si="7"/>
        <v>-1.246461415</v>
      </c>
      <c r="F263" s="42">
        <f t="shared" si="8"/>
        <v>-1.580527123</v>
      </c>
      <c r="G263" s="42">
        <f t="shared" si="9"/>
        <v>0.4548448695</v>
      </c>
      <c r="H263" s="42">
        <f t="shared" si="10"/>
        <v>0.3431680769</v>
      </c>
      <c r="I263" s="42">
        <f>UpdateHashtag!S261</f>
        <v>3.4</v>
      </c>
      <c r="J263" s="47">
        <f t="shared" si="11"/>
        <v>-0.8190878652</v>
      </c>
      <c r="K263" s="48">
        <f>UpdateHashtag!T261</f>
        <v>1.3</v>
      </c>
      <c r="L263" s="42">
        <f t="shared" si="12"/>
        <v>-1.040202395</v>
      </c>
      <c r="N263" s="100">
        <f t="shared" si="13"/>
        <v>253</v>
      </c>
      <c r="O263" s="94" t="str">
        <f t="array" ref="O263">INDIRECT("Update"&amp;Projections!$AH$17&amp;"!B"&amp;ROW(B244))</f>
        <v/>
      </c>
      <c r="P263" s="101" t="str">
        <f t="array" ref="P263">INDIRECT("Update"&amp;Projections!$AH$17&amp;"!C"&amp;ROW(B244))</f>
        <v>Derrick Jones Jr.</v>
      </c>
      <c r="Q263" s="94">
        <f>UpdateBBM!F244</f>
        <v>71</v>
      </c>
      <c r="R263" s="105" t="str">
        <f t="array" ref="R263">INDIRECT("Update"&amp;Projections!$AH$17&amp;"!D"&amp;ROW(B244))</f>
        <v>SF,PF</v>
      </c>
      <c r="S263" s="73">
        <f t="shared" si="14"/>
        <v>-4.565685148</v>
      </c>
      <c r="T263" s="73">
        <f>SUM(AE263:AM263)-IFERROR(IFS(Projections!$I$17,AN263,Projections!$J$17,AO263),"")</f>
        <v>-4.565685148</v>
      </c>
      <c r="U263" s="73">
        <f t="shared" si="15"/>
        <v>0</v>
      </c>
      <c r="V263" s="73">
        <f t="array" ref="V263">INDIRECT("Update"&amp;Projections!$AH$17&amp;"!M"&amp;ROW(B244))</f>
        <v>8</v>
      </c>
      <c r="W263" s="73">
        <f t="array" ref="W263">INDIRECT("Update"&amp;Projections!$AH$17&amp;"!L"&amp;ROW(B244))</f>
        <v>0.9</v>
      </c>
      <c r="X263" s="73">
        <f t="array" ref="X263">INDIRECT("Update"&amp;Projections!$AH$17&amp;"!N"&amp;ROW(B244))</f>
        <v>3.3</v>
      </c>
      <c r="Y263" s="73">
        <f t="array" ref="Y263">INDIRECT("Update"&amp;Projections!$AH$17&amp;"!O"&amp;ROW(B244))</f>
        <v>0.9</v>
      </c>
      <c r="Z263" s="73">
        <f t="array" ref="Z263">INDIRECT("Update"&amp;Projections!$AH$17&amp;"!P"&amp;ROW(B244))</f>
        <v>0.7</v>
      </c>
      <c r="AA263" s="73">
        <f t="array" ref="AA263">INDIRECT("Update"&amp;Projections!$AH$17&amp;"!Q"&amp;ROW(B244))</f>
        <v>0.7</v>
      </c>
      <c r="AB263" s="107">
        <f t="array" ref="AB263">INDIRECT("Update"&amp;Projections!$AH$17&amp;"!I"&amp;ROW(B244))</f>
        <v>0.488</v>
      </c>
      <c r="AC263" s="107">
        <f t="array" ref="AC263">INDIRECT("Update"&amp;Projections!$AH$17&amp;"!K"&amp;ROW(B244))</f>
        <v>0.724</v>
      </c>
      <c r="AD263" s="73">
        <f t="array" ref="AD263">INDIRECT("Update"&amp;Projections!$AH$17&amp;"!R"&amp;ROW(B244))</f>
        <v>0.7</v>
      </c>
      <c r="AE263" s="73">
        <f t="shared" si="16"/>
        <v>-1.710174464</v>
      </c>
      <c r="AF263" s="73">
        <f t="shared" si="17"/>
        <v>-0.8449678898</v>
      </c>
      <c r="AG263" s="73">
        <f t="shared" si="18"/>
        <v>-1.086128859</v>
      </c>
      <c r="AH263" s="73">
        <f t="shared" si="19"/>
        <v>-1.383146726</v>
      </c>
      <c r="AI263" s="73">
        <f t="shared" si="20"/>
        <v>-0.9166617668</v>
      </c>
      <c r="AJ263" s="73">
        <f t="shared" si="21"/>
        <v>-0.08033623669</v>
      </c>
      <c r="AK263" s="73">
        <f t="shared" si="22"/>
        <v>-0.06244979705</v>
      </c>
      <c r="AL263" s="73">
        <f t="shared" si="23"/>
        <v>-0.4520444716</v>
      </c>
      <c r="AM263" s="73">
        <f t="shared" si="24"/>
        <v>0.2600505987</v>
      </c>
      <c r="AN263" s="120">
        <f t="shared" si="25"/>
        <v>-1.710174464</v>
      </c>
      <c r="AO263" s="120">
        <f t="shared" si="26"/>
        <v>-3.09332119</v>
      </c>
      <c r="AP263" s="120">
        <f t="array" ref="AP263">INDIRECT("Update"&amp;Projections!$AH$17&amp;"!S"&amp;ROW(B244))</f>
        <v>6</v>
      </c>
      <c r="AQ263" s="120">
        <f t="array" ref="AQ263">INDIRECT("Update"&amp;Projections!$AH$17&amp;"!T"&amp;ROW(B244))</f>
        <v>1.8</v>
      </c>
      <c r="AR263" s="100">
        <f t="shared" si="27"/>
        <v>-4.377048591</v>
      </c>
    </row>
    <row r="264">
      <c r="A264" s="40" t="str">
        <f t="shared" si="3"/>
        <v>Stephon Castle</v>
      </c>
      <c r="B264" s="42">
        <f t="shared" si="4"/>
        <v>-1.800498474</v>
      </c>
      <c r="C264" s="43">
        <f t="shared" si="5"/>
        <v>-1.342589385</v>
      </c>
      <c r="D264" s="42">
        <f t="shared" si="6"/>
        <v>-1.164581601</v>
      </c>
      <c r="E264" s="42">
        <f t="shared" si="7"/>
        <v>-0.6085966288</v>
      </c>
      <c r="F264" s="42">
        <f t="shared" si="8"/>
        <v>-0.5847290887</v>
      </c>
      <c r="G264" s="42">
        <f t="shared" si="9"/>
        <v>-0.6155173428</v>
      </c>
      <c r="H264" s="42">
        <f t="shared" si="10"/>
        <v>-0.2167130591</v>
      </c>
      <c r="I264" s="42">
        <f>UpdateHashtag!S262</f>
        <v>5.8</v>
      </c>
      <c r="J264" s="47">
        <f t="shared" si="11"/>
        <v>-0.3109740623</v>
      </c>
      <c r="K264" s="48">
        <f>UpdateHashtag!T262</f>
        <v>2.2</v>
      </c>
      <c r="L264" s="42">
        <f t="shared" si="12"/>
        <v>-0.7426238329</v>
      </c>
      <c r="N264" s="100">
        <f t="shared" si="13"/>
        <v>256</v>
      </c>
      <c r="O264" s="94" t="str">
        <f t="array" ref="O264">INDIRECT("Update"&amp;Projections!$AH$17&amp;"!B"&amp;ROW(B245))</f>
        <v/>
      </c>
      <c r="P264" s="101" t="str">
        <f t="array" ref="P264">INDIRECT("Update"&amp;Projections!$AH$17&amp;"!C"&amp;ROW(B245))</f>
        <v>Isaiah Joe</v>
      </c>
      <c r="Q264" s="94">
        <f>UpdateBBM!F245</f>
        <v>71</v>
      </c>
      <c r="R264" s="105" t="str">
        <f t="array" ref="R264">INDIRECT("Update"&amp;Projections!$AH$17&amp;"!D"&amp;ROW(B245))</f>
        <v>PG,SG</v>
      </c>
      <c r="S264" s="73">
        <f t="shared" si="14"/>
        <v>-4.65661923</v>
      </c>
      <c r="T264" s="73">
        <f>SUM(AE264:AM264)-IFERROR(IFS(Projections!$I$17,AN264,Projections!$J$17,AO264),"")</f>
        <v>-4.65661923</v>
      </c>
      <c r="U264" s="73">
        <f t="shared" si="15"/>
        <v>0</v>
      </c>
      <c r="V264" s="73">
        <f t="array" ref="V264">INDIRECT("Update"&amp;Projections!$AH$17&amp;"!M"&amp;ROW(B245))</f>
        <v>8.5</v>
      </c>
      <c r="W264" s="73">
        <f t="array" ref="W264">INDIRECT("Update"&amp;Projections!$AH$17&amp;"!L"&amp;ROW(B245))</f>
        <v>2</v>
      </c>
      <c r="X264" s="73">
        <f t="array" ref="X264">INDIRECT("Update"&amp;Projections!$AH$17&amp;"!N"&amp;ROW(B245))</f>
        <v>2.3</v>
      </c>
      <c r="Y264" s="73">
        <f t="array" ref="Y264">INDIRECT("Update"&amp;Projections!$AH$17&amp;"!O"&amp;ROW(B245))</f>
        <v>1.2</v>
      </c>
      <c r="Z264" s="73">
        <f t="array" ref="Z264">INDIRECT("Update"&amp;Projections!$AH$17&amp;"!P"&amp;ROW(B245))</f>
        <v>0.6</v>
      </c>
      <c r="AA264" s="73">
        <f t="array" ref="AA264">INDIRECT("Update"&amp;Projections!$AH$17&amp;"!Q"&amp;ROW(B245))</f>
        <v>0.2</v>
      </c>
      <c r="AB264" s="107">
        <f t="array" ref="AB264">INDIRECT("Update"&amp;Projections!$AH$17&amp;"!I"&amp;ROW(B245))</f>
        <v>0.449</v>
      </c>
      <c r="AC264" s="107">
        <f t="array" ref="AC264">INDIRECT("Update"&amp;Projections!$AH$17&amp;"!K"&amp;ROW(B245))</f>
        <v>0.827</v>
      </c>
      <c r="AD264" s="73">
        <f t="array" ref="AD264">INDIRECT("Update"&amp;Projections!$AH$17&amp;"!R"&amp;ROW(B245))</f>
        <v>0.6</v>
      </c>
      <c r="AE264" s="73">
        <f t="shared" si="16"/>
        <v>-1.619850454</v>
      </c>
      <c r="AF264" s="73">
        <f t="shared" si="17"/>
        <v>0.2497993996</v>
      </c>
      <c r="AG264" s="73">
        <f t="shared" si="18"/>
        <v>-1.47839257</v>
      </c>
      <c r="AH264" s="73">
        <f t="shared" si="19"/>
        <v>-1.246461415</v>
      </c>
      <c r="AI264" s="73">
        <f t="shared" si="20"/>
        <v>-1.248594445</v>
      </c>
      <c r="AJ264" s="73">
        <f t="shared" si="21"/>
        <v>-0.9723047469</v>
      </c>
      <c r="AK264" s="73">
        <f t="shared" si="22"/>
        <v>-0.359144545</v>
      </c>
      <c r="AL264" s="73">
        <f t="shared" si="23"/>
        <v>0.1136302798</v>
      </c>
      <c r="AM264" s="73">
        <f t="shared" si="24"/>
        <v>0.2848488121</v>
      </c>
      <c r="AN264" s="120">
        <f t="shared" si="25"/>
        <v>-1.619850454</v>
      </c>
      <c r="AO264" s="120">
        <f t="shared" si="26"/>
        <v>-3.098243024</v>
      </c>
      <c r="AP264" s="120">
        <f t="array" ref="AP264">INDIRECT("Update"&amp;Projections!$AH$17&amp;"!S"&amp;ROW(B245))</f>
        <v>6.4</v>
      </c>
      <c r="AQ264" s="120">
        <f t="array" ref="AQ264">INDIRECT("Update"&amp;Projections!$AH$17&amp;"!T"&amp;ROW(B245))</f>
        <v>1</v>
      </c>
      <c r="AR264" s="100">
        <f t="shared" si="27"/>
        <v>-4.393682445</v>
      </c>
    </row>
    <row r="265">
      <c r="A265" s="40" t="str">
        <f t="shared" si="3"/>
        <v>Gary Payton II</v>
      </c>
      <c r="B265" s="42">
        <f t="shared" si="4"/>
        <v>-2.270183325</v>
      </c>
      <c r="C265" s="43">
        <f t="shared" si="5"/>
        <v>-1.243065086</v>
      </c>
      <c r="D265" s="42">
        <f t="shared" si="6"/>
        <v>-1.360713457</v>
      </c>
      <c r="E265" s="42">
        <f t="shared" si="7"/>
        <v>-1.292023185</v>
      </c>
      <c r="F265" s="42">
        <f t="shared" si="8"/>
        <v>-0.2527964105</v>
      </c>
      <c r="G265" s="42">
        <f t="shared" si="9"/>
        <v>-0.7939110449</v>
      </c>
      <c r="H265" s="42">
        <f t="shared" si="10"/>
        <v>0.3169431982</v>
      </c>
      <c r="I265" s="42">
        <f>UpdateHashtag!S263</f>
        <v>3.6</v>
      </c>
      <c r="J265" s="47">
        <f t="shared" si="11"/>
        <v>-0.1712826954</v>
      </c>
      <c r="K265" s="48">
        <f>UpdateHashtag!T263</f>
        <v>0.4</v>
      </c>
      <c r="L265" s="42">
        <f t="shared" si="12"/>
        <v>-1.139395249</v>
      </c>
      <c r="N265" s="100">
        <f t="shared" si="13"/>
        <v>241</v>
      </c>
      <c r="O265" s="94" t="str">
        <f t="array" ref="O265">INDIRECT("Update"&amp;Projections!$AH$17&amp;"!B"&amp;ROW(B246))</f>
        <v/>
      </c>
      <c r="P265" s="101" t="str">
        <f t="array" ref="P265">INDIRECT("Update"&amp;Projections!$AH$17&amp;"!C"&amp;ROW(B246))</f>
        <v>Naji Marshall</v>
      </c>
      <c r="Q265" s="94">
        <f>UpdateBBM!F246</f>
        <v>50</v>
      </c>
      <c r="R265" s="105" t="str">
        <f t="array" ref="R265">INDIRECT("Update"&amp;Projections!$AH$17&amp;"!D"&amp;ROW(B246))</f>
        <v>SG,SF</v>
      </c>
      <c r="S265" s="73">
        <f t="shared" si="14"/>
        <v>-4.346513913</v>
      </c>
      <c r="T265" s="73">
        <f>SUM(AE265:AM265)-IFERROR(IFS(Projections!$I$17,AN265,Projections!$J$17,AO265),"")</f>
        <v>-4.346513913</v>
      </c>
      <c r="U265" s="73">
        <f t="shared" si="15"/>
        <v>0</v>
      </c>
      <c r="V265" s="73">
        <f t="array" ref="V265">INDIRECT("Update"&amp;Projections!$AH$17&amp;"!M"&amp;ROW(B246))</f>
        <v>8.5</v>
      </c>
      <c r="W265" s="73">
        <f t="array" ref="W265">INDIRECT("Update"&amp;Projections!$AH$17&amp;"!L"&amp;ROW(B246))</f>
        <v>0.9</v>
      </c>
      <c r="X265" s="73">
        <f t="array" ref="X265">INDIRECT("Update"&amp;Projections!$AH$17&amp;"!N"&amp;ROW(B246))</f>
        <v>3.8</v>
      </c>
      <c r="Y265" s="73">
        <f t="array" ref="Y265">INDIRECT("Update"&amp;Projections!$AH$17&amp;"!O"&amp;ROW(B246))</f>
        <v>2.3</v>
      </c>
      <c r="Z265" s="73">
        <f t="array" ref="Z265">INDIRECT("Update"&amp;Projections!$AH$17&amp;"!P"&amp;ROW(B246))</f>
        <v>0.8</v>
      </c>
      <c r="AA265" s="73">
        <f t="array" ref="AA265">INDIRECT("Update"&amp;Projections!$AH$17&amp;"!Q"&amp;ROW(B246))</f>
        <v>0.2</v>
      </c>
      <c r="AB265" s="107">
        <f t="array" ref="AB265">INDIRECT("Update"&amp;Projections!$AH$17&amp;"!I"&amp;ROW(B246))</f>
        <v>0.446</v>
      </c>
      <c r="AC265" s="107">
        <f t="array" ref="AC265">INDIRECT("Update"&amp;Projections!$AH$17&amp;"!K"&amp;ROW(B246))</f>
        <v>0.789</v>
      </c>
      <c r="AD265" s="73">
        <f t="array" ref="AD265">INDIRECT("Update"&amp;Projections!$AH$17&amp;"!R"&amp;ROW(B246))</f>
        <v>1.2</v>
      </c>
      <c r="AE265" s="73">
        <f t="shared" si="16"/>
        <v>-1.619850454</v>
      </c>
      <c r="AF265" s="73">
        <f t="shared" si="17"/>
        <v>-0.8449678898</v>
      </c>
      <c r="AG265" s="73">
        <f t="shared" si="18"/>
        <v>-0.8899970031</v>
      </c>
      <c r="AH265" s="73">
        <f t="shared" si="19"/>
        <v>-0.74528194</v>
      </c>
      <c r="AI265" s="73">
        <f t="shared" si="20"/>
        <v>-0.5847290887</v>
      </c>
      <c r="AJ265" s="73">
        <f t="shared" si="21"/>
        <v>-0.9723047469</v>
      </c>
      <c r="AK265" s="73">
        <f t="shared" si="22"/>
        <v>-0.4054998977</v>
      </c>
      <c r="AL265" s="73">
        <f t="shared" si="23"/>
        <v>-0.03979287838</v>
      </c>
      <c r="AM265" s="73">
        <f t="shared" si="24"/>
        <v>0.1360595313</v>
      </c>
      <c r="AN265" s="120">
        <f t="shared" si="25"/>
        <v>-1.619850454</v>
      </c>
      <c r="AO265" s="120">
        <f t="shared" si="26"/>
        <v>-2.592155201</v>
      </c>
      <c r="AP265" s="120">
        <f t="array" ref="AP265">INDIRECT("Update"&amp;Projections!$AH$17&amp;"!S"&amp;ROW(B246))</f>
        <v>6.8</v>
      </c>
      <c r="AQ265" s="120">
        <f t="array" ref="AQ265">INDIRECT("Update"&amp;Projections!$AH$17&amp;"!T"&amp;ROW(B246))</f>
        <v>1.9</v>
      </c>
      <c r="AR265" s="100">
        <f t="shared" si="27"/>
        <v>-4.399685378</v>
      </c>
    </row>
    <row r="266">
      <c r="A266" s="40" t="str">
        <f t="shared" si="3"/>
        <v>Matas Buzelis</v>
      </c>
      <c r="B266" s="42">
        <f t="shared" si="4"/>
        <v>-1.818563276</v>
      </c>
      <c r="C266" s="43">
        <f t="shared" si="5"/>
        <v>-1.243065086</v>
      </c>
      <c r="D266" s="42">
        <f t="shared" si="6"/>
        <v>-0.850770632</v>
      </c>
      <c r="E266" s="42">
        <f t="shared" si="7"/>
        <v>-1.292023185</v>
      </c>
      <c r="F266" s="42">
        <f t="shared" si="8"/>
        <v>-1.580527123</v>
      </c>
      <c r="G266" s="42">
        <f t="shared" si="9"/>
        <v>0.8116322736</v>
      </c>
      <c r="H266" s="42">
        <f t="shared" si="10"/>
        <v>-0.3975302915</v>
      </c>
      <c r="I266" s="42">
        <f>UpdateHashtag!S264</f>
        <v>6.8</v>
      </c>
      <c r="J266" s="47">
        <f t="shared" si="11"/>
        <v>-0.4968492779</v>
      </c>
      <c r="K266" s="48">
        <f>UpdateHashtag!T264</f>
        <v>1.2</v>
      </c>
      <c r="L266" s="42">
        <f t="shared" si="12"/>
        <v>-0.4450452712</v>
      </c>
      <c r="N266" s="100">
        <f t="shared" si="13"/>
        <v>239</v>
      </c>
      <c r="O266" s="94" t="str">
        <f t="array" ref="O266">INDIRECT("Update"&amp;Projections!$AH$17&amp;"!B"&amp;ROW(B247))</f>
        <v/>
      </c>
      <c r="P266" s="101" t="str">
        <f t="array" ref="P266">INDIRECT("Update"&amp;Projections!$AH$17&amp;"!C"&amp;ROW(B247))</f>
        <v>Carlton Carrington</v>
      </c>
      <c r="Q266" s="94">
        <f>UpdateBBM!F247</f>
        <v>46</v>
      </c>
      <c r="R266" s="105" t="str">
        <f t="array" ref="R266">INDIRECT("Update"&amp;Projections!$AH$17&amp;"!D"&amp;ROW(B247))</f>
        <v>PG</v>
      </c>
      <c r="S266" s="73">
        <f t="shared" si="14"/>
        <v>-4.291558061</v>
      </c>
      <c r="T266" s="73">
        <f>SUM(AE266:AM266)-IFERROR(IFS(Projections!$I$17,AN266,Projections!$J$17,AO266),"")</f>
        <v>-4.291558061</v>
      </c>
      <c r="U266" s="73">
        <f t="shared" si="15"/>
        <v>0</v>
      </c>
      <c r="V266" s="73">
        <f t="array" ref="V266">INDIRECT("Update"&amp;Projections!$AH$17&amp;"!M"&amp;ROW(B247))</f>
        <v>11</v>
      </c>
      <c r="W266" s="73">
        <f t="array" ref="W266">INDIRECT("Update"&amp;Projections!$AH$17&amp;"!L"&amp;ROW(B247))</f>
        <v>1.6</v>
      </c>
      <c r="X266" s="73">
        <f t="array" ref="X266">INDIRECT("Update"&amp;Projections!$AH$17&amp;"!N"&amp;ROW(B247))</f>
        <v>4.1</v>
      </c>
      <c r="Y266" s="73">
        <f t="array" ref="Y266">INDIRECT("Update"&amp;Projections!$AH$17&amp;"!O"&amp;ROW(B247))</f>
        <v>3.3</v>
      </c>
      <c r="Z266" s="73">
        <f t="array" ref="Z266">INDIRECT("Update"&amp;Projections!$AH$17&amp;"!P"&amp;ROW(B247))</f>
        <v>0.5</v>
      </c>
      <c r="AA266" s="73">
        <f t="array" ref="AA266">INDIRECT("Update"&amp;Projections!$AH$17&amp;"!Q"&amp;ROW(B247))</f>
        <v>0.2</v>
      </c>
      <c r="AB266" s="107">
        <f t="array" ref="AB266">INDIRECT("Update"&amp;Projections!$AH$17&amp;"!I"&amp;ROW(B247))</f>
        <v>0.412</v>
      </c>
      <c r="AC266" s="107">
        <f t="array" ref="AC266">INDIRECT("Update"&amp;Projections!$AH$17&amp;"!K"&amp;ROW(B247))</f>
        <v>0.785</v>
      </c>
      <c r="AD266" s="73">
        <f t="array" ref="AD266">INDIRECT("Update"&amp;Projections!$AH$17&amp;"!R"&amp;ROW(B247))</f>
        <v>1.5</v>
      </c>
      <c r="AE266" s="73">
        <f t="shared" si="16"/>
        <v>-1.168230405</v>
      </c>
      <c r="AF266" s="73">
        <f t="shared" si="17"/>
        <v>-0.1482977966</v>
      </c>
      <c r="AG266" s="73">
        <f t="shared" si="18"/>
        <v>-0.7723178898</v>
      </c>
      <c r="AH266" s="73">
        <f t="shared" si="19"/>
        <v>-0.2896642358</v>
      </c>
      <c r="AI266" s="73">
        <f t="shared" si="20"/>
        <v>-1.580527123</v>
      </c>
      <c r="AJ266" s="73">
        <f t="shared" si="21"/>
        <v>-0.9723047469</v>
      </c>
      <c r="AK266" s="73">
        <f t="shared" si="22"/>
        <v>-0.9251674315</v>
      </c>
      <c r="AL266" s="73">
        <f t="shared" si="23"/>
        <v>-0.07724044654</v>
      </c>
      <c r="AM266" s="73">
        <f t="shared" si="24"/>
        <v>0.06166489084</v>
      </c>
      <c r="AN266" s="120">
        <f t="shared" si="25"/>
        <v>-1.580527123</v>
      </c>
      <c r="AO266" s="120">
        <f t="shared" si="26"/>
        <v>-2.748757528</v>
      </c>
      <c r="AP266" s="120">
        <f t="array" ref="AP266">INDIRECT("Update"&amp;Projections!$AH$17&amp;"!S"&amp;ROW(B247))</f>
        <v>9.3</v>
      </c>
      <c r="AQ266" s="120">
        <f t="array" ref="AQ266">INDIRECT("Update"&amp;Projections!$AH$17&amp;"!T"&amp;ROW(B247))</f>
        <v>2.2</v>
      </c>
      <c r="AR266" s="100">
        <f t="shared" si="27"/>
        <v>-4.416537833</v>
      </c>
    </row>
    <row r="267">
      <c r="A267" s="40" t="str">
        <f t="shared" si="3"/>
        <v>Jonathan Mogbo</v>
      </c>
      <c r="B267" s="42">
        <f t="shared" si="4"/>
        <v>-2.125664909</v>
      </c>
      <c r="C267" s="43">
        <f t="shared" si="5"/>
        <v>-1.740686581</v>
      </c>
      <c r="D267" s="42">
        <f t="shared" si="6"/>
        <v>-0.7723178898</v>
      </c>
      <c r="E267" s="42">
        <f t="shared" si="7"/>
        <v>-1.109776103</v>
      </c>
      <c r="F267" s="42">
        <f t="shared" si="8"/>
        <v>-1.248594445</v>
      </c>
      <c r="G267" s="42">
        <f t="shared" si="9"/>
        <v>-0.7939110449</v>
      </c>
      <c r="H267" s="42">
        <f t="shared" si="10"/>
        <v>0.6151281725</v>
      </c>
      <c r="I267" s="42">
        <f>UpdateHashtag!S265</f>
        <v>3.8</v>
      </c>
      <c r="J267" s="47">
        <f t="shared" si="11"/>
        <v>-0.4161049379</v>
      </c>
      <c r="K267" s="48">
        <f>UpdateHashtag!T265</f>
        <v>1.2</v>
      </c>
      <c r="L267" s="42">
        <f t="shared" si="12"/>
        <v>-1.040202395</v>
      </c>
      <c r="N267" s="100">
        <f t="shared" si="13"/>
        <v>247</v>
      </c>
      <c r="O267" s="94" t="str">
        <f t="array" ref="O267">INDIRECT("Update"&amp;Projections!$AH$17&amp;"!B"&amp;ROW(B248))</f>
        <v/>
      </c>
      <c r="P267" s="101" t="str">
        <f t="array" ref="P267">INDIRECT("Update"&amp;Projections!$AH$17&amp;"!C"&amp;ROW(B248))</f>
        <v>Bones Hyland</v>
      </c>
      <c r="Q267" s="94">
        <f>UpdateBBM!F248</f>
        <v>71</v>
      </c>
      <c r="R267" s="105" t="str">
        <f t="array" ref="R267">INDIRECT("Update"&amp;Projections!$AH$17&amp;"!D"&amp;ROW(B248))</f>
        <v>PG,SG</v>
      </c>
      <c r="S267" s="73">
        <f t="shared" si="14"/>
        <v>-4.42037295</v>
      </c>
      <c r="T267" s="73">
        <f>SUM(AE267:AM267)-IFERROR(IFS(Projections!$I$17,AN267,Projections!$J$17,AO267),"")</f>
        <v>-4.42037295</v>
      </c>
      <c r="U267" s="73">
        <f t="shared" si="15"/>
        <v>0</v>
      </c>
      <c r="V267" s="73">
        <f t="array" ref="V267">INDIRECT("Update"&amp;Projections!$AH$17&amp;"!M"&amp;ROW(B248))</f>
        <v>10.2</v>
      </c>
      <c r="W267" s="73">
        <f t="array" ref="W267">INDIRECT("Update"&amp;Projections!$AH$17&amp;"!L"&amp;ROW(B248))</f>
        <v>1.8</v>
      </c>
      <c r="X267" s="73">
        <f t="array" ref="X267">INDIRECT("Update"&amp;Projections!$AH$17&amp;"!N"&amp;ROW(B248))</f>
        <v>2.1</v>
      </c>
      <c r="Y267" s="73">
        <f t="array" ref="Y267">INDIRECT("Update"&amp;Projections!$AH$17&amp;"!O"&amp;ROW(B248))</f>
        <v>3</v>
      </c>
      <c r="Z267" s="73">
        <f t="array" ref="Z267">INDIRECT("Update"&amp;Projections!$AH$17&amp;"!P"&amp;ROW(B248))</f>
        <v>0.7</v>
      </c>
      <c r="AA267" s="73">
        <f t="array" ref="AA267">INDIRECT("Update"&amp;Projections!$AH$17&amp;"!Q"&amp;ROW(B248))</f>
        <v>0.2</v>
      </c>
      <c r="AB267" s="107">
        <f t="array" ref="AB267">INDIRECT("Update"&amp;Projections!$AH$17&amp;"!I"&amp;ROW(B248))</f>
        <v>0.395</v>
      </c>
      <c r="AC267" s="107">
        <f t="array" ref="AC267">INDIRECT("Update"&amp;Projections!$AH$17&amp;"!K"&amp;ROW(B248))</f>
        <v>0.829</v>
      </c>
      <c r="AD267" s="73">
        <f t="array" ref="AD267">INDIRECT("Update"&amp;Projections!$AH$17&amp;"!R"&amp;ROW(B248))</f>
        <v>1.4</v>
      </c>
      <c r="AE267" s="73">
        <f t="shared" si="16"/>
        <v>-1.312748821</v>
      </c>
      <c r="AF267" s="73">
        <f t="shared" si="17"/>
        <v>0.05075080149</v>
      </c>
      <c r="AG267" s="73">
        <f t="shared" si="18"/>
        <v>-1.556845312</v>
      </c>
      <c r="AH267" s="73">
        <f t="shared" si="19"/>
        <v>-0.4263495471</v>
      </c>
      <c r="AI267" s="73">
        <f t="shared" si="20"/>
        <v>-0.9166617668</v>
      </c>
      <c r="AJ267" s="73">
        <f t="shared" si="21"/>
        <v>-0.9723047469</v>
      </c>
      <c r="AK267" s="73">
        <f t="shared" si="22"/>
        <v>-1.098520338</v>
      </c>
      <c r="AL267" s="73">
        <f t="shared" si="23"/>
        <v>0.1689983633</v>
      </c>
      <c r="AM267" s="73">
        <f t="shared" si="24"/>
        <v>0.08646310432</v>
      </c>
      <c r="AN267" s="120">
        <f t="shared" si="25"/>
        <v>-1.556845312</v>
      </c>
      <c r="AO267" s="120">
        <f t="shared" si="26"/>
        <v>-2.869594133</v>
      </c>
      <c r="AP267" s="120">
        <f t="array" ref="AP267">INDIRECT("Update"&amp;Projections!$AH$17&amp;"!S"&amp;ROW(B248))</f>
        <v>9.2</v>
      </c>
      <c r="AQ267" s="120">
        <f t="array" ref="AQ267">INDIRECT("Update"&amp;Projections!$AH$17&amp;"!T"&amp;ROW(B248))</f>
        <v>1.4</v>
      </c>
      <c r="AR267" s="100">
        <f t="shared" si="27"/>
        <v>-4.42037295</v>
      </c>
    </row>
    <row r="268">
      <c r="A268" s="40" t="str">
        <f t="shared" si="3"/>
        <v>Moses Moody</v>
      </c>
      <c r="B268" s="42">
        <f t="shared" si="4"/>
        <v>-1.619850454</v>
      </c>
      <c r="C268" s="43">
        <f t="shared" si="5"/>
        <v>-0.5463949927</v>
      </c>
      <c r="D268" s="42">
        <f t="shared" si="6"/>
        <v>-1.164581601</v>
      </c>
      <c r="E268" s="42">
        <f t="shared" si="7"/>
        <v>-1.292023185</v>
      </c>
      <c r="F268" s="42">
        <f t="shared" si="8"/>
        <v>-1.248594445</v>
      </c>
      <c r="G268" s="42">
        <f t="shared" si="9"/>
        <v>-0.7939110449</v>
      </c>
      <c r="H268" s="42">
        <f t="shared" si="10"/>
        <v>-0.2388693095</v>
      </c>
      <c r="I268" s="42">
        <f>UpdateHashtag!S266</f>
        <v>6.6</v>
      </c>
      <c r="J268" s="47">
        <f t="shared" si="11"/>
        <v>-0.2014035145</v>
      </c>
      <c r="K268" s="48">
        <f>UpdateHashtag!T266</f>
        <v>1.5</v>
      </c>
      <c r="L268" s="42">
        <f t="shared" si="12"/>
        <v>-0.9410095407</v>
      </c>
      <c r="N268" s="100">
        <f t="shared" si="13"/>
        <v>258</v>
      </c>
      <c r="O268" s="94" t="str">
        <f t="array" ref="O268">INDIRECT("Update"&amp;Projections!$AH$17&amp;"!B"&amp;ROW(B249))</f>
        <v/>
      </c>
      <c r="P268" s="101" t="str">
        <f t="array" ref="P268">INDIRECT("Update"&amp;Projections!$AH$17&amp;"!C"&amp;ROW(B249))</f>
        <v>GG Jackson II</v>
      </c>
      <c r="Q268" s="94">
        <f>UpdateBBM!F249</f>
        <v>66</v>
      </c>
      <c r="R268" s="105" t="str">
        <f t="array" ref="R268">INDIRECT("Update"&amp;Projections!$AH$17&amp;"!D"&amp;ROW(B249))</f>
        <v>SF,PF</v>
      </c>
      <c r="S268" s="73">
        <f t="shared" si="14"/>
        <v>-4.669846808</v>
      </c>
      <c r="T268" s="73">
        <f>SUM(AE268:AM268)-IFERROR(IFS(Projections!$I$17,AN268,Projections!$J$17,AO268),"")</f>
        <v>-4.669846808</v>
      </c>
      <c r="U268" s="73">
        <f t="shared" si="15"/>
        <v>0</v>
      </c>
      <c r="V268" s="73">
        <f t="array" ref="V268">INDIRECT("Update"&amp;Projections!$AH$17&amp;"!M"&amp;ROW(B249))</f>
        <v>12.9</v>
      </c>
      <c r="W268" s="73">
        <f t="array" ref="W268">INDIRECT("Update"&amp;Projections!$AH$17&amp;"!L"&amp;ROW(B249))</f>
        <v>1.9</v>
      </c>
      <c r="X268" s="73">
        <f t="array" ref="X268">INDIRECT("Update"&amp;Projections!$AH$17&amp;"!N"&amp;ROW(B249))</f>
        <v>3.6</v>
      </c>
      <c r="Y268" s="73">
        <f t="array" ref="Y268">INDIRECT("Update"&amp;Projections!$AH$17&amp;"!O"&amp;ROW(B249))</f>
        <v>1.1</v>
      </c>
      <c r="Z268" s="73">
        <f t="array" ref="Z268">INDIRECT("Update"&amp;Projections!$AH$17&amp;"!P"&amp;ROW(B249))</f>
        <v>0.5</v>
      </c>
      <c r="AA268" s="73">
        <f t="array" ref="AA268">INDIRECT("Update"&amp;Projections!$AH$17&amp;"!Q"&amp;ROW(B249))</f>
        <v>0.4</v>
      </c>
      <c r="AB268" s="107">
        <f t="array" ref="AB268">INDIRECT("Update"&amp;Projections!$AH$17&amp;"!I"&amp;ROW(B249))</f>
        <v>0.428</v>
      </c>
      <c r="AC268" s="107">
        <f t="array" ref="AC268">INDIRECT("Update"&amp;Projections!$AH$17&amp;"!K"&amp;ROW(B249))</f>
        <v>0.753</v>
      </c>
      <c r="AD268" s="73">
        <f t="array" ref="AD268">INDIRECT("Update"&amp;Projections!$AH$17&amp;"!R"&amp;ROW(B249))</f>
        <v>1.2</v>
      </c>
      <c r="AE268" s="73">
        <f t="shared" si="16"/>
        <v>-0.8249991678</v>
      </c>
      <c r="AF268" s="73">
        <f t="shared" si="17"/>
        <v>0.1502751005</v>
      </c>
      <c r="AG268" s="73">
        <f t="shared" si="18"/>
        <v>-0.9684497454</v>
      </c>
      <c r="AH268" s="73">
        <f t="shared" si="19"/>
        <v>-1.292023185</v>
      </c>
      <c r="AI268" s="73">
        <f t="shared" si="20"/>
        <v>-1.580527123</v>
      </c>
      <c r="AJ268" s="73">
        <f t="shared" si="21"/>
        <v>-0.6155173428</v>
      </c>
      <c r="AK268" s="73">
        <f t="shared" si="22"/>
        <v>-0.8395748853</v>
      </c>
      <c r="AL268" s="73">
        <f t="shared" si="23"/>
        <v>-0.4156171134</v>
      </c>
      <c r="AM268" s="73">
        <f t="shared" si="24"/>
        <v>0.1360595313</v>
      </c>
      <c r="AN268" s="120">
        <f t="shared" si="25"/>
        <v>-1.580527123</v>
      </c>
      <c r="AO268" s="120">
        <f t="shared" si="26"/>
        <v>-2.872550308</v>
      </c>
      <c r="AP268" s="120">
        <f t="array" ref="AP268">INDIRECT("Update"&amp;Projections!$AH$17&amp;"!S"&amp;ROW(B249))</f>
        <v>10.4</v>
      </c>
      <c r="AQ268" s="120">
        <f t="array" ref="AQ268">INDIRECT("Update"&amp;Projections!$AH$17&amp;"!T"&amp;ROW(B249))</f>
        <v>2.8</v>
      </c>
      <c r="AR268" s="100">
        <f t="shared" si="27"/>
        <v>-4.422981201</v>
      </c>
    </row>
    <row r="269">
      <c r="A269" s="40" t="str">
        <f t="shared" si="3"/>
        <v>Killian Hayes</v>
      </c>
      <c r="B269" s="42">
        <f t="shared" si="4"/>
        <v>-1.890822484</v>
      </c>
      <c r="C269" s="43">
        <f t="shared" si="5"/>
        <v>-1.044016488</v>
      </c>
      <c r="D269" s="42">
        <f t="shared" si="6"/>
        <v>-1.517618941</v>
      </c>
      <c r="E269" s="42">
        <f t="shared" si="7"/>
        <v>0.2115152388</v>
      </c>
      <c r="F269" s="42">
        <f t="shared" si="8"/>
        <v>-0.2527964105</v>
      </c>
      <c r="G269" s="42">
        <f t="shared" si="9"/>
        <v>-0.7939110449</v>
      </c>
      <c r="H269" s="42">
        <f t="shared" si="10"/>
        <v>-0.9440956343</v>
      </c>
      <c r="I269" s="42">
        <f>UpdateHashtag!S267</f>
        <v>7.2</v>
      </c>
      <c r="J269" s="47">
        <f t="shared" si="11"/>
        <v>-0.1204269888</v>
      </c>
      <c r="K269" s="48">
        <f>UpdateHashtag!T267</f>
        <v>1.1</v>
      </c>
      <c r="L269" s="42">
        <f t="shared" si="12"/>
        <v>-0.2466595634</v>
      </c>
      <c r="N269" s="100">
        <f t="shared" si="13"/>
        <v>276</v>
      </c>
      <c r="O269" s="94" t="str">
        <f t="array" ref="O269">INDIRECT("Update"&amp;Projections!$AH$17&amp;"!B"&amp;ROW(B250))</f>
        <v/>
      </c>
      <c r="P269" s="101" t="str">
        <f t="array" ref="P269">INDIRECT("Update"&amp;Projections!$AH$17&amp;"!C"&amp;ROW(B250))</f>
        <v>Neemias Queta</v>
      </c>
      <c r="Q269" s="94">
        <f>UpdateBBM!F250</f>
        <v>71</v>
      </c>
      <c r="R269" s="105" t="str">
        <f t="array" ref="R269">INDIRECT("Update"&amp;Projections!$AH$17&amp;"!D"&amp;ROW(B250))</f>
        <v>C</v>
      </c>
      <c r="S269" s="73">
        <f t="shared" si="14"/>
        <v>-5.098301306</v>
      </c>
      <c r="T269" s="73">
        <f>SUM(AE269:AM269)-IFERROR(IFS(Projections!$I$17,AN269,Projections!$J$17,AO269),"")</f>
        <v>-5.098301306</v>
      </c>
      <c r="U269" s="73">
        <f t="shared" si="15"/>
        <v>0</v>
      </c>
      <c r="V269" s="73">
        <f t="array" ref="V269">INDIRECT("Update"&amp;Projections!$AH$17&amp;"!M"&amp;ROW(B250))</f>
        <v>5.6</v>
      </c>
      <c r="W269" s="73">
        <f t="array" ref="W269">INDIRECT("Update"&amp;Projections!$AH$17&amp;"!L"&amp;ROW(B250))</f>
        <v>0</v>
      </c>
      <c r="X269" s="73">
        <f t="array" ref="X269">INDIRECT("Update"&amp;Projections!$AH$17&amp;"!N"&amp;ROW(B250))</f>
        <v>4.5</v>
      </c>
      <c r="Y269" s="73">
        <f t="array" ref="Y269">INDIRECT("Update"&amp;Projections!$AH$17&amp;"!O"&amp;ROW(B250))</f>
        <v>0.7</v>
      </c>
      <c r="Z269" s="73">
        <f t="array" ref="Z269">INDIRECT("Update"&amp;Projections!$AH$17&amp;"!P"&amp;ROW(B250))</f>
        <v>0.4</v>
      </c>
      <c r="AA269" s="73">
        <f t="array" ref="AA269">INDIRECT("Update"&amp;Projections!$AH$17&amp;"!Q"&amp;ROW(B250))</f>
        <v>0.8</v>
      </c>
      <c r="AB269" s="107">
        <f t="array" ref="AB269">INDIRECT("Update"&amp;Projections!$AH$17&amp;"!I"&amp;ROW(B250))</f>
        <v>0.647</v>
      </c>
      <c r="AC269" s="107">
        <f t="array" ref="AC269">INDIRECT("Update"&amp;Projections!$AH$17&amp;"!K"&amp;ROW(B250))</f>
        <v>0.673</v>
      </c>
      <c r="AD269" s="73">
        <f t="array" ref="AD269">INDIRECT("Update"&amp;Projections!$AH$17&amp;"!R"&amp;ROW(B250))</f>
        <v>0.5</v>
      </c>
      <c r="AE269" s="73">
        <f t="shared" si="16"/>
        <v>-2.143729711</v>
      </c>
      <c r="AF269" s="73">
        <f t="shared" si="17"/>
        <v>-1.740686581</v>
      </c>
      <c r="AG269" s="73">
        <f t="shared" si="18"/>
        <v>-0.6154124053</v>
      </c>
      <c r="AH269" s="73">
        <f t="shared" si="19"/>
        <v>-1.474270267</v>
      </c>
      <c r="AI269" s="73">
        <f t="shared" si="20"/>
        <v>-1.912459801</v>
      </c>
      <c r="AJ269" s="73">
        <f t="shared" si="21"/>
        <v>0.09805746537</v>
      </c>
      <c r="AK269" s="73">
        <f t="shared" si="22"/>
        <v>0.6685714142</v>
      </c>
      <c r="AL269" s="73">
        <f t="shared" si="23"/>
        <v>-0.431748157</v>
      </c>
      <c r="AM269" s="73">
        <f t="shared" si="24"/>
        <v>0.3096470256</v>
      </c>
      <c r="AN269" s="120">
        <f t="shared" si="25"/>
        <v>-2.143729711</v>
      </c>
      <c r="AO269" s="120">
        <f t="shared" si="26"/>
        <v>-4.056189512</v>
      </c>
      <c r="AP269" s="120">
        <f t="array" ref="AP269">INDIRECT("Update"&amp;Projections!$AH$17&amp;"!S"&amp;ROW(B250))</f>
        <v>3.8</v>
      </c>
      <c r="AQ269" s="120">
        <f t="array" ref="AQ269">INDIRECT("Update"&amp;Projections!$AH$17&amp;"!T"&amp;ROW(B250))</f>
        <v>1</v>
      </c>
      <c r="AR269" s="100">
        <f t="shared" si="27"/>
        <v>-4.454302313</v>
      </c>
    </row>
    <row r="270">
      <c r="A270" s="40" t="str">
        <f t="shared" si="3"/>
        <v>Quentin Grimes</v>
      </c>
      <c r="B270" s="42">
        <f t="shared" si="4"/>
        <v>-1.67404486</v>
      </c>
      <c r="C270" s="43">
        <f t="shared" si="5"/>
        <v>-0.04877349754</v>
      </c>
      <c r="D270" s="42">
        <f t="shared" si="6"/>
        <v>-1.47839257</v>
      </c>
      <c r="E270" s="42">
        <f t="shared" si="7"/>
        <v>-1.109776103</v>
      </c>
      <c r="F270" s="42">
        <f t="shared" si="8"/>
        <v>-1.248594445</v>
      </c>
      <c r="G270" s="42">
        <f t="shared" si="9"/>
        <v>-0.9723047469</v>
      </c>
      <c r="H270" s="42">
        <f t="shared" si="10"/>
        <v>-0.4786606965</v>
      </c>
      <c r="I270" s="42">
        <f>UpdateHashtag!S268</f>
        <v>6.6</v>
      </c>
      <c r="J270" s="47">
        <f t="shared" si="11"/>
        <v>-0.01031936494</v>
      </c>
      <c r="K270" s="48">
        <f>UpdateHashtag!T268</f>
        <v>1</v>
      </c>
      <c r="L270" s="42">
        <f t="shared" si="12"/>
        <v>-1.040202395</v>
      </c>
      <c r="N270" s="100">
        <f t="shared" si="13"/>
        <v>243</v>
      </c>
      <c r="O270" s="94" t="str">
        <f t="array" ref="O270">INDIRECT("Update"&amp;Projections!$AH$17&amp;"!B"&amp;ROW(B251))</f>
        <v/>
      </c>
      <c r="P270" s="101" t="str">
        <f t="array" ref="P270">INDIRECT("Update"&amp;Projections!$AH$17&amp;"!C"&amp;ROW(B251))</f>
        <v>Scotty Pippen Jr.</v>
      </c>
      <c r="Q270" s="94">
        <f>UpdateBBM!F251</f>
        <v>71</v>
      </c>
      <c r="R270" s="105" t="str">
        <f t="array" ref="R270">INDIRECT("Update"&amp;Projections!$AH$17&amp;"!D"&amp;ROW(B251))</f>
        <v>PG,SG</v>
      </c>
      <c r="S270" s="73">
        <f t="shared" si="14"/>
        <v>-4.377048591</v>
      </c>
      <c r="T270" s="73">
        <f>SUM(AE270:AM270)-IFERROR(IFS(Projections!$I$17,AN270,Projections!$J$17,AO270),"")</f>
        <v>-4.377048591</v>
      </c>
      <c r="U270" s="73">
        <f t="shared" si="15"/>
        <v>0</v>
      </c>
      <c r="V270" s="73">
        <f t="array" ref="V270">INDIRECT("Update"&amp;Projections!$AH$17&amp;"!M"&amp;ROW(B251))</f>
        <v>7.5</v>
      </c>
      <c r="W270" s="73">
        <f t="array" ref="W270">INDIRECT("Update"&amp;Projections!$AH$17&amp;"!L"&amp;ROW(B251))</f>
        <v>0.8</v>
      </c>
      <c r="X270" s="73">
        <f t="array" ref="X270">INDIRECT("Update"&amp;Projections!$AH$17&amp;"!N"&amp;ROW(B251))</f>
        <v>1.9</v>
      </c>
      <c r="Y270" s="73">
        <f t="array" ref="Y270">INDIRECT("Update"&amp;Projections!$AH$17&amp;"!O"&amp;ROW(B251))</f>
        <v>2.6</v>
      </c>
      <c r="Z270" s="73">
        <f t="array" ref="Z270">INDIRECT("Update"&amp;Projections!$AH$17&amp;"!P"&amp;ROW(B251))</f>
        <v>1</v>
      </c>
      <c r="AA270" s="73">
        <f t="array" ref="AA270">INDIRECT("Update"&amp;Projections!$AH$17&amp;"!Q"&amp;ROW(B251))</f>
        <v>0.3</v>
      </c>
      <c r="AB270" s="107">
        <f t="array" ref="AB270">INDIRECT("Update"&amp;Projections!$AH$17&amp;"!I"&amp;ROW(B251))</f>
        <v>0.484</v>
      </c>
      <c r="AC270" s="107">
        <f t="array" ref="AC270">INDIRECT("Update"&amp;Projections!$AH$17&amp;"!K"&amp;ROW(B251))</f>
        <v>0.72</v>
      </c>
      <c r="AD270" s="73">
        <f t="array" ref="AD270">INDIRECT("Update"&amp;Projections!$AH$17&amp;"!R"&amp;ROW(B251))</f>
        <v>1.5</v>
      </c>
      <c r="AE270" s="73">
        <f t="shared" si="16"/>
        <v>-1.800498474</v>
      </c>
      <c r="AF270" s="73">
        <f t="shared" si="17"/>
        <v>-0.9444921888</v>
      </c>
      <c r="AG270" s="73">
        <f t="shared" si="18"/>
        <v>-1.635298055</v>
      </c>
      <c r="AH270" s="73">
        <f t="shared" si="19"/>
        <v>-0.6085966288</v>
      </c>
      <c r="AI270" s="73">
        <f t="shared" si="20"/>
        <v>0.07913626764</v>
      </c>
      <c r="AJ270" s="73">
        <f t="shared" si="21"/>
        <v>-0.7939110449</v>
      </c>
      <c r="AK270" s="73">
        <f t="shared" si="22"/>
        <v>-0.08453929772</v>
      </c>
      <c r="AL270" s="73">
        <f t="shared" si="23"/>
        <v>-0.4510125351</v>
      </c>
      <c r="AM270" s="73">
        <f t="shared" si="24"/>
        <v>0.06166489084</v>
      </c>
      <c r="AN270" s="120">
        <f t="shared" si="25"/>
        <v>-1.800498474</v>
      </c>
      <c r="AO270" s="120">
        <f t="shared" si="26"/>
        <v>-3.435796528</v>
      </c>
      <c r="AP270" s="120">
        <f t="array" ref="AP270">INDIRECT("Update"&amp;Projections!$AH$17&amp;"!S"&amp;ROW(B251))</f>
        <v>5.6</v>
      </c>
      <c r="AQ270" s="120">
        <f t="array" ref="AQ270">INDIRECT("Update"&amp;Projections!$AH$17&amp;"!T"&amp;ROW(B251))</f>
        <v>1.7</v>
      </c>
      <c r="AR270" s="100">
        <f t="shared" si="27"/>
        <v>-4.505338128</v>
      </c>
    </row>
    <row r="271">
      <c r="A271" s="40" t="str">
        <f t="shared" si="3"/>
        <v>Torrey Craig</v>
      </c>
      <c r="B271" s="42">
        <f t="shared" si="4"/>
        <v>-2.125664909</v>
      </c>
      <c r="C271" s="43">
        <f t="shared" si="5"/>
        <v>-0.7454435908</v>
      </c>
      <c r="D271" s="42">
        <f t="shared" si="6"/>
        <v>-0.7723178898</v>
      </c>
      <c r="E271" s="42">
        <f t="shared" si="7"/>
        <v>-1.292023185</v>
      </c>
      <c r="F271" s="42">
        <f t="shared" si="8"/>
        <v>-1.580527123</v>
      </c>
      <c r="G271" s="42">
        <f t="shared" si="9"/>
        <v>-0.4371236408</v>
      </c>
      <c r="H271" s="42">
        <f t="shared" si="10"/>
        <v>-0.2806096175</v>
      </c>
      <c r="I271" s="42">
        <f>UpdateHashtag!S269</f>
        <v>4.8</v>
      </c>
      <c r="J271" s="47">
        <f t="shared" si="11"/>
        <v>-0.1131729443</v>
      </c>
      <c r="K271" s="48">
        <f>UpdateHashtag!T269</f>
        <v>0.5</v>
      </c>
      <c r="L271" s="42">
        <f t="shared" si="12"/>
        <v>-1.040202395</v>
      </c>
      <c r="N271" s="100">
        <f t="shared" si="13"/>
        <v>259</v>
      </c>
      <c r="O271" s="94" t="str">
        <f t="array" ref="O271">INDIRECT("Update"&amp;Projections!$AH$17&amp;"!B"&amp;ROW(B252))</f>
        <v/>
      </c>
      <c r="P271" s="101" t="str">
        <f t="array" ref="P271">INDIRECT("Update"&amp;Projections!$AH$17&amp;"!C"&amp;ROW(B252))</f>
        <v>Brice Sensabaugh</v>
      </c>
      <c r="Q271" s="94">
        <f>UpdateBBM!F252</f>
        <v>52</v>
      </c>
      <c r="R271" s="105" t="str">
        <f t="array" ref="R271">INDIRECT("Update"&amp;Projections!$AH$17&amp;"!D"&amp;ROW(B252))</f>
        <v>SF,PF</v>
      </c>
      <c r="S271" s="73">
        <f t="shared" si="14"/>
        <v>-4.750932211</v>
      </c>
      <c r="T271" s="73">
        <f>SUM(AE271:AM271)-IFERROR(IFS(Projections!$I$17,AN271,Projections!$J$17,AO271),"")</f>
        <v>-4.750932211</v>
      </c>
      <c r="U271" s="73">
        <f t="shared" si="15"/>
        <v>0</v>
      </c>
      <c r="V271" s="73">
        <f t="array" ref="V271">INDIRECT("Update"&amp;Projections!$AH$17&amp;"!M"&amp;ROW(B252))</f>
        <v>9.8</v>
      </c>
      <c r="W271" s="73">
        <f t="array" ref="W271">INDIRECT("Update"&amp;Projections!$AH$17&amp;"!L"&amp;ROW(B252))</f>
        <v>1.4</v>
      </c>
      <c r="X271" s="73">
        <f t="array" ref="X271">INDIRECT("Update"&amp;Projections!$AH$17&amp;"!N"&amp;ROW(B252))</f>
        <v>4.1</v>
      </c>
      <c r="Y271" s="73">
        <f t="array" ref="Y271">INDIRECT("Update"&amp;Projections!$AH$17&amp;"!O"&amp;ROW(B252))</f>
        <v>2.2</v>
      </c>
      <c r="Z271" s="73">
        <f t="array" ref="Z271">INDIRECT("Update"&amp;Projections!$AH$17&amp;"!P"&amp;ROW(B252))</f>
        <v>0.5</v>
      </c>
      <c r="AA271" s="73">
        <f t="array" ref="AA271">INDIRECT("Update"&amp;Projections!$AH$17&amp;"!Q"&amp;ROW(B252))</f>
        <v>0.2</v>
      </c>
      <c r="AB271" s="107">
        <f t="array" ref="AB271">INDIRECT("Update"&amp;Projections!$AH$17&amp;"!I"&amp;ROW(B252))</f>
        <v>0.39</v>
      </c>
      <c r="AC271" s="107">
        <f t="array" ref="AC271">INDIRECT("Update"&amp;Projections!$AH$17&amp;"!K"&amp;ROW(B252))</f>
        <v>0.904</v>
      </c>
      <c r="AD271" s="73">
        <f t="array" ref="AD271">INDIRECT("Update"&amp;Projections!$AH$17&amp;"!R"&amp;ROW(B252))</f>
        <v>1.9</v>
      </c>
      <c r="AE271" s="73">
        <f t="shared" si="16"/>
        <v>-1.385008029</v>
      </c>
      <c r="AF271" s="73">
        <f t="shared" si="17"/>
        <v>-0.3473463946</v>
      </c>
      <c r="AG271" s="73">
        <f t="shared" si="18"/>
        <v>-0.7723178898</v>
      </c>
      <c r="AH271" s="73">
        <f t="shared" si="19"/>
        <v>-0.7908437104</v>
      </c>
      <c r="AI271" s="73">
        <f t="shared" si="20"/>
        <v>-1.580527123</v>
      </c>
      <c r="AJ271" s="73">
        <f t="shared" si="21"/>
        <v>-0.9723047469</v>
      </c>
      <c r="AK271" s="73">
        <f t="shared" si="22"/>
        <v>-1.102326624</v>
      </c>
      <c r="AL271" s="73">
        <f t="shared" si="23"/>
        <v>0.656743147</v>
      </c>
      <c r="AM271" s="73">
        <f t="shared" si="24"/>
        <v>-0.03752796306</v>
      </c>
      <c r="AN271" s="120">
        <f t="shared" si="25"/>
        <v>-1.580527123</v>
      </c>
      <c r="AO271" s="120">
        <f t="shared" si="26"/>
        <v>-2.965535152</v>
      </c>
      <c r="AP271" s="120">
        <f t="array" ref="AP271">INDIRECT("Update"&amp;Projections!$AH$17&amp;"!S"&amp;ROW(B252))</f>
        <v>8.8</v>
      </c>
      <c r="AQ271" s="120">
        <f t="array" ref="AQ271">INDIRECT("Update"&amp;Projections!$AH$17&amp;"!T"&amp;ROW(B252))</f>
        <v>1.7</v>
      </c>
      <c r="AR271" s="100">
        <f t="shared" si="27"/>
        <v>-4.506182456</v>
      </c>
    </row>
    <row r="272">
      <c r="A272" s="40" t="str">
        <f t="shared" si="3"/>
        <v>Gabe Vincent</v>
      </c>
      <c r="B272" s="42">
        <f t="shared" si="4"/>
        <v>-1.637915256</v>
      </c>
      <c r="C272" s="43">
        <f t="shared" si="5"/>
        <v>-0.2478220956</v>
      </c>
      <c r="D272" s="42">
        <f t="shared" si="6"/>
        <v>-1.635298055</v>
      </c>
      <c r="E272" s="42">
        <f t="shared" si="7"/>
        <v>-0.74528194</v>
      </c>
      <c r="F272" s="42">
        <f t="shared" si="8"/>
        <v>-0.2527964105</v>
      </c>
      <c r="G272" s="42">
        <f t="shared" si="9"/>
        <v>-1.150698449</v>
      </c>
      <c r="H272" s="42">
        <f t="shared" si="10"/>
        <v>-0.9194137608</v>
      </c>
      <c r="I272" s="42">
        <f>UpdateHashtag!S270</f>
        <v>7.7</v>
      </c>
      <c r="J272" s="47">
        <f t="shared" si="11"/>
        <v>0.2304970877</v>
      </c>
      <c r="K272" s="48">
        <f>UpdateHashtag!T270</f>
        <v>1</v>
      </c>
      <c r="L272" s="42">
        <f t="shared" si="12"/>
        <v>-0.5442381251</v>
      </c>
      <c r="N272" s="100">
        <f t="shared" si="13"/>
        <v>272</v>
      </c>
      <c r="O272" s="94">
        <f t="array" ref="O272">INDIRECT("Update"&amp;Projections!$AH$17&amp;"!B"&amp;ROW(B253))</f>
        <v>143.9</v>
      </c>
      <c r="P272" s="101" t="str">
        <f t="array" ref="P272">INDIRECT("Update"&amp;Projections!$AH$17&amp;"!C"&amp;ROW(B253))</f>
        <v>Precious Achiuwa</v>
      </c>
      <c r="Q272" s="94">
        <f>UpdateBBM!F253</f>
        <v>48</v>
      </c>
      <c r="R272" s="105" t="str">
        <f t="array" ref="R272">INDIRECT("Update"&amp;Projections!$AH$17&amp;"!D"&amp;ROW(B253))</f>
        <v>PF,C</v>
      </c>
      <c r="S272" s="73">
        <f t="shared" si="14"/>
        <v>-5.042439378</v>
      </c>
      <c r="T272" s="73">
        <f>SUM(AE272:AM272)-IFERROR(IFS(Projections!$I$17,AN272,Projections!$J$17,AO272),"")</f>
        <v>-5.042439378</v>
      </c>
      <c r="U272" s="73">
        <f t="shared" si="15"/>
        <v>0</v>
      </c>
      <c r="V272" s="73">
        <f t="array" ref="V272">INDIRECT("Update"&amp;Projections!$AH$17&amp;"!M"&amp;ROW(B253))</f>
        <v>7.7</v>
      </c>
      <c r="W272" s="73">
        <f t="array" ref="W272">INDIRECT("Update"&amp;Projections!$AH$17&amp;"!L"&amp;ROW(B253))</f>
        <v>0.4</v>
      </c>
      <c r="X272" s="73">
        <f t="array" ref="X272">INDIRECT("Update"&amp;Projections!$AH$17&amp;"!N"&amp;ROW(B253))</f>
        <v>5.8</v>
      </c>
      <c r="Y272" s="73">
        <f t="array" ref="Y272">INDIRECT("Update"&amp;Projections!$AH$17&amp;"!O"&amp;ROW(B253))</f>
        <v>1.1</v>
      </c>
      <c r="Z272" s="73">
        <f t="array" ref="Z272">INDIRECT("Update"&amp;Projections!$AH$17&amp;"!P"&amp;ROW(B253))</f>
        <v>0.5</v>
      </c>
      <c r="AA272" s="73">
        <f t="array" ref="AA272">INDIRECT("Update"&amp;Projections!$AH$17&amp;"!Q"&amp;ROW(B253))</f>
        <v>0.7</v>
      </c>
      <c r="AB272" s="107">
        <f t="array" ref="AB272">INDIRECT("Update"&amp;Projections!$AH$17&amp;"!I"&amp;ROW(B253))</f>
        <v>0.494</v>
      </c>
      <c r="AC272" s="107">
        <f t="array" ref="AC272">INDIRECT("Update"&amp;Projections!$AH$17&amp;"!K"&amp;ROW(B253))</f>
        <v>0.661</v>
      </c>
      <c r="AD272" s="73">
        <f t="array" ref="AD272">INDIRECT("Update"&amp;Projections!$AH$17&amp;"!R"&amp;ROW(B253))</f>
        <v>1</v>
      </c>
      <c r="AE272" s="73">
        <f t="shared" si="16"/>
        <v>-1.76436887</v>
      </c>
      <c r="AF272" s="73">
        <f t="shared" si="17"/>
        <v>-1.342589385</v>
      </c>
      <c r="AG272" s="73">
        <f t="shared" si="18"/>
        <v>-0.1054695806</v>
      </c>
      <c r="AH272" s="73">
        <f t="shared" si="19"/>
        <v>-1.292023185</v>
      </c>
      <c r="AI272" s="73">
        <f t="shared" si="20"/>
        <v>-1.580527123</v>
      </c>
      <c r="AJ272" s="73">
        <f t="shared" si="21"/>
        <v>-0.08033623669</v>
      </c>
      <c r="AK272" s="73">
        <f t="shared" si="22"/>
        <v>-0.02093302295</v>
      </c>
      <c r="AL272" s="73">
        <f t="shared" si="23"/>
        <v>-0.8062168028</v>
      </c>
      <c r="AM272" s="73">
        <f t="shared" si="24"/>
        <v>0.1856559582</v>
      </c>
      <c r="AN272" s="120">
        <f t="shared" si="25"/>
        <v>-1.76436887</v>
      </c>
      <c r="AO272" s="120">
        <f t="shared" si="26"/>
        <v>-3.344895993</v>
      </c>
      <c r="AP272" s="120">
        <f t="array" ref="AP272">INDIRECT("Update"&amp;Projections!$AH$17&amp;"!S"&amp;ROW(B253))</f>
        <v>6.2</v>
      </c>
      <c r="AQ272" s="120">
        <f t="array" ref="AQ272">INDIRECT("Update"&amp;Projections!$AH$17&amp;"!T"&amp;ROW(B253))</f>
        <v>1.7</v>
      </c>
      <c r="AR272" s="100">
        <f t="shared" si="27"/>
        <v>-4.511999868</v>
      </c>
    </row>
    <row r="273">
      <c r="A273" s="40" t="str">
        <f t="shared" si="3"/>
        <v>Julian Champagnie</v>
      </c>
      <c r="B273" s="42">
        <f t="shared" si="4"/>
        <v>-1.926952088</v>
      </c>
      <c r="C273" s="43">
        <f t="shared" si="5"/>
        <v>-0.3473463946</v>
      </c>
      <c r="D273" s="42">
        <f t="shared" si="6"/>
        <v>-1.321487086</v>
      </c>
      <c r="E273" s="42">
        <f t="shared" si="7"/>
        <v>-1.246461415</v>
      </c>
      <c r="F273" s="42">
        <f t="shared" si="8"/>
        <v>-1.248594445</v>
      </c>
      <c r="G273" s="42">
        <f t="shared" si="9"/>
        <v>-0.4371236408</v>
      </c>
      <c r="H273" s="42">
        <f t="shared" si="10"/>
        <v>-0.486563553</v>
      </c>
      <c r="I273" s="42">
        <f>UpdateHashtag!S271</f>
        <v>5.4</v>
      </c>
      <c r="J273" s="47">
        <f t="shared" si="11"/>
        <v>0.06266434357</v>
      </c>
      <c r="K273" s="48">
        <f>UpdateHashtag!T271</f>
        <v>1.1</v>
      </c>
      <c r="L273" s="42">
        <f t="shared" si="12"/>
        <v>-1.040202395</v>
      </c>
      <c r="N273" s="100">
        <f t="shared" si="13"/>
        <v>264</v>
      </c>
      <c r="O273" s="94" t="str">
        <f t="array" ref="O273">INDIRECT("Update"&amp;Projections!$AH$17&amp;"!B"&amp;ROW(B254))</f>
        <v/>
      </c>
      <c r="P273" s="101" t="str">
        <f t="array" ref="P273">INDIRECT("Update"&amp;Projections!$AH$17&amp;"!C"&amp;ROW(B254))</f>
        <v>Marcus Sasser</v>
      </c>
      <c r="Q273" s="94">
        <f>UpdateBBM!F254</f>
        <v>71</v>
      </c>
      <c r="R273" s="105" t="str">
        <f t="array" ref="R273">INDIRECT("Update"&amp;Projections!$AH$17&amp;"!D"&amp;ROW(B254))</f>
        <v>PG</v>
      </c>
      <c r="S273" s="73">
        <f t="shared" si="14"/>
        <v>-4.80021338</v>
      </c>
      <c r="T273" s="73">
        <f>SUM(AE273:AM273)-IFERROR(IFS(Projections!$I$17,AN273,Projections!$J$17,AO273),"")</f>
        <v>-4.80021338</v>
      </c>
      <c r="U273" s="73">
        <f t="shared" si="15"/>
        <v>0</v>
      </c>
      <c r="V273" s="73">
        <f t="array" ref="V273">INDIRECT("Update"&amp;Projections!$AH$17&amp;"!M"&amp;ROW(B254))</f>
        <v>8.3</v>
      </c>
      <c r="W273" s="73">
        <f t="array" ref="W273">INDIRECT("Update"&amp;Projections!$AH$17&amp;"!L"&amp;ROW(B254))</f>
        <v>1.3</v>
      </c>
      <c r="X273" s="73">
        <f t="array" ref="X273">INDIRECT("Update"&amp;Projections!$AH$17&amp;"!N"&amp;ROW(B254))</f>
        <v>1.8</v>
      </c>
      <c r="Y273" s="73">
        <f t="array" ref="Y273">INDIRECT("Update"&amp;Projections!$AH$17&amp;"!O"&amp;ROW(B254))</f>
        <v>3.4</v>
      </c>
      <c r="Z273" s="73">
        <f t="array" ref="Z273">INDIRECT("Update"&amp;Projections!$AH$17&amp;"!P"&amp;ROW(B254))</f>
        <v>0.6</v>
      </c>
      <c r="AA273" s="73">
        <f t="array" ref="AA273">INDIRECT("Update"&amp;Projections!$AH$17&amp;"!Q"&amp;ROW(B254))</f>
        <v>0.2</v>
      </c>
      <c r="AB273" s="107">
        <f t="array" ref="AB273">INDIRECT("Update"&amp;Projections!$AH$17&amp;"!I"&amp;ROW(B254))</f>
        <v>0.428</v>
      </c>
      <c r="AC273" s="107">
        <f t="array" ref="AC273">INDIRECT("Update"&amp;Projections!$AH$17&amp;"!K"&amp;ROW(B254))</f>
        <v>0.872</v>
      </c>
      <c r="AD273" s="73">
        <f t="array" ref="AD273">INDIRECT("Update"&amp;Projections!$AH$17&amp;"!R"&amp;ROW(B254))</f>
        <v>1.3</v>
      </c>
      <c r="AE273" s="73">
        <f t="shared" si="16"/>
        <v>-1.655980058</v>
      </c>
      <c r="AF273" s="73">
        <f t="shared" si="17"/>
        <v>-0.4468706937</v>
      </c>
      <c r="AG273" s="73">
        <f t="shared" si="18"/>
        <v>-1.674524426</v>
      </c>
      <c r="AH273" s="73">
        <f t="shared" si="19"/>
        <v>-0.2441024654</v>
      </c>
      <c r="AI273" s="73">
        <f t="shared" si="20"/>
        <v>-1.248594445</v>
      </c>
      <c r="AJ273" s="73">
        <f t="shared" si="21"/>
        <v>-0.9723047469</v>
      </c>
      <c r="AK273" s="73">
        <f t="shared" si="22"/>
        <v>-0.5893169868</v>
      </c>
      <c r="AL273" s="73">
        <f t="shared" si="23"/>
        <v>0.2456946979</v>
      </c>
      <c r="AM273" s="73">
        <f t="shared" si="24"/>
        <v>0.1112613178</v>
      </c>
      <c r="AN273" s="120">
        <f t="shared" si="25"/>
        <v>-1.674524426</v>
      </c>
      <c r="AO273" s="120">
        <f t="shared" si="26"/>
        <v>-3.330504484</v>
      </c>
      <c r="AP273" s="120">
        <f t="array" ref="AP273">INDIRECT("Update"&amp;Projections!$AH$17&amp;"!S"&amp;ROW(B254))</f>
        <v>7.3</v>
      </c>
      <c r="AQ273" s="120">
        <f t="array" ref="AQ273">INDIRECT("Update"&amp;Projections!$AH$17&amp;"!T"&amp;ROW(B254))</f>
        <v>0.9</v>
      </c>
      <c r="AR273" s="100">
        <f t="shared" si="27"/>
        <v>-4.565685148</v>
      </c>
    </row>
    <row r="274">
      <c r="A274" s="40" t="str">
        <f t="shared" si="3"/>
        <v>Drew Eubanks</v>
      </c>
      <c r="B274" s="42">
        <f t="shared" si="4"/>
        <v>-2.288248127</v>
      </c>
      <c r="C274" s="43">
        <f t="shared" si="5"/>
        <v>-1.641162282</v>
      </c>
      <c r="D274" s="42">
        <f t="shared" si="6"/>
        <v>-0.8115442609</v>
      </c>
      <c r="E274" s="42">
        <f t="shared" si="7"/>
        <v>-1.383146726</v>
      </c>
      <c r="F274" s="42">
        <f t="shared" si="8"/>
        <v>-1.912459801</v>
      </c>
      <c r="G274" s="42">
        <f t="shared" si="9"/>
        <v>0.2764511674</v>
      </c>
      <c r="H274" s="42">
        <f t="shared" si="10"/>
        <v>0.4692474335</v>
      </c>
      <c r="I274" s="42">
        <f>UpdateHashtag!S272</f>
        <v>3.2</v>
      </c>
      <c r="J274" s="47">
        <f t="shared" si="11"/>
        <v>-0.3651085127</v>
      </c>
      <c r="K274" s="48">
        <f>UpdateHashtag!T272</f>
        <v>1.2</v>
      </c>
      <c r="L274" s="42">
        <f t="shared" si="12"/>
        <v>-1.040202395</v>
      </c>
      <c r="N274" s="100">
        <f t="shared" si="13"/>
        <v>261</v>
      </c>
      <c r="O274" s="94" t="str">
        <f t="array" ref="O274">INDIRECT("Update"&amp;Projections!$AH$17&amp;"!B"&amp;ROW(B255))</f>
        <v/>
      </c>
      <c r="P274" s="101" t="str">
        <f t="array" ref="P274">INDIRECT("Update"&amp;Projections!$AH$17&amp;"!C"&amp;ROW(B255))</f>
        <v>Trey Lyles</v>
      </c>
      <c r="Q274" s="94">
        <f>UpdateBBM!F255</f>
        <v>66</v>
      </c>
      <c r="R274" s="105" t="str">
        <f t="array" ref="R274">INDIRECT("Update"&amp;Projections!$AH$17&amp;"!D"&amp;ROW(B255))</f>
        <v>PF,C</v>
      </c>
      <c r="S274" s="73">
        <f t="shared" si="14"/>
        <v>-4.778484936</v>
      </c>
      <c r="T274" s="73">
        <f>SUM(AE274:AM274)-IFERROR(IFS(Projections!$I$17,AN274,Projections!$J$17,AO274),"")</f>
        <v>-4.778484936</v>
      </c>
      <c r="U274" s="73">
        <f t="shared" si="15"/>
        <v>0</v>
      </c>
      <c r="V274" s="73">
        <f t="array" ref="V274">INDIRECT("Update"&amp;Projections!$AH$17&amp;"!M"&amp;ROW(B255))</f>
        <v>8</v>
      </c>
      <c r="W274" s="73">
        <f t="array" ref="W274">INDIRECT("Update"&amp;Projections!$AH$17&amp;"!L"&amp;ROW(B255))</f>
        <v>1.4</v>
      </c>
      <c r="X274" s="73">
        <f t="array" ref="X274">INDIRECT("Update"&amp;Projections!$AH$17&amp;"!N"&amp;ROW(B255))</f>
        <v>4.5</v>
      </c>
      <c r="Y274" s="73">
        <f t="array" ref="Y274">INDIRECT("Update"&amp;Projections!$AH$17&amp;"!O"&amp;ROW(B255))</f>
        <v>1.1</v>
      </c>
      <c r="Z274" s="73">
        <f t="array" ref="Z274">INDIRECT("Update"&amp;Projections!$AH$17&amp;"!P"&amp;ROW(B255))</f>
        <v>0.4</v>
      </c>
      <c r="AA274" s="73">
        <f t="array" ref="AA274">INDIRECT("Update"&amp;Projections!$AH$17&amp;"!Q"&amp;ROW(B255))</f>
        <v>0.4</v>
      </c>
      <c r="AB274" s="107">
        <f t="array" ref="AB274">INDIRECT("Update"&amp;Projections!$AH$17&amp;"!I"&amp;ROW(B255))</f>
        <v>0.453</v>
      </c>
      <c r="AC274" s="107">
        <f t="array" ref="AC274">INDIRECT("Update"&amp;Projections!$AH$17&amp;"!K"&amp;ROW(B255))</f>
        <v>0.772</v>
      </c>
      <c r="AD274" s="73">
        <f t="array" ref="AD274">INDIRECT("Update"&amp;Projections!$AH$17&amp;"!R"&amp;ROW(B255))</f>
        <v>0.8</v>
      </c>
      <c r="AE274" s="73">
        <f t="shared" si="16"/>
        <v>-1.710174464</v>
      </c>
      <c r="AF274" s="73">
        <f t="shared" si="17"/>
        <v>-0.3473463946</v>
      </c>
      <c r="AG274" s="73">
        <f t="shared" si="18"/>
        <v>-0.6154124053</v>
      </c>
      <c r="AH274" s="73">
        <f t="shared" si="19"/>
        <v>-1.292023185</v>
      </c>
      <c r="AI274" s="73">
        <f t="shared" si="20"/>
        <v>-1.912459801</v>
      </c>
      <c r="AJ274" s="73">
        <f t="shared" si="21"/>
        <v>-0.6155173428</v>
      </c>
      <c r="AK274" s="73">
        <f t="shared" si="22"/>
        <v>-0.3034271559</v>
      </c>
      <c r="AL274" s="73">
        <f t="shared" si="23"/>
        <v>-0.1298363734</v>
      </c>
      <c r="AM274" s="73">
        <f t="shared" si="24"/>
        <v>0.2352523852</v>
      </c>
      <c r="AN274" s="120">
        <f t="shared" si="25"/>
        <v>-1.912459801</v>
      </c>
      <c r="AO274" s="120">
        <f t="shared" si="26"/>
        <v>-3.622634265</v>
      </c>
      <c r="AP274" s="120">
        <f t="array" ref="AP274">INDIRECT("Update"&amp;Projections!$AH$17&amp;"!S"&amp;ROW(B255))</f>
        <v>5.9</v>
      </c>
      <c r="AQ274" s="120">
        <f t="array" ref="AQ274">INDIRECT("Update"&amp;Projections!$AH$17&amp;"!T"&amp;ROW(B255))</f>
        <v>1.6</v>
      </c>
      <c r="AR274" s="100">
        <f t="shared" si="27"/>
        <v>-4.584754091</v>
      </c>
    </row>
    <row r="275">
      <c r="A275" s="40" t="str">
        <f t="shared" si="3"/>
        <v>Pat Connaughton</v>
      </c>
      <c r="B275" s="42">
        <f t="shared" si="4"/>
        <v>-1.94501689</v>
      </c>
      <c r="C275" s="43">
        <f t="shared" si="5"/>
        <v>-0.4468706937</v>
      </c>
      <c r="D275" s="42">
        <f t="shared" si="6"/>
        <v>-0.8115442609</v>
      </c>
      <c r="E275" s="42">
        <f t="shared" si="7"/>
        <v>-0.9730907921</v>
      </c>
      <c r="F275" s="42">
        <f t="shared" si="8"/>
        <v>-1.248594445</v>
      </c>
      <c r="G275" s="42">
        <f t="shared" si="9"/>
        <v>-0.9723047469</v>
      </c>
      <c r="H275" s="42">
        <f t="shared" si="10"/>
        <v>-0.5429981136</v>
      </c>
      <c r="I275" s="42">
        <f>UpdateHashtag!S273</f>
        <v>5.8</v>
      </c>
      <c r="J275" s="47">
        <f t="shared" si="11"/>
        <v>-0.136131186</v>
      </c>
      <c r="K275" s="48">
        <f>UpdateHashtag!T273</f>
        <v>0.7</v>
      </c>
      <c r="L275" s="42">
        <f t="shared" si="12"/>
        <v>-1.139395249</v>
      </c>
      <c r="N275" s="100">
        <f t="shared" si="13"/>
        <v>249</v>
      </c>
      <c r="O275" s="94">
        <f t="array" ref="O275">INDIRECT("Update"&amp;Projections!$AH$17&amp;"!B"&amp;ROW(B256))</f>
        <v>145.1</v>
      </c>
      <c r="P275" s="101" t="str">
        <f t="array" ref="P275">INDIRECT("Update"&amp;Projections!$AH$17&amp;"!C"&amp;ROW(B256))</f>
        <v>Isaiah Stewart</v>
      </c>
      <c r="Q275" s="94">
        <f>UpdateBBM!F256</f>
        <v>71</v>
      </c>
      <c r="R275" s="105" t="str">
        <f t="array" ref="R275">INDIRECT("Update"&amp;Projections!$AH$17&amp;"!D"&amp;ROW(B256))</f>
        <v>PF,C</v>
      </c>
      <c r="S275" s="73">
        <f t="shared" si="14"/>
        <v>-4.454302313</v>
      </c>
      <c r="T275" s="73">
        <f>SUM(AE275:AM275)-IFERROR(IFS(Projections!$I$17,AN275,Projections!$J$17,AO275),"")</f>
        <v>-4.454302313</v>
      </c>
      <c r="U275" s="73">
        <f t="shared" si="15"/>
        <v>0</v>
      </c>
      <c r="V275" s="73">
        <f t="array" ref="V275">INDIRECT("Update"&amp;Projections!$AH$17&amp;"!M"&amp;ROW(B256))</f>
        <v>8.4</v>
      </c>
      <c r="W275" s="73">
        <f t="array" ref="W275">INDIRECT("Update"&amp;Projections!$AH$17&amp;"!L"&amp;ROW(B256))</f>
        <v>1.1</v>
      </c>
      <c r="X275" s="73">
        <f t="array" ref="X275">INDIRECT("Update"&amp;Projections!$AH$17&amp;"!N"&amp;ROW(B256))</f>
        <v>5.6</v>
      </c>
      <c r="Y275" s="73">
        <f t="array" ref="Y275">INDIRECT("Update"&amp;Projections!$AH$17&amp;"!O"&amp;ROW(B256))</f>
        <v>1.1</v>
      </c>
      <c r="Z275" s="73">
        <f t="array" ref="Z275">INDIRECT("Update"&amp;Projections!$AH$17&amp;"!P"&amp;ROW(B256))</f>
        <v>0.3</v>
      </c>
      <c r="AA275" s="73">
        <f t="array" ref="AA275">INDIRECT("Update"&amp;Projections!$AH$17&amp;"!Q"&amp;ROW(B256))</f>
        <v>0.6</v>
      </c>
      <c r="AB275" s="107">
        <f t="array" ref="AB275">INDIRECT("Update"&amp;Projections!$AH$17&amp;"!I"&amp;ROW(B256))</f>
        <v>0.462</v>
      </c>
      <c r="AC275" s="107">
        <f t="array" ref="AC275">INDIRECT("Update"&amp;Projections!$AH$17&amp;"!K"&amp;ROW(B256))</f>
        <v>0.743</v>
      </c>
      <c r="AD275" s="73">
        <f t="array" ref="AD275">INDIRECT("Update"&amp;Projections!$AH$17&amp;"!R"&amp;ROW(B256))</f>
        <v>1.1</v>
      </c>
      <c r="AE275" s="73">
        <f t="shared" si="16"/>
        <v>-1.637915256</v>
      </c>
      <c r="AF275" s="73">
        <f t="shared" si="17"/>
        <v>-0.6459192917</v>
      </c>
      <c r="AG275" s="73">
        <f t="shared" si="18"/>
        <v>-0.1839223229</v>
      </c>
      <c r="AH275" s="73">
        <f t="shared" si="19"/>
        <v>-1.292023185</v>
      </c>
      <c r="AI275" s="73">
        <f t="shared" si="20"/>
        <v>-2.244392479</v>
      </c>
      <c r="AJ275" s="73">
        <f t="shared" si="21"/>
        <v>-0.2587299387</v>
      </c>
      <c r="AK275" s="73">
        <f t="shared" si="22"/>
        <v>-0.2657221013</v>
      </c>
      <c r="AL275" s="73">
        <f t="shared" si="23"/>
        <v>-0.3309279616</v>
      </c>
      <c r="AM275" s="73">
        <f t="shared" si="24"/>
        <v>0.1608577447</v>
      </c>
      <c r="AN275" s="120">
        <f t="shared" si="25"/>
        <v>-2.244392479</v>
      </c>
      <c r="AO275" s="120">
        <f t="shared" si="26"/>
        <v>-3.882307736</v>
      </c>
      <c r="AP275" s="120">
        <f t="array" ref="AP275">INDIRECT("Update"&amp;Projections!$AH$17&amp;"!S"&amp;ROW(B256))</f>
        <v>6.5</v>
      </c>
      <c r="AQ275" s="120">
        <f t="array" ref="AQ275">INDIRECT("Update"&amp;Projections!$AH$17&amp;"!T"&amp;ROW(B256))</f>
        <v>1.8</v>
      </c>
      <c r="AR275" s="100">
        <f t="shared" si="27"/>
        <v>-4.646552894</v>
      </c>
    </row>
    <row r="276">
      <c r="A276" s="40" t="str">
        <f t="shared" si="3"/>
        <v>Toumani Camara</v>
      </c>
      <c r="B276" s="42">
        <f t="shared" si="4"/>
        <v>-2.035340899</v>
      </c>
      <c r="C276" s="43">
        <f t="shared" si="5"/>
        <v>-1.044016488</v>
      </c>
      <c r="D276" s="42">
        <f t="shared" si="6"/>
        <v>-0.8115442609</v>
      </c>
      <c r="E276" s="42">
        <f t="shared" si="7"/>
        <v>-1.337584956</v>
      </c>
      <c r="F276" s="42">
        <f t="shared" si="8"/>
        <v>-0.5847290887</v>
      </c>
      <c r="G276" s="42">
        <f t="shared" si="9"/>
        <v>-0.6155173428</v>
      </c>
      <c r="H276" s="42">
        <f t="shared" si="10"/>
        <v>-0.2861933093</v>
      </c>
      <c r="I276" s="42">
        <f>UpdateHashtag!S274</f>
        <v>5.1</v>
      </c>
      <c r="J276" s="47">
        <f t="shared" si="11"/>
        <v>-0.1526234074</v>
      </c>
      <c r="K276" s="48">
        <f>UpdateHashtag!T274</f>
        <v>1.2</v>
      </c>
      <c r="L276" s="42">
        <f t="shared" si="12"/>
        <v>-0.7426238329</v>
      </c>
      <c r="N276" s="100">
        <f t="shared" si="13"/>
        <v>262</v>
      </c>
      <c r="O276" s="94" t="str">
        <f t="array" ref="O276">INDIRECT("Update"&amp;Projections!$AH$17&amp;"!B"&amp;ROW(B257))</f>
        <v/>
      </c>
      <c r="P276" s="101" t="str">
        <f t="array" ref="P276">INDIRECT("Update"&amp;Projections!$AH$17&amp;"!C"&amp;ROW(B257))</f>
        <v>Georges Niang</v>
      </c>
      <c r="Q276" s="94">
        <f>UpdateBBM!F257</f>
        <v>66</v>
      </c>
      <c r="R276" s="105" t="str">
        <f t="array" ref="R276">INDIRECT("Update"&amp;Projections!$AH$17&amp;"!D"&amp;ROW(B257))</f>
        <v>SF,PF</v>
      </c>
      <c r="S276" s="73">
        <f t="shared" si="14"/>
        <v>-4.785866817</v>
      </c>
      <c r="T276" s="73">
        <f>SUM(AE276:AM276)-IFERROR(IFS(Projections!$I$17,AN276,Projections!$J$17,AO276),"")</f>
        <v>-4.785866817</v>
      </c>
      <c r="U276" s="73">
        <f t="shared" si="15"/>
        <v>0</v>
      </c>
      <c r="V276" s="73">
        <f t="array" ref="V276">INDIRECT("Update"&amp;Projections!$AH$17&amp;"!M"&amp;ROW(B257))</f>
        <v>9.1</v>
      </c>
      <c r="W276" s="73">
        <f t="array" ref="W276">INDIRECT("Update"&amp;Projections!$AH$17&amp;"!L"&amp;ROW(B257))</f>
        <v>2</v>
      </c>
      <c r="X276" s="73">
        <f t="array" ref="X276">INDIRECT("Update"&amp;Projections!$AH$17&amp;"!N"&amp;ROW(B257))</f>
        <v>3</v>
      </c>
      <c r="Y276" s="73">
        <f t="array" ref="Y276">INDIRECT("Update"&amp;Projections!$AH$17&amp;"!O"&amp;ROW(B257))</f>
        <v>1.1</v>
      </c>
      <c r="Z276" s="73">
        <f t="array" ref="Z276">INDIRECT("Update"&amp;Projections!$AH$17&amp;"!P"&amp;ROW(B257))</f>
        <v>0.4</v>
      </c>
      <c r="AA276" s="73">
        <f t="array" ref="AA276">INDIRECT("Update"&amp;Projections!$AH$17&amp;"!Q"&amp;ROW(B257))</f>
        <v>0.2</v>
      </c>
      <c r="AB276" s="107">
        <f t="array" ref="AB276">INDIRECT("Update"&amp;Projections!$AH$17&amp;"!I"&amp;ROW(B257))</f>
        <v>0.446</v>
      </c>
      <c r="AC276" s="107">
        <f t="array" ref="AC276">INDIRECT("Update"&amp;Projections!$AH$17&amp;"!K"&amp;ROW(B257))</f>
        <v>0.853</v>
      </c>
      <c r="AD276" s="73">
        <f t="array" ref="AD276">INDIRECT("Update"&amp;Projections!$AH$17&amp;"!R"&amp;ROW(B257))</f>
        <v>0.8</v>
      </c>
      <c r="AE276" s="73">
        <f t="shared" si="16"/>
        <v>-1.511461642</v>
      </c>
      <c r="AF276" s="73">
        <f t="shared" si="17"/>
        <v>0.2497993996</v>
      </c>
      <c r="AG276" s="73">
        <f t="shared" si="18"/>
        <v>-1.203807972</v>
      </c>
      <c r="AH276" s="73">
        <f t="shared" si="19"/>
        <v>-1.292023185</v>
      </c>
      <c r="AI276" s="73">
        <f t="shared" si="20"/>
        <v>-1.912459801</v>
      </c>
      <c r="AJ276" s="73">
        <f t="shared" si="21"/>
        <v>-0.9723047469</v>
      </c>
      <c r="AK276" s="73">
        <f t="shared" si="22"/>
        <v>-0.4353160667</v>
      </c>
      <c r="AL276" s="73">
        <f t="shared" si="23"/>
        <v>0.1439950111</v>
      </c>
      <c r="AM276" s="73">
        <f t="shared" si="24"/>
        <v>0.2352523852</v>
      </c>
      <c r="AN276" s="120">
        <f t="shared" si="25"/>
        <v>-1.912459801</v>
      </c>
      <c r="AO276" s="120">
        <f t="shared" si="26"/>
        <v>-3.423921444</v>
      </c>
      <c r="AP276" s="120">
        <f t="array" ref="AP276">INDIRECT("Update"&amp;Projections!$AH$17&amp;"!S"&amp;ROW(B257))</f>
        <v>7.3</v>
      </c>
      <c r="AQ276" s="120">
        <f t="array" ref="AQ276">INDIRECT("Update"&amp;Projections!$AH$17&amp;"!T"&amp;ROW(B257))</f>
        <v>0.7</v>
      </c>
      <c r="AR276" s="100">
        <f t="shared" si="27"/>
        <v>-4.65661923</v>
      </c>
    </row>
    <row r="277">
      <c r="A277" s="40" t="str">
        <f t="shared" si="3"/>
        <v>Cody Martin</v>
      </c>
      <c r="B277" s="42">
        <f t="shared" si="4"/>
        <v>-1.963081691</v>
      </c>
      <c r="C277" s="43">
        <f t="shared" si="5"/>
        <v>-0.9444921888</v>
      </c>
      <c r="D277" s="42">
        <f t="shared" si="6"/>
        <v>-0.9684497454</v>
      </c>
      <c r="E277" s="42">
        <f t="shared" si="7"/>
        <v>-0.3807877766</v>
      </c>
      <c r="F277" s="42">
        <f t="shared" si="8"/>
        <v>0.07913626764</v>
      </c>
      <c r="G277" s="42">
        <f t="shared" si="9"/>
        <v>-0.4371236408</v>
      </c>
      <c r="H277" s="42">
        <f t="shared" si="10"/>
        <v>-0.8942382498</v>
      </c>
      <c r="I277" s="42">
        <f>UpdateHashtag!S275</f>
        <v>6.7</v>
      </c>
      <c r="J277" s="47">
        <f t="shared" si="11"/>
        <v>-0.7670899925</v>
      </c>
      <c r="K277" s="48">
        <f>UpdateHashtag!T275</f>
        <v>1.1</v>
      </c>
      <c r="L277" s="42">
        <f t="shared" si="12"/>
        <v>-0.5442381251</v>
      </c>
      <c r="N277" s="100">
        <f t="shared" si="13"/>
        <v>232</v>
      </c>
      <c r="O277" s="94" t="str">
        <f t="array" ref="O277">INDIRECT("Update"&amp;Projections!$AH$17&amp;"!B"&amp;ROW(B258))</f>
        <v/>
      </c>
      <c r="P277" s="101" t="str">
        <f t="array" ref="P277">INDIRECT("Update"&amp;Projections!$AH$17&amp;"!C"&amp;ROW(B258))</f>
        <v>Jose Alvarado</v>
      </c>
      <c r="Q277" s="94">
        <f>UpdateBBM!F258</f>
        <v>38</v>
      </c>
      <c r="R277" s="105" t="str">
        <f t="array" ref="R277">INDIRECT("Update"&amp;Projections!$AH$17&amp;"!D"&amp;ROW(B258))</f>
        <v>PG</v>
      </c>
      <c r="S277" s="73">
        <f t="shared" si="14"/>
        <v>-4.174659897</v>
      </c>
      <c r="T277" s="73">
        <f>SUM(AE277:AM277)-IFERROR(IFS(Projections!$I$17,AN277,Projections!$J$17,AO277),"")</f>
        <v>-4.174659897</v>
      </c>
      <c r="U277" s="73">
        <f t="shared" si="15"/>
        <v>0</v>
      </c>
      <c r="V277" s="73">
        <f t="array" ref="V277">INDIRECT("Update"&amp;Projections!$AH$17&amp;"!M"&amp;ROW(B258))</f>
        <v>7.4</v>
      </c>
      <c r="W277" s="73">
        <f t="array" ref="W277">INDIRECT("Update"&amp;Projections!$AH$17&amp;"!L"&amp;ROW(B258))</f>
        <v>1.3</v>
      </c>
      <c r="X277" s="73">
        <f t="array" ref="X277">INDIRECT("Update"&amp;Projections!$AH$17&amp;"!N"&amp;ROW(B258))</f>
        <v>2.1</v>
      </c>
      <c r="Y277" s="73">
        <f t="array" ref="Y277">INDIRECT("Update"&amp;Projections!$AH$17&amp;"!O"&amp;ROW(B258))</f>
        <v>2.4</v>
      </c>
      <c r="Z277" s="73">
        <f t="array" ref="Z277">INDIRECT("Update"&amp;Projections!$AH$17&amp;"!P"&amp;ROW(B258))</f>
        <v>1</v>
      </c>
      <c r="AA277" s="73">
        <f t="array" ref="AA277">INDIRECT("Update"&amp;Projections!$AH$17&amp;"!Q"&amp;ROW(B258))</f>
        <v>0.2</v>
      </c>
      <c r="AB277" s="107">
        <f t="array" ref="AB277">INDIRECT("Update"&amp;Projections!$AH$17&amp;"!I"&amp;ROW(B258))</f>
        <v>0.411</v>
      </c>
      <c r="AC277" s="107">
        <f t="array" ref="AC277">INDIRECT("Update"&amp;Projections!$AH$17&amp;"!K"&amp;ROW(B258))</f>
        <v>0.757</v>
      </c>
      <c r="AD277" s="73">
        <f t="array" ref="AD277">INDIRECT("Update"&amp;Projections!$AH$17&amp;"!R"&amp;ROW(B258))</f>
        <v>0.9</v>
      </c>
      <c r="AE277" s="73">
        <f t="shared" si="16"/>
        <v>-1.818563276</v>
      </c>
      <c r="AF277" s="73">
        <f t="shared" si="17"/>
        <v>-0.4468706937</v>
      </c>
      <c r="AG277" s="73">
        <f t="shared" si="18"/>
        <v>-1.556845312</v>
      </c>
      <c r="AH277" s="73">
        <f t="shared" si="19"/>
        <v>-0.6997201696</v>
      </c>
      <c r="AI277" s="73">
        <f t="shared" si="20"/>
        <v>0.07913626764</v>
      </c>
      <c r="AJ277" s="73">
        <f t="shared" si="21"/>
        <v>-0.9723047469</v>
      </c>
      <c r="AK277" s="73">
        <f t="shared" si="22"/>
        <v>-0.6542404043</v>
      </c>
      <c r="AL277" s="73">
        <f t="shared" si="23"/>
        <v>-0.1342690097</v>
      </c>
      <c r="AM277" s="73">
        <f t="shared" si="24"/>
        <v>0.2104541717</v>
      </c>
      <c r="AN277" s="120">
        <f t="shared" si="25"/>
        <v>-1.818563276</v>
      </c>
      <c r="AO277" s="120">
        <f t="shared" si="26"/>
        <v>-3.375408588</v>
      </c>
      <c r="AP277" s="120">
        <f t="array" ref="AP277">INDIRECT("Update"&amp;Projections!$AH$17&amp;"!S"&amp;ROW(B258))</f>
        <v>6.5</v>
      </c>
      <c r="AQ277" s="120">
        <f t="array" ref="AQ277">INDIRECT("Update"&amp;Projections!$AH$17&amp;"!T"&amp;ROW(B258))</f>
        <v>1</v>
      </c>
      <c r="AR277" s="100">
        <f t="shared" si="27"/>
        <v>-4.658045209</v>
      </c>
    </row>
    <row r="278">
      <c r="A278" s="40" t="str">
        <f t="shared" si="3"/>
        <v>Alec Burks</v>
      </c>
      <c r="B278" s="42">
        <f t="shared" si="4"/>
        <v>-1.348878425</v>
      </c>
      <c r="C278" s="43">
        <f t="shared" si="5"/>
        <v>-0.04877349754</v>
      </c>
      <c r="D278" s="42">
        <f t="shared" si="6"/>
        <v>-1.47839257</v>
      </c>
      <c r="E278" s="42">
        <f t="shared" si="7"/>
        <v>-1.109776103</v>
      </c>
      <c r="F278" s="42">
        <f t="shared" si="8"/>
        <v>-1.580527123</v>
      </c>
      <c r="G278" s="42">
        <f t="shared" si="9"/>
        <v>-0.9723047469</v>
      </c>
      <c r="H278" s="42">
        <f t="shared" si="10"/>
        <v>-0.8833161326</v>
      </c>
      <c r="I278" s="42">
        <f>UpdateHashtag!S276</f>
        <v>7.7</v>
      </c>
      <c r="J278" s="47">
        <f t="shared" si="11"/>
        <v>0.424346358</v>
      </c>
      <c r="K278" s="48">
        <f>UpdateHashtag!T276</f>
        <v>2.6</v>
      </c>
      <c r="L278" s="42">
        <f t="shared" si="12"/>
        <v>-0.9410095407</v>
      </c>
      <c r="N278" s="100">
        <f t="shared" si="13"/>
        <v>274</v>
      </c>
      <c r="O278" s="94" t="str">
        <f t="array" ref="O278">INDIRECT("Update"&amp;Projections!$AH$17&amp;"!B"&amp;ROW(B259))</f>
        <v/>
      </c>
      <c r="P278" s="101" t="str">
        <f t="array" ref="P278">INDIRECT("Update"&amp;Projections!$AH$17&amp;"!C"&amp;ROW(B259))</f>
        <v>Saddiq Bey</v>
      </c>
      <c r="Q278" s="94">
        <f>UpdateBBM!F259</f>
        <v>66</v>
      </c>
      <c r="R278" s="105" t="str">
        <f t="array" ref="R278">INDIRECT("Update"&amp;Projections!$AH$17&amp;"!D"&amp;ROW(B259))</f>
        <v>SF,PF</v>
      </c>
      <c r="S278" s="73">
        <f t="shared" si="14"/>
        <v>-5.064146176</v>
      </c>
      <c r="T278" s="73">
        <f>SUM(AE278:AM278)-IFERROR(IFS(Projections!$I$17,AN278,Projections!$J$17,AO278),"")</f>
        <v>-5.064146176</v>
      </c>
      <c r="U278" s="73">
        <f t="shared" si="15"/>
        <v>0</v>
      </c>
      <c r="V278" s="73">
        <f t="array" ref="V278">INDIRECT("Update"&amp;Projections!$AH$17&amp;"!M"&amp;ROW(B259))</f>
        <v>9.3</v>
      </c>
      <c r="W278" s="73">
        <f t="array" ref="W278">INDIRECT("Update"&amp;Projections!$AH$17&amp;"!L"&amp;ROW(B259))</f>
        <v>1.3</v>
      </c>
      <c r="X278" s="73">
        <f t="array" ref="X278">INDIRECT("Update"&amp;Projections!$AH$17&amp;"!N"&amp;ROW(B259))</f>
        <v>3.7</v>
      </c>
      <c r="Y278" s="73">
        <f t="array" ref="Y278">INDIRECT("Update"&amp;Projections!$AH$17&amp;"!O"&amp;ROW(B259))</f>
        <v>1</v>
      </c>
      <c r="Z278" s="73">
        <f t="array" ref="Z278">INDIRECT("Update"&amp;Projections!$AH$17&amp;"!P"&amp;ROW(B259))</f>
        <v>0.6</v>
      </c>
      <c r="AA278" s="73">
        <f t="array" ref="AA278">INDIRECT("Update"&amp;Projections!$AH$17&amp;"!Q"&amp;ROW(B259))</f>
        <v>0.1</v>
      </c>
      <c r="AB278" s="107">
        <f t="array" ref="AB278">INDIRECT("Update"&amp;Projections!$AH$17&amp;"!I"&amp;ROW(B259))</f>
        <v>0.419</v>
      </c>
      <c r="AC278" s="107">
        <f t="array" ref="AC278">INDIRECT("Update"&amp;Projections!$AH$17&amp;"!K"&amp;ROW(B259))</f>
        <v>0.854</v>
      </c>
      <c r="AD278" s="73">
        <f t="array" ref="AD278">INDIRECT("Update"&amp;Projections!$AH$17&amp;"!R"&amp;ROW(B259))</f>
        <v>0.6</v>
      </c>
      <c r="AE278" s="73">
        <f t="shared" si="16"/>
        <v>-1.475332038</v>
      </c>
      <c r="AF278" s="73">
        <f t="shared" si="17"/>
        <v>-0.4468706937</v>
      </c>
      <c r="AG278" s="73">
        <f t="shared" si="18"/>
        <v>-0.9292233743</v>
      </c>
      <c r="AH278" s="73">
        <f t="shared" si="19"/>
        <v>-1.337584956</v>
      </c>
      <c r="AI278" s="73">
        <f t="shared" si="20"/>
        <v>-1.248594445</v>
      </c>
      <c r="AJ278" s="73">
        <f t="shared" si="21"/>
        <v>-1.150698449</v>
      </c>
      <c r="AK278" s="73">
        <f t="shared" si="22"/>
        <v>-0.6754450831</v>
      </c>
      <c r="AL278" s="73">
        <f t="shared" si="23"/>
        <v>0.4394220121</v>
      </c>
      <c r="AM278" s="73">
        <f t="shared" si="24"/>
        <v>0.2848488121</v>
      </c>
      <c r="AN278" s="120">
        <f t="shared" si="25"/>
        <v>-1.475332038</v>
      </c>
      <c r="AO278" s="120">
        <f t="shared" si="26"/>
        <v>-2.812916994</v>
      </c>
      <c r="AP278" s="120">
        <f t="array" ref="AP278">INDIRECT("Update"&amp;Projections!$AH$17&amp;"!S"&amp;ROW(B259))</f>
        <v>7.4</v>
      </c>
      <c r="AQ278" s="120">
        <f t="array" ref="AQ278">INDIRECT("Update"&amp;Projections!$AH$17&amp;"!T"&amp;ROW(B259))</f>
        <v>2.1</v>
      </c>
      <c r="AR278" s="100">
        <f t="shared" si="27"/>
        <v>-4.669846808</v>
      </c>
    </row>
    <row r="279">
      <c r="A279" s="40" t="str">
        <f t="shared" si="3"/>
        <v>Dean Wade</v>
      </c>
      <c r="B279" s="42">
        <f t="shared" si="4"/>
        <v>-2.270183325</v>
      </c>
      <c r="C279" s="43">
        <f t="shared" si="5"/>
        <v>-0.5463949927</v>
      </c>
      <c r="D279" s="42">
        <f t="shared" si="6"/>
        <v>-0.9684497454</v>
      </c>
      <c r="E279" s="42">
        <f t="shared" si="7"/>
        <v>-1.428708496</v>
      </c>
      <c r="F279" s="42">
        <f t="shared" si="8"/>
        <v>-0.9166617668</v>
      </c>
      <c r="G279" s="42">
        <f t="shared" si="9"/>
        <v>-0.4371236408</v>
      </c>
      <c r="H279" s="42">
        <f t="shared" si="10"/>
        <v>-0.3885454686</v>
      </c>
      <c r="I279" s="42">
        <f>UpdateHashtag!S277</f>
        <v>4</v>
      </c>
      <c r="J279" s="47">
        <f t="shared" si="11"/>
        <v>-0.1538992562</v>
      </c>
      <c r="K279" s="48">
        <f>UpdateHashtag!T277</f>
        <v>0.5</v>
      </c>
      <c r="L279" s="42">
        <f t="shared" si="12"/>
        <v>-1.337780956</v>
      </c>
      <c r="N279" s="100">
        <f t="shared" si="13"/>
        <v>266</v>
      </c>
      <c r="O279" s="94" t="str">
        <f t="array" ref="O279">INDIRECT("Update"&amp;Projections!$AH$17&amp;"!B"&amp;ROW(B260))</f>
        <v/>
      </c>
      <c r="P279" s="101" t="str">
        <f t="array" ref="P279">INDIRECT("Update"&amp;Projections!$AH$17&amp;"!C"&amp;ROW(B260))</f>
        <v>Reggie Jackson</v>
      </c>
      <c r="Q279" s="94">
        <f>UpdateBBM!F260</f>
        <v>59</v>
      </c>
      <c r="R279" s="105" t="str">
        <f t="array" ref="R279">INDIRECT("Update"&amp;Projections!$AH$17&amp;"!D"&amp;ROW(B260))</f>
        <v>PG,SG</v>
      </c>
      <c r="S279" s="73">
        <f t="shared" si="14"/>
        <v>-4.881204791</v>
      </c>
      <c r="T279" s="73">
        <f>SUM(AE279:AM279)-IFERROR(IFS(Projections!$I$17,AN279,Projections!$J$17,AO279),"")</f>
        <v>-4.881204791</v>
      </c>
      <c r="U279" s="73">
        <f t="shared" si="15"/>
        <v>0</v>
      </c>
      <c r="V279" s="73">
        <f t="array" ref="V279">INDIRECT("Update"&amp;Projections!$AH$17&amp;"!M"&amp;ROW(B260))</f>
        <v>9.9</v>
      </c>
      <c r="W279" s="73">
        <f t="array" ref="W279">INDIRECT("Update"&amp;Projections!$AH$17&amp;"!L"&amp;ROW(B260))</f>
        <v>1.3</v>
      </c>
      <c r="X279" s="73">
        <f t="array" ref="X279">INDIRECT("Update"&amp;Projections!$AH$17&amp;"!N"&amp;ROW(B260))</f>
        <v>2</v>
      </c>
      <c r="Y279" s="73">
        <f t="array" ref="Y279">INDIRECT("Update"&amp;Projections!$AH$17&amp;"!O"&amp;ROW(B260))</f>
        <v>3.5</v>
      </c>
      <c r="Z279" s="73">
        <f t="array" ref="Z279">INDIRECT("Update"&amp;Projections!$AH$17&amp;"!P"&amp;ROW(B260))</f>
        <v>0.6</v>
      </c>
      <c r="AA279" s="73">
        <f t="array" ref="AA279">INDIRECT("Update"&amp;Projections!$AH$17&amp;"!Q"&amp;ROW(B260))</f>
        <v>0.1</v>
      </c>
      <c r="AB279" s="107">
        <f t="array" ref="AB279">INDIRECT("Update"&amp;Projections!$AH$17&amp;"!I"&amp;ROW(B260))</f>
        <v>0.422</v>
      </c>
      <c r="AC279" s="107">
        <f t="array" ref="AC279">INDIRECT("Update"&amp;Projections!$AH$17&amp;"!K"&amp;ROW(B260))</f>
        <v>0.852</v>
      </c>
      <c r="AD279" s="73">
        <f t="array" ref="AD279">INDIRECT("Update"&amp;Projections!$AH$17&amp;"!R"&amp;ROW(B260))</f>
        <v>1.4</v>
      </c>
      <c r="AE279" s="73">
        <f t="shared" si="16"/>
        <v>-1.366943227</v>
      </c>
      <c r="AF279" s="73">
        <f t="shared" si="17"/>
        <v>-0.4468706937</v>
      </c>
      <c r="AG279" s="73">
        <f t="shared" si="18"/>
        <v>-1.596071683</v>
      </c>
      <c r="AH279" s="73">
        <f t="shared" si="19"/>
        <v>-0.198540695</v>
      </c>
      <c r="AI279" s="73">
        <f t="shared" si="20"/>
        <v>-1.248594445</v>
      </c>
      <c r="AJ279" s="73">
        <f t="shared" si="21"/>
        <v>-1.150698449</v>
      </c>
      <c r="AK279" s="73">
        <f t="shared" si="22"/>
        <v>-0.7986192745</v>
      </c>
      <c r="AL279" s="73">
        <f t="shared" si="23"/>
        <v>0.2425988884</v>
      </c>
      <c r="AM279" s="73">
        <f t="shared" si="24"/>
        <v>0.08646310432</v>
      </c>
      <c r="AN279" s="120">
        <f t="shared" si="25"/>
        <v>-1.596071683</v>
      </c>
      <c r="AO279" s="120">
        <f t="shared" si="26"/>
        <v>-2.96301491</v>
      </c>
      <c r="AP279" s="120">
        <f t="array" ref="AP279">INDIRECT("Update"&amp;Projections!$AH$17&amp;"!S"&amp;ROW(B260))</f>
        <v>9.1</v>
      </c>
      <c r="AQ279" s="120">
        <f t="array" ref="AQ279">INDIRECT("Update"&amp;Projections!$AH$17&amp;"!T"&amp;ROW(B260))</f>
        <v>1.2</v>
      </c>
      <c r="AR279" s="100">
        <f t="shared" si="27"/>
        <v>-4.750932211</v>
      </c>
    </row>
    <row r="280">
      <c r="A280" s="40" t="str">
        <f t="shared" si="3"/>
        <v>Aaron Wiggins</v>
      </c>
      <c r="B280" s="42">
        <f t="shared" si="4"/>
        <v>-1.981146493</v>
      </c>
      <c r="C280" s="43">
        <f t="shared" si="5"/>
        <v>-1.044016488</v>
      </c>
      <c r="D280" s="42">
        <f t="shared" si="6"/>
        <v>-1.399939828</v>
      </c>
      <c r="E280" s="42">
        <f t="shared" si="7"/>
        <v>-1.292023185</v>
      </c>
      <c r="F280" s="42">
        <f t="shared" si="8"/>
        <v>-1.248594445</v>
      </c>
      <c r="G280" s="42">
        <f t="shared" si="9"/>
        <v>-0.9723047469</v>
      </c>
      <c r="H280" s="42">
        <f t="shared" si="10"/>
        <v>0.2265012071</v>
      </c>
      <c r="I280" s="42">
        <f>UpdateHashtag!S278</f>
        <v>4.7</v>
      </c>
      <c r="J280" s="47">
        <f t="shared" si="11"/>
        <v>0.05127082656</v>
      </c>
      <c r="K280" s="48">
        <f>UpdateHashtag!T278</f>
        <v>0.9</v>
      </c>
      <c r="L280" s="42">
        <f t="shared" si="12"/>
        <v>-1.040202395</v>
      </c>
      <c r="N280" s="100">
        <f t="shared" si="13"/>
        <v>267</v>
      </c>
      <c r="O280" s="94" t="str">
        <f t="array" ref="O280">INDIRECT("Update"&amp;Projections!$AH$17&amp;"!B"&amp;ROW(B261))</f>
        <v/>
      </c>
      <c r="P280" s="101" t="str">
        <f t="array" ref="P280">INDIRECT("Update"&amp;Projections!$AH$17&amp;"!C"&amp;ROW(B261))</f>
        <v>Goga Bitadze</v>
      </c>
      <c r="Q280" s="94">
        <f>UpdateBBM!F261</f>
        <v>51</v>
      </c>
      <c r="R280" s="105" t="str">
        <f t="array" ref="R280">INDIRECT("Update"&amp;Projections!$AH$17&amp;"!D"&amp;ROW(B261))</f>
        <v>C</v>
      </c>
      <c r="S280" s="73">
        <f t="shared" si="14"/>
        <v>-4.883813916</v>
      </c>
      <c r="T280" s="73">
        <f>SUM(AE280:AM280)-IFERROR(IFS(Projections!$I$17,AN280,Projections!$J$17,AO280),"")</f>
        <v>-4.883813916</v>
      </c>
      <c r="U280" s="73">
        <f t="shared" si="15"/>
        <v>0</v>
      </c>
      <c r="V280" s="73">
        <f t="array" ref="V280">INDIRECT("Update"&amp;Projections!$AH$17&amp;"!M"&amp;ROW(B261))</f>
        <v>4.9</v>
      </c>
      <c r="W280" s="73">
        <f t="array" ref="W280">INDIRECT("Update"&amp;Projections!$AH$17&amp;"!L"&amp;ROW(B261))</f>
        <v>0.1</v>
      </c>
      <c r="X280" s="73">
        <f t="array" ref="X280">INDIRECT("Update"&amp;Projections!$AH$17&amp;"!N"&amp;ROW(B261))</f>
        <v>4.4</v>
      </c>
      <c r="Y280" s="73">
        <f t="array" ref="Y280">INDIRECT("Update"&amp;Projections!$AH$17&amp;"!O"&amp;ROW(B261))</f>
        <v>1.2</v>
      </c>
      <c r="Z280" s="73">
        <f t="array" ref="Z280">INDIRECT("Update"&amp;Projections!$AH$17&amp;"!P"&amp;ROW(B261))</f>
        <v>0.5</v>
      </c>
      <c r="AA280" s="73">
        <f t="array" ref="AA280">INDIRECT("Update"&amp;Projections!$AH$17&amp;"!Q"&amp;ROW(B261))</f>
        <v>1</v>
      </c>
      <c r="AB280" s="107">
        <f t="array" ref="AB280">INDIRECT("Update"&amp;Projections!$AH$17&amp;"!I"&amp;ROW(B261))</f>
        <v>0.583</v>
      </c>
      <c r="AC280" s="107">
        <f t="array" ref="AC280">INDIRECT("Update"&amp;Projections!$AH$17&amp;"!K"&amp;ROW(B261))</f>
        <v>0.617</v>
      </c>
      <c r="AD280" s="73">
        <f t="array" ref="AD280">INDIRECT("Update"&amp;Projections!$AH$17&amp;"!R"&amp;ROW(B261))</f>
        <v>0.7</v>
      </c>
      <c r="AE280" s="73">
        <f t="shared" si="16"/>
        <v>-2.270183325</v>
      </c>
      <c r="AF280" s="73">
        <f t="shared" si="17"/>
        <v>-1.641162282</v>
      </c>
      <c r="AG280" s="73">
        <f t="shared" si="18"/>
        <v>-0.6546387764</v>
      </c>
      <c r="AH280" s="73">
        <f t="shared" si="19"/>
        <v>-1.246461415</v>
      </c>
      <c r="AI280" s="73">
        <f t="shared" si="20"/>
        <v>-1.580527123</v>
      </c>
      <c r="AJ280" s="73">
        <f t="shared" si="21"/>
        <v>0.4548448695</v>
      </c>
      <c r="AK280" s="73">
        <f t="shared" si="22"/>
        <v>0.3431680769</v>
      </c>
      <c r="AL280" s="73">
        <f t="shared" si="23"/>
        <v>-0.8190878652</v>
      </c>
      <c r="AM280" s="73">
        <f t="shared" si="24"/>
        <v>0.2600505987</v>
      </c>
      <c r="AN280" s="120">
        <f t="shared" si="25"/>
        <v>-2.270183325</v>
      </c>
      <c r="AO280" s="120">
        <f t="shared" si="26"/>
        <v>-3.911345607</v>
      </c>
      <c r="AP280" s="120">
        <f t="array" ref="AP280">INDIRECT("Update"&amp;Projections!$AH$17&amp;"!S"&amp;ROW(B261))</f>
        <v>3.4</v>
      </c>
      <c r="AQ280" s="120">
        <f t="array" ref="AQ280">INDIRECT("Update"&amp;Projections!$AH$17&amp;"!T"&amp;ROW(B261))</f>
        <v>1.3</v>
      </c>
      <c r="AR280" s="100">
        <f t="shared" si="27"/>
        <v>-4.764861591</v>
      </c>
    </row>
    <row r="281">
      <c r="A281" s="40" t="str">
        <f t="shared" si="3"/>
        <v>Shake Milton</v>
      </c>
      <c r="B281" s="42">
        <f t="shared" si="4"/>
        <v>-1.692109662</v>
      </c>
      <c r="C281" s="43">
        <f t="shared" si="5"/>
        <v>-1.044016488</v>
      </c>
      <c r="D281" s="42">
        <f t="shared" si="6"/>
        <v>-1.399939828</v>
      </c>
      <c r="E281" s="42">
        <f t="shared" si="7"/>
        <v>-0.4719113175</v>
      </c>
      <c r="F281" s="42">
        <f t="shared" si="8"/>
        <v>-1.912459801</v>
      </c>
      <c r="G281" s="42">
        <f t="shared" si="9"/>
        <v>-0.9723047469</v>
      </c>
      <c r="H281" s="42">
        <f t="shared" si="10"/>
        <v>-0.3131601966</v>
      </c>
      <c r="I281" s="42">
        <f>UpdateHashtag!S279</f>
        <v>6.7</v>
      </c>
      <c r="J281" s="47">
        <f t="shared" si="11"/>
        <v>0.2951338372</v>
      </c>
      <c r="K281" s="48">
        <f>UpdateHashtag!T279</f>
        <v>1.6</v>
      </c>
      <c r="L281" s="42">
        <f t="shared" si="12"/>
        <v>-0.5442381251</v>
      </c>
      <c r="N281" s="100">
        <f t="shared" si="13"/>
        <v>257</v>
      </c>
      <c r="O281" s="94">
        <f t="array" ref="O281">INDIRECT("Update"&amp;Projections!$AH$17&amp;"!B"&amp;ROW(B262))</f>
        <v>141.7</v>
      </c>
      <c r="P281" s="101" t="str">
        <f t="array" ref="P281">INDIRECT("Update"&amp;Projections!$AH$17&amp;"!C"&amp;ROW(B262))</f>
        <v>Stephon Castle</v>
      </c>
      <c r="Q281" s="94">
        <f>UpdateBBM!F262</f>
        <v>71</v>
      </c>
      <c r="R281" s="105" t="str">
        <f t="array" ref="R281">INDIRECT("Update"&amp;Projections!$AH$17&amp;"!D"&amp;ROW(B262))</f>
        <v>PG</v>
      </c>
      <c r="S281" s="73">
        <f t="shared" si="14"/>
        <v>-4.658045209</v>
      </c>
      <c r="T281" s="73">
        <f>SUM(AE281:AM281)-IFERROR(IFS(Projections!$I$17,AN281,Projections!$J$17,AO281),"")</f>
        <v>-4.658045209</v>
      </c>
      <c r="U281" s="73">
        <f t="shared" si="15"/>
        <v>0</v>
      </c>
      <c r="V281" s="73">
        <f t="array" ref="V281">INDIRECT("Update"&amp;Projections!$AH$17&amp;"!M"&amp;ROW(B262))</f>
        <v>7.5</v>
      </c>
      <c r="W281" s="73">
        <f t="array" ref="W281">INDIRECT("Update"&amp;Projections!$AH$17&amp;"!L"&amp;ROW(B262))</f>
        <v>0.4</v>
      </c>
      <c r="X281" s="73">
        <f t="array" ref="X281">INDIRECT("Update"&amp;Projections!$AH$17&amp;"!N"&amp;ROW(B262))</f>
        <v>3.1</v>
      </c>
      <c r="Y281" s="73">
        <f t="array" ref="Y281">INDIRECT("Update"&amp;Projections!$AH$17&amp;"!O"&amp;ROW(B262))</f>
        <v>2.6</v>
      </c>
      <c r="Z281" s="73">
        <f t="array" ref="Z281">INDIRECT("Update"&amp;Projections!$AH$17&amp;"!P"&amp;ROW(B262))</f>
        <v>0.8</v>
      </c>
      <c r="AA281" s="73">
        <f t="array" ref="AA281">INDIRECT("Update"&amp;Projections!$AH$17&amp;"!Q"&amp;ROW(B262))</f>
        <v>0.4</v>
      </c>
      <c r="AB281" s="107">
        <f t="array" ref="AB281">INDIRECT("Update"&amp;Projections!$AH$17&amp;"!I"&amp;ROW(B262))</f>
        <v>0.465</v>
      </c>
      <c r="AC281" s="107">
        <f t="array" ref="AC281">INDIRECT("Update"&amp;Projections!$AH$17&amp;"!K"&amp;ROW(B262))</f>
        <v>0.755</v>
      </c>
      <c r="AD281" s="73">
        <f t="array" ref="AD281">INDIRECT("Update"&amp;Projections!$AH$17&amp;"!R"&amp;ROW(B262))</f>
        <v>1</v>
      </c>
      <c r="AE281" s="73">
        <f t="shared" si="16"/>
        <v>-1.800498474</v>
      </c>
      <c r="AF281" s="73">
        <f t="shared" si="17"/>
        <v>-1.342589385</v>
      </c>
      <c r="AG281" s="73">
        <f t="shared" si="18"/>
        <v>-1.164581601</v>
      </c>
      <c r="AH281" s="73">
        <f t="shared" si="19"/>
        <v>-0.6085966288</v>
      </c>
      <c r="AI281" s="73">
        <f t="shared" si="20"/>
        <v>-0.5847290887</v>
      </c>
      <c r="AJ281" s="73">
        <f t="shared" si="21"/>
        <v>-0.6155173428</v>
      </c>
      <c r="AK281" s="73">
        <f t="shared" si="22"/>
        <v>-0.2167130591</v>
      </c>
      <c r="AL281" s="73">
        <f t="shared" si="23"/>
        <v>-0.3109740623</v>
      </c>
      <c r="AM281" s="73">
        <f t="shared" si="24"/>
        <v>0.1856559582</v>
      </c>
      <c r="AN281" s="120">
        <f t="shared" si="25"/>
        <v>-1.800498474</v>
      </c>
      <c r="AO281" s="120">
        <f t="shared" si="26"/>
        <v>-3.143087859</v>
      </c>
      <c r="AP281" s="120">
        <f t="array" ref="AP281">INDIRECT("Update"&amp;Projections!$AH$17&amp;"!S"&amp;ROW(B262))</f>
        <v>5.8</v>
      </c>
      <c r="AQ281" s="120">
        <f t="array" ref="AQ281">INDIRECT("Update"&amp;Projections!$AH$17&amp;"!T"&amp;ROW(B262))</f>
        <v>2.2</v>
      </c>
      <c r="AR281" s="100">
        <f t="shared" si="27"/>
        <v>-4.778484936</v>
      </c>
    </row>
    <row r="282">
      <c r="A282" s="40" t="str">
        <f t="shared" si="3"/>
        <v>Kevin Love</v>
      </c>
      <c r="B282" s="42">
        <f t="shared" si="4"/>
        <v>-1.85469288</v>
      </c>
      <c r="C282" s="43">
        <f t="shared" si="5"/>
        <v>-0.4468706937</v>
      </c>
      <c r="D282" s="42">
        <f t="shared" si="6"/>
        <v>-0.3016014363</v>
      </c>
      <c r="E282" s="42">
        <f t="shared" si="7"/>
        <v>-1.018652563</v>
      </c>
      <c r="F282" s="42">
        <f t="shared" si="8"/>
        <v>-2.244392479</v>
      </c>
      <c r="G282" s="42">
        <f t="shared" si="9"/>
        <v>-0.9723047469</v>
      </c>
      <c r="H282" s="42">
        <f t="shared" si="10"/>
        <v>-0.5670381032</v>
      </c>
      <c r="I282" s="42">
        <f>UpdateHashtag!S280</f>
        <v>5.7</v>
      </c>
      <c r="J282" s="47">
        <f t="shared" si="11"/>
        <v>0.1541244059</v>
      </c>
      <c r="K282" s="48">
        <f>UpdateHashtag!T280</f>
        <v>1.4</v>
      </c>
      <c r="L282" s="42">
        <f t="shared" si="12"/>
        <v>-0.8418166868</v>
      </c>
      <c r="N282" s="100">
        <f t="shared" si="13"/>
        <v>252</v>
      </c>
      <c r="O282" s="94" t="str">
        <f t="array" ref="O282">INDIRECT("Update"&amp;Projections!$AH$17&amp;"!B"&amp;ROW(B263))</f>
        <v/>
      </c>
      <c r="P282" s="101" t="str">
        <f t="array" ref="P282">INDIRECT("Update"&amp;Projections!$AH$17&amp;"!C"&amp;ROW(B263))</f>
        <v>Gary Payton II</v>
      </c>
      <c r="Q282" s="94">
        <f>UpdateBBM!F263</f>
        <v>75</v>
      </c>
      <c r="R282" s="105" t="str">
        <f t="array" ref="R282">INDIRECT("Update"&amp;Projections!$AH$17&amp;"!D"&amp;ROW(B263))</f>
        <v>SG,SF</v>
      </c>
      <c r="S282" s="73">
        <f t="shared" si="14"/>
        <v>-4.511999868</v>
      </c>
      <c r="T282" s="73">
        <f>SUM(AE282:AM282)-IFERROR(IFS(Projections!$I$17,AN282,Projections!$J$17,AO282),"")</f>
        <v>-4.511999868</v>
      </c>
      <c r="U282" s="73">
        <f t="shared" si="15"/>
        <v>0</v>
      </c>
      <c r="V282" s="73">
        <f t="array" ref="V282">INDIRECT("Update"&amp;Projections!$AH$17&amp;"!M"&amp;ROW(B263))</f>
        <v>4.9</v>
      </c>
      <c r="W282" s="73">
        <f t="array" ref="W282">INDIRECT("Update"&amp;Projections!$AH$17&amp;"!L"&amp;ROW(B263))</f>
        <v>0.5</v>
      </c>
      <c r="X282" s="73">
        <f t="array" ref="X282">INDIRECT("Update"&amp;Projections!$AH$17&amp;"!N"&amp;ROW(B263))</f>
        <v>2.6</v>
      </c>
      <c r="Y282" s="73">
        <f t="array" ref="Y282">INDIRECT("Update"&amp;Projections!$AH$17&amp;"!O"&amp;ROW(B263))</f>
        <v>1.1</v>
      </c>
      <c r="Z282" s="73">
        <f t="array" ref="Z282">INDIRECT("Update"&amp;Projections!$AH$17&amp;"!P"&amp;ROW(B263))</f>
        <v>0.9</v>
      </c>
      <c r="AA282" s="73">
        <f t="array" ref="AA282">INDIRECT("Update"&amp;Projections!$AH$17&amp;"!Q"&amp;ROW(B263))</f>
        <v>0.3</v>
      </c>
      <c r="AB282" s="107">
        <f t="array" ref="AB282">INDIRECT("Update"&amp;Projections!$AH$17&amp;"!I"&amp;ROW(B263))</f>
        <v>0.572</v>
      </c>
      <c r="AC282" s="107">
        <f t="array" ref="AC282">INDIRECT("Update"&amp;Projections!$AH$17&amp;"!K"&amp;ROW(B263))</f>
        <v>0.674</v>
      </c>
      <c r="AD282" s="73">
        <f t="array" ref="AD282">INDIRECT("Update"&amp;Projections!$AH$17&amp;"!R"&amp;ROW(B263))</f>
        <v>0.6</v>
      </c>
      <c r="AE282" s="73">
        <f t="shared" si="16"/>
        <v>-2.270183325</v>
      </c>
      <c r="AF282" s="73">
        <f t="shared" si="17"/>
        <v>-1.243065086</v>
      </c>
      <c r="AG282" s="73">
        <f t="shared" si="18"/>
        <v>-1.360713457</v>
      </c>
      <c r="AH282" s="73">
        <f t="shared" si="19"/>
        <v>-1.292023185</v>
      </c>
      <c r="AI282" s="73">
        <f t="shared" si="20"/>
        <v>-0.2527964105</v>
      </c>
      <c r="AJ282" s="73">
        <f t="shared" si="21"/>
        <v>-0.7939110449</v>
      </c>
      <c r="AK282" s="73">
        <f t="shared" si="22"/>
        <v>0.3169431982</v>
      </c>
      <c r="AL282" s="73">
        <f t="shared" si="23"/>
        <v>-0.1712826954</v>
      </c>
      <c r="AM282" s="73">
        <f t="shared" si="24"/>
        <v>0.2848488121</v>
      </c>
      <c r="AN282" s="120">
        <f t="shared" si="25"/>
        <v>-2.270183325</v>
      </c>
      <c r="AO282" s="120">
        <f t="shared" si="26"/>
        <v>-3.630896782</v>
      </c>
      <c r="AP282" s="120">
        <f t="array" ref="AP282">INDIRECT("Update"&amp;Projections!$AH$17&amp;"!S"&amp;ROW(B263))</f>
        <v>3.6</v>
      </c>
      <c r="AQ282" s="120">
        <f t="array" ref="AQ282">INDIRECT("Update"&amp;Projections!$AH$17&amp;"!T"&amp;ROW(B263))</f>
        <v>0.4</v>
      </c>
      <c r="AR282" s="100">
        <f t="shared" si="27"/>
        <v>-4.785866817</v>
      </c>
    </row>
    <row r="283">
      <c r="A283" s="40" t="str">
        <f t="shared" si="3"/>
        <v>Jarace Walker</v>
      </c>
      <c r="B283" s="42">
        <f t="shared" si="4"/>
        <v>-2.234053721</v>
      </c>
      <c r="C283" s="43">
        <f t="shared" si="5"/>
        <v>-0.8449678898</v>
      </c>
      <c r="D283" s="42">
        <f t="shared" si="6"/>
        <v>-1.321487086</v>
      </c>
      <c r="E283" s="42">
        <f t="shared" si="7"/>
        <v>-1.018652563</v>
      </c>
      <c r="F283" s="42">
        <f t="shared" si="8"/>
        <v>-1.248594445</v>
      </c>
      <c r="G283" s="42">
        <f t="shared" si="9"/>
        <v>-0.4371236408</v>
      </c>
      <c r="H283" s="42">
        <f t="shared" si="10"/>
        <v>-0.4737833099</v>
      </c>
      <c r="I283" s="42">
        <f>UpdateHashtag!S281</f>
        <v>4.6</v>
      </c>
      <c r="J283" s="47">
        <f t="shared" si="11"/>
        <v>0.141778693</v>
      </c>
      <c r="K283" s="48">
        <f>UpdateHashtag!T281</f>
        <v>0.4</v>
      </c>
      <c r="L283" s="42">
        <f t="shared" si="12"/>
        <v>-1.040202395</v>
      </c>
      <c r="N283" s="100">
        <f t="shared" si="13"/>
        <v>268</v>
      </c>
      <c r="O283" s="94">
        <f t="array" ref="O283">INDIRECT("Update"&amp;Projections!$AH$17&amp;"!B"&amp;ROW(B264))</f>
        <v>145.3</v>
      </c>
      <c r="P283" s="101" t="str">
        <f t="array" ref="P283">INDIRECT("Update"&amp;Projections!$AH$17&amp;"!C"&amp;ROW(B264))</f>
        <v>Matas Buzelis</v>
      </c>
      <c r="Q283" s="94">
        <f>UpdateBBM!F264</f>
        <v>66</v>
      </c>
      <c r="R283" s="105" t="str">
        <f t="array" ref="R283">INDIRECT("Update"&amp;Projections!$AH$17&amp;"!D"&amp;ROW(B264))</f>
        <v>SF</v>
      </c>
      <c r="S283" s="73">
        <f t="shared" si="14"/>
        <v>-4.937872004</v>
      </c>
      <c r="T283" s="73">
        <f>SUM(AE283:AM283)-IFERROR(IFS(Projections!$I$17,AN283,Projections!$J$17,AO283),"")</f>
        <v>-4.937872004</v>
      </c>
      <c r="U283" s="73">
        <f t="shared" si="15"/>
        <v>0</v>
      </c>
      <c r="V283" s="73">
        <f t="array" ref="V283">INDIRECT("Update"&amp;Projections!$AH$17&amp;"!M"&amp;ROW(B264))</f>
        <v>7.4</v>
      </c>
      <c r="W283" s="73">
        <f t="array" ref="W283">INDIRECT("Update"&amp;Projections!$AH$17&amp;"!L"&amp;ROW(B264))</f>
        <v>0.5</v>
      </c>
      <c r="X283" s="73">
        <f t="array" ref="X283">INDIRECT("Update"&amp;Projections!$AH$17&amp;"!N"&amp;ROW(B264))</f>
        <v>3.9</v>
      </c>
      <c r="Y283" s="73">
        <f t="array" ref="Y283">INDIRECT("Update"&amp;Projections!$AH$17&amp;"!O"&amp;ROW(B264))</f>
        <v>1.1</v>
      </c>
      <c r="Z283" s="73">
        <f t="array" ref="Z283">INDIRECT("Update"&amp;Projections!$AH$17&amp;"!P"&amp;ROW(B264))</f>
        <v>0.5</v>
      </c>
      <c r="AA283" s="73">
        <f t="array" ref="AA283">INDIRECT("Update"&amp;Projections!$AH$17&amp;"!Q"&amp;ROW(B264))</f>
        <v>1.2</v>
      </c>
      <c r="AB283" s="107">
        <f t="array" ref="AB283">INDIRECT("Update"&amp;Projections!$AH$17&amp;"!I"&amp;ROW(B264))</f>
        <v>0.447</v>
      </c>
      <c r="AC283" s="107">
        <f t="array" ref="AC283">INDIRECT("Update"&amp;Projections!$AH$17&amp;"!K"&amp;ROW(B264))</f>
        <v>0.678</v>
      </c>
      <c r="AD283" s="73">
        <f t="array" ref="AD283">INDIRECT("Update"&amp;Projections!$AH$17&amp;"!R"&amp;ROW(B264))</f>
        <v>1.3</v>
      </c>
      <c r="AE283" s="73">
        <f t="shared" si="16"/>
        <v>-1.818563276</v>
      </c>
      <c r="AF283" s="73">
        <f t="shared" si="17"/>
        <v>-1.243065086</v>
      </c>
      <c r="AG283" s="73">
        <f t="shared" si="18"/>
        <v>-0.850770632</v>
      </c>
      <c r="AH283" s="73">
        <f t="shared" si="19"/>
        <v>-1.292023185</v>
      </c>
      <c r="AI283" s="73">
        <f t="shared" si="20"/>
        <v>-1.580527123</v>
      </c>
      <c r="AJ283" s="73">
        <f t="shared" si="21"/>
        <v>0.8116322736</v>
      </c>
      <c r="AK283" s="73">
        <f t="shared" si="22"/>
        <v>-0.3975302915</v>
      </c>
      <c r="AL283" s="73">
        <f t="shared" si="23"/>
        <v>-0.4968492779</v>
      </c>
      <c r="AM283" s="73">
        <f t="shared" si="24"/>
        <v>0.1112613178</v>
      </c>
      <c r="AN283" s="120">
        <f t="shared" si="25"/>
        <v>-1.818563276</v>
      </c>
      <c r="AO283" s="120">
        <f t="shared" si="26"/>
        <v>-3.399090399</v>
      </c>
      <c r="AP283" s="120">
        <f t="array" ref="AP283">INDIRECT("Update"&amp;Projections!$AH$17&amp;"!S"&amp;ROW(B264))</f>
        <v>6.8</v>
      </c>
      <c r="AQ283" s="120">
        <f t="array" ref="AQ283">INDIRECT("Update"&amp;Projections!$AH$17&amp;"!T"&amp;ROW(B264))</f>
        <v>1.2</v>
      </c>
      <c r="AR283" s="100">
        <f t="shared" si="27"/>
        <v>-4.796581845</v>
      </c>
    </row>
    <row r="284">
      <c r="A284" s="40" t="str">
        <f t="shared" si="3"/>
        <v>Kyshawn George</v>
      </c>
      <c r="B284" s="42">
        <f t="shared" si="4"/>
        <v>-2.071470503</v>
      </c>
      <c r="C284" s="43">
        <f t="shared" si="5"/>
        <v>-0.4468706937</v>
      </c>
      <c r="D284" s="42">
        <f t="shared" si="6"/>
        <v>-1.439166199</v>
      </c>
      <c r="E284" s="42">
        <f t="shared" si="7"/>
        <v>-1.018652563</v>
      </c>
      <c r="F284" s="42">
        <f t="shared" si="8"/>
        <v>-0.9166617668</v>
      </c>
      <c r="G284" s="42">
        <f t="shared" si="9"/>
        <v>-0.7939110449</v>
      </c>
      <c r="H284" s="42">
        <f t="shared" si="10"/>
        <v>-0.4043729141</v>
      </c>
      <c r="I284" s="42">
        <f>UpdateHashtag!S282</f>
        <v>4.8</v>
      </c>
      <c r="J284" s="47">
        <f t="shared" si="11"/>
        <v>-0.06671938493</v>
      </c>
      <c r="K284" s="48">
        <f>UpdateHashtag!T282</f>
        <v>0.7</v>
      </c>
      <c r="L284" s="42">
        <f t="shared" si="12"/>
        <v>-0.5442381251</v>
      </c>
      <c r="N284" s="100">
        <f t="shared" si="13"/>
        <v>279</v>
      </c>
      <c r="O284" s="94" t="str">
        <f t="array" ref="O284">INDIRECT("Update"&amp;Projections!$AH$17&amp;"!B"&amp;ROW(B265))</f>
        <v/>
      </c>
      <c r="P284" s="101" t="str">
        <f t="array" ref="P284">INDIRECT("Update"&amp;Projections!$AH$17&amp;"!C"&amp;ROW(B265))</f>
        <v>Jonathan Mogbo</v>
      </c>
      <c r="Q284" s="94">
        <f>UpdateBBM!F265</f>
        <v>71</v>
      </c>
      <c r="R284" s="105" t="str">
        <f t="array" ref="R284">INDIRECT("Update"&amp;Projections!$AH$17&amp;"!D"&amp;ROW(B265))</f>
        <v>PF</v>
      </c>
      <c r="S284" s="73">
        <f t="shared" si="14"/>
        <v>-5.206212231</v>
      </c>
      <c r="T284" s="73">
        <f>SUM(AE284:AM284)-IFERROR(IFS(Projections!$I$17,AN284,Projections!$J$17,AO284),"")</f>
        <v>-5.206212231</v>
      </c>
      <c r="U284" s="73">
        <f t="shared" si="15"/>
        <v>0</v>
      </c>
      <c r="V284" s="73">
        <f t="array" ref="V284">INDIRECT("Update"&amp;Projections!$AH$17&amp;"!M"&amp;ROW(B265))</f>
        <v>5.7</v>
      </c>
      <c r="W284" s="73">
        <f t="array" ref="W284">INDIRECT("Update"&amp;Projections!$AH$17&amp;"!L"&amp;ROW(B265))</f>
        <v>0</v>
      </c>
      <c r="X284" s="73">
        <f t="array" ref="X284">INDIRECT("Update"&amp;Projections!$AH$17&amp;"!N"&amp;ROW(B265))</f>
        <v>4.1</v>
      </c>
      <c r="Y284" s="73">
        <f t="array" ref="Y284">INDIRECT("Update"&amp;Projections!$AH$17&amp;"!O"&amp;ROW(B265))</f>
        <v>1.5</v>
      </c>
      <c r="Z284" s="73">
        <f t="array" ref="Z284">INDIRECT("Update"&amp;Projections!$AH$17&amp;"!P"&amp;ROW(B265))</f>
        <v>0.6</v>
      </c>
      <c r="AA284" s="73">
        <f t="array" ref="AA284">INDIRECT("Update"&amp;Projections!$AH$17&amp;"!Q"&amp;ROW(B265))</f>
        <v>0.3</v>
      </c>
      <c r="AB284" s="107">
        <f t="array" ref="AB284">INDIRECT("Update"&amp;Projections!$AH$17&amp;"!I"&amp;ROW(B265))</f>
        <v>0.635</v>
      </c>
      <c r="AC284" s="107">
        <f t="array" ref="AC284">INDIRECT("Update"&amp;Projections!$AH$17&amp;"!K"&amp;ROW(B265))</f>
        <v>0.697</v>
      </c>
      <c r="AD284" s="73">
        <f t="array" ref="AD284">INDIRECT("Update"&amp;Projections!$AH$17&amp;"!R"&amp;ROW(B265))</f>
        <v>0.7</v>
      </c>
      <c r="AE284" s="73">
        <f t="shared" si="16"/>
        <v>-2.125664909</v>
      </c>
      <c r="AF284" s="73">
        <f t="shared" si="17"/>
        <v>-1.740686581</v>
      </c>
      <c r="AG284" s="73">
        <f t="shared" si="18"/>
        <v>-0.7723178898</v>
      </c>
      <c r="AH284" s="73">
        <f t="shared" si="19"/>
        <v>-1.109776103</v>
      </c>
      <c r="AI284" s="73">
        <f t="shared" si="20"/>
        <v>-1.248594445</v>
      </c>
      <c r="AJ284" s="73">
        <f t="shared" si="21"/>
        <v>-0.7939110449</v>
      </c>
      <c r="AK284" s="73">
        <f t="shared" si="22"/>
        <v>0.6151281725</v>
      </c>
      <c r="AL284" s="73">
        <f t="shared" si="23"/>
        <v>-0.4161049379</v>
      </c>
      <c r="AM284" s="73">
        <f t="shared" si="24"/>
        <v>0.2600505987</v>
      </c>
      <c r="AN284" s="120">
        <f t="shared" si="25"/>
        <v>-2.125664909</v>
      </c>
      <c r="AO284" s="120">
        <f t="shared" si="26"/>
        <v>-3.86635149</v>
      </c>
      <c r="AP284" s="120">
        <f t="array" ref="AP284">INDIRECT("Update"&amp;Projections!$AH$17&amp;"!S"&amp;ROW(B265))</f>
        <v>3.8</v>
      </c>
      <c r="AQ284" s="120">
        <f t="array" ref="AQ284">INDIRECT("Update"&amp;Projections!$AH$17&amp;"!T"&amp;ROW(B265))</f>
        <v>1.2</v>
      </c>
      <c r="AR284" s="100">
        <f t="shared" si="27"/>
        <v>-4.80021338</v>
      </c>
    </row>
    <row r="285">
      <c r="A285" s="40" t="str">
        <f t="shared" si="3"/>
        <v>Josh Minott</v>
      </c>
      <c r="B285" s="42">
        <f t="shared" si="4"/>
        <v>-2.215988919</v>
      </c>
      <c r="C285" s="43">
        <f t="shared" si="5"/>
        <v>-1.442113684</v>
      </c>
      <c r="D285" s="42">
        <f t="shared" si="6"/>
        <v>-1.47839257</v>
      </c>
      <c r="E285" s="42">
        <f t="shared" si="7"/>
        <v>-1.474270267</v>
      </c>
      <c r="F285" s="42">
        <f t="shared" si="8"/>
        <v>-1.580527123</v>
      </c>
      <c r="G285" s="42">
        <f t="shared" si="9"/>
        <v>-0.2587299387</v>
      </c>
      <c r="H285" s="42">
        <f t="shared" si="10"/>
        <v>-0.04516317165</v>
      </c>
      <c r="I285" s="42">
        <f>UpdateHashtag!S283</f>
        <v>3.9</v>
      </c>
      <c r="J285" s="47">
        <f t="shared" si="11"/>
        <v>0.510330121</v>
      </c>
      <c r="K285" s="48">
        <f>UpdateHashtag!T283</f>
        <v>1.2</v>
      </c>
      <c r="L285" s="42">
        <f t="shared" si="12"/>
        <v>-1.43697381</v>
      </c>
      <c r="N285" s="100">
        <f t="shared" si="13"/>
        <v>280</v>
      </c>
      <c r="O285" s="94" t="str">
        <f t="array" ref="O285">INDIRECT("Update"&amp;Projections!$AH$17&amp;"!B"&amp;ROW(B266))</f>
        <v/>
      </c>
      <c r="P285" s="101" t="str">
        <f t="array" ref="P285">INDIRECT("Update"&amp;Projections!$AH$17&amp;"!C"&amp;ROW(B266))</f>
        <v>Moses Moody</v>
      </c>
      <c r="Q285" s="94">
        <f>UpdateBBM!F266</f>
        <v>66</v>
      </c>
      <c r="R285" s="105" t="str">
        <f t="array" ref="R285">INDIRECT("Update"&amp;Projections!$AH$17&amp;"!D"&amp;ROW(B266))</f>
        <v>SG,SF</v>
      </c>
      <c r="S285" s="73">
        <f t="shared" si="14"/>
        <v>-5.250525708</v>
      </c>
      <c r="T285" s="73">
        <f>SUM(AE285:AM285)-IFERROR(IFS(Projections!$I$17,AN285,Projections!$J$17,AO285),"")</f>
        <v>-5.250525708</v>
      </c>
      <c r="U285" s="73">
        <f t="shared" si="15"/>
        <v>0</v>
      </c>
      <c r="V285" s="73">
        <f t="array" ref="V285">INDIRECT("Update"&amp;Projections!$AH$17&amp;"!M"&amp;ROW(B266))</f>
        <v>8.5</v>
      </c>
      <c r="W285" s="73">
        <f t="array" ref="W285">INDIRECT("Update"&amp;Projections!$AH$17&amp;"!L"&amp;ROW(B266))</f>
        <v>1.2</v>
      </c>
      <c r="X285" s="73">
        <f t="array" ref="X285">INDIRECT("Update"&amp;Projections!$AH$17&amp;"!N"&amp;ROW(B266))</f>
        <v>3.1</v>
      </c>
      <c r="Y285" s="73">
        <f t="array" ref="Y285">INDIRECT("Update"&amp;Projections!$AH$17&amp;"!O"&amp;ROW(B266))</f>
        <v>1.1</v>
      </c>
      <c r="Z285" s="73">
        <f t="array" ref="Z285">INDIRECT("Update"&amp;Projections!$AH$17&amp;"!P"&amp;ROW(B266))</f>
        <v>0.6</v>
      </c>
      <c r="AA285" s="73">
        <f t="array" ref="AA285">INDIRECT("Update"&amp;Projections!$AH$17&amp;"!Q"&amp;ROW(B266))</f>
        <v>0.3</v>
      </c>
      <c r="AB285" s="107">
        <f t="array" ref="AB285">INDIRECT("Update"&amp;Projections!$AH$17&amp;"!I"&amp;ROW(B266))</f>
        <v>0.466</v>
      </c>
      <c r="AC285" s="107">
        <f t="array" ref="AC285">INDIRECT("Update"&amp;Projections!$AH$17&amp;"!K"&amp;ROW(B266))</f>
        <v>0.757</v>
      </c>
      <c r="AD285" s="73">
        <f t="array" ref="AD285">INDIRECT("Update"&amp;Projections!$AH$17&amp;"!R"&amp;ROW(B266))</f>
        <v>0.8</v>
      </c>
      <c r="AE285" s="73">
        <f t="shared" si="16"/>
        <v>-1.619850454</v>
      </c>
      <c r="AF285" s="73">
        <f t="shared" si="17"/>
        <v>-0.5463949927</v>
      </c>
      <c r="AG285" s="73">
        <f t="shared" si="18"/>
        <v>-1.164581601</v>
      </c>
      <c r="AH285" s="73">
        <f t="shared" si="19"/>
        <v>-1.292023185</v>
      </c>
      <c r="AI285" s="73">
        <f t="shared" si="20"/>
        <v>-1.248594445</v>
      </c>
      <c r="AJ285" s="73">
        <f t="shared" si="21"/>
        <v>-0.7939110449</v>
      </c>
      <c r="AK285" s="73">
        <f t="shared" si="22"/>
        <v>-0.2388693095</v>
      </c>
      <c r="AL285" s="73">
        <f t="shared" si="23"/>
        <v>-0.2014035145</v>
      </c>
      <c r="AM285" s="73">
        <f t="shared" si="24"/>
        <v>0.2352523852</v>
      </c>
      <c r="AN285" s="120">
        <f t="shared" si="25"/>
        <v>-1.619850454</v>
      </c>
      <c r="AO285" s="120">
        <f t="shared" si="26"/>
        <v>-2.911873639</v>
      </c>
      <c r="AP285" s="120">
        <f t="array" ref="AP285">INDIRECT("Update"&amp;Projections!$AH$17&amp;"!S"&amp;ROW(B266))</f>
        <v>6.6</v>
      </c>
      <c r="AQ285" s="120">
        <f t="array" ref="AQ285">INDIRECT("Update"&amp;Projections!$AH$17&amp;"!T"&amp;ROW(B266))</f>
        <v>1.5</v>
      </c>
      <c r="AR285" s="100">
        <f t="shared" si="27"/>
        <v>-4.846685426</v>
      </c>
    </row>
    <row r="286">
      <c r="A286" s="40" t="str">
        <f t="shared" si="3"/>
        <v>Cam Whitmore</v>
      </c>
      <c r="B286" s="42">
        <f t="shared" si="4"/>
        <v>-1.095971197</v>
      </c>
      <c r="C286" s="43">
        <f t="shared" si="5"/>
        <v>-0.1482977966</v>
      </c>
      <c r="D286" s="42">
        <f t="shared" si="6"/>
        <v>-1.007676117</v>
      </c>
      <c r="E286" s="42">
        <f t="shared" si="7"/>
        <v>-1.474270267</v>
      </c>
      <c r="F286" s="42">
        <f t="shared" si="8"/>
        <v>-1.248594445</v>
      </c>
      <c r="G286" s="42">
        <f t="shared" si="9"/>
        <v>-0.7939110449</v>
      </c>
      <c r="H286" s="42">
        <f t="shared" si="10"/>
        <v>-0.4623582414</v>
      </c>
      <c r="I286" s="42">
        <f>UpdateHashtag!S284</f>
        <v>9.2</v>
      </c>
      <c r="J286" s="47">
        <f t="shared" si="11"/>
        <v>-0.9186814634</v>
      </c>
      <c r="K286" s="48">
        <f>UpdateHashtag!T284</f>
        <v>2.2</v>
      </c>
      <c r="L286" s="42">
        <f t="shared" si="12"/>
        <v>-0.8418166868</v>
      </c>
      <c r="N286" s="100">
        <f t="shared" si="13"/>
        <v>245</v>
      </c>
      <c r="O286" s="94" t="str">
        <f t="array" ref="O286">INDIRECT("Update"&amp;Projections!$AH$17&amp;"!B"&amp;ROW(B267))</f>
        <v/>
      </c>
      <c r="P286" s="101" t="str">
        <f t="array" ref="P286">INDIRECT("Update"&amp;Projections!$AH$17&amp;"!C"&amp;ROW(B267))</f>
        <v>Killian Hayes</v>
      </c>
      <c r="Q286" s="94">
        <f>UpdateBBM!F267</f>
        <v>56</v>
      </c>
      <c r="R286" s="105" t="str">
        <f t="array" ref="R286">INDIRECT("Update"&amp;Projections!$AH$17&amp;"!D"&amp;ROW(B267))</f>
        <v>PG,SG</v>
      </c>
      <c r="S286" s="73">
        <f t="shared" si="14"/>
        <v>-4.399685378</v>
      </c>
      <c r="T286" s="73">
        <f>SUM(AE286:AM286)-IFERROR(IFS(Projections!$I$17,AN286,Projections!$J$17,AO286),"")</f>
        <v>-4.399685378</v>
      </c>
      <c r="U286" s="73">
        <f t="shared" si="15"/>
        <v>0</v>
      </c>
      <c r="V286" s="73">
        <f t="array" ref="V286">INDIRECT("Update"&amp;Projections!$AH$17&amp;"!M"&amp;ROW(B267))</f>
        <v>7</v>
      </c>
      <c r="W286" s="73">
        <f t="array" ref="W286">INDIRECT("Update"&amp;Projections!$AH$17&amp;"!L"&amp;ROW(B267))</f>
        <v>0.7</v>
      </c>
      <c r="X286" s="73">
        <f t="array" ref="X286">INDIRECT("Update"&amp;Projections!$AH$17&amp;"!N"&amp;ROW(B267))</f>
        <v>2.2</v>
      </c>
      <c r="Y286" s="73">
        <f t="array" ref="Y286">INDIRECT("Update"&amp;Projections!$AH$17&amp;"!O"&amp;ROW(B267))</f>
        <v>4.4</v>
      </c>
      <c r="Z286" s="73">
        <f t="array" ref="Z286">INDIRECT("Update"&amp;Projections!$AH$17&amp;"!P"&amp;ROW(B267))</f>
        <v>0.9</v>
      </c>
      <c r="AA286" s="73">
        <f t="array" ref="AA286">INDIRECT("Update"&amp;Projections!$AH$17&amp;"!Q"&amp;ROW(B267))</f>
        <v>0.3</v>
      </c>
      <c r="AB286" s="107">
        <f t="array" ref="AB286">INDIRECT("Update"&amp;Projections!$AH$17&amp;"!I"&amp;ROW(B267))</f>
        <v>0.385</v>
      </c>
      <c r="AC286" s="107">
        <f t="array" ref="AC286">INDIRECT("Update"&amp;Projections!$AH$17&amp;"!K"&amp;ROW(B267))</f>
        <v>0.764</v>
      </c>
      <c r="AD286" s="73">
        <f t="array" ref="AD286">INDIRECT("Update"&amp;Projections!$AH$17&amp;"!R"&amp;ROW(B267))</f>
        <v>1.5</v>
      </c>
      <c r="AE286" s="73">
        <f t="shared" si="16"/>
        <v>-1.890822484</v>
      </c>
      <c r="AF286" s="73">
        <f t="shared" si="17"/>
        <v>-1.044016488</v>
      </c>
      <c r="AG286" s="73">
        <f t="shared" si="18"/>
        <v>-1.517618941</v>
      </c>
      <c r="AH286" s="73">
        <f t="shared" si="19"/>
        <v>0.2115152388</v>
      </c>
      <c r="AI286" s="73">
        <f t="shared" si="20"/>
        <v>-0.2527964105</v>
      </c>
      <c r="AJ286" s="73">
        <f t="shared" si="21"/>
        <v>-0.7939110449</v>
      </c>
      <c r="AK286" s="73">
        <f t="shared" si="22"/>
        <v>-0.9440956343</v>
      </c>
      <c r="AL286" s="73">
        <f t="shared" si="23"/>
        <v>-0.1204269888</v>
      </c>
      <c r="AM286" s="73">
        <f t="shared" si="24"/>
        <v>0.06166489084</v>
      </c>
      <c r="AN286" s="120">
        <f t="shared" si="25"/>
        <v>-1.890822484</v>
      </c>
      <c r="AO286" s="120">
        <f t="shared" si="26"/>
        <v>-3.408441425</v>
      </c>
      <c r="AP286" s="120">
        <f t="array" ref="AP286">INDIRECT("Update"&amp;Projections!$AH$17&amp;"!S"&amp;ROW(B267))</f>
        <v>7.2</v>
      </c>
      <c r="AQ286" s="120">
        <f t="array" ref="AQ286">INDIRECT("Update"&amp;Projections!$AH$17&amp;"!T"&amp;ROW(B267))</f>
        <v>1.1</v>
      </c>
      <c r="AR286" s="100">
        <f t="shared" si="27"/>
        <v>-4.881204791</v>
      </c>
    </row>
    <row r="287">
      <c r="A287" s="40" t="str">
        <f t="shared" si="3"/>
        <v>Mason Plumlee</v>
      </c>
      <c r="B287" s="42">
        <f t="shared" si="4"/>
        <v>-1.94501689</v>
      </c>
      <c r="C287" s="43">
        <f t="shared" si="5"/>
        <v>-1.740686581</v>
      </c>
      <c r="D287" s="42">
        <f t="shared" si="6"/>
        <v>-0.1446959518</v>
      </c>
      <c r="E287" s="42">
        <f t="shared" si="7"/>
        <v>-0.9730907921</v>
      </c>
      <c r="F287" s="42">
        <f t="shared" si="8"/>
        <v>-1.912459801</v>
      </c>
      <c r="G287" s="42">
        <f t="shared" si="9"/>
        <v>-0.6155173428</v>
      </c>
      <c r="H287" s="42">
        <f t="shared" si="10"/>
        <v>0.7181610237</v>
      </c>
      <c r="I287" s="42">
        <f>UpdateHashtag!S285</f>
        <v>3.9</v>
      </c>
      <c r="J287" s="47">
        <f t="shared" si="11"/>
        <v>-1.26529486</v>
      </c>
      <c r="K287" s="48">
        <f>UpdateHashtag!T285</f>
        <v>2.5</v>
      </c>
      <c r="L287" s="42">
        <f t="shared" si="12"/>
        <v>-0.8418166868</v>
      </c>
      <c r="N287" s="100">
        <f t="shared" si="13"/>
        <v>275</v>
      </c>
      <c r="O287" s="94" t="str">
        <f t="array" ref="O287">INDIRECT("Update"&amp;Projections!$AH$17&amp;"!B"&amp;ROW(B268))</f>
        <v/>
      </c>
      <c r="P287" s="101" t="str">
        <f t="array" ref="P287">INDIRECT("Update"&amp;Projections!$AH$17&amp;"!C"&amp;ROW(B268))</f>
        <v>Quentin Grimes</v>
      </c>
      <c r="Q287" s="94">
        <f>UpdateBBM!F268</f>
        <v>66</v>
      </c>
      <c r="R287" s="105" t="str">
        <f t="array" ref="R287">INDIRECT("Update"&amp;Projections!$AH$17&amp;"!D"&amp;ROW(B268))</f>
        <v>SG,SF</v>
      </c>
      <c r="S287" s="73">
        <f t="shared" si="14"/>
        <v>-5.086770826</v>
      </c>
      <c r="T287" s="73">
        <f>SUM(AE287:AM287)-IFERROR(IFS(Projections!$I$17,AN287,Projections!$J$17,AO287),"")</f>
        <v>-5.086770826</v>
      </c>
      <c r="U287" s="73">
        <f t="shared" si="15"/>
        <v>0</v>
      </c>
      <c r="V287" s="73">
        <f t="array" ref="V287">INDIRECT("Update"&amp;Projections!$AH$17&amp;"!M"&amp;ROW(B268))</f>
        <v>8.2</v>
      </c>
      <c r="W287" s="73">
        <f t="array" ref="W287">INDIRECT("Update"&amp;Projections!$AH$17&amp;"!L"&amp;ROW(B268))</f>
        <v>1.7</v>
      </c>
      <c r="X287" s="73">
        <f t="array" ref="X287">INDIRECT("Update"&amp;Projections!$AH$17&amp;"!N"&amp;ROW(B268))</f>
        <v>2.3</v>
      </c>
      <c r="Y287" s="73">
        <f t="array" ref="Y287">INDIRECT("Update"&amp;Projections!$AH$17&amp;"!O"&amp;ROW(B268))</f>
        <v>1.5</v>
      </c>
      <c r="Z287" s="73">
        <f t="array" ref="Z287">INDIRECT("Update"&amp;Projections!$AH$17&amp;"!P"&amp;ROW(B268))</f>
        <v>0.6</v>
      </c>
      <c r="AA287" s="73">
        <f t="array" ref="AA287">INDIRECT("Update"&amp;Projections!$AH$17&amp;"!Q"&amp;ROW(B268))</f>
        <v>0.2</v>
      </c>
      <c r="AB287" s="107">
        <f t="array" ref="AB287">INDIRECT("Update"&amp;Projections!$AH$17&amp;"!I"&amp;ROW(B268))</f>
        <v>0.435</v>
      </c>
      <c r="AC287" s="107">
        <f t="array" ref="AC287">INDIRECT("Update"&amp;Projections!$AH$17&amp;"!K"&amp;ROW(B268))</f>
        <v>0.792</v>
      </c>
      <c r="AD287" s="73">
        <f t="array" ref="AD287">INDIRECT("Update"&amp;Projections!$AH$17&amp;"!R"&amp;ROW(B268))</f>
        <v>0.7</v>
      </c>
      <c r="AE287" s="73">
        <f t="shared" si="16"/>
        <v>-1.67404486</v>
      </c>
      <c r="AF287" s="73">
        <f t="shared" si="17"/>
        <v>-0.04877349754</v>
      </c>
      <c r="AG287" s="73">
        <f t="shared" si="18"/>
        <v>-1.47839257</v>
      </c>
      <c r="AH287" s="73">
        <f t="shared" si="19"/>
        <v>-1.109776103</v>
      </c>
      <c r="AI287" s="73">
        <f t="shared" si="20"/>
        <v>-1.248594445</v>
      </c>
      <c r="AJ287" s="73">
        <f t="shared" si="21"/>
        <v>-0.9723047469</v>
      </c>
      <c r="AK287" s="73">
        <f t="shared" si="22"/>
        <v>-0.4786606965</v>
      </c>
      <c r="AL287" s="73">
        <f t="shared" si="23"/>
        <v>-0.01031936494</v>
      </c>
      <c r="AM287" s="73">
        <f t="shared" si="24"/>
        <v>0.2600505987</v>
      </c>
      <c r="AN287" s="120">
        <f t="shared" si="25"/>
        <v>-1.67404486</v>
      </c>
      <c r="AO287" s="120">
        <f t="shared" si="26"/>
        <v>-3.15243743</v>
      </c>
      <c r="AP287" s="120">
        <f t="array" ref="AP287">INDIRECT("Update"&amp;Projections!$AH$17&amp;"!S"&amp;ROW(B268))</f>
        <v>6.6</v>
      </c>
      <c r="AQ287" s="120">
        <f t="array" ref="AQ287">INDIRECT("Update"&amp;Projections!$AH$17&amp;"!T"&amp;ROW(B268))</f>
        <v>1</v>
      </c>
      <c r="AR287" s="100">
        <f t="shared" si="27"/>
        <v>-4.883813916</v>
      </c>
    </row>
    <row r="288">
      <c r="A288" s="40" t="str">
        <f t="shared" si="3"/>
        <v>Ziaire Williams</v>
      </c>
      <c r="B288" s="42">
        <f t="shared" si="4"/>
        <v>-1.601785652</v>
      </c>
      <c r="C288" s="43">
        <f t="shared" si="5"/>
        <v>-0.6459192917</v>
      </c>
      <c r="D288" s="42">
        <f t="shared" si="6"/>
        <v>-1.007676117</v>
      </c>
      <c r="E288" s="42">
        <f t="shared" si="7"/>
        <v>-1.109776103</v>
      </c>
      <c r="F288" s="42">
        <f t="shared" si="8"/>
        <v>-0.9166617668</v>
      </c>
      <c r="G288" s="42">
        <f t="shared" si="9"/>
        <v>-0.9723047469</v>
      </c>
      <c r="H288" s="42">
        <f t="shared" si="10"/>
        <v>-0.8125133066</v>
      </c>
      <c r="I288" s="42">
        <f>UpdateHashtag!S286</f>
        <v>7.8</v>
      </c>
      <c r="J288" s="47">
        <f t="shared" si="11"/>
        <v>0.07405786058</v>
      </c>
      <c r="K288" s="48">
        <f>UpdateHashtag!T286</f>
        <v>1.3</v>
      </c>
      <c r="L288" s="42">
        <f t="shared" si="12"/>
        <v>-0.3458524173</v>
      </c>
      <c r="N288" s="100">
        <f t="shared" si="13"/>
        <v>271</v>
      </c>
      <c r="O288" s="94" t="str">
        <f t="array" ref="O288">INDIRECT("Update"&amp;Projections!$AH$17&amp;"!B"&amp;ROW(B269))</f>
        <v/>
      </c>
      <c r="P288" s="101" t="str">
        <f t="array" ref="P288">INDIRECT("Update"&amp;Projections!$AH$17&amp;"!C"&amp;ROW(B269))</f>
        <v>Torrey Craig</v>
      </c>
      <c r="Q288" s="94">
        <f>UpdateBBM!F269</f>
        <v>71</v>
      </c>
      <c r="R288" s="105" t="str">
        <f t="array" ref="R288">INDIRECT("Update"&amp;Projections!$AH$17&amp;"!D"&amp;ROW(B269))</f>
        <v>SF,PF</v>
      </c>
      <c r="S288" s="73">
        <f t="shared" si="14"/>
        <v>-4.961167393</v>
      </c>
      <c r="T288" s="73">
        <f>SUM(AE288:AM288)-IFERROR(IFS(Projections!$I$17,AN288,Projections!$J$17,AO288),"")</f>
        <v>-4.961167393</v>
      </c>
      <c r="U288" s="73">
        <f t="shared" si="15"/>
        <v>0</v>
      </c>
      <c r="V288" s="73">
        <f t="array" ref="V288">INDIRECT("Update"&amp;Projections!$AH$17&amp;"!M"&amp;ROW(B269))</f>
        <v>5.7</v>
      </c>
      <c r="W288" s="73">
        <f t="array" ref="W288">INDIRECT("Update"&amp;Projections!$AH$17&amp;"!L"&amp;ROW(B269))</f>
        <v>1</v>
      </c>
      <c r="X288" s="73">
        <f t="array" ref="X288">INDIRECT("Update"&amp;Projections!$AH$17&amp;"!N"&amp;ROW(B269))</f>
        <v>4.1</v>
      </c>
      <c r="Y288" s="73">
        <f t="array" ref="Y288">INDIRECT("Update"&amp;Projections!$AH$17&amp;"!O"&amp;ROW(B269))</f>
        <v>1.1</v>
      </c>
      <c r="Z288" s="73">
        <f t="array" ref="Z288">INDIRECT("Update"&amp;Projections!$AH$17&amp;"!P"&amp;ROW(B269))</f>
        <v>0.5</v>
      </c>
      <c r="AA288" s="73">
        <f t="array" ref="AA288">INDIRECT("Update"&amp;Projections!$AH$17&amp;"!Q"&amp;ROW(B269))</f>
        <v>0.5</v>
      </c>
      <c r="AB288" s="107">
        <f t="array" ref="AB288">INDIRECT("Update"&amp;Projections!$AH$17&amp;"!I"&amp;ROW(B269))</f>
        <v>0.447</v>
      </c>
      <c r="AC288" s="107">
        <f t="array" ref="AC288">INDIRECT("Update"&amp;Projections!$AH$17&amp;"!K"&amp;ROW(B269))</f>
        <v>0.731</v>
      </c>
      <c r="AD288" s="73">
        <f t="array" ref="AD288">INDIRECT("Update"&amp;Projections!$AH$17&amp;"!R"&amp;ROW(B269))</f>
        <v>0.7</v>
      </c>
      <c r="AE288" s="73">
        <f t="shared" si="16"/>
        <v>-2.125664909</v>
      </c>
      <c r="AF288" s="73">
        <f t="shared" si="17"/>
        <v>-0.7454435908</v>
      </c>
      <c r="AG288" s="73">
        <f t="shared" si="18"/>
        <v>-0.7723178898</v>
      </c>
      <c r="AH288" s="73">
        <f t="shared" si="19"/>
        <v>-1.292023185</v>
      </c>
      <c r="AI288" s="73">
        <f t="shared" si="20"/>
        <v>-1.580527123</v>
      </c>
      <c r="AJ288" s="73">
        <f t="shared" si="21"/>
        <v>-0.4371236408</v>
      </c>
      <c r="AK288" s="73">
        <f t="shared" si="22"/>
        <v>-0.2806096175</v>
      </c>
      <c r="AL288" s="73">
        <f t="shared" si="23"/>
        <v>-0.1131729443</v>
      </c>
      <c r="AM288" s="73">
        <f t="shared" si="24"/>
        <v>0.2600505987</v>
      </c>
      <c r="AN288" s="120">
        <f t="shared" si="25"/>
        <v>-2.125664909</v>
      </c>
      <c r="AO288" s="120">
        <f t="shared" si="26"/>
        <v>-3.706192032</v>
      </c>
      <c r="AP288" s="120">
        <f t="array" ref="AP288">INDIRECT("Update"&amp;Projections!$AH$17&amp;"!S"&amp;ROW(B269))</f>
        <v>4.8</v>
      </c>
      <c r="AQ288" s="120">
        <f t="array" ref="AQ288">INDIRECT("Update"&amp;Projections!$AH$17&amp;"!T"&amp;ROW(B269))</f>
        <v>0.5</v>
      </c>
      <c r="AR288" s="100">
        <f t="shared" si="27"/>
        <v>-4.937872004</v>
      </c>
    </row>
    <row r="289">
      <c r="A289" s="40" t="str">
        <f t="shared" si="3"/>
        <v>Jay Huff</v>
      </c>
      <c r="B289" s="42">
        <f t="shared" si="4"/>
        <v>-2.324377731</v>
      </c>
      <c r="C289" s="43">
        <f t="shared" si="5"/>
        <v>-1.143540787</v>
      </c>
      <c r="D289" s="42">
        <f t="shared" si="6"/>
        <v>-1.596071683</v>
      </c>
      <c r="E289" s="42">
        <f t="shared" si="7"/>
        <v>-1.474270267</v>
      </c>
      <c r="F289" s="42">
        <f t="shared" si="8"/>
        <v>-2.244392479</v>
      </c>
      <c r="G289" s="42">
        <f t="shared" si="9"/>
        <v>-0.6155173428</v>
      </c>
      <c r="H289" s="42">
        <f t="shared" si="10"/>
        <v>0.2992095049</v>
      </c>
      <c r="I289" s="42">
        <f>UpdateHashtag!S287</f>
        <v>2.5</v>
      </c>
      <c r="J289" s="47">
        <f t="shared" si="11"/>
        <v>0.5885649791</v>
      </c>
      <c r="K289" s="48">
        <f>UpdateHashtag!T287</f>
        <v>1.1</v>
      </c>
      <c r="L289" s="42">
        <f t="shared" si="12"/>
        <v>-1.337780956</v>
      </c>
      <c r="N289" s="100">
        <f t="shared" si="13"/>
        <v>254</v>
      </c>
      <c r="O289" s="94" t="str">
        <f t="array" ref="O289">INDIRECT("Update"&amp;Projections!$AH$17&amp;"!B"&amp;ROW(B270))</f>
        <v/>
      </c>
      <c r="P289" s="101" t="str">
        <f t="array" ref="P289">INDIRECT("Update"&amp;Projections!$AH$17&amp;"!C"&amp;ROW(B270))</f>
        <v>Gabe Vincent</v>
      </c>
      <c r="Q289" s="94">
        <f>UpdateBBM!F270</f>
        <v>71</v>
      </c>
      <c r="R289" s="105" t="str">
        <f t="array" ref="R289">INDIRECT("Update"&amp;Projections!$AH$17&amp;"!D"&amp;ROW(B270))</f>
        <v>PG,SG</v>
      </c>
      <c r="S289" s="73">
        <f t="shared" si="14"/>
        <v>-4.584754091</v>
      </c>
      <c r="T289" s="73">
        <f>SUM(AE289:AM289)-IFERROR(IFS(Projections!$I$17,AN289,Projections!$J$17,AO289),"")</f>
        <v>-4.584754091</v>
      </c>
      <c r="U289" s="73">
        <f t="shared" si="15"/>
        <v>0</v>
      </c>
      <c r="V289" s="73">
        <f t="array" ref="V289">INDIRECT("Update"&amp;Projections!$AH$17&amp;"!M"&amp;ROW(B270))</f>
        <v>8.4</v>
      </c>
      <c r="W289" s="73">
        <f t="array" ref="W289">INDIRECT("Update"&amp;Projections!$AH$17&amp;"!L"&amp;ROW(B270))</f>
        <v>1.5</v>
      </c>
      <c r="X289" s="73">
        <f t="array" ref="X289">INDIRECT("Update"&amp;Projections!$AH$17&amp;"!N"&amp;ROW(B270))</f>
        <v>1.9</v>
      </c>
      <c r="Y289" s="73">
        <f t="array" ref="Y289">INDIRECT("Update"&amp;Projections!$AH$17&amp;"!O"&amp;ROW(B270))</f>
        <v>2.3</v>
      </c>
      <c r="Z289" s="73">
        <f t="array" ref="Z289">INDIRECT("Update"&amp;Projections!$AH$17&amp;"!P"&amp;ROW(B270))</f>
        <v>0.9</v>
      </c>
      <c r="AA289" s="73">
        <f t="array" ref="AA289">INDIRECT("Update"&amp;Projections!$AH$17&amp;"!Q"&amp;ROW(B270))</f>
        <v>0.1</v>
      </c>
      <c r="AB289" s="107">
        <f t="array" ref="AB289">INDIRECT("Update"&amp;Projections!$AH$17&amp;"!I"&amp;ROW(B270))</f>
        <v>0.395</v>
      </c>
      <c r="AC289" s="107">
        <f t="array" ref="AC289">INDIRECT("Update"&amp;Projections!$AH$17&amp;"!K"&amp;ROW(B270))</f>
        <v>0.86</v>
      </c>
      <c r="AD289" s="73">
        <f t="array" ref="AD289">INDIRECT("Update"&amp;Projections!$AH$17&amp;"!R"&amp;ROW(B270))</f>
        <v>1.2</v>
      </c>
      <c r="AE289" s="73">
        <f t="shared" si="16"/>
        <v>-1.637915256</v>
      </c>
      <c r="AF289" s="73">
        <f t="shared" si="17"/>
        <v>-0.2478220956</v>
      </c>
      <c r="AG289" s="73">
        <f t="shared" si="18"/>
        <v>-1.635298055</v>
      </c>
      <c r="AH289" s="73">
        <f t="shared" si="19"/>
        <v>-0.74528194</v>
      </c>
      <c r="AI289" s="73">
        <f t="shared" si="20"/>
        <v>-0.2527964105</v>
      </c>
      <c r="AJ289" s="73">
        <f t="shared" si="21"/>
        <v>-1.150698449</v>
      </c>
      <c r="AK289" s="73">
        <f t="shared" si="22"/>
        <v>-0.9194137608</v>
      </c>
      <c r="AL289" s="73">
        <f t="shared" si="23"/>
        <v>0.2304970877</v>
      </c>
      <c r="AM289" s="73">
        <f t="shared" si="24"/>
        <v>0.1360595313</v>
      </c>
      <c r="AN289" s="120">
        <f t="shared" si="25"/>
        <v>-1.637915256</v>
      </c>
      <c r="AO289" s="120">
        <f t="shared" si="26"/>
        <v>-3.273213311</v>
      </c>
      <c r="AP289" s="120">
        <f t="array" ref="AP289">INDIRECT("Update"&amp;Projections!$AH$17&amp;"!S"&amp;ROW(B270))</f>
        <v>7.7</v>
      </c>
      <c r="AQ289" s="120">
        <f t="array" ref="AQ289">INDIRECT("Update"&amp;Projections!$AH$17&amp;"!T"&amp;ROW(B270))</f>
        <v>1</v>
      </c>
      <c r="AR289" s="100">
        <f t="shared" si="27"/>
        <v>-4.942779642</v>
      </c>
    </row>
    <row r="290">
      <c r="A290" s="40" t="str">
        <f t="shared" si="3"/>
        <v>Max Christie</v>
      </c>
      <c r="B290" s="42">
        <f t="shared" si="4"/>
        <v>-1.981146493</v>
      </c>
      <c r="C290" s="43">
        <f t="shared" si="5"/>
        <v>-0.7454435908</v>
      </c>
      <c r="D290" s="42">
        <f t="shared" si="6"/>
        <v>-1.086128859</v>
      </c>
      <c r="E290" s="42">
        <f t="shared" si="7"/>
        <v>-1.246461415</v>
      </c>
      <c r="F290" s="42">
        <f t="shared" si="8"/>
        <v>-1.912459801</v>
      </c>
      <c r="G290" s="42">
        <f t="shared" si="9"/>
        <v>-0.6155173428</v>
      </c>
      <c r="H290" s="42">
        <f t="shared" si="10"/>
        <v>-0.3595326248</v>
      </c>
      <c r="I290" s="42">
        <f>UpdateHashtag!S288</f>
        <v>5.3</v>
      </c>
      <c r="J290" s="47">
        <f t="shared" si="11"/>
        <v>0.0448962734</v>
      </c>
      <c r="K290" s="48">
        <f>UpdateHashtag!T288</f>
        <v>0.9</v>
      </c>
      <c r="L290" s="42">
        <f t="shared" si="12"/>
        <v>-1.040202395</v>
      </c>
      <c r="N290" s="100">
        <f t="shared" si="13"/>
        <v>260</v>
      </c>
      <c r="O290" s="94" t="str">
        <f t="array" ref="O290">INDIRECT("Update"&amp;Projections!$AH$17&amp;"!B"&amp;ROW(B271))</f>
        <v/>
      </c>
      <c r="P290" s="101" t="str">
        <f t="array" ref="P290">INDIRECT("Update"&amp;Projections!$AH$17&amp;"!C"&amp;ROW(B271))</f>
        <v>Julian Champagnie</v>
      </c>
      <c r="Q290" s="94">
        <f>UpdateBBM!F271</f>
        <v>66</v>
      </c>
      <c r="R290" s="105" t="str">
        <f t="array" ref="R290">INDIRECT("Update"&amp;Projections!$AH$17&amp;"!D"&amp;ROW(B271))</f>
        <v>SF,PF</v>
      </c>
      <c r="S290" s="73">
        <f t="shared" si="14"/>
        <v>-4.764861591</v>
      </c>
      <c r="T290" s="73">
        <f>SUM(AE290:AM290)-IFERROR(IFS(Projections!$I$17,AN290,Projections!$J$17,AO290),"")</f>
        <v>-4.764861591</v>
      </c>
      <c r="U290" s="73">
        <f t="shared" si="15"/>
        <v>0</v>
      </c>
      <c r="V290" s="73">
        <f t="array" ref="V290">INDIRECT("Update"&amp;Projections!$AH$17&amp;"!M"&amp;ROW(B271))</f>
        <v>6.8</v>
      </c>
      <c r="W290" s="73">
        <f t="array" ref="W290">INDIRECT("Update"&amp;Projections!$AH$17&amp;"!L"&amp;ROW(B271))</f>
        <v>1.4</v>
      </c>
      <c r="X290" s="73">
        <f t="array" ref="X290">INDIRECT("Update"&amp;Projections!$AH$17&amp;"!N"&amp;ROW(B271))</f>
        <v>2.7</v>
      </c>
      <c r="Y290" s="73">
        <f t="array" ref="Y290">INDIRECT("Update"&amp;Projections!$AH$17&amp;"!O"&amp;ROW(B271))</f>
        <v>1.2</v>
      </c>
      <c r="Z290" s="73">
        <f t="array" ref="Z290">INDIRECT("Update"&amp;Projections!$AH$17&amp;"!P"&amp;ROW(B271))</f>
        <v>0.6</v>
      </c>
      <c r="AA290" s="73">
        <f t="array" ref="AA290">INDIRECT("Update"&amp;Projections!$AH$17&amp;"!Q"&amp;ROW(B271))</f>
        <v>0.5</v>
      </c>
      <c r="AB290" s="107">
        <f t="array" ref="AB290">INDIRECT("Update"&amp;Projections!$AH$17&amp;"!I"&amp;ROW(B271))</f>
        <v>0.42</v>
      </c>
      <c r="AC290" s="107">
        <f t="array" ref="AC290">INDIRECT("Update"&amp;Projections!$AH$17&amp;"!K"&amp;ROW(B271))</f>
        <v>0.811</v>
      </c>
      <c r="AD290" s="73">
        <f t="array" ref="AD290">INDIRECT("Update"&amp;Projections!$AH$17&amp;"!R"&amp;ROW(B271))</f>
        <v>0.7</v>
      </c>
      <c r="AE290" s="73">
        <f t="shared" si="16"/>
        <v>-1.926952088</v>
      </c>
      <c r="AF290" s="73">
        <f t="shared" si="17"/>
        <v>-0.3473463946</v>
      </c>
      <c r="AG290" s="73">
        <f t="shared" si="18"/>
        <v>-1.321487086</v>
      </c>
      <c r="AH290" s="73">
        <f t="shared" si="19"/>
        <v>-1.246461415</v>
      </c>
      <c r="AI290" s="73">
        <f t="shared" si="20"/>
        <v>-1.248594445</v>
      </c>
      <c r="AJ290" s="73">
        <f t="shared" si="21"/>
        <v>-0.4371236408</v>
      </c>
      <c r="AK290" s="73">
        <f t="shared" si="22"/>
        <v>-0.486563553</v>
      </c>
      <c r="AL290" s="73">
        <f t="shared" si="23"/>
        <v>0.06266434357</v>
      </c>
      <c r="AM290" s="73">
        <f t="shared" si="24"/>
        <v>0.2600505987</v>
      </c>
      <c r="AN290" s="120">
        <f t="shared" si="25"/>
        <v>-1.926952088</v>
      </c>
      <c r="AO290" s="120">
        <f t="shared" si="26"/>
        <v>-3.248439173</v>
      </c>
      <c r="AP290" s="120">
        <f t="array" ref="AP290">INDIRECT("Update"&amp;Projections!$AH$17&amp;"!S"&amp;ROW(B271))</f>
        <v>5.4</v>
      </c>
      <c r="AQ290" s="120">
        <f t="array" ref="AQ290">INDIRECT("Update"&amp;Projections!$AH$17&amp;"!T"&amp;ROW(B271))</f>
        <v>1.1</v>
      </c>
      <c r="AR290" s="100">
        <f t="shared" si="27"/>
        <v>-4.950295035</v>
      </c>
    </row>
    <row r="291">
      <c r="A291" s="40" t="str">
        <f t="shared" si="3"/>
        <v>Ryan Dunn</v>
      </c>
      <c r="B291" s="42">
        <f t="shared" si="4"/>
        <v>-2.414701741</v>
      </c>
      <c r="C291" s="43">
        <f t="shared" si="5"/>
        <v>-1.641162282</v>
      </c>
      <c r="D291" s="42">
        <f t="shared" si="6"/>
        <v>-1.046902488</v>
      </c>
      <c r="E291" s="42">
        <f t="shared" si="7"/>
        <v>-1.610955578</v>
      </c>
      <c r="F291" s="42">
        <f t="shared" si="8"/>
        <v>-1.248594445</v>
      </c>
      <c r="G291" s="42">
        <f t="shared" si="9"/>
        <v>0.6332385715</v>
      </c>
      <c r="H291" s="42">
        <f t="shared" si="10"/>
        <v>0.004328641787</v>
      </c>
      <c r="I291" s="42">
        <f>UpdateHashtag!S289</f>
        <v>3.3</v>
      </c>
      <c r="J291" s="47">
        <f t="shared" si="11"/>
        <v>-0.8021500348</v>
      </c>
      <c r="K291" s="48">
        <f>UpdateHashtag!T289</f>
        <v>1.1</v>
      </c>
      <c r="L291" s="42">
        <f t="shared" si="12"/>
        <v>-1.337780956</v>
      </c>
      <c r="N291" s="100">
        <f t="shared" si="13"/>
        <v>277</v>
      </c>
      <c r="O291" s="94" t="str">
        <f t="array" ref="O291">INDIRECT("Update"&amp;Projections!$AH$17&amp;"!B"&amp;ROW(B272))</f>
        <v/>
      </c>
      <c r="P291" s="101" t="str">
        <f t="array" ref="P291">INDIRECT("Update"&amp;Projections!$AH$17&amp;"!C"&amp;ROW(B272))</f>
        <v>Drew Eubanks</v>
      </c>
      <c r="Q291" s="94">
        <f>UpdateBBM!F272</f>
        <v>71</v>
      </c>
      <c r="R291" s="105" t="str">
        <f t="array" ref="R291">INDIRECT("Update"&amp;Projections!$AH$17&amp;"!D"&amp;ROW(B272))</f>
        <v>C</v>
      </c>
      <c r="S291" s="73">
        <f t="shared" si="14"/>
        <v>-5.107672383</v>
      </c>
      <c r="T291" s="73">
        <f>SUM(AE291:AM291)-IFERROR(IFS(Projections!$I$17,AN291,Projections!$J$17,AO291),"")</f>
        <v>-5.107672383</v>
      </c>
      <c r="U291" s="73">
        <f t="shared" si="15"/>
        <v>0</v>
      </c>
      <c r="V291" s="73">
        <f t="array" ref="V291">INDIRECT("Update"&amp;Projections!$AH$17&amp;"!M"&amp;ROW(B272))</f>
        <v>4.8</v>
      </c>
      <c r="W291" s="73">
        <f t="array" ref="W291">INDIRECT("Update"&amp;Projections!$AH$17&amp;"!L"&amp;ROW(B272))</f>
        <v>0.1</v>
      </c>
      <c r="X291" s="73">
        <f t="array" ref="X291">INDIRECT("Update"&amp;Projections!$AH$17&amp;"!N"&amp;ROW(B272))</f>
        <v>4</v>
      </c>
      <c r="Y291" s="73">
        <f t="array" ref="Y291">INDIRECT("Update"&amp;Projections!$AH$17&amp;"!O"&amp;ROW(B272))</f>
        <v>0.9</v>
      </c>
      <c r="Z291" s="73">
        <f t="array" ref="Z291">INDIRECT("Update"&amp;Projections!$AH$17&amp;"!P"&amp;ROW(B272))</f>
        <v>0.4</v>
      </c>
      <c r="AA291" s="73">
        <f t="array" ref="AA291">INDIRECT("Update"&amp;Projections!$AH$17&amp;"!Q"&amp;ROW(B272))</f>
        <v>0.9</v>
      </c>
      <c r="AB291" s="107">
        <f t="array" ref="AB291">INDIRECT("Update"&amp;Projections!$AH$17&amp;"!I"&amp;ROW(B272))</f>
        <v>0.622</v>
      </c>
      <c r="AC291" s="107">
        <f t="array" ref="AC291">INDIRECT("Update"&amp;Projections!$AH$17&amp;"!K"&amp;ROW(B272))</f>
        <v>0.709</v>
      </c>
      <c r="AD291" s="73">
        <f t="array" ref="AD291">INDIRECT("Update"&amp;Projections!$AH$17&amp;"!R"&amp;ROW(B272))</f>
        <v>0.7</v>
      </c>
      <c r="AE291" s="73">
        <f t="shared" si="16"/>
        <v>-2.288248127</v>
      </c>
      <c r="AF291" s="73">
        <f t="shared" si="17"/>
        <v>-1.641162282</v>
      </c>
      <c r="AG291" s="73">
        <f t="shared" si="18"/>
        <v>-0.8115442609</v>
      </c>
      <c r="AH291" s="73">
        <f t="shared" si="19"/>
        <v>-1.383146726</v>
      </c>
      <c r="AI291" s="73">
        <f t="shared" si="20"/>
        <v>-1.912459801</v>
      </c>
      <c r="AJ291" s="73">
        <f t="shared" si="21"/>
        <v>0.2764511674</v>
      </c>
      <c r="AK291" s="73">
        <f t="shared" si="22"/>
        <v>0.4692474335</v>
      </c>
      <c r="AL291" s="73">
        <f t="shared" si="23"/>
        <v>-0.3651085127</v>
      </c>
      <c r="AM291" s="73">
        <f t="shared" si="24"/>
        <v>0.2600505987</v>
      </c>
      <c r="AN291" s="120">
        <f t="shared" si="25"/>
        <v>-2.288248127</v>
      </c>
      <c r="AO291" s="120">
        <f t="shared" si="26"/>
        <v>-4.200707928</v>
      </c>
      <c r="AP291" s="120">
        <f t="array" ref="AP291">INDIRECT("Update"&amp;Projections!$AH$17&amp;"!S"&amp;ROW(B272))</f>
        <v>3.2</v>
      </c>
      <c r="AQ291" s="120">
        <f t="array" ref="AQ291">INDIRECT("Update"&amp;Projections!$AH$17&amp;"!T"&amp;ROW(B272))</f>
        <v>1.2</v>
      </c>
      <c r="AR291" s="100">
        <f t="shared" si="27"/>
        <v>-4.961167393</v>
      </c>
    </row>
    <row r="292">
      <c r="A292" s="40" t="str">
        <f t="shared" si="3"/>
        <v>Jericho Sims</v>
      </c>
      <c r="B292" s="42">
        <f t="shared" si="4"/>
        <v>-2.559220156</v>
      </c>
      <c r="C292" s="43">
        <f t="shared" si="5"/>
        <v>-1.740686581</v>
      </c>
      <c r="D292" s="42">
        <f t="shared" si="6"/>
        <v>-0.4977332919</v>
      </c>
      <c r="E292" s="42">
        <f t="shared" si="7"/>
        <v>-1.519832037</v>
      </c>
      <c r="F292" s="42">
        <f t="shared" si="8"/>
        <v>-2.244392479</v>
      </c>
      <c r="G292" s="42">
        <f t="shared" si="9"/>
        <v>-0.2587299387</v>
      </c>
      <c r="H292" s="42">
        <f t="shared" si="10"/>
        <v>0.579247869</v>
      </c>
      <c r="I292" s="42">
        <f>UpdateHashtag!S290</f>
        <v>2</v>
      </c>
      <c r="J292" s="47">
        <f t="shared" si="11"/>
        <v>-0.1786891851</v>
      </c>
      <c r="K292" s="48">
        <f>UpdateHashtag!T290</f>
        <v>0.5</v>
      </c>
      <c r="L292" s="42">
        <f t="shared" si="12"/>
        <v>-1.238588102</v>
      </c>
      <c r="N292" s="100">
        <f t="shared" si="13"/>
        <v>265</v>
      </c>
      <c r="O292" s="94" t="str">
        <f t="array" ref="O292">INDIRECT("Update"&amp;Projections!$AH$17&amp;"!B"&amp;ROW(B273))</f>
        <v/>
      </c>
      <c r="P292" s="101" t="str">
        <f t="array" ref="P292">INDIRECT("Update"&amp;Projections!$AH$17&amp;"!C"&amp;ROW(B273))</f>
        <v>Pat Connaughton</v>
      </c>
      <c r="Q292" s="94">
        <f>UpdateBBM!F273</f>
        <v>71</v>
      </c>
      <c r="R292" s="105" t="str">
        <f t="array" ref="R292">INDIRECT("Update"&amp;Projections!$AH$17&amp;"!D"&amp;ROW(B273))</f>
        <v>SG,SF</v>
      </c>
      <c r="S292" s="73">
        <f t="shared" si="14"/>
        <v>-4.846685426</v>
      </c>
      <c r="T292" s="73">
        <f>SUM(AE292:AM292)-IFERROR(IFS(Projections!$I$17,AN292,Projections!$J$17,AO292),"")</f>
        <v>-4.846685426</v>
      </c>
      <c r="U292" s="73">
        <f t="shared" si="15"/>
        <v>0</v>
      </c>
      <c r="V292" s="73">
        <f t="array" ref="V292">INDIRECT("Update"&amp;Projections!$AH$17&amp;"!M"&amp;ROW(B273))</f>
        <v>6.7</v>
      </c>
      <c r="W292" s="73">
        <f t="array" ref="W292">INDIRECT("Update"&amp;Projections!$AH$17&amp;"!L"&amp;ROW(B273))</f>
        <v>1.3</v>
      </c>
      <c r="X292" s="73">
        <f t="array" ref="X292">INDIRECT("Update"&amp;Projections!$AH$17&amp;"!N"&amp;ROW(B273))</f>
        <v>4</v>
      </c>
      <c r="Y292" s="73">
        <f t="array" ref="Y292">INDIRECT("Update"&amp;Projections!$AH$17&amp;"!O"&amp;ROW(B273))</f>
        <v>1.8</v>
      </c>
      <c r="Z292" s="73">
        <f t="array" ref="Z292">INDIRECT("Update"&amp;Projections!$AH$17&amp;"!P"&amp;ROW(B273))</f>
        <v>0.6</v>
      </c>
      <c r="AA292" s="73">
        <f t="array" ref="AA292">INDIRECT("Update"&amp;Projections!$AH$17&amp;"!Q"&amp;ROW(B273))</f>
        <v>0.2</v>
      </c>
      <c r="AB292" s="107">
        <f t="array" ref="AB292">INDIRECT("Update"&amp;Projections!$AH$17&amp;"!I"&amp;ROW(B273))</f>
        <v>0.417</v>
      </c>
      <c r="AC292" s="107">
        <f t="array" ref="AC292">INDIRECT("Update"&amp;Projections!$AH$17&amp;"!K"&amp;ROW(B273))</f>
        <v>0.74</v>
      </c>
      <c r="AD292" s="73">
        <f t="array" ref="AD292">INDIRECT("Update"&amp;Projections!$AH$17&amp;"!R"&amp;ROW(B273))</f>
        <v>0.6</v>
      </c>
      <c r="AE292" s="73">
        <f t="shared" si="16"/>
        <v>-1.94501689</v>
      </c>
      <c r="AF292" s="73">
        <f t="shared" si="17"/>
        <v>-0.4468706937</v>
      </c>
      <c r="AG292" s="73">
        <f t="shared" si="18"/>
        <v>-0.8115442609</v>
      </c>
      <c r="AH292" s="73">
        <f t="shared" si="19"/>
        <v>-0.9730907921</v>
      </c>
      <c r="AI292" s="73">
        <f t="shared" si="20"/>
        <v>-1.248594445</v>
      </c>
      <c r="AJ292" s="73">
        <f t="shared" si="21"/>
        <v>-0.9723047469</v>
      </c>
      <c r="AK292" s="73">
        <f t="shared" si="22"/>
        <v>-0.5429981136</v>
      </c>
      <c r="AL292" s="73">
        <f t="shared" si="23"/>
        <v>-0.136131186</v>
      </c>
      <c r="AM292" s="73">
        <f t="shared" si="24"/>
        <v>0.2848488121</v>
      </c>
      <c r="AN292" s="120">
        <f t="shared" si="25"/>
        <v>-1.94501689</v>
      </c>
      <c r="AO292" s="120">
        <f t="shared" si="26"/>
        <v>-3.193611335</v>
      </c>
      <c r="AP292" s="120">
        <f t="array" ref="AP292">INDIRECT("Update"&amp;Projections!$AH$17&amp;"!S"&amp;ROW(B273))</f>
        <v>5.8</v>
      </c>
      <c r="AQ292" s="120">
        <f t="array" ref="AQ292">INDIRECT("Update"&amp;Projections!$AH$17&amp;"!T"&amp;ROW(B273))</f>
        <v>0.7</v>
      </c>
      <c r="AR292" s="100">
        <f t="shared" si="27"/>
        <v>-5.042439378</v>
      </c>
    </row>
    <row r="293">
      <c r="A293" s="40" t="str">
        <f t="shared" si="3"/>
        <v>Dalton Knecht</v>
      </c>
      <c r="B293" s="42">
        <f t="shared" si="4"/>
        <v>-1.529526444</v>
      </c>
      <c r="C293" s="43">
        <f t="shared" si="5"/>
        <v>-0.6459192917</v>
      </c>
      <c r="D293" s="42">
        <f t="shared" si="6"/>
        <v>-1.086128859</v>
      </c>
      <c r="E293" s="42">
        <f t="shared" si="7"/>
        <v>-1.292023185</v>
      </c>
      <c r="F293" s="42">
        <f t="shared" si="8"/>
        <v>-2.244392479</v>
      </c>
      <c r="G293" s="42">
        <f t="shared" si="9"/>
        <v>-0.6155173428</v>
      </c>
      <c r="H293" s="42">
        <f t="shared" si="10"/>
        <v>-0.4214391102</v>
      </c>
      <c r="I293" s="42">
        <f>UpdateHashtag!S291</f>
        <v>6.8</v>
      </c>
      <c r="J293" s="47">
        <f t="shared" si="11"/>
        <v>-0.2117533685</v>
      </c>
      <c r="K293" s="48">
        <f>UpdateHashtag!T291</f>
        <v>2.4</v>
      </c>
      <c r="L293" s="42">
        <f t="shared" si="12"/>
        <v>-1.040202395</v>
      </c>
      <c r="N293" s="100">
        <f t="shared" si="13"/>
        <v>255</v>
      </c>
      <c r="O293" s="94" t="str">
        <f t="array" ref="O293">INDIRECT("Update"&amp;Projections!$AH$17&amp;"!B"&amp;ROW(B274))</f>
        <v/>
      </c>
      <c r="P293" s="101" t="str">
        <f t="array" ref="P293">INDIRECT("Update"&amp;Projections!$AH$17&amp;"!C"&amp;ROW(B274))</f>
        <v>Toumani Camara</v>
      </c>
      <c r="Q293" s="94">
        <f>UpdateBBM!F274</f>
        <v>71</v>
      </c>
      <c r="R293" s="105" t="str">
        <f t="array" ref="R293">INDIRECT("Update"&amp;Projections!$AH$17&amp;"!D"&amp;ROW(B274))</f>
        <v>PF</v>
      </c>
      <c r="S293" s="73">
        <f t="shared" si="14"/>
        <v>-4.646552894</v>
      </c>
      <c r="T293" s="73">
        <f>SUM(AE293:AM293)-IFERROR(IFS(Projections!$I$17,AN293,Projections!$J$17,AO293),"")</f>
        <v>-4.646552894</v>
      </c>
      <c r="U293" s="73">
        <f t="shared" si="15"/>
        <v>0</v>
      </c>
      <c r="V293" s="73">
        <f t="array" ref="V293">INDIRECT("Update"&amp;Projections!$AH$17&amp;"!M"&amp;ROW(B274))</f>
        <v>6.2</v>
      </c>
      <c r="W293" s="73">
        <f t="array" ref="W293">INDIRECT("Update"&amp;Projections!$AH$17&amp;"!L"&amp;ROW(B274))</f>
        <v>0.7</v>
      </c>
      <c r="X293" s="73">
        <f t="array" ref="X293">INDIRECT("Update"&amp;Projections!$AH$17&amp;"!N"&amp;ROW(B274))</f>
        <v>4</v>
      </c>
      <c r="Y293" s="73">
        <f t="array" ref="Y293">INDIRECT("Update"&amp;Projections!$AH$17&amp;"!O"&amp;ROW(B274))</f>
        <v>1</v>
      </c>
      <c r="Z293" s="73">
        <f t="array" ref="Z293">INDIRECT("Update"&amp;Projections!$AH$17&amp;"!P"&amp;ROW(B274))</f>
        <v>0.8</v>
      </c>
      <c r="AA293" s="73">
        <f t="array" ref="AA293">INDIRECT("Update"&amp;Projections!$AH$17&amp;"!Q"&amp;ROW(B274))</f>
        <v>0.4</v>
      </c>
      <c r="AB293" s="107">
        <f t="array" ref="AB293">INDIRECT("Update"&amp;Projections!$AH$17&amp;"!I"&amp;ROW(B274))</f>
        <v>0.449</v>
      </c>
      <c r="AC293" s="107">
        <f t="array" ref="AC293">INDIRECT("Update"&amp;Projections!$AH$17&amp;"!K"&amp;ROW(B274))</f>
        <v>0.759</v>
      </c>
      <c r="AD293" s="73">
        <f t="array" ref="AD293">INDIRECT("Update"&amp;Projections!$AH$17&amp;"!R"&amp;ROW(B274))</f>
        <v>1</v>
      </c>
      <c r="AE293" s="73">
        <f t="shared" si="16"/>
        <v>-2.035340899</v>
      </c>
      <c r="AF293" s="73">
        <f t="shared" si="17"/>
        <v>-1.044016488</v>
      </c>
      <c r="AG293" s="73">
        <f t="shared" si="18"/>
        <v>-0.8115442609</v>
      </c>
      <c r="AH293" s="73">
        <f t="shared" si="19"/>
        <v>-1.337584956</v>
      </c>
      <c r="AI293" s="73">
        <f t="shared" si="20"/>
        <v>-0.5847290887</v>
      </c>
      <c r="AJ293" s="73">
        <f t="shared" si="21"/>
        <v>-0.6155173428</v>
      </c>
      <c r="AK293" s="73">
        <f t="shared" si="22"/>
        <v>-0.2861933093</v>
      </c>
      <c r="AL293" s="73">
        <f t="shared" si="23"/>
        <v>-0.1526234074</v>
      </c>
      <c r="AM293" s="73">
        <f t="shared" si="24"/>
        <v>0.1856559582</v>
      </c>
      <c r="AN293" s="120">
        <f t="shared" si="25"/>
        <v>-2.035340899</v>
      </c>
      <c r="AO293" s="120">
        <f t="shared" si="26"/>
        <v>-3.372925855</v>
      </c>
      <c r="AP293" s="120">
        <f t="array" ref="AP293">INDIRECT("Update"&amp;Projections!$AH$17&amp;"!S"&amp;ROW(B274))</f>
        <v>5.1</v>
      </c>
      <c r="AQ293" s="120">
        <f t="array" ref="AQ293">INDIRECT("Update"&amp;Projections!$AH$17&amp;"!T"&amp;ROW(B274))</f>
        <v>1.2</v>
      </c>
      <c r="AR293" s="100">
        <f t="shared" si="27"/>
        <v>-5.061138326</v>
      </c>
    </row>
    <row r="294">
      <c r="A294" s="40" t="str">
        <f t="shared" si="3"/>
        <v>Damion Lee</v>
      </c>
      <c r="B294" s="42">
        <f t="shared" si="4"/>
        <v>-1.85469288</v>
      </c>
      <c r="C294" s="43">
        <f t="shared" si="5"/>
        <v>-0.4468706937</v>
      </c>
      <c r="D294" s="42">
        <f t="shared" si="6"/>
        <v>-1.321487086</v>
      </c>
      <c r="E294" s="42">
        <f t="shared" si="7"/>
        <v>-1.246461415</v>
      </c>
      <c r="F294" s="42">
        <f t="shared" si="8"/>
        <v>-1.912459801</v>
      </c>
      <c r="G294" s="42">
        <f t="shared" si="9"/>
        <v>-1.150698449</v>
      </c>
      <c r="H294" s="42">
        <f t="shared" si="10"/>
        <v>-0.3410010395</v>
      </c>
      <c r="I294" s="42">
        <f>UpdateHashtag!S292</f>
        <v>5.4</v>
      </c>
      <c r="J294" s="47">
        <f t="shared" si="11"/>
        <v>0.4593336958</v>
      </c>
      <c r="K294" s="48">
        <f>UpdateHashtag!T292</f>
        <v>1.2</v>
      </c>
      <c r="L294" s="42">
        <f t="shared" si="12"/>
        <v>-0.8418166868</v>
      </c>
      <c r="N294" s="100">
        <f t="shared" si="13"/>
        <v>233</v>
      </c>
      <c r="O294" s="94" t="str">
        <f t="array" ref="O294">INDIRECT("Update"&amp;Projections!$AH$17&amp;"!B"&amp;ROW(B275))</f>
        <v/>
      </c>
      <c r="P294" s="101" t="str">
        <f t="array" ref="P294">INDIRECT("Update"&amp;Projections!$AH$17&amp;"!C"&amp;ROW(B275))</f>
        <v>Cody Martin</v>
      </c>
      <c r="Q294" s="94">
        <f>UpdateBBM!F275</f>
        <v>61</v>
      </c>
      <c r="R294" s="105" t="str">
        <f t="array" ref="R294">INDIRECT("Update"&amp;Projections!$AH$17&amp;"!D"&amp;ROW(B275))</f>
        <v>SG,SF</v>
      </c>
      <c r="S294" s="73">
        <f t="shared" si="14"/>
        <v>-4.176985795</v>
      </c>
      <c r="T294" s="73">
        <f>SUM(AE294:AM294)-IFERROR(IFS(Projections!$I$17,AN294,Projections!$J$17,AO294),"")</f>
        <v>-4.176985795</v>
      </c>
      <c r="U294" s="73">
        <f t="shared" si="15"/>
        <v>0</v>
      </c>
      <c r="V294" s="73">
        <f t="array" ref="V294">INDIRECT("Update"&amp;Projections!$AH$17&amp;"!M"&amp;ROW(B275))</f>
        <v>6.6</v>
      </c>
      <c r="W294" s="73">
        <f t="array" ref="W294">INDIRECT("Update"&amp;Projections!$AH$17&amp;"!L"&amp;ROW(B275))</f>
        <v>0.8</v>
      </c>
      <c r="X294" s="73">
        <f t="array" ref="X294">INDIRECT("Update"&amp;Projections!$AH$17&amp;"!N"&amp;ROW(B275))</f>
        <v>3.6</v>
      </c>
      <c r="Y294" s="73">
        <f t="array" ref="Y294">INDIRECT("Update"&amp;Projections!$AH$17&amp;"!O"&amp;ROW(B275))</f>
        <v>3.1</v>
      </c>
      <c r="Z294" s="73">
        <f t="array" ref="Z294">INDIRECT("Update"&amp;Projections!$AH$17&amp;"!P"&amp;ROW(B275))</f>
        <v>1</v>
      </c>
      <c r="AA294" s="73">
        <f t="array" ref="AA294">INDIRECT("Update"&amp;Projections!$AH$17&amp;"!Q"&amp;ROW(B275))</f>
        <v>0.5</v>
      </c>
      <c r="AB294" s="107">
        <f t="array" ref="AB294">INDIRECT("Update"&amp;Projections!$AH$17&amp;"!I"&amp;ROW(B275))</f>
        <v>0.383</v>
      </c>
      <c r="AC294" s="107">
        <f t="array" ref="AC294">INDIRECT("Update"&amp;Projections!$AH$17&amp;"!K"&amp;ROW(B275))</f>
        <v>0.598</v>
      </c>
      <c r="AD294" s="73">
        <f t="array" ref="AD294">INDIRECT("Update"&amp;Projections!$AH$17&amp;"!R"&amp;ROW(B275))</f>
        <v>1.2</v>
      </c>
      <c r="AE294" s="73">
        <f t="shared" si="16"/>
        <v>-1.963081691</v>
      </c>
      <c r="AF294" s="73">
        <f t="shared" si="17"/>
        <v>-0.9444921888</v>
      </c>
      <c r="AG294" s="73">
        <f t="shared" si="18"/>
        <v>-0.9684497454</v>
      </c>
      <c r="AH294" s="73">
        <f t="shared" si="19"/>
        <v>-0.3807877766</v>
      </c>
      <c r="AI294" s="73">
        <f t="shared" si="20"/>
        <v>0.07913626764</v>
      </c>
      <c r="AJ294" s="73">
        <f t="shared" si="21"/>
        <v>-0.4371236408</v>
      </c>
      <c r="AK294" s="73">
        <f t="shared" si="22"/>
        <v>-0.8942382498</v>
      </c>
      <c r="AL294" s="73">
        <f t="shared" si="23"/>
        <v>-0.7670899925</v>
      </c>
      <c r="AM294" s="73">
        <f t="shared" si="24"/>
        <v>0.1360595313</v>
      </c>
      <c r="AN294" s="120">
        <f t="shared" si="25"/>
        <v>-1.963081691</v>
      </c>
      <c r="AO294" s="120">
        <f t="shared" si="26"/>
        <v>-2.931531437</v>
      </c>
      <c r="AP294" s="120">
        <f t="array" ref="AP294">INDIRECT("Update"&amp;Projections!$AH$17&amp;"!S"&amp;ROW(B275))</f>
        <v>6.7</v>
      </c>
      <c r="AQ294" s="120">
        <f t="array" ref="AQ294">INDIRECT("Update"&amp;Projections!$AH$17&amp;"!T"&amp;ROW(B275))</f>
        <v>1.1</v>
      </c>
      <c r="AR294" s="100">
        <f t="shared" si="27"/>
        <v>-5.064146176</v>
      </c>
    </row>
    <row r="295">
      <c r="A295" s="40" t="str">
        <f t="shared" si="3"/>
        <v>Chris Boucher</v>
      </c>
      <c r="B295" s="42">
        <f t="shared" si="4"/>
        <v>-2.017276097</v>
      </c>
      <c r="C295" s="43">
        <f t="shared" si="5"/>
        <v>-1.143540787</v>
      </c>
      <c r="D295" s="42">
        <f t="shared" si="6"/>
        <v>-0.8899970031</v>
      </c>
      <c r="E295" s="42">
        <f t="shared" si="7"/>
        <v>-1.656517348</v>
      </c>
      <c r="F295" s="42">
        <f t="shared" si="8"/>
        <v>-1.912459801</v>
      </c>
      <c r="G295" s="42">
        <f t="shared" si="9"/>
        <v>-0.4371236408</v>
      </c>
      <c r="H295" s="42">
        <f t="shared" si="10"/>
        <v>0.0006286892321</v>
      </c>
      <c r="I295" s="42">
        <f>UpdateHashtag!S293</f>
        <v>4.5</v>
      </c>
      <c r="J295" s="47">
        <f t="shared" si="11"/>
        <v>-0.1638339902</v>
      </c>
      <c r="K295" s="48">
        <f>UpdateHashtag!T293</f>
        <v>1.6</v>
      </c>
      <c r="L295" s="42">
        <f t="shared" si="12"/>
        <v>-1.337780956</v>
      </c>
      <c r="N295" s="100">
        <f t="shared" si="13"/>
        <v>278</v>
      </c>
      <c r="O295" s="94" t="str">
        <f t="array" ref="O295">INDIRECT("Update"&amp;Projections!$AH$17&amp;"!B"&amp;ROW(B276))</f>
        <v/>
      </c>
      <c r="P295" s="101" t="str">
        <f t="array" ref="P295">INDIRECT("Update"&amp;Projections!$AH$17&amp;"!C"&amp;ROW(B276))</f>
        <v>Alec Burks</v>
      </c>
      <c r="Q295" s="94">
        <f>UpdateBBM!F276</f>
        <v>40</v>
      </c>
      <c r="R295" s="105" t="str">
        <f t="array" ref="R295">INDIRECT("Update"&amp;Projections!$AH$17&amp;"!D"&amp;ROW(B276))</f>
        <v>SG,SF</v>
      </c>
      <c r="S295" s="73">
        <f t="shared" si="14"/>
        <v>-5.181842732</v>
      </c>
      <c r="T295" s="73">
        <f>SUM(AE295:AM295)-IFERROR(IFS(Projections!$I$17,AN295,Projections!$J$17,AO295),"")</f>
        <v>-5.181842732</v>
      </c>
      <c r="U295" s="73">
        <f t="shared" si="15"/>
        <v>0</v>
      </c>
      <c r="V295" s="73">
        <f t="array" ref="V295">INDIRECT("Update"&amp;Projections!$AH$17&amp;"!M"&amp;ROW(B276))</f>
        <v>10</v>
      </c>
      <c r="W295" s="73">
        <f t="array" ref="W295">INDIRECT("Update"&amp;Projections!$AH$17&amp;"!L"&amp;ROW(B276))</f>
        <v>1.7</v>
      </c>
      <c r="X295" s="73">
        <f t="array" ref="X295">INDIRECT("Update"&amp;Projections!$AH$17&amp;"!N"&amp;ROW(B276))</f>
        <v>2.3</v>
      </c>
      <c r="Y295" s="73">
        <f t="array" ref="Y295">INDIRECT("Update"&amp;Projections!$AH$17&amp;"!O"&amp;ROW(B276))</f>
        <v>1.5</v>
      </c>
      <c r="Z295" s="73">
        <f t="array" ref="Z295">INDIRECT("Update"&amp;Projections!$AH$17&amp;"!P"&amp;ROW(B276))</f>
        <v>0.5</v>
      </c>
      <c r="AA295" s="73">
        <f t="array" ref="AA295">INDIRECT("Update"&amp;Projections!$AH$17&amp;"!Q"&amp;ROW(B276))</f>
        <v>0.2</v>
      </c>
      <c r="AB295" s="107">
        <f t="array" ref="AB295">INDIRECT("Update"&amp;Projections!$AH$17&amp;"!I"&amp;ROW(B276))</f>
        <v>0.399</v>
      </c>
      <c r="AC295" s="107">
        <f t="array" ref="AC295">INDIRECT("Update"&amp;Projections!$AH$17&amp;"!K"&amp;ROW(B276))</f>
        <v>0.841</v>
      </c>
      <c r="AD295" s="73">
        <f t="array" ref="AD295">INDIRECT("Update"&amp;Projections!$AH$17&amp;"!R"&amp;ROW(B276))</f>
        <v>0.8</v>
      </c>
      <c r="AE295" s="73">
        <f t="shared" si="16"/>
        <v>-1.348878425</v>
      </c>
      <c r="AF295" s="73">
        <f t="shared" si="17"/>
        <v>-0.04877349754</v>
      </c>
      <c r="AG295" s="73">
        <f t="shared" si="18"/>
        <v>-1.47839257</v>
      </c>
      <c r="AH295" s="73">
        <f t="shared" si="19"/>
        <v>-1.109776103</v>
      </c>
      <c r="AI295" s="73">
        <f t="shared" si="20"/>
        <v>-1.580527123</v>
      </c>
      <c r="AJ295" s="73">
        <f t="shared" si="21"/>
        <v>-0.9723047469</v>
      </c>
      <c r="AK295" s="73">
        <f t="shared" si="22"/>
        <v>-0.8833161326</v>
      </c>
      <c r="AL295" s="73">
        <f t="shared" si="23"/>
        <v>0.424346358</v>
      </c>
      <c r="AM295" s="73">
        <f t="shared" si="24"/>
        <v>0.2352523852</v>
      </c>
      <c r="AN295" s="120">
        <f t="shared" si="25"/>
        <v>-1.580527123</v>
      </c>
      <c r="AO295" s="120">
        <f t="shared" si="26"/>
        <v>-3.058919693</v>
      </c>
      <c r="AP295" s="120">
        <f t="array" ref="AP295">INDIRECT("Update"&amp;Projections!$AH$17&amp;"!S"&amp;ROW(B276))</f>
        <v>7.7</v>
      </c>
      <c r="AQ295" s="120">
        <f t="array" ref="AQ295">INDIRECT("Update"&amp;Projections!$AH$17&amp;"!T"&amp;ROW(B276))</f>
        <v>2.6</v>
      </c>
      <c r="AR295" s="100">
        <f t="shared" si="27"/>
        <v>-5.086770826</v>
      </c>
    </row>
    <row r="296">
      <c r="A296" s="40" t="str">
        <f t="shared" si="3"/>
        <v>Duop Reath</v>
      </c>
      <c r="B296" s="42">
        <f t="shared" si="4"/>
        <v>-1.836628078</v>
      </c>
      <c r="C296" s="43">
        <f t="shared" si="5"/>
        <v>-0.6459192917</v>
      </c>
      <c r="D296" s="42">
        <f t="shared" si="6"/>
        <v>-1.203807972</v>
      </c>
      <c r="E296" s="42">
        <f t="shared" si="7"/>
        <v>-1.428708496</v>
      </c>
      <c r="F296" s="42">
        <f t="shared" si="8"/>
        <v>-1.912459801</v>
      </c>
      <c r="G296" s="42">
        <f t="shared" si="9"/>
        <v>-0.4371236408</v>
      </c>
      <c r="H296" s="42">
        <f t="shared" si="10"/>
        <v>-0.2481087127</v>
      </c>
      <c r="I296" s="42">
        <f>UpdateHashtag!S294</f>
        <v>5.9</v>
      </c>
      <c r="J296" s="47">
        <f t="shared" si="11"/>
        <v>-0.2178159954</v>
      </c>
      <c r="K296" s="48">
        <f>UpdateHashtag!T294</f>
        <v>1.1</v>
      </c>
      <c r="L296" s="42">
        <f t="shared" si="12"/>
        <v>-1.139395249</v>
      </c>
      <c r="N296" s="100">
        <f t="shared" si="13"/>
        <v>250</v>
      </c>
      <c r="O296" s="94" t="str">
        <f t="array" ref="O296">INDIRECT("Update"&amp;Projections!$AH$17&amp;"!B"&amp;ROW(B277))</f>
        <v/>
      </c>
      <c r="P296" s="101" t="str">
        <f t="array" ref="P296">INDIRECT("Update"&amp;Projections!$AH$17&amp;"!C"&amp;ROW(B277))</f>
        <v>Dean Wade</v>
      </c>
      <c r="Q296" s="94">
        <f>UpdateBBM!F277</f>
        <v>59</v>
      </c>
      <c r="R296" s="105" t="str">
        <f t="array" ref="R296">INDIRECT("Update"&amp;Projections!$AH$17&amp;"!D"&amp;ROW(B277))</f>
        <v>SF,PF</v>
      </c>
      <c r="S296" s="73">
        <f t="shared" si="14"/>
        <v>-4.505338128</v>
      </c>
      <c r="T296" s="73">
        <f>SUM(AE296:AM296)-IFERROR(IFS(Projections!$I$17,AN296,Projections!$J$17,AO296),"")</f>
        <v>-4.505338128</v>
      </c>
      <c r="U296" s="73">
        <f t="shared" si="15"/>
        <v>0</v>
      </c>
      <c r="V296" s="73">
        <f t="array" ref="V296">INDIRECT("Update"&amp;Projections!$AH$17&amp;"!M"&amp;ROW(B277))</f>
        <v>4.9</v>
      </c>
      <c r="W296" s="73">
        <f t="array" ref="W296">INDIRECT("Update"&amp;Projections!$AH$17&amp;"!L"&amp;ROW(B277))</f>
        <v>1.2</v>
      </c>
      <c r="X296" s="73">
        <f t="array" ref="X296">INDIRECT("Update"&amp;Projections!$AH$17&amp;"!N"&amp;ROW(B277))</f>
        <v>3.6</v>
      </c>
      <c r="Y296" s="73">
        <f t="array" ref="Y296">INDIRECT("Update"&amp;Projections!$AH$17&amp;"!O"&amp;ROW(B277))</f>
        <v>0.8</v>
      </c>
      <c r="Z296" s="73">
        <f t="array" ref="Z296">INDIRECT("Update"&amp;Projections!$AH$17&amp;"!P"&amp;ROW(B277))</f>
        <v>0.7</v>
      </c>
      <c r="AA296" s="73">
        <f t="array" ref="AA296">INDIRECT("Update"&amp;Projections!$AH$17&amp;"!Q"&amp;ROW(B277))</f>
        <v>0.5</v>
      </c>
      <c r="AB296" s="107">
        <f t="array" ref="AB296">INDIRECT("Update"&amp;Projections!$AH$17&amp;"!I"&amp;ROW(B277))</f>
        <v>0.414</v>
      </c>
      <c r="AC296" s="107">
        <f t="array" ref="AC296">INDIRECT("Update"&amp;Projections!$AH$17&amp;"!K"&amp;ROW(B277))</f>
        <v>0.708</v>
      </c>
      <c r="AD296" s="73">
        <f t="array" ref="AD296">INDIRECT("Update"&amp;Projections!$AH$17&amp;"!R"&amp;ROW(B277))</f>
        <v>0.4</v>
      </c>
      <c r="AE296" s="73">
        <f t="shared" si="16"/>
        <v>-2.270183325</v>
      </c>
      <c r="AF296" s="73">
        <f t="shared" si="17"/>
        <v>-0.5463949927</v>
      </c>
      <c r="AG296" s="73">
        <f t="shared" si="18"/>
        <v>-0.9684497454</v>
      </c>
      <c r="AH296" s="73">
        <f t="shared" si="19"/>
        <v>-1.428708496</v>
      </c>
      <c r="AI296" s="73">
        <f t="shared" si="20"/>
        <v>-0.9166617668</v>
      </c>
      <c r="AJ296" s="73">
        <f t="shared" si="21"/>
        <v>-0.4371236408</v>
      </c>
      <c r="AK296" s="73">
        <f t="shared" si="22"/>
        <v>-0.3885454686</v>
      </c>
      <c r="AL296" s="73">
        <f t="shared" si="23"/>
        <v>-0.1538992562</v>
      </c>
      <c r="AM296" s="73">
        <f t="shared" si="24"/>
        <v>0.3344452391</v>
      </c>
      <c r="AN296" s="120">
        <f t="shared" si="25"/>
        <v>-2.270183325</v>
      </c>
      <c r="AO296" s="120">
        <f t="shared" si="26"/>
        <v>-3.698891821</v>
      </c>
      <c r="AP296" s="120">
        <f t="array" ref="AP296">INDIRECT("Update"&amp;Projections!$AH$17&amp;"!S"&amp;ROW(B277))</f>
        <v>4</v>
      </c>
      <c r="AQ296" s="120">
        <f t="array" ref="AQ296">INDIRECT("Update"&amp;Projections!$AH$17&amp;"!T"&amp;ROW(B277))</f>
        <v>0.5</v>
      </c>
      <c r="AR296" s="100">
        <f t="shared" si="27"/>
        <v>-5.098301306</v>
      </c>
    </row>
    <row r="297">
      <c r="A297" s="40" t="str">
        <f t="shared" si="3"/>
        <v>Gary Harris</v>
      </c>
      <c r="B297" s="42">
        <f t="shared" si="4"/>
        <v>-2.143729711</v>
      </c>
      <c r="C297" s="43">
        <f t="shared" si="5"/>
        <v>-0.4468706937</v>
      </c>
      <c r="D297" s="42">
        <f t="shared" si="6"/>
        <v>-1.83142991</v>
      </c>
      <c r="E297" s="42">
        <f t="shared" si="7"/>
        <v>-1.292023185</v>
      </c>
      <c r="F297" s="42">
        <f t="shared" si="8"/>
        <v>-0.9166617668</v>
      </c>
      <c r="G297" s="42">
        <f t="shared" si="9"/>
        <v>-0.9723047469</v>
      </c>
      <c r="H297" s="42">
        <f t="shared" si="10"/>
        <v>-0.2675390908</v>
      </c>
      <c r="I297" s="42">
        <f>UpdateHashtag!S295</f>
        <v>4.4</v>
      </c>
      <c r="J297" s="47">
        <f t="shared" si="11"/>
        <v>0.04905450841</v>
      </c>
      <c r="K297" s="48">
        <f>UpdateHashtag!T295</f>
        <v>0.6</v>
      </c>
      <c r="L297" s="42">
        <f t="shared" si="12"/>
        <v>-1.337780956</v>
      </c>
      <c r="N297" s="100">
        <f t="shared" si="13"/>
        <v>286</v>
      </c>
      <c r="O297" s="94" t="str">
        <f t="array" ref="O297">INDIRECT("Update"&amp;Projections!$AH$17&amp;"!B"&amp;ROW(B278))</f>
        <v/>
      </c>
      <c r="P297" s="101" t="str">
        <f t="array" ref="P297">INDIRECT("Update"&amp;Projections!$AH$17&amp;"!C"&amp;ROW(B278))</f>
        <v>Aaron Wiggins</v>
      </c>
      <c r="Q297" s="94">
        <f>UpdateBBM!F278</f>
        <v>58</v>
      </c>
      <c r="R297" s="105" t="str">
        <f t="array" ref="R297">INDIRECT("Update"&amp;Projections!$AH$17&amp;"!D"&amp;ROW(B278))</f>
        <v>SG,SF</v>
      </c>
      <c r="S297" s="73">
        <f t="shared" si="14"/>
        <v>-5.41905606</v>
      </c>
      <c r="T297" s="73">
        <f>SUM(AE297:AM297)-IFERROR(IFS(Projections!$I$17,AN297,Projections!$J$17,AO297),"")</f>
        <v>-5.41905606</v>
      </c>
      <c r="U297" s="73">
        <f t="shared" si="15"/>
        <v>0</v>
      </c>
      <c r="V297" s="73">
        <f t="array" ref="V297">INDIRECT("Update"&amp;Projections!$AH$17&amp;"!M"&amp;ROW(B278))</f>
        <v>6.5</v>
      </c>
      <c r="W297" s="73">
        <f t="array" ref="W297">INDIRECT("Update"&amp;Projections!$AH$17&amp;"!L"&amp;ROW(B278))</f>
        <v>0.7</v>
      </c>
      <c r="X297" s="73">
        <f t="array" ref="X297">INDIRECT("Update"&amp;Projections!$AH$17&amp;"!N"&amp;ROW(B278))</f>
        <v>2.5</v>
      </c>
      <c r="Y297" s="73">
        <f t="array" ref="Y297">INDIRECT("Update"&amp;Projections!$AH$17&amp;"!O"&amp;ROW(B278))</f>
        <v>1.1</v>
      </c>
      <c r="Z297" s="73">
        <f t="array" ref="Z297">INDIRECT("Update"&amp;Projections!$AH$17&amp;"!P"&amp;ROW(B278))</f>
        <v>0.6</v>
      </c>
      <c r="AA297" s="73">
        <f t="array" ref="AA297">INDIRECT("Update"&amp;Projections!$AH$17&amp;"!Q"&amp;ROW(B278))</f>
        <v>0.2</v>
      </c>
      <c r="AB297" s="107">
        <f t="array" ref="AB297">INDIRECT("Update"&amp;Projections!$AH$17&amp;"!I"&amp;ROW(B278))</f>
        <v>0.538</v>
      </c>
      <c r="AC297" s="107">
        <f t="array" ref="AC297">INDIRECT("Update"&amp;Projections!$AH$17&amp;"!K"&amp;ROW(B278))</f>
        <v>0.811</v>
      </c>
      <c r="AD297" s="73">
        <f t="array" ref="AD297">INDIRECT("Update"&amp;Projections!$AH$17&amp;"!R"&amp;ROW(B278))</f>
        <v>0.7</v>
      </c>
      <c r="AE297" s="73">
        <f t="shared" si="16"/>
        <v>-1.981146493</v>
      </c>
      <c r="AF297" s="73">
        <f t="shared" si="17"/>
        <v>-1.044016488</v>
      </c>
      <c r="AG297" s="73">
        <f t="shared" si="18"/>
        <v>-1.399939828</v>
      </c>
      <c r="AH297" s="73">
        <f t="shared" si="19"/>
        <v>-1.292023185</v>
      </c>
      <c r="AI297" s="73">
        <f t="shared" si="20"/>
        <v>-1.248594445</v>
      </c>
      <c r="AJ297" s="73">
        <f t="shared" si="21"/>
        <v>-0.9723047469</v>
      </c>
      <c r="AK297" s="73">
        <f t="shared" si="22"/>
        <v>0.2265012071</v>
      </c>
      <c r="AL297" s="73">
        <f t="shared" si="23"/>
        <v>0.05127082656</v>
      </c>
      <c r="AM297" s="73">
        <f t="shared" si="24"/>
        <v>0.2600505987</v>
      </c>
      <c r="AN297" s="120">
        <f t="shared" si="25"/>
        <v>-1.981146493</v>
      </c>
      <c r="AO297" s="120">
        <f t="shared" si="26"/>
        <v>-3.381086321</v>
      </c>
      <c r="AP297" s="120">
        <f t="array" ref="AP297">INDIRECT("Update"&amp;Projections!$AH$17&amp;"!S"&amp;ROW(B278))</f>
        <v>4.7</v>
      </c>
      <c r="AQ297" s="120">
        <f t="array" ref="AQ297">INDIRECT("Update"&amp;Projections!$AH$17&amp;"!T"&amp;ROW(B278))</f>
        <v>0.9</v>
      </c>
      <c r="AR297" s="100">
        <f t="shared" si="27"/>
        <v>-5.107672383</v>
      </c>
    </row>
    <row r="298">
      <c r="A298" s="40" t="str">
        <f t="shared" si="3"/>
        <v>Dante Exum</v>
      </c>
      <c r="B298" s="42">
        <f t="shared" si="4"/>
        <v>-1.999211295</v>
      </c>
      <c r="C298" s="43">
        <f t="shared" si="5"/>
        <v>-0.9444921888</v>
      </c>
      <c r="D298" s="42">
        <f t="shared" si="6"/>
        <v>-1.517618941</v>
      </c>
      <c r="E298" s="42">
        <f t="shared" si="7"/>
        <v>-0.74528194</v>
      </c>
      <c r="F298" s="42">
        <f t="shared" si="8"/>
        <v>-2.244392479</v>
      </c>
      <c r="G298" s="42">
        <f t="shared" si="9"/>
        <v>-1.150698449</v>
      </c>
      <c r="H298" s="42">
        <f t="shared" si="10"/>
        <v>0.2010408455</v>
      </c>
      <c r="I298" s="42">
        <f>UpdateHashtag!S296</f>
        <v>4.5</v>
      </c>
      <c r="J298" s="47">
        <f t="shared" si="11"/>
        <v>-0.04573354915</v>
      </c>
      <c r="K298" s="48">
        <f>UpdateHashtag!T296</f>
        <v>1</v>
      </c>
      <c r="L298" s="42">
        <f t="shared" si="12"/>
        <v>-1.040202395</v>
      </c>
      <c r="N298" s="100">
        <f t="shared" si="13"/>
        <v>287</v>
      </c>
      <c r="O298" s="94" t="str">
        <f t="array" ref="O298">INDIRECT("Update"&amp;Projections!$AH$17&amp;"!B"&amp;ROW(B279))</f>
        <v/>
      </c>
      <c r="P298" s="101" t="str">
        <f t="array" ref="P298">INDIRECT("Update"&amp;Projections!$AH$17&amp;"!C"&amp;ROW(B279))</f>
        <v>Shake Milton</v>
      </c>
      <c r="Q298" s="94">
        <f>UpdateBBM!F279</f>
        <v>71</v>
      </c>
      <c r="R298" s="105" t="str">
        <f t="array" ref="R298">INDIRECT("Update"&amp;Projections!$AH$17&amp;"!D"&amp;ROW(B279))</f>
        <v>PG,SG</v>
      </c>
      <c r="S298" s="73">
        <f t="shared" si="14"/>
        <v>-5.46224887</v>
      </c>
      <c r="T298" s="73">
        <f>SUM(AE298:AM298)-IFERROR(IFS(Projections!$I$17,AN298,Projections!$J$17,AO298),"")</f>
        <v>-5.46224887</v>
      </c>
      <c r="U298" s="73">
        <f t="shared" si="15"/>
        <v>0</v>
      </c>
      <c r="V298" s="73">
        <f t="array" ref="V298">INDIRECT("Update"&amp;Projections!$AH$17&amp;"!M"&amp;ROW(B279))</f>
        <v>8.1</v>
      </c>
      <c r="W298" s="73">
        <f t="array" ref="W298">INDIRECT("Update"&amp;Projections!$AH$17&amp;"!L"&amp;ROW(B279))</f>
        <v>0.7</v>
      </c>
      <c r="X298" s="73">
        <f t="array" ref="X298">INDIRECT("Update"&amp;Projections!$AH$17&amp;"!N"&amp;ROW(B279))</f>
        <v>2.5</v>
      </c>
      <c r="Y298" s="73">
        <f t="array" ref="Y298">INDIRECT("Update"&amp;Projections!$AH$17&amp;"!O"&amp;ROW(B279))</f>
        <v>2.9</v>
      </c>
      <c r="Z298" s="73">
        <f t="array" ref="Z298">INDIRECT("Update"&amp;Projections!$AH$17&amp;"!P"&amp;ROW(B279))</f>
        <v>0.4</v>
      </c>
      <c r="AA298" s="73">
        <f t="array" ref="AA298">INDIRECT("Update"&amp;Projections!$AH$17&amp;"!Q"&amp;ROW(B279))</f>
        <v>0.2</v>
      </c>
      <c r="AB298" s="107">
        <f t="array" ref="AB298">INDIRECT("Update"&amp;Projections!$AH$17&amp;"!I"&amp;ROW(B279))</f>
        <v>0.457</v>
      </c>
      <c r="AC298" s="107">
        <f t="array" ref="AC298">INDIRECT("Update"&amp;Projections!$AH$17&amp;"!K"&amp;ROW(B279))</f>
        <v>0.847</v>
      </c>
      <c r="AD298" s="73">
        <f t="array" ref="AD298">INDIRECT("Update"&amp;Projections!$AH$17&amp;"!R"&amp;ROW(B279))</f>
        <v>1.2</v>
      </c>
      <c r="AE298" s="73">
        <f t="shared" si="16"/>
        <v>-1.692109662</v>
      </c>
      <c r="AF298" s="73">
        <f t="shared" si="17"/>
        <v>-1.044016488</v>
      </c>
      <c r="AG298" s="73">
        <f t="shared" si="18"/>
        <v>-1.399939828</v>
      </c>
      <c r="AH298" s="73">
        <f t="shared" si="19"/>
        <v>-0.4719113175</v>
      </c>
      <c r="AI298" s="73">
        <f t="shared" si="20"/>
        <v>-1.912459801</v>
      </c>
      <c r="AJ298" s="73">
        <f t="shared" si="21"/>
        <v>-0.9723047469</v>
      </c>
      <c r="AK298" s="73">
        <f t="shared" si="22"/>
        <v>-0.3131601966</v>
      </c>
      <c r="AL298" s="73">
        <f t="shared" si="23"/>
        <v>0.2951338372</v>
      </c>
      <c r="AM298" s="73">
        <f t="shared" si="24"/>
        <v>0.1360595313</v>
      </c>
      <c r="AN298" s="120">
        <f t="shared" si="25"/>
        <v>-1.912459801</v>
      </c>
      <c r="AO298" s="120">
        <f t="shared" si="26"/>
        <v>-3.604569463</v>
      </c>
      <c r="AP298" s="120">
        <f t="array" ref="AP298">INDIRECT("Update"&amp;Projections!$AH$17&amp;"!S"&amp;ROW(B279))</f>
        <v>6.7</v>
      </c>
      <c r="AQ298" s="120">
        <f t="array" ref="AQ298">INDIRECT("Update"&amp;Projections!$AH$17&amp;"!T"&amp;ROW(B279))</f>
        <v>1.6</v>
      </c>
      <c r="AR298" s="100">
        <f t="shared" si="27"/>
        <v>-5.181842732</v>
      </c>
    </row>
    <row r="299">
      <c r="A299" s="40" t="str">
        <f t="shared" si="3"/>
        <v>Leonard Miller</v>
      </c>
      <c r="B299" s="42">
        <f t="shared" si="4"/>
        <v>-2.270183325</v>
      </c>
      <c r="C299" s="43">
        <f t="shared" si="5"/>
        <v>-1.442113684</v>
      </c>
      <c r="D299" s="42">
        <f t="shared" si="6"/>
        <v>-1.046902488</v>
      </c>
      <c r="E299" s="42">
        <f t="shared" si="7"/>
        <v>-1.155337874</v>
      </c>
      <c r="F299" s="42">
        <f t="shared" si="8"/>
        <v>-2.244392479</v>
      </c>
      <c r="G299" s="42">
        <f t="shared" si="9"/>
        <v>-0.9723047469</v>
      </c>
      <c r="H299" s="42">
        <f t="shared" si="10"/>
        <v>0.6181194914</v>
      </c>
      <c r="I299" s="42">
        <f>UpdateHashtag!S297</f>
        <v>3.4</v>
      </c>
      <c r="J299" s="47">
        <f t="shared" si="11"/>
        <v>-0.3133240632</v>
      </c>
      <c r="K299" s="48">
        <f>UpdateHashtag!T297</f>
        <v>0.3</v>
      </c>
      <c r="L299" s="42">
        <f t="shared" si="12"/>
        <v>-1.536166664</v>
      </c>
      <c r="N299" s="100">
        <f t="shared" si="13"/>
        <v>263</v>
      </c>
      <c r="O299" s="94" t="str">
        <f t="array" ref="O299">INDIRECT("Update"&amp;Projections!$AH$17&amp;"!B"&amp;ROW(B280))</f>
        <v/>
      </c>
      <c r="P299" s="101" t="str">
        <f t="array" ref="P299">INDIRECT("Update"&amp;Projections!$AH$17&amp;"!C"&amp;ROW(B280))</f>
        <v>Kevin Love</v>
      </c>
      <c r="Q299" s="94">
        <f>UpdateBBM!F280</f>
        <v>71</v>
      </c>
      <c r="R299" s="105" t="str">
        <f t="array" ref="R299">INDIRECT("Update"&amp;Projections!$AH$17&amp;"!D"&amp;ROW(B280))</f>
        <v>PF,C</v>
      </c>
      <c r="S299" s="73">
        <f t="shared" si="14"/>
        <v>-4.796581845</v>
      </c>
      <c r="T299" s="73">
        <f>SUM(AE299:AM299)-IFERROR(IFS(Projections!$I$17,AN299,Projections!$J$17,AO299),"")</f>
        <v>-4.796581845</v>
      </c>
      <c r="U299" s="73">
        <f t="shared" si="15"/>
        <v>0</v>
      </c>
      <c r="V299" s="73">
        <f t="array" ref="V299">INDIRECT("Update"&amp;Projections!$AH$17&amp;"!M"&amp;ROW(B280))</f>
        <v>7.2</v>
      </c>
      <c r="W299" s="73">
        <f t="array" ref="W299">INDIRECT("Update"&amp;Projections!$AH$17&amp;"!L"&amp;ROW(B280))</f>
        <v>1.3</v>
      </c>
      <c r="X299" s="73">
        <f t="array" ref="X299">INDIRECT("Update"&amp;Projections!$AH$17&amp;"!N"&amp;ROW(B280))</f>
        <v>5.3</v>
      </c>
      <c r="Y299" s="73">
        <f t="array" ref="Y299">INDIRECT("Update"&amp;Projections!$AH$17&amp;"!O"&amp;ROW(B280))</f>
        <v>1.7</v>
      </c>
      <c r="Z299" s="73">
        <f t="array" ref="Z299">INDIRECT("Update"&amp;Projections!$AH$17&amp;"!P"&amp;ROW(B280))</f>
        <v>0.3</v>
      </c>
      <c r="AA299" s="73">
        <f t="array" ref="AA299">INDIRECT("Update"&amp;Projections!$AH$17&amp;"!Q"&amp;ROW(B280))</f>
        <v>0.2</v>
      </c>
      <c r="AB299" s="107">
        <f t="array" ref="AB299">INDIRECT("Update"&amp;Projections!$AH$17&amp;"!I"&amp;ROW(B280))</f>
        <v>0.412</v>
      </c>
      <c r="AC299" s="107">
        <f t="array" ref="AC299">INDIRECT("Update"&amp;Projections!$AH$17&amp;"!K"&amp;ROW(B280))</f>
        <v>0.826</v>
      </c>
      <c r="AD299" s="73">
        <f t="array" ref="AD299">INDIRECT("Update"&amp;Projections!$AH$17&amp;"!R"&amp;ROW(B280))</f>
        <v>0.9</v>
      </c>
      <c r="AE299" s="73">
        <f t="shared" si="16"/>
        <v>-1.85469288</v>
      </c>
      <c r="AF299" s="73">
        <f t="shared" si="17"/>
        <v>-0.4468706937</v>
      </c>
      <c r="AG299" s="73">
        <f t="shared" si="18"/>
        <v>-0.3016014363</v>
      </c>
      <c r="AH299" s="73">
        <f t="shared" si="19"/>
        <v>-1.018652563</v>
      </c>
      <c r="AI299" s="73">
        <f t="shared" si="20"/>
        <v>-2.244392479</v>
      </c>
      <c r="AJ299" s="73">
        <f t="shared" si="21"/>
        <v>-0.9723047469</v>
      </c>
      <c r="AK299" s="73">
        <f t="shared" si="22"/>
        <v>-0.5670381032</v>
      </c>
      <c r="AL299" s="73">
        <f t="shared" si="23"/>
        <v>0.1541244059</v>
      </c>
      <c r="AM299" s="73">
        <f t="shared" si="24"/>
        <v>0.2104541717</v>
      </c>
      <c r="AN299" s="120">
        <f t="shared" si="25"/>
        <v>-2.244392479</v>
      </c>
      <c r="AO299" s="120">
        <f t="shared" si="26"/>
        <v>-4.099085359</v>
      </c>
      <c r="AP299" s="120">
        <f t="array" ref="AP299">INDIRECT("Update"&amp;Projections!$AH$17&amp;"!S"&amp;ROW(B280))</f>
        <v>5.7</v>
      </c>
      <c r="AQ299" s="120">
        <f t="array" ref="AQ299">INDIRECT("Update"&amp;Projections!$AH$17&amp;"!T"&amp;ROW(B280))</f>
        <v>1.4</v>
      </c>
      <c r="AR299" s="100">
        <f t="shared" si="27"/>
        <v>-5.206212231</v>
      </c>
    </row>
    <row r="300">
      <c r="A300" s="40" t="str">
        <f t="shared" si="3"/>
        <v>Steven Adams</v>
      </c>
      <c r="B300" s="42">
        <f t="shared" si="4"/>
        <v>-2.125664909</v>
      </c>
      <c r="C300" s="43">
        <f t="shared" si="5"/>
        <v>-1.740686581</v>
      </c>
      <c r="D300" s="42">
        <f t="shared" si="6"/>
        <v>0.6398314707</v>
      </c>
      <c r="E300" s="42">
        <f t="shared" si="7"/>
        <v>-1.109776103</v>
      </c>
      <c r="F300" s="42">
        <f t="shared" si="8"/>
        <v>-1.248594445</v>
      </c>
      <c r="G300" s="42">
        <f t="shared" si="9"/>
        <v>-0.08033623669</v>
      </c>
      <c r="H300" s="42">
        <f t="shared" si="10"/>
        <v>0.4928271605</v>
      </c>
      <c r="I300" s="42">
        <f>UpdateHashtag!S298</f>
        <v>4.2</v>
      </c>
      <c r="J300" s="47">
        <f t="shared" si="11"/>
        <v>-3.189823586</v>
      </c>
      <c r="K300" s="48">
        <f>UpdateHashtag!T298</f>
        <v>2.1</v>
      </c>
      <c r="L300" s="42">
        <f t="shared" si="12"/>
        <v>-0.4450452712</v>
      </c>
      <c r="N300" s="100">
        <f t="shared" si="13"/>
        <v>269</v>
      </c>
      <c r="O300" s="94" t="str">
        <f t="array" ref="O300">INDIRECT("Update"&amp;Projections!$AH$17&amp;"!B"&amp;ROW(B281))</f>
        <v/>
      </c>
      <c r="P300" s="101" t="str">
        <f t="array" ref="P300">INDIRECT("Update"&amp;Projections!$AH$17&amp;"!C"&amp;ROW(B281))</f>
        <v>Jarace Walker</v>
      </c>
      <c r="Q300" s="94">
        <f>UpdateBBM!F281</f>
        <v>71</v>
      </c>
      <c r="R300" s="105" t="str">
        <f t="array" ref="R300">INDIRECT("Update"&amp;Projections!$AH$17&amp;"!D"&amp;ROW(B281))</f>
        <v>PF</v>
      </c>
      <c r="S300" s="73">
        <f t="shared" si="14"/>
        <v>-4.942779642</v>
      </c>
      <c r="T300" s="73">
        <f>SUM(AE300:AM300)-IFERROR(IFS(Projections!$I$17,AN300,Projections!$J$17,AO300),"")</f>
        <v>-4.942779642</v>
      </c>
      <c r="U300" s="73">
        <f t="shared" si="15"/>
        <v>0</v>
      </c>
      <c r="V300" s="73">
        <f t="array" ref="V300">INDIRECT("Update"&amp;Projections!$AH$17&amp;"!M"&amp;ROW(B281))</f>
        <v>5.1</v>
      </c>
      <c r="W300" s="73">
        <f t="array" ref="W300">INDIRECT("Update"&amp;Projections!$AH$17&amp;"!L"&amp;ROW(B281))</f>
        <v>0.9</v>
      </c>
      <c r="X300" s="73">
        <f t="array" ref="X300">INDIRECT("Update"&amp;Projections!$AH$17&amp;"!N"&amp;ROW(B281))</f>
        <v>2.7</v>
      </c>
      <c r="Y300" s="73">
        <f t="array" ref="Y300">INDIRECT("Update"&amp;Projections!$AH$17&amp;"!O"&amp;ROW(B281))</f>
        <v>1.7</v>
      </c>
      <c r="Z300" s="73">
        <f t="array" ref="Z300">INDIRECT("Update"&amp;Projections!$AH$17&amp;"!P"&amp;ROW(B281))</f>
        <v>0.6</v>
      </c>
      <c r="AA300" s="73">
        <f t="array" ref="AA300">INDIRECT("Update"&amp;Projections!$AH$17&amp;"!Q"&amp;ROW(B281))</f>
        <v>0.5</v>
      </c>
      <c r="AB300" s="107">
        <f t="array" ref="AB300">INDIRECT("Update"&amp;Projections!$AH$17&amp;"!I"&amp;ROW(B281))</f>
        <v>0.409</v>
      </c>
      <c r="AC300" s="107">
        <f t="array" ref="AC300">INDIRECT("Update"&amp;Projections!$AH$17&amp;"!K"&amp;ROW(B281))</f>
        <v>0.895</v>
      </c>
      <c r="AD300" s="73">
        <f t="array" ref="AD300">INDIRECT("Update"&amp;Projections!$AH$17&amp;"!R"&amp;ROW(B281))</f>
        <v>0.7</v>
      </c>
      <c r="AE300" s="73">
        <f t="shared" si="16"/>
        <v>-2.234053721</v>
      </c>
      <c r="AF300" s="73">
        <f t="shared" si="17"/>
        <v>-0.8449678898</v>
      </c>
      <c r="AG300" s="73">
        <f t="shared" si="18"/>
        <v>-1.321487086</v>
      </c>
      <c r="AH300" s="73">
        <f t="shared" si="19"/>
        <v>-1.018652563</v>
      </c>
      <c r="AI300" s="73">
        <f t="shared" si="20"/>
        <v>-1.248594445</v>
      </c>
      <c r="AJ300" s="73">
        <f t="shared" si="21"/>
        <v>-0.4371236408</v>
      </c>
      <c r="AK300" s="73">
        <f t="shared" si="22"/>
        <v>-0.4737833099</v>
      </c>
      <c r="AL300" s="73">
        <f t="shared" si="23"/>
        <v>0.141778693</v>
      </c>
      <c r="AM300" s="73">
        <f t="shared" si="24"/>
        <v>0.2600505987</v>
      </c>
      <c r="AN300" s="120">
        <f t="shared" si="25"/>
        <v>-2.234053721</v>
      </c>
      <c r="AO300" s="120">
        <f t="shared" si="26"/>
        <v>-3.555540806</v>
      </c>
      <c r="AP300" s="120">
        <f t="array" ref="AP300">INDIRECT("Update"&amp;Projections!$AH$17&amp;"!S"&amp;ROW(B281))</f>
        <v>4.6</v>
      </c>
      <c r="AQ300" s="120">
        <f t="array" ref="AQ300">INDIRECT("Update"&amp;Projections!$AH$17&amp;"!T"&amp;ROW(B281))</f>
        <v>0.4</v>
      </c>
      <c r="AR300" s="100">
        <f t="shared" si="27"/>
        <v>-5.250525708</v>
      </c>
    </row>
    <row r="301">
      <c r="A301" s="40" t="str">
        <f t="shared" si="3"/>
        <v>James Wiseman</v>
      </c>
      <c r="B301" s="42">
        <f t="shared" si="4"/>
        <v>-1.872757682</v>
      </c>
      <c r="C301" s="43">
        <f t="shared" si="5"/>
        <v>-1.740686581</v>
      </c>
      <c r="D301" s="42">
        <f t="shared" si="6"/>
        <v>-0.4977332919</v>
      </c>
      <c r="E301" s="42">
        <f t="shared" si="7"/>
        <v>-1.474270267</v>
      </c>
      <c r="F301" s="42">
        <f t="shared" si="8"/>
        <v>-2.576325158</v>
      </c>
      <c r="G301" s="42">
        <f t="shared" si="9"/>
        <v>-0.4371236408</v>
      </c>
      <c r="H301" s="42">
        <f t="shared" si="10"/>
        <v>0.52072932</v>
      </c>
      <c r="I301" s="42">
        <f>UpdateHashtag!S299</f>
        <v>5.1</v>
      </c>
      <c r="J301" s="47">
        <f t="shared" si="11"/>
        <v>-0.5208089671</v>
      </c>
      <c r="K301" s="48">
        <f>UpdateHashtag!T299</f>
        <v>1.6</v>
      </c>
      <c r="L301" s="42">
        <f t="shared" si="12"/>
        <v>-0.8418166868</v>
      </c>
      <c r="N301" s="100">
        <f t="shared" si="13"/>
        <v>270</v>
      </c>
      <c r="O301" s="94" t="str">
        <f t="array" ref="O301">INDIRECT("Update"&amp;Projections!$AH$17&amp;"!B"&amp;ROW(B282))</f>
        <v/>
      </c>
      <c r="P301" s="101" t="str">
        <f t="array" ref="P301">INDIRECT("Update"&amp;Projections!$AH$17&amp;"!C"&amp;ROW(B282))</f>
        <v>Kyshawn George</v>
      </c>
      <c r="Q301" s="94">
        <f>UpdateBBM!F282</f>
        <v>71</v>
      </c>
      <c r="R301" s="105" t="str">
        <f t="array" ref="R301">INDIRECT("Update"&amp;Projections!$AH$17&amp;"!D"&amp;ROW(B282))</f>
        <v>SF</v>
      </c>
      <c r="S301" s="73">
        <f t="shared" si="14"/>
        <v>-4.950295035</v>
      </c>
      <c r="T301" s="73">
        <f>SUM(AE301:AM301)-IFERROR(IFS(Projections!$I$17,AN301,Projections!$J$17,AO301),"")</f>
        <v>-4.950295035</v>
      </c>
      <c r="U301" s="73">
        <f t="shared" si="15"/>
        <v>0</v>
      </c>
      <c r="V301" s="73">
        <f t="array" ref="V301">INDIRECT("Update"&amp;Projections!$AH$17&amp;"!M"&amp;ROW(B282))</f>
        <v>6</v>
      </c>
      <c r="W301" s="73">
        <f t="array" ref="W301">INDIRECT("Update"&amp;Projections!$AH$17&amp;"!L"&amp;ROW(B282))</f>
        <v>1.3</v>
      </c>
      <c r="X301" s="73">
        <f t="array" ref="X301">INDIRECT("Update"&amp;Projections!$AH$17&amp;"!N"&amp;ROW(B282))</f>
        <v>2.4</v>
      </c>
      <c r="Y301" s="73">
        <f t="array" ref="Y301">INDIRECT("Update"&amp;Projections!$AH$17&amp;"!O"&amp;ROW(B282))</f>
        <v>1.7</v>
      </c>
      <c r="Z301" s="73">
        <f t="array" ref="Z301">INDIRECT("Update"&amp;Projections!$AH$17&amp;"!P"&amp;ROW(B282))</f>
        <v>0.7</v>
      </c>
      <c r="AA301" s="73">
        <f t="array" ref="AA301">INDIRECT("Update"&amp;Projections!$AH$17&amp;"!Q"&amp;ROW(B282))</f>
        <v>0.3</v>
      </c>
      <c r="AB301" s="107">
        <f t="array" ref="AB301">INDIRECT("Update"&amp;Projections!$AH$17&amp;"!I"&amp;ROW(B282))</f>
        <v>0.425</v>
      </c>
      <c r="AC301" s="107">
        <f t="array" ref="AC301">INDIRECT("Update"&amp;Projections!$AH$17&amp;"!K"&amp;ROW(B282))</f>
        <v>0.768</v>
      </c>
      <c r="AD301" s="73">
        <f t="array" ref="AD301">INDIRECT("Update"&amp;Projections!$AH$17&amp;"!R"&amp;ROW(B282))</f>
        <v>1.2</v>
      </c>
      <c r="AE301" s="73">
        <f t="shared" si="16"/>
        <v>-2.071470503</v>
      </c>
      <c r="AF301" s="73">
        <f t="shared" si="17"/>
        <v>-0.4468706937</v>
      </c>
      <c r="AG301" s="73">
        <f t="shared" si="18"/>
        <v>-1.439166199</v>
      </c>
      <c r="AH301" s="73">
        <f t="shared" si="19"/>
        <v>-1.018652563</v>
      </c>
      <c r="AI301" s="73">
        <f t="shared" si="20"/>
        <v>-0.9166617668</v>
      </c>
      <c r="AJ301" s="73">
        <f t="shared" si="21"/>
        <v>-0.7939110449</v>
      </c>
      <c r="AK301" s="73">
        <f t="shared" si="22"/>
        <v>-0.4043729141</v>
      </c>
      <c r="AL301" s="73">
        <f t="shared" si="23"/>
        <v>-0.06671938493</v>
      </c>
      <c r="AM301" s="73">
        <f t="shared" si="24"/>
        <v>0.1360595313</v>
      </c>
      <c r="AN301" s="120">
        <f t="shared" si="25"/>
        <v>-2.071470503</v>
      </c>
      <c r="AO301" s="120">
        <f t="shared" si="26"/>
        <v>-3.510636702</v>
      </c>
      <c r="AP301" s="120">
        <f t="array" ref="AP301">INDIRECT("Update"&amp;Projections!$AH$17&amp;"!S"&amp;ROW(B282))</f>
        <v>4.8</v>
      </c>
      <c r="AQ301" s="120">
        <f t="array" ref="AQ301">INDIRECT("Update"&amp;Projections!$AH$17&amp;"!T"&amp;ROW(B282))</f>
        <v>0.7</v>
      </c>
      <c r="AR301" s="100">
        <f t="shared" si="27"/>
        <v>-5.259701255</v>
      </c>
    </row>
    <row r="302">
      <c r="A302" s="40" t="str">
        <f t="shared" si="3"/>
        <v>Seth Curry</v>
      </c>
      <c r="B302" s="42">
        <f t="shared" si="4"/>
        <v>-1.890822484</v>
      </c>
      <c r="C302" s="43">
        <f t="shared" si="5"/>
        <v>-0.5463949927</v>
      </c>
      <c r="D302" s="42">
        <f t="shared" si="6"/>
        <v>-1.792203539</v>
      </c>
      <c r="E302" s="42">
        <f t="shared" si="7"/>
        <v>-1.200899644</v>
      </c>
      <c r="F302" s="42">
        <f t="shared" si="8"/>
        <v>-1.580527123</v>
      </c>
      <c r="G302" s="42">
        <f t="shared" si="9"/>
        <v>-1.150698449</v>
      </c>
      <c r="H302" s="42">
        <f t="shared" si="10"/>
        <v>-0.3798555863</v>
      </c>
      <c r="I302" s="42">
        <f>UpdateHashtag!S300</f>
        <v>5.8</v>
      </c>
      <c r="J302" s="47">
        <f t="shared" si="11"/>
        <v>0.3572188891</v>
      </c>
      <c r="K302" s="48">
        <f>UpdateHashtag!T300</f>
        <v>0.8</v>
      </c>
      <c r="L302" s="42">
        <f t="shared" si="12"/>
        <v>-1.139395249</v>
      </c>
      <c r="N302" s="100">
        <f t="shared" si="13"/>
        <v>285</v>
      </c>
      <c r="O302" s="94" t="str">
        <f t="array" ref="O302">INDIRECT("Update"&amp;Projections!$AH$17&amp;"!B"&amp;ROW(B283))</f>
        <v/>
      </c>
      <c r="P302" s="101" t="str">
        <f t="array" ref="P302">INDIRECT("Update"&amp;Projections!$AH$17&amp;"!C"&amp;ROW(B283))</f>
        <v>Josh Minott</v>
      </c>
      <c r="Q302" s="94">
        <f>UpdateBBM!F283</f>
        <v>71</v>
      </c>
      <c r="R302" s="105" t="str">
        <f t="array" ref="R302">INDIRECT("Update"&amp;Projections!$AH$17&amp;"!D"&amp;ROW(B283))</f>
        <v>SF,PF</v>
      </c>
      <c r="S302" s="73">
        <f t="shared" si="14"/>
        <v>-5.409623181</v>
      </c>
      <c r="T302" s="73">
        <f>SUM(AE302:AM302)-IFERROR(IFS(Projections!$I$17,AN302,Projections!$J$17,AO302),"")</f>
        <v>-5.409623181</v>
      </c>
      <c r="U302" s="73">
        <f t="shared" si="15"/>
        <v>0</v>
      </c>
      <c r="V302" s="73">
        <f t="array" ref="V302">INDIRECT("Update"&amp;Projections!$AH$17&amp;"!M"&amp;ROW(B283))</f>
        <v>5.2</v>
      </c>
      <c r="W302" s="73">
        <f t="array" ref="W302">INDIRECT("Update"&amp;Projections!$AH$17&amp;"!L"&amp;ROW(B283))</f>
        <v>0.3</v>
      </c>
      <c r="X302" s="73">
        <f t="array" ref="X302">INDIRECT("Update"&amp;Projections!$AH$17&amp;"!N"&amp;ROW(B283))</f>
        <v>2.3</v>
      </c>
      <c r="Y302" s="73">
        <f t="array" ref="Y302">INDIRECT("Update"&amp;Projections!$AH$17&amp;"!O"&amp;ROW(B283))</f>
        <v>0.7</v>
      </c>
      <c r="Z302" s="73">
        <f t="array" ref="Z302">INDIRECT("Update"&amp;Projections!$AH$17&amp;"!P"&amp;ROW(B283))</f>
        <v>0.5</v>
      </c>
      <c r="AA302" s="73">
        <f t="array" ref="AA302">INDIRECT("Update"&amp;Projections!$AH$17&amp;"!Q"&amp;ROW(B283))</f>
        <v>0.6</v>
      </c>
      <c r="AB302" s="107">
        <f t="array" ref="AB302">INDIRECT("Update"&amp;Projections!$AH$17&amp;"!I"&amp;ROW(B283))</f>
        <v>0.487</v>
      </c>
      <c r="AC302" s="107">
        <f t="array" ref="AC302">INDIRECT("Update"&amp;Projections!$AH$17&amp;"!K"&amp;ROW(B283))</f>
        <v>0.915</v>
      </c>
      <c r="AD302" s="73">
        <f t="array" ref="AD302">INDIRECT("Update"&amp;Projections!$AH$17&amp;"!R"&amp;ROW(B283))</f>
        <v>0.3</v>
      </c>
      <c r="AE302" s="73">
        <f t="shared" si="16"/>
        <v>-2.215988919</v>
      </c>
      <c r="AF302" s="73">
        <f t="shared" si="17"/>
        <v>-1.442113684</v>
      </c>
      <c r="AG302" s="73">
        <f t="shared" si="18"/>
        <v>-1.47839257</v>
      </c>
      <c r="AH302" s="73">
        <f t="shared" si="19"/>
        <v>-1.474270267</v>
      </c>
      <c r="AI302" s="73">
        <f t="shared" si="20"/>
        <v>-1.580527123</v>
      </c>
      <c r="AJ302" s="73">
        <f t="shared" si="21"/>
        <v>-0.2587299387</v>
      </c>
      <c r="AK302" s="73">
        <f t="shared" si="22"/>
        <v>-0.04516317165</v>
      </c>
      <c r="AL302" s="73">
        <f t="shared" si="23"/>
        <v>0.510330121</v>
      </c>
      <c r="AM302" s="73">
        <f t="shared" si="24"/>
        <v>0.3592434526</v>
      </c>
      <c r="AN302" s="120">
        <f t="shared" si="25"/>
        <v>-2.215988919</v>
      </c>
      <c r="AO302" s="120">
        <f t="shared" si="26"/>
        <v>-3.796516042</v>
      </c>
      <c r="AP302" s="120">
        <f t="array" ref="AP302">INDIRECT("Update"&amp;Projections!$AH$17&amp;"!S"&amp;ROW(B283))</f>
        <v>3.9</v>
      </c>
      <c r="AQ302" s="120">
        <f t="array" ref="AQ302">INDIRECT("Update"&amp;Projections!$AH$17&amp;"!T"&amp;ROW(B283))</f>
        <v>1.2</v>
      </c>
      <c r="AR302" s="100">
        <f t="shared" si="27"/>
        <v>-5.304330367</v>
      </c>
    </row>
    <row r="303">
      <c r="A303" s="40" t="str">
        <f t="shared" si="3"/>
        <v>Jaylin Williams</v>
      </c>
      <c r="B303" s="42">
        <f t="shared" si="4"/>
        <v>-2.324377731</v>
      </c>
      <c r="C303" s="43">
        <f t="shared" si="5"/>
        <v>-0.9444921888</v>
      </c>
      <c r="D303" s="42">
        <f t="shared" si="6"/>
        <v>-0.8899970031</v>
      </c>
      <c r="E303" s="42">
        <f t="shared" si="7"/>
        <v>-1.109776103</v>
      </c>
      <c r="F303" s="42">
        <f t="shared" si="8"/>
        <v>-1.580527123</v>
      </c>
      <c r="G303" s="42">
        <f t="shared" si="9"/>
        <v>-0.7939110449</v>
      </c>
      <c r="H303" s="42">
        <f t="shared" si="10"/>
        <v>-0.3073677179</v>
      </c>
      <c r="I303" s="42">
        <f>UpdateHashtag!S301</f>
        <v>3.7</v>
      </c>
      <c r="J303" s="47">
        <f t="shared" si="11"/>
        <v>-0.1555784983</v>
      </c>
      <c r="K303" s="48">
        <f>UpdateHashtag!T301</f>
        <v>0.8</v>
      </c>
      <c r="L303" s="42">
        <f t="shared" si="12"/>
        <v>-1.139395249</v>
      </c>
      <c r="N303" s="100">
        <f t="shared" si="13"/>
        <v>288</v>
      </c>
      <c r="O303" s="94">
        <f t="array" ref="O303">INDIRECT("Update"&amp;Projections!$AH$17&amp;"!B"&amp;ROW(B284))</f>
        <v>142.6</v>
      </c>
      <c r="P303" s="101" t="str">
        <f t="array" ref="P303">INDIRECT("Update"&amp;Projections!$AH$17&amp;"!C"&amp;ROW(B284))</f>
        <v>Cam Whitmore</v>
      </c>
      <c r="Q303" s="94">
        <f>UpdateBBM!F284</f>
        <v>71</v>
      </c>
      <c r="R303" s="105" t="str">
        <f t="array" ref="R303">INDIRECT("Update"&amp;Projections!$AH$17&amp;"!D"&amp;ROW(B284))</f>
        <v>SF,PF</v>
      </c>
      <c r="S303" s="73">
        <f t="shared" si="14"/>
        <v>-5.465036133</v>
      </c>
      <c r="T303" s="73">
        <f>SUM(AE303:AM303)-IFERROR(IFS(Projections!$I$17,AN303,Projections!$J$17,AO303),"")</f>
        <v>-5.465036133</v>
      </c>
      <c r="U303" s="73">
        <f t="shared" si="15"/>
        <v>0</v>
      </c>
      <c r="V303" s="73">
        <f t="array" ref="V303">INDIRECT("Update"&amp;Projections!$AH$17&amp;"!M"&amp;ROW(B284))</f>
        <v>11.4</v>
      </c>
      <c r="W303" s="73">
        <f t="array" ref="W303">INDIRECT("Update"&amp;Projections!$AH$17&amp;"!L"&amp;ROW(B284))</f>
        <v>1.6</v>
      </c>
      <c r="X303" s="73">
        <f t="array" ref="X303">INDIRECT("Update"&amp;Projections!$AH$17&amp;"!N"&amp;ROW(B284))</f>
        <v>3.5</v>
      </c>
      <c r="Y303" s="73">
        <f t="array" ref="Y303">INDIRECT("Update"&amp;Projections!$AH$17&amp;"!O"&amp;ROW(B284))</f>
        <v>0.7</v>
      </c>
      <c r="Z303" s="73">
        <f t="array" ref="Z303">INDIRECT("Update"&amp;Projections!$AH$17&amp;"!P"&amp;ROW(B284))</f>
        <v>0.6</v>
      </c>
      <c r="AA303" s="73">
        <f t="array" ref="AA303">INDIRECT("Update"&amp;Projections!$AH$17&amp;"!Q"&amp;ROW(B284))</f>
        <v>0.3</v>
      </c>
      <c r="AB303" s="107">
        <f t="array" ref="AB303">INDIRECT("Update"&amp;Projections!$AH$17&amp;"!I"&amp;ROW(B284))</f>
        <v>0.454</v>
      </c>
      <c r="AC303" s="107">
        <f t="array" ref="AC303">INDIRECT("Update"&amp;Projections!$AH$17&amp;"!K"&amp;ROW(B284))</f>
        <v>0.677</v>
      </c>
      <c r="AD303" s="73">
        <f t="array" ref="AD303">INDIRECT("Update"&amp;Projections!$AH$17&amp;"!R"&amp;ROW(B284))</f>
        <v>0.9</v>
      </c>
      <c r="AE303" s="73">
        <f t="shared" si="16"/>
        <v>-1.095971197</v>
      </c>
      <c r="AF303" s="73">
        <f t="shared" si="17"/>
        <v>-0.1482977966</v>
      </c>
      <c r="AG303" s="73">
        <f t="shared" si="18"/>
        <v>-1.007676117</v>
      </c>
      <c r="AH303" s="73">
        <f t="shared" si="19"/>
        <v>-1.474270267</v>
      </c>
      <c r="AI303" s="73">
        <f t="shared" si="20"/>
        <v>-1.248594445</v>
      </c>
      <c r="AJ303" s="73">
        <f t="shared" si="21"/>
        <v>-0.7939110449</v>
      </c>
      <c r="AK303" s="73">
        <f t="shared" si="22"/>
        <v>-0.4623582414</v>
      </c>
      <c r="AL303" s="73">
        <f t="shared" si="23"/>
        <v>-0.9186814634</v>
      </c>
      <c r="AM303" s="73">
        <f t="shared" si="24"/>
        <v>0.2104541717</v>
      </c>
      <c r="AN303" s="120">
        <f t="shared" si="25"/>
        <v>-1.474270267</v>
      </c>
      <c r="AO303" s="120">
        <f t="shared" si="26"/>
        <v>-2.722864712</v>
      </c>
      <c r="AP303" s="120">
        <f t="array" ref="AP303">INDIRECT("Update"&amp;Projections!$AH$17&amp;"!S"&amp;ROW(B284))</f>
        <v>9.2</v>
      </c>
      <c r="AQ303" s="120">
        <f t="array" ref="AQ303">INDIRECT("Update"&amp;Projections!$AH$17&amp;"!T"&amp;ROW(B284))</f>
        <v>2.2</v>
      </c>
      <c r="AR303" s="100">
        <f t="shared" si="27"/>
        <v>-5.343329646</v>
      </c>
    </row>
    <row r="304">
      <c r="A304" s="40" t="str">
        <f t="shared" si="3"/>
        <v>Trey Jemison</v>
      </c>
      <c r="B304" s="42">
        <f t="shared" si="4"/>
        <v>-2.396636939</v>
      </c>
      <c r="C304" s="43">
        <f t="shared" si="5"/>
        <v>-1.740686581</v>
      </c>
      <c r="D304" s="42">
        <f t="shared" si="6"/>
        <v>-1.086128859</v>
      </c>
      <c r="E304" s="42">
        <f t="shared" si="7"/>
        <v>-1.474270267</v>
      </c>
      <c r="F304" s="42">
        <f t="shared" si="8"/>
        <v>-2.244392479</v>
      </c>
      <c r="G304" s="42">
        <f t="shared" si="9"/>
        <v>-0.08033623669</v>
      </c>
      <c r="H304" s="42">
        <f t="shared" si="10"/>
        <v>0.2196391806</v>
      </c>
      <c r="I304" s="42">
        <f>UpdateHashtag!S302</f>
        <v>3.4</v>
      </c>
      <c r="J304" s="47">
        <f t="shared" si="11"/>
        <v>0.09367638051</v>
      </c>
      <c r="K304" s="48">
        <f>UpdateHashtag!T302</f>
        <v>0.6</v>
      </c>
      <c r="L304" s="42">
        <f t="shared" si="12"/>
        <v>-0.9410095407</v>
      </c>
      <c r="N304" s="100">
        <f t="shared" si="13"/>
        <v>298</v>
      </c>
      <c r="O304" s="94" t="str">
        <f t="array" ref="O304">INDIRECT("Update"&amp;Projections!$AH$17&amp;"!B"&amp;ROW(B285))</f>
        <v/>
      </c>
      <c r="P304" s="101" t="str">
        <f t="array" ref="P304">INDIRECT("Update"&amp;Projections!$AH$17&amp;"!C"&amp;ROW(B285))</f>
        <v>Mason Plumlee</v>
      </c>
      <c r="Q304" s="94">
        <f>UpdateBBM!F285</f>
        <v>71</v>
      </c>
      <c r="R304" s="105" t="str">
        <f t="array" ref="R304">INDIRECT("Update"&amp;Projections!$AH$17&amp;"!D"&amp;ROW(B285))</f>
        <v>C</v>
      </c>
      <c r="S304" s="73">
        <f t="shared" si="14"/>
        <v>-5.723130133</v>
      </c>
      <c r="T304" s="73">
        <f>SUM(AE304:AM304)-IFERROR(IFS(Projections!$I$17,AN304,Projections!$J$17,AO304),"")</f>
        <v>-5.723130133</v>
      </c>
      <c r="U304" s="73">
        <f t="shared" si="15"/>
        <v>0</v>
      </c>
      <c r="V304" s="73">
        <f t="array" ref="V304">INDIRECT("Update"&amp;Projections!$AH$17&amp;"!M"&amp;ROW(B285))</f>
        <v>6.7</v>
      </c>
      <c r="W304" s="73">
        <f t="array" ref="W304">INDIRECT("Update"&amp;Projections!$AH$17&amp;"!L"&amp;ROW(B285))</f>
        <v>0</v>
      </c>
      <c r="X304" s="73">
        <f t="array" ref="X304">INDIRECT("Update"&amp;Projections!$AH$17&amp;"!N"&amp;ROW(B285))</f>
        <v>5.7</v>
      </c>
      <c r="Y304" s="73">
        <f t="array" ref="Y304">INDIRECT("Update"&amp;Projections!$AH$17&amp;"!O"&amp;ROW(B285))</f>
        <v>1.8</v>
      </c>
      <c r="Z304" s="73">
        <f t="array" ref="Z304">INDIRECT("Update"&amp;Projections!$AH$17&amp;"!P"&amp;ROW(B285))</f>
        <v>0.4</v>
      </c>
      <c r="AA304" s="73">
        <f t="array" ref="AA304">INDIRECT("Update"&amp;Projections!$AH$17&amp;"!Q"&amp;ROW(B285))</f>
        <v>0.4</v>
      </c>
      <c r="AB304" s="107">
        <f t="array" ref="AB304">INDIRECT("Update"&amp;Projections!$AH$17&amp;"!I"&amp;ROW(B285))</f>
        <v>0.654</v>
      </c>
      <c r="AC304" s="107">
        <f t="array" ref="AC304">INDIRECT("Update"&amp;Projections!$AH$17&amp;"!K"&amp;ROW(B285))</f>
        <v>0.652</v>
      </c>
      <c r="AD304" s="73">
        <f t="array" ref="AD304">INDIRECT("Update"&amp;Projections!$AH$17&amp;"!R"&amp;ROW(B285))</f>
        <v>0.9</v>
      </c>
      <c r="AE304" s="73">
        <f t="shared" si="16"/>
        <v>-1.94501689</v>
      </c>
      <c r="AF304" s="73">
        <f t="shared" si="17"/>
        <v>-1.740686581</v>
      </c>
      <c r="AG304" s="73">
        <f t="shared" si="18"/>
        <v>-0.1446959518</v>
      </c>
      <c r="AH304" s="73">
        <f t="shared" si="19"/>
        <v>-0.9730907921</v>
      </c>
      <c r="AI304" s="73">
        <f t="shared" si="20"/>
        <v>-1.912459801</v>
      </c>
      <c r="AJ304" s="73">
        <f t="shared" si="21"/>
        <v>-0.6155173428</v>
      </c>
      <c r="AK304" s="73">
        <f t="shared" si="22"/>
        <v>0.7181610237</v>
      </c>
      <c r="AL304" s="73">
        <f t="shared" si="23"/>
        <v>-1.26529486</v>
      </c>
      <c r="AM304" s="73">
        <f t="shared" si="24"/>
        <v>0.2104541717</v>
      </c>
      <c r="AN304" s="120">
        <f t="shared" si="25"/>
        <v>-1.94501689</v>
      </c>
      <c r="AO304" s="120">
        <f t="shared" si="26"/>
        <v>-3.857476691</v>
      </c>
      <c r="AP304" s="120">
        <f t="array" ref="AP304">INDIRECT("Update"&amp;Projections!$AH$17&amp;"!S"&amp;ROW(B285))</f>
        <v>3.9</v>
      </c>
      <c r="AQ304" s="120">
        <f t="array" ref="AQ304">INDIRECT("Update"&amp;Projections!$AH$17&amp;"!T"&amp;ROW(B285))</f>
        <v>2.5</v>
      </c>
      <c r="AR304" s="100">
        <f t="shared" si="27"/>
        <v>-5.377752375</v>
      </c>
    </row>
    <row r="305">
      <c r="A305" s="40" t="str">
        <f t="shared" si="3"/>
        <v>Thomas Bryant</v>
      </c>
      <c r="B305" s="42">
        <f t="shared" si="4"/>
        <v>-2.071470503</v>
      </c>
      <c r="C305" s="43">
        <f t="shared" si="5"/>
        <v>-1.541637983</v>
      </c>
      <c r="D305" s="42">
        <f t="shared" si="6"/>
        <v>-0.9684497454</v>
      </c>
      <c r="E305" s="42">
        <f t="shared" si="7"/>
        <v>-1.610955578</v>
      </c>
      <c r="F305" s="42">
        <f t="shared" si="8"/>
        <v>-2.576325158</v>
      </c>
      <c r="G305" s="42">
        <f t="shared" si="9"/>
        <v>-0.6155173428</v>
      </c>
      <c r="H305" s="42">
        <f t="shared" si="10"/>
        <v>0.5170456668</v>
      </c>
      <c r="I305" s="42">
        <f>UpdateHashtag!S303</f>
        <v>3.9</v>
      </c>
      <c r="J305" s="47">
        <f t="shared" si="11"/>
        <v>-0.1100958973</v>
      </c>
      <c r="K305" s="48">
        <f>UpdateHashtag!T303</f>
        <v>1.3</v>
      </c>
      <c r="L305" s="42">
        <f t="shared" si="12"/>
        <v>-1.238588102</v>
      </c>
      <c r="N305" s="100">
        <f t="shared" si="13"/>
        <v>282</v>
      </c>
      <c r="O305" s="94" t="str">
        <f t="array" ref="O305">INDIRECT("Update"&amp;Projections!$AH$17&amp;"!B"&amp;ROW(B286))</f>
        <v/>
      </c>
      <c r="P305" s="101" t="str">
        <f t="array" ref="P305">INDIRECT("Update"&amp;Projections!$AH$17&amp;"!C"&amp;ROW(B286))</f>
        <v>Ziaire Williams</v>
      </c>
      <c r="Q305" s="94">
        <f>UpdateBBM!F286</f>
        <v>71</v>
      </c>
      <c r="R305" s="105" t="str">
        <f t="array" ref="R305">INDIRECT("Update"&amp;Projections!$AH$17&amp;"!D"&amp;ROW(B286))</f>
        <v>SG,SF</v>
      </c>
      <c r="S305" s="73">
        <f t="shared" si="14"/>
        <v>-5.304330367</v>
      </c>
      <c r="T305" s="73">
        <f>SUM(AE305:AM305)-IFERROR(IFS(Projections!$I$17,AN305,Projections!$J$17,AO305),"")</f>
        <v>-5.304330367</v>
      </c>
      <c r="U305" s="73">
        <f t="shared" si="15"/>
        <v>0</v>
      </c>
      <c r="V305" s="73">
        <f t="array" ref="V305">INDIRECT("Update"&amp;Projections!$AH$17&amp;"!M"&amp;ROW(B286))</f>
        <v>8.6</v>
      </c>
      <c r="W305" s="73">
        <f t="array" ref="W305">INDIRECT("Update"&amp;Projections!$AH$17&amp;"!L"&amp;ROW(B286))</f>
        <v>1.1</v>
      </c>
      <c r="X305" s="73">
        <f t="array" ref="X305">INDIRECT("Update"&amp;Projections!$AH$17&amp;"!N"&amp;ROW(B286))</f>
        <v>3.5</v>
      </c>
      <c r="Y305" s="73">
        <f t="array" ref="Y305">INDIRECT("Update"&amp;Projections!$AH$17&amp;"!O"&amp;ROW(B286))</f>
        <v>1.5</v>
      </c>
      <c r="Z305" s="73">
        <f t="array" ref="Z305">INDIRECT("Update"&amp;Projections!$AH$17&amp;"!P"&amp;ROW(B286))</f>
        <v>0.7</v>
      </c>
      <c r="AA305" s="73">
        <f t="array" ref="AA305">INDIRECT("Update"&amp;Projections!$AH$17&amp;"!Q"&amp;ROW(B286))</f>
        <v>0.2</v>
      </c>
      <c r="AB305" s="107">
        <f t="array" ref="AB305">INDIRECT("Update"&amp;Projections!$AH$17&amp;"!I"&amp;ROW(B286))</f>
        <v>0.408</v>
      </c>
      <c r="AC305" s="107">
        <f t="array" ref="AC305">INDIRECT("Update"&amp;Projections!$AH$17&amp;"!K"&amp;ROW(B286))</f>
        <v>0.811</v>
      </c>
      <c r="AD305" s="73">
        <f t="array" ref="AD305">INDIRECT("Update"&amp;Projections!$AH$17&amp;"!R"&amp;ROW(B286))</f>
        <v>1.4</v>
      </c>
      <c r="AE305" s="73">
        <f t="shared" si="16"/>
        <v>-1.601785652</v>
      </c>
      <c r="AF305" s="73">
        <f t="shared" si="17"/>
        <v>-0.6459192917</v>
      </c>
      <c r="AG305" s="73">
        <f t="shared" si="18"/>
        <v>-1.007676117</v>
      </c>
      <c r="AH305" s="73">
        <f t="shared" si="19"/>
        <v>-1.109776103</v>
      </c>
      <c r="AI305" s="73">
        <f t="shared" si="20"/>
        <v>-0.9166617668</v>
      </c>
      <c r="AJ305" s="73">
        <f t="shared" si="21"/>
        <v>-0.9723047469</v>
      </c>
      <c r="AK305" s="73">
        <f t="shared" si="22"/>
        <v>-0.8125133066</v>
      </c>
      <c r="AL305" s="73">
        <f t="shared" si="23"/>
        <v>0.07405786058</v>
      </c>
      <c r="AM305" s="73">
        <f t="shared" si="24"/>
        <v>0.08646310432</v>
      </c>
      <c r="AN305" s="120">
        <f t="shared" si="25"/>
        <v>-1.601785652</v>
      </c>
      <c r="AO305" s="120">
        <f t="shared" si="26"/>
        <v>-2.711561756</v>
      </c>
      <c r="AP305" s="120">
        <f t="array" ref="AP305">INDIRECT("Update"&amp;Projections!$AH$17&amp;"!S"&amp;ROW(B286))</f>
        <v>7.8</v>
      </c>
      <c r="AQ305" s="120">
        <f t="array" ref="AQ305">INDIRECT("Update"&amp;Projections!$AH$17&amp;"!T"&amp;ROW(B286))</f>
        <v>1.3</v>
      </c>
      <c r="AR305" s="100">
        <f t="shared" si="27"/>
        <v>-5.409623181</v>
      </c>
    </row>
    <row r="306">
      <c r="A306" s="40" t="str">
        <f t="shared" si="3"/>
        <v>Devin Carter</v>
      </c>
      <c r="B306" s="42">
        <f t="shared" si="4"/>
        <v>-2.053405701</v>
      </c>
      <c r="C306" s="43">
        <f t="shared" si="5"/>
        <v>-0.9444921888</v>
      </c>
      <c r="D306" s="42">
        <f t="shared" si="6"/>
        <v>-1.321487086</v>
      </c>
      <c r="E306" s="42">
        <f t="shared" si="7"/>
        <v>-1.292023185</v>
      </c>
      <c r="F306" s="42">
        <f t="shared" si="8"/>
        <v>-1.580527123</v>
      </c>
      <c r="G306" s="42">
        <f t="shared" si="9"/>
        <v>-0.7939110449</v>
      </c>
      <c r="H306" s="42">
        <f t="shared" si="10"/>
        <v>-0.1253893508</v>
      </c>
      <c r="I306" s="42">
        <f>UpdateHashtag!S304</f>
        <v>4.3</v>
      </c>
      <c r="J306" s="47">
        <f t="shared" si="11"/>
        <v>-0.2658268407</v>
      </c>
      <c r="K306" s="48">
        <f>UpdateHashtag!T304</f>
        <v>1.6</v>
      </c>
      <c r="L306" s="42">
        <f t="shared" si="12"/>
        <v>-0.9410095407</v>
      </c>
      <c r="N306" s="100">
        <f t="shared" si="13"/>
        <v>304</v>
      </c>
      <c r="O306" s="94" t="str">
        <f t="array" ref="O306">INDIRECT("Update"&amp;Projections!$AH$17&amp;"!B"&amp;ROW(B287))</f>
        <v/>
      </c>
      <c r="P306" s="101" t="str">
        <f t="array" ref="P306">INDIRECT("Update"&amp;Projections!$AH$17&amp;"!C"&amp;ROW(B287))</f>
        <v>Jay Huff</v>
      </c>
      <c r="Q306" s="94">
        <f>UpdateBBM!F287</f>
        <v>71</v>
      </c>
      <c r="R306" s="105" t="str">
        <f t="array" ref="R306">INDIRECT("Update"&amp;Projections!$AH$17&amp;"!D"&amp;ROW(B287))</f>
        <v>C</v>
      </c>
      <c r="S306" s="73">
        <f t="shared" si="14"/>
        <v>-5.851572836</v>
      </c>
      <c r="T306" s="73">
        <f>SUM(AE306:AM306)-IFERROR(IFS(Projections!$I$17,AN306,Projections!$J$17,AO306),"")</f>
        <v>-5.851572836</v>
      </c>
      <c r="U306" s="73">
        <f t="shared" si="15"/>
        <v>0</v>
      </c>
      <c r="V306" s="73">
        <f t="array" ref="V306">INDIRECT("Update"&amp;Projections!$AH$17&amp;"!M"&amp;ROW(B287))</f>
        <v>4.6</v>
      </c>
      <c r="W306" s="73">
        <f t="array" ref="W306">INDIRECT("Update"&amp;Projections!$AH$17&amp;"!L"&amp;ROW(B287))</f>
        <v>0.6</v>
      </c>
      <c r="X306" s="73">
        <f t="array" ref="X306">INDIRECT("Update"&amp;Projections!$AH$17&amp;"!N"&amp;ROW(B287))</f>
        <v>2</v>
      </c>
      <c r="Y306" s="73">
        <f t="array" ref="Y306">INDIRECT("Update"&amp;Projections!$AH$17&amp;"!O"&amp;ROW(B287))</f>
        <v>0.7</v>
      </c>
      <c r="Z306" s="73">
        <f t="array" ref="Z306">INDIRECT("Update"&amp;Projections!$AH$17&amp;"!P"&amp;ROW(B287))</f>
        <v>0.3</v>
      </c>
      <c r="AA306" s="73">
        <f t="array" ref="AA306">INDIRECT("Update"&amp;Projections!$AH$17&amp;"!Q"&amp;ROW(B287))</f>
        <v>0.4</v>
      </c>
      <c r="AB306" s="107">
        <f t="array" ref="AB306">INDIRECT("Update"&amp;Projections!$AH$17&amp;"!I"&amp;ROW(B287))</f>
        <v>0.599</v>
      </c>
      <c r="AC306" s="107">
        <f t="array" ref="AC306">INDIRECT("Update"&amp;Projections!$AH$17&amp;"!K"&amp;ROW(B287))</f>
        <v>0.946</v>
      </c>
      <c r="AD306" s="73">
        <f t="array" ref="AD306">INDIRECT("Update"&amp;Projections!$AH$17&amp;"!R"&amp;ROW(B287))</f>
        <v>0.4</v>
      </c>
      <c r="AE306" s="73">
        <f t="shared" si="16"/>
        <v>-2.324377731</v>
      </c>
      <c r="AF306" s="73">
        <f t="shared" si="17"/>
        <v>-1.143540787</v>
      </c>
      <c r="AG306" s="73">
        <f t="shared" si="18"/>
        <v>-1.596071683</v>
      </c>
      <c r="AH306" s="73">
        <f t="shared" si="19"/>
        <v>-1.474270267</v>
      </c>
      <c r="AI306" s="73">
        <f t="shared" si="20"/>
        <v>-2.244392479</v>
      </c>
      <c r="AJ306" s="73">
        <f t="shared" si="21"/>
        <v>-0.6155173428</v>
      </c>
      <c r="AK306" s="73">
        <f t="shared" si="22"/>
        <v>0.2992095049</v>
      </c>
      <c r="AL306" s="73">
        <f t="shared" si="23"/>
        <v>0.5885649791</v>
      </c>
      <c r="AM306" s="73">
        <f t="shared" si="24"/>
        <v>0.3344452391</v>
      </c>
      <c r="AN306" s="120">
        <f t="shared" si="25"/>
        <v>-2.324377731</v>
      </c>
      <c r="AO306" s="120">
        <f t="shared" si="26"/>
        <v>-4.56877021</v>
      </c>
      <c r="AP306" s="120">
        <f t="array" ref="AP306">INDIRECT("Update"&amp;Projections!$AH$17&amp;"!S"&amp;ROW(B287))</f>
        <v>2.5</v>
      </c>
      <c r="AQ306" s="120">
        <f t="array" ref="AQ306">INDIRECT("Update"&amp;Projections!$AH$17&amp;"!T"&amp;ROW(B287))</f>
        <v>1.1</v>
      </c>
      <c r="AR306" s="100">
        <f t="shared" si="27"/>
        <v>-5.41905606</v>
      </c>
    </row>
    <row r="307">
      <c r="A307" s="40" t="str">
        <f t="shared" si="3"/>
        <v>Joe Ingles</v>
      </c>
      <c r="B307" s="42">
        <f t="shared" si="4"/>
        <v>-2.396636939</v>
      </c>
      <c r="C307" s="43">
        <f t="shared" si="5"/>
        <v>-0.6459192917</v>
      </c>
      <c r="D307" s="42">
        <f t="shared" si="6"/>
        <v>-1.635298055</v>
      </c>
      <c r="E307" s="42">
        <f t="shared" si="7"/>
        <v>-0.6997201696</v>
      </c>
      <c r="F307" s="42">
        <f t="shared" si="8"/>
        <v>-1.580527123</v>
      </c>
      <c r="G307" s="42">
        <f t="shared" si="9"/>
        <v>-1.150698449</v>
      </c>
      <c r="H307" s="42">
        <f t="shared" si="10"/>
        <v>-0.2315951422</v>
      </c>
      <c r="I307" s="42">
        <f>UpdateHashtag!S305</f>
        <v>3.3</v>
      </c>
      <c r="J307" s="47">
        <f t="shared" si="11"/>
        <v>0.06670062245</v>
      </c>
      <c r="K307" s="48">
        <f>UpdateHashtag!T305</f>
        <v>0.4</v>
      </c>
      <c r="L307" s="42">
        <f t="shared" si="12"/>
        <v>-0.9410095407</v>
      </c>
      <c r="N307" s="100">
        <f t="shared" si="13"/>
        <v>295</v>
      </c>
      <c r="O307" s="94" t="str">
        <f t="array" ref="O307">INDIRECT("Update"&amp;Projections!$AH$17&amp;"!B"&amp;ROW(B288))</f>
        <v/>
      </c>
      <c r="P307" s="101" t="str">
        <f t="array" ref="P307">INDIRECT("Update"&amp;Projections!$AH$17&amp;"!C"&amp;ROW(B288))</f>
        <v>Max Christie</v>
      </c>
      <c r="Q307" s="94">
        <f>UpdateBBM!F288</f>
        <v>46</v>
      </c>
      <c r="R307" s="105" t="str">
        <f t="array" ref="R307">INDIRECT("Update"&amp;Projections!$AH$17&amp;"!D"&amp;ROW(B288))</f>
        <v>SG,SF</v>
      </c>
      <c r="S307" s="73">
        <f t="shared" si="14"/>
        <v>-5.660596761</v>
      </c>
      <c r="T307" s="73">
        <f>SUM(AE307:AM307)-IFERROR(IFS(Projections!$I$17,AN307,Projections!$J$17,AO307),"")</f>
        <v>-5.660596761</v>
      </c>
      <c r="U307" s="73">
        <f t="shared" si="15"/>
        <v>0</v>
      </c>
      <c r="V307" s="73">
        <f t="array" ref="V307">INDIRECT("Update"&amp;Projections!$AH$17&amp;"!M"&amp;ROW(B288))</f>
        <v>6.5</v>
      </c>
      <c r="W307" s="73">
        <f t="array" ref="W307">INDIRECT("Update"&amp;Projections!$AH$17&amp;"!L"&amp;ROW(B288))</f>
        <v>1</v>
      </c>
      <c r="X307" s="73">
        <f t="array" ref="X307">INDIRECT("Update"&amp;Projections!$AH$17&amp;"!N"&amp;ROW(B288))</f>
        <v>3.3</v>
      </c>
      <c r="Y307" s="73">
        <f t="array" ref="Y307">INDIRECT("Update"&amp;Projections!$AH$17&amp;"!O"&amp;ROW(B288))</f>
        <v>1.2</v>
      </c>
      <c r="Z307" s="73">
        <f t="array" ref="Z307">INDIRECT("Update"&amp;Projections!$AH$17&amp;"!P"&amp;ROW(B288))</f>
        <v>0.4</v>
      </c>
      <c r="AA307" s="73">
        <f t="array" ref="AA307">INDIRECT("Update"&amp;Projections!$AH$17&amp;"!Q"&amp;ROW(B288))</f>
        <v>0.4</v>
      </c>
      <c r="AB307" s="107">
        <f t="array" ref="AB307">INDIRECT("Update"&amp;Projections!$AH$17&amp;"!I"&amp;ROW(B288))</f>
        <v>0.439</v>
      </c>
      <c r="AC307" s="107">
        <f t="array" ref="AC307">INDIRECT("Update"&amp;Projections!$AH$17&amp;"!K"&amp;ROW(B288))</f>
        <v>0.809</v>
      </c>
      <c r="AD307" s="73">
        <f t="array" ref="AD307">INDIRECT("Update"&amp;Projections!$AH$17&amp;"!R"&amp;ROW(B288))</f>
        <v>0.7</v>
      </c>
      <c r="AE307" s="73">
        <f t="shared" si="16"/>
        <v>-1.981146493</v>
      </c>
      <c r="AF307" s="73">
        <f t="shared" si="17"/>
        <v>-0.7454435908</v>
      </c>
      <c r="AG307" s="73">
        <f t="shared" si="18"/>
        <v>-1.086128859</v>
      </c>
      <c r="AH307" s="73">
        <f t="shared" si="19"/>
        <v>-1.246461415</v>
      </c>
      <c r="AI307" s="73">
        <f t="shared" si="20"/>
        <v>-1.912459801</v>
      </c>
      <c r="AJ307" s="73">
        <f t="shared" si="21"/>
        <v>-0.6155173428</v>
      </c>
      <c r="AK307" s="73">
        <f t="shared" si="22"/>
        <v>-0.3595326248</v>
      </c>
      <c r="AL307" s="73">
        <f t="shared" si="23"/>
        <v>0.0448962734</v>
      </c>
      <c r="AM307" s="73">
        <f t="shared" si="24"/>
        <v>0.2600505987</v>
      </c>
      <c r="AN307" s="120">
        <f t="shared" si="25"/>
        <v>-1.981146493</v>
      </c>
      <c r="AO307" s="120">
        <f t="shared" si="26"/>
        <v>-3.893606295</v>
      </c>
      <c r="AP307" s="120">
        <f t="array" ref="AP307">INDIRECT("Update"&amp;Projections!$AH$17&amp;"!S"&amp;ROW(B288))</f>
        <v>5.3</v>
      </c>
      <c r="AQ307" s="120">
        <f t="array" ref="AQ307">INDIRECT("Update"&amp;Projections!$AH$17&amp;"!T"&amp;ROW(B288))</f>
        <v>0.9</v>
      </c>
      <c r="AR307" s="100">
        <f t="shared" si="27"/>
        <v>-5.46224887</v>
      </c>
    </row>
    <row r="308">
      <c r="A308" s="40" t="str">
        <f t="shared" si="3"/>
        <v>Tim Hardaway Jr.</v>
      </c>
      <c r="B308" s="42">
        <f t="shared" si="4"/>
        <v>-1.475332038</v>
      </c>
      <c r="C308" s="43">
        <f t="shared" si="5"/>
        <v>0.05075080149</v>
      </c>
      <c r="D308" s="42">
        <f t="shared" si="6"/>
        <v>-1.517618941</v>
      </c>
      <c r="E308" s="42">
        <f t="shared" si="7"/>
        <v>-1.246461415</v>
      </c>
      <c r="F308" s="42">
        <f t="shared" si="8"/>
        <v>-1.912459801</v>
      </c>
      <c r="G308" s="42">
        <f t="shared" si="9"/>
        <v>-1.150698449</v>
      </c>
      <c r="H308" s="42">
        <f t="shared" si="10"/>
        <v>-0.8784829871</v>
      </c>
      <c r="I308" s="42">
        <f>UpdateHashtag!S306</f>
        <v>7.9</v>
      </c>
      <c r="J308" s="47">
        <f t="shared" si="11"/>
        <v>0.08967059067</v>
      </c>
      <c r="K308" s="48">
        <f>UpdateHashtag!T306</f>
        <v>1.4</v>
      </c>
      <c r="L308" s="42">
        <f t="shared" si="12"/>
        <v>-1.139395249</v>
      </c>
      <c r="N308" s="100">
        <f t="shared" si="13"/>
        <v>284</v>
      </c>
      <c r="O308" s="94" t="str">
        <f t="array" ref="O308">INDIRECT("Update"&amp;Projections!$AH$17&amp;"!B"&amp;ROW(B289))</f>
        <v/>
      </c>
      <c r="P308" s="101" t="str">
        <f t="array" ref="P308">INDIRECT("Update"&amp;Projections!$AH$17&amp;"!C"&amp;ROW(B289))</f>
        <v>Ryan Dunn</v>
      </c>
      <c r="Q308" s="94">
        <f>UpdateBBM!F289</f>
        <v>71</v>
      </c>
      <c r="R308" s="105" t="str">
        <f t="array" ref="R308">INDIRECT("Update"&amp;Projections!$AH$17&amp;"!D"&amp;ROW(B289))</f>
        <v>SF</v>
      </c>
      <c r="S308" s="73">
        <f t="shared" si="14"/>
        <v>-5.377752375</v>
      </c>
      <c r="T308" s="73">
        <f>SUM(AE308:AM308)-IFERROR(IFS(Projections!$I$17,AN308,Projections!$J$17,AO308),"")</f>
        <v>-5.377752375</v>
      </c>
      <c r="U308" s="73">
        <f t="shared" si="15"/>
        <v>0</v>
      </c>
      <c r="V308" s="73">
        <f t="array" ref="V308">INDIRECT("Update"&amp;Projections!$AH$17&amp;"!M"&amp;ROW(B289))</f>
        <v>4.1</v>
      </c>
      <c r="W308" s="73">
        <f t="array" ref="W308">INDIRECT("Update"&amp;Projections!$AH$17&amp;"!L"&amp;ROW(B289))</f>
        <v>0.1</v>
      </c>
      <c r="X308" s="73">
        <f t="array" ref="X308">INDIRECT("Update"&amp;Projections!$AH$17&amp;"!N"&amp;ROW(B289))</f>
        <v>3.4</v>
      </c>
      <c r="Y308" s="73">
        <f t="array" ref="Y308">INDIRECT("Update"&amp;Projections!$AH$17&amp;"!O"&amp;ROW(B289))</f>
        <v>0.4</v>
      </c>
      <c r="Z308" s="73">
        <f t="array" ref="Z308">INDIRECT("Update"&amp;Projections!$AH$17&amp;"!P"&amp;ROW(B289))</f>
        <v>0.6</v>
      </c>
      <c r="AA308" s="73">
        <f t="array" ref="AA308">INDIRECT("Update"&amp;Projections!$AH$17&amp;"!Q"&amp;ROW(B289))</f>
        <v>1.1</v>
      </c>
      <c r="AB308" s="107">
        <f t="array" ref="AB308">INDIRECT("Update"&amp;Projections!$AH$17&amp;"!I"&amp;ROW(B289))</f>
        <v>0.498</v>
      </c>
      <c r="AC308" s="107">
        <f t="array" ref="AC308">INDIRECT("Update"&amp;Projections!$AH$17&amp;"!K"&amp;ROW(B289))</f>
        <v>0.589</v>
      </c>
      <c r="AD308" s="73">
        <f t="array" ref="AD308">INDIRECT("Update"&amp;Projections!$AH$17&amp;"!R"&amp;ROW(B289))</f>
        <v>0.4</v>
      </c>
      <c r="AE308" s="73">
        <f t="shared" si="16"/>
        <v>-2.414701741</v>
      </c>
      <c r="AF308" s="73">
        <f t="shared" si="17"/>
        <v>-1.641162282</v>
      </c>
      <c r="AG308" s="73">
        <f t="shared" si="18"/>
        <v>-1.046902488</v>
      </c>
      <c r="AH308" s="73">
        <f t="shared" si="19"/>
        <v>-1.610955578</v>
      </c>
      <c r="AI308" s="73">
        <f t="shared" si="20"/>
        <v>-1.248594445</v>
      </c>
      <c r="AJ308" s="73">
        <f t="shared" si="21"/>
        <v>0.6332385715</v>
      </c>
      <c r="AK308" s="73">
        <f t="shared" si="22"/>
        <v>0.004328641787</v>
      </c>
      <c r="AL308" s="73">
        <f t="shared" si="23"/>
        <v>-0.8021500348</v>
      </c>
      <c r="AM308" s="73">
        <f t="shared" si="24"/>
        <v>0.3344452391</v>
      </c>
      <c r="AN308" s="120">
        <f t="shared" si="25"/>
        <v>-2.414701741</v>
      </c>
      <c r="AO308" s="120">
        <f t="shared" si="26"/>
        <v>-4.055864023</v>
      </c>
      <c r="AP308" s="120">
        <f t="array" ref="AP308">INDIRECT("Update"&amp;Projections!$AH$17&amp;"!S"&amp;ROW(B289))</f>
        <v>3.3</v>
      </c>
      <c r="AQ308" s="120">
        <f t="array" ref="AQ308">INDIRECT("Update"&amp;Projections!$AH$17&amp;"!T"&amp;ROW(B289))</f>
        <v>1.1</v>
      </c>
      <c r="AR308" s="100">
        <f t="shared" si="27"/>
        <v>-5.465036133</v>
      </c>
    </row>
    <row r="309">
      <c r="A309" s="40" t="str">
        <f t="shared" si="3"/>
        <v>Tre Mann</v>
      </c>
      <c r="B309" s="42">
        <f t="shared" si="4"/>
        <v>-1.963081691</v>
      </c>
      <c r="C309" s="43">
        <f t="shared" si="5"/>
        <v>-0.8449678898</v>
      </c>
      <c r="D309" s="42">
        <f t="shared" si="6"/>
        <v>-1.517618941</v>
      </c>
      <c r="E309" s="42">
        <f t="shared" si="7"/>
        <v>-0.8364054809</v>
      </c>
      <c r="F309" s="42">
        <f t="shared" si="8"/>
        <v>-0.9166617668</v>
      </c>
      <c r="G309" s="42">
        <f t="shared" si="9"/>
        <v>-1.150698449</v>
      </c>
      <c r="H309" s="42">
        <f t="shared" si="10"/>
        <v>-0.5476581755</v>
      </c>
      <c r="I309" s="42">
        <f>UpdateHashtag!S307</f>
        <v>6</v>
      </c>
      <c r="J309" s="47">
        <f t="shared" si="11"/>
        <v>-0.06775132142</v>
      </c>
      <c r="K309" s="48">
        <f>UpdateHashtag!T307</f>
        <v>0.8</v>
      </c>
      <c r="L309" s="42">
        <f t="shared" si="12"/>
        <v>-0.8418166868</v>
      </c>
      <c r="N309" s="100">
        <f t="shared" si="13"/>
        <v>292</v>
      </c>
      <c r="O309" s="94" t="str">
        <f t="array" ref="O309">INDIRECT("Update"&amp;Projections!$AH$17&amp;"!B"&amp;ROW(B290))</f>
        <v/>
      </c>
      <c r="P309" s="101" t="str">
        <f t="array" ref="P309">INDIRECT("Update"&amp;Projections!$AH$17&amp;"!C"&amp;ROW(B290))</f>
        <v>Jericho Sims</v>
      </c>
      <c r="Q309" s="94">
        <f>UpdateBBM!F290</f>
        <v>34</v>
      </c>
      <c r="R309" s="105" t="str">
        <f t="array" ref="R309">INDIRECT("Update"&amp;Projections!$AH$17&amp;"!D"&amp;ROW(B290))</f>
        <v>C</v>
      </c>
      <c r="S309" s="73">
        <f t="shared" si="14"/>
        <v>-5.551168619</v>
      </c>
      <c r="T309" s="73">
        <f>SUM(AE309:AM309)-IFERROR(IFS(Projections!$I$17,AN309,Projections!$J$17,AO309),"")</f>
        <v>-5.551168619</v>
      </c>
      <c r="U309" s="73">
        <f t="shared" si="15"/>
        <v>0</v>
      </c>
      <c r="V309" s="73">
        <f t="array" ref="V309">INDIRECT("Update"&amp;Projections!$AH$17&amp;"!M"&amp;ROW(B290))</f>
        <v>3.3</v>
      </c>
      <c r="W309" s="73">
        <f t="array" ref="W309">INDIRECT("Update"&amp;Projections!$AH$17&amp;"!L"&amp;ROW(B290))</f>
        <v>0</v>
      </c>
      <c r="X309" s="73">
        <f t="array" ref="X309">INDIRECT("Update"&amp;Projections!$AH$17&amp;"!N"&amp;ROW(B290))</f>
        <v>4.8</v>
      </c>
      <c r="Y309" s="73">
        <f t="array" ref="Y309">INDIRECT("Update"&amp;Projections!$AH$17&amp;"!O"&amp;ROW(B290))</f>
        <v>0.6</v>
      </c>
      <c r="Z309" s="73">
        <f t="array" ref="Z309">INDIRECT("Update"&amp;Projections!$AH$17&amp;"!P"&amp;ROW(B290))</f>
        <v>0.3</v>
      </c>
      <c r="AA309" s="73">
        <f t="array" ref="AA309">INDIRECT("Update"&amp;Projections!$AH$17&amp;"!Q"&amp;ROW(B290))</f>
        <v>0.6</v>
      </c>
      <c r="AB309" s="107">
        <f t="array" ref="AB309">INDIRECT("Update"&amp;Projections!$AH$17&amp;"!I"&amp;ROW(B290))</f>
        <v>0.744</v>
      </c>
      <c r="AC309" s="107">
        <f t="array" ref="AC309">INDIRECT("Update"&amp;Projections!$AH$17&amp;"!K"&amp;ROW(B290))</f>
        <v>0.694</v>
      </c>
      <c r="AD309" s="73">
        <f t="array" ref="AD309">INDIRECT("Update"&amp;Projections!$AH$17&amp;"!R"&amp;ROW(B290))</f>
        <v>0.5</v>
      </c>
      <c r="AE309" s="73">
        <f t="shared" si="16"/>
        <v>-2.559220156</v>
      </c>
      <c r="AF309" s="73">
        <f t="shared" si="17"/>
        <v>-1.740686581</v>
      </c>
      <c r="AG309" s="73">
        <f t="shared" si="18"/>
        <v>-0.4977332919</v>
      </c>
      <c r="AH309" s="73">
        <f t="shared" si="19"/>
        <v>-1.519832037</v>
      </c>
      <c r="AI309" s="73">
        <f t="shared" si="20"/>
        <v>-2.244392479</v>
      </c>
      <c r="AJ309" s="73">
        <f t="shared" si="21"/>
        <v>-0.2587299387</v>
      </c>
      <c r="AK309" s="73">
        <f t="shared" si="22"/>
        <v>0.579247869</v>
      </c>
      <c r="AL309" s="73">
        <f t="shared" si="23"/>
        <v>-0.1786891851</v>
      </c>
      <c r="AM309" s="73">
        <f t="shared" si="24"/>
        <v>0.3096470256</v>
      </c>
      <c r="AN309" s="120">
        <f t="shared" si="25"/>
        <v>-2.559220156</v>
      </c>
      <c r="AO309" s="120">
        <f t="shared" si="26"/>
        <v>-4.803612636</v>
      </c>
      <c r="AP309" s="120">
        <f t="array" ref="AP309">INDIRECT("Update"&amp;Projections!$AH$17&amp;"!S"&amp;ROW(B290))</f>
        <v>2</v>
      </c>
      <c r="AQ309" s="120">
        <f t="array" ref="AQ309">INDIRECT("Update"&amp;Projections!$AH$17&amp;"!T"&amp;ROW(B290))</f>
        <v>0.5</v>
      </c>
      <c r="AR309" s="100">
        <f t="shared" si="27"/>
        <v>-5.467421133</v>
      </c>
    </row>
    <row r="310">
      <c r="A310" s="40" t="str">
        <f t="shared" si="3"/>
        <v>Davion Mitchell</v>
      </c>
      <c r="B310" s="42">
        <f t="shared" si="4"/>
        <v>-1.963081691</v>
      </c>
      <c r="C310" s="43">
        <f t="shared" si="5"/>
        <v>-0.7454435908</v>
      </c>
      <c r="D310" s="42">
        <f t="shared" si="6"/>
        <v>-1.752977168</v>
      </c>
      <c r="E310" s="42">
        <f t="shared" si="7"/>
        <v>-0.6541583992</v>
      </c>
      <c r="F310" s="42">
        <f t="shared" si="8"/>
        <v>-1.580527123</v>
      </c>
      <c r="G310" s="42">
        <f t="shared" si="9"/>
        <v>-1.150698449</v>
      </c>
      <c r="H310" s="42">
        <f t="shared" si="10"/>
        <v>-0.2931414896</v>
      </c>
      <c r="I310" s="42">
        <f>UpdateHashtag!S308</f>
        <v>5.7</v>
      </c>
      <c r="J310" s="47">
        <f t="shared" si="11"/>
        <v>-0.1145590226</v>
      </c>
      <c r="K310" s="48">
        <f>UpdateHashtag!T308</f>
        <v>0.6</v>
      </c>
      <c r="L310" s="42">
        <f t="shared" si="12"/>
        <v>-0.9410095407</v>
      </c>
      <c r="N310" s="100">
        <f t="shared" si="13"/>
        <v>291</v>
      </c>
      <c r="O310" s="94" t="str">
        <f t="array" ref="O310">INDIRECT("Update"&amp;Projections!$AH$17&amp;"!B"&amp;ROW(B291))</f>
        <v/>
      </c>
      <c r="P310" s="101" t="str">
        <f t="array" ref="P310">INDIRECT("Update"&amp;Projections!$AH$17&amp;"!C"&amp;ROW(B291))</f>
        <v>Dalton Knecht</v>
      </c>
      <c r="Q310" s="94">
        <f>UpdateBBM!F291</f>
        <v>71</v>
      </c>
      <c r="R310" s="105" t="str">
        <f t="array" ref="R310">INDIRECT("Update"&amp;Projections!$AH$17&amp;"!D"&amp;ROW(B291))</f>
        <v>SG</v>
      </c>
      <c r="S310" s="73">
        <f t="shared" si="14"/>
        <v>-5.542257003</v>
      </c>
      <c r="T310" s="73">
        <f>SUM(AE310:AM310)-IFERROR(IFS(Projections!$I$17,AN310,Projections!$J$17,AO310),"")</f>
        <v>-5.542257003</v>
      </c>
      <c r="U310" s="73">
        <f t="shared" si="15"/>
        <v>0</v>
      </c>
      <c r="V310" s="73">
        <f t="array" ref="V310">INDIRECT("Update"&amp;Projections!$AH$17&amp;"!M"&amp;ROW(B291))</f>
        <v>9</v>
      </c>
      <c r="W310" s="73">
        <f t="array" ref="W310">INDIRECT("Update"&amp;Projections!$AH$17&amp;"!L"&amp;ROW(B291))</f>
        <v>1.1</v>
      </c>
      <c r="X310" s="73">
        <f t="array" ref="X310">INDIRECT("Update"&amp;Projections!$AH$17&amp;"!N"&amp;ROW(B291))</f>
        <v>3.3</v>
      </c>
      <c r="Y310" s="73">
        <f t="array" ref="Y310">INDIRECT("Update"&amp;Projections!$AH$17&amp;"!O"&amp;ROW(B291))</f>
        <v>1.1</v>
      </c>
      <c r="Z310" s="73">
        <f t="array" ref="Z310">INDIRECT("Update"&amp;Projections!$AH$17&amp;"!P"&amp;ROW(B291))</f>
        <v>0.3</v>
      </c>
      <c r="AA310" s="73">
        <f t="array" ref="AA310">INDIRECT("Update"&amp;Projections!$AH$17&amp;"!Q"&amp;ROW(B291))</f>
        <v>0.4</v>
      </c>
      <c r="AB310" s="107">
        <f t="array" ref="AB310">INDIRECT("Update"&amp;Projections!$AH$17&amp;"!I"&amp;ROW(B291))</f>
        <v>0.444</v>
      </c>
      <c r="AC310" s="107">
        <f t="array" ref="AC310">INDIRECT("Update"&amp;Projections!$AH$17&amp;"!K"&amp;ROW(B291))</f>
        <v>0.77</v>
      </c>
      <c r="AD310" s="73">
        <f t="array" ref="AD310">INDIRECT("Update"&amp;Projections!$AH$17&amp;"!R"&amp;ROW(B291))</f>
        <v>0.7</v>
      </c>
      <c r="AE310" s="73">
        <f t="shared" si="16"/>
        <v>-1.529526444</v>
      </c>
      <c r="AF310" s="73">
        <f t="shared" si="17"/>
        <v>-0.6459192917</v>
      </c>
      <c r="AG310" s="73">
        <f t="shared" si="18"/>
        <v>-1.086128859</v>
      </c>
      <c r="AH310" s="73">
        <f t="shared" si="19"/>
        <v>-1.292023185</v>
      </c>
      <c r="AI310" s="73">
        <f t="shared" si="20"/>
        <v>-2.244392479</v>
      </c>
      <c r="AJ310" s="73">
        <f t="shared" si="21"/>
        <v>-0.6155173428</v>
      </c>
      <c r="AK310" s="73">
        <f t="shared" si="22"/>
        <v>-0.4214391102</v>
      </c>
      <c r="AL310" s="73">
        <f t="shared" si="23"/>
        <v>-0.2117533685</v>
      </c>
      <c r="AM310" s="73">
        <f t="shared" si="24"/>
        <v>0.2600505987</v>
      </c>
      <c r="AN310" s="120">
        <f t="shared" si="25"/>
        <v>-2.244392479</v>
      </c>
      <c r="AO310" s="120">
        <f t="shared" si="26"/>
        <v>-3.773918924</v>
      </c>
      <c r="AP310" s="120">
        <f t="array" ref="AP310">INDIRECT("Update"&amp;Projections!$AH$17&amp;"!S"&amp;ROW(B291))</f>
        <v>6.8</v>
      </c>
      <c r="AQ310" s="120">
        <f t="array" ref="AQ310">INDIRECT("Update"&amp;Projections!$AH$17&amp;"!T"&amp;ROW(B291))</f>
        <v>2.4</v>
      </c>
      <c r="AR310" s="100">
        <f t="shared" si="27"/>
        <v>-5.496800867</v>
      </c>
    </row>
    <row r="311">
      <c r="A311" s="40" t="str">
        <f t="shared" si="3"/>
        <v>Josh Okogie</v>
      </c>
      <c r="B311" s="42">
        <f t="shared" si="4"/>
        <v>-2.107600107</v>
      </c>
      <c r="C311" s="43">
        <f t="shared" si="5"/>
        <v>-1.044016488</v>
      </c>
      <c r="D311" s="42">
        <f t="shared" si="6"/>
        <v>-1.243034343</v>
      </c>
      <c r="E311" s="42">
        <f t="shared" si="7"/>
        <v>-1.246461415</v>
      </c>
      <c r="F311" s="42">
        <f t="shared" si="8"/>
        <v>-0.5847290887</v>
      </c>
      <c r="G311" s="42">
        <f t="shared" si="9"/>
        <v>-0.6155173428</v>
      </c>
      <c r="H311" s="42">
        <f t="shared" si="10"/>
        <v>-0.5109497098</v>
      </c>
      <c r="I311" s="42">
        <f>UpdateHashtag!S309</f>
        <v>4.5</v>
      </c>
      <c r="J311" s="47">
        <f t="shared" si="11"/>
        <v>-0.4827633448</v>
      </c>
      <c r="K311" s="48">
        <f>UpdateHashtag!T309</f>
        <v>2.1</v>
      </c>
      <c r="L311" s="42">
        <f t="shared" si="12"/>
        <v>-1.040202395</v>
      </c>
      <c r="N311" s="100">
        <f t="shared" si="13"/>
        <v>297</v>
      </c>
      <c r="O311" s="94" t="str">
        <f t="array" ref="O311">INDIRECT("Update"&amp;Projections!$AH$17&amp;"!B"&amp;ROW(B292))</f>
        <v/>
      </c>
      <c r="P311" s="101" t="str">
        <f t="array" ref="P311">INDIRECT("Update"&amp;Projections!$AH$17&amp;"!C"&amp;ROW(B292))</f>
        <v>Damion Lee</v>
      </c>
      <c r="Q311" s="94">
        <f>UpdateBBM!F292</f>
        <v>71</v>
      </c>
      <c r="R311" s="105" t="str">
        <f t="array" ref="R311">INDIRECT("Update"&amp;Projections!$AH$17&amp;"!D"&amp;ROW(B292))</f>
        <v>SG,SF</v>
      </c>
      <c r="S311" s="73">
        <f t="shared" si="14"/>
        <v>-5.691423695</v>
      </c>
      <c r="T311" s="73">
        <f>SUM(AE311:AM311)-IFERROR(IFS(Projections!$I$17,AN311,Projections!$J$17,AO311),"")</f>
        <v>-5.691423695</v>
      </c>
      <c r="U311" s="73">
        <f t="shared" si="15"/>
        <v>0</v>
      </c>
      <c r="V311" s="73">
        <f t="array" ref="V311">INDIRECT("Update"&amp;Projections!$AH$17&amp;"!M"&amp;ROW(B292))</f>
        <v>7.2</v>
      </c>
      <c r="W311" s="73">
        <f t="array" ref="W311">INDIRECT("Update"&amp;Projections!$AH$17&amp;"!L"&amp;ROW(B292))</f>
        <v>1.3</v>
      </c>
      <c r="X311" s="73">
        <f t="array" ref="X311">INDIRECT("Update"&amp;Projections!$AH$17&amp;"!N"&amp;ROW(B292))</f>
        <v>2.7</v>
      </c>
      <c r="Y311" s="73">
        <f t="array" ref="Y311">INDIRECT("Update"&amp;Projections!$AH$17&amp;"!O"&amp;ROW(B292))</f>
        <v>1.2</v>
      </c>
      <c r="Z311" s="73">
        <f t="array" ref="Z311">INDIRECT("Update"&amp;Projections!$AH$17&amp;"!P"&amp;ROW(B292))</f>
        <v>0.4</v>
      </c>
      <c r="AA311" s="73">
        <f t="array" ref="AA311">INDIRECT("Update"&amp;Projections!$AH$17&amp;"!Q"&amp;ROW(B292))</f>
        <v>0.1</v>
      </c>
      <c r="AB311" s="107">
        <f t="array" ref="AB311">INDIRECT("Update"&amp;Projections!$AH$17&amp;"!I"&amp;ROW(B292))</f>
        <v>0.443</v>
      </c>
      <c r="AC311" s="107">
        <f t="array" ref="AC311">INDIRECT("Update"&amp;Projections!$AH$17&amp;"!K"&amp;ROW(B292))</f>
        <v>0.903</v>
      </c>
      <c r="AD311" s="73">
        <f t="array" ref="AD311">INDIRECT("Update"&amp;Projections!$AH$17&amp;"!R"&amp;ROW(B292))</f>
        <v>0.9</v>
      </c>
      <c r="AE311" s="73">
        <f t="shared" si="16"/>
        <v>-1.85469288</v>
      </c>
      <c r="AF311" s="73">
        <f t="shared" si="17"/>
        <v>-0.4468706937</v>
      </c>
      <c r="AG311" s="73">
        <f t="shared" si="18"/>
        <v>-1.321487086</v>
      </c>
      <c r="AH311" s="73">
        <f t="shared" si="19"/>
        <v>-1.246461415</v>
      </c>
      <c r="AI311" s="73">
        <f t="shared" si="20"/>
        <v>-1.912459801</v>
      </c>
      <c r="AJ311" s="73">
        <f t="shared" si="21"/>
        <v>-1.150698449</v>
      </c>
      <c r="AK311" s="73">
        <f t="shared" si="22"/>
        <v>-0.3410010395</v>
      </c>
      <c r="AL311" s="73">
        <f t="shared" si="23"/>
        <v>0.4593336958</v>
      </c>
      <c r="AM311" s="73">
        <f t="shared" si="24"/>
        <v>0.2104541717</v>
      </c>
      <c r="AN311" s="120">
        <f t="shared" si="25"/>
        <v>-1.912459801</v>
      </c>
      <c r="AO311" s="120">
        <f t="shared" si="26"/>
        <v>-3.767152681</v>
      </c>
      <c r="AP311" s="120">
        <f t="array" ref="AP311">INDIRECT("Update"&amp;Projections!$AH$17&amp;"!S"&amp;ROW(B292))</f>
        <v>5.4</v>
      </c>
      <c r="AQ311" s="120">
        <f t="array" ref="AQ311">INDIRECT("Update"&amp;Projections!$AH$17&amp;"!T"&amp;ROW(B292))</f>
        <v>1.2</v>
      </c>
      <c r="AR311" s="100">
        <f t="shared" si="27"/>
        <v>-5.542257003</v>
      </c>
    </row>
    <row r="312">
      <c r="A312" s="40" t="str">
        <f t="shared" si="3"/>
        <v>Jaden Springer</v>
      </c>
      <c r="B312" s="42">
        <f t="shared" si="4"/>
        <v>-2.396636939</v>
      </c>
      <c r="C312" s="43">
        <f t="shared" si="5"/>
        <v>-1.442113684</v>
      </c>
      <c r="D312" s="42">
        <f t="shared" si="6"/>
        <v>-1.635298055</v>
      </c>
      <c r="E312" s="42">
        <f t="shared" si="7"/>
        <v>-1.292023185</v>
      </c>
      <c r="F312" s="42">
        <f t="shared" si="8"/>
        <v>-0.2527964105</v>
      </c>
      <c r="G312" s="42">
        <f t="shared" si="9"/>
        <v>-0.6155173428</v>
      </c>
      <c r="H312" s="42">
        <f t="shared" si="10"/>
        <v>-0.3602109882</v>
      </c>
      <c r="I312" s="42">
        <f>UpdateHashtag!S310</f>
        <v>3.8</v>
      </c>
      <c r="J312" s="47">
        <f t="shared" si="11"/>
        <v>0.1030060245</v>
      </c>
      <c r="K312" s="48">
        <f>UpdateHashtag!T310</f>
        <v>1</v>
      </c>
      <c r="L312" s="42">
        <f t="shared" si="12"/>
        <v>-0.9410095407</v>
      </c>
      <c r="N312" s="100">
        <f t="shared" si="13"/>
        <v>305</v>
      </c>
      <c r="O312" s="94" t="str">
        <f t="array" ref="O312">INDIRECT("Update"&amp;Projections!$AH$17&amp;"!B"&amp;ROW(B293))</f>
        <v/>
      </c>
      <c r="P312" s="101" t="str">
        <f t="array" ref="P312">INDIRECT("Update"&amp;Projections!$AH$17&amp;"!C"&amp;ROW(B293))</f>
        <v>Chris Boucher</v>
      </c>
      <c r="Q312" s="94">
        <f>UpdateBBM!F293</f>
        <v>46</v>
      </c>
      <c r="R312" s="105" t="str">
        <f t="array" ref="R312">INDIRECT("Update"&amp;Projections!$AH$17&amp;"!D"&amp;ROW(B293))</f>
        <v>PF,C</v>
      </c>
      <c r="S312" s="73">
        <f t="shared" si="14"/>
        <v>-5.868398642</v>
      </c>
      <c r="T312" s="73">
        <f>SUM(AE312:AM312)-IFERROR(IFS(Projections!$I$17,AN312,Projections!$J$17,AO312),"")</f>
        <v>-5.868398642</v>
      </c>
      <c r="U312" s="73">
        <f t="shared" si="15"/>
        <v>0</v>
      </c>
      <c r="V312" s="73">
        <f t="array" ref="V312">INDIRECT("Update"&amp;Projections!$AH$17&amp;"!M"&amp;ROW(B293))</f>
        <v>6.3</v>
      </c>
      <c r="W312" s="73">
        <f t="array" ref="W312">INDIRECT("Update"&amp;Projections!$AH$17&amp;"!L"&amp;ROW(B293))</f>
        <v>0.6</v>
      </c>
      <c r="X312" s="73">
        <f t="array" ref="X312">INDIRECT("Update"&amp;Projections!$AH$17&amp;"!N"&amp;ROW(B293))</f>
        <v>3.8</v>
      </c>
      <c r="Y312" s="73">
        <f t="array" ref="Y312">INDIRECT("Update"&amp;Projections!$AH$17&amp;"!O"&amp;ROW(B293))</f>
        <v>0.3</v>
      </c>
      <c r="Z312" s="73">
        <f t="array" ref="Z312">INDIRECT("Update"&amp;Projections!$AH$17&amp;"!P"&amp;ROW(B293))</f>
        <v>0.4</v>
      </c>
      <c r="AA312" s="73">
        <f t="array" ref="AA312">INDIRECT("Update"&amp;Projections!$AH$17&amp;"!Q"&amp;ROW(B293))</f>
        <v>0.5</v>
      </c>
      <c r="AB312" s="107">
        <f t="array" ref="AB312">INDIRECT("Update"&amp;Projections!$AH$17&amp;"!I"&amp;ROW(B293))</f>
        <v>0.497</v>
      </c>
      <c r="AC312" s="107">
        <f t="array" ref="AC312">INDIRECT("Update"&amp;Projections!$AH$17&amp;"!K"&amp;ROW(B293))</f>
        <v>0.766</v>
      </c>
      <c r="AD312" s="73">
        <f t="array" ref="AD312">INDIRECT("Update"&amp;Projections!$AH$17&amp;"!R"&amp;ROW(B293))</f>
        <v>0.4</v>
      </c>
      <c r="AE312" s="73">
        <f t="shared" si="16"/>
        <v>-2.017276097</v>
      </c>
      <c r="AF312" s="73">
        <f t="shared" si="17"/>
        <v>-1.143540787</v>
      </c>
      <c r="AG312" s="73">
        <f t="shared" si="18"/>
        <v>-0.8899970031</v>
      </c>
      <c r="AH312" s="73">
        <f t="shared" si="19"/>
        <v>-1.656517348</v>
      </c>
      <c r="AI312" s="73">
        <f t="shared" si="20"/>
        <v>-1.912459801</v>
      </c>
      <c r="AJ312" s="73">
        <f t="shared" si="21"/>
        <v>-0.4371236408</v>
      </c>
      <c r="AK312" s="73">
        <f t="shared" si="22"/>
        <v>0.0006286892321</v>
      </c>
      <c r="AL312" s="73">
        <f t="shared" si="23"/>
        <v>-0.1638339902</v>
      </c>
      <c r="AM312" s="73">
        <f t="shared" si="24"/>
        <v>0.3344452391</v>
      </c>
      <c r="AN312" s="120">
        <f t="shared" si="25"/>
        <v>-2.017276097</v>
      </c>
      <c r="AO312" s="120">
        <f t="shared" si="26"/>
        <v>-3.929735899</v>
      </c>
      <c r="AP312" s="120">
        <f t="array" ref="AP312">INDIRECT("Update"&amp;Projections!$AH$17&amp;"!S"&amp;ROW(B293))</f>
        <v>4.5</v>
      </c>
      <c r="AQ312" s="120">
        <f t="array" ref="AQ312">INDIRECT("Update"&amp;Projections!$AH$17&amp;"!T"&amp;ROW(B293))</f>
        <v>1.6</v>
      </c>
      <c r="AR312" s="100">
        <f t="shared" si="27"/>
        <v>-5.551168619</v>
      </c>
    </row>
    <row r="313">
      <c r="A313" s="40" t="str">
        <f t="shared" si="3"/>
        <v>Bol Bol</v>
      </c>
      <c r="B313" s="42">
        <f t="shared" si="4"/>
        <v>-2.270183325</v>
      </c>
      <c r="C313" s="43">
        <f t="shared" si="5"/>
        <v>-1.442113684</v>
      </c>
      <c r="D313" s="42">
        <f t="shared" si="6"/>
        <v>-1.164581601</v>
      </c>
      <c r="E313" s="42">
        <f t="shared" si="7"/>
        <v>-1.565393808</v>
      </c>
      <c r="F313" s="42">
        <f t="shared" si="8"/>
        <v>-2.576325158</v>
      </c>
      <c r="G313" s="42">
        <f t="shared" si="9"/>
        <v>-0.2587299387</v>
      </c>
      <c r="H313" s="42">
        <f t="shared" si="10"/>
        <v>0.2789703686</v>
      </c>
      <c r="I313" s="42">
        <f>UpdateHashtag!S311</f>
        <v>3.6</v>
      </c>
      <c r="J313" s="47">
        <f t="shared" si="11"/>
        <v>-0.07663535651</v>
      </c>
      <c r="K313" s="48">
        <f>UpdateHashtag!T311</f>
        <v>0.7</v>
      </c>
      <c r="L313" s="42">
        <f t="shared" si="12"/>
        <v>-1.040202395</v>
      </c>
      <c r="N313" s="100">
        <f t="shared" si="13"/>
        <v>299</v>
      </c>
      <c r="O313" s="94" t="str">
        <f t="array" ref="O313">INDIRECT("Update"&amp;Projections!$AH$17&amp;"!B"&amp;ROW(B294))</f>
        <v/>
      </c>
      <c r="P313" s="101" t="str">
        <f t="array" ref="P313">INDIRECT("Update"&amp;Projections!$AH$17&amp;"!C"&amp;ROW(B294))</f>
        <v>Duop Reath</v>
      </c>
      <c r="Q313" s="94">
        <f>UpdateBBM!F294</f>
        <v>71</v>
      </c>
      <c r="R313" s="105" t="str">
        <f t="array" ref="R313">INDIRECT("Update"&amp;Projections!$AH$17&amp;"!D"&amp;ROW(B294))</f>
        <v>C</v>
      </c>
      <c r="S313" s="73">
        <f t="shared" si="14"/>
        <v>-5.733263375</v>
      </c>
      <c r="T313" s="73">
        <f>SUM(AE313:AM313)-IFERROR(IFS(Projections!$I$17,AN313,Projections!$J$17,AO313),"")</f>
        <v>-5.733263375</v>
      </c>
      <c r="U313" s="73">
        <f t="shared" si="15"/>
        <v>0</v>
      </c>
      <c r="V313" s="73">
        <f t="array" ref="V313">INDIRECT("Update"&amp;Projections!$AH$17&amp;"!M"&amp;ROW(B294))</f>
        <v>7.3</v>
      </c>
      <c r="W313" s="73">
        <f t="array" ref="W313">INDIRECT("Update"&amp;Projections!$AH$17&amp;"!L"&amp;ROW(B294))</f>
        <v>1.1</v>
      </c>
      <c r="X313" s="73">
        <f t="array" ref="X313">INDIRECT("Update"&amp;Projections!$AH$17&amp;"!N"&amp;ROW(B294))</f>
        <v>3</v>
      </c>
      <c r="Y313" s="73">
        <f t="array" ref="Y313">INDIRECT("Update"&amp;Projections!$AH$17&amp;"!O"&amp;ROW(B294))</f>
        <v>0.8</v>
      </c>
      <c r="Z313" s="73">
        <f t="array" ref="Z313">INDIRECT("Update"&amp;Projections!$AH$17&amp;"!P"&amp;ROW(B294))</f>
        <v>0.4</v>
      </c>
      <c r="AA313" s="73">
        <f t="array" ref="AA313">INDIRECT("Update"&amp;Projections!$AH$17&amp;"!Q"&amp;ROW(B294))</f>
        <v>0.5</v>
      </c>
      <c r="AB313" s="107">
        <f t="array" ref="AB313">INDIRECT("Update"&amp;Projections!$AH$17&amp;"!I"&amp;ROW(B294))</f>
        <v>0.461</v>
      </c>
      <c r="AC313" s="107">
        <f t="array" ref="AC313">INDIRECT("Update"&amp;Projections!$AH$17&amp;"!K"&amp;ROW(B294))</f>
        <v>0.739</v>
      </c>
      <c r="AD313" s="73">
        <f t="array" ref="AD313">INDIRECT("Update"&amp;Projections!$AH$17&amp;"!R"&amp;ROW(B294))</f>
        <v>0.6</v>
      </c>
      <c r="AE313" s="73">
        <f t="shared" si="16"/>
        <v>-1.836628078</v>
      </c>
      <c r="AF313" s="73">
        <f t="shared" si="17"/>
        <v>-0.6459192917</v>
      </c>
      <c r="AG313" s="73">
        <f t="shared" si="18"/>
        <v>-1.203807972</v>
      </c>
      <c r="AH313" s="73">
        <f t="shared" si="19"/>
        <v>-1.428708496</v>
      </c>
      <c r="AI313" s="73">
        <f t="shared" si="20"/>
        <v>-1.912459801</v>
      </c>
      <c r="AJ313" s="73">
        <f t="shared" si="21"/>
        <v>-0.4371236408</v>
      </c>
      <c r="AK313" s="73">
        <f t="shared" si="22"/>
        <v>-0.2481087127</v>
      </c>
      <c r="AL313" s="73">
        <f t="shared" si="23"/>
        <v>-0.2178159954</v>
      </c>
      <c r="AM313" s="73">
        <f t="shared" si="24"/>
        <v>0.2848488121</v>
      </c>
      <c r="AN313" s="120">
        <f t="shared" si="25"/>
        <v>-1.912459801</v>
      </c>
      <c r="AO313" s="120">
        <f t="shared" si="26"/>
        <v>-3.749087879</v>
      </c>
      <c r="AP313" s="120">
        <f t="array" ref="AP313">INDIRECT("Update"&amp;Projections!$AH$17&amp;"!S"&amp;ROW(B294))</f>
        <v>5.9</v>
      </c>
      <c r="AQ313" s="120">
        <f t="array" ref="AQ313">INDIRECT("Update"&amp;Projections!$AH$17&amp;"!T"&amp;ROW(B294))</f>
        <v>1.1</v>
      </c>
      <c r="AR313" s="100">
        <f t="shared" si="27"/>
        <v>-5.631160713</v>
      </c>
    </row>
    <row r="314">
      <c r="A314" s="40" t="str">
        <f t="shared" si="3"/>
        <v>Cameron Payne</v>
      </c>
      <c r="B314" s="42">
        <f t="shared" si="4"/>
        <v>-1.94501689</v>
      </c>
      <c r="C314" s="43">
        <f t="shared" si="5"/>
        <v>-0.6459192917</v>
      </c>
      <c r="D314" s="42">
        <f t="shared" si="6"/>
        <v>-1.83142991</v>
      </c>
      <c r="E314" s="42">
        <f t="shared" si="7"/>
        <v>-0.6085966288</v>
      </c>
      <c r="F314" s="42">
        <f t="shared" si="8"/>
        <v>-1.580527123</v>
      </c>
      <c r="G314" s="42">
        <f t="shared" si="9"/>
        <v>-1.150698449</v>
      </c>
      <c r="H314" s="42">
        <f t="shared" si="10"/>
        <v>-0.5039565123</v>
      </c>
      <c r="I314" s="42">
        <f>UpdateHashtag!S312</f>
        <v>5.9</v>
      </c>
      <c r="J314" s="47">
        <f t="shared" si="11"/>
        <v>0.06257287647</v>
      </c>
      <c r="K314" s="48">
        <f>UpdateHashtag!T312</f>
        <v>0.8</v>
      </c>
      <c r="L314" s="42">
        <f t="shared" si="12"/>
        <v>-0.8418166868</v>
      </c>
      <c r="N314" s="100">
        <f t="shared" si="13"/>
        <v>283</v>
      </c>
      <c r="O314" s="94" t="str">
        <f t="array" ref="O314">INDIRECT("Update"&amp;Projections!$AH$17&amp;"!B"&amp;ROW(B295))</f>
        <v/>
      </c>
      <c r="P314" s="101" t="str">
        <f t="array" ref="P314">INDIRECT("Update"&amp;Projections!$AH$17&amp;"!C"&amp;ROW(B295))</f>
        <v>Gary Harris</v>
      </c>
      <c r="Q314" s="94">
        <f>UpdateBBM!F295</f>
        <v>46</v>
      </c>
      <c r="R314" s="105" t="str">
        <f t="array" ref="R314">INDIRECT("Update"&amp;Projections!$AH$17&amp;"!D"&amp;ROW(B295))</f>
        <v>PG,SG</v>
      </c>
      <c r="S314" s="73">
        <f t="shared" si="14"/>
        <v>-5.343329646</v>
      </c>
      <c r="T314" s="73">
        <f>SUM(AE314:AM314)-IFERROR(IFS(Projections!$I$17,AN314,Projections!$J$17,AO314),"")</f>
        <v>-5.343329646</v>
      </c>
      <c r="U314" s="73">
        <f t="shared" si="15"/>
        <v>0</v>
      </c>
      <c r="V314" s="73">
        <f t="array" ref="V314">INDIRECT("Update"&amp;Projections!$AH$17&amp;"!M"&amp;ROW(B295))</f>
        <v>5.6</v>
      </c>
      <c r="W314" s="73">
        <f t="array" ref="W314">INDIRECT("Update"&amp;Projections!$AH$17&amp;"!L"&amp;ROW(B295))</f>
        <v>1.3</v>
      </c>
      <c r="X314" s="73">
        <f t="array" ref="X314">INDIRECT("Update"&amp;Projections!$AH$17&amp;"!N"&amp;ROW(B295))</f>
        <v>1.4</v>
      </c>
      <c r="Y314" s="73">
        <f t="array" ref="Y314">INDIRECT("Update"&amp;Projections!$AH$17&amp;"!O"&amp;ROW(B295))</f>
        <v>1.1</v>
      </c>
      <c r="Z314" s="73">
        <f t="array" ref="Z314">INDIRECT("Update"&amp;Projections!$AH$17&amp;"!P"&amp;ROW(B295))</f>
        <v>0.7</v>
      </c>
      <c r="AA314" s="73">
        <f t="array" ref="AA314">INDIRECT("Update"&amp;Projections!$AH$17&amp;"!Q"&amp;ROW(B295))</f>
        <v>0.2</v>
      </c>
      <c r="AB314" s="107">
        <f t="array" ref="AB314">INDIRECT("Update"&amp;Projections!$AH$17&amp;"!I"&amp;ROW(B295))</f>
        <v>0.445</v>
      </c>
      <c r="AC314" s="107">
        <f t="array" ref="AC314">INDIRECT("Update"&amp;Projections!$AH$17&amp;"!K"&amp;ROW(B295))</f>
        <v>0.818</v>
      </c>
      <c r="AD314" s="73">
        <f t="array" ref="AD314">INDIRECT("Update"&amp;Projections!$AH$17&amp;"!R"&amp;ROW(B295))</f>
        <v>0.4</v>
      </c>
      <c r="AE314" s="73">
        <f t="shared" si="16"/>
        <v>-2.143729711</v>
      </c>
      <c r="AF314" s="73">
        <f t="shared" si="17"/>
        <v>-0.4468706937</v>
      </c>
      <c r="AG314" s="73">
        <f t="shared" si="18"/>
        <v>-1.83142991</v>
      </c>
      <c r="AH314" s="73">
        <f t="shared" si="19"/>
        <v>-1.292023185</v>
      </c>
      <c r="AI314" s="73">
        <f t="shared" si="20"/>
        <v>-0.9166617668</v>
      </c>
      <c r="AJ314" s="73">
        <f t="shared" si="21"/>
        <v>-0.9723047469</v>
      </c>
      <c r="AK314" s="73">
        <f t="shared" si="22"/>
        <v>-0.2675390908</v>
      </c>
      <c r="AL314" s="73">
        <f t="shared" si="23"/>
        <v>0.04905450841</v>
      </c>
      <c r="AM314" s="73">
        <f t="shared" si="24"/>
        <v>0.3344452391</v>
      </c>
      <c r="AN314" s="120">
        <f t="shared" si="25"/>
        <v>-2.143729711</v>
      </c>
      <c r="AO314" s="120">
        <f t="shared" si="26"/>
        <v>-3.975159621</v>
      </c>
      <c r="AP314" s="120">
        <f t="array" ref="AP314">INDIRECT("Update"&amp;Projections!$AH$17&amp;"!S"&amp;ROW(B295))</f>
        <v>4.4</v>
      </c>
      <c r="AQ314" s="120">
        <f t="array" ref="AQ314">INDIRECT("Update"&amp;Projections!$AH$17&amp;"!T"&amp;ROW(B295))</f>
        <v>0.6</v>
      </c>
      <c r="AR314" s="100">
        <f t="shared" si="27"/>
        <v>-5.641805223</v>
      </c>
    </row>
    <row r="315">
      <c r="A315" s="40" t="str">
        <f t="shared" si="3"/>
        <v>Monte Morris</v>
      </c>
      <c r="B315" s="42">
        <f t="shared" si="4"/>
        <v>-2.197924117</v>
      </c>
      <c r="C315" s="43">
        <f t="shared" si="5"/>
        <v>-1.044016488</v>
      </c>
      <c r="D315" s="42">
        <f t="shared" si="6"/>
        <v>-1.674524426</v>
      </c>
      <c r="E315" s="42">
        <f t="shared" si="7"/>
        <v>-0.6085966288</v>
      </c>
      <c r="F315" s="42">
        <f t="shared" si="8"/>
        <v>-1.912459801</v>
      </c>
      <c r="G315" s="42">
        <f t="shared" si="9"/>
        <v>-0.9723047469</v>
      </c>
      <c r="H315" s="42">
        <f t="shared" si="10"/>
        <v>-0.1747166184</v>
      </c>
      <c r="I315" s="42">
        <f>UpdateHashtag!S313</f>
        <v>4.4</v>
      </c>
      <c r="J315" s="47">
        <f t="shared" si="11"/>
        <v>0.03205569999</v>
      </c>
      <c r="K315" s="48">
        <f>UpdateHashtag!T313</f>
        <v>0.6</v>
      </c>
      <c r="L315" s="42">
        <f t="shared" si="12"/>
        <v>-1.337780956</v>
      </c>
      <c r="N315" s="100">
        <f t="shared" si="13"/>
        <v>307</v>
      </c>
      <c r="O315" s="94" t="str">
        <f t="array" ref="O315">INDIRECT("Update"&amp;Projections!$AH$17&amp;"!B"&amp;ROW(B296))</f>
        <v/>
      </c>
      <c r="P315" s="101" t="str">
        <f t="array" ref="P315">INDIRECT("Update"&amp;Projections!$AH$17&amp;"!C"&amp;ROW(B296))</f>
        <v>Dante Exum</v>
      </c>
      <c r="Q315" s="94">
        <f>UpdateBBM!F296</f>
        <v>66</v>
      </c>
      <c r="R315" s="105" t="str">
        <f t="array" ref="R315">INDIRECT("Update"&amp;Projections!$AH$17&amp;"!D"&amp;ROW(B296))</f>
        <v>PG,SG</v>
      </c>
      <c r="S315" s="73">
        <f t="shared" si="14"/>
        <v>-5.941944919</v>
      </c>
      <c r="T315" s="73">
        <f>SUM(AE315:AM315)-IFERROR(IFS(Projections!$I$17,AN315,Projections!$J$17,AO315),"")</f>
        <v>-5.941944919</v>
      </c>
      <c r="U315" s="73">
        <f t="shared" si="15"/>
        <v>0</v>
      </c>
      <c r="V315" s="73">
        <f t="array" ref="V315">INDIRECT("Update"&amp;Projections!$AH$17&amp;"!M"&amp;ROW(B296))</f>
        <v>6.4</v>
      </c>
      <c r="W315" s="73">
        <f t="array" ref="W315">INDIRECT("Update"&amp;Projections!$AH$17&amp;"!L"&amp;ROW(B296))</f>
        <v>0.8</v>
      </c>
      <c r="X315" s="73">
        <f t="array" ref="X315">INDIRECT("Update"&amp;Projections!$AH$17&amp;"!N"&amp;ROW(B296))</f>
        <v>2.2</v>
      </c>
      <c r="Y315" s="73">
        <f t="array" ref="Y315">INDIRECT("Update"&amp;Projections!$AH$17&amp;"!O"&amp;ROW(B296))</f>
        <v>2.3</v>
      </c>
      <c r="Z315" s="73">
        <f t="array" ref="Z315">INDIRECT("Update"&amp;Projections!$AH$17&amp;"!P"&amp;ROW(B296))</f>
        <v>0.3</v>
      </c>
      <c r="AA315" s="73">
        <f t="array" ref="AA315">INDIRECT("Update"&amp;Projections!$AH$17&amp;"!Q"&amp;ROW(B296))</f>
        <v>0.1</v>
      </c>
      <c r="AB315" s="107">
        <f t="array" ref="AB315">INDIRECT("Update"&amp;Projections!$AH$17&amp;"!I"&amp;ROW(B296))</f>
        <v>0.535</v>
      </c>
      <c r="AC315" s="107">
        <f t="array" ref="AC315">INDIRECT("Update"&amp;Projections!$AH$17&amp;"!K"&amp;ROW(B296))</f>
        <v>0.782</v>
      </c>
      <c r="AD315" s="73">
        <f t="array" ref="AD315">INDIRECT("Update"&amp;Projections!$AH$17&amp;"!R"&amp;ROW(B296))</f>
        <v>0.7</v>
      </c>
      <c r="AE315" s="73">
        <f t="shared" si="16"/>
        <v>-1.999211295</v>
      </c>
      <c r="AF315" s="73">
        <f t="shared" si="17"/>
        <v>-0.9444921888</v>
      </c>
      <c r="AG315" s="73">
        <f t="shared" si="18"/>
        <v>-1.517618941</v>
      </c>
      <c r="AH315" s="73">
        <f t="shared" si="19"/>
        <v>-0.74528194</v>
      </c>
      <c r="AI315" s="73">
        <f t="shared" si="20"/>
        <v>-2.244392479</v>
      </c>
      <c r="AJ315" s="73">
        <f t="shared" si="21"/>
        <v>-1.150698449</v>
      </c>
      <c r="AK315" s="73">
        <f t="shared" si="22"/>
        <v>0.2010408455</v>
      </c>
      <c r="AL315" s="73">
        <f t="shared" si="23"/>
        <v>-0.04573354915</v>
      </c>
      <c r="AM315" s="73">
        <f t="shared" si="24"/>
        <v>0.2600505987</v>
      </c>
      <c r="AN315" s="120">
        <f t="shared" si="25"/>
        <v>-2.244392479</v>
      </c>
      <c r="AO315" s="120">
        <f t="shared" si="26"/>
        <v>-4.243603775</v>
      </c>
      <c r="AP315" s="120">
        <f t="array" ref="AP315">INDIRECT("Update"&amp;Projections!$AH$17&amp;"!S"&amp;ROW(B296))</f>
        <v>4.5</v>
      </c>
      <c r="AQ315" s="120">
        <f t="array" ref="AQ315">INDIRECT("Update"&amp;Projections!$AH$17&amp;"!T"&amp;ROW(B296))</f>
        <v>1</v>
      </c>
      <c r="AR315" s="100">
        <f t="shared" si="27"/>
        <v>-5.660596761</v>
      </c>
    </row>
    <row r="316">
      <c r="A316" s="40" t="str">
        <f t="shared" si="3"/>
        <v>Amir Coffey</v>
      </c>
      <c r="B316" s="42">
        <f t="shared" si="4"/>
        <v>-1.999211295</v>
      </c>
      <c r="C316" s="43">
        <f t="shared" si="5"/>
        <v>-0.9444921888</v>
      </c>
      <c r="D316" s="42">
        <f t="shared" si="6"/>
        <v>-1.596071683</v>
      </c>
      <c r="E316" s="42">
        <f t="shared" si="7"/>
        <v>-1.200899644</v>
      </c>
      <c r="F316" s="42">
        <f t="shared" si="8"/>
        <v>-1.580527123</v>
      </c>
      <c r="G316" s="42">
        <f t="shared" si="9"/>
        <v>-0.9723047469</v>
      </c>
      <c r="H316" s="42">
        <f t="shared" si="10"/>
        <v>-0.2923016849</v>
      </c>
      <c r="I316" s="42">
        <f>UpdateHashtag!S314</f>
        <v>5</v>
      </c>
      <c r="J316" s="47">
        <f t="shared" si="11"/>
        <v>0.1342924628</v>
      </c>
      <c r="K316" s="48">
        <f>UpdateHashtag!T314</f>
        <v>1.4</v>
      </c>
      <c r="L316" s="42">
        <f t="shared" si="12"/>
        <v>-1.238588102</v>
      </c>
      <c r="N316" s="100">
        <f t="shared" si="13"/>
        <v>323</v>
      </c>
      <c r="O316" s="94" t="str">
        <f t="array" ref="O316">INDIRECT("Update"&amp;Projections!$AH$17&amp;"!B"&amp;ROW(B297))</f>
        <v/>
      </c>
      <c r="P316" s="101" t="str">
        <f t="array" ref="P316">INDIRECT("Update"&amp;Projections!$AH$17&amp;"!C"&amp;ROW(B297))</f>
        <v>Leonard Miller</v>
      </c>
      <c r="Q316" s="94">
        <f>UpdateBBM!F297</f>
        <v>59</v>
      </c>
      <c r="R316" s="105" t="str">
        <f t="array" ref="R316">INDIRECT("Update"&amp;Projections!$AH$17&amp;"!D"&amp;ROW(B297))</f>
        <v>PF</v>
      </c>
      <c r="S316" s="73">
        <f t="shared" si="14"/>
        <v>-6.172214178</v>
      </c>
      <c r="T316" s="73">
        <f>SUM(AE316:AM316)-IFERROR(IFS(Projections!$I$17,AN316,Projections!$J$17,AO316),"")</f>
        <v>-6.172214178</v>
      </c>
      <c r="U316" s="73">
        <f t="shared" si="15"/>
        <v>0</v>
      </c>
      <c r="V316" s="73">
        <f t="array" ref="V316">INDIRECT("Update"&amp;Projections!$AH$17&amp;"!M"&amp;ROW(B297))</f>
        <v>4.9</v>
      </c>
      <c r="W316" s="73">
        <f t="array" ref="W316">INDIRECT("Update"&amp;Projections!$AH$17&amp;"!L"&amp;ROW(B297))</f>
        <v>0.3</v>
      </c>
      <c r="X316" s="73">
        <f t="array" ref="X316">INDIRECT("Update"&amp;Projections!$AH$17&amp;"!N"&amp;ROW(B297))</f>
        <v>3.4</v>
      </c>
      <c r="Y316" s="73">
        <f t="array" ref="Y316">INDIRECT("Update"&amp;Projections!$AH$17&amp;"!O"&amp;ROW(B297))</f>
        <v>1.4</v>
      </c>
      <c r="Z316" s="73">
        <f t="array" ref="Z316">INDIRECT("Update"&amp;Projections!$AH$17&amp;"!P"&amp;ROW(B297))</f>
        <v>0.3</v>
      </c>
      <c r="AA316" s="73">
        <f t="array" ref="AA316">INDIRECT("Update"&amp;Projections!$AH$17&amp;"!Q"&amp;ROW(B297))</f>
        <v>0.2</v>
      </c>
      <c r="AB316" s="107">
        <f t="array" ref="AB316">INDIRECT("Update"&amp;Projections!$AH$17&amp;"!I"&amp;ROW(B297))</f>
        <v>0.652</v>
      </c>
      <c r="AC316" s="107">
        <f t="array" ref="AC316">INDIRECT("Update"&amp;Projections!$AH$17&amp;"!K"&amp;ROW(B297))</f>
        <v>0.5</v>
      </c>
      <c r="AD316" s="73">
        <f t="array" ref="AD316">INDIRECT("Update"&amp;Projections!$AH$17&amp;"!R"&amp;ROW(B297))</f>
        <v>0.2</v>
      </c>
      <c r="AE316" s="73">
        <f t="shared" si="16"/>
        <v>-2.270183325</v>
      </c>
      <c r="AF316" s="73">
        <f t="shared" si="17"/>
        <v>-1.442113684</v>
      </c>
      <c r="AG316" s="73">
        <f t="shared" si="18"/>
        <v>-1.046902488</v>
      </c>
      <c r="AH316" s="73">
        <f t="shared" si="19"/>
        <v>-1.155337874</v>
      </c>
      <c r="AI316" s="73">
        <f t="shared" si="20"/>
        <v>-2.244392479</v>
      </c>
      <c r="AJ316" s="73">
        <f t="shared" si="21"/>
        <v>-0.9723047469</v>
      </c>
      <c r="AK316" s="73">
        <f t="shared" si="22"/>
        <v>0.6181194914</v>
      </c>
      <c r="AL316" s="73">
        <f t="shared" si="23"/>
        <v>-0.3133240632</v>
      </c>
      <c r="AM316" s="73">
        <f t="shared" si="24"/>
        <v>0.384041666</v>
      </c>
      <c r="AN316" s="120">
        <f t="shared" si="25"/>
        <v>-2.270183325</v>
      </c>
      <c r="AO316" s="120">
        <f t="shared" si="26"/>
        <v>-4.514575804</v>
      </c>
      <c r="AP316" s="120">
        <f t="array" ref="AP316">INDIRECT("Update"&amp;Projections!$AH$17&amp;"!S"&amp;ROW(B297))</f>
        <v>3.4</v>
      </c>
      <c r="AQ316" s="120">
        <f t="array" ref="AQ316">INDIRECT("Update"&amp;Projections!$AH$17&amp;"!T"&amp;ROW(B297))</f>
        <v>0.3</v>
      </c>
      <c r="AR316" s="100">
        <f t="shared" si="27"/>
        <v>-5.671307853</v>
      </c>
    </row>
    <row r="317">
      <c r="A317" s="40" t="str">
        <f t="shared" si="3"/>
        <v>Anthony Black</v>
      </c>
      <c r="B317" s="42">
        <f t="shared" si="4"/>
        <v>-2.053405701</v>
      </c>
      <c r="C317" s="43">
        <f t="shared" si="5"/>
        <v>-1.044016488</v>
      </c>
      <c r="D317" s="42">
        <f t="shared" si="6"/>
        <v>-1.321487086</v>
      </c>
      <c r="E317" s="42">
        <f t="shared" si="7"/>
        <v>-1.018652563</v>
      </c>
      <c r="F317" s="42">
        <f t="shared" si="8"/>
        <v>-0.9166617668</v>
      </c>
      <c r="G317" s="42">
        <f t="shared" si="9"/>
        <v>-0.6155173428</v>
      </c>
      <c r="H317" s="42">
        <f t="shared" si="10"/>
        <v>-0.1701039022</v>
      </c>
      <c r="I317" s="42">
        <f>UpdateHashtag!S315</f>
        <v>4.7</v>
      </c>
      <c r="J317" s="47">
        <f t="shared" si="11"/>
        <v>-0.8547952132</v>
      </c>
      <c r="K317" s="48">
        <f>UpdateHashtag!T315</f>
        <v>1.5</v>
      </c>
      <c r="L317" s="42">
        <f t="shared" si="12"/>
        <v>-0.643430979</v>
      </c>
      <c r="N317" s="100">
        <f t="shared" si="13"/>
        <v>273</v>
      </c>
      <c r="O317" s="94">
        <f t="array" ref="O317">INDIRECT("Update"&amp;Projections!$AH$17&amp;"!B"&amp;ROW(B298))</f>
        <v>139.8</v>
      </c>
      <c r="P317" s="101" t="str">
        <f t="array" ref="P317">INDIRECT("Update"&amp;Projections!$AH$17&amp;"!C"&amp;ROW(B298))</f>
        <v>Steven Adams</v>
      </c>
      <c r="Q317" s="94">
        <f>UpdateBBM!F298</f>
        <v>46</v>
      </c>
      <c r="R317" s="105" t="str">
        <f t="array" ref="R317">INDIRECT("Update"&amp;Projections!$AH$17&amp;"!D"&amp;ROW(B298))</f>
        <v>C</v>
      </c>
      <c r="S317" s="73">
        <f t="shared" si="14"/>
        <v>-5.061138326</v>
      </c>
      <c r="T317" s="73">
        <f>SUM(AE317:AM317)-IFERROR(IFS(Projections!$I$17,AN317,Projections!$J$17,AO317),"")</f>
        <v>-5.061138326</v>
      </c>
      <c r="U317" s="73">
        <f t="shared" si="15"/>
        <v>0</v>
      </c>
      <c r="V317" s="73">
        <f t="array" ref="V317">INDIRECT("Update"&amp;Projections!$AH$17&amp;"!M"&amp;ROW(B298))</f>
        <v>5.7</v>
      </c>
      <c r="W317" s="73">
        <f t="array" ref="W317">INDIRECT("Update"&amp;Projections!$AH$17&amp;"!L"&amp;ROW(B298))</f>
        <v>0</v>
      </c>
      <c r="X317" s="73">
        <f t="array" ref="X317">INDIRECT("Update"&amp;Projections!$AH$17&amp;"!N"&amp;ROW(B298))</f>
        <v>7.7</v>
      </c>
      <c r="Y317" s="73">
        <f t="array" ref="Y317">INDIRECT("Update"&amp;Projections!$AH$17&amp;"!O"&amp;ROW(B298))</f>
        <v>1.5</v>
      </c>
      <c r="Z317" s="73">
        <f t="array" ref="Z317">INDIRECT("Update"&amp;Projections!$AH$17&amp;"!P"&amp;ROW(B298))</f>
        <v>0.6</v>
      </c>
      <c r="AA317" s="73">
        <f t="array" ref="AA317">INDIRECT("Update"&amp;Projections!$AH$17&amp;"!Q"&amp;ROW(B298))</f>
        <v>0.7</v>
      </c>
      <c r="AB317" s="107">
        <f t="array" ref="AB317">INDIRECT("Update"&amp;Projections!$AH$17&amp;"!I"&amp;ROW(B298))</f>
        <v>0.597</v>
      </c>
      <c r="AC317" s="107">
        <f t="array" ref="AC317">INDIRECT("Update"&amp;Projections!$AH$17&amp;"!K"&amp;ROW(B298))</f>
        <v>0.366</v>
      </c>
      <c r="AD317" s="73">
        <f t="array" ref="AD317">INDIRECT("Update"&amp;Projections!$AH$17&amp;"!R"&amp;ROW(B298))</f>
        <v>1.3</v>
      </c>
      <c r="AE317" s="73">
        <f t="shared" si="16"/>
        <v>-2.125664909</v>
      </c>
      <c r="AF317" s="73">
        <f t="shared" si="17"/>
        <v>-1.740686581</v>
      </c>
      <c r="AG317" s="73">
        <f t="shared" si="18"/>
        <v>0.6398314707</v>
      </c>
      <c r="AH317" s="73">
        <f t="shared" si="19"/>
        <v>-1.109776103</v>
      </c>
      <c r="AI317" s="73">
        <f t="shared" si="20"/>
        <v>-1.248594445</v>
      </c>
      <c r="AJ317" s="73">
        <f t="shared" si="21"/>
        <v>-0.08033623669</v>
      </c>
      <c r="AK317" s="73">
        <f t="shared" si="22"/>
        <v>0.4928271605</v>
      </c>
      <c r="AL317" s="73">
        <f t="shared" si="23"/>
        <v>-3.189823586</v>
      </c>
      <c r="AM317" s="73">
        <f t="shared" si="24"/>
        <v>0.1112613178</v>
      </c>
      <c r="AN317" s="120">
        <f t="shared" si="25"/>
        <v>-3.189823586</v>
      </c>
      <c r="AO317" s="120">
        <f t="shared" si="26"/>
        <v>-5.315488495</v>
      </c>
      <c r="AP317" s="120">
        <f t="array" ref="AP317">INDIRECT("Update"&amp;Projections!$AH$17&amp;"!S"&amp;ROW(B298))</f>
        <v>4.2</v>
      </c>
      <c r="AQ317" s="120">
        <f t="array" ref="AQ317">INDIRECT("Update"&amp;Projections!$AH$17&amp;"!T"&amp;ROW(B298))</f>
        <v>2.1</v>
      </c>
      <c r="AR317" s="100">
        <f t="shared" si="27"/>
        <v>-5.691423695</v>
      </c>
    </row>
    <row r="318">
      <c r="A318" s="40" t="str">
        <f t="shared" si="3"/>
        <v>Cam Reddish</v>
      </c>
      <c r="B318" s="42">
        <f t="shared" si="4"/>
        <v>-2.107600107</v>
      </c>
      <c r="C318" s="43">
        <f t="shared" si="5"/>
        <v>-1.044016488</v>
      </c>
      <c r="D318" s="42">
        <f t="shared" si="6"/>
        <v>-1.713750797</v>
      </c>
      <c r="E318" s="42">
        <f t="shared" si="7"/>
        <v>-1.383146726</v>
      </c>
      <c r="F318" s="42">
        <f t="shared" si="8"/>
        <v>-0.5847290887</v>
      </c>
      <c r="G318" s="42">
        <f t="shared" si="9"/>
        <v>-0.7939110449</v>
      </c>
      <c r="H318" s="42">
        <f t="shared" si="10"/>
        <v>-0.4357685677</v>
      </c>
      <c r="I318" s="42">
        <f>UpdateHashtag!S316</f>
        <v>4.9</v>
      </c>
      <c r="J318" s="47">
        <f t="shared" si="11"/>
        <v>0.06411139997</v>
      </c>
      <c r="K318" s="48">
        <f>UpdateHashtag!T316</f>
        <v>1.2</v>
      </c>
      <c r="L318" s="42">
        <f t="shared" si="12"/>
        <v>-1.040202395</v>
      </c>
      <c r="N318" s="100">
        <f t="shared" si="13"/>
        <v>301</v>
      </c>
      <c r="O318" s="94" t="str">
        <f t="array" ref="O318">INDIRECT("Update"&amp;Projections!$AH$17&amp;"!B"&amp;ROW(B299))</f>
        <v/>
      </c>
      <c r="P318" s="101" t="str">
        <f t="array" ref="P318">INDIRECT("Update"&amp;Projections!$AH$17&amp;"!C"&amp;ROW(B299))</f>
        <v>James Wiseman</v>
      </c>
      <c r="Q318" s="94">
        <f>UpdateBBM!F299</f>
        <v>66</v>
      </c>
      <c r="R318" s="105" t="str">
        <f t="array" ref="R318">INDIRECT("Update"&amp;Projections!$AH$17&amp;"!D"&amp;ROW(B299))</f>
        <v>C</v>
      </c>
      <c r="S318" s="73">
        <f t="shared" si="14"/>
        <v>-5.812196938</v>
      </c>
      <c r="T318" s="73">
        <f>SUM(AE318:AM318)-IFERROR(IFS(Projections!$I$17,AN318,Projections!$J$17,AO318),"")</f>
        <v>-5.812196938</v>
      </c>
      <c r="U318" s="73">
        <f t="shared" si="15"/>
        <v>0</v>
      </c>
      <c r="V318" s="73">
        <f t="array" ref="V318">INDIRECT("Update"&amp;Projections!$AH$17&amp;"!M"&amp;ROW(B299))</f>
        <v>7.1</v>
      </c>
      <c r="W318" s="73">
        <f t="array" ref="W318">INDIRECT("Update"&amp;Projections!$AH$17&amp;"!L"&amp;ROW(B299))</f>
        <v>0</v>
      </c>
      <c r="X318" s="73">
        <f t="array" ref="X318">INDIRECT("Update"&amp;Projections!$AH$17&amp;"!N"&amp;ROW(B299))</f>
        <v>4.8</v>
      </c>
      <c r="Y318" s="73">
        <f t="array" ref="Y318">INDIRECT("Update"&amp;Projections!$AH$17&amp;"!O"&amp;ROW(B299))</f>
        <v>0.7</v>
      </c>
      <c r="Z318" s="73">
        <f t="array" ref="Z318">INDIRECT("Update"&amp;Projections!$AH$17&amp;"!P"&amp;ROW(B299))</f>
        <v>0.2</v>
      </c>
      <c r="AA318" s="73">
        <f t="array" ref="AA318">INDIRECT("Update"&amp;Projections!$AH$17&amp;"!Q"&amp;ROW(B299))</f>
        <v>0.5</v>
      </c>
      <c r="AB318" s="107">
        <f t="array" ref="AB318">INDIRECT("Update"&amp;Projections!$AH$17&amp;"!I"&amp;ROW(B299))</f>
        <v>0.584</v>
      </c>
      <c r="AC318" s="107">
        <f t="array" ref="AC318">INDIRECT("Update"&amp;Projections!$AH$17&amp;"!K"&amp;ROW(B299))</f>
        <v>0.703</v>
      </c>
      <c r="AD318" s="73">
        <f t="array" ref="AD318">INDIRECT("Update"&amp;Projections!$AH$17&amp;"!R"&amp;ROW(B299))</f>
        <v>0.9</v>
      </c>
      <c r="AE318" s="73">
        <f t="shared" si="16"/>
        <v>-1.872757682</v>
      </c>
      <c r="AF318" s="73">
        <f t="shared" si="17"/>
        <v>-1.740686581</v>
      </c>
      <c r="AG318" s="73">
        <f t="shared" si="18"/>
        <v>-0.4977332919</v>
      </c>
      <c r="AH318" s="73">
        <f t="shared" si="19"/>
        <v>-1.474270267</v>
      </c>
      <c r="AI318" s="73">
        <f t="shared" si="20"/>
        <v>-2.576325158</v>
      </c>
      <c r="AJ318" s="73">
        <f t="shared" si="21"/>
        <v>-0.4371236408</v>
      </c>
      <c r="AK318" s="73">
        <f t="shared" si="22"/>
        <v>0.52072932</v>
      </c>
      <c r="AL318" s="73">
        <f t="shared" si="23"/>
        <v>-0.5208089671</v>
      </c>
      <c r="AM318" s="73">
        <f t="shared" si="24"/>
        <v>0.2104541717</v>
      </c>
      <c r="AN318" s="120">
        <f t="shared" si="25"/>
        <v>-2.576325158</v>
      </c>
      <c r="AO318" s="120">
        <f t="shared" si="26"/>
        <v>-4.449082839</v>
      </c>
      <c r="AP318" s="120">
        <f t="array" ref="AP318">INDIRECT("Update"&amp;Projections!$AH$17&amp;"!S"&amp;ROW(B299))</f>
        <v>5.1</v>
      </c>
      <c r="AQ318" s="120">
        <f t="array" ref="AQ318">INDIRECT("Update"&amp;Projections!$AH$17&amp;"!T"&amp;ROW(B299))</f>
        <v>1.6</v>
      </c>
      <c r="AR318" s="100">
        <f t="shared" si="27"/>
        <v>-5.723130133</v>
      </c>
    </row>
    <row r="319">
      <c r="A319" s="40" t="str">
        <f t="shared" si="3"/>
        <v>Sam Merrill</v>
      </c>
      <c r="B319" s="42">
        <f t="shared" si="4"/>
        <v>-1.963081691</v>
      </c>
      <c r="C319" s="43">
        <f t="shared" si="5"/>
        <v>0.1502751005</v>
      </c>
      <c r="D319" s="42">
        <f t="shared" si="6"/>
        <v>-1.713750797</v>
      </c>
      <c r="E319" s="42">
        <f t="shared" si="7"/>
        <v>-1.109776103</v>
      </c>
      <c r="F319" s="42">
        <f t="shared" si="8"/>
        <v>-2.244392479</v>
      </c>
      <c r="G319" s="42">
        <f t="shared" si="9"/>
        <v>-1.150698449</v>
      </c>
      <c r="H319" s="42">
        <f t="shared" si="10"/>
        <v>-0.6004820418</v>
      </c>
      <c r="I319" s="42">
        <f>UpdateHashtag!S317</f>
        <v>5.4</v>
      </c>
      <c r="J319" s="47">
        <f t="shared" si="11"/>
        <v>0.1814425793</v>
      </c>
      <c r="K319" s="48">
        <f>UpdateHashtag!T317</f>
        <v>0.4</v>
      </c>
      <c r="L319" s="42">
        <f t="shared" si="12"/>
        <v>-1.43697381</v>
      </c>
      <c r="N319" s="100">
        <f t="shared" si="13"/>
        <v>311</v>
      </c>
      <c r="O319" s="94" t="str">
        <f t="array" ref="O319">INDIRECT("Update"&amp;Projections!$AH$17&amp;"!B"&amp;ROW(B300))</f>
        <v/>
      </c>
      <c r="P319" s="101" t="str">
        <f t="array" ref="P319">INDIRECT("Update"&amp;Projections!$AH$17&amp;"!C"&amp;ROW(B300))</f>
        <v>Seth Curry</v>
      </c>
      <c r="Q319" s="94">
        <f>UpdateBBM!F300</f>
        <v>71</v>
      </c>
      <c r="R319" s="105" t="str">
        <f t="array" ref="R319">INDIRECT("Update"&amp;Projections!$AH$17&amp;"!D"&amp;ROW(B300))</f>
        <v>SG</v>
      </c>
      <c r="S319" s="73">
        <f t="shared" si="14"/>
        <v>-6.008511633</v>
      </c>
      <c r="T319" s="73">
        <f>SUM(AE319:AM319)-IFERROR(IFS(Projections!$I$17,AN319,Projections!$J$17,AO319),"")</f>
        <v>-6.008511633</v>
      </c>
      <c r="U319" s="73">
        <f t="shared" si="15"/>
        <v>0</v>
      </c>
      <c r="V319" s="73">
        <f t="array" ref="V319">INDIRECT("Update"&amp;Projections!$AH$17&amp;"!M"&amp;ROW(B300))</f>
        <v>7</v>
      </c>
      <c r="W319" s="73">
        <f t="array" ref="W319">INDIRECT("Update"&amp;Projections!$AH$17&amp;"!L"&amp;ROW(B300))</f>
        <v>1.2</v>
      </c>
      <c r="X319" s="73">
        <f t="array" ref="X319">INDIRECT("Update"&amp;Projections!$AH$17&amp;"!N"&amp;ROW(B300))</f>
        <v>1.5</v>
      </c>
      <c r="Y319" s="73">
        <f t="array" ref="Y319">INDIRECT("Update"&amp;Projections!$AH$17&amp;"!O"&amp;ROW(B300))</f>
        <v>1.3</v>
      </c>
      <c r="Z319" s="73">
        <f t="array" ref="Z319">INDIRECT("Update"&amp;Projections!$AH$17&amp;"!P"&amp;ROW(B300))</f>
        <v>0.5</v>
      </c>
      <c r="AA319" s="73">
        <f t="array" ref="AA319">INDIRECT("Update"&amp;Projections!$AH$17&amp;"!Q"&amp;ROW(B300))</f>
        <v>0.1</v>
      </c>
      <c r="AB319" s="107">
        <f t="array" ref="AB319">INDIRECT("Update"&amp;Projections!$AH$17&amp;"!I"&amp;ROW(B300))</f>
        <v>0.441</v>
      </c>
      <c r="AC319" s="107">
        <f t="array" ref="AC319">INDIRECT("Update"&amp;Projections!$AH$17&amp;"!K"&amp;ROW(B300))</f>
        <v>0.921</v>
      </c>
      <c r="AD319" s="73">
        <f t="array" ref="AD319">INDIRECT("Update"&amp;Projections!$AH$17&amp;"!R"&amp;ROW(B300))</f>
        <v>0.6</v>
      </c>
      <c r="AE319" s="73">
        <f t="shared" si="16"/>
        <v>-1.890822484</v>
      </c>
      <c r="AF319" s="73">
        <f t="shared" si="17"/>
        <v>-0.5463949927</v>
      </c>
      <c r="AG319" s="73">
        <f t="shared" si="18"/>
        <v>-1.792203539</v>
      </c>
      <c r="AH319" s="73">
        <f t="shared" si="19"/>
        <v>-1.200899644</v>
      </c>
      <c r="AI319" s="73">
        <f t="shared" si="20"/>
        <v>-1.580527123</v>
      </c>
      <c r="AJ319" s="73">
        <f t="shared" si="21"/>
        <v>-1.150698449</v>
      </c>
      <c r="AK319" s="73">
        <f t="shared" si="22"/>
        <v>-0.3798555863</v>
      </c>
      <c r="AL319" s="73">
        <f t="shared" si="23"/>
        <v>0.3572188891</v>
      </c>
      <c r="AM319" s="73">
        <f t="shared" si="24"/>
        <v>0.2848488121</v>
      </c>
      <c r="AN319" s="120">
        <f t="shared" si="25"/>
        <v>-1.890822484</v>
      </c>
      <c r="AO319" s="120">
        <f t="shared" si="26"/>
        <v>-3.683026023</v>
      </c>
      <c r="AP319" s="120">
        <f t="array" ref="AP319">INDIRECT("Update"&amp;Projections!$AH$17&amp;"!S"&amp;ROW(B300))</f>
        <v>5.8</v>
      </c>
      <c r="AQ319" s="120">
        <f t="array" ref="AQ319">INDIRECT("Update"&amp;Projections!$AH$17&amp;"!T"&amp;ROW(B300))</f>
        <v>0.8</v>
      </c>
      <c r="AR319" s="100">
        <f t="shared" si="27"/>
        <v>-5.733263375</v>
      </c>
    </row>
    <row r="320">
      <c r="A320" s="40" t="str">
        <f t="shared" si="3"/>
        <v>Ochai Agbaji</v>
      </c>
      <c r="B320" s="42">
        <f t="shared" si="4"/>
        <v>-1.94501689</v>
      </c>
      <c r="C320" s="43">
        <f t="shared" si="5"/>
        <v>-0.7454435908</v>
      </c>
      <c r="D320" s="42">
        <f t="shared" si="6"/>
        <v>-1.399939828</v>
      </c>
      <c r="E320" s="42">
        <f t="shared" si="7"/>
        <v>-1.292023185</v>
      </c>
      <c r="F320" s="42">
        <f t="shared" si="8"/>
        <v>-1.580527123</v>
      </c>
      <c r="G320" s="42">
        <f t="shared" si="9"/>
        <v>-0.6155173428</v>
      </c>
      <c r="H320" s="42">
        <f t="shared" si="10"/>
        <v>-0.554690181</v>
      </c>
      <c r="I320" s="42">
        <f>UpdateHashtag!S318</f>
        <v>6</v>
      </c>
      <c r="J320" s="47">
        <f t="shared" si="11"/>
        <v>-0.1527148745</v>
      </c>
      <c r="K320" s="48">
        <f>UpdateHashtag!T318</f>
        <v>0.9</v>
      </c>
      <c r="L320" s="42">
        <f t="shared" si="12"/>
        <v>-0.9410095407</v>
      </c>
      <c r="N320" s="100">
        <f t="shared" si="13"/>
        <v>290</v>
      </c>
      <c r="O320" s="94" t="str">
        <f t="array" ref="O320">INDIRECT("Update"&amp;Projections!$AH$17&amp;"!B"&amp;ROW(B301))</f>
        <v/>
      </c>
      <c r="P320" s="101" t="str">
        <f t="array" ref="P320">INDIRECT("Update"&amp;Projections!$AH$17&amp;"!C"&amp;ROW(B301))</f>
        <v>Jaylin Williams</v>
      </c>
      <c r="Q320" s="94">
        <f>UpdateBBM!F301</f>
        <v>46</v>
      </c>
      <c r="R320" s="105" t="str">
        <f t="array" ref="R320">INDIRECT("Update"&amp;Projections!$AH$17&amp;"!D"&amp;ROW(B301))</f>
        <v>PF,C</v>
      </c>
      <c r="S320" s="73">
        <f t="shared" si="14"/>
        <v>-5.496800867</v>
      </c>
      <c r="T320" s="73">
        <f>SUM(AE320:AM320)-IFERROR(IFS(Projections!$I$17,AN320,Projections!$J$17,AO320),"")</f>
        <v>-5.496800867</v>
      </c>
      <c r="U320" s="73">
        <f t="shared" si="15"/>
        <v>0</v>
      </c>
      <c r="V320" s="73">
        <f t="array" ref="V320">INDIRECT("Update"&amp;Projections!$AH$17&amp;"!M"&amp;ROW(B301))</f>
        <v>4.6</v>
      </c>
      <c r="W320" s="73">
        <f t="array" ref="W320">INDIRECT("Update"&amp;Projections!$AH$17&amp;"!L"&amp;ROW(B301))</f>
        <v>0.8</v>
      </c>
      <c r="X320" s="73">
        <f t="array" ref="X320">INDIRECT("Update"&amp;Projections!$AH$17&amp;"!N"&amp;ROW(B301))</f>
        <v>3.8</v>
      </c>
      <c r="Y320" s="73">
        <f t="array" ref="Y320">INDIRECT("Update"&amp;Projections!$AH$17&amp;"!O"&amp;ROW(B301))</f>
        <v>1.5</v>
      </c>
      <c r="Z320" s="73">
        <f t="array" ref="Z320">INDIRECT("Update"&amp;Projections!$AH$17&amp;"!P"&amp;ROW(B301))</f>
        <v>0.5</v>
      </c>
      <c r="AA320" s="73">
        <f t="array" ref="AA320">INDIRECT("Update"&amp;Projections!$AH$17&amp;"!Q"&amp;ROW(B301))</f>
        <v>0.3</v>
      </c>
      <c r="AB320" s="107">
        <f t="array" ref="AB320">INDIRECT("Update"&amp;Projections!$AH$17&amp;"!I"&amp;ROW(B301))</f>
        <v>0.426</v>
      </c>
      <c r="AC320" s="107">
        <f t="array" ref="AC320">INDIRECT("Update"&amp;Projections!$AH$17&amp;"!K"&amp;ROW(B301))</f>
        <v>0.74</v>
      </c>
      <c r="AD320" s="73">
        <f t="array" ref="AD320">INDIRECT("Update"&amp;Projections!$AH$17&amp;"!R"&amp;ROW(B301))</f>
        <v>0.6</v>
      </c>
      <c r="AE320" s="73">
        <f t="shared" si="16"/>
        <v>-2.324377731</v>
      </c>
      <c r="AF320" s="73">
        <f t="shared" si="17"/>
        <v>-0.9444921888</v>
      </c>
      <c r="AG320" s="73">
        <f t="shared" si="18"/>
        <v>-0.8899970031</v>
      </c>
      <c r="AH320" s="73">
        <f t="shared" si="19"/>
        <v>-1.109776103</v>
      </c>
      <c r="AI320" s="73">
        <f t="shared" si="20"/>
        <v>-1.580527123</v>
      </c>
      <c r="AJ320" s="73">
        <f t="shared" si="21"/>
        <v>-0.7939110449</v>
      </c>
      <c r="AK320" s="73">
        <f t="shared" si="22"/>
        <v>-0.3073677179</v>
      </c>
      <c r="AL320" s="73">
        <f t="shared" si="23"/>
        <v>-0.1555784983</v>
      </c>
      <c r="AM320" s="73">
        <f t="shared" si="24"/>
        <v>0.2848488121</v>
      </c>
      <c r="AN320" s="120">
        <f t="shared" si="25"/>
        <v>-2.324377731</v>
      </c>
      <c r="AO320" s="120">
        <f t="shared" si="26"/>
        <v>-3.904904854</v>
      </c>
      <c r="AP320" s="120">
        <f t="array" ref="AP320">INDIRECT("Update"&amp;Projections!$AH$17&amp;"!S"&amp;ROW(B301))</f>
        <v>3.7</v>
      </c>
      <c r="AQ320" s="120">
        <f t="array" ref="AQ320">INDIRECT("Update"&amp;Projections!$AH$17&amp;"!T"&amp;ROW(B301))</f>
        <v>0.8</v>
      </c>
      <c r="AR320" s="100">
        <f t="shared" si="27"/>
        <v>-5.780376616</v>
      </c>
    </row>
    <row r="321">
      <c r="A321" s="40" t="str">
        <f t="shared" si="3"/>
        <v>Haywood Highsmith</v>
      </c>
      <c r="B321" s="42">
        <f t="shared" si="4"/>
        <v>-2.324377731</v>
      </c>
      <c r="C321" s="43">
        <f t="shared" si="5"/>
        <v>-0.9444921888</v>
      </c>
      <c r="D321" s="42">
        <f t="shared" si="6"/>
        <v>-1.243034343</v>
      </c>
      <c r="E321" s="42">
        <f t="shared" si="7"/>
        <v>-1.428708496</v>
      </c>
      <c r="F321" s="42">
        <f t="shared" si="8"/>
        <v>-1.248594445</v>
      </c>
      <c r="G321" s="42">
        <f t="shared" si="9"/>
        <v>-0.7939110449</v>
      </c>
      <c r="H321" s="42">
        <f t="shared" si="10"/>
        <v>-0.2005704929</v>
      </c>
      <c r="I321" s="42">
        <f>UpdateHashtag!S319</f>
        <v>3.9</v>
      </c>
      <c r="J321" s="47">
        <f t="shared" si="11"/>
        <v>-0.4071106733</v>
      </c>
      <c r="K321" s="48">
        <f>UpdateHashtag!T319</f>
        <v>0.5</v>
      </c>
      <c r="L321" s="42">
        <f t="shared" si="12"/>
        <v>-1.139395249</v>
      </c>
      <c r="N321" s="100">
        <f t="shared" si="13"/>
        <v>316</v>
      </c>
      <c r="O321" s="94" t="str">
        <f t="array" ref="O321">INDIRECT("Update"&amp;Projections!$AH$17&amp;"!B"&amp;ROW(B302))</f>
        <v/>
      </c>
      <c r="P321" s="101" t="str">
        <f t="array" ref="P321">INDIRECT("Update"&amp;Projections!$AH$17&amp;"!C"&amp;ROW(B302))</f>
        <v>Trey Jemison</v>
      </c>
      <c r="Q321" s="94">
        <f>UpdateBBM!F302</f>
        <v>71</v>
      </c>
      <c r="R321" s="105" t="str">
        <f t="array" ref="R321">INDIRECT("Update"&amp;Projections!$AH$17&amp;"!D"&amp;ROW(B302))</f>
        <v>C</v>
      </c>
      <c r="S321" s="73">
        <f t="shared" si="14"/>
        <v>-6.077246477</v>
      </c>
      <c r="T321" s="73">
        <f>SUM(AE321:AM321)-IFERROR(IFS(Projections!$I$17,AN321,Projections!$J$17,AO321),"")</f>
        <v>-6.077246477</v>
      </c>
      <c r="U321" s="73">
        <f t="shared" si="15"/>
        <v>0</v>
      </c>
      <c r="V321" s="73">
        <f t="array" ref="V321">INDIRECT("Update"&amp;Projections!$AH$17&amp;"!M"&amp;ROW(B302))</f>
        <v>4.2</v>
      </c>
      <c r="W321" s="73">
        <f t="array" ref="W321">INDIRECT("Update"&amp;Projections!$AH$17&amp;"!L"&amp;ROW(B302))</f>
        <v>0</v>
      </c>
      <c r="X321" s="73">
        <f t="array" ref="X321">INDIRECT("Update"&amp;Projections!$AH$17&amp;"!N"&amp;ROW(B302))</f>
        <v>3.3</v>
      </c>
      <c r="Y321" s="73">
        <f t="array" ref="Y321">INDIRECT("Update"&amp;Projections!$AH$17&amp;"!O"&amp;ROW(B302))</f>
        <v>0.7</v>
      </c>
      <c r="Z321" s="73">
        <f t="array" ref="Z321">INDIRECT("Update"&amp;Projections!$AH$17&amp;"!P"&amp;ROW(B302))</f>
        <v>0.3</v>
      </c>
      <c r="AA321" s="73">
        <f t="array" ref="AA321">INDIRECT("Update"&amp;Projections!$AH$17&amp;"!Q"&amp;ROW(B302))</f>
        <v>0.7</v>
      </c>
      <c r="AB321" s="107">
        <f t="array" ref="AB321">INDIRECT("Update"&amp;Projections!$AH$17&amp;"!I"&amp;ROW(B302))</f>
        <v>0.552</v>
      </c>
      <c r="AC321" s="107">
        <f t="array" ref="AC321">INDIRECT("Update"&amp;Projections!$AH$17&amp;"!K"&amp;ROW(B302))</f>
        <v>0.839</v>
      </c>
      <c r="AD321" s="73">
        <f t="array" ref="AD321">INDIRECT("Update"&amp;Projections!$AH$17&amp;"!R"&amp;ROW(B302))</f>
        <v>0.8</v>
      </c>
      <c r="AE321" s="73">
        <f t="shared" si="16"/>
        <v>-2.396636939</v>
      </c>
      <c r="AF321" s="73">
        <f t="shared" si="17"/>
        <v>-1.740686581</v>
      </c>
      <c r="AG321" s="73">
        <f t="shared" si="18"/>
        <v>-1.086128859</v>
      </c>
      <c r="AH321" s="73">
        <f t="shared" si="19"/>
        <v>-1.474270267</v>
      </c>
      <c r="AI321" s="73">
        <f t="shared" si="20"/>
        <v>-2.244392479</v>
      </c>
      <c r="AJ321" s="73">
        <f t="shared" si="21"/>
        <v>-0.08033623669</v>
      </c>
      <c r="AK321" s="73">
        <f t="shared" si="22"/>
        <v>0.2196391806</v>
      </c>
      <c r="AL321" s="73">
        <f t="shared" si="23"/>
        <v>0.09367638051</v>
      </c>
      <c r="AM321" s="73">
        <f t="shared" si="24"/>
        <v>0.2352523852</v>
      </c>
      <c r="AN321" s="120">
        <f t="shared" si="25"/>
        <v>-2.396636939</v>
      </c>
      <c r="AO321" s="120">
        <f t="shared" si="26"/>
        <v>-4.641029418</v>
      </c>
      <c r="AP321" s="120">
        <f t="array" ref="AP321">INDIRECT("Update"&amp;Projections!$AH$17&amp;"!S"&amp;ROW(B302))</f>
        <v>3.4</v>
      </c>
      <c r="AQ321" s="120">
        <f t="array" ref="AQ321">INDIRECT("Update"&amp;Projections!$AH$17&amp;"!T"&amp;ROW(B302))</f>
        <v>0.6</v>
      </c>
      <c r="AR321" s="100">
        <f t="shared" si="27"/>
        <v>-5.812196938</v>
      </c>
    </row>
    <row r="322">
      <c r="A322" s="40" t="str">
        <f t="shared" si="3"/>
        <v>Malaki Branham</v>
      </c>
      <c r="B322" s="42">
        <f t="shared" si="4"/>
        <v>-1.601785652</v>
      </c>
      <c r="C322" s="43">
        <f t="shared" si="5"/>
        <v>-0.6459192917</v>
      </c>
      <c r="D322" s="42">
        <f t="shared" si="6"/>
        <v>-1.556845312</v>
      </c>
      <c r="E322" s="42">
        <f t="shared" si="7"/>
        <v>-0.9730907921</v>
      </c>
      <c r="F322" s="42">
        <f t="shared" si="8"/>
        <v>-1.912459801</v>
      </c>
      <c r="G322" s="42">
        <f t="shared" si="9"/>
        <v>-1.150698449</v>
      </c>
      <c r="H322" s="42">
        <f t="shared" si="10"/>
        <v>-0.5565483069</v>
      </c>
      <c r="I322" s="42">
        <f>UpdateHashtag!S320</f>
        <v>7.8</v>
      </c>
      <c r="J322" s="47">
        <f t="shared" si="11"/>
        <v>0.1758982659</v>
      </c>
      <c r="K322" s="48">
        <f>UpdateHashtag!T320</f>
        <v>0.8</v>
      </c>
      <c r="L322" s="42">
        <f t="shared" si="12"/>
        <v>-0.643430979</v>
      </c>
      <c r="N322" s="100">
        <f t="shared" si="13"/>
        <v>318</v>
      </c>
      <c r="O322" s="94" t="str">
        <f t="array" ref="O322">INDIRECT("Update"&amp;Projections!$AH$17&amp;"!B"&amp;ROW(B303))</f>
        <v/>
      </c>
      <c r="P322" s="101" t="str">
        <f t="array" ref="P322">INDIRECT("Update"&amp;Projections!$AH$17&amp;"!C"&amp;ROW(B303))</f>
        <v>Thomas Bryant</v>
      </c>
      <c r="Q322" s="94">
        <f>UpdateBBM!F303</f>
        <v>66</v>
      </c>
      <c r="R322" s="105" t="str">
        <f t="array" ref="R322">INDIRECT("Update"&amp;Projections!$AH$17&amp;"!D"&amp;ROW(B303))</f>
        <v>C</v>
      </c>
      <c r="S322" s="73">
        <f t="shared" si="14"/>
        <v>-6.091434357</v>
      </c>
      <c r="T322" s="73">
        <f>SUM(AE322:AM322)-IFERROR(IFS(Projections!$I$17,AN322,Projections!$J$17,AO322),"")</f>
        <v>-6.091434357</v>
      </c>
      <c r="U322" s="73">
        <f t="shared" si="15"/>
        <v>0</v>
      </c>
      <c r="V322" s="73">
        <f t="array" ref="V322">INDIRECT("Update"&amp;Projections!$AH$17&amp;"!M"&amp;ROW(B303))</f>
        <v>6</v>
      </c>
      <c r="W322" s="73">
        <f t="array" ref="W322">INDIRECT("Update"&amp;Projections!$AH$17&amp;"!L"&amp;ROW(B303))</f>
        <v>0.2</v>
      </c>
      <c r="X322" s="73">
        <f t="array" ref="X322">INDIRECT("Update"&amp;Projections!$AH$17&amp;"!N"&amp;ROW(B303))</f>
        <v>3.6</v>
      </c>
      <c r="Y322" s="73">
        <f t="array" ref="Y322">INDIRECT("Update"&amp;Projections!$AH$17&amp;"!O"&amp;ROW(B303))</f>
        <v>0.4</v>
      </c>
      <c r="Z322" s="73">
        <f t="array" ref="Z322">INDIRECT("Update"&amp;Projections!$AH$17&amp;"!P"&amp;ROW(B303))</f>
        <v>0.2</v>
      </c>
      <c r="AA322" s="73">
        <f t="array" ref="AA322">INDIRECT("Update"&amp;Projections!$AH$17&amp;"!Q"&amp;ROW(B303))</f>
        <v>0.4</v>
      </c>
      <c r="AB322" s="107">
        <f t="array" ref="AB322">INDIRECT("Update"&amp;Projections!$AH$17&amp;"!I"&amp;ROW(B303))</f>
        <v>0.61</v>
      </c>
      <c r="AC322" s="107">
        <f t="array" ref="AC322">INDIRECT("Update"&amp;Projections!$AH$17&amp;"!K"&amp;ROW(B303))</f>
        <v>0.771</v>
      </c>
      <c r="AD322" s="73">
        <f t="array" ref="AD322">INDIRECT("Update"&amp;Projections!$AH$17&amp;"!R"&amp;ROW(B303))</f>
        <v>0.5</v>
      </c>
      <c r="AE322" s="73">
        <f t="shared" si="16"/>
        <v>-2.071470503</v>
      </c>
      <c r="AF322" s="73">
        <f t="shared" si="17"/>
        <v>-1.541637983</v>
      </c>
      <c r="AG322" s="73">
        <f t="shared" si="18"/>
        <v>-0.9684497454</v>
      </c>
      <c r="AH322" s="73">
        <f t="shared" si="19"/>
        <v>-1.610955578</v>
      </c>
      <c r="AI322" s="73">
        <f t="shared" si="20"/>
        <v>-2.576325158</v>
      </c>
      <c r="AJ322" s="73">
        <f t="shared" si="21"/>
        <v>-0.6155173428</v>
      </c>
      <c r="AK322" s="73">
        <f t="shared" si="22"/>
        <v>0.5170456668</v>
      </c>
      <c r="AL322" s="73">
        <f t="shared" si="23"/>
        <v>-0.1100958973</v>
      </c>
      <c r="AM322" s="73">
        <f t="shared" si="24"/>
        <v>0.3096470256</v>
      </c>
      <c r="AN322" s="120">
        <f t="shared" si="25"/>
        <v>-2.576325158</v>
      </c>
      <c r="AO322" s="120">
        <f t="shared" si="26"/>
        <v>-4.647795661</v>
      </c>
      <c r="AP322" s="120">
        <f t="array" ref="AP322">INDIRECT("Update"&amp;Projections!$AH$17&amp;"!S"&amp;ROW(B303))</f>
        <v>3.9</v>
      </c>
      <c r="AQ322" s="120">
        <f t="array" ref="AQ322">INDIRECT("Update"&amp;Projections!$AH$17&amp;"!T"&amp;ROW(B303))</f>
        <v>1.3</v>
      </c>
      <c r="AR322" s="100">
        <f t="shared" si="27"/>
        <v>-5.843323626</v>
      </c>
    </row>
    <row r="323">
      <c r="A323" s="40" t="str">
        <f t="shared" si="3"/>
        <v>Charles Bassey</v>
      </c>
      <c r="B323" s="42">
        <f t="shared" si="4"/>
        <v>-2.559220156</v>
      </c>
      <c r="C323" s="43">
        <f t="shared" si="5"/>
        <v>-1.740686581</v>
      </c>
      <c r="D323" s="42">
        <f t="shared" si="6"/>
        <v>-1.046902488</v>
      </c>
      <c r="E323" s="42">
        <f t="shared" si="7"/>
        <v>-1.383146726</v>
      </c>
      <c r="F323" s="42">
        <f t="shared" si="8"/>
        <v>-2.244392479</v>
      </c>
      <c r="G323" s="42">
        <f t="shared" si="9"/>
        <v>-0.2587299387</v>
      </c>
      <c r="H323" s="42">
        <f t="shared" si="10"/>
        <v>0.433478897</v>
      </c>
      <c r="I323" s="42">
        <f>UpdateHashtag!S321</f>
        <v>2.2</v>
      </c>
      <c r="J323" s="47">
        <f t="shared" si="11"/>
        <v>-0.2920145746</v>
      </c>
      <c r="K323" s="48">
        <f>UpdateHashtag!T321</f>
        <v>0.5</v>
      </c>
      <c r="L323" s="42">
        <f t="shared" si="12"/>
        <v>-1.040202395</v>
      </c>
      <c r="N323" s="100">
        <f t="shared" si="13"/>
        <v>317</v>
      </c>
      <c r="O323" s="94" t="str">
        <f t="array" ref="O323">INDIRECT("Update"&amp;Projections!$AH$17&amp;"!B"&amp;ROW(B304))</f>
        <v/>
      </c>
      <c r="P323" s="101" t="str">
        <f t="array" ref="P323">INDIRECT("Update"&amp;Projections!$AH$17&amp;"!C"&amp;ROW(B304))</f>
        <v>Devin Carter</v>
      </c>
      <c r="Q323" s="94">
        <f>UpdateBBM!F304</f>
        <v>66</v>
      </c>
      <c r="R323" s="105" t="str">
        <f t="array" ref="R323">INDIRECT("Update"&amp;Projections!$AH$17&amp;"!D"&amp;ROW(B304))</f>
        <v>PG</v>
      </c>
      <c r="S323" s="73">
        <f t="shared" si="14"/>
        <v>-6.088404434</v>
      </c>
      <c r="T323" s="73">
        <f>SUM(AE323:AM323)-IFERROR(IFS(Projections!$I$17,AN323,Projections!$J$17,AO323),"")</f>
        <v>-6.088404434</v>
      </c>
      <c r="U323" s="73">
        <f t="shared" si="15"/>
        <v>0</v>
      </c>
      <c r="V323" s="73">
        <f t="array" ref="V323">INDIRECT("Update"&amp;Projections!$AH$17&amp;"!M"&amp;ROW(B304))</f>
        <v>6.1</v>
      </c>
      <c r="W323" s="73">
        <f t="array" ref="W323">INDIRECT("Update"&amp;Projections!$AH$17&amp;"!L"&amp;ROW(B304))</f>
        <v>0.8</v>
      </c>
      <c r="X323" s="73">
        <f t="array" ref="X323">INDIRECT("Update"&amp;Projections!$AH$17&amp;"!N"&amp;ROW(B304))</f>
        <v>2.7</v>
      </c>
      <c r="Y323" s="73">
        <f t="array" ref="Y323">INDIRECT("Update"&amp;Projections!$AH$17&amp;"!O"&amp;ROW(B304))</f>
        <v>1.1</v>
      </c>
      <c r="Z323" s="73">
        <f t="array" ref="Z323">INDIRECT("Update"&amp;Projections!$AH$17&amp;"!P"&amp;ROW(B304))</f>
        <v>0.5</v>
      </c>
      <c r="AA323" s="73">
        <f t="array" ref="AA323">INDIRECT("Update"&amp;Projections!$AH$17&amp;"!Q"&amp;ROW(B304))</f>
        <v>0.3</v>
      </c>
      <c r="AB323" s="107">
        <f t="array" ref="AB323">INDIRECT("Update"&amp;Projections!$AH$17&amp;"!I"&amp;ROW(B304))</f>
        <v>0.472</v>
      </c>
      <c r="AC323" s="107">
        <f t="array" ref="AC323">INDIRECT("Update"&amp;Projections!$AH$17&amp;"!K"&amp;ROW(B304))</f>
        <v>0.748</v>
      </c>
      <c r="AD323" s="73">
        <f t="array" ref="AD323">INDIRECT("Update"&amp;Projections!$AH$17&amp;"!R"&amp;ROW(B304))</f>
        <v>0.8</v>
      </c>
      <c r="AE323" s="73">
        <f t="shared" si="16"/>
        <v>-2.053405701</v>
      </c>
      <c r="AF323" s="73">
        <f t="shared" si="17"/>
        <v>-0.9444921888</v>
      </c>
      <c r="AG323" s="73">
        <f t="shared" si="18"/>
        <v>-1.321487086</v>
      </c>
      <c r="AH323" s="73">
        <f t="shared" si="19"/>
        <v>-1.292023185</v>
      </c>
      <c r="AI323" s="73">
        <f t="shared" si="20"/>
        <v>-1.580527123</v>
      </c>
      <c r="AJ323" s="73">
        <f t="shared" si="21"/>
        <v>-0.7939110449</v>
      </c>
      <c r="AK323" s="73">
        <f t="shared" si="22"/>
        <v>-0.1253893508</v>
      </c>
      <c r="AL323" s="73">
        <f t="shared" si="23"/>
        <v>-0.2658268407</v>
      </c>
      <c r="AM323" s="73">
        <f t="shared" si="24"/>
        <v>0.2352523852</v>
      </c>
      <c r="AN323" s="120">
        <f t="shared" si="25"/>
        <v>-2.053405701</v>
      </c>
      <c r="AO323" s="120">
        <f t="shared" si="26"/>
        <v>-3.633932824</v>
      </c>
      <c r="AP323" s="120">
        <f t="array" ref="AP323">INDIRECT("Update"&amp;Projections!$AH$17&amp;"!S"&amp;ROW(B304))</f>
        <v>4.3</v>
      </c>
      <c r="AQ323" s="120">
        <f t="array" ref="AQ323">INDIRECT("Update"&amp;Projections!$AH$17&amp;"!T"&amp;ROW(B304))</f>
        <v>1.6</v>
      </c>
      <c r="AR323" s="100">
        <f t="shared" si="27"/>
        <v>-5.84682795</v>
      </c>
    </row>
    <row r="324">
      <c r="A324" s="40" t="str">
        <f t="shared" si="3"/>
        <v>Maxi Kleber</v>
      </c>
      <c r="B324" s="42">
        <f t="shared" si="4"/>
        <v>-2.378572137</v>
      </c>
      <c r="C324" s="43">
        <f t="shared" si="5"/>
        <v>-1.044016488</v>
      </c>
      <c r="D324" s="42">
        <f t="shared" si="6"/>
        <v>-1.243034343</v>
      </c>
      <c r="E324" s="42">
        <f t="shared" si="7"/>
        <v>-1.246461415</v>
      </c>
      <c r="F324" s="42">
        <f t="shared" si="8"/>
        <v>-2.244392479</v>
      </c>
      <c r="G324" s="42">
        <f t="shared" si="9"/>
        <v>-0.2587299387</v>
      </c>
      <c r="H324" s="42">
        <f t="shared" si="10"/>
        <v>-0.2083895241</v>
      </c>
      <c r="I324" s="42">
        <f>UpdateHashtag!S322</f>
        <v>3.3</v>
      </c>
      <c r="J324" s="47">
        <f t="shared" si="11"/>
        <v>-0.2865804908</v>
      </c>
      <c r="K324" s="48">
        <f>UpdateHashtag!T322</f>
        <v>0.9</v>
      </c>
      <c r="L324" s="42">
        <f t="shared" si="12"/>
        <v>-1.139395249</v>
      </c>
      <c r="N324" s="100">
        <f t="shared" si="13"/>
        <v>294</v>
      </c>
      <c r="O324" s="94" t="str">
        <f t="array" ref="O324">INDIRECT("Update"&amp;Projections!$AH$17&amp;"!B"&amp;ROW(B305))</f>
        <v/>
      </c>
      <c r="P324" s="101" t="str">
        <f t="array" ref="P324">INDIRECT("Update"&amp;Projections!$AH$17&amp;"!C"&amp;ROW(B305))</f>
        <v>Joe Ingles</v>
      </c>
      <c r="Q324" s="94">
        <f>UpdateBBM!F305</f>
        <v>66</v>
      </c>
      <c r="R324" s="105" t="str">
        <f t="array" ref="R324">INDIRECT("Update"&amp;Projections!$AH$17&amp;"!D"&amp;ROW(B305))</f>
        <v>SG,SF</v>
      </c>
      <c r="S324" s="73">
        <f t="shared" si="14"/>
        <v>-5.641805223</v>
      </c>
      <c r="T324" s="73">
        <f>SUM(AE324:AM324)-IFERROR(IFS(Projections!$I$17,AN324,Projections!$J$17,AO324),"")</f>
        <v>-5.641805223</v>
      </c>
      <c r="U324" s="73">
        <f t="shared" si="15"/>
        <v>0</v>
      </c>
      <c r="V324" s="73">
        <f t="array" ref="V324">INDIRECT("Update"&amp;Projections!$AH$17&amp;"!M"&amp;ROW(B305))</f>
        <v>4.2</v>
      </c>
      <c r="W324" s="73">
        <f t="array" ref="W324">INDIRECT("Update"&amp;Projections!$AH$17&amp;"!L"&amp;ROW(B305))</f>
        <v>1.1</v>
      </c>
      <c r="X324" s="73">
        <f t="array" ref="X324">INDIRECT("Update"&amp;Projections!$AH$17&amp;"!N"&amp;ROW(B305))</f>
        <v>1.9</v>
      </c>
      <c r="Y324" s="73">
        <f t="array" ref="Y324">INDIRECT("Update"&amp;Projections!$AH$17&amp;"!O"&amp;ROW(B305))</f>
        <v>2.4</v>
      </c>
      <c r="Z324" s="73">
        <f t="array" ref="Z324">INDIRECT("Update"&amp;Projections!$AH$17&amp;"!P"&amp;ROW(B305))</f>
        <v>0.5</v>
      </c>
      <c r="AA324" s="73">
        <f t="array" ref="AA324">INDIRECT("Update"&amp;Projections!$AH$17&amp;"!Q"&amp;ROW(B305))</f>
        <v>0.1</v>
      </c>
      <c r="AB324" s="107">
        <f t="array" ref="AB324">INDIRECT("Update"&amp;Projections!$AH$17&amp;"!I"&amp;ROW(B305))</f>
        <v>0.437</v>
      </c>
      <c r="AC324" s="107">
        <f t="array" ref="AC324">INDIRECT("Update"&amp;Projections!$AH$17&amp;"!K"&amp;ROW(B305))</f>
        <v>0.842</v>
      </c>
      <c r="AD324" s="73">
        <f t="array" ref="AD324">INDIRECT("Update"&amp;Projections!$AH$17&amp;"!R"&amp;ROW(B305))</f>
        <v>0.8</v>
      </c>
      <c r="AE324" s="73">
        <f t="shared" si="16"/>
        <v>-2.396636939</v>
      </c>
      <c r="AF324" s="73">
        <f t="shared" si="17"/>
        <v>-0.6459192917</v>
      </c>
      <c r="AG324" s="73">
        <f t="shared" si="18"/>
        <v>-1.635298055</v>
      </c>
      <c r="AH324" s="73">
        <f t="shared" si="19"/>
        <v>-0.6997201696</v>
      </c>
      <c r="AI324" s="73">
        <f t="shared" si="20"/>
        <v>-1.580527123</v>
      </c>
      <c r="AJ324" s="73">
        <f t="shared" si="21"/>
        <v>-1.150698449</v>
      </c>
      <c r="AK324" s="73">
        <f t="shared" si="22"/>
        <v>-0.2315951422</v>
      </c>
      <c r="AL324" s="73">
        <f t="shared" si="23"/>
        <v>0.06670062245</v>
      </c>
      <c r="AM324" s="73">
        <f t="shared" si="24"/>
        <v>0.2352523852</v>
      </c>
      <c r="AN324" s="120">
        <f t="shared" si="25"/>
        <v>-2.396636939</v>
      </c>
      <c r="AO324" s="120">
        <f t="shared" si="26"/>
        <v>-4.031934993</v>
      </c>
      <c r="AP324" s="120">
        <f t="array" ref="AP324">INDIRECT("Update"&amp;Projections!$AH$17&amp;"!S"&amp;ROW(B305))</f>
        <v>3.3</v>
      </c>
      <c r="AQ324" s="120">
        <f t="array" ref="AQ324">INDIRECT("Update"&amp;Projections!$AH$17&amp;"!T"&amp;ROW(B305))</f>
        <v>0.4</v>
      </c>
      <c r="AR324" s="100">
        <f t="shared" si="27"/>
        <v>-5.851572836</v>
      </c>
    </row>
    <row r="325">
      <c r="A325" s="40" t="str">
        <f t="shared" si="3"/>
        <v>Guerschon Yabusele</v>
      </c>
      <c r="B325" s="42">
        <f t="shared" si="4"/>
        <v>-2.125664909</v>
      </c>
      <c r="C325" s="43">
        <f t="shared" si="5"/>
        <v>-0.8449678898</v>
      </c>
      <c r="D325" s="42">
        <f t="shared" si="6"/>
        <v>-1.321487086</v>
      </c>
      <c r="E325" s="42">
        <f t="shared" si="7"/>
        <v>-1.428708496</v>
      </c>
      <c r="F325" s="42">
        <f t="shared" si="8"/>
        <v>-1.912459801</v>
      </c>
      <c r="G325" s="42">
        <f t="shared" si="9"/>
        <v>-0.6155173428</v>
      </c>
      <c r="H325" s="42">
        <f t="shared" si="10"/>
        <v>-0.1556269744</v>
      </c>
      <c r="I325" s="42">
        <f>UpdateHashtag!S323</f>
        <v>4.3</v>
      </c>
      <c r="J325" s="47">
        <f t="shared" si="11"/>
        <v>-0.09705362722</v>
      </c>
      <c r="K325" s="48">
        <f>UpdateHashtag!T323</f>
        <v>1.1</v>
      </c>
      <c r="L325" s="42">
        <f t="shared" si="12"/>
        <v>-0.9410095407</v>
      </c>
      <c r="N325" s="100">
        <f t="shared" si="13"/>
        <v>302</v>
      </c>
      <c r="O325" s="94">
        <f t="array" ref="O325">INDIRECT("Update"&amp;Projections!$AH$17&amp;"!B"&amp;ROW(B306))</f>
        <v>140.6</v>
      </c>
      <c r="P325" s="101" t="str">
        <f t="array" ref="P325">INDIRECT("Update"&amp;Projections!$AH$17&amp;"!C"&amp;ROW(B306))</f>
        <v>Tim Hardaway Jr.</v>
      </c>
      <c r="Q325" s="94">
        <f>UpdateBBM!F306</f>
        <v>49</v>
      </c>
      <c r="R325" s="105" t="str">
        <f t="array" ref="R325">INDIRECT("Update"&amp;Projections!$AH$17&amp;"!D"&amp;ROW(B306))</f>
        <v>SG,SF</v>
      </c>
      <c r="S325" s="73">
        <f t="shared" si="14"/>
        <v>-5.843323626</v>
      </c>
      <c r="T325" s="73">
        <f>SUM(AE325:AM325)-IFERROR(IFS(Projections!$I$17,AN325,Projections!$J$17,AO325),"")</f>
        <v>-5.843323626</v>
      </c>
      <c r="U325" s="73">
        <f t="shared" si="15"/>
        <v>0</v>
      </c>
      <c r="V325" s="73">
        <f t="array" ref="V325">INDIRECT("Update"&amp;Projections!$AH$17&amp;"!M"&amp;ROW(B306))</f>
        <v>9.3</v>
      </c>
      <c r="W325" s="73">
        <f t="array" ref="W325">INDIRECT("Update"&amp;Projections!$AH$17&amp;"!L"&amp;ROW(B306))</f>
        <v>1.8</v>
      </c>
      <c r="X325" s="73">
        <f t="array" ref="X325">INDIRECT("Update"&amp;Projections!$AH$17&amp;"!N"&amp;ROW(B306))</f>
        <v>2.2</v>
      </c>
      <c r="Y325" s="73">
        <f t="array" ref="Y325">INDIRECT("Update"&amp;Projections!$AH$17&amp;"!O"&amp;ROW(B306))</f>
        <v>1.2</v>
      </c>
      <c r="Z325" s="73">
        <f t="array" ref="Z325">INDIRECT("Update"&amp;Projections!$AH$17&amp;"!P"&amp;ROW(B306))</f>
        <v>0.4</v>
      </c>
      <c r="AA325" s="73">
        <f t="array" ref="AA325">INDIRECT("Update"&amp;Projections!$AH$17&amp;"!Q"&amp;ROW(B306))</f>
        <v>0.1</v>
      </c>
      <c r="AB325" s="107">
        <f t="array" ref="AB325">INDIRECT("Update"&amp;Projections!$AH$17&amp;"!I"&amp;ROW(B306))</f>
        <v>0.402</v>
      </c>
      <c r="AC325" s="107">
        <f t="array" ref="AC325">INDIRECT("Update"&amp;Projections!$AH$17&amp;"!K"&amp;ROW(B306))</f>
        <v>0.813</v>
      </c>
      <c r="AD325" s="73">
        <f t="array" ref="AD325">INDIRECT("Update"&amp;Projections!$AH$17&amp;"!R"&amp;ROW(B306))</f>
        <v>0.6</v>
      </c>
      <c r="AE325" s="73">
        <f t="shared" si="16"/>
        <v>-1.475332038</v>
      </c>
      <c r="AF325" s="73">
        <f t="shared" si="17"/>
        <v>0.05075080149</v>
      </c>
      <c r="AG325" s="73">
        <f t="shared" si="18"/>
        <v>-1.517618941</v>
      </c>
      <c r="AH325" s="73">
        <f t="shared" si="19"/>
        <v>-1.246461415</v>
      </c>
      <c r="AI325" s="73">
        <f t="shared" si="20"/>
        <v>-1.912459801</v>
      </c>
      <c r="AJ325" s="73">
        <f t="shared" si="21"/>
        <v>-1.150698449</v>
      </c>
      <c r="AK325" s="73">
        <f t="shared" si="22"/>
        <v>-0.8784829871</v>
      </c>
      <c r="AL325" s="73">
        <f t="shared" si="23"/>
        <v>0.08967059067</v>
      </c>
      <c r="AM325" s="73">
        <f t="shared" si="24"/>
        <v>0.2848488121</v>
      </c>
      <c r="AN325" s="120">
        <f t="shared" si="25"/>
        <v>-1.912459801</v>
      </c>
      <c r="AO325" s="120">
        <f t="shared" si="26"/>
        <v>-3.430078742</v>
      </c>
      <c r="AP325" s="120">
        <f t="array" ref="AP325">INDIRECT("Update"&amp;Projections!$AH$17&amp;"!S"&amp;ROW(B306))</f>
        <v>7.9</v>
      </c>
      <c r="AQ325" s="120">
        <f t="array" ref="AQ325">INDIRECT("Update"&amp;Projections!$AH$17&amp;"!T"&amp;ROW(B306))</f>
        <v>1.4</v>
      </c>
      <c r="AR325" s="100">
        <f t="shared" si="27"/>
        <v>-5.868398642</v>
      </c>
    </row>
    <row r="326">
      <c r="A326" s="40" t="str">
        <f t="shared" si="3"/>
        <v>Kyle Filipowski</v>
      </c>
      <c r="B326" s="42">
        <f t="shared" si="4"/>
        <v>-2.035340899</v>
      </c>
      <c r="C326" s="43">
        <f t="shared" si="5"/>
        <v>-1.342589385</v>
      </c>
      <c r="D326" s="42">
        <f t="shared" si="6"/>
        <v>-1.164581601</v>
      </c>
      <c r="E326" s="42">
        <f t="shared" si="7"/>
        <v>-1.337584956</v>
      </c>
      <c r="F326" s="42">
        <f t="shared" si="8"/>
        <v>-1.912459801</v>
      </c>
      <c r="G326" s="42">
        <f t="shared" si="9"/>
        <v>-0.2587299387</v>
      </c>
      <c r="H326" s="42">
        <f t="shared" si="10"/>
        <v>0.04809472625</v>
      </c>
      <c r="I326" s="42">
        <f>UpdateHashtag!S324</f>
        <v>4.5</v>
      </c>
      <c r="J326" s="47">
        <f t="shared" si="11"/>
        <v>-0.7399922783</v>
      </c>
      <c r="K326" s="48">
        <f>UpdateHashtag!T324</f>
        <v>1.7</v>
      </c>
      <c r="L326" s="42">
        <f t="shared" si="12"/>
        <v>-0.9410095407</v>
      </c>
      <c r="N326" s="100">
        <f t="shared" si="13"/>
        <v>296</v>
      </c>
      <c r="O326" s="94">
        <f t="array" ref="O326">INDIRECT("Update"&amp;Projections!$AH$17&amp;"!B"&amp;ROW(B307))</f>
        <v>144</v>
      </c>
      <c r="P326" s="101" t="str">
        <f t="array" ref="P326">INDIRECT("Update"&amp;Projections!$AH$17&amp;"!C"&amp;ROW(B307))</f>
        <v>Tre Mann</v>
      </c>
      <c r="Q326" s="94">
        <f>UpdateBBM!F307</f>
        <v>71</v>
      </c>
      <c r="R326" s="105" t="str">
        <f t="array" ref="R326">INDIRECT("Update"&amp;Projections!$AH$17&amp;"!D"&amp;ROW(B307))</f>
        <v>PG,SG</v>
      </c>
      <c r="S326" s="73">
        <f t="shared" si="14"/>
        <v>-5.671307853</v>
      </c>
      <c r="T326" s="73">
        <f>SUM(AE326:AM326)-IFERROR(IFS(Projections!$I$17,AN326,Projections!$J$17,AO326),"")</f>
        <v>-5.671307853</v>
      </c>
      <c r="U326" s="73">
        <f t="shared" si="15"/>
        <v>0</v>
      </c>
      <c r="V326" s="73">
        <f t="array" ref="V326">INDIRECT("Update"&amp;Projections!$AH$17&amp;"!M"&amp;ROW(B307))</f>
        <v>6.6</v>
      </c>
      <c r="W326" s="73">
        <f t="array" ref="W326">INDIRECT("Update"&amp;Projections!$AH$17&amp;"!L"&amp;ROW(B307))</f>
        <v>0.9</v>
      </c>
      <c r="X326" s="73">
        <f t="array" ref="X326">INDIRECT("Update"&amp;Projections!$AH$17&amp;"!N"&amp;ROW(B307))</f>
        <v>2.2</v>
      </c>
      <c r="Y326" s="73">
        <f t="array" ref="Y326">INDIRECT("Update"&amp;Projections!$AH$17&amp;"!O"&amp;ROW(B307))</f>
        <v>2.1</v>
      </c>
      <c r="Z326" s="73">
        <f t="array" ref="Z326">INDIRECT("Update"&amp;Projections!$AH$17&amp;"!P"&amp;ROW(B307))</f>
        <v>0.7</v>
      </c>
      <c r="AA326" s="73">
        <f t="array" ref="AA326">INDIRECT("Update"&amp;Projections!$AH$17&amp;"!Q"&amp;ROW(B307))</f>
        <v>0.1</v>
      </c>
      <c r="AB326" s="107">
        <f t="array" ref="AB326">INDIRECT("Update"&amp;Projections!$AH$17&amp;"!I"&amp;ROW(B307))</f>
        <v>0.419</v>
      </c>
      <c r="AC326" s="107">
        <f t="array" ref="AC326">INDIRECT("Update"&amp;Projections!$AH$17&amp;"!K"&amp;ROW(B307))</f>
        <v>0.771</v>
      </c>
      <c r="AD326" s="73">
        <f t="array" ref="AD326">INDIRECT("Update"&amp;Projections!$AH$17&amp;"!R"&amp;ROW(B307))</f>
        <v>0.9</v>
      </c>
      <c r="AE326" s="73">
        <f t="shared" si="16"/>
        <v>-1.963081691</v>
      </c>
      <c r="AF326" s="73">
        <f t="shared" si="17"/>
        <v>-0.8449678898</v>
      </c>
      <c r="AG326" s="73">
        <f t="shared" si="18"/>
        <v>-1.517618941</v>
      </c>
      <c r="AH326" s="73">
        <f t="shared" si="19"/>
        <v>-0.8364054809</v>
      </c>
      <c r="AI326" s="73">
        <f t="shared" si="20"/>
        <v>-0.9166617668</v>
      </c>
      <c r="AJ326" s="73">
        <f t="shared" si="21"/>
        <v>-1.150698449</v>
      </c>
      <c r="AK326" s="73">
        <f t="shared" si="22"/>
        <v>-0.5476581755</v>
      </c>
      <c r="AL326" s="73">
        <f t="shared" si="23"/>
        <v>-0.06775132142</v>
      </c>
      <c r="AM326" s="73">
        <f t="shared" si="24"/>
        <v>0.2104541717</v>
      </c>
      <c r="AN326" s="120">
        <f t="shared" si="25"/>
        <v>-1.963081691</v>
      </c>
      <c r="AO326" s="120">
        <f t="shared" si="26"/>
        <v>-3.480700633</v>
      </c>
      <c r="AP326" s="120">
        <f t="array" ref="AP326">INDIRECT("Update"&amp;Projections!$AH$17&amp;"!S"&amp;ROW(B307))</f>
        <v>6</v>
      </c>
      <c r="AQ326" s="120">
        <f t="array" ref="AQ326">INDIRECT("Update"&amp;Projections!$AH$17&amp;"!T"&amp;ROW(B307))</f>
        <v>0.8</v>
      </c>
      <c r="AR326" s="100">
        <f t="shared" si="27"/>
        <v>-5.929543953</v>
      </c>
    </row>
    <row r="327">
      <c r="A327" s="40" t="str">
        <f t="shared" si="3"/>
        <v>Jaxson Hayes</v>
      </c>
      <c r="B327" s="42">
        <f t="shared" si="4"/>
        <v>-2.252118523</v>
      </c>
      <c r="C327" s="43">
        <f t="shared" si="5"/>
        <v>-1.740686581</v>
      </c>
      <c r="D327" s="42">
        <f t="shared" si="6"/>
        <v>-1.12535523</v>
      </c>
      <c r="E327" s="42">
        <f t="shared" si="7"/>
        <v>-1.519832037</v>
      </c>
      <c r="F327" s="42">
        <f t="shared" si="8"/>
        <v>-1.580527123</v>
      </c>
      <c r="G327" s="42">
        <f t="shared" si="9"/>
        <v>-0.6155173428</v>
      </c>
      <c r="H327" s="42">
        <f t="shared" si="10"/>
        <v>0.5236143051</v>
      </c>
      <c r="I327" s="42">
        <f>UpdateHashtag!S325</f>
        <v>3.1</v>
      </c>
      <c r="J327" s="47">
        <f t="shared" si="11"/>
        <v>-0.6954313842</v>
      </c>
      <c r="K327" s="48">
        <f>UpdateHashtag!T325</f>
        <v>1.5</v>
      </c>
      <c r="L327" s="42">
        <f t="shared" si="12"/>
        <v>-1.040202395</v>
      </c>
      <c r="N327" s="100">
        <f t="shared" si="13"/>
        <v>315</v>
      </c>
      <c r="O327" s="94" t="str">
        <f t="array" ref="O327">INDIRECT("Update"&amp;Projections!$AH$17&amp;"!B"&amp;ROW(B308))</f>
        <v/>
      </c>
      <c r="P327" s="101" t="str">
        <f t="array" ref="P327">INDIRECT("Update"&amp;Projections!$AH$17&amp;"!C"&amp;ROW(B308))</f>
        <v>Davion Mitchell</v>
      </c>
      <c r="Q327" s="94">
        <f>UpdateBBM!F308</f>
        <v>43</v>
      </c>
      <c r="R327" s="105" t="str">
        <f t="array" ref="R327">INDIRECT("Update"&amp;Projections!$AH$17&amp;"!D"&amp;ROW(B308))</f>
        <v>PG,SG</v>
      </c>
      <c r="S327" s="73">
        <f t="shared" si="14"/>
        <v>-6.056252857</v>
      </c>
      <c r="T327" s="73">
        <f>SUM(AE327:AM327)-IFERROR(IFS(Projections!$I$17,AN327,Projections!$J$17,AO327),"")</f>
        <v>-6.056252857</v>
      </c>
      <c r="U327" s="73">
        <f t="shared" si="15"/>
        <v>0</v>
      </c>
      <c r="V327" s="73">
        <f t="array" ref="V327">INDIRECT("Update"&amp;Projections!$AH$17&amp;"!M"&amp;ROW(B308))</f>
        <v>6.6</v>
      </c>
      <c r="W327" s="73">
        <f t="array" ref="W327">INDIRECT("Update"&amp;Projections!$AH$17&amp;"!L"&amp;ROW(B308))</f>
        <v>1</v>
      </c>
      <c r="X327" s="73">
        <f t="array" ref="X327">INDIRECT("Update"&amp;Projections!$AH$17&amp;"!N"&amp;ROW(B308))</f>
        <v>1.6</v>
      </c>
      <c r="Y327" s="73">
        <f t="array" ref="Y327">INDIRECT("Update"&amp;Projections!$AH$17&amp;"!O"&amp;ROW(B308))</f>
        <v>2.5</v>
      </c>
      <c r="Z327" s="73">
        <f t="array" ref="Z327">INDIRECT("Update"&amp;Projections!$AH$17&amp;"!P"&amp;ROW(B308))</f>
        <v>0.5</v>
      </c>
      <c r="AA327" s="73">
        <f t="array" ref="AA327">INDIRECT("Update"&amp;Projections!$AH$17&amp;"!Q"&amp;ROW(B308))</f>
        <v>0.1</v>
      </c>
      <c r="AB327" s="107">
        <f t="array" ref="AB327">INDIRECT("Update"&amp;Projections!$AH$17&amp;"!I"&amp;ROW(B308))</f>
        <v>0.453</v>
      </c>
      <c r="AC327" s="107">
        <f t="array" ref="AC327">INDIRECT("Update"&amp;Projections!$AH$17&amp;"!K"&amp;ROW(B308))</f>
        <v>0.741</v>
      </c>
      <c r="AD327" s="73">
        <f t="array" ref="AD327">INDIRECT("Update"&amp;Projections!$AH$17&amp;"!R"&amp;ROW(B308))</f>
        <v>0.8</v>
      </c>
      <c r="AE327" s="73">
        <f t="shared" si="16"/>
        <v>-1.963081691</v>
      </c>
      <c r="AF327" s="73">
        <f t="shared" si="17"/>
        <v>-0.7454435908</v>
      </c>
      <c r="AG327" s="73">
        <f t="shared" si="18"/>
        <v>-1.752977168</v>
      </c>
      <c r="AH327" s="73">
        <f t="shared" si="19"/>
        <v>-0.6541583992</v>
      </c>
      <c r="AI327" s="73">
        <f t="shared" si="20"/>
        <v>-1.580527123</v>
      </c>
      <c r="AJ327" s="73">
        <f t="shared" si="21"/>
        <v>-1.150698449</v>
      </c>
      <c r="AK327" s="73">
        <f t="shared" si="22"/>
        <v>-0.2931414896</v>
      </c>
      <c r="AL327" s="73">
        <f t="shared" si="23"/>
        <v>-0.1145590226</v>
      </c>
      <c r="AM327" s="73">
        <f t="shared" si="24"/>
        <v>0.2352523852</v>
      </c>
      <c r="AN327" s="120">
        <f t="shared" si="25"/>
        <v>-1.963081691</v>
      </c>
      <c r="AO327" s="120">
        <f t="shared" si="26"/>
        <v>-3.716058859</v>
      </c>
      <c r="AP327" s="120">
        <f t="array" ref="AP327">INDIRECT("Update"&amp;Projections!$AH$17&amp;"!S"&amp;ROW(B308))</f>
        <v>5.7</v>
      </c>
      <c r="AQ327" s="120">
        <f t="array" ref="AQ327">INDIRECT("Update"&amp;Projections!$AH$17&amp;"!T"&amp;ROW(B308))</f>
        <v>0.6</v>
      </c>
      <c r="AR327" s="100">
        <f t="shared" si="27"/>
        <v>-5.941944919</v>
      </c>
    </row>
    <row r="328">
      <c r="A328" s="40" t="str">
        <f t="shared" si="3"/>
        <v>Richaun Holmes</v>
      </c>
      <c r="B328" s="42">
        <f t="shared" si="4"/>
        <v>-2.270183325</v>
      </c>
      <c r="C328" s="43">
        <f t="shared" si="5"/>
        <v>-1.641162282</v>
      </c>
      <c r="D328" s="42">
        <f t="shared" si="6"/>
        <v>-0.850770632</v>
      </c>
      <c r="E328" s="42">
        <f t="shared" si="7"/>
        <v>-1.565393808</v>
      </c>
      <c r="F328" s="42">
        <f t="shared" si="8"/>
        <v>-2.576325158</v>
      </c>
      <c r="G328" s="42">
        <f t="shared" si="9"/>
        <v>-0.4371236408</v>
      </c>
      <c r="H328" s="42">
        <f t="shared" si="10"/>
        <v>0.3491592525</v>
      </c>
      <c r="I328" s="42">
        <f>UpdateHashtag!S326</f>
        <v>3.5</v>
      </c>
      <c r="J328" s="47">
        <f t="shared" si="11"/>
        <v>-0.1696831939</v>
      </c>
      <c r="K328" s="48">
        <f>UpdateHashtag!T326</f>
        <v>1</v>
      </c>
      <c r="L328" s="42">
        <f t="shared" si="12"/>
        <v>-1.139395249</v>
      </c>
      <c r="N328" s="100">
        <f t="shared" si="13"/>
        <v>289</v>
      </c>
      <c r="O328" s="94" t="str">
        <f t="array" ref="O328">INDIRECT("Update"&amp;Projections!$AH$17&amp;"!B"&amp;ROW(B309))</f>
        <v/>
      </c>
      <c r="P328" s="101" t="str">
        <f t="array" ref="P328">INDIRECT("Update"&amp;Projections!$AH$17&amp;"!C"&amp;ROW(B309))</f>
        <v>Josh Okogie</v>
      </c>
      <c r="Q328" s="94">
        <f>UpdateBBM!F309</f>
        <v>50</v>
      </c>
      <c r="R328" s="105" t="str">
        <f t="array" ref="R328">INDIRECT("Update"&amp;Projections!$AH$17&amp;"!D"&amp;ROW(B309))</f>
        <v>SG,SF</v>
      </c>
      <c r="S328" s="73">
        <f t="shared" si="14"/>
        <v>-5.467421133</v>
      </c>
      <c r="T328" s="73">
        <f>SUM(AE328:AM328)-IFERROR(IFS(Projections!$I$17,AN328,Projections!$J$17,AO328),"")</f>
        <v>-5.467421133</v>
      </c>
      <c r="U328" s="73">
        <f t="shared" si="15"/>
        <v>0</v>
      </c>
      <c r="V328" s="73">
        <f t="array" ref="V328">INDIRECT("Update"&amp;Projections!$AH$17&amp;"!M"&amp;ROW(B309))</f>
        <v>5.8</v>
      </c>
      <c r="W328" s="73">
        <f t="array" ref="W328">INDIRECT("Update"&amp;Projections!$AH$17&amp;"!L"&amp;ROW(B309))</f>
        <v>0.7</v>
      </c>
      <c r="X328" s="73">
        <f t="array" ref="X328">INDIRECT("Update"&amp;Projections!$AH$17&amp;"!N"&amp;ROW(B309))</f>
        <v>2.9</v>
      </c>
      <c r="Y328" s="73">
        <f t="array" ref="Y328">INDIRECT("Update"&amp;Projections!$AH$17&amp;"!O"&amp;ROW(B309))</f>
        <v>1.2</v>
      </c>
      <c r="Z328" s="73">
        <f t="array" ref="Z328">INDIRECT("Update"&amp;Projections!$AH$17&amp;"!P"&amp;ROW(B309))</f>
        <v>0.8</v>
      </c>
      <c r="AA328" s="73">
        <f t="array" ref="AA328">INDIRECT("Update"&amp;Projections!$AH$17&amp;"!Q"&amp;ROW(B309))</f>
        <v>0.4</v>
      </c>
      <c r="AB328" s="107">
        <f t="array" ref="AB328">INDIRECT("Update"&amp;Projections!$AH$17&amp;"!I"&amp;ROW(B309))</f>
        <v>0.4</v>
      </c>
      <c r="AC328" s="107">
        <f t="array" ref="AC328">INDIRECT("Update"&amp;Projections!$AH$17&amp;"!K"&amp;ROW(B309))</f>
        <v>0.73</v>
      </c>
      <c r="AD328" s="73">
        <f t="array" ref="AD328">INDIRECT("Update"&amp;Projections!$AH$17&amp;"!R"&amp;ROW(B309))</f>
        <v>0.7</v>
      </c>
      <c r="AE328" s="73">
        <f t="shared" si="16"/>
        <v>-2.107600107</v>
      </c>
      <c r="AF328" s="73">
        <f t="shared" si="17"/>
        <v>-1.044016488</v>
      </c>
      <c r="AG328" s="73">
        <f t="shared" si="18"/>
        <v>-1.243034343</v>
      </c>
      <c r="AH328" s="73">
        <f t="shared" si="19"/>
        <v>-1.246461415</v>
      </c>
      <c r="AI328" s="73">
        <f t="shared" si="20"/>
        <v>-0.5847290887</v>
      </c>
      <c r="AJ328" s="73">
        <f t="shared" si="21"/>
        <v>-0.6155173428</v>
      </c>
      <c r="AK328" s="73">
        <f t="shared" si="22"/>
        <v>-0.5109497098</v>
      </c>
      <c r="AL328" s="73">
        <f t="shared" si="23"/>
        <v>-0.4827633448</v>
      </c>
      <c r="AM328" s="73">
        <f t="shared" si="24"/>
        <v>0.2600505987</v>
      </c>
      <c r="AN328" s="120">
        <f t="shared" si="25"/>
        <v>-2.107600107</v>
      </c>
      <c r="AO328" s="120">
        <f t="shared" si="26"/>
        <v>-3.354061522</v>
      </c>
      <c r="AP328" s="120">
        <f t="array" ref="AP328">INDIRECT("Update"&amp;Projections!$AH$17&amp;"!S"&amp;ROW(B309))</f>
        <v>4.5</v>
      </c>
      <c r="AQ328" s="120">
        <f t="array" ref="AQ328">INDIRECT("Update"&amp;Projections!$AH$17&amp;"!T"&amp;ROW(B309))</f>
        <v>2.1</v>
      </c>
      <c r="AR328" s="100">
        <f t="shared" si="27"/>
        <v>-5.9742009</v>
      </c>
    </row>
    <row r="329">
      <c r="A329" s="40" t="str">
        <f t="shared" si="3"/>
        <v>Jock Landale</v>
      </c>
      <c r="B329" s="42">
        <f t="shared" si="4"/>
        <v>-2.197924117</v>
      </c>
      <c r="C329" s="43">
        <f t="shared" si="5"/>
        <v>-1.541637983</v>
      </c>
      <c r="D329" s="42">
        <f t="shared" si="6"/>
        <v>-1.086128859</v>
      </c>
      <c r="E329" s="42">
        <f t="shared" si="7"/>
        <v>-1.337584956</v>
      </c>
      <c r="F329" s="42">
        <f t="shared" si="8"/>
        <v>-2.244392479</v>
      </c>
      <c r="G329" s="42">
        <f t="shared" si="9"/>
        <v>-0.4371236408</v>
      </c>
      <c r="H329" s="42">
        <f t="shared" si="10"/>
        <v>0.1193857567</v>
      </c>
      <c r="I329" s="42">
        <f>UpdateHashtag!S327</f>
        <v>3.9</v>
      </c>
      <c r="J329" s="47">
        <f t="shared" si="11"/>
        <v>-0.1058766842</v>
      </c>
      <c r="K329" s="48">
        <f>UpdateHashtag!T327</f>
        <v>1.2</v>
      </c>
      <c r="L329" s="42">
        <f t="shared" si="12"/>
        <v>-1.040202395</v>
      </c>
      <c r="N329" s="100">
        <f t="shared" si="13"/>
        <v>281</v>
      </c>
      <c r="O329" s="94" t="str">
        <f t="array" ref="O329">INDIRECT("Update"&amp;Projections!$AH$17&amp;"!B"&amp;ROW(B310))</f>
        <v/>
      </c>
      <c r="P329" s="101" t="str">
        <f t="array" ref="P329">INDIRECT("Update"&amp;Projections!$AH$17&amp;"!C"&amp;ROW(B310))</f>
        <v>Jaden Springer</v>
      </c>
      <c r="Q329" s="94">
        <f>UpdateBBM!F310</f>
        <v>43</v>
      </c>
      <c r="R329" s="105" t="str">
        <f t="array" ref="R329">INDIRECT("Update"&amp;Projections!$AH$17&amp;"!D"&amp;ROW(B310))</f>
        <v>SG</v>
      </c>
      <c r="S329" s="73">
        <f t="shared" si="14"/>
        <v>-5.259701255</v>
      </c>
      <c r="T329" s="73">
        <f>SUM(AE329:AM329)-IFERROR(IFS(Projections!$I$17,AN329,Projections!$J$17,AO329),"")</f>
        <v>-5.259701255</v>
      </c>
      <c r="U329" s="73">
        <f t="shared" si="15"/>
        <v>0</v>
      </c>
      <c r="V329" s="73">
        <f t="array" ref="V329">INDIRECT("Update"&amp;Projections!$AH$17&amp;"!M"&amp;ROW(B310))</f>
        <v>4.2</v>
      </c>
      <c r="W329" s="73">
        <f t="array" ref="W329">INDIRECT("Update"&amp;Projections!$AH$17&amp;"!L"&amp;ROW(B310))</f>
        <v>0.3</v>
      </c>
      <c r="X329" s="73">
        <f t="array" ref="X329">INDIRECT("Update"&amp;Projections!$AH$17&amp;"!N"&amp;ROW(B310))</f>
        <v>1.9</v>
      </c>
      <c r="Y329" s="73">
        <f t="array" ref="Y329">INDIRECT("Update"&amp;Projections!$AH$17&amp;"!O"&amp;ROW(B310))</f>
        <v>1.1</v>
      </c>
      <c r="Z329" s="73">
        <f t="array" ref="Z329">INDIRECT("Update"&amp;Projections!$AH$17&amp;"!P"&amp;ROW(B310))</f>
        <v>0.9</v>
      </c>
      <c r="AA329" s="73">
        <f t="array" ref="AA329">INDIRECT("Update"&amp;Projections!$AH$17&amp;"!Q"&amp;ROW(B310))</f>
        <v>0.4</v>
      </c>
      <c r="AB329" s="107">
        <f t="array" ref="AB329">INDIRECT("Update"&amp;Projections!$AH$17&amp;"!I"&amp;ROW(B310))</f>
        <v>0.416</v>
      </c>
      <c r="AC329" s="107">
        <f t="array" ref="AC329">INDIRECT("Update"&amp;Projections!$AH$17&amp;"!K"&amp;ROW(B310))</f>
        <v>0.824</v>
      </c>
      <c r="AD329" s="73">
        <f t="array" ref="AD329">INDIRECT("Update"&amp;Projections!$AH$17&amp;"!R"&amp;ROW(B310))</f>
        <v>0.8</v>
      </c>
      <c r="AE329" s="73">
        <f t="shared" si="16"/>
        <v>-2.396636939</v>
      </c>
      <c r="AF329" s="73">
        <f t="shared" si="17"/>
        <v>-1.442113684</v>
      </c>
      <c r="AG329" s="73">
        <f t="shared" si="18"/>
        <v>-1.635298055</v>
      </c>
      <c r="AH329" s="73">
        <f t="shared" si="19"/>
        <v>-1.292023185</v>
      </c>
      <c r="AI329" s="73">
        <f t="shared" si="20"/>
        <v>-0.2527964105</v>
      </c>
      <c r="AJ329" s="73">
        <f t="shared" si="21"/>
        <v>-0.6155173428</v>
      </c>
      <c r="AK329" s="73">
        <f t="shared" si="22"/>
        <v>-0.3602109882</v>
      </c>
      <c r="AL329" s="73">
        <f t="shared" si="23"/>
        <v>0.1030060245</v>
      </c>
      <c r="AM329" s="73">
        <f t="shared" si="24"/>
        <v>0.2352523852</v>
      </c>
      <c r="AN329" s="120">
        <f t="shared" si="25"/>
        <v>-2.396636939</v>
      </c>
      <c r="AO329" s="120">
        <f t="shared" si="26"/>
        <v>-4.031934993</v>
      </c>
      <c r="AP329" s="120">
        <f t="array" ref="AP329">INDIRECT("Update"&amp;Projections!$AH$17&amp;"!S"&amp;ROW(B310))</f>
        <v>3.8</v>
      </c>
      <c r="AQ329" s="120">
        <f t="array" ref="AQ329">INDIRECT("Update"&amp;Projections!$AH$17&amp;"!T"&amp;ROW(B310))</f>
        <v>1</v>
      </c>
      <c r="AR329" s="100">
        <f t="shared" si="27"/>
        <v>-5.981572872</v>
      </c>
    </row>
    <row r="330">
      <c r="A330" s="40" t="str">
        <f t="shared" si="3"/>
        <v>Craig Porter Jr.</v>
      </c>
      <c r="B330" s="42">
        <f t="shared" si="4"/>
        <v>-2.161794513</v>
      </c>
      <c r="C330" s="43">
        <f t="shared" si="5"/>
        <v>-1.541637983</v>
      </c>
      <c r="D330" s="42">
        <f t="shared" si="6"/>
        <v>-1.556845312</v>
      </c>
      <c r="E330" s="42">
        <f t="shared" si="7"/>
        <v>-0.74528194</v>
      </c>
      <c r="F330" s="42">
        <f t="shared" si="8"/>
        <v>-1.912459801</v>
      </c>
      <c r="G330" s="42">
        <f t="shared" si="9"/>
        <v>-0.7939110449</v>
      </c>
      <c r="H330" s="42">
        <f t="shared" si="10"/>
        <v>0.06249636662</v>
      </c>
      <c r="I330" s="42">
        <f>UpdateHashtag!S328</f>
        <v>4.4</v>
      </c>
      <c r="J330" s="47">
        <f t="shared" si="11"/>
        <v>-0.2489804775</v>
      </c>
      <c r="K330" s="48">
        <f>UpdateHashtag!T328</f>
        <v>1.1</v>
      </c>
      <c r="L330" s="42">
        <f t="shared" si="12"/>
        <v>-0.8418166868</v>
      </c>
      <c r="N330" s="100">
        <f t="shared" si="13"/>
        <v>324</v>
      </c>
      <c r="O330" s="94" t="str">
        <f t="array" ref="O330">INDIRECT("Update"&amp;Projections!$AH$17&amp;"!B"&amp;ROW(B311))</f>
        <v/>
      </c>
      <c r="P330" s="101" t="str">
        <f t="array" ref="P330">INDIRECT("Update"&amp;Projections!$AH$17&amp;"!C"&amp;ROW(B311))</f>
        <v>Bol Bol</v>
      </c>
      <c r="Q330" s="94">
        <f>UpdateBBM!F311</f>
        <v>66</v>
      </c>
      <c r="R330" s="105" t="str">
        <f t="array" ref="R330">INDIRECT("Update"&amp;Projections!$AH$17&amp;"!D"&amp;ROW(B311))</f>
        <v>PF,C</v>
      </c>
      <c r="S330" s="73">
        <f t="shared" si="14"/>
        <v>-6.238616745</v>
      </c>
      <c r="T330" s="73">
        <f>SUM(AE330:AM330)-IFERROR(IFS(Projections!$I$17,AN330,Projections!$J$17,AO330),"")</f>
        <v>-6.238616745</v>
      </c>
      <c r="U330" s="73">
        <f t="shared" si="15"/>
        <v>0</v>
      </c>
      <c r="V330" s="73">
        <f t="array" ref="V330">INDIRECT("Update"&amp;Projections!$AH$17&amp;"!M"&amp;ROW(B311))</f>
        <v>4.9</v>
      </c>
      <c r="W330" s="73">
        <f t="array" ref="W330">INDIRECT("Update"&amp;Projections!$AH$17&amp;"!L"&amp;ROW(B311))</f>
        <v>0.3</v>
      </c>
      <c r="X330" s="73">
        <f t="array" ref="X330">INDIRECT("Update"&amp;Projections!$AH$17&amp;"!N"&amp;ROW(B311))</f>
        <v>3.1</v>
      </c>
      <c r="Y330" s="73">
        <f t="array" ref="Y330">INDIRECT("Update"&amp;Projections!$AH$17&amp;"!O"&amp;ROW(B311))</f>
        <v>0.5</v>
      </c>
      <c r="Z330" s="73">
        <f t="array" ref="Z330">INDIRECT("Update"&amp;Projections!$AH$17&amp;"!P"&amp;ROW(B311))</f>
        <v>0.2</v>
      </c>
      <c r="AA330" s="73">
        <f t="array" ref="AA330">INDIRECT("Update"&amp;Projections!$AH$17&amp;"!Q"&amp;ROW(B311))</f>
        <v>0.6</v>
      </c>
      <c r="AB330" s="107">
        <f t="array" ref="AB330">INDIRECT("Update"&amp;Projections!$AH$17&amp;"!I"&amp;ROW(B311))</f>
        <v>0.563</v>
      </c>
      <c r="AC330" s="107">
        <f t="array" ref="AC330">INDIRECT("Update"&amp;Projections!$AH$17&amp;"!K"&amp;ROW(B311))</f>
        <v>0.764</v>
      </c>
      <c r="AD330" s="73">
        <f t="array" ref="AD330">INDIRECT("Update"&amp;Projections!$AH$17&amp;"!R"&amp;ROW(B311))</f>
        <v>0.7</v>
      </c>
      <c r="AE330" s="73">
        <f t="shared" si="16"/>
        <v>-2.270183325</v>
      </c>
      <c r="AF330" s="73">
        <f t="shared" si="17"/>
        <v>-1.442113684</v>
      </c>
      <c r="AG330" s="73">
        <f t="shared" si="18"/>
        <v>-1.164581601</v>
      </c>
      <c r="AH330" s="73">
        <f t="shared" si="19"/>
        <v>-1.565393808</v>
      </c>
      <c r="AI330" s="73">
        <f t="shared" si="20"/>
        <v>-2.576325158</v>
      </c>
      <c r="AJ330" s="73">
        <f t="shared" si="21"/>
        <v>-0.2587299387</v>
      </c>
      <c r="AK330" s="73">
        <f t="shared" si="22"/>
        <v>0.2789703686</v>
      </c>
      <c r="AL330" s="73">
        <f t="shared" si="23"/>
        <v>-0.07663535651</v>
      </c>
      <c r="AM330" s="73">
        <f t="shared" si="24"/>
        <v>0.2600505987</v>
      </c>
      <c r="AN330" s="120">
        <f t="shared" si="25"/>
        <v>-2.576325158</v>
      </c>
      <c r="AO330" s="120">
        <f t="shared" si="26"/>
        <v>-4.846508483</v>
      </c>
      <c r="AP330" s="120">
        <f t="array" ref="AP330">INDIRECT("Update"&amp;Projections!$AH$17&amp;"!S"&amp;ROW(B311))</f>
        <v>3.6</v>
      </c>
      <c r="AQ330" s="120">
        <f t="array" ref="AQ330">INDIRECT("Update"&amp;Projections!$AH$17&amp;"!T"&amp;ROW(B311))</f>
        <v>0.7</v>
      </c>
      <c r="AR330" s="100">
        <f t="shared" si="27"/>
        <v>-6.00766139</v>
      </c>
    </row>
    <row r="331">
      <c r="A331" s="40" t="str">
        <f t="shared" si="3"/>
        <v>Jordan Hawkins</v>
      </c>
      <c r="B331" s="42">
        <f t="shared" si="4"/>
        <v>-1.601785652</v>
      </c>
      <c r="C331" s="43">
        <f t="shared" si="5"/>
        <v>0.05075080149</v>
      </c>
      <c r="D331" s="42">
        <f t="shared" si="6"/>
        <v>-1.439166199</v>
      </c>
      <c r="E331" s="42">
        <f t="shared" si="7"/>
        <v>-1.246461415</v>
      </c>
      <c r="F331" s="42">
        <f t="shared" si="8"/>
        <v>-2.244392479</v>
      </c>
      <c r="G331" s="42">
        <f t="shared" si="9"/>
        <v>-1.150698449</v>
      </c>
      <c r="H331" s="42">
        <f t="shared" si="10"/>
        <v>-1.009802973</v>
      </c>
      <c r="I331" s="42">
        <f>UpdateHashtag!S329</f>
        <v>7.5</v>
      </c>
      <c r="J331" s="47">
        <f t="shared" si="11"/>
        <v>0.2075693351</v>
      </c>
      <c r="K331" s="48">
        <f>UpdateHashtag!T329</f>
        <v>1.3</v>
      </c>
      <c r="L331" s="42">
        <f t="shared" si="12"/>
        <v>-1.040202395</v>
      </c>
      <c r="N331" s="100">
        <f t="shared" si="13"/>
        <v>313</v>
      </c>
      <c r="O331" s="94" t="str">
        <f t="array" ref="O331">INDIRECT("Update"&amp;Projections!$AH$17&amp;"!B"&amp;ROW(B312))</f>
        <v/>
      </c>
      <c r="P331" s="101" t="str">
        <f t="array" ref="P331">INDIRECT("Update"&amp;Projections!$AH$17&amp;"!C"&amp;ROW(B312))</f>
        <v>Cameron Payne</v>
      </c>
      <c r="Q331" s="94">
        <f>UpdateBBM!F312</f>
        <v>66</v>
      </c>
      <c r="R331" s="105" t="str">
        <f t="array" ref="R331">INDIRECT("Update"&amp;Projections!$AH$17&amp;"!D"&amp;ROW(B312))</f>
        <v>PG,SG</v>
      </c>
      <c r="S331" s="73">
        <f t="shared" si="14"/>
        <v>-6.048100867</v>
      </c>
      <c r="T331" s="73">
        <f>SUM(AE331:AM331)-IFERROR(IFS(Projections!$I$17,AN331,Projections!$J$17,AO331),"")</f>
        <v>-6.048100867</v>
      </c>
      <c r="U331" s="73">
        <f t="shared" si="15"/>
        <v>0</v>
      </c>
      <c r="V331" s="73">
        <f t="array" ref="V331">INDIRECT("Update"&amp;Projections!$AH$17&amp;"!M"&amp;ROW(B312))</f>
        <v>6.7</v>
      </c>
      <c r="W331" s="73">
        <f t="array" ref="W331">INDIRECT("Update"&amp;Projections!$AH$17&amp;"!L"&amp;ROW(B312))</f>
        <v>1.1</v>
      </c>
      <c r="X331" s="73">
        <f t="array" ref="X331">INDIRECT("Update"&amp;Projections!$AH$17&amp;"!N"&amp;ROW(B312))</f>
        <v>1.4</v>
      </c>
      <c r="Y331" s="73">
        <f t="array" ref="Y331">INDIRECT("Update"&amp;Projections!$AH$17&amp;"!O"&amp;ROW(B312))</f>
        <v>2.6</v>
      </c>
      <c r="Z331" s="73">
        <f t="array" ref="Z331">INDIRECT("Update"&amp;Projections!$AH$17&amp;"!P"&amp;ROW(B312))</f>
        <v>0.5</v>
      </c>
      <c r="AA331" s="73">
        <f t="array" ref="AA331">INDIRECT("Update"&amp;Projections!$AH$17&amp;"!Q"&amp;ROW(B312))</f>
        <v>0.1</v>
      </c>
      <c r="AB331" s="107">
        <f t="array" ref="AB331">INDIRECT("Update"&amp;Projections!$AH$17&amp;"!I"&amp;ROW(B312))</f>
        <v>0.424</v>
      </c>
      <c r="AC331" s="107">
        <f t="array" ref="AC331">INDIRECT("Update"&amp;Projections!$AH$17&amp;"!K"&amp;ROW(B312))</f>
        <v>0.817</v>
      </c>
      <c r="AD331" s="73">
        <f t="array" ref="AD331">INDIRECT("Update"&amp;Projections!$AH$17&amp;"!R"&amp;ROW(B312))</f>
        <v>0.9</v>
      </c>
      <c r="AE331" s="73">
        <f t="shared" si="16"/>
        <v>-1.94501689</v>
      </c>
      <c r="AF331" s="73">
        <f t="shared" si="17"/>
        <v>-0.6459192917</v>
      </c>
      <c r="AG331" s="73">
        <f t="shared" si="18"/>
        <v>-1.83142991</v>
      </c>
      <c r="AH331" s="73">
        <f t="shared" si="19"/>
        <v>-0.6085966288</v>
      </c>
      <c r="AI331" s="73">
        <f t="shared" si="20"/>
        <v>-1.580527123</v>
      </c>
      <c r="AJ331" s="73">
        <f t="shared" si="21"/>
        <v>-1.150698449</v>
      </c>
      <c r="AK331" s="73">
        <f t="shared" si="22"/>
        <v>-0.5039565123</v>
      </c>
      <c r="AL331" s="73">
        <f t="shared" si="23"/>
        <v>0.06257287647</v>
      </c>
      <c r="AM331" s="73">
        <f t="shared" si="24"/>
        <v>0.2104541717</v>
      </c>
      <c r="AN331" s="120">
        <f t="shared" si="25"/>
        <v>-1.94501689</v>
      </c>
      <c r="AO331" s="120">
        <f t="shared" si="26"/>
        <v>-3.7764468</v>
      </c>
      <c r="AP331" s="120">
        <f t="array" ref="AP331">INDIRECT("Update"&amp;Projections!$AH$17&amp;"!S"&amp;ROW(B312))</f>
        <v>5.9</v>
      </c>
      <c r="AQ331" s="120">
        <f t="array" ref="AQ331">INDIRECT("Update"&amp;Projections!$AH$17&amp;"!T"&amp;ROW(B312))</f>
        <v>0.8</v>
      </c>
      <c r="AR331" s="100">
        <f t="shared" si="27"/>
        <v>-6.008511633</v>
      </c>
    </row>
    <row r="332">
      <c r="A332" s="40" t="str">
        <f t="shared" si="3"/>
        <v>Jabari Walker</v>
      </c>
      <c r="B332" s="42">
        <f t="shared" si="4"/>
        <v>-1.999211295</v>
      </c>
      <c r="C332" s="43">
        <f t="shared" si="5"/>
        <v>-1.342589385</v>
      </c>
      <c r="D332" s="42">
        <f t="shared" si="6"/>
        <v>-0.4977332919</v>
      </c>
      <c r="E332" s="42">
        <f t="shared" si="7"/>
        <v>-1.428708496</v>
      </c>
      <c r="F332" s="42">
        <f t="shared" si="8"/>
        <v>-1.912459801</v>
      </c>
      <c r="G332" s="42">
        <f t="shared" si="9"/>
        <v>-0.7939110449</v>
      </c>
      <c r="H332" s="42">
        <f t="shared" si="10"/>
        <v>-0.2974165763</v>
      </c>
      <c r="I332" s="42">
        <f>UpdateHashtag!S330</f>
        <v>5.3</v>
      </c>
      <c r="J332" s="47">
        <f t="shared" si="11"/>
        <v>-0.2431617628</v>
      </c>
      <c r="K332" s="48">
        <f>UpdateHashtag!T330</f>
        <v>1.6</v>
      </c>
      <c r="L332" s="42">
        <f t="shared" si="12"/>
        <v>-1.040202395</v>
      </c>
      <c r="N332" s="100">
        <f t="shared" si="13"/>
        <v>312</v>
      </c>
      <c r="O332" s="94" t="str">
        <f t="array" ref="O332">INDIRECT("Update"&amp;Projections!$AH$17&amp;"!B"&amp;ROW(B313))</f>
        <v/>
      </c>
      <c r="P332" s="101" t="str">
        <f t="array" ref="P332">INDIRECT("Update"&amp;Projections!$AH$17&amp;"!C"&amp;ROW(B313))</f>
        <v>Monte Morris</v>
      </c>
      <c r="Q332" s="94">
        <f>UpdateBBM!F313</f>
        <v>43</v>
      </c>
      <c r="R332" s="105" t="str">
        <f t="array" ref="R332">INDIRECT("Update"&amp;Projections!$AH$17&amp;"!D"&amp;ROW(B313))</f>
        <v>PG,SG</v>
      </c>
      <c r="S332" s="73">
        <f t="shared" si="14"/>
        <v>-6.02011777</v>
      </c>
      <c r="T332" s="73">
        <f>SUM(AE332:AM332)-IFERROR(IFS(Projections!$I$17,AN332,Projections!$J$17,AO332),"")</f>
        <v>-6.02011777</v>
      </c>
      <c r="U332" s="73">
        <f t="shared" si="15"/>
        <v>0</v>
      </c>
      <c r="V332" s="73">
        <f t="array" ref="V332">INDIRECT("Update"&amp;Projections!$AH$17&amp;"!M"&amp;ROW(B313))</f>
        <v>5.3</v>
      </c>
      <c r="W332" s="73">
        <f t="array" ref="W332">INDIRECT("Update"&amp;Projections!$AH$17&amp;"!L"&amp;ROW(B313))</f>
        <v>0.7</v>
      </c>
      <c r="X332" s="73">
        <f t="array" ref="X332">INDIRECT("Update"&amp;Projections!$AH$17&amp;"!N"&amp;ROW(B313))</f>
        <v>1.8</v>
      </c>
      <c r="Y332" s="73">
        <f t="array" ref="Y332">INDIRECT("Update"&amp;Projections!$AH$17&amp;"!O"&amp;ROW(B313))</f>
        <v>2.6</v>
      </c>
      <c r="Z332" s="73">
        <f t="array" ref="Z332">INDIRECT("Update"&amp;Projections!$AH$17&amp;"!P"&amp;ROW(B313))</f>
        <v>0.4</v>
      </c>
      <c r="AA332" s="73">
        <f t="array" ref="AA332">INDIRECT("Update"&amp;Projections!$AH$17&amp;"!Q"&amp;ROW(B313))</f>
        <v>0.2</v>
      </c>
      <c r="AB332" s="107">
        <f t="array" ref="AB332">INDIRECT("Update"&amp;Projections!$AH$17&amp;"!I"&amp;ROW(B313))</f>
        <v>0.463</v>
      </c>
      <c r="AC332" s="107">
        <f t="array" ref="AC332">INDIRECT("Update"&amp;Projections!$AH$17&amp;"!K"&amp;ROW(B313))</f>
        <v>0.81</v>
      </c>
      <c r="AD332" s="73">
        <f t="array" ref="AD332">INDIRECT("Update"&amp;Projections!$AH$17&amp;"!R"&amp;ROW(B313))</f>
        <v>0.4</v>
      </c>
      <c r="AE332" s="73">
        <f t="shared" si="16"/>
        <v>-2.197924117</v>
      </c>
      <c r="AF332" s="73">
        <f t="shared" si="17"/>
        <v>-1.044016488</v>
      </c>
      <c r="AG332" s="73">
        <f t="shared" si="18"/>
        <v>-1.674524426</v>
      </c>
      <c r="AH332" s="73">
        <f t="shared" si="19"/>
        <v>-0.6085966288</v>
      </c>
      <c r="AI332" s="73">
        <f t="shared" si="20"/>
        <v>-1.912459801</v>
      </c>
      <c r="AJ332" s="73">
        <f t="shared" si="21"/>
        <v>-0.9723047469</v>
      </c>
      <c r="AK332" s="73">
        <f t="shared" si="22"/>
        <v>-0.1747166184</v>
      </c>
      <c r="AL332" s="73">
        <f t="shared" si="23"/>
        <v>0.03205569999</v>
      </c>
      <c r="AM332" s="73">
        <f t="shared" si="24"/>
        <v>0.3344452391</v>
      </c>
      <c r="AN332" s="120">
        <f t="shared" si="25"/>
        <v>-2.197924117</v>
      </c>
      <c r="AO332" s="120">
        <f t="shared" si="26"/>
        <v>-4.110383918</v>
      </c>
      <c r="AP332" s="120">
        <f t="array" ref="AP332">INDIRECT("Update"&amp;Projections!$AH$17&amp;"!S"&amp;ROW(B313))</f>
        <v>4.4</v>
      </c>
      <c r="AQ332" s="120">
        <f t="array" ref="AQ332">INDIRECT("Update"&amp;Projections!$AH$17&amp;"!T"&amp;ROW(B313))</f>
        <v>0.6</v>
      </c>
      <c r="AR332" s="100">
        <f t="shared" si="27"/>
        <v>-6.02011777</v>
      </c>
    </row>
    <row r="333">
      <c r="A333" s="40" t="str">
        <f t="shared" si="3"/>
        <v>Vasilije Micic</v>
      </c>
      <c r="B333" s="42">
        <f t="shared" si="4"/>
        <v>-2.071470503</v>
      </c>
      <c r="C333" s="43">
        <f t="shared" si="5"/>
        <v>-1.143540787</v>
      </c>
      <c r="D333" s="42">
        <f t="shared" si="6"/>
        <v>-1.870656281</v>
      </c>
      <c r="E333" s="42">
        <f t="shared" si="7"/>
        <v>-0.1074171541</v>
      </c>
      <c r="F333" s="42">
        <f t="shared" si="8"/>
        <v>-1.912459801</v>
      </c>
      <c r="G333" s="42">
        <f t="shared" si="9"/>
        <v>-1.150698449</v>
      </c>
      <c r="H333" s="42">
        <f t="shared" si="10"/>
        <v>-0.4136930379</v>
      </c>
      <c r="I333" s="42">
        <f>UpdateHashtag!S331</f>
        <v>5.2</v>
      </c>
      <c r="J333" s="47">
        <f t="shared" si="11"/>
        <v>0.06266434357</v>
      </c>
      <c r="K333" s="48">
        <f>UpdateHashtag!T331</f>
        <v>1.1</v>
      </c>
      <c r="L333" s="42">
        <f t="shared" si="12"/>
        <v>-0.3458524173</v>
      </c>
      <c r="N333" s="100">
        <f t="shared" si="13"/>
        <v>321</v>
      </c>
      <c r="O333" s="94" t="str">
        <f t="array" ref="O333">INDIRECT("Update"&amp;Projections!$AH$17&amp;"!B"&amp;ROW(B314))</f>
        <v/>
      </c>
      <c r="P333" s="101" t="str">
        <f t="array" ref="P333">INDIRECT("Update"&amp;Projections!$AH$17&amp;"!C"&amp;ROW(B314))</f>
        <v>Amir Coffey</v>
      </c>
      <c r="Q333" s="94">
        <f>UpdateBBM!F314</f>
        <v>58</v>
      </c>
      <c r="R333" s="105" t="str">
        <f t="array" ref="R333">INDIRECT("Update"&amp;Projections!$AH$17&amp;"!D"&amp;ROW(B314))</f>
        <v>SF,PF</v>
      </c>
      <c r="S333" s="73">
        <f t="shared" si="14"/>
        <v>-6.142657583</v>
      </c>
      <c r="T333" s="73">
        <f>SUM(AE333:AM333)-IFERROR(IFS(Projections!$I$17,AN333,Projections!$J$17,AO333),"")</f>
        <v>-6.142657583</v>
      </c>
      <c r="U333" s="73">
        <f t="shared" si="15"/>
        <v>0</v>
      </c>
      <c r="V333" s="73">
        <f t="array" ref="V333">INDIRECT("Update"&amp;Projections!$AH$17&amp;"!M"&amp;ROW(B314))</f>
        <v>6.4</v>
      </c>
      <c r="W333" s="73">
        <f t="array" ref="W333">INDIRECT("Update"&amp;Projections!$AH$17&amp;"!L"&amp;ROW(B314))</f>
        <v>0.8</v>
      </c>
      <c r="X333" s="73">
        <f t="array" ref="X333">INDIRECT("Update"&amp;Projections!$AH$17&amp;"!N"&amp;ROW(B314))</f>
        <v>2</v>
      </c>
      <c r="Y333" s="73">
        <f t="array" ref="Y333">INDIRECT("Update"&amp;Projections!$AH$17&amp;"!O"&amp;ROW(B314))</f>
        <v>1.3</v>
      </c>
      <c r="Z333" s="73">
        <f t="array" ref="Z333">INDIRECT("Update"&amp;Projections!$AH$17&amp;"!P"&amp;ROW(B314))</f>
        <v>0.5</v>
      </c>
      <c r="AA333" s="73">
        <f t="array" ref="AA333">INDIRECT("Update"&amp;Projections!$AH$17&amp;"!Q"&amp;ROW(B314))</f>
        <v>0.2</v>
      </c>
      <c r="AB333" s="107">
        <f t="array" ref="AB333">INDIRECT("Update"&amp;Projections!$AH$17&amp;"!I"&amp;ROW(B314))</f>
        <v>0.447</v>
      </c>
      <c r="AC333" s="107">
        <f t="array" ref="AC333">INDIRECT("Update"&amp;Projections!$AH$17&amp;"!K"&amp;ROW(B314))</f>
        <v>0.822</v>
      </c>
      <c r="AD333" s="73">
        <f t="array" ref="AD333">INDIRECT("Update"&amp;Projections!$AH$17&amp;"!R"&amp;ROW(B314))</f>
        <v>0.5</v>
      </c>
      <c r="AE333" s="73">
        <f t="shared" si="16"/>
        <v>-1.999211295</v>
      </c>
      <c r="AF333" s="73">
        <f t="shared" si="17"/>
        <v>-0.9444921888</v>
      </c>
      <c r="AG333" s="73">
        <f t="shared" si="18"/>
        <v>-1.596071683</v>
      </c>
      <c r="AH333" s="73">
        <f t="shared" si="19"/>
        <v>-1.200899644</v>
      </c>
      <c r="AI333" s="73">
        <f t="shared" si="20"/>
        <v>-1.580527123</v>
      </c>
      <c r="AJ333" s="73">
        <f t="shared" si="21"/>
        <v>-0.9723047469</v>
      </c>
      <c r="AK333" s="73">
        <f t="shared" si="22"/>
        <v>-0.2923016849</v>
      </c>
      <c r="AL333" s="73">
        <f t="shared" si="23"/>
        <v>0.1342924628</v>
      </c>
      <c r="AM333" s="73">
        <f t="shared" si="24"/>
        <v>0.3096470256</v>
      </c>
      <c r="AN333" s="120">
        <f t="shared" si="25"/>
        <v>-1.999211295</v>
      </c>
      <c r="AO333" s="120">
        <f t="shared" si="26"/>
        <v>-3.595282979</v>
      </c>
      <c r="AP333" s="120">
        <f t="array" ref="AP333">INDIRECT("Update"&amp;Projections!$AH$17&amp;"!S"&amp;ROW(B314))</f>
        <v>5</v>
      </c>
      <c r="AQ333" s="120">
        <f t="array" ref="AQ333">INDIRECT("Update"&amp;Projections!$AH$17&amp;"!T"&amp;ROW(B314))</f>
        <v>1.4</v>
      </c>
      <c r="AR333" s="100">
        <f t="shared" si="27"/>
        <v>-6.048100867</v>
      </c>
    </row>
    <row r="334">
      <c r="A334" s="40" t="str">
        <f t="shared" si="3"/>
        <v>Kenrich Williams</v>
      </c>
      <c r="B334" s="42">
        <f t="shared" si="4"/>
        <v>-2.288248127</v>
      </c>
      <c r="C334" s="43">
        <f t="shared" si="5"/>
        <v>-1.044016488</v>
      </c>
      <c r="D334" s="42">
        <f t="shared" si="6"/>
        <v>-1.203807972</v>
      </c>
      <c r="E334" s="42">
        <f t="shared" si="7"/>
        <v>-1.200899644</v>
      </c>
      <c r="F334" s="42">
        <f t="shared" si="8"/>
        <v>-1.580527123</v>
      </c>
      <c r="G334" s="42">
        <f t="shared" si="9"/>
        <v>-0.9723047469</v>
      </c>
      <c r="H334" s="42">
        <f t="shared" si="10"/>
        <v>-0.00881717244</v>
      </c>
      <c r="I334" s="42">
        <f>UpdateHashtag!S332</f>
        <v>4</v>
      </c>
      <c r="J334" s="47">
        <f t="shared" si="11"/>
        <v>-0.3760071692</v>
      </c>
      <c r="K334" s="48">
        <f>UpdateHashtag!T332</f>
        <v>0.3</v>
      </c>
      <c r="L334" s="42">
        <f t="shared" si="12"/>
        <v>-1.337780956</v>
      </c>
      <c r="N334" s="100">
        <f t="shared" si="13"/>
        <v>300</v>
      </c>
      <c r="O334" s="94" t="str">
        <f t="array" ref="O334">INDIRECT("Update"&amp;Projections!$AH$17&amp;"!B"&amp;ROW(B315))</f>
        <v/>
      </c>
      <c r="P334" s="101" t="str">
        <f t="array" ref="P334">INDIRECT("Update"&amp;Projections!$AH$17&amp;"!C"&amp;ROW(B315))</f>
        <v>Anthony Black</v>
      </c>
      <c r="Q334" s="94">
        <f>UpdateBBM!F315</f>
        <v>75</v>
      </c>
      <c r="R334" s="105" t="str">
        <f t="array" ref="R334">INDIRECT("Update"&amp;Projections!$AH$17&amp;"!D"&amp;ROW(B315))</f>
        <v>PG,SG</v>
      </c>
      <c r="S334" s="73">
        <f t="shared" si="14"/>
        <v>-5.780376616</v>
      </c>
      <c r="T334" s="73">
        <f>SUM(AE334:AM334)-IFERROR(IFS(Projections!$I$17,AN334,Projections!$J$17,AO334),"")</f>
        <v>-5.780376616</v>
      </c>
      <c r="U334" s="73">
        <f t="shared" si="15"/>
        <v>0</v>
      </c>
      <c r="V334" s="73">
        <f t="array" ref="V334">INDIRECT("Update"&amp;Projections!$AH$17&amp;"!M"&amp;ROW(B315))</f>
        <v>6.1</v>
      </c>
      <c r="W334" s="73">
        <f t="array" ref="W334">INDIRECT("Update"&amp;Projections!$AH$17&amp;"!L"&amp;ROW(B315))</f>
        <v>0.7</v>
      </c>
      <c r="X334" s="73">
        <f t="array" ref="X334">INDIRECT("Update"&amp;Projections!$AH$17&amp;"!N"&amp;ROW(B315))</f>
        <v>2.7</v>
      </c>
      <c r="Y334" s="73">
        <f t="array" ref="Y334">INDIRECT("Update"&amp;Projections!$AH$17&amp;"!O"&amp;ROW(B315))</f>
        <v>1.7</v>
      </c>
      <c r="Z334" s="73">
        <f t="array" ref="Z334">INDIRECT("Update"&amp;Projections!$AH$17&amp;"!P"&amp;ROW(B315))</f>
        <v>0.7</v>
      </c>
      <c r="AA334" s="73">
        <f t="array" ref="AA334">INDIRECT("Update"&amp;Projections!$AH$17&amp;"!Q"&amp;ROW(B315))</f>
        <v>0.4</v>
      </c>
      <c r="AB334" s="107">
        <f t="array" ref="AB334">INDIRECT("Update"&amp;Projections!$AH$17&amp;"!I"&amp;ROW(B315))</f>
        <v>0.466</v>
      </c>
      <c r="AC334" s="107">
        <f t="array" ref="AC334">INDIRECT("Update"&amp;Projections!$AH$17&amp;"!K"&amp;ROW(B315))</f>
        <v>0.634</v>
      </c>
      <c r="AD334" s="73">
        <f t="array" ref="AD334">INDIRECT("Update"&amp;Projections!$AH$17&amp;"!R"&amp;ROW(B315))</f>
        <v>1.1</v>
      </c>
      <c r="AE334" s="73">
        <f t="shared" si="16"/>
        <v>-2.053405701</v>
      </c>
      <c r="AF334" s="73">
        <f t="shared" si="17"/>
        <v>-1.044016488</v>
      </c>
      <c r="AG334" s="73">
        <f t="shared" si="18"/>
        <v>-1.321487086</v>
      </c>
      <c r="AH334" s="73">
        <f t="shared" si="19"/>
        <v>-1.018652563</v>
      </c>
      <c r="AI334" s="73">
        <f t="shared" si="20"/>
        <v>-0.9166617668</v>
      </c>
      <c r="AJ334" s="73">
        <f t="shared" si="21"/>
        <v>-0.6155173428</v>
      </c>
      <c r="AK334" s="73">
        <f t="shared" si="22"/>
        <v>-0.1701039022</v>
      </c>
      <c r="AL334" s="73">
        <f t="shared" si="23"/>
        <v>-0.8547952132</v>
      </c>
      <c r="AM334" s="73">
        <f t="shared" si="24"/>
        <v>0.1608577447</v>
      </c>
      <c r="AN334" s="120">
        <f t="shared" si="25"/>
        <v>-2.053405701</v>
      </c>
      <c r="AO334" s="120">
        <f t="shared" si="26"/>
        <v>-3.374892787</v>
      </c>
      <c r="AP334" s="120">
        <f t="array" ref="AP334">INDIRECT("Update"&amp;Projections!$AH$17&amp;"!S"&amp;ROW(B315))</f>
        <v>4.7</v>
      </c>
      <c r="AQ334" s="120">
        <f t="array" ref="AQ334">INDIRECT("Update"&amp;Projections!$AH$17&amp;"!T"&amp;ROW(B315))</f>
        <v>1.5</v>
      </c>
      <c r="AR334" s="100">
        <f t="shared" si="27"/>
        <v>-6.051935077</v>
      </c>
    </row>
    <row r="335">
      <c r="A335" s="40" t="str">
        <f t="shared" si="3"/>
        <v>Jordan McLaughlin</v>
      </c>
      <c r="B335" s="42">
        <f t="shared" si="4"/>
        <v>-2.541155354</v>
      </c>
      <c r="C335" s="43">
        <f t="shared" si="5"/>
        <v>-1.143540787</v>
      </c>
      <c r="D335" s="42">
        <f t="shared" si="6"/>
        <v>-1.870656281</v>
      </c>
      <c r="E335" s="42">
        <f t="shared" si="7"/>
        <v>-0.6997201696</v>
      </c>
      <c r="F335" s="42">
        <f t="shared" si="8"/>
        <v>-1.248594445</v>
      </c>
      <c r="G335" s="42">
        <f t="shared" si="9"/>
        <v>-1.150698449</v>
      </c>
      <c r="H335" s="42">
        <f t="shared" si="10"/>
        <v>-0.1388564951</v>
      </c>
      <c r="I335" s="42">
        <f>UpdateHashtag!S333</f>
        <v>2.7</v>
      </c>
      <c r="J335" s="47">
        <f t="shared" si="11"/>
        <v>-0.03178129869</v>
      </c>
      <c r="K335" s="48">
        <f>UpdateHashtag!T333</f>
        <v>0.3</v>
      </c>
      <c r="L335" s="42">
        <f t="shared" si="12"/>
        <v>-1.238588102</v>
      </c>
      <c r="N335" s="100">
        <f t="shared" si="13"/>
        <v>293</v>
      </c>
      <c r="O335" s="94" t="str">
        <f t="array" ref="O335">INDIRECT("Update"&amp;Projections!$AH$17&amp;"!B"&amp;ROW(B316))</f>
        <v/>
      </c>
      <c r="P335" s="101" t="str">
        <f t="array" ref="P335">INDIRECT("Update"&amp;Projections!$AH$17&amp;"!C"&amp;ROW(B316))</f>
        <v>Cam Reddish</v>
      </c>
      <c r="Q335" s="94">
        <f>UpdateBBM!F316</f>
        <v>54</v>
      </c>
      <c r="R335" s="105" t="str">
        <f t="array" ref="R335">INDIRECT("Update"&amp;Projections!$AH$17&amp;"!D"&amp;ROW(B316))</f>
        <v>SG,SF</v>
      </c>
      <c r="S335" s="73">
        <f t="shared" si="14"/>
        <v>-5.631160713</v>
      </c>
      <c r="T335" s="73">
        <f>SUM(AE335:AM335)-IFERROR(IFS(Projections!$I$17,AN335,Projections!$J$17,AO335),"")</f>
        <v>-5.631160713</v>
      </c>
      <c r="U335" s="73">
        <f t="shared" si="15"/>
        <v>0</v>
      </c>
      <c r="V335" s="73">
        <f t="array" ref="V335">INDIRECT("Update"&amp;Projections!$AH$17&amp;"!M"&amp;ROW(B316))</f>
        <v>5.8</v>
      </c>
      <c r="W335" s="73">
        <f t="array" ref="W335">INDIRECT("Update"&amp;Projections!$AH$17&amp;"!L"&amp;ROW(B316))</f>
        <v>0.7</v>
      </c>
      <c r="X335" s="73">
        <f t="array" ref="X335">INDIRECT("Update"&amp;Projections!$AH$17&amp;"!N"&amp;ROW(B316))</f>
        <v>1.7</v>
      </c>
      <c r="Y335" s="73">
        <f t="array" ref="Y335">INDIRECT("Update"&amp;Projections!$AH$17&amp;"!O"&amp;ROW(B316))</f>
        <v>0.9</v>
      </c>
      <c r="Z335" s="73">
        <f t="array" ref="Z335">INDIRECT("Update"&amp;Projections!$AH$17&amp;"!P"&amp;ROW(B316))</f>
        <v>0.8</v>
      </c>
      <c r="AA335" s="73">
        <f t="array" ref="AA335">INDIRECT("Update"&amp;Projections!$AH$17&amp;"!Q"&amp;ROW(B316))</f>
        <v>0.3</v>
      </c>
      <c r="AB335" s="107">
        <f t="array" ref="AB335">INDIRECT("Update"&amp;Projections!$AH$17&amp;"!I"&amp;ROW(B316))</f>
        <v>0.421</v>
      </c>
      <c r="AC335" s="107">
        <f t="array" ref="AC335">INDIRECT("Update"&amp;Projections!$AH$17&amp;"!K"&amp;ROW(B316))</f>
        <v>0.81</v>
      </c>
      <c r="AD335" s="73">
        <f t="array" ref="AD335">INDIRECT("Update"&amp;Projections!$AH$17&amp;"!R"&amp;ROW(B316))</f>
        <v>0.7</v>
      </c>
      <c r="AE335" s="73">
        <f t="shared" si="16"/>
        <v>-2.107600107</v>
      </c>
      <c r="AF335" s="73">
        <f t="shared" si="17"/>
        <v>-1.044016488</v>
      </c>
      <c r="AG335" s="73">
        <f t="shared" si="18"/>
        <v>-1.713750797</v>
      </c>
      <c r="AH335" s="73">
        <f t="shared" si="19"/>
        <v>-1.383146726</v>
      </c>
      <c r="AI335" s="73">
        <f t="shared" si="20"/>
        <v>-0.5847290887</v>
      </c>
      <c r="AJ335" s="73">
        <f t="shared" si="21"/>
        <v>-0.7939110449</v>
      </c>
      <c r="AK335" s="73">
        <f t="shared" si="22"/>
        <v>-0.4357685677</v>
      </c>
      <c r="AL335" s="73">
        <f t="shared" si="23"/>
        <v>0.06411139997</v>
      </c>
      <c r="AM335" s="73">
        <f t="shared" si="24"/>
        <v>0.2600505987</v>
      </c>
      <c r="AN335" s="120">
        <f t="shared" si="25"/>
        <v>-2.107600107</v>
      </c>
      <c r="AO335" s="120">
        <f t="shared" si="26"/>
        <v>-3.821350904</v>
      </c>
      <c r="AP335" s="120">
        <f t="array" ref="AP335">INDIRECT("Update"&amp;Projections!$AH$17&amp;"!S"&amp;ROW(B316))</f>
        <v>4.9</v>
      </c>
      <c r="AQ335" s="120">
        <f t="array" ref="AQ335">INDIRECT("Update"&amp;Projections!$AH$17&amp;"!T"&amp;ROW(B316))</f>
        <v>1.2</v>
      </c>
      <c r="AR335" s="100">
        <f t="shared" si="27"/>
        <v>-6.056252857</v>
      </c>
    </row>
    <row r="336">
      <c r="A336" s="40" t="str">
        <f t="shared" si="3"/>
        <v>Johnny Furphy</v>
      </c>
      <c r="B336" s="42">
        <f t="shared" si="4"/>
        <v>-2.234053721</v>
      </c>
      <c r="C336" s="43">
        <f t="shared" si="5"/>
        <v>-0.9444921888</v>
      </c>
      <c r="D336" s="42">
        <f t="shared" si="6"/>
        <v>-1.282260714</v>
      </c>
      <c r="E336" s="42">
        <f t="shared" si="7"/>
        <v>-1.519832037</v>
      </c>
      <c r="F336" s="42">
        <f t="shared" si="8"/>
        <v>-1.580527123</v>
      </c>
      <c r="G336" s="42">
        <f t="shared" si="9"/>
        <v>-0.9723047469</v>
      </c>
      <c r="H336" s="42">
        <f t="shared" si="10"/>
        <v>-0.1682651802</v>
      </c>
      <c r="I336" s="42">
        <f>UpdateHashtag!S334</f>
        <v>3.6</v>
      </c>
      <c r="J336" s="47">
        <f t="shared" si="11"/>
        <v>-0.1681446704</v>
      </c>
      <c r="K336" s="48">
        <f>UpdateHashtag!T334</f>
        <v>1.4</v>
      </c>
      <c r="L336" s="42">
        <f t="shared" si="12"/>
        <v>-1.238588102</v>
      </c>
      <c r="N336" s="100">
        <f t="shared" si="13"/>
        <v>303</v>
      </c>
      <c r="O336" s="94" t="str">
        <f t="array" ref="O336">INDIRECT("Update"&amp;Projections!$AH$17&amp;"!B"&amp;ROW(B317))</f>
        <v/>
      </c>
      <c r="P336" s="101" t="str">
        <f t="array" ref="P336">INDIRECT("Update"&amp;Projections!$AH$17&amp;"!C"&amp;ROW(B317))</f>
        <v>Sam Merrill</v>
      </c>
      <c r="Q336" s="94">
        <f>UpdateBBM!F317</f>
        <v>66</v>
      </c>
      <c r="R336" s="105" t="str">
        <f t="array" ref="R336">INDIRECT("Update"&amp;Projections!$AH$17&amp;"!D"&amp;ROW(B317))</f>
        <v>SG</v>
      </c>
      <c r="S336" s="73">
        <f t="shared" si="14"/>
        <v>-5.84682795</v>
      </c>
      <c r="T336" s="73">
        <f>SUM(AE336:AM336)-IFERROR(IFS(Projections!$I$17,AN336,Projections!$J$17,AO336),"")</f>
        <v>-5.84682795</v>
      </c>
      <c r="U336" s="73">
        <f t="shared" si="15"/>
        <v>0</v>
      </c>
      <c r="V336" s="73">
        <f t="array" ref="V336">INDIRECT("Update"&amp;Projections!$AH$17&amp;"!M"&amp;ROW(B317))</f>
        <v>6.6</v>
      </c>
      <c r="W336" s="73">
        <f t="array" ref="W336">INDIRECT("Update"&amp;Projections!$AH$17&amp;"!L"&amp;ROW(B317))</f>
        <v>1.9</v>
      </c>
      <c r="X336" s="73">
        <f t="array" ref="X336">INDIRECT("Update"&amp;Projections!$AH$17&amp;"!N"&amp;ROW(B317))</f>
        <v>1.7</v>
      </c>
      <c r="Y336" s="73">
        <f t="array" ref="Y336">INDIRECT("Update"&amp;Projections!$AH$17&amp;"!O"&amp;ROW(B317))</f>
        <v>1.5</v>
      </c>
      <c r="Z336" s="73">
        <f t="array" ref="Z336">INDIRECT("Update"&amp;Projections!$AH$17&amp;"!P"&amp;ROW(B317))</f>
        <v>0.3</v>
      </c>
      <c r="AA336" s="73">
        <f t="array" ref="AA336">INDIRECT("Update"&amp;Projections!$AH$17&amp;"!Q"&amp;ROW(B317))</f>
        <v>0.1</v>
      </c>
      <c r="AB336" s="107">
        <f t="array" ref="AB336">INDIRECT("Update"&amp;Projections!$AH$17&amp;"!I"&amp;ROW(B317))</f>
        <v>0.402</v>
      </c>
      <c r="AC336" s="107">
        <f t="array" ref="AC336">INDIRECT("Update"&amp;Projections!$AH$17&amp;"!K"&amp;ROW(B317))</f>
        <v>0.923</v>
      </c>
      <c r="AD336" s="73">
        <f t="array" ref="AD336">INDIRECT("Update"&amp;Projections!$AH$17&amp;"!R"&amp;ROW(B317))</f>
        <v>0.3</v>
      </c>
      <c r="AE336" s="73">
        <f t="shared" si="16"/>
        <v>-1.963081691</v>
      </c>
      <c r="AF336" s="73">
        <f t="shared" si="17"/>
        <v>0.1502751005</v>
      </c>
      <c r="AG336" s="73">
        <f t="shared" si="18"/>
        <v>-1.713750797</v>
      </c>
      <c r="AH336" s="73">
        <f t="shared" si="19"/>
        <v>-1.109776103</v>
      </c>
      <c r="AI336" s="73">
        <f t="shared" si="20"/>
        <v>-2.244392479</v>
      </c>
      <c r="AJ336" s="73">
        <f t="shared" si="21"/>
        <v>-1.150698449</v>
      </c>
      <c r="AK336" s="73">
        <f t="shared" si="22"/>
        <v>-0.6004820418</v>
      </c>
      <c r="AL336" s="73">
        <f t="shared" si="23"/>
        <v>0.1814425793</v>
      </c>
      <c r="AM336" s="73">
        <f t="shared" si="24"/>
        <v>0.3592434526</v>
      </c>
      <c r="AN336" s="120">
        <f t="shared" si="25"/>
        <v>-2.244392479</v>
      </c>
      <c r="AO336" s="120">
        <f t="shared" si="26"/>
        <v>-4.207474171</v>
      </c>
      <c r="AP336" s="120">
        <f t="array" ref="AP336">INDIRECT("Update"&amp;Projections!$AH$17&amp;"!S"&amp;ROW(B317))</f>
        <v>5.4</v>
      </c>
      <c r="AQ336" s="120">
        <f t="array" ref="AQ336">INDIRECT("Update"&amp;Projections!$AH$17&amp;"!T"&amp;ROW(B317))</f>
        <v>0.4</v>
      </c>
      <c r="AR336" s="100">
        <f t="shared" si="27"/>
        <v>-6.077246477</v>
      </c>
    </row>
    <row r="337">
      <c r="A337" s="40" t="str">
        <f t="shared" si="3"/>
        <v>Ben Sheppard</v>
      </c>
      <c r="B337" s="42">
        <f t="shared" si="4"/>
        <v>-2.234053721</v>
      </c>
      <c r="C337" s="43">
        <f t="shared" si="5"/>
        <v>-0.7454435908</v>
      </c>
      <c r="D337" s="42">
        <f t="shared" si="6"/>
        <v>-1.674524426</v>
      </c>
      <c r="E337" s="42">
        <f t="shared" si="7"/>
        <v>-1.292023185</v>
      </c>
      <c r="F337" s="42">
        <f t="shared" si="8"/>
        <v>-0.9166617668</v>
      </c>
      <c r="G337" s="42">
        <f t="shared" si="9"/>
        <v>-1.329092151</v>
      </c>
      <c r="H337" s="42">
        <f t="shared" si="10"/>
        <v>-0.5722174158</v>
      </c>
      <c r="I337" s="42">
        <f>UpdateHashtag!S335</f>
        <v>4.7</v>
      </c>
      <c r="J337" s="47">
        <f t="shared" si="11"/>
        <v>0.1630576925</v>
      </c>
      <c r="K337" s="48">
        <f>UpdateHashtag!T335</f>
        <v>0.5</v>
      </c>
      <c r="L337" s="42">
        <f t="shared" si="12"/>
        <v>-1.43697381</v>
      </c>
      <c r="N337" s="100">
        <f t="shared" si="13"/>
        <v>319</v>
      </c>
      <c r="O337" s="94" t="str">
        <f t="array" ref="O337">INDIRECT("Update"&amp;Projections!$AH$17&amp;"!B"&amp;ROW(B318))</f>
        <v/>
      </c>
      <c r="P337" s="101" t="str">
        <f t="array" ref="P337">INDIRECT("Update"&amp;Projections!$AH$17&amp;"!C"&amp;ROW(B318))</f>
        <v>Ochai Agbaji</v>
      </c>
      <c r="Q337" s="94">
        <f>UpdateBBM!F318</f>
        <v>43</v>
      </c>
      <c r="R337" s="105" t="str">
        <f t="array" ref="R337">INDIRECT("Update"&amp;Projections!$AH$17&amp;"!D"&amp;ROW(B318))</f>
        <v>SG,SF</v>
      </c>
      <c r="S337" s="73">
        <f t="shared" si="14"/>
        <v>-6.10560374</v>
      </c>
      <c r="T337" s="73">
        <f>SUM(AE337:AM337)-IFERROR(IFS(Projections!$I$17,AN337,Projections!$J$17,AO337),"")</f>
        <v>-6.10560374</v>
      </c>
      <c r="U337" s="73">
        <f t="shared" si="15"/>
        <v>0</v>
      </c>
      <c r="V337" s="73">
        <f t="array" ref="V337">INDIRECT("Update"&amp;Projections!$AH$17&amp;"!M"&amp;ROW(B318))</f>
        <v>6.7</v>
      </c>
      <c r="W337" s="73">
        <f t="array" ref="W337">INDIRECT("Update"&amp;Projections!$AH$17&amp;"!L"&amp;ROW(B318))</f>
        <v>1</v>
      </c>
      <c r="X337" s="73">
        <f t="array" ref="X337">INDIRECT("Update"&amp;Projections!$AH$17&amp;"!N"&amp;ROW(B318))</f>
        <v>2.5</v>
      </c>
      <c r="Y337" s="73">
        <f t="array" ref="Y337">INDIRECT("Update"&amp;Projections!$AH$17&amp;"!O"&amp;ROW(B318))</f>
        <v>1.1</v>
      </c>
      <c r="Z337" s="73">
        <f t="array" ref="Z337">INDIRECT("Update"&amp;Projections!$AH$17&amp;"!P"&amp;ROW(B318))</f>
        <v>0.5</v>
      </c>
      <c r="AA337" s="73">
        <f t="array" ref="AA337">INDIRECT("Update"&amp;Projections!$AH$17&amp;"!Q"&amp;ROW(B318))</f>
        <v>0.4</v>
      </c>
      <c r="AB337" s="107">
        <f t="array" ref="AB337">INDIRECT("Update"&amp;Projections!$AH$17&amp;"!I"&amp;ROW(B318))</f>
        <v>0.418</v>
      </c>
      <c r="AC337" s="107">
        <f t="array" ref="AC337">INDIRECT("Update"&amp;Projections!$AH$17&amp;"!K"&amp;ROW(B318))</f>
        <v>0.747</v>
      </c>
      <c r="AD337" s="73">
        <f t="array" ref="AD337">INDIRECT("Update"&amp;Projections!$AH$17&amp;"!R"&amp;ROW(B318))</f>
        <v>0.8</v>
      </c>
      <c r="AE337" s="73">
        <f t="shared" si="16"/>
        <v>-1.94501689</v>
      </c>
      <c r="AF337" s="73">
        <f t="shared" si="17"/>
        <v>-0.7454435908</v>
      </c>
      <c r="AG337" s="73">
        <f t="shared" si="18"/>
        <v>-1.399939828</v>
      </c>
      <c r="AH337" s="73">
        <f t="shared" si="19"/>
        <v>-1.292023185</v>
      </c>
      <c r="AI337" s="73">
        <f t="shared" si="20"/>
        <v>-1.580527123</v>
      </c>
      <c r="AJ337" s="73">
        <f t="shared" si="21"/>
        <v>-0.6155173428</v>
      </c>
      <c r="AK337" s="73">
        <f t="shared" si="22"/>
        <v>-0.554690181</v>
      </c>
      <c r="AL337" s="73">
        <f t="shared" si="23"/>
        <v>-0.1527148745</v>
      </c>
      <c r="AM337" s="73">
        <f t="shared" si="24"/>
        <v>0.2352523852</v>
      </c>
      <c r="AN337" s="120">
        <f t="shared" si="25"/>
        <v>-1.94501689</v>
      </c>
      <c r="AO337" s="120">
        <f t="shared" si="26"/>
        <v>-3.525544013</v>
      </c>
      <c r="AP337" s="120">
        <f t="array" ref="AP337">INDIRECT("Update"&amp;Projections!$AH$17&amp;"!S"&amp;ROW(B318))</f>
        <v>6</v>
      </c>
      <c r="AQ337" s="120">
        <f t="array" ref="AQ337">INDIRECT("Update"&amp;Projections!$AH$17&amp;"!T"&amp;ROW(B318))</f>
        <v>0.9</v>
      </c>
      <c r="AR337" s="100">
        <f t="shared" si="27"/>
        <v>-6.088404434</v>
      </c>
    </row>
    <row r="338">
      <c r="A338" s="40" t="str">
        <f t="shared" si="3"/>
        <v>Kenyon Martin Jr.</v>
      </c>
      <c r="B338" s="42">
        <f t="shared" si="4"/>
        <v>-1.94501689</v>
      </c>
      <c r="C338" s="43">
        <f t="shared" si="5"/>
        <v>-1.342589385</v>
      </c>
      <c r="D338" s="42">
        <f t="shared" si="6"/>
        <v>-1.164581601</v>
      </c>
      <c r="E338" s="42">
        <f t="shared" si="7"/>
        <v>-1.383146726</v>
      </c>
      <c r="F338" s="42">
        <f t="shared" si="8"/>
        <v>-2.244392479</v>
      </c>
      <c r="G338" s="42">
        <f t="shared" si="9"/>
        <v>-0.9723047469</v>
      </c>
      <c r="H338" s="42">
        <f t="shared" si="10"/>
        <v>0.366334887</v>
      </c>
      <c r="I338" s="42">
        <f>UpdateHashtag!S336</f>
        <v>4.8</v>
      </c>
      <c r="J338" s="47">
        <f t="shared" si="11"/>
        <v>-0.6837751925</v>
      </c>
      <c r="K338" s="48">
        <f>UpdateHashtag!T336</f>
        <v>1.4</v>
      </c>
      <c r="L338" s="42">
        <f t="shared" si="12"/>
        <v>-1.040202395</v>
      </c>
      <c r="N338" s="100">
        <f t="shared" si="13"/>
        <v>309</v>
      </c>
      <c r="O338" s="94" t="str">
        <f t="array" ref="O338">INDIRECT("Update"&amp;Projections!$AH$17&amp;"!B"&amp;ROW(B319))</f>
        <v/>
      </c>
      <c r="P338" s="101" t="str">
        <f t="array" ref="P338">INDIRECT("Update"&amp;Projections!$AH$17&amp;"!C"&amp;ROW(B319))</f>
        <v>Haywood Highsmith</v>
      </c>
      <c r="Q338" s="94">
        <f>UpdateBBM!F319</f>
        <v>71</v>
      </c>
      <c r="R338" s="105" t="str">
        <f t="array" ref="R338">INDIRECT("Update"&amp;Projections!$AH$17&amp;"!D"&amp;ROW(B319))</f>
        <v>SF,PF</v>
      </c>
      <c r="S338" s="73">
        <f t="shared" si="14"/>
        <v>-5.981572872</v>
      </c>
      <c r="T338" s="73">
        <f>SUM(AE338:AM338)-IFERROR(IFS(Projections!$I$17,AN338,Projections!$J$17,AO338),"")</f>
        <v>-5.981572872</v>
      </c>
      <c r="U338" s="73">
        <f t="shared" si="15"/>
        <v>0</v>
      </c>
      <c r="V338" s="73">
        <f t="array" ref="V338">INDIRECT("Update"&amp;Projections!$AH$17&amp;"!M"&amp;ROW(B319))</f>
        <v>4.6</v>
      </c>
      <c r="W338" s="73">
        <f t="array" ref="W338">INDIRECT("Update"&amp;Projections!$AH$17&amp;"!L"&amp;ROW(B319))</f>
        <v>0.8</v>
      </c>
      <c r="X338" s="73">
        <f t="array" ref="X338">INDIRECT("Update"&amp;Projections!$AH$17&amp;"!N"&amp;ROW(B319))</f>
        <v>2.9</v>
      </c>
      <c r="Y338" s="73">
        <f t="array" ref="Y338">INDIRECT("Update"&amp;Projections!$AH$17&amp;"!O"&amp;ROW(B319))</f>
        <v>0.8</v>
      </c>
      <c r="Z338" s="73">
        <f t="array" ref="Z338">INDIRECT("Update"&amp;Projections!$AH$17&amp;"!P"&amp;ROW(B319))</f>
        <v>0.6</v>
      </c>
      <c r="AA338" s="73">
        <f t="array" ref="AA338">INDIRECT("Update"&amp;Projections!$AH$17&amp;"!Q"&amp;ROW(B319))</f>
        <v>0.3</v>
      </c>
      <c r="AB338" s="107">
        <f t="array" ref="AB338">INDIRECT("Update"&amp;Projections!$AH$17&amp;"!I"&amp;ROW(B319))</f>
        <v>0.453</v>
      </c>
      <c r="AC338" s="107">
        <f t="array" ref="AC338">INDIRECT("Update"&amp;Projections!$AH$17&amp;"!K"&amp;ROW(B319))</f>
        <v>0.565</v>
      </c>
      <c r="AD338" s="73">
        <f t="array" ref="AD338">INDIRECT("Update"&amp;Projections!$AH$17&amp;"!R"&amp;ROW(B319))</f>
        <v>0.6</v>
      </c>
      <c r="AE338" s="73">
        <f t="shared" si="16"/>
        <v>-2.324377731</v>
      </c>
      <c r="AF338" s="73">
        <f t="shared" si="17"/>
        <v>-0.9444921888</v>
      </c>
      <c r="AG338" s="73">
        <f t="shared" si="18"/>
        <v>-1.243034343</v>
      </c>
      <c r="AH338" s="73">
        <f t="shared" si="19"/>
        <v>-1.428708496</v>
      </c>
      <c r="AI338" s="73">
        <f t="shared" si="20"/>
        <v>-1.248594445</v>
      </c>
      <c r="AJ338" s="73">
        <f t="shared" si="21"/>
        <v>-0.7939110449</v>
      </c>
      <c r="AK338" s="73">
        <f t="shared" si="22"/>
        <v>-0.2005704929</v>
      </c>
      <c r="AL338" s="73">
        <f t="shared" si="23"/>
        <v>-0.4071106733</v>
      </c>
      <c r="AM338" s="73">
        <f t="shared" si="24"/>
        <v>0.2848488121</v>
      </c>
      <c r="AN338" s="120">
        <f t="shared" si="25"/>
        <v>-2.324377731</v>
      </c>
      <c r="AO338" s="120">
        <f t="shared" si="26"/>
        <v>-3.753086227</v>
      </c>
      <c r="AP338" s="120">
        <f t="array" ref="AP338">INDIRECT("Update"&amp;Projections!$AH$17&amp;"!S"&amp;ROW(B319))</f>
        <v>3.9</v>
      </c>
      <c r="AQ338" s="120">
        <f t="array" ref="AQ338">INDIRECT("Update"&amp;Projections!$AH$17&amp;"!T"&amp;ROW(B319))</f>
        <v>0.5</v>
      </c>
      <c r="AR338" s="100">
        <f t="shared" si="27"/>
        <v>-6.091434357</v>
      </c>
    </row>
    <row r="339">
      <c r="A339" s="40" t="str">
        <f t="shared" si="3"/>
        <v>Dwight Powell</v>
      </c>
      <c r="B339" s="42">
        <f t="shared" si="4"/>
        <v>-2.396636939</v>
      </c>
      <c r="C339" s="43">
        <f t="shared" si="5"/>
        <v>-1.740686581</v>
      </c>
      <c r="D339" s="42">
        <f t="shared" si="6"/>
        <v>-1.164581601</v>
      </c>
      <c r="E339" s="42">
        <f t="shared" si="7"/>
        <v>-1.383146726</v>
      </c>
      <c r="F339" s="42">
        <f t="shared" si="8"/>
        <v>-1.912459801</v>
      </c>
      <c r="G339" s="42">
        <f t="shared" si="9"/>
        <v>-0.7939110449</v>
      </c>
      <c r="H339" s="42">
        <f t="shared" si="10"/>
        <v>0.5727126056</v>
      </c>
      <c r="I339" s="42">
        <f>UpdateHashtag!S337</f>
        <v>2.2</v>
      </c>
      <c r="J339" s="47">
        <f t="shared" si="11"/>
        <v>-0.6210615974</v>
      </c>
      <c r="K339" s="48">
        <f>UpdateHashtag!T337</f>
        <v>1.5</v>
      </c>
      <c r="L339" s="42">
        <f t="shared" si="12"/>
        <v>-1.139395249</v>
      </c>
      <c r="N339" s="100">
        <f t="shared" si="13"/>
        <v>322</v>
      </c>
      <c r="O339" s="94" t="str">
        <f t="array" ref="O339">INDIRECT("Update"&amp;Projections!$AH$17&amp;"!B"&amp;ROW(B320))</f>
        <v/>
      </c>
      <c r="P339" s="101" t="str">
        <f t="array" ref="P339">INDIRECT("Update"&amp;Projections!$AH$17&amp;"!C"&amp;ROW(B320))</f>
        <v>Malaki Branham</v>
      </c>
      <c r="Q339" s="94">
        <f>UpdateBBM!F320</f>
        <v>46</v>
      </c>
      <c r="R339" s="105" t="str">
        <f t="array" ref="R339">INDIRECT("Update"&amp;Projections!$AH$17&amp;"!D"&amp;ROW(B320))</f>
        <v>PG,SG</v>
      </c>
      <c r="S339" s="73">
        <f t="shared" si="14"/>
        <v>-6.148131794</v>
      </c>
      <c r="T339" s="73">
        <f>SUM(AE339:AM339)-IFERROR(IFS(Projections!$I$17,AN339,Projections!$J$17,AO339),"")</f>
        <v>-6.148131794</v>
      </c>
      <c r="U339" s="73">
        <f t="shared" si="15"/>
        <v>0</v>
      </c>
      <c r="V339" s="73">
        <f t="array" ref="V339">INDIRECT("Update"&amp;Projections!$AH$17&amp;"!M"&amp;ROW(B320))</f>
        <v>8.6</v>
      </c>
      <c r="W339" s="73">
        <f t="array" ref="W339">INDIRECT("Update"&amp;Projections!$AH$17&amp;"!L"&amp;ROW(B320))</f>
        <v>1.1</v>
      </c>
      <c r="X339" s="73">
        <f t="array" ref="X339">INDIRECT("Update"&amp;Projections!$AH$17&amp;"!N"&amp;ROW(B320))</f>
        <v>2.1</v>
      </c>
      <c r="Y339" s="73">
        <f t="array" ref="Y339">INDIRECT("Update"&amp;Projections!$AH$17&amp;"!O"&amp;ROW(B320))</f>
        <v>1.8</v>
      </c>
      <c r="Z339" s="73">
        <f t="array" ref="Z339">INDIRECT("Update"&amp;Projections!$AH$17&amp;"!P"&amp;ROW(B320))</f>
        <v>0.4</v>
      </c>
      <c r="AA339" s="73">
        <f t="array" ref="AA339">INDIRECT("Update"&amp;Projections!$AH$17&amp;"!Q"&amp;ROW(B320))</f>
        <v>0.1</v>
      </c>
      <c r="AB339" s="107">
        <f t="array" ref="AB339">INDIRECT("Update"&amp;Projections!$AH$17&amp;"!I"&amp;ROW(B320))</f>
        <v>0.436</v>
      </c>
      <c r="AC339" s="107">
        <f t="array" ref="AC339">INDIRECT("Update"&amp;Projections!$AH$17&amp;"!K"&amp;ROW(B320))</f>
        <v>0.857</v>
      </c>
      <c r="AD339" s="73">
        <f t="array" ref="AD339">INDIRECT("Update"&amp;Projections!$AH$17&amp;"!R"&amp;ROW(B320))</f>
        <v>1.1</v>
      </c>
      <c r="AE339" s="73">
        <f t="shared" si="16"/>
        <v>-1.601785652</v>
      </c>
      <c r="AF339" s="73">
        <f t="shared" si="17"/>
        <v>-0.6459192917</v>
      </c>
      <c r="AG339" s="73">
        <f t="shared" si="18"/>
        <v>-1.556845312</v>
      </c>
      <c r="AH339" s="73">
        <f t="shared" si="19"/>
        <v>-0.9730907921</v>
      </c>
      <c r="AI339" s="73">
        <f t="shared" si="20"/>
        <v>-1.912459801</v>
      </c>
      <c r="AJ339" s="73">
        <f t="shared" si="21"/>
        <v>-1.150698449</v>
      </c>
      <c r="AK339" s="73">
        <f t="shared" si="22"/>
        <v>-0.5565483069</v>
      </c>
      <c r="AL339" s="73">
        <f t="shared" si="23"/>
        <v>0.1758982659</v>
      </c>
      <c r="AM339" s="73">
        <f t="shared" si="24"/>
        <v>0.1608577447</v>
      </c>
      <c r="AN339" s="120">
        <f t="shared" si="25"/>
        <v>-1.912459801</v>
      </c>
      <c r="AO339" s="120">
        <f t="shared" si="26"/>
        <v>-3.514245454</v>
      </c>
      <c r="AP339" s="120">
        <f t="array" ref="AP339">INDIRECT("Update"&amp;Projections!$AH$17&amp;"!S"&amp;ROW(B320))</f>
        <v>7.8</v>
      </c>
      <c r="AQ339" s="120">
        <f t="array" ref="AQ339">INDIRECT("Update"&amp;Projections!$AH$17&amp;"!T"&amp;ROW(B320))</f>
        <v>0.8</v>
      </c>
      <c r="AR339" s="100">
        <f t="shared" si="27"/>
        <v>-6.10560374</v>
      </c>
    </row>
    <row r="340">
      <c r="A340" s="40" t="str">
        <f t="shared" si="3"/>
        <v>Yves Missi</v>
      </c>
      <c r="B340" s="42">
        <f t="shared" si="4"/>
        <v>-2.017276097</v>
      </c>
      <c r="C340" s="43">
        <f t="shared" si="5"/>
        <v>-1.740686581</v>
      </c>
      <c r="D340" s="42">
        <f t="shared" si="6"/>
        <v>-1.086128859</v>
      </c>
      <c r="E340" s="42">
        <f t="shared" si="7"/>
        <v>-1.702079119</v>
      </c>
      <c r="F340" s="42">
        <f t="shared" si="8"/>
        <v>-1.912459801</v>
      </c>
      <c r="G340" s="42">
        <f t="shared" si="9"/>
        <v>0.2764511674</v>
      </c>
      <c r="H340" s="42">
        <f t="shared" si="10"/>
        <v>0.5353288811</v>
      </c>
      <c r="I340" s="42">
        <f>UpdateHashtag!S338</f>
        <v>3.9</v>
      </c>
      <c r="J340" s="47">
        <f t="shared" si="11"/>
        <v>-1.529161021</v>
      </c>
      <c r="K340" s="48">
        <f>UpdateHashtag!T338</f>
        <v>2.4</v>
      </c>
      <c r="L340" s="42">
        <f t="shared" si="12"/>
        <v>-1.040202395</v>
      </c>
      <c r="N340" s="100">
        <f t="shared" si="13"/>
        <v>327</v>
      </c>
      <c r="O340" s="94" t="str">
        <f t="array" ref="O340">INDIRECT("Update"&amp;Projections!$AH$17&amp;"!B"&amp;ROW(B321))</f>
        <v/>
      </c>
      <c r="P340" s="101" t="str">
        <f t="array" ref="P340">INDIRECT("Update"&amp;Projections!$AH$17&amp;"!C"&amp;ROW(B321))</f>
        <v>Charles Bassey</v>
      </c>
      <c r="Q340" s="94">
        <f>UpdateBBM!F321</f>
        <v>46</v>
      </c>
      <c r="R340" s="105" t="str">
        <f t="array" ref="R340">INDIRECT("Update"&amp;Projections!$AH$17&amp;"!D"&amp;ROW(B321))</f>
        <v>C</v>
      </c>
      <c r="S340" s="73">
        <f t="shared" si="14"/>
        <v>-6.272343292</v>
      </c>
      <c r="T340" s="73">
        <f>SUM(AE340:AM340)-IFERROR(IFS(Projections!$I$17,AN340,Projections!$J$17,AO340),"")</f>
        <v>-6.272343292</v>
      </c>
      <c r="U340" s="73">
        <f t="shared" si="15"/>
        <v>0</v>
      </c>
      <c r="V340" s="73">
        <f t="array" ref="V340">INDIRECT("Update"&amp;Projections!$AH$17&amp;"!M"&amp;ROW(B321))</f>
        <v>3.3</v>
      </c>
      <c r="W340" s="73">
        <f t="array" ref="W340">INDIRECT("Update"&amp;Projections!$AH$17&amp;"!L"&amp;ROW(B321))</f>
        <v>0</v>
      </c>
      <c r="X340" s="73">
        <f t="array" ref="X340">INDIRECT("Update"&amp;Projections!$AH$17&amp;"!N"&amp;ROW(B321))</f>
        <v>3.4</v>
      </c>
      <c r="Y340" s="73">
        <f t="array" ref="Y340">INDIRECT("Update"&amp;Projections!$AH$17&amp;"!O"&amp;ROW(B321))</f>
        <v>0.9</v>
      </c>
      <c r="Z340" s="73">
        <f t="array" ref="Z340">INDIRECT("Update"&amp;Projections!$AH$17&amp;"!P"&amp;ROW(B321))</f>
        <v>0.3</v>
      </c>
      <c r="AA340" s="73">
        <f t="array" ref="AA340">INDIRECT("Update"&amp;Projections!$AH$17&amp;"!Q"&amp;ROW(B321))</f>
        <v>0.6</v>
      </c>
      <c r="AB340" s="107">
        <f t="array" ref="AB340">INDIRECT("Update"&amp;Projections!$AH$17&amp;"!I"&amp;ROW(B321))</f>
        <v>0.665</v>
      </c>
      <c r="AC340" s="107">
        <f t="array" ref="AC340">INDIRECT("Update"&amp;Projections!$AH$17&amp;"!K"&amp;ROW(B321))</f>
        <v>0.63</v>
      </c>
      <c r="AD340" s="73">
        <f t="array" ref="AD340">INDIRECT("Update"&amp;Projections!$AH$17&amp;"!R"&amp;ROW(B321))</f>
        <v>0.7</v>
      </c>
      <c r="AE340" s="73">
        <f t="shared" si="16"/>
        <v>-2.559220156</v>
      </c>
      <c r="AF340" s="73">
        <f t="shared" si="17"/>
        <v>-1.740686581</v>
      </c>
      <c r="AG340" s="73">
        <f t="shared" si="18"/>
        <v>-1.046902488</v>
      </c>
      <c r="AH340" s="73">
        <f t="shared" si="19"/>
        <v>-1.383146726</v>
      </c>
      <c r="AI340" s="73">
        <f t="shared" si="20"/>
        <v>-2.244392479</v>
      </c>
      <c r="AJ340" s="73">
        <f t="shared" si="21"/>
        <v>-0.2587299387</v>
      </c>
      <c r="AK340" s="73">
        <f t="shared" si="22"/>
        <v>0.433478897</v>
      </c>
      <c r="AL340" s="73">
        <f t="shared" si="23"/>
        <v>-0.2920145746</v>
      </c>
      <c r="AM340" s="73">
        <f t="shared" si="24"/>
        <v>0.2600505987</v>
      </c>
      <c r="AN340" s="120">
        <f t="shared" si="25"/>
        <v>-2.559220156</v>
      </c>
      <c r="AO340" s="120">
        <f t="shared" si="26"/>
        <v>-4.803612636</v>
      </c>
      <c r="AP340" s="120">
        <f t="array" ref="AP340">INDIRECT("Update"&amp;Projections!$AH$17&amp;"!S"&amp;ROW(B321))</f>
        <v>2.2</v>
      </c>
      <c r="AQ340" s="120">
        <f t="array" ref="AQ340">INDIRECT("Update"&amp;Projections!$AH$17&amp;"!T"&amp;ROW(B321))</f>
        <v>0.5</v>
      </c>
      <c r="AR340" s="100">
        <f t="shared" si="27"/>
        <v>-6.140568832</v>
      </c>
    </row>
    <row r="341">
      <c r="A341" s="40" t="str">
        <f t="shared" si="3"/>
        <v>Jake LaRavia</v>
      </c>
      <c r="B341" s="42">
        <f t="shared" si="4"/>
        <v>-2.089535305</v>
      </c>
      <c r="C341" s="43">
        <f t="shared" si="5"/>
        <v>-0.8449678898</v>
      </c>
      <c r="D341" s="42">
        <f t="shared" si="6"/>
        <v>-1.47839257</v>
      </c>
      <c r="E341" s="42">
        <f t="shared" si="7"/>
        <v>-1.337584956</v>
      </c>
      <c r="F341" s="42">
        <f t="shared" si="8"/>
        <v>-1.580527123</v>
      </c>
      <c r="G341" s="42">
        <f t="shared" si="9"/>
        <v>-0.9723047469</v>
      </c>
      <c r="H341" s="42">
        <f t="shared" si="10"/>
        <v>-0.619538311</v>
      </c>
      <c r="I341" s="42">
        <f>UpdateHashtag!S339</f>
        <v>4.9</v>
      </c>
      <c r="J341" s="47">
        <f t="shared" si="11"/>
        <v>0.1385726539</v>
      </c>
      <c r="K341" s="48">
        <f>UpdateHashtag!T339</f>
        <v>1.5</v>
      </c>
      <c r="L341" s="42">
        <f t="shared" si="12"/>
        <v>-0.9410095407</v>
      </c>
      <c r="N341" s="100">
        <f t="shared" si="13"/>
        <v>325</v>
      </c>
      <c r="O341" s="94" t="str">
        <f t="array" ref="O341">INDIRECT("Update"&amp;Projections!$AH$17&amp;"!B"&amp;ROW(B322))</f>
        <v/>
      </c>
      <c r="P341" s="101" t="str">
        <f t="array" ref="P341">INDIRECT("Update"&amp;Projections!$AH$17&amp;"!C"&amp;ROW(B322))</f>
        <v>Maxi Kleber</v>
      </c>
      <c r="Q341" s="94">
        <f>UpdateBBM!F322</f>
        <v>71</v>
      </c>
      <c r="R341" s="105" t="str">
        <f t="array" ref="R341">INDIRECT("Update"&amp;Projections!$AH$17&amp;"!D"&amp;ROW(B322))</f>
        <v>PF,C</v>
      </c>
      <c r="S341" s="73">
        <f t="shared" si="14"/>
        <v>-6.246755867</v>
      </c>
      <c r="T341" s="73">
        <f>SUM(AE341:AM341)-IFERROR(IFS(Projections!$I$17,AN341,Projections!$J$17,AO341),"")</f>
        <v>-6.246755867</v>
      </c>
      <c r="U341" s="73">
        <f t="shared" si="15"/>
        <v>0</v>
      </c>
      <c r="V341" s="73">
        <f t="array" ref="V341">INDIRECT("Update"&amp;Projections!$AH$17&amp;"!M"&amp;ROW(B322))</f>
        <v>4.3</v>
      </c>
      <c r="W341" s="73">
        <f t="array" ref="W341">INDIRECT("Update"&amp;Projections!$AH$17&amp;"!L"&amp;ROW(B322))</f>
        <v>0.7</v>
      </c>
      <c r="X341" s="73">
        <f t="array" ref="X341">INDIRECT("Update"&amp;Projections!$AH$17&amp;"!N"&amp;ROW(B322))</f>
        <v>2.9</v>
      </c>
      <c r="Y341" s="73">
        <f t="array" ref="Y341">INDIRECT("Update"&amp;Projections!$AH$17&amp;"!O"&amp;ROW(B322))</f>
        <v>1.2</v>
      </c>
      <c r="Z341" s="73">
        <f t="array" ref="Z341">INDIRECT("Update"&amp;Projections!$AH$17&amp;"!P"&amp;ROW(B322))</f>
        <v>0.3</v>
      </c>
      <c r="AA341" s="73">
        <f t="array" ref="AA341">INDIRECT("Update"&amp;Projections!$AH$17&amp;"!Q"&amp;ROW(B322))</f>
        <v>0.6</v>
      </c>
      <c r="AB341" s="107">
        <f t="array" ref="AB341">INDIRECT("Update"&amp;Projections!$AH$17&amp;"!I"&amp;ROW(B322))</f>
        <v>0.443</v>
      </c>
      <c r="AC341" s="107">
        <f t="array" ref="AC341">INDIRECT("Update"&amp;Projections!$AH$17&amp;"!K"&amp;ROW(B322))</f>
        <v>0.705</v>
      </c>
      <c r="AD341" s="73">
        <f t="array" ref="AD341">INDIRECT("Update"&amp;Projections!$AH$17&amp;"!R"&amp;ROW(B322))</f>
        <v>0.6</v>
      </c>
      <c r="AE341" s="73">
        <f t="shared" si="16"/>
        <v>-2.378572137</v>
      </c>
      <c r="AF341" s="73">
        <f t="shared" si="17"/>
        <v>-1.044016488</v>
      </c>
      <c r="AG341" s="73">
        <f t="shared" si="18"/>
        <v>-1.243034343</v>
      </c>
      <c r="AH341" s="73">
        <f t="shared" si="19"/>
        <v>-1.246461415</v>
      </c>
      <c r="AI341" s="73">
        <f t="shared" si="20"/>
        <v>-2.244392479</v>
      </c>
      <c r="AJ341" s="73">
        <f t="shared" si="21"/>
        <v>-0.2587299387</v>
      </c>
      <c r="AK341" s="73">
        <f t="shared" si="22"/>
        <v>-0.2083895241</v>
      </c>
      <c r="AL341" s="73">
        <f t="shared" si="23"/>
        <v>-0.2865804908</v>
      </c>
      <c r="AM341" s="73">
        <f t="shared" si="24"/>
        <v>0.2848488121</v>
      </c>
      <c r="AN341" s="120">
        <f t="shared" si="25"/>
        <v>-2.378572137</v>
      </c>
      <c r="AO341" s="120">
        <f t="shared" si="26"/>
        <v>-4.622964616</v>
      </c>
      <c r="AP341" s="120">
        <f t="array" ref="AP341">INDIRECT("Update"&amp;Projections!$AH$17&amp;"!S"&amp;ROW(B322))</f>
        <v>3.3</v>
      </c>
      <c r="AQ341" s="120">
        <f t="array" ref="AQ341">INDIRECT("Update"&amp;Projections!$AH$17&amp;"!T"&amp;ROW(B322))</f>
        <v>0.9</v>
      </c>
      <c r="AR341" s="100">
        <f t="shared" si="27"/>
        <v>-6.142657583</v>
      </c>
    </row>
    <row r="342">
      <c r="A342" s="40" t="str">
        <f t="shared" si="3"/>
        <v>Kel'el Ware</v>
      </c>
      <c r="B342" s="42">
        <f t="shared" si="4"/>
        <v>-2.017276097</v>
      </c>
      <c r="C342" s="43">
        <f t="shared" si="5"/>
        <v>-1.541637983</v>
      </c>
      <c r="D342" s="42">
        <f t="shared" si="6"/>
        <v>-0.850770632</v>
      </c>
      <c r="E342" s="42">
        <f t="shared" si="7"/>
        <v>-1.519832037</v>
      </c>
      <c r="F342" s="42">
        <f t="shared" si="8"/>
        <v>-2.576325158</v>
      </c>
      <c r="G342" s="42">
        <f t="shared" si="9"/>
        <v>-0.08033623669</v>
      </c>
      <c r="H342" s="42">
        <f t="shared" si="10"/>
        <v>0.08505466766</v>
      </c>
      <c r="I342" s="42">
        <f>UpdateHashtag!S340</f>
        <v>4.8</v>
      </c>
      <c r="J342" s="47">
        <f t="shared" si="11"/>
        <v>-1.032128809</v>
      </c>
      <c r="K342" s="48">
        <f>UpdateHashtag!T340</f>
        <v>1.8</v>
      </c>
      <c r="L342" s="42">
        <f t="shared" si="12"/>
        <v>-1.139395249</v>
      </c>
      <c r="N342" s="100">
        <f t="shared" si="13"/>
        <v>320</v>
      </c>
      <c r="O342" s="94" t="str">
        <f t="array" ref="O342">INDIRECT("Update"&amp;Projections!$AH$17&amp;"!B"&amp;ROW(B323))</f>
        <v/>
      </c>
      <c r="P342" s="101" t="str">
        <f t="array" ref="P342">INDIRECT("Update"&amp;Projections!$AH$17&amp;"!C"&amp;ROW(B323))</f>
        <v>Guerschon Yabusele</v>
      </c>
      <c r="Q342" s="94">
        <f>UpdateBBM!F323</f>
        <v>28</v>
      </c>
      <c r="R342" s="105" t="str">
        <f t="array" ref="R342">INDIRECT("Update"&amp;Projections!$AH$17&amp;"!D"&amp;ROW(B323))</f>
        <v/>
      </c>
      <c r="S342" s="73">
        <f t="shared" si="14"/>
        <v>-6.140568832</v>
      </c>
      <c r="T342" s="73">
        <f>SUM(AE342:AM342)-IFERROR(IFS(Projections!$I$17,AN342,Projections!$J$17,AO342),"")</f>
        <v>-6.140568832</v>
      </c>
      <c r="U342" s="73">
        <f t="shared" si="15"/>
        <v>0</v>
      </c>
      <c r="V342" s="73">
        <f t="array" ref="V342">INDIRECT("Update"&amp;Projections!$AH$17&amp;"!M"&amp;ROW(B323))</f>
        <v>5.7</v>
      </c>
      <c r="W342" s="73">
        <f t="array" ref="W342">INDIRECT("Update"&amp;Projections!$AH$17&amp;"!L"&amp;ROW(B323))</f>
        <v>0.9</v>
      </c>
      <c r="X342" s="73">
        <f t="array" ref="X342">INDIRECT("Update"&amp;Projections!$AH$17&amp;"!N"&amp;ROW(B323))</f>
        <v>2.7</v>
      </c>
      <c r="Y342" s="73">
        <f t="array" ref="Y342">INDIRECT("Update"&amp;Projections!$AH$17&amp;"!O"&amp;ROW(B323))</f>
        <v>0.8</v>
      </c>
      <c r="Z342" s="73">
        <f t="array" ref="Z342">INDIRECT("Update"&amp;Projections!$AH$17&amp;"!P"&amp;ROW(B323))</f>
        <v>0.4</v>
      </c>
      <c r="AA342" s="73">
        <f t="array" ref="AA342">INDIRECT("Update"&amp;Projections!$AH$17&amp;"!Q"&amp;ROW(B323))</f>
        <v>0.4</v>
      </c>
      <c r="AB342" s="107">
        <f t="array" ref="AB342">INDIRECT("Update"&amp;Projections!$AH$17&amp;"!I"&amp;ROW(B323))</f>
        <v>0.466</v>
      </c>
      <c r="AC342" s="107">
        <f t="array" ref="AC342">INDIRECT("Update"&amp;Projections!$AH$17&amp;"!K"&amp;ROW(B323))</f>
        <v>0.77</v>
      </c>
      <c r="AD342" s="73">
        <f t="array" ref="AD342">INDIRECT("Update"&amp;Projections!$AH$17&amp;"!R"&amp;ROW(B323))</f>
        <v>0.8</v>
      </c>
      <c r="AE342" s="73">
        <f t="shared" si="16"/>
        <v>-2.125664909</v>
      </c>
      <c r="AF342" s="73">
        <f t="shared" si="17"/>
        <v>-0.8449678898</v>
      </c>
      <c r="AG342" s="73">
        <f t="shared" si="18"/>
        <v>-1.321487086</v>
      </c>
      <c r="AH342" s="73">
        <f t="shared" si="19"/>
        <v>-1.428708496</v>
      </c>
      <c r="AI342" s="73">
        <f t="shared" si="20"/>
        <v>-1.912459801</v>
      </c>
      <c r="AJ342" s="73">
        <f t="shared" si="21"/>
        <v>-0.6155173428</v>
      </c>
      <c r="AK342" s="73">
        <f t="shared" si="22"/>
        <v>-0.1556269744</v>
      </c>
      <c r="AL342" s="73">
        <f t="shared" si="23"/>
        <v>-0.09705362722</v>
      </c>
      <c r="AM342" s="73">
        <f t="shared" si="24"/>
        <v>0.2352523852</v>
      </c>
      <c r="AN342" s="120">
        <f t="shared" si="25"/>
        <v>-2.125664909</v>
      </c>
      <c r="AO342" s="120">
        <f t="shared" si="26"/>
        <v>-4.03812471</v>
      </c>
      <c r="AP342" s="120">
        <f t="array" ref="AP342">INDIRECT("Update"&amp;Projections!$AH$17&amp;"!S"&amp;ROW(B323))</f>
        <v>4.3</v>
      </c>
      <c r="AQ342" s="120">
        <f t="array" ref="AQ342">INDIRECT("Update"&amp;Projections!$AH$17&amp;"!T"&amp;ROW(B323))</f>
        <v>1.1</v>
      </c>
      <c r="AR342" s="100">
        <f t="shared" si="27"/>
        <v>-6.148131794</v>
      </c>
    </row>
    <row r="343">
      <c r="A343" s="40" t="str">
        <f t="shared" si="3"/>
        <v>Tristan Da Silva</v>
      </c>
      <c r="B343" s="42">
        <f t="shared" si="4"/>
        <v>-2.179859315</v>
      </c>
      <c r="C343" s="43">
        <f t="shared" si="5"/>
        <v>-1.143540787</v>
      </c>
      <c r="D343" s="42">
        <f t="shared" si="6"/>
        <v>-1.713750797</v>
      </c>
      <c r="E343" s="42">
        <f t="shared" si="7"/>
        <v>-1.428708496</v>
      </c>
      <c r="F343" s="42">
        <f t="shared" si="8"/>
        <v>-1.912459801</v>
      </c>
      <c r="G343" s="42">
        <f t="shared" si="9"/>
        <v>-0.9723047469</v>
      </c>
      <c r="H343" s="42">
        <f t="shared" si="10"/>
        <v>-0.02230915382</v>
      </c>
      <c r="I343" s="42">
        <f>UpdateHashtag!S341</f>
        <v>3.9</v>
      </c>
      <c r="J343" s="47">
        <f t="shared" si="11"/>
        <v>0.1348787903</v>
      </c>
      <c r="K343" s="48">
        <f>UpdateHashtag!T341</f>
        <v>1</v>
      </c>
      <c r="L343" s="42">
        <f t="shared" si="12"/>
        <v>-1.139395249</v>
      </c>
      <c r="N343" s="100">
        <f t="shared" si="13"/>
        <v>334</v>
      </c>
      <c r="O343" s="94" t="str">
        <f t="array" ref="O343">INDIRECT("Update"&amp;Projections!$AH$17&amp;"!B"&amp;ROW(B324))</f>
        <v/>
      </c>
      <c r="P343" s="101" t="str">
        <f t="array" ref="P343">INDIRECT("Update"&amp;Projections!$AH$17&amp;"!C"&amp;ROW(B324))</f>
        <v>Kyle Filipowski</v>
      </c>
      <c r="Q343" s="94">
        <f>UpdateBBM!F324</f>
        <v>43</v>
      </c>
      <c r="R343" s="105" t="str">
        <f t="array" ref="R343">INDIRECT("Update"&amp;Projections!$AH$17&amp;"!D"&amp;ROW(B324))</f>
        <v>PF</v>
      </c>
      <c r="S343" s="73">
        <f t="shared" si="14"/>
        <v>-6.472590848</v>
      </c>
      <c r="T343" s="73">
        <f>SUM(AE343:AM343)-IFERROR(IFS(Projections!$I$17,AN343,Projections!$J$17,AO343),"")</f>
        <v>-6.472590848</v>
      </c>
      <c r="U343" s="73">
        <f t="shared" si="15"/>
        <v>0</v>
      </c>
      <c r="V343" s="73">
        <f t="array" ref="V343">INDIRECT("Update"&amp;Projections!$AH$17&amp;"!M"&amp;ROW(B324))</f>
        <v>6.2</v>
      </c>
      <c r="W343" s="73">
        <f t="array" ref="W343">INDIRECT("Update"&amp;Projections!$AH$17&amp;"!L"&amp;ROW(B324))</f>
        <v>0.4</v>
      </c>
      <c r="X343" s="73">
        <f t="array" ref="X343">INDIRECT("Update"&amp;Projections!$AH$17&amp;"!N"&amp;ROW(B324))</f>
        <v>3.1</v>
      </c>
      <c r="Y343" s="73">
        <f t="array" ref="Y343">INDIRECT("Update"&amp;Projections!$AH$17&amp;"!O"&amp;ROW(B324))</f>
        <v>1</v>
      </c>
      <c r="Z343" s="73">
        <f t="array" ref="Z343">INDIRECT("Update"&amp;Projections!$AH$17&amp;"!P"&amp;ROW(B324))</f>
        <v>0.4</v>
      </c>
      <c r="AA343" s="73">
        <f t="array" ref="AA343">INDIRECT("Update"&amp;Projections!$AH$17&amp;"!Q"&amp;ROW(B324))</f>
        <v>0.6</v>
      </c>
      <c r="AB343" s="107">
        <f t="array" ref="AB343">INDIRECT("Update"&amp;Projections!$AH$17&amp;"!I"&amp;ROW(B324))</f>
        <v>0.506</v>
      </c>
      <c r="AC343" s="107">
        <f t="array" ref="AC343">INDIRECT("Update"&amp;Projections!$AH$17&amp;"!K"&amp;ROW(B324))</f>
        <v>0.672</v>
      </c>
      <c r="AD343" s="73">
        <f t="array" ref="AD343">INDIRECT("Update"&amp;Projections!$AH$17&amp;"!R"&amp;ROW(B324))</f>
        <v>0.8</v>
      </c>
      <c r="AE343" s="73">
        <f t="shared" si="16"/>
        <v>-2.035340899</v>
      </c>
      <c r="AF343" s="73">
        <f t="shared" si="17"/>
        <v>-1.342589385</v>
      </c>
      <c r="AG343" s="73">
        <f t="shared" si="18"/>
        <v>-1.164581601</v>
      </c>
      <c r="AH343" s="73">
        <f t="shared" si="19"/>
        <v>-1.337584956</v>
      </c>
      <c r="AI343" s="73">
        <f t="shared" si="20"/>
        <v>-1.912459801</v>
      </c>
      <c r="AJ343" s="73">
        <f t="shared" si="21"/>
        <v>-0.2587299387</v>
      </c>
      <c r="AK343" s="73">
        <f t="shared" si="22"/>
        <v>0.04809472625</v>
      </c>
      <c r="AL343" s="73">
        <f t="shared" si="23"/>
        <v>-0.7399922783</v>
      </c>
      <c r="AM343" s="73">
        <f t="shared" si="24"/>
        <v>0.2352523852</v>
      </c>
      <c r="AN343" s="120">
        <f t="shared" si="25"/>
        <v>-2.035340899</v>
      </c>
      <c r="AO343" s="120">
        <f t="shared" si="26"/>
        <v>-3.947800701</v>
      </c>
      <c r="AP343" s="120">
        <f t="array" ref="AP343">INDIRECT("Update"&amp;Projections!$AH$17&amp;"!S"&amp;ROW(B324))</f>
        <v>4.5</v>
      </c>
      <c r="AQ343" s="120">
        <f t="array" ref="AQ343">INDIRECT("Update"&amp;Projections!$AH$17&amp;"!T"&amp;ROW(B324))</f>
        <v>1.7</v>
      </c>
      <c r="AR343" s="100">
        <f t="shared" si="27"/>
        <v>-6.172214178</v>
      </c>
    </row>
    <row r="344">
      <c r="A344" s="40" t="str">
        <f t="shared" si="3"/>
        <v>Simone Fontecchio</v>
      </c>
      <c r="B344" s="42">
        <f t="shared" si="4"/>
        <v>-2.035340899</v>
      </c>
      <c r="C344" s="43">
        <f t="shared" si="5"/>
        <v>-0.5463949927</v>
      </c>
      <c r="D344" s="42">
        <f t="shared" si="6"/>
        <v>-1.596071683</v>
      </c>
      <c r="E344" s="42">
        <f t="shared" si="7"/>
        <v>-1.383146726</v>
      </c>
      <c r="F344" s="42">
        <f t="shared" si="8"/>
        <v>-1.912459801</v>
      </c>
      <c r="G344" s="42">
        <f t="shared" si="9"/>
        <v>-0.9723047469</v>
      </c>
      <c r="H344" s="42">
        <f t="shared" si="10"/>
        <v>-0.4319762521</v>
      </c>
      <c r="I344" s="42">
        <f>UpdateHashtag!S342</f>
        <v>5.2</v>
      </c>
      <c r="J344" s="47">
        <f t="shared" si="11"/>
        <v>0.05723025981</v>
      </c>
      <c r="K344" s="48">
        <f>UpdateHashtag!T342</f>
        <v>0.7</v>
      </c>
      <c r="L344" s="42">
        <f t="shared" si="12"/>
        <v>-1.040202395</v>
      </c>
      <c r="N344" s="100">
        <f t="shared" si="13"/>
        <v>336</v>
      </c>
      <c r="O344" s="94" t="str">
        <f t="array" ref="O344">INDIRECT("Update"&amp;Projections!$AH$17&amp;"!B"&amp;ROW(B325))</f>
        <v/>
      </c>
      <c r="P344" s="101" t="str">
        <f t="array" ref="P344">INDIRECT("Update"&amp;Projections!$AH$17&amp;"!C"&amp;ROW(B325))</f>
        <v>Jaxson Hayes</v>
      </c>
      <c r="Q344" s="94">
        <f>UpdateBBM!F325</f>
        <v>43</v>
      </c>
      <c r="R344" s="105" t="str">
        <f t="array" ref="R344">INDIRECT("Update"&amp;Projections!$AH$17&amp;"!D"&amp;ROW(B325))</f>
        <v>PF,C</v>
      </c>
      <c r="S344" s="73">
        <f t="shared" si="14"/>
        <v>-6.493684795</v>
      </c>
      <c r="T344" s="73">
        <f>SUM(AE344:AM344)-IFERROR(IFS(Projections!$I$17,AN344,Projections!$J$17,AO344),"")</f>
        <v>-6.493684795</v>
      </c>
      <c r="U344" s="73">
        <f t="shared" si="15"/>
        <v>0</v>
      </c>
      <c r="V344" s="73">
        <f t="array" ref="V344">INDIRECT("Update"&amp;Projections!$AH$17&amp;"!M"&amp;ROW(B325))</f>
        <v>5</v>
      </c>
      <c r="W344" s="73">
        <f t="array" ref="W344">INDIRECT("Update"&amp;Projections!$AH$17&amp;"!L"&amp;ROW(B325))</f>
        <v>0</v>
      </c>
      <c r="X344" s="73">
        <f t="array" ref="X344">INDIRECT("Update"&amp;Projections!$AH$17&amp;"!N"&amp;ROW(B325))</f>
        <v>3.2</v>
      </c>
      <c r="Y344" s="73">
        <f t="array" ref="Y344">INDIRECT("Update"&amp;Projections!$AH$17&amp;"!O"&amp;ROW(B325))</f>
        <v>0.6</v>
      </c>
      <c r="Z344" s="73">
        <f t="array" ref="Z344">INDIRECT("Update"&amp;Projections!$AH$17&amp;"!P"&amp;ROW(B325))</f>
        <v>0.5</v>
      </c>
      <c r="AA344" s="73">
        <f t="array" ref="AA344">INDIRECT("Update"&amp;Projections!$AH$17&amp;"!Q"&amp;ROW(B325))</f>
        <v>0.4</v>
      </c>
      <c r="AB344" s="107">
        <f t="array" ref="AB344">INDIRECT("Update"&amp;Projections!$AH$17&amp;"!I"&amp;ROW(B325))</f>
        <v>0.641</v>
      </c>
      <c r="AC344" s="107">
        <f t="array" ref="AC344">INDIRECT("Update"&amp;Projections!$AH$17&amp;"!K"&amp;ROW(B325))</f>
        <v>0.664</v>
      </c>
      <c r="AD344" s="73">
        <f t="array" ref="AD344">INDIRECT("Update"&amp;Projections!$AH$17&amp;"!R"&amp;ROW(B325))</f>
        <v>0.7</v>
      </c>
      <c r="AE344" s="73">
        <f t="shared" si="16"/>
        <v>-2.252118523</v>
      </c>
      <c r="AF344" s="73">
        <f t="shared" si="17"/>
        <v>-1.740686581</v>
      </c>
      <c r="AG344" s="73">
        <f t="shared" si="18"/>
        <v>-1.12535523</v>
      </c>
      <c r="AH344" s="73">
        <f t="shared" si="19"/>
        <v>-1.519832037</v>
      </c>
      <c r="AI344" s="73">
        <f t="shared" si="20"/>
        <v>-1.580527123</v>
      </c>
      <c r="AJ344" s="73">
        <f t="shared" si="21"/>
        <v>-0.6155173428</v>
      </c>
      <c r="AK344" s="73">
        <f t="shared" si="22"/>
        <v>0.5236143051</v>
      </c>
      <c r="AL344" s="73">
        <f t="shared" si="23"/>
        <v>-0.6954313842</v>
      </c>
      <c r="AM344" s="73">
        <f t="shared" si="24"/>
        <v>0.2600505987</v>
      </c>
      <c r="AN344" s="120">
        <f t="shared" si="25"/>
        <v>-2.252118523</v>
      </c>
      <c r="AO344" s="120">
        <f t="shared" si="26"/>
        <v>-3.992805104</v>
      </c>
      <c r="AP344" s="120">
        <f t="array" ref="AP344">INDIRECT("Update"&amp;Projections!$AH$17&amp;"!S"&amp;ROW(B325))</f>
        <v>3.1</v>
      </c>
      <c r="AQ344" s="120">
        <f t="array" ref="AQ344">INDIRECT("Update"&amp;Projections!$AH$17&amp;"!T"&amp;ROW(B325))</f>
        <v>1.5</v>
      </c>
      <c r="AR344" s="100">
        <f t="shared" si="27"/>
        <v>-6.238616745</v>
      </c>
    </row>
    <row r="345">
      <c r="A345" s="40" t="str">
        <f t="shared" si="3"/>
        <v>Jaden Hardy</v>
      </c>
      <c r="B345" s="42">
        <f t="shared" si="4"/>
        <v>-1.710174464</v>
      </c>
      <c r="C345" s="43">
        <f t="shared" si="5"/>
        <v>-0.5463949927</v>
      </c>
      <c r="D345" s="42">
        <f t="shared" si="6"/>
        <v>-1.635298055</v>
      </c>
      <c r="E345" s="42">
        <f t="shared" si="7"/>
        <v>-1.109776103</v>
      </c>
      <c r="F345" s="42">
        <f t="shared" si="8"/>
        <v>-2.244392479</v>
      </c>
      <c r="G345" s="42">
        <f t="shared" si="9"/>
        <v>-1.150698449</v>
      </c>
      <c r="H345" s="42">
        <f t="shared" si="10"/>
        <v>-0.6217200955</v>
      </c>
      <c r="I345" s="42">
        <f>UpdateHashtag!S343</f>
        <v>6.9</v>
      </c>
      <c r="J345" s="47">
        <f t="shared" si="11"/>
        <v>0.03262326506</v>
      </c>
      <c r="K345" s="48">
        <f>UpdateHashtag!T343</f>
        <v>1.3</v>
      </c>
      <c r="L345" s="42">
        <f t="shared" si="12"/>
        <v>-0.8418166868</v>
      </c>
      <c r="N345" s="100">
        <f t="shared" si="13"/>
        <v>328</v>
      </c>
      <c r="O345" s="94" t="str">
        <f t="array" ref="O345">INDIRECT("Update"&amp;Projections!$AH$17&amp;"!B"&amp;ROW(B326))</f>
        <v/>
      </c>
      <c r="P345" s="101" t="str">
        <f t="array" ref="P345">INDIRECT("Update"&amp;Projections!$AH$17&amp;"!C"&amp;ROW(B326))</f>
        <v>Richaun Holmes</v>
      </c>
      <c r="Q345" s="94">
        <f>UpdateBBM!F326</f>
        <v>38</v>
      </c>
      <c r="R345" s="105" t="str">
        <f t="array" ref="R345">INDIRECT("Update"&amp;Projections!$AH$17&amp;"!D"&amp;ROW(B326))</f>
        <v>C</v>
      </c>
      <c r="S345" s="73">
        <f t="shared" si="14"/>
        <v>-6.300308817</v>
      </c>
      <c r="T345" s="73">
        <f>SUM(AE345:AM345)-IFERROR(IFS(Projections!$I$17,AN345,Projections!$J$17,AO345),"")</f>
        <v>-6.300308817</v>
      </c>
      <c r="U345" s="73">
        <f t="shared" si="15"/>
        <v>0</v>
      </c>
      <c r="V345" s="73">
        <f t="array" ref="V345">INDIRECT("Update"&amp;Projections!$AH$17&amp;"!M"&amp;ROW(B326))</f>
        <v>4.9</v>
      </c>
      <c r="W345" s="73">
        <f t="array" ref="W345">INDIRECT("Update"&amp;Projections!$AH$17&amp;"!L"&amp;ROW(B326))</f>
        <v>0.1</v>
      </c>
      <c r="X345" s="73">
        <f t="array" ref="X345">INDIRECT("Update"&amp;Projections!$AH$17&amp;"!N"&amp;ROW(B326))</f>
        <v>3.9</v>
      </c>
      <c r="Y345" s="73">
        <f t="array" ref="Y345">INDIRECT("Update"&amp;Projections!$AH$17&amp;"!O"&amp;ROW(B326))</f>
        <v>0.5</v>
      </c>
      <c r="Z345" s="73">
        <f t="array" ref="Z345">INDIRECT("Update"&amp;Projections!$AH$17&amp;"!P"&amp;ROW(B326))</f>
        <v>0.2</v>
      </c>
      <c r="AA345" s="73">
        <f t="array" ref="AA345">INDIRECT("Update"&amp;Projections!$AH$17&amp;"!Q"&amp;ROW(B326))</f>
        <v>0.5</v>
      </c>
      <c r="AB345" s="107">
        <f t="array" ref="AB345">INDIRECT("Update"&amp;Projections!$AH$17&amp;"!I"&amp;ROW(B326))</f>
        <v>0.582</v>
      </c>
      <c r="AC345" s="107">
        <f t="array" ref="AC345">INDIRECT("Update"&amp;Projections!$AH$17&amp;"!K"&amp;ROW(B326))</f>
        <v>0.747</v>
      </c>
      <c r="AD345" s="73">
        <f t="array" ref="AD345">INDIRECT("Update"&amp;Projections!$AH$17&amp;"!R"&amp;ROW(B326))</f>
        <v>0.6</v>
      </c>
      <c r="AE345" s="73">
        <f t="shared" si="16"/>
        <v>-2.270183325</v>
      </c>
      <c r="AF345" s="73">
        <f t="shared" si="17"/>
        <v>-1.641162282</v>
      </c>
      <c r="AG345" s="73">
        <f t="shared" si="18"/>
        <v>-0.850770632</v>
      </c>
      <c r="AH345" s="73">
        <f t="shared" si="19"/>
        <v>-1.565393808</v>
      </c>
      <c r="AI345" s="73">
        <f t="shared" si="20"/>
        <v>-2.576325158</v>
      </c>
      <c r="AJ345" s="73">
        <f t="shared" si="21"/>
        <v>-0.4371236408</v>
      </c>
      <c r="AK345" s="73">
        <f t="shared" si="22"/>
        <v>0.3491592525</v>
      </c>
      <c r="AL345" s="73">
        <f t="shared" si="23"/>
        <v>-0.1696831939</v>
      </c>
      <c r="AM345" s="73">
        <f t="shared" si="24"/>
        <v>0.2848488121</v>
      </c>
      <c r="AN345" s="120">
        <f t="shared" si="25"/>
        <v>-2.576325158</v>
      </c>
      <c r="AO345" s="120">
        <f t="shared" si="26"/>
        <v>-4.846508483</v>
      </c>
      <c r="AP345" s="120">
        <f t="array" ref="AP345">INDIRECT("Update"&amp;Projections!$AH$17&amp;"!S"&amp;ROW(B326))</f>
        <v>3.5</v>
      </c>
      <c r="AQ345" s="120">
        <f t="array" ref="AQ345">INDIRECT("Update"&amp;Projections!$AH$17&amp;"!T"&amp;ROW(B326))</f>
        <v>1</v>
      </c>
      <c r="AR345" s="100">
        <f t="shared" si="27"/>
        <v>-6.246755867</v>
      </c>
    </row>
    <row r="346">
      <c r="A346" s="40" t="str">
        <f t="shared" si="3"/>
        <v>Bobi Klintman</v>
      </c>
      <c r="B346" s="42">
        <f t="shared" si="4"/>
        <v>-2.197924117</v>
      </c>
      <c r="C346" s="43">
        <f t="shared" si="5"/>
        <v>-1.044016488</v>
      </c>
      <c r="D346" s="42">
        <f t="shared" si="6"/>
        <v>-1.321487086</v>
      </c>
      <c r="E346" s="42">
        <f t="shared" si="7"/>
        <v>-1.610955578</v>
      </c>
      <c r="F346" s="42">
        <f t="shared" si="8"/>
        <v>-1.912459801</v>
      </c>
      <c r="G346" s="42">
        <f t="shared" si="9"/>
        <v>-0.7939110449</v>
      </c>
      <c r="H346" s="42">
        <f t="shared" si="10"/>
        <v>-0.2713453772</v>
      </c>
      <c r="I346" s="42">
        <f>UpdateHashtag!S344</f>
        <v>4</v>
      </c>
      <c r="J346" s="47">
        <f t="shared" si="11"/>
        <v>-0.04419502565</v>
      </c>
      <c r="K346" s="48">
        <f>UpdateHashtag!T344</f>
        <v>1.4</v>
      </c>
      <c r="L346" s="42">
        <f t="shared" si="12"/>
        <v>-0.8418166868</v>
      </c>
      <c r="N346" s="100">
        <f t="shared" si="13"/>
        <v>330</v>
      </c>
      <c r="O346" s="94" t="str">
        <f t="array" ref="O346">INDIRECT("Update"&amp;Projections!$AH$17&amp;"!B"&amp;ROW(B327))</f>
        <v/>
      </c>
      <c r="P346" s="101" t="str">
        <f t="array" ref="P346">INDIRECT("Update"&amp;Projections!$AH$17&amp;"!C"&amp;ROW(B327))</f>
        <v>Jock Landale</v>
      </c>
      <c r="Q346" s="94">
        <f>UpdateBBM!F327</f>
        <v>66</v>
      </c>
      <c r="R346" s="105" t="str">
        <f t="array" ref="R346">INDIRECT("Update"&amp;Projections!$AH$17&amp;"!D"&amp;ROW(B327))</f>
        <v>C</v>
      </c>
      <c r="S346" s="73">
        <f t="shared" si="14"/>
        <v>-6.326839884</v>
      </c>
      <c r="T346" s="73">
        <f>SUM(AE346:AM346)-IFERROR(IFS(Projections!$I$17,AN346,Projections!$J$17,AO346),"")</f>
        <v>-6.326839884</v>
      </c>
      <c r="U346" s="73">
        <f t="shared" si="15"/>
        <v>0</v>
      </c>
      <c r="V346" s="73">
        <f t="array" ref="V346">INDIRECT("Update"&amp;Projections!$AH$17&amp;"!M"&amp;ROW(B327))</f>
        <v>5.3</v>
      </c>
      <c r="W346" s="73">
        <f t="array" ref="W346">INDIRECT("Update"&amp;Projections!$AH$17&amp;"!L"&amp;ROW(B327))</f>
        <v>0.2</v>
      </c>
      <c r="X346" s="73">
        <f t="array" ref="X346">INDIRECT("Update"&amp;Projections!$AH$17&amp;"!N"&amp;ROW(B327))</f>
        <v>3.3</v>
      </c>
      <c r="Y346" s="73">
        <f t="array" ref="Y346">INDIRECT("Update"&amp;Projections!$AH$17&amp;"!O"&amp;ROW(B327))</f>
        <v>1</v>
      </c>
      <c r="Z346" s="73">
        <f t="array" ref="Z346">INDIRECT("Update"&amp;Projections!$AH$17&amp;"!P"&amp;ROW(B327))</f>
        <v>0.3</v>
      </c>
      <c r="AA346" s="73">
        <f t="array" ref="AA346">INDIRECT("Update"&amp;Projections!$AH$17&amp;"!Q"&amp;ROW(B327))</f>
        <v>0.5</v>
      </c>
      <c r="AB346" s="107">
        <f t="array" ref="AB346">INDIRECT("Update"&amp;Projections!$AH$17&amp;"!I"&amp;ROW(B327))</f>
        <v>0.523</v>
      </c>
      <c r="AC346" s="107">
        <f t="array" ref="AC346">INDIRECT("Update"&amp;Projections!$AH$17&amp;"!K"&amp;ROW(B327))</f>
        <v>0.77</v>
      </c>
      <c r="AD346" s="73">
        <f t="array" ref="AD346">INDIRECT("Update"&amp;Projections!$AH$17&amp;"!R"&amp;ROW(B327))</f>
        <v>0.7</v>
      </c>
      <c r="AE346" s="73">
        <f t="shared" si="16"/>
        <v>-2.197924117</v>
      </c>
      <c r="AF346" s="73">
        <f t="shared" si="17"/>
        <v>-1.541637983</v>
      </c>
      <c r="AG346" s="73">
        <f t="shared" si="18"/>
        <v>-1.086128859</v>
      </c>
      <c r="AH346" s="73">
        <f t="shared" si="19"/>
        <v>-1.337584956</v>
      </c>
      <c r="AI346" s="73">
        <f t="shared" si="20"/>
        <v>-2.244392479</v>
      </c>
      <c r="AJ346" s="73">
        <f t="shared" si="21"/>
        <v>-0.4371236408</v>
      </c>
      <c r="AK346" s="73">
        <f t="shared" si="22"/>
        <v>0.1193857567</v>
      </c>
      <c r="AL346" s="73">
        <f t="shared" si="23"/>
        <v>-0.1058766842</v>
      </c>
      <c r="AM346" s="73">
        <f t="shared" si="24"/>
        <v>0.2600505987</v>
      </c>
      <c r="AN346" s="120">
        <f t="shared" si="25"/>
        <v>-2.244392479</v>
      </c>
      <c r="AO346" s="120">
        <f t="shared" si="26"/>
        <v>-4.442316596</v>
      </c>
      <c r="AP346" s="120">
        <f t="array" ref="AP346">INDIRECT("Update"&amp;Projections!$AH$17&amp;"!S"&amp;ROW(B327))</f>
        <v>3.9</v>
      </c>
      <c r="AQ346" s="120">
        <f t="array" ref="AQ346">INDIRECT("Update"&amp;Projections!$AH$17&amp;"!T"&amp;ROW(B327))</f>
        <v>1.2</v>
      </c>
      <c r="AR346" s="100">
        <f t="shared" si="27"/>
        <v>-6.25592976</v>
      </c>
    </row>
    <row r="347">
      <c r="A347" s="40" t="str">
        <f t="shared" si="3"/>
        <v>Jevon Carter</v>
      </c>
      <c r="B347" s="42">
        <f t="shared" si="4"/>
        <v>-2.288248127</v>
      </c>
      <c r="C347" s="43">
        <f t="shared" si="5"/>
        <v>-0.7454435908</v>
      </c>
      <c r="D347" s="42">
        <f t="shared" si="6"/>
        <v>-1.909882652</v>
      </c>
      <c r="E347" s="42">
        <f t="shared" si="7"/>
        <v>-1.155337874</v>
      </c>
      <c r="F347" s="42">
        <f t="shared" si="8"/>
        <v>-1.580527123</v>
      </c>
      <c r="G347" s="42">
        <f t="shared" si="9"/>
        <v>-0.9723047469</v>
      </c>
      <c r="H347" s="42">
        <f t="shared" si="10"/>
        <v>-0.4686544476</v>
      </c>
      <c r="I347" s="42">
        <f>UpdateHashtag!S345</f>
        <v>4.4</v>
      </c>
      <c r="J347" s="47">
        <f t="shared" si="11"/>
        <v>0.01068523333</v>
      </c>
      <c r="K347" s="48">
        <f>UpdateHashtag!T345</f>
        <v>0.2</v>
      </c>
      <c r="L347" s="42">
        <f t="shared" si="12"/>
        <v>-1.238588102</v>
      </c>
      <c r="N347" s="100">
        <f t="shared" si="13"/>
        <v>339</v>
      </c>
      <c r="O347" s="94" t="str">
        <f t="array" ref="O347">INDIRECT("Update"&amp;Projections!$AH$17&amp;"!B"&amp;ROW(B328))</f>
        <v/>
      </c>
      <c r="P347" s="101" t="str">
        <f t="array" ref="P347">INDIRECT("Update"&amp;Projections!$AH$17&amp;"!C"&amp;ROW(B328))</f>
        <v>Craig Porter Jr.</v>
      </c>
      <c r="Q347" s="94">
        <f>UpdateBBM!F328</f>
        <v>71</v>
      </c>
      <c r="R347" s="105" t="str">
        <f t="array" ref="R347">INDIRECT("Update"&amp;Projections!$AH$17&amp;"!D"&amp;ROW(B328))</f>
        <v>PG,SG</v>
      </c>
      <c r="S347" s="73">
        <f t="shared" si="14"/>
        <v>-6.526166021</v>
      </c>
      <c r="T347" s="73">
        <f>SUM(AE347:AM347)-IFERROR(IFS(Projections!$I$17,AN347,Projections!$J$17,AO347),"")</f>
        <v>-6.526166021</v>
      </c>
      <c r="U347" s="73">
        <f t="shared" si="15"/>
        <v>0</v>
      </c>
      <c r="V347" s="73">
        <f t="array" ref="V347">INDIRECT("Update"&amp;Projections!$AH$17&amp;"!M"&amp;ROW(B328))</f>
        <v>5.5</v>
      </c>
      <c r="W347" s="73">
        <f t="array" ref="W347">INDIRECT("Update"&amp;Projections!$AH$17&amp;"!L"&amp;ROW(B328))</f>
        <v>0.2</v>
      </c>
      <c r="X347" s="73">
        <f t="array" ref="X347">INDIRECT("Update"&amp;Projections!$AH$17&amp;"!N"&amp;ROW(B328))</f>
        <v>2.1</v>
      </c>
      <c r="Y347" s="73">
        <f t="array" ref="Y347">INDIRECT("Update"&amp;Projections!$AH$17&amp;"!O"&amp;ROW(B328))</f>
        <v>2.3</v>
      </c>
      <c r="Z347" s="73">
        <f t="array" ref="Z347">INDIRECT("Update"&amp;Projections!$AH$17&amp;"!P"&amp;ROW(B328))</f>
        <v>0.4</v>
      </c>
      <c r="AA347" s="73">
        <f t="array" ref="AA347">INDIRECT("Update"&amp;Projections!$AH$17&amp;"!Q"&amp;ROW(B328))</f>
        <v>0.3</v>
      </c>
      <c r="AB347" s="107">
        <f t="array" ref="AB347">INDIRECT("Update"&amp;Projections!$AH$17&amp;"!I"&amp;ROW(B328))</f>
        <v>0.509</v>
      </c>
      <c r="AC347" s="107">
        <f t="array" ref="AC347">INDIRECT("Update"&amp;Projections!$AH$17&amp;"!K"&amp;ROW(B328))</f>
        <v>0.731</v>
      </c>
      <c r="AD347" s="73">
        <f t="array" ref="AD347">INDIRECT("Update"&amp;Projections!$AH$17&amp;"!R"&amp;ROW(B328))</f>
        <v>0.9</v>
      </c>
      <c r="AE347" s="73">
        <f t="shared" si="16"/>
        <v>-2.161794513</v>
      </c>
      <c r="AF347" s="73">
        <f t="shared" si="17"/>
        <v>-1.541637983</v>
      </c>
      <c r="AG347" s="73">
        <f t="shared" si="18"/>
        <v>-1.556845312</v>
      </c>
      <c r="AH347" s="73">
        <f t="shared" si="19"/>
        <v>-0.74528194</v>
      </c>
      <c r="AI347" s="73">
        <f t="shared" si="20"/>
        <v>-1.912459801</v>
      </c>
      <c r="AJ347" s="73">
        <f t="shared" si="21"/>
        <v>-0.7939110449</v>
      </c>
      <c r="AK347" s="73">
        <f t="shared" si="22"/>
        <v>0.06249636662</v>
      </c>
      <c r="AL347" s="73">
        <f t="shared" si="23"/>
        <v>-0.2489804775</v>
      </c>
      <c r="AM347" s="73">
        <f t="shared" si="24"/>
        <v>0.2104541717</v>
      </c>
      <c r="AN347" s="120">
        <f t="shared" si="25"/>
        <v>-2.161794513</v>
      </c>
      <c r="AO347" s="120">
        <f t="shared" si="26"/>
        <v>-4.074254314</v>
      </c>
      <c r="AP347" s="120">
        <f t="array" ref="AP347">INDIRECT("Update"&amp;Projections!$AH$17&amp;"!S"&amp;ROW(B328))</f>
        <v>4.4</v>
      </c>
      <c r="AQ347" s="120">
        <f t="array" ref="AQ347">INDIRECT("Update"&amp;Projections!$AH$17&amp;"!T"&amp;ROW(B328))</f>
        <v>1.1</v>
      </c>
      <c r="AR347" s="100">
        <f t="shared" si="27"/>
        <v>-6.272343292</v>
      </c>
    </row>
    <row r="348">
      <c r="A348" s="40" t="str">
        <f t="shared" si="3"/>
        <v>Tidjane Salaun</v>
      </c>
      <c r="B348" s="42">
        <f t="shared" si="4"/>
        <v>-2.089535305</v>
      </c>
      <c r="C348" s="43">
        <f t="shared" si="5"/>
        <v>-0.9444921888</v>
      </c>
      <c r="D348" s="42">
        <f t="shared" si="6"/>
        <v>-1.439166199</v>
      </c>
      <c r="E348" s="42">
        <f t="shared" si="7"/>
        <v>-1.519832037</v>
      </c>
      <c r="F348" s="42">
        <f t="shared" si="8"/>
        <v>-0.9166617668</v>
      </c>
      <c r="G348" s="42">
        <f t="shared" si="9"/>
        <v>-1.150698449</v>
      </c>
      <c r="H348" s="42">
        <f t="shared" si="10"/>
        <v>-0.5442818815</v>
      </c>
      <c r="I348" s="42">
        <f>UpdateHashtag!S346</f>
        <v>5</v>
      </c>
      <c r="J348" s="47">
        <f t="shared" si="11"/>
        <v>-0.08707667757</v>
      </c>
      <c r="K348" s="48">
        <f>UpdateHashtag!T346</f>
        <v>1.3</v>
      </c>
      <c r="L348" s="42">
        <f t="shared" si="12"/>
        <v>-0.9410095407</v>
      </c>
      <c r="N348" s="100">
        <f t="shared" si="13"/>
        <v>306</v>
      </c>
      <c r="O348" s="94" t="str">
        <f t="array" ref="O348">INDIRECT("Update"&amp;Projections!$AH$17&amp;"!B"&amp;ROW(B329))</f>
        <v/>
      </c>
      <c r="P348" s="101" t="str">
        <f t="array" ref="P348">INDIRECT("Update"&amp;Projections!$AH$17&amp;"!C"&amp;ROW(B329))</f>
        <v>Jordan Hawkins</v>
      </c>
      <c r="Q348" s="94">
        <f>UpdateBBM!F329</f>
        <v>38</v>
      </c>
      <c r="R348" s="105" t="str">
        <f t="array" ref="R348">INDIRECT("Update"&amp;Projections!$AH$17&amp;"!D"&amp;ROW(B329))</f>
        <v>SG</v>
      </c>
      <c r="S348" s="73">
        <f t="shared" si="14"/>
        <v>-5.929543953</v>
      </c>
      <c r="T348" s="73">
        <f>SUM(AE348:AM348)-IFERROR(IFS(Projections!$I$17,AN348,Projections!$J$17,AO348),"")</f>
        <v>-5.929543953</v>
      </c>
      <c r="U348" s="73">
        <f t="shared" si="15"/>
        <v>0</v>
      </c>
      <c r="V348" s="73">
        <f t="array" ref="V348">INDIRECT("Update"&amp;Projections!$AH$17&amp;"!M"&amp;ROW(B329))</f>
        <v>8.6</v>
      </c>
      <c r="W348" s="73">
        <f t="array" ref="W348">INDIRECT("Update"&amp;Projections!$AH$17&amp;"!L"&amp;ROW(B329))</f>
        <v>1.8</v>
      </c>
      <c r="X348" s="73">
        <f t="array" ref="X348">INDIRECT("Update"&amp;Projections!$AH$17&amp;"!N"&amp;ROW(B329))</f>
        <v>2.4</v>
      </c>
      <c r="Y348" s="73">
        <f t="array" ref="Y348">INDIRECT("Update"&amp;Projections!$AH$17&amp;"!O"&amp;ROW(B329))</f>
        <v>1.2</v>
      </c>
      <c r="Z348" s="73">
        <f t="array" ref="Z348">INDIRECT("Update"&amp;Projections!$AH$17&amp;"!P"&amp;ROW(B329))</f>
        <v>0.3</v>
      </c>
      <c r="AA348" s="73">
        <f t="array" ref="AA348">INDIRECT("Update"&amp;Projections!$AH$17&amp;"!Q"&amp;ROW(B329))</f>
        <v>0.1</v>
      </c>
      <c r="AB348" s="107">
        <f t="array" ref="AB348">INDIRECT("Update"&amp;Projections!$AH$17&amp;"!I"&amp;ROW(B329))</f>
        <v>0.382</v>
      </c>
      <c r="AC348" s="107">
        <f t="array" ref="AC348">INDIRECT("Update"&amp;Projections!$AH$17&amp;"!K"&amp;ROW(B329))</f>
        <v>0.84</v>
      </c>
      <c r="AD348" s="73">
        <f t="array" ref="AD348">INDIRECT("Update"&amp;Projections!$AH$17&amp;"!R"&amp;ROW(B329))</f>
        <v>0.7</v>
      </c>
      <c r="AE348" s="73">
        <f t="shared" si="16"/>
        <v>-1.601785652</v>
      </c>
      <c r="AF348" s="73">
        <f t="shared" si="17"/>
        <v>0.05075080149</v>
      </c>
      <c r="AG348" s="73">
        <f t="shared" si="18"/>
        <v>-1.439166199</v>
      </c>
      <c r="AH348" s="73">
        <f t="shared" si="19"/>
        <v>-1.246461415</v>
      </c>
      <c r="AI348" s="73">
        <f t="shared" si="20"/>
        <v>-2.244392479</v>
      </c>
      <c r="AJ348" s="73">
        <f t="shared" si="21"/>
        <v>-1.150698449</v>
      </c>
      <c r="AK348" s="73">
        <f t="shared" si="22"/>
        <v>-1.009802973</v>
      </c>
      <c r="AL348" s="73">
        <f t="shared" si="23"/>
        <v>0.2075693351</v>
      </c>
      <c r="AM348" s="73">
        <f t="shared" si="24"/>
        <v>0.2600505987</v>
      </c>
      <c r="AN348" s="120">
        <f t="shared" si="25"/>
        <v>-2.244392479</v>
      </c>
      <c r="AO348" s="120">
        <f t="shared" si="26"/>
        <v>-3.846178132</v>
      </c>
      <c r="AP348" s="120">
        <f t="array" ref="AP348">INDIRECT("Update"&amp;Projections!$AH$17&amp;"!S"&amp;ROW(B329))</f>
        <v>7.5</v>
      </c>
      <c r="AQ348" s="120">
        <f t="array" ref="AQ348">INDIRECT("Update"&amp;Projections!$AH$17&amp;"!T"&amp;ROW(B329))</f>
        <v>1.3</v>
      </c>
      <c r="AR348" s="100">
        <f t="shared" si="27"/>
        <v>-6.300308817</v>
      </c>
    </row>
    <row r="349">
      <c r="A349" s="40" t="str">
        <f t="shared" si="3"/>
        <v>Tyler Smith</v>
      </c>
      <c r="B349" s="42">
        <f t="shared" si="4"/>
        <v>-2.161794513</v>
      </c>
      <c r="C349" s="43">
        <f t="shared" si="5"/>
        <v>-1.143540787</v>
      </c>
      <c r="D349" s="42">
        <f t="shared" si="6"/>
        <v>-1.556845312</v>
      </c>
      <c r="E349" s="42">
        <f t="shared" si="7"/>
        <v>-1.565393808</v>
      </c>
      <c r="F349" s="42">
        <f t="shared" si="8"/>
        <v>-2.244392479</v>
      </c>
      <c r="G349" s="42">
        <f t="shared" si="9"/>
        <v>-0.6155173428</v>
      </c>
      <c r="H349" s="42">
        <f t="shared" si="10"/>
        <v>-0.06670004672</v>
      </c>
      <c r="I349" s="42">
        <f>UpdateHashtag!S347</f>
        <v>4.1</v>
      </c>
      <c r="J349" s="47">
        <f t="shared" si="11"/>
        <v>-0.1810767109</v>
      </c>
      <c r="K349" s="48">
        <f>UpdateHashtag!T347</f>
        <v>0.8</v>
      </c>
      <c r="L349" s="42">
        <f t="shared" si="12"/>
        <v>-1.238588102</v>
      </c>
      <c r="N349" s="100">
        <f t="shared" si="13"/>
        <v>326</v>
      </c>
      <c r="O349" s="94" t="str">
        <f t="array" ref="O349">INDIRECT("Update"&amp;Projections!$AH$17&amp;"!B"&amp;ROW(B330))</f>
        <v/>
      </c>
      <c r="P349" s="101" t="str">
        <f t="array" ref="P349">INDIRECT("Update"&amp;Projections!$AH$17&amp;"!C"&amp;ROW(B330))</f>
        <v>Jabari Walker</v>
      </c>
      <c r="Q349" s="94">
        <f>UpdateBBM!F330</f>
        <v>62</v>
      </c>
      <c r="R349" s="105" t="str">
        <f t="array" ref="R349">INDIRECT("Update"&amp;Projections!$AH$17&amp;"!D"&amp;ROW(B330))</f>
        <v>SF,PF</v>
      </c>
      <c r="S349" s="73">
        <f t="shared" si="14"/>
        <v>-6.25592976</v>
      </c>
      <c r="T349" s="73">
        <f>SUM(AE349:AM349)-IFERROR(IFS(Projections!$I$17,AN349,Projections!$J$17,AO349),"")</f>
        <v>-6.25592976</v>
      </c>
      <c r="U349" s="73">
        <f t="shared" si="15"/>
        <v>0</v>
      </c>
      <c r="V349" s="73">
        <f t="array" ref="V349">INDIRECT("Update"&amp;Projections!$AH$17&amp;"!M"&amp;ROW(B330))</f>
        <v>6.4</v>
      </c>
      <c r="W349" s="73">
        <f t="array" ref="W349">INDIRECT("Update"&amp;Projections!$AH$17&amp;"!L"&amp;ROW(B330))</f>
        <v>0.4</v>
      </c>
      <c r="X349" s="73">
        <f t="array" ref="X349">INDIRECT("Update"&amp;Projections!$AH$17&amp;"!N"&amp;ROW(B330))</f>
        <v>4.8</v>
      </c>
      <c r="Y349" s="73">
        <f t="array" ref="Y349">INDIRECT("Update"&amp;Projections!$AH$17&amp;"!O"&amp;ROW(B330))</f>
        <v>0.8</v>
      </c>
      <c r="Z349" s="73">
        <f t="array" ref="Z349">INDIRECT("Update"&amp;Projections!$AH$17&amp;"!P"&amp;ROW(B330))</f>
        <v>0.4</v>
      </c>
      <c r="AA349" s="73">
        <f t="array" ref="AA349">INDIRECT("Update"&amp;Projections!$AH$17&amp;"!Q"&amp;ROW(B330))</f>
        <v>0.3</v>
      </c>
      <c r="AB349" s="107">
        <f t="array" ref="AB349">INDIRECT("Update"&amp;Projections!$AH$17&amp;"!I"&amp;ROW(B330))</f>
        <v>0.449</v>
      </c>
      <c r="AC349" s="107">
        <f t="array" ref="AC349">INDIRECT("Update"&amp;Projections!$AH$17&amp;"!K"&amp;ROW(B330))</f>
        <v>0.752</v>
      </c>
      <c r="AD349" s="73">
        <f t="array" ref="AD349">INDIRECT("Update"&amp;Projections!$AH$17&amp;"!R"&amp;ROW(B330))</f>
        <v>0.7</v>
      </c>
      <c r="AE349" s="73">
        <f t="shared" si="16"/>
        <v>-1.999211295</v>
      </c>
      <c r="AF349" s="73">
        <f t="shared" si="17"/>
        <v>-1.342589385</v>
      </c>
      <c r="AG349" s="73">
        <f t="shared" si="18"/>
        <v>-0.4977332919</v>
      </c>
      <c r="AH349" s="73">
        <f t="shared" si="19"/>
        <v>-1.428708496</v>
      </c>
      <c r="AI349" s="73">
        <f t="shared" si="20"/>
        <v>-1.912459801</v>
      </c>
      <c r="AJ349" s="73">
        <f t="shared" si="21"/>
        <v>-0.7939110449</v>
      </c>
      <c r="AK349" s="73">
        <f t="shared" si="22"/>
        <v>-0.2974165763</v>
      </c>
      <c r="AL349" s="73">
        <f t="shared" si="23"/>
        <v>-0.2431617628</v>
      </c>
      <c r="AM349" s="73">
        <f t="shared" si="24"/>
        <v>0.2600505987</v>
      </c>
      <c r="AN349" s="120">
        <f t="shared" si="25"/>
        <v>-1.999211295</v>
      </c>
      <c r="AO349" s="120">
        <f t="shared" si="26"/>
        <v>-3.911671097</v>
      </c>
      <c r="AP349" s="120">
        <f t="array" ref="AP349">INDIRECT("Update"&amp;Projections!$AH$17&amp;"!S"&amp;ROW(B330))</f>
        <v>5.3</v>
      </c>
      <c r="AQ349" s="120">
        <f t="array" ref="AQ349">INDIRECT("Update"&amp;Projections!$AH$17&amp;"!T"&amp;ROW(B330))</f>
        <v>1.6</v>
      </c>
      <c r="AR349" s="100">
        <f t="shared" si="27"/>
        <v>-6.326179636</v>
      </c>
    </row>
    <row r="350">
      <c r="A350" s="40" t="str">
        <f t="shared" si="3"/>
        <v>Andre Jackson Jr.</v>
      </c>
      <c r="B350" s="42">
        <f t="shared" si="4"/>
        <v>-2.59534976</v>
      </c>
      <c r="C350" s="43">
        <f t="shared" si="5"/>
        <v>-1.342589385</v>
      </c>
      <c r="D350" s="42">
        <f t="shared" si="6"/>
        <v>-1.282260714</v>
      </c>
      <c r="E350" s="42">
        <f t="shared" si="7"/>
        <v>-1.200899644</v>
      </c>
      <c r="F350" s="42">
        <f t="shared" si="8"/>
        <v>-1.912459801</v>
      </c>
      <c r="G350" s="42">
        <f t="shared" si="9"/>
        <v>-0.9723047469</v>
      </c>
      <c r="H350" s="42">
        <f t="shared" si="10"/>
        <v>0.003279274081</v>
      </c>
      <c r="I350" s="42">
        <f>UpdateHashtag!S348</f>
        <v>2.5</v>
      </c>
      <c r="J350" s="47">
        <f t="shared" si="11"/>
        <v>-0.08596500053</v>
      </c>
      <c r="K350" s="48">
        <f>UpdateHashtag!T348</f>
        <v>0.3</v>
      </c>
      <c r="L350" s="42">
        <f t="shared" si="12"/>
        <v>-1.040202395</v>
      </c>
      <c r="N350" s="100">
        <f t="shared" si="13"/>
        <v>332</v>
      </c>
      <c r="O350" s="94" t="str">
        <f t="array" ref="O350">INDIRECT("Update"&amp;Projections!$AH$17&amp;"!B"&amp;ROW(B331))</f>
        <v/>
      </c>
      <c r="P350" s="101" t="str">
        <f t="array" ref="P350">INDIRECT("Update"&amp;Projections!$AH$17&amp;"!C"&amp;ROW(B331))</f>
        <v>Vasilije Micic</v>
      </c>
      <c r="Q350" s="94">
        <f>UpdateBBM!F331</f>
        <v>71</v>
      </c>
      <c r="R350" s="105" t="str">
        <f t="array" ref="R350">INDIRECT("Update"&amp;Projections!$AH$17&amp;"!D"&amp;ROW(B331))</f>
        <v>PG,SG</v>
      </c>
      <c r="S350" s="73">
        <f t="shared" si="14"/>
        <v>-6.449338063</v>
      </c>
      <c r="T350" s="73">
        <f>SUM(AE350:AM350)-IFERROR(IFS(Projections!$I$17,AN350,Projections!$J$17,AO350),"")</f>
        <v>-6.449338063</v>
      </c>
      <c r="U350" s="73">
        <f t="shared" si="15"/>
        <v>0</v>
      </c>
      <c r="V350" s="73">
        <f t="array" ref="V350">INDIRECT("Update"&amp;Projections!$AH$17&amp;"!M"&amp;ROW(B331))</f>
        <v>6</v>
      </c>
      <c r="W350" s="73">
        <f t="array" ref="W350">INDIRECT("Update"&amp;Projections!$AH$17&amp;"!L"&amp;ROW(B331))</f>
        <v>0.6</v>
      </c>
      <c r="X350" s="73">
        <f t="array" ref="X350">INDIRECT("Update"&amp;Projections!$AH$17&amp;"!N"&amp;ROW(B331))</f>
        <v>1.3</v>
      </c>
      <c r="Y350" s="73">
        <f t="array" ref="Y350">INDIRECT("Update"&amp;Projections!$AH$17&amp;"!O"&amp;ROW(B331))</f>
        <v>3.7</v>
      </c>
      <c r="Z350" s="73">
        <f t="array" ref="Z350">INDIRECT("Update"&amp;Projections!$AH$17&amp;"!P"&amp;ROW(B331))</f>
        <v>0.4</v>
      </c>
      <c r="AA350" s="73">
        <f t="array" ref="AA350">INDIRECT("Update"&amp;Projections!$AH$17&amp;"!Q"&amp;ROW(B331))</f>
        <v>0.1</v>
      </c>
      <c r="AB350" s="107">
        <f t="array" ref="AB350">INDIRECT("Update"&amp;Projections!$AH$17&amp;"!I"&amp;ROW(B331))</f>
        <v>0.429</v>
      </c>
      <c r="AC350" s="107">
        <f t="array" ref="AC350">INDIRECT("Update"&amp;Projections!$AH$17&amp;"!K"&amp;ROW(B331))</f>
        <v>0.811</v>
      </c>
      <c r="AD350" s="73">
        <f t="array" ref="AD350">INDIRECT("Update"&amp;Projections!$AH$17&amp;"!R"&amp;ROW(B331))</f>
        <v>1.4</v>
      </c>
      <c r="AE350" s="73">
        <f t="shared" si="16"/>
        <v>-2.071470503</v>
      </c>
      <c r="AF350" s="73">
        <f t="shared" si="17"/>
        <v>-1.143540787</v>
      </c>
      <c r="AG350" s="73">
        <f t="shared" si="18"/>
        <v>-1.870656281</v>
      </c>
      <c r="AH350" s="73">
        <f t="shared" si="19"/>
        <v>-0.1074171541</v>
      </c>
      <c r="AI350" s="73">
        <f t="shared" si="20"/>
        <v>-1.912459801</v>
      </c>
      <c r="AJ350" s="73">
        <f t="shared" si="21"/>
        <v>-1.150698449</v>
      </c>
      <c r="AK350" s="73">
        <f t="shared" si="22"/>
        <v>-0.4136930379</v>
      </c>
      <c r="AL350" s="73">
        <f t="shared" si="23"/>
        <v>0.06266434357</v>
      </c>
      <c r="AM350" s="73">
        <f t="shared" si="24"/>
        <v>0.08646310432</v>
      </c>
      <c r="AN350" s="120">
        <f t="shared" si="25"/>
        <v>-2.071470503</v>
      </c>
      <c r="AO350" s="120">
        <f t="shared" si="26"/>
        <v>-3.983930305</v>
      </c>
      <c r="AP350" s="120">
        <f t="array" ref="AP350">INDIRECT("Update"&amp;Projections!$AH$17&amp;"!S"&amp;ROW(B331))</f>
        <v>5.2</v>
      </c>
      <c r="AQ350" s="120">
        <f t="array" ref="AQ350">INDIRECT("Update"&amp;Projections!$AH$17&amp;"!T"&amp;ROW(B331))</f>
        <v>1.1</v>
      </c>
      <c r="AR350" s="100">
        <f t="shared" si="27"/>
        <v>-6.326839884</v>
      </c>
    </row>
    <row r="351">
      <c r="A351" s="40" t="str">
        <f t="shared" si="3"/>
        <v>Jaylon Tyson</v>
      </c>
      <c r="B351" s="42">
        <f t="shared" si="4"/>
        <v>-1.999211295</v>
      </c>
      <c r="C351" s="43">
        <f t="shared" si="5"/>
        <v>-1.243065086</v>
      </c>
      <c r="D351" s="42">
        <f t="shared" si="6"/>
        <v>-1.47839257</v>
      </c>
      <c r="E351" s="42">
        <f t="shared" si="7"/>
        <v>-1.246461415</v>
      </c>
      <c r="F351" s="42">
        <f t="shared" si="8"/>
        <v>-1.912459801</v>
      </c>
      <c r="G351" s="42">
        <f t="shared" si="9"/>
        <v>-0.9723047469</v>
      </c>
      <c r="H351" s="42">
        <f t="shared" si="10"/>
        <v>-0.2735217286</v>
      </c>
      <c r="I351" s="42">
        <f>UpdateHashtag!S349</f>
        <v>5.2</v>
      </c>
      <c r="J351" s="47">
        <f t="shared" si="11"/>
        <v>-0.08453670661</v>
      </c>
      <c r="K351" s="48">
        <f>UpdateHashtag!T349</f>
        <v>1.5</v>
      </c>
      <c r="L351" s="42">
        <f t="shared" si="12"/>
        <v>-0.7426238329</v>
      </c>
      <c r="N351" s="100">
        <f t="shared" si="13"/>
        <v>314</v>
      </c>
      <c r="O351" s="94" t="str">
        <f t="array" ref="O351">INDIRECT("Update"&amp;Projections!$AH$17&amp;"!B"&amp;ROW(B332))</f>
        <v/>
      </c>
      <c r="P351" s="101" t="str">
        <f t="array" ref="P351">INDIRECT("Update"&amp;Projections!$AH$17&amp;"!C"&amp;ROW(B332))</f>
        <v>Kenrich Williams</v>
      </c>
      <c r="Q351" s="94">
        <f>UpdateBBM!F332</f>
        <v>50</v>
      </c>
      <c r="R351" s="105" t="str">
        <f t="array" ref="R351">INDIRECT("Update"&amp;Projections!$AH$17&amp;"!D"&amp;ROW(B332))</f>
        <v>PF</v>
      </c>
      <c r="S351" s="73">
        <f t="shared" si="14"/>
        <v>-6.051935077</v>
      </c>
      <c r="T351" s="73">
        <f>SUM(AE351:AM351)-IFERROR(IFS(Projections!$I$17,AN351,Projections!$J$17,AO351),"")</f>
        <v>-6.051935077</v>
      </c>
      <c r="U351" s="73">
        <f t="shared" si="15"/>
        <v>0</v>
      </c>
      <c r="V351" s="73">
        <f t="array" ref="V351">INDIRECT("Update"&amp;Projections!$AH$17&amp;"!M"&amp;ROW(B332))</f>
        <v>4.8</v>
      </c>
      <c r="W351" s="73">
        <f t="array" ref="W351">INDIRECT("Update"&amp;Projections!$AH$17&amp;"!L"&amp;ROW(B332))</f>
        <v>0.7</v>
      </c>
      <c r="X351" s="73">
        <f t="array" ref="X351">INDIRECT("Update"&amp;Projections!$AH$17&amp;"!N"&amp;ROW(B332))</f>
        <v>3</v>
      </c>
      <c r="Y351" s="73">
        <f t="array" ref="Y351">INDIRECT("Update"&amp;Projections!$AH$17&amp;"!O"&amp;ROW(B332))</f>
        <v>1.3</v>
      </c>
      <c r="Z351" s="73">
        <f t="array" ref="Z351">INDIRECT("Update"&amp;Projections!$AH$17&amp;"!P"&amp;ROW(B332))</f>
        <v>0.5</v>
      </c>
      <c r="AA351" s="73">
        <f t="array" ref="AA351">INDIRECT("Update"&amp;Projections!$AH$17&amp;"!Q"&amp;ROW(B332))</f>
        <v>0.2</v>
      </c>
      <c r="AB351" s="107">
        <f t="array" ref="AB351">INDIRECT("Update"&amp;Projections!$AH$17&amp;"!I"&amp;ROW(B332))</f>
        <v>0.495</v>
      </c>
      <c r="AC351" s="107">
        <f t="array" ref="AC351">INDIRECT("Update"&amp;Projections!$AH$17&amp;"!K"&amp;ROW(B332))</f>
        <v>0.441</v>
      </c>
      <c r="AD351" s="73">
        <f t="array" ref="AD351">INDIRECT("Update"&amp;Projections!$AH$17&amp;"!R"&amp;ROW(B332))</f>
        <v>0.4</v>
      </c>
      <c r="AE351" s="73">
        <f t="shared" si="16"/>
        <v>-2.288248127</v>
      </c>
      <c r="AF351" s="73">
        <f t="shared" si="17"/>
        <v>-1.044016488</v>
      </c>
      <c r="AG351" s="73">
        <f t="shared" si="18"/>
        <v>-1.203807972</v>
      </c>
      <c r="AH351" s="73">
        <f t="shared" si="19"/>
        <v>-1.200899644</v>
      </c>
      <c r="AI351" s="73">
        <f t="shared" si="20"/>
        <v>-1.580527123</v>
      </c>
      <c r="AJ351" s="73">
        <f t="shared" si="21"/>
        <v>-0.9723047469</v>
      </c>
      <c r="AK351" s="73">
        <f t="shared" si="22"/>
        <v>-0.00881717244</v>
      </c>
      <c r="AL351" s="73">
        <f t="shared" si="23"/>
        <v>-0.3760071692</v>
      </c>
      <c r="AM351" s="73">
        <f t="shared" si="24"/>
        <v>0.3344452391</v>
      </c>
      <c r="AN351" s="120">
        <f t="shared" si="25"/>
        <v>-2.288248127</v>
      </c>
      <c r="AO351" s="120">
        <f t="shared" si="26"/>
        <v>-3.86877525</v>
      </c>
      <c r="AP351" s="120">
        <f t="array" ref="AP351">INDIRECT("Update"&amp;Projections!$AH$17&amp;"!S"&amp;ROW(B332))</f>
        <v>4</v>
      </c>
      <c r="AQ351" s="120">
        <f t="array" ref="AQ351">INDIRECT("Update"&amp;Projections!$AH$17&amp;"!T"&amp;ROW(B332))</f>
        <v>0.3</v>
      </c>
      <c r="AR351" s="100">
        <f t="shared" si="27"/>
        <v>-6.366956815</v>
      </c>
    </row>
    <row r="352">
      <c r="A352" s="40" t="str">
        <f t="shared" si="3"/>
        <v>Keon Johnson</v>
      </c>
      <c r="B352" s="42">
        <f t="shared" si="4"/>
        <v>-1.908887286</v>
      </c>
      <c r="C352" s="43">
        <f t="shared" si="5"/>
        <v>-0.7454435908</v>
      </c>
      <c r="D352" s="42">
        <f t="shared" si="6"/>
        <v>-1.752977168</v>
      </c>
      <c r="E352" s="42">
        <f t="shared" si="7"/>
        <v>-0.8819672513</v>
      </c>
      <c r="F352" s="42">
        <f t="shared" si="8"/>
        <v>-0.9166617668</v>
      </c>
      <c r="G352" s="42">
        <f t="shared" si="9"/>
        <v>-0.9723047469</v>
      </c>
      <c r="H352" s="42">
        <f t="shared" si="10"/>
        <v>-0.8925361319</v>
      </c>
      <c r="I352" s="42">
        <f>UpdateHashtag!S350</f>
        <v>6.3</v>
      </c>
      <c r="J352" s="47">
        <f t="shared" si="11"/>
        <v>-0.4570329464</v>
      </c>
      <c r="K352" s="48">
        <f>UpdateHashtag!T350</f>
        <v>1.7</v>
      </c>
      <c r="L352" s="42">
        <f t="shared" si="12"/>
        <v>-0.2466595634</v>
      </c>
      <c r="N352" s="100">
        <f t="shared" si="13"/>
        <v>308</v>
      </c>
      <c r="O352" s="94" t="str">
        <f t="array" ref="O352">INDIRECT("Update"&amp;Projections!$AH$17&amp;"!B"&amp;ROW(B333))</f>
        <v/>
      </c>
      <c r="P352" s="101" t="str">
        <f t="array" ref="P352">INDIRECT("Update"&amp;Projections!$AH$17&amp;"!C"&amp;ROW(B333))</f>
        <v>Jordan McLaughlin</v>
      </c>
      <c r="Q352" s="94">
        <f>UpdateBBM!F333</f>
        <v>66</v>
      </c>
      <c r="R352" s="105" t="str">
        <f t="array" ref="R352">INDIRECT("Update"&amp;Projections!$AH$17&amp;"!D"&amp;ROW(B333))</f>
        <v>PG,SG</v>
      </c>
      <c r="S352" s="73">
        <f t="shared" si="14"/>
        <v>-5.9742009</v>
      </c>
      <c r="T352" s="73">
        <f>SUM(AE352:AM352)-IFERROR(IFS(Projections!$I$17,AN352,Projections!$J$17,AO352),"")</f>
        <v>-5.9742009</v>
      </c>
      <c r="U352" s="73">
        <f t="shared" si="15"/>
        <v>0</v>
      </c>
      <c r="V352" s="73">
        <f t="array" ref="V352">INDIRECT("Update"&amp;Projections!$AH$17&amp;"!M"&amp;ROW(B333))</f>
        <v>3.4</v>
      </c>
      <c r="W352" s="73">
        <f t="array" ref="W352">INDIRECT("Update"&amp;Projections!$AH$17&amp;"!L"&amp;ROW(B333))</f>
        <v>0.6</v>
      </c>
      <c r="X352" s="73">
        <f t="array" ref="X352">INDIRECT("Update"&amp;Projections!$AH$17&amp;"!N"&amp;ROW(B333))</f>
        <v>1.3</v>
      </c>
      <c r="Y352" s="73">
        <f t="array" ref="Y352">INDIRECT("Update"&amp;Projections!$AH$17&amp;"!O"&amp;ROW(B333))</f>
        <v>2.4</v>
      </c>
      <c r="Z352" s="73">
        <f t="array" ref="Z352">INDIRECT("Update"&amp;Projections!$AH$17&amp;"!P"&amp;ROW(B333))</f>
        <v>0.6</v>
      </c>
      <c r="AA352" s="73">
        <f t="array" ref="AA352">INDIRECT("Update"&amp;Projections!$AH$17&amp;"!Q"&amp;ROW(B333))</f>
        <v>0.1</v>
      </c>
      <c r="AB352" s="107">
        <f t="array" ref="AB352">INDIRECT("Update"&amp;Projections!$AH$17&amp;"!I"&amp;ROW(B333))</f>
        <v>0.453</v>
      </c>
      <c r="AC352" s="107">
        <f t="array" ref="AC352">INDIRECT("Update"&amp;Projections!$AH$17&amp;"!K"&amp;ROW(B333))</f>
        <v>0.765</v>
      </c>
      <c r="AD352" s="73">
        <f t="array" ref="AD352">INDIRECT("Update"&amp;Projections!$AH$17&amp;"!R"&amp;ROW(B333))</f>
        <v>0.5</v>
      </c>
      <c r="AE352" s="73">
        <f t="shared" si="16"/>
        <v>-2.541155354</v>
      </c>
      <c r="AF352" s="73">
        <f t="shared" si="17"/>
        <v>-1.143540787</v>
      </c>
      <c r="AG352" s="73">
        <f t="shared" si="18"/>
        <v>-1.870656281</v>
      </c>
      <c r="AH352" s="73">
        <f t="shared" si="19"/>
        <v>-0.6997201696</v>
      </c>
      <c r="AI352" s="73">
        <f t="shared" si="20"/>
        <v>-1.248594445</v>
      </c>
      <c r="AJ352" s="73">
        <f t="shared" si="21"/>
        <v>-1.150698449</v>
      </c>
      <c r="AK352" s="73">
        <f t="shared" si="22"/>
        <v>-0.1388564951</v>
      </c>
      <c r="AL352" s="73">
        <f t="shared" si="23"/>
        <v>-0.03178129869</v>
      </c>
      <c r="AM352" s="73">
        <f t="shared" si="24"/>
        <v>0.3096470256</v>
      </c>
      <c r="AN352" s="120">
        <f t="shared" si="25"/>
        <v>-2.541155354</v>
      </c>
      <c r="AO352" s="120">
        <f t="shared" si="26"/>
        <v>-4.411811636</v>
      </c>
      <c r="AP352" s="120">
        <f t="array" ref="AP352">INDIRECT("Update"&amp;Projections!$AH$17&amp;"!S"&amp;ROW(B333))</f>
        <v>2.7</v>
      </c>
      <c r="AQ352" s="120">
        <f t="array" ref="AQ352">INDIRECT("Update"&amp;Projections!$AH$17&amp;"!T"&amp;ROW(B333))</f>
        <v>0.3</v>
      </c>
      <c r="AR352" s="100">
        <f t="shared" si="27"/>
        <v>-6.449338063</v>
      </c>
    </row>
    <row r="353">
      <c r="A353" s="40" t="str">
        <f t="shared" si="3"/>
        <v>Chris Duarte</v>
      </c>
      <c r="B353" s="42">
        <f t="shared" si="4"/>
        <v>-2.143729711</v>
      </c>
      <c r="C353" s="43">
        <f t="shared" si="5"/>
        <v>-0.8449678898</v>
      </c>
      <c r="D353" s="42">
        <f t="shared" si="6"/>
        <v>-1.556845312</v>
      </c>
      <c r="E353" s="42">
        <f t="shared" si="7"/>
        <v>-1.337584956</v>
      </c>
      <c r="F353" s="42">
        <f t="shared" si="8"/>
        <v>-1.580527123</v>
      </c>
      <c r="G353" s="42">
        <f t="shared" si="9"/>
        <v>-0.9723047469</v>
      </c>
      <c r="H353" s="42">
        <f t="shared" si="10"/>
        <v>-0.7404608636</v>
      </c>
      <c r="I353" s="42">
        <f>UpdateHashtag!S351</f>
        <v>5.1</v>
      </c>
      <c r="J353" s="47">
        <f t="shared" si="11"/>
        <v>0.149044464</v>
      </c>
      <c r="K353" s="48">
        <f>UpdateHashtag!T351</f>
        <v>1</v>
      </c>
      <c r="L353" s="42">
        <f t="shared" si="12"/>
        <v>-1.139395249</v>
      </c>
      <c r="N353" s="100">
        <f t="shared" si="13"/>
        <v>329</v>
      </c>
      <c r="O353" s="94" t="str">
        <f t="array" ref="O353">INDIRECT("Update"&amp;Projections!$AH$17&amp;"!B"&amp;ROW(B334))</f>
        <v/>
      </c>
      <c r="P353" s="101" t="str">
        <f t="array" ref="P353">INDIRECT("Update"&amp;Projections!$AH$17&amp;"!C"&amp;ROW(B334))</f>
        <v>Johnny Furphy</v>
      </c>
      <c r="Q353" s="94">
        <f>UpdateBBM!F334</f>
        <v>66</v>
      </c>
      <c r="R353" s="105" t="str">
        <f t="array" ref="R353">INDIRECT("Update"&amp;Projections!$AH$17&amp;"!D"&amp;ROW(B334))</f>
        <v>SG</v>
      </c>
      <c r="S353" s="73">
        <f t="shared" si="14"/>
        <v>-6.326179636</v>
      </c>
      <c r="T353" s="73">
        <f>SUM(AE353:AM353)-IFERROR(IFS(Projections!$I$17,AN353,Projections!$J$17,AO353),"")</f>
        <v>-6.326179636</v>
      </c>
      <c r="U353" s="73">
        <f t="shared" si="15"/>
        <v>0</v>
      </c>
      <c r="V353" s="73">
        <f t="array" ref="V353">INDIRECT("Update"&amp;Projections!$AH$17&amp;"!M"&amp;ROW(B334))</f>
        <v>5.1</v>
      </c>
      <c r="W353" s="73">
        <f t="array" ref="W353">INDIRECT("Update"&amp;Projections!$AH$17&amp;"!L"&amp;ROW(B334))</f>
        <v>0.8</v>
      </c>
      <c r="X353" s="73">
        <f t="array" ref="X353">INDIRECT("Update"&amp;Projections!$AH$17&amp;"!N"&amp;ROW(B334))</f>
        <v>2.8</v>
      </c>
      <c r="Y353" s="73">
        <f t="array" ref="Y353">INDIRECT("Update"&amp;Projections!$AH$17&amp;"!O"&amp;ROW(B334))</f>
        <v>0.6</v>
      </c>
      <c r="Z353" s="73">
        <f t="array" ref="Z353">INDIRECT("Update"&amp;Projections!$AH$17&amp;"!P"&amp;ROW(B334))</f>
        <v>0.5</v>
      </c>
      <c r="AA353" s="73">
        <f t="array" ref="AA353">INDIRECT("Update"&amp;Projections!$AH$17&amp;"!Q"&amp;ROW(B334))</f>
        <v>0.2</v>
      </c>
      <c r="AB353" s="107">
        <f t="array" ref="AB353">INDIRECT("Update"&amp;Projections!$AH$17&amp;"!I"&amp;ROW(B334))</f>
        <v>0.457</v>
      </c>
      <c r="AC353" s="107">
        <f t="array" ref="AC353">INDIRECT("Update"&amp;Projections!$AH$17&amp;"!K"&amp;ROW(B334))</f>
        <v>0.761</v>
      </c>
      <c r="AD353" s="73">
        <f t="array" ref="AD353">INDIRECT("Update"&amp;Projections!$AH$17&amp;"!R"&amp;ROW(B334))</f>
        <v>0.5</v>
      </c>
      <c r="AE353" s="73">
        <f t="shared" si="16"/>
        <v>-2.234053721</v>
      </c>
      <c r="AF353" s="73">
        <f t="shared" si="17"/>
        <v>-0.9444921888</v>
      </c>
      <c r="AG353" s="73">
        <f t="shared" si="18"/>
        <v>-1.282260714</v>
      </c>
      <c r="AH353" s="73">
        <f t="shared" si="19"/>
        <v>-1.519832037</v>
      </c>
      <c r="AI353" s="73">
        <f t="shared" si="20"/>
        <v>-1.580527123</v>
      </c>
      <c r="AJ353" s="73">
        <f t="shared" si="21"/>
        <v>-0.9723047469</v>
      </c>
      <c r="AK353" s="73">
        <f t="shared" si="22"/>
        <v>-0.1682651802</v>
      </c>
      <c r="AL353" s="73">
        <f t="shared" si="23"/>
        <v>-0.1681446704</v>
      </c>
      <c r="AM353" s="73">
        <f t="shared" si="24"/>
        <v>0.3096470256</v>
      </c>
      <c r="AN353" s="120">
        <f t="shared" si="25"/>
        <v>-2.234053721</v>
      </c>
      <c r="AO353" s="120">
        <f t="shared" si="26"/>
        <v>-3.814580844</v>
      </c>
      <c r="AP353" s="120">
        <f t="array" ref="AP353">INDIRECT("Update"&amp;Projections!$AH$17&amp;"!S"&amp;ROW(B334))</f>
        <v>3.6</v>
      </c>
      <c r="AQ353" s="120">
        <f t="array" ref="AQ353">INDIRECT("Update"&amp;Projections!$AH$17&amp;"!T"&amp;ROW(B334))</f>
        <v>1.4</v>
      </c>
      <c r="AR353" s="100">
        <f t="shared" si="27"/>
        <v>-6.459490557</v>
      </c>
    </row>
    <row r="354">
      <c r="A354" s="40" t="str">
        <f t="shared" si="3"/>
        <v>Alex Len</v>
      </c>
      <c r="B354" s="42">
        <f t="shared" si="4"/>
        <v>-2.68567377</v>
      </c>
      <c r="C354" s="43">
        <f t="shared" si="5"/>
        <v>-1.740686581</v>
      </c>
      <c r="D354" s="42">
        <f t="shared" si="6"/>
        <v>-1.203807972</v>
      </c>
      <c r="E354" s="42">
        <f t="shared" si="7"/>
        <v>-1.337584956</v>
      </c>
      <c r="F354" s="42">
        <f t="shared" si="8"/>
        <v>-2.576325158</v>
      </c>
      <c r="G354" s="42">
        <f t="shared" si="9"/>
        <v>-0.08033623669</v>
      </c>
      <c r="H354" s="42">
        <f t="shared" si="10"/>
        <v>0.1895156524</v>
      </c>
      <c r="I354" s="42">
        <f>UpdateHashtag!S352</f>
        <v>1.7</v>
      </c>
      <c r="J354" s="47">
        <f t="shared" si="11"/>
        <v>-0.4728895888</v>
      </c>
      <c r="K354" s="48">
        <f>UpdateHashtag!T352</f>
        <v>0.8</v>
      </c>
      <c r="L354" s="42">
        <f t="shared" si="12"/>
        <v>-1.040202395</v>
      </c>
      <c r="N354" s="100">
        <f t="shared" si="13"/>
        <v>310</v>
      </c>
      <c r="O354" s="94" t="str">
        <f t="array" ref="O354">INDIRECT("Update"&amp;Projections!$AH$17&amp;"!B"&amp;ROW(B335))</f>
        <v/>
      </c>
      <c r="P354" s="101" t="str">
        <f t="array" ref="P354">INDIRECT("Update"&amp;Projections!$AH$17&amp;"!C"&amp;ROW(B335))</f>
        <v>Ben Sheppard</v>
      </c>
      <c r="Q354" s="94">
        <f>UpdateBBM!F335</f>
        <v>66</v>
      </c>
      <c r="R354" s="105" t="str">
        <f t="array" ref="R354">INDIRECT("Update"&amp;Projections!$AH$17&amp;"!D"&amp;ROW(B335))</f>
        <v>SG,SF</v>
      </c>
      <c r="S354" s="73">
        <f t="shared" si="14"/>
        <v>-6.00766139</v>
      </c>
      <c r="T354" s="73">
        <f>SUM(AE354:AM354)-IFERROR(IFS(Projections!$I$17,AN354,Projections!$J$17,AO354),"")</f>
        <v>-6.00766139</v>
      </c>
      <c r="U354" s="73">
        <f t="shared" si="15"/>
        <v>0</v>
      </c>
      <c r="V354" s="73">
        <f t="array" ref="V354">INDIRECT("Update"&amp;Projections!$AH$17&amp;"!M"&amp;ROW(B335))</f>
        <v>5.1</v>
      </c>
      <c r="W354" s="73">
        <f t="array" ref="W354">INDIRECT("Update"&amp;Projections!$AH$17&amp;"!L"&amp;ROW(B335))</f>
        <v>1</v>
      </c>
      <c r="X354" s="73">
        <f t="array" ref="X354">INDIRECT("Update"&amp;Projections!$AH$17&amp;"!N"&amp;ROW(B335))</f>
        <v>1.8</v>
      </c>
      <c r="Y354" s="73">
        <f t="array" ref="Y354">INDIRECT("Update"&amp;Projections!$AH$17&amp;"!O"&amp;ROW(B335))</f>
        <v>1.1</v>
      </c>
      <c r="Z354" s="73">
        <f t="array" ref="Z354">INDIRECT("Update"&amp;Projections!$AH$17&amp;"!P"&amp;ROW(B335))</f>
        <v>0.7</v>
      </c>
      <c r="AA354" s="73">
        <f t="array" ref="AA354">INDIRECT("Update"&amp;Projections!$AH$17&amp;"!Q"&amp;ROW(B335))</f>
        <v>0</v>
      </c>
      <c r="AB354" s="107">
        <f t="array" ref="AB354">INDIRECT("Update"&amp;Projections!$AH$17&amp;"!I"&amp;ROW(B335))</f>
        <v>0.393</v>
      </c>
      <c r="AC354" s="107">
        <f t="array" ref="AC354">INDIRECT("Update"&amp;Projections!$AH$17&amp;"!K"&amp;ROW(B335))</f>
        <v>0.887</v>
      </c>
      <c r="AD354" s="73">
        <f t="array" ref="AD354">INDIRECT("Update"&amp;Projections!$AH$17&amp;"!R"&amp;ROW(B335))</f>
        <v>0.3</v>
      </c>
      <c r="AE354" s="73">
        <f t="shared" si="16"/>
        <v>-2.234053721</v>
      </c>
      <c r="AF354" s="73">
        <f t="shared" si="17"/>
        <v>-0.7454435908</v>
      </c>
      <c r="AG354" s="73">
        <f t="shared" si="18"/>
        <v>-1.674524426</v>
      </c>
      <c r="AH354" s="73">
        <f t="shared" si="19"/>
        <v>-1.292023185</v>
      </c>
      <c r="AI354" s="73">
        <f t="shared" si="20"/>
        <v>-0.9166617668</v>
      </c>
      <c r="AJ354" s="73">
        <f t="shared" si="21"/>
        <v>-1.329092151</v>
      </c>
      <c r="AK354" s="73">
        <f t="shared" si="22"/>
        <v>-0.5722174158</v>
      </c>
      <c r="AL354" s="73">
        <f t="shared" si="23"/>
        <v>0.1630576925</v>
      </c>
      <c r="AM354" s="73">
        <f t="shared" si="24"/>
        <v>0.3592434526</v>
      </c>
      <c r="AN354" s="120">
        <f t="shared" si="25"/>
        <v>-2.234053721</v>
      </c>
      <c r="AO354" s="120">
        <f t="shared" si="26"/>
        <v>-3.908578147</v>
      </c>
      <c r="AP354" s="120">
        <f t="array" ref="AP354">INDIRECT("Update"&amp;Projections!$AH$17&amp;"!S"&amp;ROW(B335))</f>
        <v>4.7</v>
      </c>
      <c r="AQ354" s="120">
        <f t="array" ref="AQ354">INDIRECT("Update"&amp;Projections!$AH$17&amp;"!T"&amp;ROW(B335))</f>
        <v>0.5</v>
      </c>
      <c r="AR354" s="100">
        <f t="shared" si="27"/>
        <v>-6.472590848</v>
      </c>
    </row>
    <row r="355">
      <c r="A355" s="40" t="str">
        <f t="shared" si="3"/>
        <v>Kevon Looney</v>
      </c>
      <c r="B355" s="42">
        <f t="shared" si="4"/>
        <v>-2.613414562</v>
      </c>
      <c r="C355" s="43">
        <f t="shared" si="5"/>
        <v>-1.740686581</v>
      </c>
      <c r="D355" s="42">
        <f t="shared" si="6"/>
        <v>-0.850770632</v>
      </c>
      <c r="E355" s="42">
        <f t="shared" si="7"/>
        <v>-1.292023185</v>
      </c>
      <c r="F355" s="42">
        <f t="shared" si="8"/>
        <v>-2.244392479</v>
      </c>
      <c r="G355" s="42">
        <f t="shared" si="9"/>
        <v>-0.7939110449</v>
      </c>
      <c r="H355" s="42">
        <f t="shared" si="10"/>
        <v>0.2956376187</v>
      </c>
      <c r="I355" s="42">
        <f>UpdateHashtag!S353</f>
        <v>2.1</v>
      </c>
      <c r="J355" s="47">
        <f t="shared" si="11"/>
        <v>-0.4587239151</v>
      </c>
      <c r="K355" s="48">
        <f>UpdateHashtag!T353</f>
        <v>0.8</v>
      </c>
      <c r="L355" s="42">
        <f t="shared" si="12"/>
        <v>-1.43697381</v>
      </c>
      <c r="N355" s="100">
        <f t="shared" si="13"/>
        <v>352</v>
      </c>
      <c r="O355" s="94" t="str">
        <f t="array" ref="O355">INDIRECT("Update"&amp;Projections!$AH$17&amp;"!B"&amp;ROW(B336))</f>
        <v/>
      </c>
      <c r="P355" s="101" t="str">
        <f t="array" ref="P355">INDIRECT("Update"&amp;Projections!$AH$17&amp;"!C"&amp;ROW(B336))</f>
        <v>Kenyon Martin Jr.</v>
      </c>
      <c r="Q355" s="94">
        <f>UpdateBBM!F336</f>
        <v>46</v>
      </c>
      <c r="R355" s="105" t="str">
        <f t="array" ref="R355">INDIRECT("Update"&amp;Projections!$AH$17&amp;"!D"&amp;ROW(B336))</f>
        <v>SF,PF</v>
      </c>
      <c r="S355" s="73">
        <f t="shared" si="14"/>
        <v>-6.865029055</v>
      </c>
      <c r="T355" s="73">
        <f>SUM(AE355:AM355)-IFERROR(IFS(Projections!$I$17,AN355,Projections!$J$17,AO355),"")</f>
        <v>-6.865029055</v>
      </c>
      <c r="U355" s="73">
        <f t="shared" si="15"/>
        <v>0</v>
      </c>
      <c r="V355" s="73">
        <f t="array" ref="V355">INDIRECT("Update"&amp;Projections!$AH$17&amp;"!M"&amp;ROW(B336))</f>
        <v>6.7</v>
      </c>
      <c r="W355" s="73">
        <f t="array" ref="W355">INDIRECT("Update"&amp;Projections!$AH$17&amp;"!L"&amp;ROW(B336))</f>
        <v>0.4</v>
      </c>
      <c r="X355" s="73">
        <f t="array" ref="X355">INDIRECT("Update"&amp;Projections!$AH$17&amp;"!N"&amp;ROW(B336))</f>
        <v>3.1</v>
      </c>
      <c r="Y355" s="73">
        <f t="array" ref="Y355">INDIRECT("Update"&amp;Projections!$AH$17&amp;"!O"&amp;ROW(B336))</f>
        <v>0.9</v>
      </c>
      <c r="Z355" s="73">
        <f t="array" ref="Z355">INDIRECT("Update"&amp;Projections!$AH$17&amp;"!P"&amp;ROW(B336))</f>
        <v>0.3</v>
      </c>
      <c r="AA355" s="73">
        <f t="array" ref="AA355">INDIRECT("Update"&amp;Projections!$AH$17&amp;"!Q"&amp;ROW(B336))</f>
        <v>0.2</v>
      </c>
      <c r="AB355" s="107">
        <f t="array" ref="AB355">INDIRECT("Update"&amp;Projections!$AH$17&amp;"!I"&amp;ROW(B336))</f>
        <v>0.562</v>
      </c>
      <c r="AC355" s="107">
        <f t="array" ref="AC355">INDIRECT("Update"&amp;Projections!$AH$17&amp;"!K"&amp;ROW(B336))</f>
        <v>0.657</v>
      </c>
      <c r="AD355" s="73">
        <f t="array" ref="AD355">INDIRECT("Update"&amp;Projections!$AH$17&amp;"!R"&amp;ROW(B336))</f>
        <v>0.7</v>
      </c>
      <c r="AE355" s="73">
        <f t="shared" si="16"/>
        <v>-1.94501689</v>
      </c>
      <c r="AF355" s="73">
        <f t="shared" si="17"/>
        <v>-1.342589385</v>
      </c>
      <c r="AG355" s="73">
        <f t="shared" si="18"/>
        <v>-1.164581601</v>
      </c>
      <c r="AH355" s="73">
        <f t="shared" si="19"/>
        <v>-1.383146726</v>
      </c>
      <c r="AI355" s="73">
        <f t="shared" si="20"/>
        <v>-2.244392479</v>
      </c>
      <c r="AJ355" s="73">
        <f t="shared" si="21"/>
        <v>-0.9723047469</v>
      </c>
      <c r="AK355" s="73">
        <f t="shared" si="22"/>
        <v>0.366334887</v>
      </c>
      <c r="AL355" s="73">
        <f t="shared" si="23"/>
        <v>-0.6837751925</v>
      </c>
      <c r="AM355" s="73">
        <f t="shared" si="24"/>
        <v>0.2600505987</v>
      </c>
      <c r="AN355" s="120">
        <f t="shared" si="25"/>
        <v>-2.244392479</v>
      </c>
      <c r="AO355" s="120">
        <f t="shared" si="26"/>
        <v>-4.189409369</v>
      </c>
      <c r="AP355" s="120">
        <f t="array" ref="AP355">INDIRECT("Update"&amp;Projections!$AH$17&amp;"!S"&amp;ROW(B336))</f>
        <v>4.8</v>
      </c>
      <c r="AQ355" s="120">
        <f t="array" ref="AQ355">INDIRECT("Update"&amp;Projections!$AH$17&amp;"!T"&amp;ROW(B336))</f>
        <v>1.4</v>
      </c>
      <c r="AR355" s="100">
        <f t="shared" si="27"/>
        <v>-6.474329494</v>
      </c>
    </row>
    <row r="356">
      <c r="A356" s="40" t="str">
        <f t="shared" si="3"/>
        <v>Jeremiah Robinson-Earl</v>
      </c>
      <c r="B356" s="42">
        <f t="shared" si="4"/>
        <v>-2.378572137</v>
      </c>
      <c r="C356" s="43">
        <f t="shared" si="5"/>
        <v>-1.243065086</v>
      </c>
      <c r="D356" s="42">
        <f t="shared" si="6"/>
        <v>-1.321487086</v>
      </c>
      <c r="E356" s="42">
        <f t="shared" si="7"/>
        <v>-1.474270267</v>
      </c>
      <c r="F356" s="42">
        <f t="shared" si="8"/>
        <v>-1.912459801</v>
      </c>
      <c r="G356" s="42">
        <f t="shared" si="9"/>
        <v>-0.9723047469</v>
      </c>
      <c r="H356" s="42">
        <f t="shared" si="10"/>
        <v>-0.1946212299</v>
      </c>
      <c r="I356" s="42">
        <f>UpdateHashtag!S354</f>
        <v>3.7</v>
      </c>
      <c r="J356" s="47">
        <f t="shared" si="11"/>
        <v>0.02355629578</v>
      </c>
      <c r="K356" s="48">
        <f>UpdateHashtag!T354</f>
        <v>0.6</v>
      </c>
      <c r="L356" s="42">
        <f t="shared" si="12"/>
        <v>-1.337780956</v>
      </c>
      <c r="N356" s="100">
        <f t="shared" si="13"/>
        <v>348</v>
      </c>
      <c r="O356" s="94" t="str">
        <f t="array" ref="O356">INDIRECT("Update"&amp;Projections!$AH$17&amp;"!B"&amp;ROW(B337))</f>
        <v/>
      </c>
      <c r="P356" s="101" t="str">
        <f t="array" ref="P356">INDIRECT("Update"&amp;Projections!$AH$17&amp;"!C"&amp;ROW(B337))</f>
        <v>Dwight Powell</v>
      </c>
      <c r="Q356" s="94">
        <f>UpdateBBM!F337</f>
        <v>71</v>
      </c>
      <c r="R356" s="105" t="str">
        <f t="array" ref="R356">INDIRECT("Update"&amp;Projections!$AH$17&amp;"!D"&amp;ROW(B337))</f>
        <v>C</v>
      </c>
      <c r="S356" s="73">
        <f t="shared" si="14"/>
        <v>-6.758285934</v>
      </c>
      <c r="T356" s="73">
        <f>SUM(AE356:AM356)-IFERROR(IFS(Projections!$I$17,AN356,Projections!$J$17,AO356),"")</f>
        <v>-6.758285934</v>
      </c>
      <c r="U356" s="73">
        <f t="shared" si="15"/>
        <v>0</v>
      </c>
      <c r="V356" s="73">
        <f t="array" ref="V356">INDIRECT("Update"&amp;Projections!$AH$17&amp;"!M"&amp;ROW(B337))</f>
        <v>4.2</v>
      </c>
      <c r="W356" s="73">
        <f t="array" ref="W356">INDIRECT("Update"&amp;Projections!$AH$17&amp;"!L"&amp;ROW(B337))</f>
        <v>0</v>
      </c>
      <c r="X356" s="73">
        <f t="array" ref="X356">INDIRECT("Update"&amp;Projections!$AH$17&amp;"!N"&amp;ROW(B337))</f>
        <v>3.1</v>
      </c>
      <c r="Y356" s="73">
        <f t="array" ref="Y356">INDIRECT("Update"&amp;Projections!$AH$17&amp;"!O"&amp;ROW(B337))</f>
        <v>0.9</v>
      </c>
      <c r="Z356" s="73">
        <f t="array" ref="Z356">INDIRECT("Update"&amp;Projections!$AH$17&amp;"!P"&amp;ROW(B337))</f>
        <v>0.4</v>
      </c>
      <c r="AA356" s="73">
        <f t="array" ref="AA356">INDIRECT("Update"&amp;Projections!$AH$17&amp;"!Q"&amp;ROW(B337))</f>
        <v>0.3</v>
      </c>
      <c r="AB356" s="107">
        <f t="array" ref="AB356">INDIRECT("Update"&amp;Projections!$AH$17&amp;"!I"&amp;ROW(B337))</f>
        <v>0.719</v>
      </c>
      <c r="AC356" s="107">
        <f t="array" ref="AC356">INDIRECT("Update"&amp;Projections!$AH$17&amp;"!K"&amp;ROW(B337))</f>
        <v>0.678</v>
      </c>
      <c r="AD356" s="73">
        <f t="array" ref="AD356">INDIRECT("Update"&amp;Projections!$AH$17&amp;"!R"&amp;ROW(B337))</f>
        <v>0.6</v>
      </c>
      <c r="AE356" s="73">
        <f t="shared" si="16"/>
        <v>-2.396636939</v>
      </c>
      <c r="AF356" s="73">
        <f t="shared" si="17"/>
        <v>-1.740686581</v>
      </c>
      <c r="AG356" s="73">
        <f t="shared" si="18"/>
        <v>-1.164581601</v>
      </c>
      <c r="AH356" s="73">
        <f t="shared" si="19"/>
        <v>-1.383146726</v>
      </c>
      <c r="AI356" s="73">
        <f t="shared" si="20"/>
        <v>-1.912459801</v>
      </c>
      <c r="AJ356" s="73">
        <f t="shared" si="21"/>
        <v>-0.7939110449</v>
      </c>
      <c r="AK356" s="73">
        <f t="shared" si="22"/>
        <v>0.5727126056</v>
      </c>
      <c r="AL356" s="73">
        <f t="shared" si="23"/>
        <v>-0.6210615974</v>
      </c>
      <c r="AM356" s="73">
        <f t="shared" si="24"/>
        <v>0.2848488121</v>
      </c>
      <c r="AN356" s="120">
        <f t="shared" si="25"/>
        <v>-2.396636939</v>
      </c>
      <c r="AO356" s="120">
        <f t="shared" si="26"/>
        <v>-4.30909674</v>
      </c>
      <c r="AP356" s="120">
        <f t="array" ref="AP356">INDIRECT("Update"&amp;Projections!$AH$17&amp;"!S"&amp;ROW(B337))</f>
        <v>2.2</v>
      </c>
      <c r="AQ356" s="120">
        <f t="array" ref="AQ356">INDIRECT("Update"&amp;Projections!$AH$17&amp;"!T"&amp;ROW(B337))</f>
        <v>1.5</v>
      </c>
      <c r="AR356" s="100">
        <f t="shared" si="27"/>
        <v>-6.493684795</v>
      </c>
    </row>
    <row r="357">
      <c r="A357" s="40" t="str">
        <f t="shared" si="3"/>
        <v>Jamal Cain</v>
      </c>
      <c r="B357" s="42">
        <f t="shared" si="4"/>
        <v>-2.360507335</v>
      </c>
      <c r="C357" s="43">
        <f t="shared" si="5"/>
        <v>-1.342589385</v>
      </c>
      <c r="D357" s="42">
        <f t="shared" si="6"/>
        <v>-1.596071683</v>
      </c>
      <c r="E357" s="42">
        <f t="shared" si="7"/>
        <v>-1.565393808</v>
      </c>
      <c r="F357" s="42">
        <f t="shared" si="8"/>
        <v>-1.580527123</v>
      </c>
      <c r="G357" s="42">
        <f t="shared" si="9"/>
        <v>-1.150698449</v>
      </c>
      <c r="H357" s="42">
        <f t="shared" si="10"/>
        <v>-0.03434738838</v>
      </c>
      <c r="I357" s="42">
        <f>UpdateHashtag!S355</f>
        <v>3.3</v>
      </c>
      <c r="J357" s="47">
        <f t="shared" si="11"/>
        <v>-0.04573354915</v>
      </c>
      <c r="K357" s="48">
        <f>UpdateHashtag!T355</f>
        <v>1</v>
      </c>
      <c r="L357" s="42">
        <f t="shared" si="12"/>
        <v>-1.43697381</v>
      </c>
      <c r="N357" s="100">
        <f t="shared" si="13"/>
        <v>353</v>
      </c>
      <c r="O357" s="94" t="str">
        <f t="array" ref="O357">INDIRECT("Update"&amp;Projections!$AH$17&amp;"!B"&amp;ROW(B338))</f>
        <v/>
      </c>
      <c r="P357" s="101" t="str">
        <f t="array" ref="P357">INDIRECT("Update"&amp;Projections!$AH$17&amp;"!C"&amp;ROW(B338))</f>
        <v>Yves Missi</v>
      </c>
      <c r="Q357" s="94">
        <f>UpdateBBM!F338</f>
        <v>40</v>
      </c>
      <c r="R357" s="105" t="str">
        <f t="array" ref="R357">INDIRECT("Update"&amp;Projections!$AH$17&amp;"!D"&amp;ROW(B338))</f>
        <v>C</v>
      </c>
      <c r="S357" s="73">
        <f t="shared" si="14"/>
        <v>-6.898684734</v>
      </c>
      <c r="T357" s="73">
        <f>SUM(AE357:AM357)-IFERROR(IFS(Projections!$I$17,AN357,Projections!$J$17,AO357),"")</f>
        <v>-6.898684734</v>
      </c>
      <c r="U357" s="73">
        <f t="shared" si="15"/>
        <v>0</v>
      </c>
      <c r="V357" s="73">
        <f t="array" ref="V357">INDIRECT("Update"&amp;Projections!$AH$17&amp;"!M"&amp;ROW(B338))</f>
        <v>6.3</v>
      </c>
      <c r="W357" s="73">
        <f t="array" ref="W357">INDIRECT("Update"&amp;Projections!$AH$17&amp;"!L"&amp;ROW(B338))</f>
        <v>0</v>
      </c>
      <c r="X357" s="73">
        <f t="array" ref="X357">INDIRECT("Update"&amp;Projections!$AH$17&amp;"!N"&amp;ROW(B338))</f>
        <v>3.3</v>
      </c>
      <c r="Y357" s="73">
        <f t="array" ref="Y357">INDIRECT("Update"&amp;Projections!$AH$17&amp;"!O"&amp;ROW(B338))</f>
        <v>0.2</v>
      </c>
      <c r="Z357" s="73">
        <f t="array" ref="Z357">INDIRECT("Update"&amp;Projections!$AH$17&amp;"!P"&amp;ROW(B338))</f>
        <v>0.4</v>
      </c>
      <c r="AA357" s="73">
        <f t="array" ref="AA357">INDIRECT("Update"&amp;Projections!$AH$17&amp;"!Q"&amp;ROW(B338))</f>
        <v>0.9</v>
      </c>
      <c r="AB357" s="107">
        <f t="array" ref="AB357">INDIRECT("Update"&amp;Projections!$AH$17&amp;"!I"&amp;ROW(B338))</f>
        <v>0.614</v>
      </c>
      <c r="AC357" s="107">
        <f t="array" ref="AC357">INDIRECT("Update"&amp;Projections!$AH$17&amp;"!K"&amp;ROW(B338))</f>
        <v>0.615</v>
      </c>
      <c r="AD357" s="73">
        <f t="array" ref="AD357">INDIRECT("Update"&amp;Projections!$AH$17&amp;"!R"&amp;ROW(B338))</f>
        <v>0.7</v>
      </c>
      <c r="AE357" s="73">
        <f t="shared" si="16"/>
        <v>-2.017276097</v>
      </c>
      <c r="AF357" s="73">
        <f t="shared" si="17"/>
        <v>-1.740686581</v>
      </c>
      <c r="AG357" s="73">
        <f t="shared" si="18"/>
        <v>-1.086128859</v>
      </c>
      <c r="AH357" s="73">
        <f t="shared" si="19"/>
        <v>-1.702079119</v>
      </c>
      <c r="AI357" s="73">
        <f t="shared" si="20"/>
        <v>-1.912459801</v>
      </c>
      <c r="AJ357" s="73">
        <f t="shared" si="21"/>
        <v>0.2764511674</v>
      </c>
      <c r="AK357" s="73">
        <f t="shared" si="22"/>
        <v>0.5353288811</v>
      </c>
      <c r="AL357" s="73">
        <f t="shared" si="23"/>
        <v>-1.529161021</v>
      </c>
      <c r="AM357" s="73">
        <f t="shared" si="24"/>
        <v>0.2600505987</v>
      </c>
      <c r="AN357" s="120">
        <f t="shared" si="25"/>
        <v>-2.017276097</v>
      </c>
      <c r="AO357" s="120">
        <f t="shared" si="26"/>
        <v>-3.929735899</v>
      </c>
      <c r="AP357" s="120">
        <f t="array" ref="AP357">INDIRECT("Update"&amp;Projections!$AH$17&amp;"!S"&amp;ROW(B338))</f>
        <v>3.9</v>
      </c>
      <c r="AQ357" s="120">
        <f t="array" ref="AQ357">INDIRECT("Update"&amp;Projections!$AH$17&amp;"!T"&amp;ROW(B338))</f>
        <v>2.4</v>
      </c>
      <c r="AR357" s="100">
        <f t="shared" si="27"/>
        <v>-6.511818176</v>
      </c>
    </row>
    <row r="358">
      <c r="A358" s="40" t="str">
        <f t="shared" si="3"/>
        <v>Dru Smith</v>
      </c>
      <c r="B358" s="42">
        <f t="shared" si="4"/>
        <v>-2.68567377</v>
      </c>
      <c r="C358" s="43">
        <f t="shared" si="5"/>
        <v>-1.342589385</v>
      </c>
      <c r="D358" s="42">
        <f t="shared" si="6"/>
        <v>-1.909882652</v>
      </c>
      <c r="E358" s="42">
        <f t="shared" si="7"/>
        <v>-1.292023185</v>
      </c>
      <c r="F358" s="42">
        <f t="shared" si="8"/>
        <v>-1.248594445</v>
      </c>
      <c r="G358" s="42">
        <f t="shared" si="9"/>
        <v>-0.9723047469</v>
      </c>
      <c r="H358" s="42">
        <f t="shared" si="10"/>
        <v>-0.2134376658</v>
      </c>
      <c r="I358" s="42">
        <f>UpdateHashtag!S356</f>
        <v>2.4</v>
      </c>
      <c r="J358" s="47">
        <f t="shared" si="11"/>
        <v>0.1452591333</v>
      </c>
      <c r="K358" s="48">
        <f>UpdateHashtag!T356</f>
        <v>0.2</v>
      </c>
      <c r="L358" s="42">
        <f t="shared" si="12"/>
        <v>-1.43697381</v>
      </c>
      <c r="N358" s="100">
        <f t="shared" si="13"/>
        <v>333</v>
      </c>
      <c r="O358" s="94" t="str">
        <f t="array" ref="O358">INDIRECT("Update"&amp;Projections!$AH$17&amp;"!B"&amp;ROW(B339))</f>
        <v/>
      </c>
      <c r="P358" s="101" t="str">
        <f t="array" ref="P358">INDIRECT("Update"&amp;Projections!$AH$17&amp;"!C"&amp;ROW(B339))</f>
        <v>Jake LaRavia</v>
      </c>
      <c r="Q358" s="94">
        <f>UpdateBBM!F339</f>
        <v>71</v>
      </c>
      <c r="R358" s="105" t="str">
        <f t="array" ref="R358">INDIRECT("Update"&amp;Projections!$AH$17&amp;"!D"&amp;ROW(B339))</f>
        <v>SF,PF</v>
      </c>
      <c r="S358" s="73">
        <f t="shared" si="14"/>
        <v>-6.459490557</v>
      </c>
      <c r="T358" s="73">
        <f>SUM(AE358:AM358)-IFERROR(IFS(Projections!$I$17,AN358,Projections!$J$17,AO358),"")</f>
        <v>-6.459490557</v>
      </c>
      <c r="U358" s="73">
        <f t="shared" si="15"/>
        <v>0</v>
      </c>
      <c r="V358" s="73">
        <f t="array" ref="V358">INDIRECT("Update"&amp;Projections!$AH$17&amp;"!M"&amp;ROW(B339))</f>
        <v>5.9</v>
      </c>
      <c r="W358" s="73">
        <f t="array" ref="W358">INDIRECT("Update"&amp;Projections!$AH$17&amp;"!L"&amp;ROW(B339))</f>
        <v>0.9</v>
      </c>
      <c r="X358" s="73">
        <f t="array" ref="X358">INDIRECT("Update"&amp;Projections!$AH$17&amp;"!N"&amp;ROW(B339))</f>
        <v>2.3</v>
      </c>
      <c r="Y358" s="73">
        <f t="array" ref="Y358">INDIRECT("Update"&amp;Projections!$AH$17&amp;"!O"&amp;ROW(B339))</f>
        <v>1</v>
      </c>
      <c r="Z358" s="73">
        <f t="array" ref="Z358">INDIRECT("Update"&amp;Projections!$AH$17&amp;"!P"&amp;ROW(B339))</f>
        <v>0.5</v>
      </c>
      <c r="AA358" s="73">
        <f t="array" ref="AA358">INDIRECT("Update"&amp;Projections!$AH$17&amp;"!Q"&amp;ROW(B339))</f>
        <v>0.2</v>
      </c>
      <c r="AB358" s="107">
        <f t="array" ref="AB358">INDIRECT("Update"&amp;Projections!$AH$17&amp;"!I"&amp;ROW(B339))</f>
        <v>0.389</v>
      </c>
      <c r="AC358" s="107">
        <f t="array" ref="AC358">INDIRECT("Update"&amp;Projections!$AH$17&amp;"!K"&amp;ROW(B339))</f>
        <v>0.821</v>
      </c>
      <c r="AD358" s="73">
        <f t="array" ref="AD358">INDIRECT("Update"&amp;Projections!$AH$17&amp;"!R"&amp;ROW(B339))</f>
        <v>0.8</v>
      </c>
      <c r="AE358" s="73">
        <f t="shared" si="16"/>
        <v>-2.089535305</v>
      </c>
      <c r="AF358" s="73">
        <f t="shared" si="17"/>
        <v>-0.8449678898</v>
      </c>
      <c r="AG358" s="73">
        <f t="shared" si="18"/>
        <v>-1.47839257</v>
      </c>
      <c r="AH358" s="73">
        <f t="shared" si="19"/>
        <v>-1.337584956</v>
      </c>
      <c r="AI358" s="73">
        <f t="shared" si="20"/>
        <v>-1.580527123</v>
      </c>
      <c r="AJ358" s="73">
        <f t="shared" si="21"/>
        <v>-0.9723047469</v>
      </c>
      <c r="AK358" s="73">
        <f t="shared" si="22"/>
        <v>-0.619538311</v>
      </c>
      <c r="AL358" s="73">
        <f t="shared" si="23"/>
        <v>0.1385726539</v>
      </c>
      <c r="AM358" s="73">
        <f t="shared" si="24"/>
        <v>0.2352523852</v>
      </c>
      <c r="AN358" s="120">
        <f t="shared" si="25"/>
        <v>-2.089535305</v>
      </c>
      <c r="AO358" s="120">
        <f t="shared" si="26"/>
        <v>-3.670062428</v>
      </c>
      <c r="AP358" s="120">
        <f t="array" ref="AP358">INDIRECT("Update"&amp;Projections!$AH$17&amp;"!S"&amp;ROW(B339))</f>
        <v>4.9</v>
      </c>
      <c r="AQ358" s="120">
        <f t="array" ref="AQ358">INDIRECT("Update"&amp;Projections!$AH$17&amp;"!T"&amp;ROW(B339))</f>
        <v>1.5</v>
      </c>
      <c r="AR358" s="100">
        <f t="shared" si="27"/>
        <v>-6.525073344</v>
      </c>
    </row>
    <row r="359">
      <c r="A359" s="40" t="str">
        <f t="shared" si="3"/>
        <v>Zeke Nnaji</v>
      </c>
      <c r="B359" s="42">
        <f t="shared" si="4"/>
        <v>-2.378572137</v>
      </c>
      <c r="C359" s="43">
        <f t="shared" si="5"/>
        <v>-1.541637983</v>
      </c>
      <c r="D359" s="42">
        <f t="shared" si="6"/>
        <v>-1.399939828</v>
      </c>
      <c r="E359" s="42">
        <f t="shared" si="7"/>
        <v>-1.565393808</v>
      </c>
      <c r="F359" s="42">
        <f t="shared" si="8"/>
        <v>-2.244392479</v>
      </c>
      <c r="G359" s="42">
        <f t="shared" si="9"/>
        <v>-0.2587299387</v>
      </c>
      <c r="H359" s="42">
        <f t="shared" si="10"/>
        <v>0.08295593225</v>
      </c>
      <c r="I359" s="42">
        <f>UpdateHashtag!S357</f>
        <v>3.2</v>
      </c>
      <c r="J359" s="47">
        <f t="shared" si="11"/>
        <v>-0.5563451074</v>
      </c>
      <c r="K359" s="48">
        <f>UpdateHashtag!T357</f>
        <v>1.2</v>
      </c>
      <c r="L359" s="42">
        <f t="shared" si="12"/>
        <v>-1.238588102</v>
      </c>
      <c r="N359" s="100">
        <f t="shared" si="13"/>
        <v>346</v>
      </c>
      <c r="O359" s="94">
        <f t="array" ref="O359">INDIRECT("Update"&amp;Projections!$AH$17&amp;"!B"&amp;ROW(B340))</f>
        <v>142.7</v>
      </c>
      <c r="P359" s="101" t="str">
        <f t="array" ref="P359">INDIRECT("Update"&amp;Projections!$AH$17&amp;"!C"&amp;ROW(B340))</f>
        <v>Kel'el Ware</v>
      </c>
      <c r="Q359" s="94">
        <f>UpdateBBM!F340</f>
        <v>46</v>
      </c>
      <c r="R359" s="105" t="str">
        <f t="array" ref="R359">INDIRECT("Update"&amp;Projections!$AH$17&amp;"!D"&amp;ROW(B340))</f>
        <v>C</v>
      </c>
      <c r="S359" s="73">
        <f t="shared" si="14"/>
        <v>-6.672078315</v>
      </c>
      <c r="T359" s="73">
        <f>SUM(AE359:AM359)-IFERROR(IFS(Projections!$I$17,AN359,Projections!$J$17,AO359),"")</f>
        <v>-6.672078315</v>
      </c>
      <c r="U359" s="73">
        <f t="shared" si="15"/>
        <v>0</v>
      </c>
      <c r="V359" s="73">
        <f t="array" ref="V359">INDIRECT("Update"&amp;Projections!$AH$17&amp;"!M"&amp;ROW(B340))</f>
        <v>6.3</v>
      </c>
      <c r="W359" s="73">
        <f t="array" ref="W359">INDIRECT("Update"&amp;Projections!$AH$17&amp;"!L"&amp;ROW(B340))</f>
        <v>0.2</v>
      </c>
      <c r="X359" s="73">
        <f t="array" ref="X359">INDIRECT("Update"&amp;Projections!$AH$17&amp;"!N"&amp;ROW(B340))</f>
        <v>3.9</v>
      </c>
      <c r="Y359" s="73">
        <f t="array" ref="Y359">INDIRECT("Update"&amp;Projections!$AH$17&amp;"!O"&amp;ROW(B340))</f>
        <v>0.6</v>
      </c>
      <c r="Z359" s="73">
        <f t="array" ref="Z359">INDIRECT("Update"&amp;Projections!$AH$17&amp;"!P"&amp;ROW(B340))</f>
        <v>0.2</v>
      </c>
      <c r="AA359" s="73">
        <f t="array" ref="AA359">INDIRECT("Update"&amp;Projections!$AH$17&amp;"!Q"&amp;ROW(B340))</f>
        <v>0.7</v>
      </c>
      <c r="AB359" s="107">
        <f t="array" ref="AB359">INDIRECT("Update"&amp;Projections!$AH$17&amp;"!I"&amp;ROW(B340))</f>
        <v>0.512</v>
      </c>
      <c r="AC359" s="107">
        <f t="array" ref="AC359">INDIRECT("Update"&amp;Projections!$AH$17&amp;"!K"&amp;ROW(B340))</f>
        <v>0.633</v>
      </c>
      <c r="AD359" s="73">
        <f t="array" ref="AD359">INDIRECT("Update"&amp;Projections!$AH$17&amp;"!R"&amp;ROW(B340))</f>
        <v>0.6</v>
      </c>
      <c r="AE359" s="73">
        <f t="shared" si="16"/>
        <v>-2.017276097</v>
      </c>
      <c r="AF359" s="73">
        <f t="shared" si="17"/>
        <v>-1.541637983</v>
      </c>
      <c r="AG359" s="73">
        <f t="shared" si="18"/>
        <v>-0.850770632</v>
      </c>
      <c r="AH359" s="73">
        <f t="shared" si="19"/>
        <v>-1.519832037</v>
      </c>
      <c r="AI359" s="73">
        <f t="shared" si="20"/>
        <v>-2.576325158</v>
      </c>
      <c r="AJ359" s="73">
        <f t="shared" si="21"/>
        <v>-0.08033623669</v>
      </c>
      <c r="AK359" s="73">
        <f t="shared" si="22"/>
        <v>0.08505466766</v>
      </c>
      <c r="AL359" s="73">
        <f t="shared" si="23"/>
        <v>-1.032128809</v>
      </c>
      <c r="AM359" s="73">
        <f t="shared" si="24"/>
        <v>0.2848488121</v>
      </c>
      <c r="AN359" s="120">
        <f t="shared" si="25"/>
        <v>-2.576325158</v>
      </c>
      <c r="AO359" s="120">
        <f t="shared" si="26"/>
        <v>-4.593601255</v>
      </c>
      <c r="AP359" s="120">
        <f t="array" ref="AP359">INDIRECT("Update"&amp;Projections!$AH$17&amp;"!S"&amp;ROW(B340))</f>
        <v>4.8</v>
      </c>
      <c r="AQ359" s="120">
        <f t="array" ref="AQ359">INDIRECT("Update"&amp;Projections!$AH$17&amp;"!T"&amp;ROW(B340))</f>
        <v>1.8</v>
      </c>
      <c r="AR359" s="100">
        <f t="shared" si="27"/>
        <v>-6.526166021</v>
      </c>
    </row>
    <row r="360">
      <c r="A360" s="40" t="str">
        <f t="shared" si="3"/>
        <v>Kobe Bufkin</v>
      </c>
      <c r="B360" s="42">
        <f t="shared" si="4"/>
        <v>-1.999211295</v>
      </c>
      <c r="C360" s="43">
        <f t="shared" si="5"/>
        <v>-1.044016488</v>
      </c>
      <c r="D360" s="42">
        <f t="shared" si="6"/>
        <v>-1.360713457</v>
      </c>
      <c r="E360" s="42">
        <f t="shared" si="7"/>
        <v>-0.8364054809</v>
      </c>
      <c r="F360" s="42">
        <f t="shared" si="8"/>
        <v>-1.248594445</v>
      </c>
      <c r="G360" s="42">
        <f t="shared" si="9"/>
        <v>-0.6155173428</v>
      </c>
      <c r="H360" s="42">
        <f t="shared" si="10"/>
        <v>-1.085542174</v>
      </c>
      <c r="I360" s="42">
        <f>UpdateHashtag!S358</f>
        <v>7.3</v>
      </c>
      <c r="J360" s="47">
        <f t="shared" si="11"/>
        <v>-0.6096493179</v>
      </c>
      <c r="K360" s="48">
        <f>UpdateHashtag!T358</f>
        <v>0.6</v>
      </c>
      <c r="L360" s="42">
        <f t="shared" si="12"/>
        <v>-0.9410095407</v>
      </c>
      <c r="N360" s="100">
        <f t="shared" si="13"/>
        <v>350</v>
      </c>
      <c r="O360" s="94" t="str">
        <f t="array" ref="O360">INDIRECT("Update"&amp;Projections!$AH$17&amp;"!B"&amp;ROW(B341))</f>
        <v/>
      </c>
      <c r="P360" s="101" t="str">
        <f t="array" ref="P360">INDIRECT("Update"&amp;Projections!$AH$17&amp;"!C"&amp;ROW(B341))</f>
        <v>Tristan Da Silva</v>
      </c>
      <c r="Q360" s="94">
        <f>UpdateBBM!F341</f>
        <v>49</v>
      </c>
      <c r="R360" s="105" t="str">
        <f t="array" ref="R360">INDIRECT("Update"&amp;Projections!$AH$17&amp;"!D"&amp;ROW(B341))</f>
        <v>SF</v>
      </c>
      <c r="S360" s="73">
        <f t="shared" si="14"/>
        <v>-6.77334618</v>
      </c>
      <c r="T360" s="73">
        <f>SUM(AE360:AM360)-IFERROR(IFS(Projections!$I$17,AN360,Projections!$J$17,AO360),"")</f>
        <v>-6.77334618</v>
      </c>
      <c r="U360" s="73">
        <f t="shared" si="15"/>
        <v>0</v>
      </c>
      <c r="V360" s="73">
        <f t="array" ref="V360">INDIRECT("Update"&amp;Projections!$AH$17&amp;"!M"&amp;ROW(B341))</f>
        <v>5.4</v>
      </c>
      <c r="W360" s="73">
        <f t="array" ref="W360">INDIRECT("Update"&amp;Projections!$AH$17&amp;"!L"&amp;ROW(B341))</f>
        <v>0.6</v>
      </c>
      <c r="X360" s="73">
        <f t="array" ref="X360">INDIRECT("Update"&amp;Projections!$AH$17&amp;"!N"&amp;ROW(B341))</f>
        <v>1.7</v>
      </c>
      <c r="Y360" s="73">
        <f t="array" ref="Y360">INDIRECT("Update"&amp;Projections!$AH$17&amp;"!O"&amp;ROW(B341))</f>
        <v>0.8</v>
      </c>
      <c r="Z360" s="73">
        <f t="array" ref="Z360">INDIRECT("Update"&amp;Projections!$AH$17&amp;"!P"&amp;ROW(B341))</f>
        <v>0.4</v>
      </c>
      <c r="AA360" s="73">
        <f t="array" ref="AA360">INDIRECT("Update"&amp;Projections!$AH$17&amp;"!Q"&amp;ROW(B341))</f>
        <v>0.2</v>
      </c>
      <c r="AB360" s="107">
        <f t="array" ref="AB360">INDIRECT("Update"&amp;Projections!$AH$17&amp;"!I"&amp;ROW(B341))</f>
        <v>0.492</v>
      </c>
      <c r="AC360" s="107">
        <f t="array" ref="AC360">INDIRECT("Update"&amp;Projections!$AH$17&amp;"!K"&amp;ROW(B341))</f>
        <v>0.833</v>
      </c>
      <c r="AD360" s="73">
        <f t="array" ref="AD360">INDIRECT("Update"&amp;Projections!$AH$17&amp;"!R"&amp;ROW(B341))</f>
        <v>0.6</v>
      </c>
      <c r="AE360" s="73">
        <f t="shared" si="16"/>
        <v>-2.179859315</v>
      </c>
      <c r="AF360" s="73">
        <f t="shared" si="17"/>
        <v>-1.143540787</v>
      </c>
      <c r="AG360" s="73">
        <f t="shared" si="18"/>
        <v>-1.713750797</v>
      </c>
      <c r="AH360" s="73">
        <f t="shared" si="19"/>
        <v>-1.428708496</v>
      </c>
      <c r="AI360" s="73">
        <f t="shared" si="20"/>
        <v>-1.912459801</v>
      </c>
      <c r="AJ360" s="73">
        <f t="shared" si="21"/>
        <v>-0.9723047469</v>
      </c>
      <c r="AK360" s="73">
        <f t="shared" si="22"/>
        <v>-0.02230915382</v>
      </c>
      <c r="AL360" s="73">
        <f t="shared" si="23"/>
        <v>0.1348787903</v>
      </c>
      <c r="AM360" s="73">
        <f t="shared" si="24"/>
        <v>0.2848488121</v>
      </c>
      <c r="AN360" s="120">
        <f t="shared" si="25"/>
        <v>-2.179859315</v>
      </c>
      <c r="AO360" s="120">
        <f t="shared" si="26"/>
        <v>-4.092319116</v>
      </c>
      <c r="AP360" s="120">
        <f t="array" ref="AP360">INDIRECT("Update"&amp;Projections!$AH$17&amp;"!S"&amp;ROW(B341))</f>
        <v>3.9</v>
      </c>
      <c r="AQ360" s="120">
        <f t="array" ref="AQ360">INDIRECT("Update"&amp;Projections!$AH$17&amp;"!T"&amp;ROW(B341))</f>
        <v>1</v>
      </c>
      <c r="AR360" s="100">
        <f t="shared" si="27"/>
        <v>-6.529040919</v>
      </c>
    </row>
    <row r="361">
      <c r="A361" s="40" t="str">
        <f t="shared" si="3"/>
        <v>Trendon Watford</v>
      </c>
      <c r="B361" s="42">
        <f t="shared" si="4"/>
        <v>-2.342442533</v>
      </c>
      <c r="C361" s="43">
        <f t="shared" si="5"/>
        <v>-1.442113684</v>
      </c>
      <c r="D361" s="42">
        <f t="shared" si="6"/>
        <v>-1.517618941</v>
      </c>
      <c r="E361" s="42">
        <f t="shared" si="7"/>
        <v>-1.292023185</v>
      </c>
      <c r="F361" s="42">
        <f t="shared" si="8"/>
        <v>-2.244392479</v>
      </c>
      <c r="G361" s="42">
        <f t="shared" si="9"/>
        <v>-0.9723047469</v>
      </c>
      <c r="H361" s="42">
        <f t="shared" si="10"/>
        <v>0.1842168112</v>
      </c>
      <c r="I361" s="42">
        <f>UpdateHashtag!S359</f>
        <v>3.2</v>
      </c>
      <c r="J361" s="47">
        <f t="shared" si="11"/>
        <v>-0.1307275913</v>
      </c>
      <c r="K361" s="48">
        <f>UpdateHashtag!T359</f>
        <v>1</v>
      </c>
      <c r="L361" s="42">
        <f t="shared" si="12"/>
        <v>-1.040202395</v>
      </c>
      <c r="N361" s="100">
        <f t="shared" si="13"/>
        <v>338</v>
      </c>
      <c r="O361" s="94">
        <f t="array" ref="O361">INDIRECT("Update"&amp;Projections!$AH$17&amp;"!B"&amp;ROW(B342))</f>
        <v>142.3</v>
      </c>
      <c r="P361" s="101" t="str">
        <f t="array" ref="P361">INDIRECT("Update"&amp;Projections!$AH$17&amp;"!C"&amp;ROW(B342))</f>
        <v>Simone Fontecchio</v>
      </c>
      <c r="Q361" s="94">
        <f>UpdateBBM!F342</f>
        <v>36</v>
      </c>
      <c r="R361" s="105" t="str">
        <f t="array" ref="R361">INDIRECT("Update"&amp;Projections!$AH$17&amp;"!D"&amp;ROW(B342))</f>
        <v>SF,PF</v>
      </c>
      <c r="S361" s="73">
        <f t="shared" si="14"/>
        <v>-6.525073344</v>
      </c>
      <c r="T361" s="73">
        <f>SUM(AE361:AM361)-IFERROR(IFS(Projections!$I$17,AN361,Projections!$J$17,AO361),"")</f>
        <v>-6.525073344</v>
      </c>
      <c r="U361" s="73">
        <f t="shared" si="15"/>
        <v>0</v>
      </c>
      <c r="V361" s="73">
        <f t="array" ref="V361">INDIRECT("Update"&amp;Projections!$AH$17&amp;"!M"&amp;ROW(B342))</f>
        <v>6.2</v>
      </c>
      <c r="W361" s="73">
        <f t="array" ref="W361">INDIRECT("Update"&amp;Projections!$AH$17&amp;"!L"&amp;ROW(B342))</f>
        <v>1.2</v>
      </c>
      <c r="X361" s="73">
        <f t="array" ref="X361">INDIRECT("Update"&amp;Projections!$AH$17&amp;"!N"&amp;ROW(B342))</f>
        <v>2</v>
      </c>
      <c r="Y361" s="73">
        <f t="array" ref="Y361">INDIRECT("Update"&amp;Projections!$AH$17&amp;"!O"&amp;ROW(B342))</f>
        <v>0.9</v>
      </c>
      <c r="Z361" s="73">
        <f t="array" ref="Z361">INDIRECT("Update"&amp;Projections!$AH$17&amp;"!P"&amp;ROW(B342))</f>
        <v>0.4</v>
      </c>
      <c r="AA361" s="73">
        <f t="array" ref="AA361">INDIRECT("Update"&amp;Projections!$AH$17&amp;"!Q"&amp;ROW(B342))</f>
        <v>0.2</v>
      </c>
      <c r="AB361" s="107">
        <f t="array" ref="AB361">INDIRECT("Update"&amp;Projections!$AH$17&amp;"!I"&amp;ROW(B342))</f>
        <v>0.426</v>
      </c>
      <c r="AC361" s="107">
        <f t="array" ref="AC361">INDIRECT("Update"&amp;Projections!$AH$17&amp;"!K"&amp;ROW(B342))</f>
        <v>0.818</v>
      </c>
      <c r="AD361" s="73">
        <f t="array" ref="AD361">INDIRECT("Update"&amp;Projections!$AH$17&amp;"!R"&amp;ROW(B342))</f>
        <v>0.7</v>
      </c>
      <c r="AE361" s="73">
        <f t="shared" si="16"/>
        <v>-2.035340899</v>
      </c>
      <c r="AF361" s="73">
        <f t="shared" si="17"/>
        <v>-0.5463949927</v>
      </c>
      <c r="AG361" s="73">
        <f t="shared" si="18"/>
        <v>-1.596071683</v>
      </c>
      <c r="AH361" s="73">
        <f t="shared" si="19"/>
        <v>-1.383146726</v>
      </c>
      <c r="AI361" s="73">
        <f t="shared" si="20"/>
        <v>-1.912459801</v>
      </c>
      <c r="AJ361" s="73">
        <f t="shared" si="21"/>
        <v>-0.9723047469</v>
      </c>
      <c r="AK361" s="73">
        <f t="shared" si="22"/>
        <v>-0.4319762521</v>
      </c>
      <c r="AL361" s="73">
        <f t="shared" si="23"/>
        <v>0.05723025981</v>
      </c>
      <c r="AM361" s="73">
        <f t="shared" si="24"/>
        <v>0.2600505987</v>
      </c>
      <c r="AN361" s="120">
        <f t="shared" si="25"/>
        <v>-2.035340899</v>
      </c>
      <c r="AO361" s="120">
        <f t="shared" si="26"/>
        <v>-3.947800701</v>
      </c>
      <c r="AP361" s="120">
        <f t="array" ref="AP361">INDIRECT("Update"&amp;Projections!$AH$17&amp;"!S"&amp;ROW(B342))</f>
        <v>5.2</v>
      </c>
      <c r="AQ361" s="120">
        <f t="array" ref="AQ361">INDIRECT("Update"&amp;Projections!$AH$17&amp;"!T"&amp;ROW(B342))</f>
        <v>0.7</v>
      </c>
      <c r="AR361" s="100">
        <f t="shared" si="27"/>
        <v>-6.530984722</v>
      </c>
    </row>
    <row r="362">
      <c r="A362" s="40" t="str">
        <f t="shared" si="3"/>
        <v>Garrison Mathews</v>
      </c>
      <c r="B362" s="42">
        <f t="shared" si="4"/>
        <v>-2.342442533</v>
      </c>
      <c r="C362" s="43">
        <f t="shared" si="5"/>
        <v>-0.6459192917</v>
      </c>
      <c r="D362" s="42">
        <f t="shared" si="6"/>
        <v>-1.870656281</v>
      </c>
      <c r="E362" s="42">
        <f t="shared" si="7"/>
        <v>-1.565393808</v>
      </c>
      <c r="F362" s="42">
        <f t="shared" si="8"/>
        <v>-2.244392479</v>
      </c>
      <c r="G362" s="42">
        <f t="shared" si="9"/>
        <v>-1.150698449</v>
      </c>
      <c r="H362" s="42">
        <f t="shared" si="10"/>
        <v>-0.3205500116</v>
      </c>
      <c r="I362" s="42">
        <f>UpdateHashtag!S360</f>
        <v>3.3</v>
      </c>
      <c r="J362" s="47">
        <f t="shared" si="11"/>
        <v>0.1687849401</v>
      </c>
      <c r="K362" s="48">
        <f>UpdateHashtag!T360</f>
        <v>0.7</v>
      </c>
      <c r="L362" s="42">
        <f t="shared" si="12"/>
        <v>-1.43697381</v>
      </c>
      <c r="N362" s="100">
        <f t="shared" si="13"/>
        <v>341</v>
      </c>
      <c r="O362" s="94" t="str">
        <f t="array" ref="O362">INDIRECT("Update"&amp;Projections!$AH$17&amp;"!B"&amp;ROW(B343))</f>
        <v/>
      </c>
      <c r="P362" s="101" t="str">
        <f t="array" ref="P362">INDIRECT("Update"&amp;Projections!$AH$17&amp;"!C"&amp;ROW(B343))</f>
        <v>Jaden Hardy</v>
      </c>
      <c r="Q362" s="94">
        <f>UpdateBBM!F343</f>
        <v>48</v>
      </c>
      <c r="R362" s="105" t="str">
        <f t="array" ref="R362">INDIRECT("Update"&amp;Projections!$AH$17&amp;"!D"&amp;ROW(B343))</f>
        <v>PG,SG</v>
      </c>
      <c r="S362" s="73">
        <f t="shared" si="14"/>
        <v>-6.530984722</v>
      </c>
      <c r="T362" s="73">
        <f>SUM(AE362:AM362)-IFERROR(IFS(Projections!$I$17,AN362,Projections!$J$17,AO362),"")</f>
        <v>-6.530984722</v>
      </c>
      <c r="U362" s="73">
        <f t="shared" si="15"/>
        <v>0</v>
      </c>
      <c r="V362" s="73">
        <f t="array" ref="V362">INDIRECT("Update"&amp;Projections!$AH$17&amp;"!M"&amp;ROW(B343))</f>
        <v>8</v>
      </c>
      <c r="W362" s="73">
        <f t="array" ref="W362">INDIRECT("Update"&amp;Projections!$AH$17&amp;"!L"&amp;ROW(B343))</f>
        <v>1.2</v>
      </c>
      <c r="X362" s="73">
        <f t="array" ref="X362">INDIRECT("Update"&amp;Projections!$AH$17&amp;"!N"&amp;ROW(B343))</f>
        <v>1.9</v>
      </c>
      <c r="Y362" s="73">
        <f t="array" ref="Y362">INDIRECT("Update"&amp;Projections!$AH$17&amp;"!O"&amp;ROW(B343))</f>
        <v>1.5</v>
      </c>
      <c r="Z362" s="73">
        <f t="array" ref="Z362">INDIRECT("Update"&amp;Projections!$AH$17&amp;"!P"&amp;ROW(B343))</f>
        <v>0.3</v>
      </c>
      <c r="AA362" s="73">
        <f t="array" ref="AA362">INDIRECT("Update"&amp;Projections!$AH$17&amp;"!Q"&amp;ROW(B343))</f>
        <v>0.1</v>
      </c>
      <c r="AB362" s="107">
        <f t="array" ref="AB362">INDIRECT("Update"&amp;Projections!$AH$17&amp;"!I"&amp;ROW(B343))</f>
        <v>0.42</v>
      </c>
      <c r="AC362" s="107">
        <f t="array" ref="AC362">INDIRECT("Update"&amp;Projections!$AH$17&amp;"!K"&amp;ROW(B343))</f>
        <v>0.802</v>
      </c>
      <c r="AD362" s="73">
        <f t="array" ref="AD362">INDIRECT("Update"&amp;Projections!$AH$17&amp;"!R"&amp;ROW(B343))</f>
        <v>0.9</v>
      </c>
      <c r="AE362" s="73">
        <f t="shared" si="16"/>
        <v>-1.710174464</v>
      </c>
      <c r="AF362" s="73">
        <f t="shared" si="17"/>
        <v>-0.5463949927</v>
      </c>
      <c r="AG362" s="73">
        <f t="shared" si="18"/>
        <v>-1.635298055</v>
      </c>
      <c r="AH362" s="73">
        <f t="shared" si="19"/>
        <v>-1.109776103</v>
      </c>
      <c r="AI362" s="73">
        <f t="shared" si="20"/>
        <v>-2.244392479</v>
      </c>
      <c r="AJ362" s="73">
        <f t="shared" si="21"/>
        <v>-1.150698449</v>
      </c>
      <c r="AK362" s="73">
        <f t="shared" si="22"/>
        <v>-0.6217200955</v>
      </c>
      <c r="AL362" s="73">
        <f t="shared" si="23"/>
        <v>0.03262326506</v>
      </c>
      <c r="AM362" s="73">
        <f t="shared" si="24"/>
        <v>0.2104541717</v>
      </c>
      <c r="AN362" s="120">
        <f t="shared" si="25"/>
        <v>-2.244392479</v>
      </c>
      <c r="AO362" s="120">
        <f t="shared" si="26"/>
        <v>-3.954566943</v>
      </c>
      <c r="AP362" s="120">
        <f t="array" ref="AP362">INDIRECT("Update"&amp;Projections!$AH$17&amp;"!S"&amp;ROW(B343))</f>
        <v>6.9</v>
      </c>
      <c r="AQ362" s="120">
        <f t="array" ref="AQ362">INDIRECT("Update"&amp;Projections!$AH$17&amp;"!T"&amp;ROW(B343))</f>
        <v>1.3</v>
      </c>
      <c r="AR362" s="100">
        <f t="shared" si="27"/>
        <v>-6.53314942</v>
      </c>
    </row>
    <row r="363">
      <c r="A363" s="40" t="str">
        <f t="shared" si="3"/>
        <v>Nikola Djurisic</v>
      </c>
      <c r="B363" s="42">
        <f t="shared" si="4"/>
        <v>-1.981146493</v>
      </c>
      <c r="C363" s="43">
        <f t="shared" si="5"/>
        <v>-1.243065086</v>
      </c>
      <c r="D363" s="42">
        <f t="shared" si="6"/>
        <v>-1.909882652</v>
      </c>
      <c r="E363" s="42">
        <f t="shared" si="7"/>
        <v>-1.109776103</v>
      </c>
      <c r="F363" s="42">
        <f t="shared" si="8"/>
        <v>-1.580527123</v>
      </c>
      <c r="G363" s="42">
        <f t="shared" si="9"/>
        <v>-0.9723047469</v>
      </c>
      <c r="H363" s="42">
        <f t="shared" si="10"/>
        <v>-0.2693584088</v>
      </c>
      <c r="I363" s="42">
        <f>UpdateHashtag!S361</f>
        <v>4.8</v>
      </c>
      <c r="J363" s="47">
        <f t="shared" si="11"/>
        <v>-0.2798095802</v>
      </c>
      <c r="K363" s="48">
        <f>UpdateHashtag!T361</f>
        <v>2.2</v>
      </c>
      <c r="L363" s="42">
        <f t="shared" si="12"/>
        <v>-0.3458524173</v>
      </c>
      <c r="N363" s="100">
        <f t="shared" si="13"/>
        <v>351</v>
      </c>
      <c r="O363" s="94" t="str">
        <f t="array" ref="O363">INDIRECT("Update"&amp;Projections!$AH$17&amp;"!B"&amp;ROW(B344))</f>
        <v/>
      </c>
      <c r="P363" s="101" t="str">
        <f t="array" ref="P363">INDIRECT("Update"&amp;Projections!$AH$17&amp;"!C"&amp;ROW(B344))</f>
        <v>Bobi Klintman</v>
      </c>
      <c r="Q363" s="94">
        <f>UpdateBBM!F344</f>
        <v>16</v>
      </c>
      <c r="R363" s="105" t="str">
        <f t="array" ref="R363">INDIRECT("Update"&amp;Projections!$AH$17&amp;"!D"&amp;ROW(B344))</f>
        <v>PF</v>
      </c>
      <c r="S363" s="73">
        <f t="shared" si="14"/>
        <v>-6.787916229</v>
      </c>
      <c r="T363" s="73">
        <f>SUM(AE363:AM363)-IFERROR(IFS(Projections!$I$17,AN363,Projections!$J$17,AO363),"")</f>
        <v>-6.787916229</v>
      </c>
      <c r="U363" s="73">
        <f t="shared" si="15"/>
        <v>0</v>
      </c>
      <c r="V363" s="73">
        <f t="array" ref="V363">INDIRECT("Update"&amp;Projections!$AH$17&amp;"!M"&amp;ROW(B344))</f>
        <v>5.3</v>
      </c>
      <c r="W363" s="73">
        <f t="array" ref="W363">INDIRECT("Update"&amp;Projections!$AH$17&amp;"!L"&amp;ROW(B344))</f>
        <v>0.7</v>
      </c>
      <c r="X363" s="73">
        <f t="array" ref="X363">INDIRECT("Update"&amp;Projections!$AH$17&amp;"!N"&amp;ROW(B344))</f>
        <v>2.7</v>
      </c>
      <c r="Y363" s="73">
        <f t="array" ref="Y363">INDIRECT("Update"&amp;Projections!$AH$17&amp;"!O"&amp;ROW(B344))</f>
        <v>0.4</v>
      </c>
      <c r="Z363" s="73">
        <f t="array" ref="Z363">INDIRECT("Update"&amp;Projections!$AH$17&amp;"!P"&amp;ROW(B344))</f>
        <v>0.4</v>
      </c>
      <c r="AA363" s="73">
        <f t="array" ref="AA363">INDIRECT("Update"&amp;Projections!$AH$17&amp;"!Q"&amp;ROW(B344))</f>
        <v>0.3</v>
      </c>
      <c r="AB363" s="107">
        <f t="array" ref="AB363">INDIRECT("Update"&amp;Projections!$AH$17&amp;"!I"&amp;ROW(B344))</f>
        <v>0.439</v>
      </c>
      <c r="AC363" s="107">
        <f t="array" ref="AC363">INDIRECT("Update"&amp;Projections!$AH$17&amp;"!K"&amp;ROW(B344))</f>
        <v>0.786</v>
      </c>
      <c r="AD363" s="73">
        <f t="array" ref="AD363">INDIRECT("Update"&amp;Projections!$AH$17&amp;"!R"&amp;ROW(B344))</f>
        <v>0.9</v>
      </c>
      <c r="AE363" s="73">
        <f t="shared" si="16"/>
        <v>-2.197924117</v>
      </c>
      <c r="AF363" s="73">
        <f t="shared" si="17"/>
        <v>-1.044016488</v>
      </c>
      <c r="AG363" s="73">
        <f t="shared" si="18"/>
        <v>-1.321487086</v>
      </c>
      <c r="AH363" s="73">
        <f t="shared" si="19"/>
        <v>-1.610955578</v>
      </c>
      <c r="AI363" s="73">
        <f t="shared" si="20"/>
        <v>-1.912459801</v>
      </c>
      <c r="AJ363" s="73">
        <f t="shared" si="21"/>
        <v>-0.7939110449</v>
      </c>
      <c r="AK363" s="73">
        <f t="shared" si="22"/>
        <v>-0.2713453772</v>
      </c>
      <c r="AL363" s="73">
        <f t="shared" si="23"/>
        <v>-0.04419502565</v>
      </c>
      <c r="AM363" s="73">
        <f t="shared" si="24"/>
        <v>0.2104541717</v>
      </c>
      <c r="AN363" s="120">
        <f t="shared" si="25"/>
        <v>-2.197924117</v>
      </c>
      <c r="AO363" s="120">
        <f t="shared" si="26"/>
        <v>-4.110383918</v>
      </c>
      <c r="AP363" s="120">
        <f t="array" ref="AP363">INDIRECT("Update"&amp;Projections!$AH$17&amp;"!S"&amp;ROW(B344))</f>
        <v>4</v>
      </c>
      <c r="AQ363" s="120">
        <f t="array" ref="AQ363">INDIRECT("Update"&amp;Projections!$AH$17&amp;"!T"&amp;ROW(B344))</f>
        <v>1.4</v>
      </c>
      <c r="AR363" s="100">
        <f t="shared" si="27"/>
        <v>-6.557258711</v>
      </c>
    </row>
    <row r="364">
      <c r="A364" s="40" t="str">
        <f t="shared" si="3"/>
        <v>Adem Bona</v>
      </c>
      <c r="B364" s="42">
        <f t="shared" si="4"/>
        <v>-2.450831344</v>
      </c>
      <c r="C364" s="43">
        <f t="shared" si="5"/>
        <v>-1.740686581</v>
      </c>
      <c r="D364" s="42">
        <f t="shared" si="6"/>
        <v>-1.635298055</v>
      </c>
      <c r="E364" s="42">
        <f t="shared" si="7"/>
        <v>-1.610955578</v>
      </c>
      <c r="F364" s="42">
        <f t="shared" si="8"/>
        <v>-1.912459801</v>
      </c>
      <c r="G364" s="42">
        <f t="shared" si="9"/>
        <v>-0.2587299387</v>
      </c>
      <c r="H364" s="42">
        <f t="shared" si="10"/>
        <v>0.2728394843</v>
      </c>
      <c r="I364" s="42">
        <f>UpdateHashtag!S362</f>
        <v>2.5</v>
      </c>
      <c r="J364" s="47">
        <f t="shared" si="11"/>
        <v>-0.460665832</v>
      </c>
      <c r="K364" s="48">
        <f>UpdateHashtag!T362</f>
        <v>1.4</v>
      </c>
      <c r="L364" s="42">
        <f t="shared" si="12"/>
        <v>-0.9410095407</v>
      </c>
      <c r="N364" s="100">
        <f t="shared" si="13"/>
        <v>337</v>
      </c>
      <c r="O364" s="94" t="str">
        <f t="array" ref="O364">INDIRECT("Update"&amp;Projections!$AH$17&amp;"!B"&amp;ROW(B345))</f>
        <v/>
      </c>
      <c r="P364" s="101" t="str">
        <f t="array" ref="P364">INDIRECT("Update"&amp;Projections!$AH$17&amp;"!C"&amp;ROW(B345))</f>
        <v>Jevon Carter</v>
      </c>
      <c r="Q364" s="94">
        <f>UpdateBBM!F345</f>
        <v>54</v>
      </c>
      <c r="R364" s="105" t="str">
        <f t="array" ref="R364">INDIRECT("Update"&amp;Projections!$AH$17&amp;"!D"&amp;ROW(B345))</f>
        <v>PG,SG</v>
      </c>
      <c r="S364" s="73">
        <f t="shared" si="14"/>
        <v>-6.511818176</v>
      </c>
      <c r="T364" s="73">
        <f>SUM(AE364:AM364)-IFERROR(IFS(Projections!$I$17,AN364,Projections!$J$17,AO364),"")</f>
        <v>-6.511818176</v>
      </c>
      <c r="U364" s="73">
        <f t="shared" si="15"/>
        <v>0</v>
      </c>
      <c r="V364" s="73">
        <f t="array" ref="V364">INDIRECT("Update"&amp;Projections!$AH$17&amp;"!M"&amp;ROW(B345))</f>
        <v>4.8</v>
      </c>
      <c r="W364" s="73">
        <f t="array" ref="W364">INDIRECT("Update"&amp;Projections!$AH$17&amp;"!L"&amp;ROW(B345))</f>
        <v>1</v>
      </c>
      <c r="X364" s="73">
        <f t="array" ref="X364">INDIRECT("Update"&amp;Projections!$AH$17&amp;"!N"&amp;ROW(B345))</f>
        <v>1.2</v>
      </c>
      <c r="Y364" s="73">
        <f t="array" ref="Y364">INDIRECT("Update"&amp;Projections!$AH$17&amp;"!O"&amp;ROW(B345))</f>
        <v>1.4</v>
      </c>
      <c r="Z364" s="73">
        <f t="array" ref="Z364">INDIRECT("Update"&amp;Projections!$AH$17&amp;"!P"&amp;ROW(B345))</f>
        <v>0.5</v>
      </c>
      <c r="AA364" s="73">
        <f t="array" ref="AA364">INDIRECT("Update"&amp;Projections!$AH$17&amp;"!Q"&amp;ROW(B345))</f>
        <v>0.2</v>
      </c>
      <c r="AB364" s="107">
        <f t="array" ref="AB364">INDIRECT("Update"&amp;Projections!$AH$17&amp;"!I"&amp;ROW(B345))</f>
        <v>0.406</v>
      </c>
      <c r="AC364" s="107">
        <f t="array" ref="AC364">INDIRECT("Update"&amp;Projections!$AH$17&amp;"!K"&amp;ROW(B345))</f>
        <v>0.81</v>
      </c>
      <c r="AD364" s="73">
        <f t="array" ref="AD364">INDIRECT("Update"&amp;Projections!$AH$17&amp;"!R"&amp;ROW(B345))</f>
        <v>0.5</v>
      </c>
      <c r="AE364" s="73">
        <f t="shared" si="16"/>
        <v>-2.288248127</v>
      </c>
      <c r="AF364" s="73">
        <f t="shared" si="17"/>
        <v>-0.7454435908</v>
      </c>
      <c r="AG364" s="73">
        <f t="shared" si="18"/>
        <v>-1.909882652</v>
      </c>
      <c r="AH364" s="73">
        <f t="shared" si="19"/>
        <v>-1.155337874</v>
      </c>
      <c r="AI364" s="73">
        <f t="shared" si="20"/>
        <v>-1.580527123</v>
      </c>
      <c r="AJ364" s="73">
        <f t="shared" si="21"/>
        <v>-0.9723047469</v>
      </c>
      <c r="AK364" s="73">
        <f t="shared" si="22"/>
        <v>-0.4686544476</v>
      </c>
      <c r="AL364" s="73">
        <f t="shared" si="23"/>
        <v>0.01068523333</v>
      </c>
      <c r="AM364" s="73">
        <f t="shared" si="24"/>
        <v>0.3096470256</v>
      </c>
      <c r="AN364" s="120">
        <f t="shared" si="25"/>
        <v>-2.288248127</v>
      </c>
      <c r="AO364" s="120">
        <f t="shared" si="26"/>
        <v>-4.198130779</v>
      </c>
      <c r="AP364" s="120">
        <f t="array" ref="AP364">INDIRECT("Update"&amp;Projections!$AH$17&amp;"!S"&amp;ROW(B345))</f>
        <v>4.4</v>
      </c>
      <c r="AQ364" s="120">
        <f t="array" ref="AQ364">INDIRECT("Update"&amp;Projections!$AH$17&amp;"!T"&amp;ROW(B345))</f>
        <v>0.2</v>
      </c>
      <c r="AR364" s="100">
        <f t="shared" si="27"/>
        <v>-6.56518632</v>
      </c>
    </row>
    <row r="365">
      <c r="A365" s="40" t="str">
        <f t="shared" si="3"/>
        <v>Cody Williams</v>
      </c>
      <c r="B365" s="42">
        <f t="shared" si="4"/>
        <v>-2.161794513</v>
      </c>
      <c r="C365" s="43">
        <f t="shared" si="5"/>
        <v>-1.442113684</v>
      </c>
      <c r="D365" s="42">
        <f t="shared" si="6"/>
        <v>-1.83142991</v>
      </c>
      <c r="E365" s="42">
        <f t="shared" si="7"/>
        <v>-1.474270267</v>
      </c>
      <c r="F365" s="42">
        <f t="shared" si="8"/>
        <v>-2.244392479</v>
      </c>
      <c r="G365" s="42">
        <f t="shared" si="9"/>
        <v>-0.7939110449</v>
      </c>
      <c r="H365" s="42">
        <f t="shared" si="10"/>
        <v>0.2390191083</v>
      </c>
      <c r="I365" s="42">
        <f>UpdateHashtag!S363</f>
        <v>3.7</v>
      </c>
      <c r="J365" s="47">
        <f t="shared" si="11"/>
        <v>-0.4192007474</v>
      </c>
      <c r="K365" s="48">
        <f>UpdateHashtag!T363</f>
        <v>1.5</v>
      </c>
      <c r="L365" s="42">
        <f t="shared" si="12"/>
        <v>-0.8418166868</v>
      </c>
      <c r="N365" s="100">
        <f t="shared" si="13"/>
        <v>331</v>
      </c>
      <c r="O365" s="94" t="str">
        <f t="array" ref="O365">INDIRECT("Update"&amp;Projections!$AH$17&amp;"!B"&amp;ROW(B346))</f>
        <v/>
      </c>
      <c r="P365" s="101" t="str">
        <f t="array" ref="P365">INDIRECT("Update"&amp;Projections!$AH$17&amp;"!C"&amp;ROW(B346))</f>
        <v>Tidjane Salaun</v>
      </c>
      <c r="Q365" s="94">
        <f>UpdateBBM!F346</f>
        <v>66</v>
      </c>
      <c r="R365" s="105" t="str">
        <f t="array" ref="R365">INDIRECT("Update"&amp;Projections!$AH$17&amp;"!D"&amp;ROW(B346))</f>
        <v>PF</v>
      </c>
      <c r="S365" s="73">
        <f t="shared" si="14"/>
        <v>-6.366956815</v>
      </c>
      <c r="T365" s="73">
        <f>SUM(AE365:AM365)-IFERROR(IFS(Projections!$I$17,AN365,Projections!$J$17,AO365),"")</f>
        <v>-6.366956815</v>
      </c>
      <c r="U365" s="73">
        <f t="shared" si="15"/>
        <v>0</v>
      </c>
      <c r="V365" s="73">
        <f t="array" ref="V365">INDIRECT("Update"&amp;Projections!$AH$17&amp;"!M"&amp;ROW(B346))</f>
        <v>5.9</v>
      </c>
      <c r="W365" s="73">
        <f t="array" ref="W365">INDIRECT("Update"&amp;Projections!$AH$17&amp;"!L"&amp;ROW(B346))</f>
        <v>0.8</v>
      </c>
      <c r="X365" s="73">
        <f t="array" ref="X365">INDIRECT("Update"&amp;Projections!$AH$17&amp;"!N"&amp;ROW(B346))</f>
        <v>2.4</v>
      </c>
      <c r="Y365" s="73">
        <f t="array" ref="Y365">INDIRECT("Update"&amp;Projections!$AH$17&amp;"!O"&amp;ROW(B346))</f>
        <v>0.6</v>
      </c>
      <c r="Z365" s="73">
        <f t="array" ref="Z365">INDIRECT("Update"&amp;Projections!$AH$17&amp;"!P"&amp;ROW(B346))</f>
        <v>0.7</v>
      </c>
      <c r="AA365" s="73">
        <f t="array" ref="AA365">INDIRECT("Update"&amp;Projections!$AH$17&amp;"!Q"&amp;ROW(B346))</f>
        <v>0.1</v>
      </c>
      <c r="AB365" s="107">
        <f t="array" ref="AB365">INDIRECT("Update"&amp;Projections!$AH$17&amp;"!I"&amp;ROW(B346))</f>
        <v>0.404</v>
      </c>
      <c r="AC365" s="107">
        <f t="array" ref="AC365">INDIRECT("Update"&amp;Projections!$AH$17&amp;"!K"&amp;ROW(B346))</f>
        <v>0.776</v>
      </c>
      <c r="AD365" s="73">
        <f t="array" ref="AD365">INDIRECT("Update"&amp;Projections!$AH$17&amp;"!R"&amp;ROW(B346))</f>
        <v>0.8</v>
      </c>
      <c r="AE365" s="73">
        <f t="shared" si="16"/>
        <v>-2.089535305</v>
      </c>
      <c r="AF365" s="73">
        <f t="shared" si="17"/>
        <v>-0.9444921888</v>
      </c>
      <c r="AG365" s="73">
        <f t="shared" si="18"/>
        <v>-1.439166199</v>
      </c>
      <c r="AH365" s="73">
        <f t="shared" si="19"/>
        <v>-1.519832037</v>
      </c>
      <c r="AI365" s="73">
        <f t="shared" si="20"/>
        <v>-0.9166617668</v>
      </c>
      <c r="AJ365" s="73">
        <f t="shared" si="21"/>
        <v>-1.150698449</v>
      </c>
      <c r="AK365" s="73">
        <f t="shared" si="22"/>
        <v>-0.5442818815</v>
      </c>
      <c r="AL365" s="73">
        <f t="shared" si="23"/>
        <v>-0.08707667757</v>
      </c>
      <c r="AM365" s="73">
        <f t="shared" si="24"/>
        <v>0.2352523852</v>
      </c>
      <c r="AN365" s="120">
        <f t="shared" si="25"/>
        <v>-2.089535305</v>
      </c>
      <c r="AO365" s="120">
        <f t="shared" si="26"/>
        <v>-3.609367342</v>
      </c>
      <c r="AP365" s="120">
        <f t="array" ref="AP365">INDIRECT("Update"&amp;Projections!$AH$17&amp;"!S"&amp;ROW(B346))</f>
        <v>5</v>
      </c>
      <c r="AQ365" s="120">
        <f t="array" ref="AQ365">INDIRECT("Update"&amp;Projections!$AH$17&amp;"!T"&amp;ROW(B346))</f>
        <v>1.3</v>
      </c>
      <c r="AR365" s="100">
        <f t="shared" si="27"/>
        <v>-6.598797615</v>
      </c>
    </row>
    <row r="366">
      <c r="A366" s="40" t="str">
        <f t="shared" si="3"/>
        <v>MarJon Beauchamp</v>
      </c>
      <c r="B366" s="42">
        <f t="shared" si="4"/>
        <v>-2.234053721</v>
      </c>
      <c r="C366" s="43">
        <f t="shared" si="5"/>
        <v>-0.9444921888</v>
      </c>
      <c r="D366" s="42">
        <f t="shared" si="6"/>
        <v>-1.47839257</v>
      </c>
      <c r="E366" s="42">
        <f t="shared" si="7"/>
        <v>-1.474270267</v>
      </c>
      <c r="F366" s="42">
        <f t="shared" si="8"/>
        <v>-1.912459801</v>
      </c>
      <c r="G366" s="42">
        <f t="shared" si="9"/>
        <v>-0.9723047469</v>
      </c>
      <c r="H366" s="42">
        <f t="shared" si="10"/>
        <v>-0.3345775431</v>
      </c>
      <c r="I366" s="42">
        <f>UpdateHashtag!S364</f>
        <v>4.4</v>
      </c>
      <c r="J366" s="47">
        <f t="shared" si="11"/>
        <v>-0.2105009728</v>
      </c>
      <c r="K366" s="48">
        <f>UpdateHashtag!T364</f>
        <v>0.7</v>
      </c>
      <c r="L366" s="42">
        <f t="shared" si="12"/>
        <v>-0.9410095407</v>
      </c>
      <c r="N366" s="100">
        <f t="shared" si="13"/>
        <v>356</v>
      </c>
      <c r="O366" s="94" t="str">
        <f t="array" ref="O366">INDIRECT("Update"&amp;Projections!$AH$17&amp;"!B"&amp;ROW(B347))</f>
        <v/>
      </c>
      <c r="P366" s="101" t="str">
        <f t="array" ref="P366">INDIRECT("Update"&amp;Projections!$AH$17&amp;"!C"&amp;ROW(B347))</f>
        <v>Tyler Smith</v>
      </c>
      <c r="Q366" s="94">
        <f>UpdateBBM!F347</f>
        <v>71</v>
      </c>
      <c r="R366" s="105" t="str">
        <f t="array" ref="R366">INDIRECT("Update"&amp;Projections!$AH$17&amp;"!D"&amp;ROW(B347))</f>
        <v>PF</v>
      </c>
      <c r="S366" s="73">
        <f t="shared" si="14"/>
        <v>-6.981221495</v>
      </c>
      <c r="T366" s="73">
        <f>SUM(AE366:AM366)-IFERROR(IFS(Projections!$I$17,AN366,Projections!$J$17,AO366),"")</f>
        <v>-6.981221495</v>
      </c>
      <c r="U366" s="73">
        <f t="shared" si="15"/>
        <v>0</v>
      </c>
      <c r="V366" s="73">
        <f t="array" ref="V366">INDIRECT("Update"&amp;Projections!$AH$17&amp;"!M"&amp;ROW(B347))</f>
        <v>5.5</v>
      </c>
      <c r="W366" s="73">
        <f t="array" ref="W366">INDIRECT("Update"&amp;Projections!$AH$17&amp;"!L"&amp;ROW(B347))</f>
        <v>0.6</v>
      </c>
      <c r="X366" s="73">
        <f t="array" ref="X366">INDIRECT("Update"&amp;Projections!$AH$17&amp;"!N"&amp;ROW(B347))</f>
        <v>2.1</v>
      </c>
      <c r="Y366" s="73">
        <f t="array" ref="Y366">INDIRECT("Update"&amp;Projections!$AH$17&amp;"!O"&amp;ROW(B347))</f>
        <v>0.5</v>
      </c>
      <c r="Z366" s="73">
        <f t="array" ref="Z366">INDIRECT("Update"&amp;Projections!$AH$17&amp;"!P"&amp;ROW(B347))</f>
        <v>0.3</v>
      </c>
      <c r="AA366" s="73">
        <f t="array" ref="AA366">INDIRECT("Update"&amp;Projections!$AH$17&amp;"!Q"&amp;ROW(B347))</f>
        <v>0.4</v>
      </c>
      <c r="AB366" s="107">
        <f t="array" ref="AB366">INDIRECT("Update"&amp;Projections!$AH$17&amp;"!I"&amp;ROW(B347))</f>
        <v>0.483</v>
      </c>
      <c r="AC366" s="107">
        <f t="array" ref="AC366">INDIRECT("Update"&amp;Projections!$AH$17&amp;"!K"&amp;ROW(B347))</f>
        <v>0.731</v>
      </c>
      <c r="AD366" s="73">
        <f t="array" ref="AD366">INDIRECT("Update"&amp;Projections!$AH$17&amp;"!R"&amp;ROW(B347))</f>
        <v>0.5</v>
      </c>
      <c r="AE366" s="73">
        <f t="shared" si="16"/>
        <v>-2.161794513</v>
      </c>
      <c r="AF366" s="73">
        <f t="shared" si="17"/>
        <v>-1.143540787</v>
      </c>
      <c r="AG366" s="73">
        <f t="shared" si="18"/>
        <v>-1.556845312</v>
      </c>
      <c r="AH366" s="73">
        <f t="shared" si="19"/>
        <v>-1.565393808</v>
      </c>
      <c r="AI366" s="73">
        <f t="shared" si="20"/>
        <v>-2.244392479</v>
      </c>
      <c r="AJ366" s="73">
        <f t="shared" si="21"/>
        <v>-0.6155173428</v>
      </c>
      <c r="AK366" s="73">
        <f t="shared" si="22"/>
        <v>-0.06670004672</v>
      </c>
      <c r="AL366" s="73">
        <f t="shared" si="23"/>
        <v>-0.1810767109</v>
      </c>
      <c r="AM366" s="73">
        <f t="shared" si="24"/>
        <v>0.3096470256</v>
      </c>
      <c r="AN366" s="120">
        <f t="shared" si="25"/>
        <v>-2.244392479</v>
      </c>
      <c r="AO366" s="120">
        <f t="shared" si="26"/>
        <v>-4.406186993</v>
      </c>
      <c r="AP366" s="120">
        <f t="array" ref="AP366">INDIRECT("Update"&amp;Projections!$AH$17&amp;"!S"&amp;ROW(B347))</f>
        <v>4.1</v>
      </c>
      <c r="AQ366" s="120">
        <f t="array" ref="AQ366">INDIRECT("Update"&amp;Projections!$AH$17&amp;"!T"&amp;ROW(B347))</f>
        <v>0.8</v>
      </c>
      <c r="AR366" s="100">
        <f t="shared" si="27"/>
        <v>-6.672078315</v>
      </c>
    </row>
    <row r="367">
      <c r="A367" s="40" t="str">
        <f t="shared" si="3"/>
        <v>Tristan Vukcevic</v>
      </c>
      <c r="B367" s="42">
        <f t="shared" si="4"/>
        <v>-2.360507335</v>
      </c>
      <c r="C367" s="43">
        <f t="shared" si="5"/>
        <v>-1.243065086</v>
      </c>
      <c r="D367" s="42">
        <f t="shared" si="6"/>
        <v>-1.635298055</v>
      </c>
      <c r="E367" s="42">
        <f t="shared" si="7"/>
        <v>-1.474270267</v>
      </c>
      <c r="F367" s="42">
        <f t="shared" si="8"/>
        <v>-2.244392479</v>
      </c>
      <c r="G367" s="42">
        <f t="shared" si="9"/>
        <v>-0.6155173428</v>
      </c>
      <c r="H367" s="42">
        <f t="shared" si="10"/>
        <v>-0.257937221</v>
      </c>
      <c r="I367" s="42">
        <f>UpdateHashtag!S365</f>
        <v>3.5</v>
      </c>
      <c r="J367" s="47">
        <f t="shared" si="11"/>
        <v>-0.08926250669</v>
      </c>
      <c r="K367" s="48">
        <f>UpdateHashtag!T365</f>
        <v>1.1</v>
      </c>
      <c r="L367" s="42">
        <f t="shared" si="12"/>
        <v>-1.238588102</v>
      </c>
      <c r="N367" s="100">
        <f t="shared" si="13"/>
        <v>342</v>
      </c>
      <c r="O367" s="94" t="str">
        <f t="array" ref="O367">INDIRECT("Update"&amp;Projections!$AH$17&amp;"!B"&amp;ROW(B348))</f>
        <v/>
      </c>
      <c r="P367" s="101" t="str">
        <f t="array" ref="P367">INDIRECT("Update"&amp;Projections!$AH$17&amp;"!C"&amp;ROW(B348))</f>
        <v>Andre Jackson Jr.</v>
      </c>
      <c r="Q367" s="94">
        <f>UpdateBBM!F348</f>
        <v>48</v>
      </c>
      <c r="R367" s="105" t="str">
        <f t="array" ref="R367">INDIRECT("Update"&amp;Projections!$AH$17&amp;"!D"&amp;ROW(B348))</f>
        <v>SG,SF</v>
      </c>
      <c r="S367" s="73">
        <f t="shared" si="14"/>
        <v>-6.53314942</v>
      </c>
      <c r="T367" s="73">
        <f>SUM(AE367:AM367)-IFERROR(IFS(Projections!$I$17,AN367,Projections!$J$17,AO367),"")</f>
        <v>-6.53314942</v>
      </c>
      <c r="U367" s="73">
        <f t="shared" si="15"/>
        <v>0</v>
      </c>
      <c r="V367" s="73">
        <f t="array" ref="V367">INDIRECT("Update"&amp;Projections!$AH$17&amp;"!M"&amp;ROW(B348))</f>
        <v>3.1</v>
      </c>
      <c r="W367" s="73">
        <f t="array" ref="W367">INDIRECT("Update"&amp;Projections!$AH$17&amp;"!L"&amp;ROW(B348))</f>
        <v>0.4</v>
      </c>
      <c r="X367" s="73">
        <f t="array" ref="X367">INDIRECT("Update"&amp;Projections!$AH$17&amp;"!N"&amp;ROW(B348))</f>
        <v>2.8</v>
      </c>
      <c r="Y367" s="73">
        <f t="array" ref="Y367">INDIRECT("Update"&amp;Projections!$AH$17&amp;"!O"&amp;ROW(B348))</f>
        <v>1.3</v>
      </c>
      <c r="Z367" s="73">
        <f t="array" ref="Z367">INDIRECT("Update"&amp;Projections!$AH$17&amp;"!P"&amp;ROW(B348))</f>
        <v>0.4</v>
      </c>
      <c r="AA367" s="73">
        <f t="array" ref="AA367">INDIRECT("Update"&amp;Projections!$AH$17&amp;"!Q"&amp;ROW(B348))</f>
        <v>0.2</v>
      </c>
      <c r="AB367" s="107">
        <f t="array" ref="AB367">INDIRECT("Update"&amp;Projections!$AH$17&amp;"!I"&amp;ROW(B348))</f>
        <v>0.498</v>
      </c>
      <c r="AC367" s="107">
        <f t="array" ref="AC367">INDIRECT("Update"&amp;Projections!$AH$17&amp;"!K"&amp;ROW(B348))</f>
        <v>0.714</v>
      </c>
      <c r="AD367" s="73">
        <f t="array" ref="AD367">INDIRECT("Update"&amp;Projections!$AH$17&amp;"!R"&amp;ROW(B348))</f>
        <v>0.7</v>
      </c>
      <c r="AE367" s="73">
        <f t="shared" si="16"/>
        <v>-2.59534976</v>
      </c>
      <c r="AF367" s="73">
        <f t="shared" si="17"/>
        <v>-1.342589385</v>
      </c>
      <c r="AG367" s="73">
        <f t="shared" si="18"/>
        <v>-1.282260714</v>
      </c>
      <c r="AH367" s="73">
        <f t="shared" si="19"/>
        <v>-1.200899644</v>
      </c>
      <c r="AI367" s="73">
        <f t="shared" si="20"/>
        <v>-1.912459801</v>
      </c>
      <c r="AJ367" s="73">
        <f t="shared" si="21"/>
        <v>-0.9723047469</v>
      </c>
      <c r="AK367" s="73">
        <f t="shared" si="22"/>
        <v>0.003279274081</v>
      </c>
      <c r="AL367" s="73">
        <f t="shared" si="23"/>
        <v>-0.08596500053</v>
      </c>
      <c r="AM367" s="73">
        <f t="shared" si="24"/>
        <v>0.2600505987</v>
      </c>
      <c r="AN367" s="120">
        <f t="shared" si="25"/>
        <v>-2.59534976</v>
      </c>
      <c r="AO367" s="120">
        <f t="shared" si="26"/>
        <v>-4.507809562</v>
      </c>
      <c r="AP367" s="120">
        <f t="array" ref="AP367">INDIRECT("Update"&amp;Projections!$AH$17&amp;"!S"&amp;ROW(B348))</f>
        <v>2.5</v>
      </c>
      <c r="AQ367" s="120">
        <f t="array" ref="AQ367">INDIRECT("Update"&amp;Projections!$AH$17&amp;"!T"&amp;ROW(B348))</f>
        <v>0.3</v>
      </c>
      <c r="AR367" s="100">
        <f t="shared" si="27"/>
        <v>-6.725626766</v>
      </c>
    </row>
    <row r="368">
      <c r="A368" s="40" t="str">
        <f t="shared" si="3"/>
        <v>Aaron Holiday</v>
      </c>
      <c r="B368" s="42">
        <f t="shared" si="4"/>
        <v>-2.468896146</v>
      </c>
      <c r="C368" s="43">
        <f t="shared" si="5"/>
        <v>-1.143540787</v>
      </c>
      <c r="D368" s="42">
        <f t="shared" si="6"/>
        <v>-1.988335395</v>
      </c>
      <c r="E368" s="42">
        <f t="shared" si="7"/>
        <v>-1.292023185</v>
      </c>
      <c r="F368" s="42">
        <f t="shared" si="8"/>
        <v>-1.912459801</v>
      </c>
      <c r="G368" s="42">
        <f t="shared" si="9"/>
        <v>-1.150698449</v>
      </c>
      <c r="H368" s="42">
        <f t="shared" si="10"/>
        <v>-0.2245771076</v>
      </c>
      <c r="I368" s="42">
        <f>UpdateHashtag!S366</f>
        <v>3.2</v>
      </c>
      <c r="J368" s="47">
        <f t="shared" si="11"/>
        <v>0.175452657</v>
      </c>
      <c r="K368" s="48">
        <f>UpdateHashtag!T366</f>
        <v>0.5</v>
      </c>
      <c r="L368" s="42">
        <f t="shared" si="12"/>
        <v>-1.337780956</v>
      </c>
      <c r="N368" s="100">
        <f t="shared" si="13"/>
        <v>357</v>
      </c>
      <c r="O368" s="94" t="str">
        <f t="array" ref="O368">INDIRECT("Update"&amp;Projections!$AH$17&amp;"!B"&amp;ROW(B349))</f>
        <v/>
      </c>
      <c r="P368" s="101" t="str">
        <f t="array" ref="P368">INDIRECT("Update"&amp;Projections!$AH$17&amp;"!C"&amp;ROW(B349))</f>
        <v>Jaylon Tyson</v>
      </c>
      <c r="Q368" s="94">
        <f>UpdateBBM!F349</f>
        <v>49</v>
      </c>
      <c r="R368" s="105" t="str">
        <f t="array" ref="R368">INDIRECT("Update"&amp;Projections!$AH$17&amp;"!D"&amp;ROW(B349))</f>
        <v>SG</v>
      </c>
      <c r="S368" s="73">
        <f t="shared" si="14"/>
        <v>-7.025086096</v>
      </c>
      <c r="T368" s="73">
        <f>SUM(AE368:AM368)-IFERROR(IFS(Projections!$I$17,AN368,Projections!$J$17,AO368),"")</f>
        <v>-7.025086096</v>
      </c>
      <c r="U368" s="73">
        <f t="shared" si="15"/>
        <v>0</v>
      </c>
      <c r="V368" s="73">
        <f t="array" ref="V368">INDIRECT("Update"&amp;Projections!$AH$17&amp;"!M"&amp;ROW(B349))</f>
        <v>6.4</v>
      </c>
      <c r="W368" s="73">
        <f t="array" ref="W368">INDIRECT("Update"&amp;Projections!$AH$17&amp;"!L"&amp;ROW(B349))</f>
        <v>0.5</v>
      </c>
      <c r="X368" s="73">
        <f t="array" ref="X368">INDIRECT("Update"&amp;Projections!$AH$17&amp;"!N"&amp;ROW(B349))</f>
        <v>2.3</v>
      </c>
      <c r="Y368" s="73">
        <f t="array" ref="Y368">INDIRECT("Update"&amp;Projections!$AH$17&amp;"!O"&amp;ROW(B349))</f>
        <v>1.2</v>
      </c>
      <c r="Z368" s="73">
        <f t="array" ref="Z368">INDIRECT("Update"&amp;Projections!$AH$17&amp;"!P"&amp;ROW(B349))</f>
        <v>0.4</v>
      </c>
      <c r="AA368" s="73">
        <f t="array" ref="AA368">INDIRECT("Update"&amp;Projections!$AH$17&amp;"!Q"&amp;ROW(B349))</f>
        <v>0.2</v>
      </c>
      <c r="AB368" s="107">
        <f t="array" ref="AB368">INDIRECT("Update"&amp;Projections!$AH$17&amp;"!I"&amp;ROW(B349))</f>
        <v>0.452</v>
      </c>
      <c r="AC368" s="107">
        <f t="array" ref="AC368">INDIRECT("Update"&amp;Projections!$AH$17&amp;"!K"&amp;ROW(B349))</f>
        <v>0.779</v>
      </c>
      <c r="AD368" s="73">
        <f t="array" ref="AD368">INDIRECT("Update"&amp;Projections!$AH$17&amp;"!R"&amp;ROW(B349))</f>
        <v>1</v>
      </c>
      <c r="AE368" s="73">
        <f t="shared" si="16"/>
        <v>-1.999211295</v>
      </c>
      <c r="AF368" s="73">
        <f t="shared" si="17"/>
        <v>-1.243065086</v>
      </c>
      <c r="AG368" s="73">
        <f t="shared" si="18"/>
        <v>-1.47839257</v>
      </c>
      <c r="AH368" s="73">
        <f t="shared" si="19"/>
        <v>-1.246461415</v>
      </c>
      <c r="AI368" s="73">
        <f t="shared" si="20"/>
        <v>-1.912459801</v>
      </c>
      <c r="AJ368" s="73">
        <f t="shared" si="21"/>
        <v>-0.9723047469</v>
      </c>
      <c r="AK368" s="73">
        <f t="shared" si="22"/>
        <v>-0.2735217286</v>
      </c>
      <c r="AL368" s="73">
        <f t="shared" si="23"/>
        <v>-0.08453670661</v>
      </c>
      <c r="AM368" s="73">
        <f t="shared" si="24"/>
        <v>0.1856559582</v>
      </c>
      <c r="AN368" s="120">
        <f t="shared" si="25"/>
        <v>-1.999211295</v>
      </c>
      <c r="AO368" s="120">
        <f t="shared" si="26"/>
        <v>-3.911671097</v>
      </c>
      <c r="AP368" s="120">
        <f t="array" ref="AP368">INDIRECT("Update"&amp;Projections!$AH$17&amp;"!S"&amp;ROW(B349))</f>
        <v>5.2</v>
      </c>
      <c r="AQ368" s="120">
        <f t="array" ref="AQ368">INDIRECT("Update"&amp;Projections!$AH$17&amp;"!T"&amp;ROW(B349))</f>
        <v>1.5</v>
      </c>
      <c r="AR368" s="100">
        <f t="shared" si="27"/>
        <v>-6.758285934</v>
      </c>
    </row>
    <row r="369">
      <c r="A369" s="40" t="str">
        <f t="shared" si="3"/>
        <v>Derrick Rose</v>
      </c>
      <c r="B369" s="42">
        <f t="shared" si="4"/>
        <v>-2.179859315</v>
      </c>
      <c r="C369" s="43">
        <f t="shared" si="5"/>
        <v>-1.243065086</v>
      </c>
      <c r="D369" s="42">
        <f t="shared" si="6"/>
        <v>-1.870656281</v>
      </c>
      <c r="E369" s="42">
        <f t="shared" si="7"/>
        <v>-0.9275290217</v>
      </c>
      <c r="F369" s="42">
        <f t="shared" si="8"/>
        <v>-2.576325158</v>
      </c>
      <c r="G369" s="42">
        <f t="shared" si="9"/>
        <v>-1.150698449</v>
      </c>
      <c r="H369" s="42">
        <f t="shared" si="10"/>
        <v>-0.4416006305</v>
      </c>
      <c r="I369" s="42">
        <f>UpdateHashtag!S367</f>
        <v>5.1</v>
      </c>
      <c r="J369" s="47">
        <f t="shared" si="11"/>
        <v>0.2275419968</v>
      </c>
      <c r="K369" s="48">
        <f>UpdateHashtag!T367</f>
        <v>0.6</v>
      </c>
      <c r="L369" s="42">
        <f t="shared" si="12"/>
        <v>-0.9410095407</v>
      </c>
      <c r="N369" s="100">
        <f t="shared" si="13"/>
        <v>343</v>
      </c>
      <c r="O369" s="94" t="str">
        <f t="array" ref="O369">INDIRECT("Update"&amp;Projections!$AH$17&amp;"!B"&amp;ROW(B350))</f>
        <v/>
      </c>
      <c r="P369" s="101" t="str">
        <f t="array" ref="P369">INDIRECT("Update"&amp;Projections!$AH$17&amp;"!C"&amp;ROW(B350))</f>
        <v>Keon Johnson</v>
      </c>
      <c r="Q369" s="94">
        <f>UpdateBBM!F350</f>
        <v>66</v>
      </c>
      <c r="R369" s="105" t="str">
        <f t="array" ref="R369">INDIRECT("Update"&amp;Projections!$AH$17&amp;"!D"&amp;ROW(B350))</f>
        <v>PG,SG</v>
      </c>
      <c r="S369" s="73">
        <f t="shared" si="14"/>
        <v>-6.557258711</v>
      </c>
      <c r="T369" s="73">
        <f>SUM(AE369:AM369)-IFERROR(IFS(Projections!$I$17,AN369,Projections!$J$17,AO369),"")</f>
        <v>-6.557258711</v>
      </c>
      <c r="U369" s="73">
        <f t="shared" si="15"/>
        <v>0</v>
      </c>
      <c r="V369" s="73">
        <f t="array" ref="V369">INDIRECT("Update"&amp;Projections!$AH$17&amp;"!M"&amp;ROW(B350))</f>
        <v>6.9</v>
      </c>
      <c r="W369" s="73">
        <f t="array" ref="W369">INDIRECT("Update"&amp;Projections!$AH$17&amp;"!L"&amp;ROW(B350))</f>
        <v>1</v>
      </c>
      <c r="X369" s="73">
        <f t="array" ref="X369">INDIRECT("Update"&amp;Projections!$AH$17&amp;"!N"&amp;ROW(B350))</f>
        <v>1.6</v>
      </c>
      <c r="Y369" s="73">
        <f t="array" ref="Y369">INDIRECT("Update"&amp;Projections!$AH$17&amp;"!O"&amp;ROW(B350))</f>
        <v>2</v>
      </c>
      <c r="Z369" s="73">
        <f t="array" ref="Z369">INDIRECT("Update"&amp;Projections!$AH$17&amp;"!P"&amp;ROW(B350))</f>
        <v>0.7</v>
      </c>
      <c r="AA369" s="73">
        <f t="array" ref="AA369">INDIRECT("Update"&amp;Projections!$AH$17&amp;"!Q"&amp;ROW(B350))</f>
        <v>0.2</v>
      </c>
      <c r="AB369" s="107">
        <f t="array" ref="AB369">INDIRECT("Update"&amp;Projections!$AH$17&amp;"!I"&amp;ROW(B350))</f>
        <v>0.376</v>
      </c>
      <c r="AC369" s="107">
        <f t="array" ref="AC369">INDIRECT("Update"&amp;Projections!$AH$17&amp;"!K"&amp;ROW(B350))</f>
        <v>0.719</v>
      </c>
      <c r="AD369" s="73">
        <f t="array" ref="AD369">INDIRECT("Update"&amp;Projections!$AH$17&amp;"!R"&amp;ROW(B350))</f>
        <v>1.5</v>
      </c>
      <c r="AE369" s="73">
        <f t="shared" si="16"/>
        <v>-1.908887286</v>
      </c>
      <c r="AF369" s="73">
        <f t="shared" si="17"/>
        <v>-0.7454435908</v>
      </c>
      <c r="AG369" s="73">
        <f t="shared" si="18"/>
        <v>-1.752977168</v>
      </c>
      <c r="AH369" s="73">
        <f t="shared" si="19"/>
        <v>-0.8819672513</v>
      </c>
      <c r="AI369" s="73">
        <f t="shared" si="20"/>
        <v>-0.9166617668</v>
      </c>
      <c r="AJ369" s="73">
        <f t="shared" si="21"/>
        <v>-0.9723047469</v>
      </c>
      <c r="AK369" s="73">
        <f t="shared" si="22"/>
        <v>-0.8925361319</v>
      </c>
      <c r="AL369" s="73">
        <f t="shared" si="23"/>
        <v>-0.4570329464</v>
      </c>
      <c r="AM369" s="73">
        <f t="shared" si="24"/>
        <v>0.06166489084</v>
      </c>
      <c r="AN369" s="120">
        <f t="shared" si="25"/>
        <v>-1.908887286</v>
      </c>
      <c r="AO369" s="120">
        <f t="shared" si="26"/>
        <v>-3.661864453</v>
      </c>
      <c r="AP369" s="120">
        <f t="array" ref="AP369">INDIRECT("Update"&amp;Projections!$AH$17&amp;"!S"&amp;ROW(B350))</f>
        <v>6.3</v>
      </c>
      <c r="AQ369" s="120">
        <f t="array" ref="AQ369">INDIRECT("Update"&amp;Projections!$AH$17&amp;"!T"&amp;ROW(B350))</f>
        <v>1.7</v>
      </c>
      <c r="AR369" s="100">
        <f t="shared" si="27"/>
        <v>-6.760206682</v>
      </c>
    </row>
    <row r="370">
      <c r="A370" s="40" t="str">
        <f t="shared" si="3"/>
        <v>Jordan Walsh</v>
      </c>
      <c r="B370" s="42">
        <f t="shared" si="4"/>
        <v>-2.794062582</v>
      </c>
      <c r="C370" s="43">
        <f t="shared" si="5"/>
        <v>-1.442113684</v>
      </c>
      <c r="D370" s="42">
        <f t="shared" si="6"/>
        <v>-1.321487086</v>
      </c>
      <c r="E370" s="42">
        <f t="shared" si="7"/>
        <v>-1.474270267</v>
      </c>
      <c r="F370" s="42">
        <f t="shared" si="8"/>
        <v>-0.9166617668</v>
      </c>
      <c r="G370" s="42">
        <f t="shared" si="9"/>
        <v>-1.150698449</v>
      </c>
      <c r="H370" s="42">
        <f t="shared" si="10"/>
        <v>-0.2247447581</v>
      </c>
      <c r="I370" s="42">
        <f>UpdateHashtag!S368</f>
        <v>2</v>
      </c>
      <c r="J370" s="47">
        <f t="shared" si="11"/>
        <v>-0.3335101482</v>
      </c>
      <c r="K370" s="48">
        <f>UpdateHashtag!T368</f>
        <v>0.3</v>
      </c>
      <c r="L370" s="42">
        <f t="shared" si="12"/>
        <v>-1.337780956</v>
      </c>
      <c r="N370" s="100">
        <f t="shared" si="13"/>
        <v>345</v>
      </c>
      <c r="O370" s="94" t="str">
        <f t="array" ref="O370">INDIRECT("Update"&amp;Projections!$AH$17&amp;"!B"&amp;ROW(B351))</f>
        <v/>
      </c>
      <c r="P370" s="101" t="str">
        <f t="array" ref="P370">INDIRECT("Update"&amp;Projections!$AH$17&amp;"!C"&amp;ROW(B351))</f>
        <v>Chris Duarte</v>
      </c>
      <c r="Q370" s="94">
        <f>UpdateBBM!F351</f>
        <v>33</v>
      </c>
      <c r="R370" s="105" t="str">
        <f t="array" ref="R370">INDIRECT("Update"&amp;Projections!$AH$17&amp;"!D"&amp;ROW(B351))</f>
        <v>SG</v>
      </c>
      <c r="S370" s="73">
        <f t="shared" si="14"/>
        <v>-6.598797615</v>
      </c>
      <c r="T370" s="73">
        <f>SUM(AE370:AM370)-IFERROR(IFS(Projections!$I$17,AN370,Projections!$J$17,AO370),"")</f>
        <v>-6.598797615</v>
      </c>
      <c r="U370" s="73">
        <f t="shared" si="15"/>
        <v>0</v>
      </c>
      <c r="V370" s="73">
        <f t="array" ref="V370">INDIRECT("Update"&amp;Projections!$AH$17&amp;"!M"&amp;ROW(B351))</f>
        <v>5.6</v>
      </c>
      <c r="W370" s="73">
        <f t="array" ref="W370">INDIRECT("Update"&amp;Projections!$AH$17&amp;"!L"&amp;ROW(B351))</f>
        <v>0.9</v>
      </c>
      <c r="X370" s="73">
        <f t="array" ref="X370">INDIRECT("Update"&amp;Projections!$AH$17&amp;"!N"&amp;ROW(B351))</f>
        <v>2.1</v>
      </c>
      <c r="Y370" s="73">
        <f t="array" ref="Y370">INDIRECT("Update"&amp;Projections!$AH$17&amp;"!O"&amp;ROW(B351))</f>
        <v>1</v>
      </c>
      <c r="Z370" s="73">
        <f t="array" ref="Z370">INDIRECT("Update"&amp;Projections!$AH$17&amp;"!P"&amp;ROW(B351))</f>
        <v>0.5</v>
      </c>
      <c r="AA370" s="73">
        <f t="array" ref="AA370">INDIRECT("Update"&amp;Projections!$AH$17&amp;"!Q"&amp;ROW(B351))</f>
        <v>0.2</v>
      </c>
      <c r="AB370" s="107">
        <f t="array" ref="AB370">INDIRECT("Update"&amp;Projections!$AH$17&amp;"!I"&amp;ROW(B351))</f>
        <v>0.373</v>
      </c>
      <c r="AC370" s="107">
        <f t="array" ref="AC370">INDIRECT("Update"&amp;Projections!$AH$17&amp;"!K"&amp;ROW(B351))</f>
        <v>0.837</v>
      </c>
      <c r="AD370" s="73">
        <f t="array" ref="AD370">INDIRECT("Update"&amp;Projections!$AH$17&amp;"!R"&amp;ROW(B351))</f>
        <v>0.6</v>
      </c>
      <c r="AE370" s="73">
        <f t="shared" si="16"/>
        <v>-2.143729711</v>
      </c>
      <c r="AF370" s="73">
        <f t="shared" si="17"/>
        <v>-0.8449678898</v>
      </c>
      <c r="AG370" s="73">
        <f t="shared" si="18"/>
        <v>-1.556845312</v>
      </c>
      <c r="AH370" s="73">
        <f t="shared" si="19"/>
        <v>-1.337584956</v>
      </c>
      <c r="AI370" s="73">
        <f t="shared" si="20"/>
        <v>-1.580527123</v>
      </c>
      <c r="AJ370" s="73">
        <f t="shared" si="21"/>
        <v>-0.9723047469</v>
      </c>
      <c r="AK370" s="73">
        <f t="shared" si="22"/>
        <v>-0.7404608636</v>
      </c>
      <c r="AL370" s="73">
        <f t="shared" si="23"/>
        <v>0.149044464</v>
      </c>
      <c r="AM370" s="73">
        <f t="shared" si="24"/>
        <v>0.2848488121</v>
      </c>
      <c r="AN370" s="120">
        <f t="shared" si="25"/>
        <v>-2.143729711</v>
      </c>
      <c r="AO370" s="120">
        <f t="shared" si="26"/>
        <v>-3.724256834</v>
      </c>
      <c r="AP370" s="120">
        <f t="array" ref="AP370">INDIRECT("Update"&amp;Projections!$AH$17&amp;"!S"&amp;ROW(B351))</f>
        <v>5.1</v>
      </c>
      <c r="AQ370" s="120">
        <f t="array" ref="AQ370">INDIRECT("Update"&amp;Projections!$AH$17&amp;"!T"&amp;ROW(B351))</f>
        <v>1</v>
      </c>
      <c r="AR370" s="100">
        <f t="shared" si="27"/>
        <v>-6.77334618</v>
      </c>
    </row>
    <row r="371">
      <c r="A371" s="40" t="str">
        <f t="shared" si="3"/>
        <v>Dalano Banton</v>
      </c>
      <c r="B371" s="42">
        <f t="shared" si="4"/>
        <v>-2.197924117</v>
      </c>
      <c r="C371" s="43">
        <f t="shared" si="5"/>
        <v>-1.143540787</v>
      </c>
      <c r="D371" s="42">
        <f t="shared" si="6"/>
        <v>-1.713750797</v>
      </c>
      <c r="E371" s="42">
        <f t="shared" si="7"/>
        <v>-1.246461415</v>
      </c>
      <c r="F371" s="42">
        <f t="shared" si="8"/>
        <v>-1.912459801</v>
      </c>
      <c r="G371" s="42">
        <f t="shared" si="9"/>
        <v>-0.7939110449</v>
      </c>
      <c r="H371" s="42">
        <f t="shared" si="10"/>
        <v>-0.5000081886</v>
      </c>
      <c r="I371" s="42">
        <f>UpdateHashtag!S369</f>
        <v>4.8</v>
      </c>
      <c r="J371" s="47">
        <f t="shared" si="11"/>
        <v>-0.08536694643</v>
      </c>
      <c r="K371" s="48">
        <f>UpdateHashtag!T369</f>
        <v>1.1</v>
      </c>
      <c r="L371" s="42">
        <f t="shared" si="12"/>
        <v>-1.040202395</v>
      </c>
      <c r="N371" s="100">
        <f t="shared" si="13"/>
        <v>355</v>
      </c>
      <c r="O371" s="94" t="str">
        <f t="array" ref="O371">INDIRECT("Update"&amp;Projections!$AH$17&amp;"!B"&amp;ROW(B352))</f>
        <v/>
      </c>
      <c r="P371" s="101" t="str">
        <f t="array" ref="P371">INDIRECT("Update"&amp;Projections!$AH$17&amp;"!C"&amp;ROW(B352))</f>
        <v>Alex Len</v>
      </c>
      <c r="Q371" s="94">
        <f>UpdateBBM!F352</f>
        <v>59</v>
      </c>
      <c r="R371" s="105" t="str">
        <f t="array" ref="R371">INDIRECT("Update"&amp;Projections!$AH$17&amp;"!D"&amp;ROW(B352))</f>
        <v>C</v>
      </c>
      <c r="S371" s="73">
        <f t="shared" si="14"/>
        <v>-6.962064241</v>
      </c>
      <c r="T371" s="73">
        <f>SUM(AE371:AM371)-IFERROR(IFS(Projections!$I$17,AN371,Projections!$J$17,AO371),"")</f>
        <v>-6.962064241</v>
      </c>
      <c r="U371" s="73">
        <f t="shared" si="15"/>
        <v>0</v>
      </c>
      <c r="V371" s="73">
        <f t="array" ref="V371">INDIRECT("Update"&amp;Projections!$AH$17&amp;"!M"&amp;ROW(B352))</f>
        <v>2.6</v>
      </c>
      <c r="W371" s="73">
        <f t="array" ref="W371">INDIRECT("Update"&amp;Projections!$AH$17&amp;"!L"&amp;ROW(B352))</f>
        <v>0</v>
      </c>
      <c r="X371" s="73">
        <f t="array" ref="X371">INDIRECT("Update"&amp;Projections!$AH$17&amp;"!N"&amp;ROW(B352))</f>
        <v>3</v>
      </c>
      <c r="Y371" s="73">
        <f t="array" ref="Y371">INDIRECT("Update"&amp;Projections!$AH$17&amp;"!O"&amp;ROW(B352))</f>
        <v>1</v>
      </c>
      <c r="Z371" s="73">
        <f t="array" ref="Z371">INDIRECT("Update"&amp;Projections!$AH$17&amp;"!P"&amp;ROW(B352))</f>
        <v>0.2</v>
      </c>
      <c r="AA371" s="73">
        <f t="array" ref="AA371">INDIRECT("Update"&amp;Projections!$AH$17&amp;"!Q"&amp;ROW(B352))</f>
        <v>0.7</v>
      </c>
      <c r="AB371" s="107">
        <f t="array" ref="AB371">INDIRECT("Update"&amp;Projections!$AH$17&amp;"!I"&amp;ROW(B352))</f>
        <v>0.592</v>
      </c>
      <c r="AC371" s="107">
        <f t="array" ref="AC371">INDIRECT("Update"&amp;Projections!$AH$17&amp;"!K"&amp;ROW(B352))</f>
        <v>0.628</v>
      </c>
      <c r="AD371" s="73">
        <f t="array" ref="AD371">INDIRECT("Update"&amp;Projections!$AH$17&amp;"!R"&amp;ROW(B352))</f>
        <v>0.7</v>
      </c>
      <c r="AE371" s="73">
        <f t="shared" si="16"/>
        <v>-2.68567377</v>
      </c>
      <c r="AF371" s="73">
        <f t="shared" si="17"/>
        <v>-1.740686581</v>
      </c>
      <c r="AG371" s="73">
        <f t="shared" si="18"/>
        <v>-1.203807972</v>
      </c>
      <c r="AH371" s="73">
        <f t="shared" si="19"/>
        <v>-1.337584956</v>
      </c>
      <c r="AI371" s="73">
        <f t="shared" si="20"/>
        <v>-2.576325158</v>
      </c>
      <c r="AJ371" s="73">
        <f t="shared" si="21"/>
        <v>-0.08033623669</v>
      </c>
      <c r="AK371" s="73">
        <f t="shared" si="22"/>
        <v>0.1895156524</v>
      </c>
      <c r="AL371" s="73">
        <f t="shared" si="23"/>
        <v>-0.4728895888</v>
      </c>
      <c r="AM371" s="73">
        <f t="shared" si="24"/>
        <v>0.2600505987</v>
      </c>
      <c r="AN371" s="120">
        <f t="shared" si="25"/>
        <v>-2.68567377</v>
      </c>
      <c r="AO371" s="120">
        <f t="shared" si="26"/>
        <v>-5.261998928</v>
      </c>
      <c r="AP371" s="120">
        <f t="array" ref="AP371">INDIRECT("Update"&amp;Projections!$AH$17&amp;"!S"&amp;ROW(B352))</f>
        <v>1.7</v>
      </c>
      <c r="AQ371" s="120">
        <f t="array" ref="AQ371">INDIRECT("Update"&amp;Projections!$AH$17&amp;"!T"&amp;ROW(B352))</f>
        <v>0.8</v>
      </c>
      <c r="AR371" s="100">
        <f t="shared" si="27"/>
        <v>-6.787916229</v>
      </c>
    </row>
    <row r="372">
      <c r="A372" s="40" t="str">
        <f t="shared" si="3"/>
        <v>Jalen McDaniels</v>
      </c>
      <c r="B372" s="42">
        <f t="shared" si="4"/>
        <v>-2.432766543</v>
      </c>
      <c r="C372" s="43">
        <f t="shared" si="5"/>
        <v>-1.342589385</v>
      </c>
      <c r="D372" s="42">
        <f t="shared" si="6"/>
        <v>-1.674524426</v>
      </c>
      <c r="E372" s="42">
        <f t="shared" si="7"/>
        <v>-1.474270267</v>
      </c>
      <c r="F372" s="42">
        <f t="shared" si="8"/>
        <v>-1.912459801</v>
      </c>
      <c r="G372" s="42">
        <f t="shared" si="9"/>
        <v>-0.9723047469</v>
      </c>
      <c r="H372" s="42">
        <f t="shared" si="10"/>
        <v>-0.278447237</v>
      </c>
      <c r="I372" s="42">
        <f>UpdateHashtag!S370</f>
        <v>3.5</v>
      </c>
      <c r="J372" s="47">
        <f t="shared" si="11"/>
        <v>0.05124033752</v>
      </c>
      <c r="K372" s="48">
        <f>UpdateHashtag!T370</f>
        <v>0.8</v>
      </c>
      <c r="L372" s="42">
        <f t="shared" si="12"/>
        <v>-1.238588102</v>
      </c>
      <c r="N372" s="100">
        <f t="shared" si="13"/>
        <v>347</v>
      </c>
      <c r="O372" s="94">
        <f t="array" ref="O372">INDIRECT("Update"&amp;Projections!$AH$17&amp;"!B"&amp;ROW(B353))</f>
        <v>135.6</v>
      </c>
      <c r="P372" s="101" t="str">
        <f t="array" ref="P372">INDIRECT("Update"&amp;Projections!$AH$17&amp;"!C"&amp;ROW(B353))</f>
        <v>Kevon Looney</v>
      </c>
      <c r="Q372" s="344" t="str">
        <f>UpdateHashtag!F402</f>
        <v/>
      </c>
      <c r="R372" s="105" t="str">
        <f t="array" ref="R372">INDIRECT("Update"&amp;Projections!$AH$17&amp;"!D"&amp;ROW(B353))</f>
        <v>PF,C</v>
      </c>
      <c r="S372" s="73">
        <f t="shared" si="14"/>
        <v>-6.725626766</v>
      </c>
      <c r="T372" s="73">
        <f>SUM(AE372:AM372)-IFERROR(IFS(Projections!$I$17,AN372,Projections!$J$17,AO372),"")</f>
        <v>-6.725626766</v>
      </c>
      <c r="U372" s="73">
        <f t="shared" si="15"/>
        <v>0</v>
      </c>
      <c r="V372" s="73">
        <f t="array" ref="V372">INDIRECT("Update"&amp;Projections!$AH$17&amp;"!M"&amp;ROW(B353))</f>
        <v>3</v>
      </c>
      <c r="W372" s="73">
        <f t="array" ref="W372">INDIRECT("Update"&amp;Projections!$AH$17&amp;"!L"&amp;ROW(B353))</f>
        <v>0</v>
      </c>
      <c r="X372" s="73">
        <f t="array" ref="X372">INDIRECT("Update"&amp;Projections!$AH$17&amp;"!N"&amp;ROW(B353))</f>
        <v>3.9</v>
      </c>
      <c r="Y372" s="73">
        <f t="array" ref="Y372">INDIRECT("Update"&amp;Projections!$AH$17&amp;"!O"&amp;ROW(B353))</f>
        <v>1.1</v>
      </c>
      <c r="Z372" s="73">
        <f t="array" ref="Z372">INDIRECT("Update"&amp;Projections!$AH$17&amp;"!P"&amp;ROW(B353))</f>
        <v>0.3</v>
      </c>
      <c r="AA372" s="73">
        <f t="array" ref="AA372">INDIRECT("Update"&amp;Projections!$AH$17&amp;"!Q"&amp;ROW(B353))</f>
        <v>0.3</v>
      </c>
      <c r="AB372" s="107">
        <f t="array" ref="AB372">INDIRECT("Update"&amp;Projections!$AH$17&amp;"!I"&amp;ROW(B353))</f>
        <v>0.617</v>
      </c>
      <c r="AC372" s="107">
        <f t="array" ref="AC372">INDIRECT("Update"&amp;Projections!$AH$17&amp;"!K"&amp;ROW(B353))</f>
        <v>0.633</v>
      </c>
      <c r="AD372" s="73">
        <f t="array" ref="AD372">INDIRECT("Update"&amp;Projections!$AH$17&amp;"!R"&amp;ROW(B353))</f>
        <v>0.3</v>
      </c>
      <c r="AE372" s="73">
        <f t="shared" si="16"/>
        <v>-2.613414562</v>
      </c>
      <c r="AF372" s="73">
        <f t="shared" si="17"/>
        <v>-1.740686581</v>
      </c>
      <c r="AG372" s="73">
        <f t="shared" si="18"/>
        <v>-0.850770632</v>
      </c>
      <c r="AH372" s="73">
        <f t="shared" si="19"/>
        <v>-1.292023185</v>
      </c>
      <c r="AI372" s="73">
        <f t="shared" si="20"/>
        <v>-2.244392479</v>
      </c>
      <c r="AJ372" s="73">
        <f t="shared" si="21"/>
        <v>-0.7939110449</v>
      </c>
      <c r="AK372" s="73">
        <f t="shared" si="22"/>
        <v>0.2956376187</v>
      </c>
      <c r="AL372" s="73">
        <f t="shared" si="23"/>
        <v>-0.4587239151</v>
      </c>
      <c r="AM372" s="73">
        <f t="shared" si="24"/>
        <v>0.3592434526</v>
      </c>
      <c r="AN372" s="120">
        <f t="shared" si="25"/>
        <v>-2.613414562</v>
      </c>
      <c r="AO372" s="120">
        <f t="shared" si="26"/>
        <v>-4.857807042</v>
      </c>
      <c r="AP372" s="120">
        <f t="array" ref="AP372">INDIRECT("Update"&amp;Projections!$AH$17&amp;"!S"&amp;ROW(B353))</f>
        <v>2.1</v>
      </c>
      <c r="AQ372" s="120">
        <f t="array" ref="AQ372">INDIRECT("Update"&amp;Projections!$AH$17&amp;"!T"&amp;ROW(B353))</f>
        <v>0.8</v>
      </c>
      <c r="AR372" s="100">
        <f t="shared" si="27"/>
        <v>-6.865029055</v>
      </c>
    </row>
    <row r="373">
      <c r="A373" s="40" t="str">
        <f t="shared" si="3"/>
        <v>Jalen Wilson</v>
      </c>
      <c r="B373" s="42">
        <f t="shared" si="4"/>
        <v>-2.360507335</v>
      </c>
      <c r="C373" s="43">
        <f t="shared" si="5"/>
        <v>-1.243065086</v>
      </c>
      <c r="D373" s="42">
        <f t="shared" si="6"/>
        <v>-1.321487086</v>
      </c>
      <c r="E373" s="42">
        <f t="shared" si="7"/>
        <v>-1.383146726</v>
      </c>
      <c r="F373" s="42">
        <f t="shared" si="8"/>
        <v>-2.576325158</v>
      </c>
      <c r="G373" s="42">
        <f t="shared" si="9"/>
        <v>-1.150698449</v>
      </c>
      <c r="H373" s="42">
        <f t="shared" si="10"/>
        <v>-0.3117041213</v>
      </c>
      <c r="I373" s="42">
        <f>UpdateHashtag!S371</f>
        <v>3.7</v>
      </c>
      <c r="J373" s="47">
        <f t="shared" si="11"/>
        <v>0.1118290816</v>
      </c>
      <c r="K373" s="48">
        <f>UpdateHashtag!T371</f>
        <v>0.9</v>
      </c>
      <c r="L373" s="42">
        <f t="shared" si="12"/>
        <v>-1.337780956</v>
      </c>
      <c r="N373" s="100">
        <f t="shared" si="13"/>
        <v>349</v>
      </c>
      <c r="O373" s="94" t="str">
        <f t="array" ref="O373">INDIRECT("Update"&amp;Projections!$AH$17&amp;"!B"&amp;ROW(B354))</f>
        <v/>
      </c>
      <c r="P373" s="101" t="str">
        <f t="array" ref="P373">INDIRECT("Update"&amp;Projections!$AH$17&amp;"!C"&amp;ROW(B354))</f>
        <v>Jeremiah Robinson-Earl</v>
      </c>
      <c r="Q373" s="344" t="str">
        <f>UpdateHashtag!F403</f>
        <v/>
      </c>
      <c r="R373" s="105" t="str">
        <f t="array" ref="R373">INDIRECT("Update"&amp;Projections!$AH$17&amp;"!D"&amp;ROW(B354))</f>
        <v>PF,C</v>
      </c>
      <c r="S373" s="73">
        <f t="shared" si="14"/>
        <v>-6.760206682</v>
      </c>
      <c r="T373" s="73">
        <f>SUM(AE373:AM373)-IFERROR(IFS(Projections!$I$17,AN373,Projections!$J$17,AO373),"")</f>
        <v>-6.760206682</v>
      </c>
      <c r="U373" s="73">
        <f t="shared" si="15"/>
        <v>0</v>
      </c>
      <c r="V373" s="73">
        <f t="array" ref="V373">INDIRECT("Update"&amp;Projections!$AH$17&amp;"!M"&amp;ROW(B354))</f>
        <v>4.3</v>
      </c>
      <c r="W373" s="73">
        <f t="array" ref="W373">INDIRECT("Update"&amp;Projections!$AH$17&amp;"!L"&amp;ROW(B354))</f>
        <v>0.5</v>
      </c>
      <c r="X373" s="73">
        <f t="array" ref="X373">INDIRECT("Update"&amp;Projections!$AH$17&amp;"!N"&amp;ROW(B354))</f>
        <v>2.7</v>
      </c>
      <c r="Y373" s="73">
        <f t="array" ref="Y373">INDIRECT("Update"&amp;Projections!$AH$17&amp;"!O"&amp;ROW(B354))</f>
        <v>0.7</v>
      </c>
      <c r="Z373" s="73">
        <f t="array" ref="Z373">INDIRECT("Update"&amp;Projections!$AH$17&amp;"!P"&amp;ROW(B354))</f>
        <v>0.4</v>
      </c>
      <c r="AA373" s="73">
        <f t="array" ref="AA373">INDIRECT("Update"&amp;Projections!$AH$17&amp;"!Q"&amp;ROW(B354))</f>
        <v>0.2</v>
      </c>
      <c r="AB373" s="107">
        <f t="array" ref="AB373">INDIRECT("Update"&amp;Projections!$AH$17&amp;"!I"&amp;ROW(B354))</f>
        <v>0.452</v>
      </c>
      <c r="AC373" s="107">
        <f t="array" ref="AC373">INDIRECT("Update"&amp;Projections!$AH$17&amp;"!K"&amp;ROW(B354))</f>
        <v>0.806</v>
      </c>
      <c r="AD373" s="73">
        <f t="array" ref="AD373">INDIRECT("Update"&amp;Projections!$AH$17&amp;"!R"&amp;ROW(B354))</f>
        <v>0.4</v>
      </c>
      <c r="AE373" s="73">
        <f t="shared" si="16"/>
        <v>-2.378572137</v>
      </c>
      <c r="AF373" s="73">
        <f t="shared" si="17"/>
        <v>-1.243065086</v>
      </c>
      <c r="AG373" s="73">
        <f t="shared" si="18"/>
        <v>-1.321487086</v>
      </c>
      <c r="AH373" s="73">
        <f t="shared" si="19"/>
        <v>-1.474270267</v>
      </c>
      <c r="AI373" s="73">
        <f t="shared" si="20"/>
        <v>-1.912459801</v>
      </c>
      <c r="AJ373" s="73">
        <f t="shared" si="21"/>
        <v>-0.9723047469</v>
      </c>
      <c r="AK373" s="73">
        <f t="shared" si="22"/>
        <v>-0.1946212299</v>
      </c>
      <c r="AL373" s="73">
        <f t="shared" si="23"/>
        <v>0.02355629578</v>
      </c>
      <c r="AM373" s="73">
        <f t="shared" si="24"/>
        <v>0.3344452391</v>
      </c>
      <c r="AN373" s="120">
        <f t="shared" si="25"/>
        <v>-2.378572137</v>
      </c>
      <c r="AO373" s="120">
        <f t="shared" si="26"/>
        <v>-4.291031938</v>
      </c>
      <c r="AP373" s="120">
        <f t="array" ref="AP373">INDIRECT("Update"&amp;Projections!$AH$17&amp;"!S"&amp;ROW(B354))</f>
        <v>3.7</v>
      </c>
      <c r="AQ373" s="120">
        <f t="array" ref="AQ373">INDIRECT("Update"&amp;Projections!$AH$17&amp;"!T"&amp;ROW(B354))</f>
        <v>0.6</v>
      </c>
      <c r="AR373" s="100">
        <f t="shared" si="27"/>
        <v>-6.898684734</v>
      </c>
    </row>
    <row r="374">
      <c r="A374" s="40" t="str">
        <f t="shared" si="3"/>
        <v>Devonte' Graham</v>
      </c>
      <c r="B374" s="42">
        <f t="shared" si="4"/>
        <v>-2.360507335</v>
      </c>
      <c r="C374" s="43">
        <f t="shared" si="5"/>
        <v>-0.7454435908</v>
      </c>
      <c r="D374" s="42">
        <f t="shared" si="6"/>
        <v>-1.949109024</v>
      </c>
      <c r="E374" s="42">
        <f t="shared" si="7"/>
        <v>-1.018652563</v>
      </c>
      <c r="F374" s="42">
        <f t="shared" si="8"/>
        <v>-1.912459801</v>
      </c>
      <c r="G374" s="42">
        <f t="shared" si="9"/>
        <v>-1.150698449</v>
      </c>
      <c r="H374" s="42">
        <f t="shared" si="10"/>
        <v>-0.5545427107</v>
      </c>
      <c r="I374" s="42">
        <f>UpdateHashtag!S372</f>
        <v>3.7</v>
      </c>
      <c r="J374" s="47">
        <f t="shared" si="11"/>
        <v>-0.1590589386</v>
      </c>
      <c r="K374" s="48">
        <f>UpdateHashtag!T372</f>
        <v>1</v>
      </c>
      <c r="L374" s="42">
        <f t="shared" si="12"/>
        <v>-1.238588102</v>
      </c>
      <c r="N374" s="100">
        <f t="shared" si="13"/>
        <v>354</v>
      </c>
      <c r="O374" s="94" t="str">
        <f t="array" ref="O374">INDIRECT("Update"&amp;Projections!$AH$17&amp;"!B"&amp;ROW(B355))</f>
        <v/>
      </c>
      <c r="P374" s="101" t="str">
        <f t="array" ref="P374">INDIRECT("Update"&amp;Projections!$AH$17&amp;"!C"&amp;ROW(B355))</f>
        <v>Jamal Cain</v>
      </c>
      <c r="Q374" s="344" t="str">
        <f>UpdateHashtag!F404</f>
        <v/>
      </c>
      <c r="R374" s="105" t="str">
        <f t="array" ref="R374">INDIRECT("Update"&amp;Projections!$AH$17&amp;"!D"&amp;ROW(B355))</f>
        <v>SF,PF</v>
      </c>
      <c r="S374" s="73">
        <f t="shared" si="14"/>
        <v>-6.956117933</v>
      </c>
      <c r="T374" s="73">
        <f>SUM(AE374:AM374)-IFERROR(IFS(Projections!$I$17,AN374,Projections!$J$17,AO374),"")</f>
        <v>-6.956117933</v>
      </c>
      <c r="U374" s="73">
        <f t="shared" si="15"/>
        <v>0</v>
      </c>
      <c r="V374" s="73">
        <f t="array" ref="V374">INDIRECT("Update"&amp;Projections!$AH$17&amp;"!M"&amp;ROW(B355))</f>
        <v>4.4</v>
      </c>
      <c r="W374" s="73">
        <f t="array" ref="W374">INDIRECT("Update"&amp;Projections!$AH$17&amp;"!L"&amp;ROW(B355))</f>
        <v>0.4</v>
      </c>
      <c r="X374" s="73">
        <f t="array" ref="X374">INDIRECT("Update"&amp;Projections!$AH$17&amp;"!N"&amp;ROW(B355))</f>
        <v>2</v>
      </c>
      <c r="Y374" s="73">
        <f t="array" ref="Y374">INDIRECT("Update"&amp;Projections!$AH$17&amp;"!O"&amp;ROW(B355))</f>
        <v>0.5</v>
      </c>
      <c r="Z374" s="73">
        <f t="array" ref="Z374">INDIRECT("Update"&amp;Projections!$AH$17&amp;"!P"&amp;ROW(B355))</f>
        <v>0.5</v>
      </c>
      <c r="AA374" s="73">
        <f t="array" ref="AA374">INDIRECT("Update"&amp;Projections!$AH$17&amp;"!Q"&amp;ROW(B355))</f>
        <v>0.1</v>
      </c>
      <c r="AB374" s="107">
        <f t="array" ref="AB374">INDIRECT("Update"&amp;Projections!$AH$17&amp;"!I"&amp;ROW(B355))</f>
        <v>0.488</v>
      </c>
      <c r="AC374" s="107">
        <f t="array" ref="AC374">INDIRECT("Update"&amp;Projections!$AH$17&amp;"!K"&amp;ROW(B355))</f>
        <v>0.782</v>
      </c>
      <c r="AD374" s="73">
        <f t="array" ref="AD374">INDIRECT("Update"&amp;Projections!$AH$17&amp;"!R"&amp;ROW(B355))</f>
        <v>0.3</v>
      </c>
      <c r="AE374" s="73">
        <f t="shared" si="16"/>
        <v>-2.360507335</v>
      </c>
      <c r="AF374" s="73">
        <f t="shared" si="17"/>
        <v>-1.342589385</v>
      </c>
      <c r="AG374" s="73">
        <f t="shared" si="18"/>
        <v>-1.596071683</v>
      </c>
      <c r="AH374" s="73">
        <f t="shared" si="19"/>
        <v>-1.565393808</v>
      </c>
      <c r="AI374" s="73">
        <f t="shared" si="20"/>
        <v>-1.580527123</v>
      </c>
      <c r="AJ374" s="73">
        <f t="shared" si="21"/>
        <v>-1.150698449</v>
      </c>
      <c r="AK374" s="73">
        <f t="shared" si="22"/>
        <v>-0.03434738838</v>
      </c>
      <c r="AL374" s="73">
        <f t="shared" si="23"/>
        <v>-0.04573354915</v>
      </c>
      <c r="AM374" s="73">
        <f t="shared" si="24"/>
        <v>0.3592434526</v>
      </c>
      <c r="AN374" s="120">
        <f t="shared" si="25"/>
        <v>-2.360507335</v>
      </c>
      <c r="AO374" s="120">
        <f t="shared" si="26"/>
        <v>-3.956579018</v>
      </c>
      <c r="AP374" s="120">
        <f t="array" ref="AP374">INDIRECT("Update"&amp;Projections!$AH$17&amp;"!S"&amp;ROW(B355))</f>
        <v>3.3</v>
      </c>
      <c r="AQ374" s="120">
        <f t="array" ref="AQ374">INDIRECT("Update"&amp;Projections!$AH$17&amp;"!T"&amp;ROW(B355))</f>
        <v>1</v>
      </c>
      <c r="AR374" s="100">
        <f t="shared" si="27"/>
        <v>-6.956117933</v>
      </c>
    </row>
    <row r="375">
      <c r="A375" s="40" t="str">
        <f t="shared" si="3"/>
        <v>David Jones</v>
      </c>
      <c r="B375" s="42">
        <f t="shared" si="4"/>
        <v>-2.378572137</v>
      </c>
      <c r="C375" s="43">
        <f t="shared" si="5"/>
        <v>-1.243065086</v>
      </c>
      <c r="D375" s="42">
        <f t="shared" si="6"/>
        <v>-1.792203539</v>
      </c>
      <c r="E375" s="42">
        <f t="shared" si="7"/>
        <v>-1.610955578</v>
      </c>
      <c r="F375" s="42">
        <f t="shared" si="8"/>
        <v>-1.912459801</v>
      </c>
      <c r="G375" s="42">
        <f t="shared" si="9"/>
        <v>-1.150698449</v>
      </c>
      <c r="H375" s="42">
        <f t="shared" si="10"/>
        <v>-0.1261569726</v>
      </c>
      <c r="I375" s="42">
        <f>UpdateHashtag!S373</f>
        <v>3</v>
      </c>
      <c r="J375" s="47">
        <f t="shared" si="11"/>
        <v>0.0003963574259</v>
      </c>
      <c r="K375" s="48">
        <f>UpdateHashtag!T373</f>
        <v>1.3</v>
      </c>
      <c r="L375" s="42">
        <f t="shared" si="12"/>
        <v>-1.139395249</v>
      </c>
      <c r="N375" s="100">
        <f t="shared" si="13"/>
        <v>335</v>
      </c>
      <c r="O375" s="94" t="str">
        <f t="array" ref="O375">INDIRECT("Update"&amp;Projections!$AH$17&amp;"!B"&amp;ROW(B356))</f>
        <v/>
      </c>
      <c r="P375" s="101" t="str">
        <f t="array" ref="P375">INDIRECT("Update"&amp;Projections!$AH$17&amp;"!C"&amp;ROW(B356))</f>
        <v>Dru Smith</v>
      </c>
      <c r="Q375" s="344" t="str">
        <f>UpdateHashtag!F405</f>
        <v/>
      </c>
      <c r="R375" s="105" t="str">
        <f t="array" ref="R375">INDIRECT("Update"&amp;Projections!$AH$17&amp;"!D"&amp;ROW(B356))</f>
        <v>PG,SG</v>
      </c>
      <c r="S375" s="73">
        <f t="shared" si="14"/>
        <v>-6.474329494</v>
      </c>
      <c r="T375" s="73">
        <f>SUM(AE375:AM375)-IFERROR(IFS(Projections!$I$17,AN375,Projections!$J$17,AO375),"")</f>
        <v>-6.474329494</v>
      </c>
      <c r="U375" s="73">
        <f t="shared" si="15"/>
        <v>0</v>
      </c>
      <c r="V375" s="73">
        <f t="array" ref="V375">INDIRECT("Update"&amp;Projections!$AH$17&amp;"!M"&amp;ROW(B356))</f>
        <v>2.6</v>
      </c>
      <c r="W375" s="73">
        <f t="array" ref="W375">INDIRECT("Update"&amp;Projections!$AH$17&amp;"!L"&amp;ROW(B356))</f>
        <v>0.4</v>
      </c>
      <c r="X375" s="73">
        <f t="array" ref="X375">INDIRECT("Update"&amp;Projections!$AH$17&amp;"!N"&amp;ROW(B356))</f>
        <v>1.2</v>
      </c>
      <c r="Y375" s="73">
        <f t="array" ref="Y375">INDIRECT("Update"&amp;Projections!$AH$17&amp;"!O"&amp;ROW(B356))</f>
        <v>1.1</v>
      </c>
      <c r="Z375" s="73">
        <f t="array" ref="Z375">INDIRECT("Update"&amp;Projections!$AH$17&amp;"!P"&amp;ROW(B356))</f>
        <v>0.6</v>
      </c>
      <c r="AA375" s="73">
        <f t="array" ref="AA375">INDIRECT("Update"&amp;Projections!$AH$17&amp;"!Q"&amp;ROW(B356))</f>
        <v>0.2</v>
      </c>
      <c r="AB375" s="107">
        <f t="array" ref="AB375">INDIRECT("Update"&amp;Projections!$AH$17&amp;"!I"&amp;ROW(B356))</f>
        <v>0.421</v>
      </c>
      <c r="AC375" s="107">
        <f t="array" ref="AC375">INDIRECT("Update"&amp;Projections!$AH$17&amp;"!K"&amp;ROW(B356))</f>
        <v>1</v>
      </c>
      <c r="AD375" s="73">
        <f t="array" ref="AD375">INDIRECT("Update"&amp;Projections!$AH$17&amp;"!R"&amp;ROW(B356))</f>
        <v>0.3</v>
      </c>
      <c r="AE375" s="73">
        <f t="shared" si="16"/>
        <v>-2.68567377</v>
      </c>
      <c r="AF375" s="73">
        <f t="shared" si="17"/>
        <v>-1.342589385</v>
      </c>
      <c r="AG375" s="73">
        <f t="shared" si="18"/>
        <v>-1.909882652</v>
      </c>
      <c r="AH375" s="73">
        <f t="shared" si="19"/>
        <v>-1.292023185</v>
      </c>
      <c r="AI375" s="73">
        <f t="shared" si="20"/>
        <v>-1.248594445</v>
      </c>
      <c r="AJ375" s="73">
        <f t="shared" si="21"/>
        <v>-0.9723047469</v>
      </c>
      <c r="AK375" s="73">
        <f t="shared" si="22"/>
        <v>-0.2134376658</v>
      </c>
      <c r="AL375" s="73">
        <f t="shared" si="23"/>
        <v>0.1452591333</v>
      </c>
      <c r="AM375" s="73">
        <f t="shared" si="24"/>
        <v>0.3592434526</v>
      </c>
      <c r="AN375" s="120">
        <f t="shared" si="25"/>
        <v>-2.68567377</v>
      </c>
      <c r="AO375" s="120">
        <f t="shared" si="26"/>
        <v>-4.595556422</v>
      </c>
      <c r="AP375" s="120">
        <f t="array" ref="AP375">INDIRECT("Update"&amp;Projections!$AH$17&amp;"!S"&amp;ROW(B356))</f>
        <v>2.4</v>
      </c>
      <c r="AQ375" s="120">
        <f t="array" ref="AQ375">INDIRECT("Update"&amp;Projections!$AH$17&amp;"!T"&amp;ROW(B356))</f>
        <v>0.2</v>
      </c>
      <c r="AR375" s="100">
        <f t="shared" si="27"/>
        <v>-6.962064241</v>
      </c>
    </row>
    <row r="376">
      <c r="A376" s="40" t="str">
        <f t="shared" si="3"/>
        <v>Orlando Robinson</v>
      </c>
      <c r="B376" s="42">
        <f t="shared" si="4"/>
        <v>-2.649544166</v>
      </c>
      <c r="C376" s="43">
        <f t="shared" si="5"/>
        <v>-1.641162282</v>
      </c>
      <c r="D376" s="42">
        <f t="shared" si="6"/>
        <v>-1.321487086</v>
      </c>
      <c r="E376" s="42">
        <f t="shared" si="7"/>
        <v>-1.428708496</v>
      </c>
      <c r="F376" s="42">
        <f t="shared" si="8"/>
        <v>-2.244392479</v>
      </c>
      <c r="G376" s="42">
        <f t="shared" si="9"/>
        <v>-0.7939110449</v>
      </c>
      <c r="H376" s="42">
        <f t="shared" si="10"/>
        <v>0.04213382094</v>
      </c>
      <c r="I376" s="42">
        <f>UpdateHashtag!S374</f>
        <v>2.1</v>
      </c>
      <c r="J376" s="47">
        <f t="shared" si="11"/>
        <v>-0.1708370865</v>
      </c>
      <c r="K376" s="48">
        <f>UpdateHashtag!T374</f>
        <v>0.7</v>
      </c>
      <c r="L376" s="42">
        <f t="shared" si="12"/>
        <v>-1.337780956</v>
      </c>
      <c r="N376" s="100">
        <f t="shared" si="13"/>
        <v>362</v>
      </c>
      <c r="O376" s="94" t="str">
        <f t="array" ref="O376">INDIRECT("Update"&amp;Projections!$AH$17&amp;"!B"&amp;ROW(B357))</f>
        <v/>
      </c>
      <c r="P376" s="101" t="str">
        <f t="array" ref="P376">INDIRECT("Update"&amp;Projections!$AH$17&amp;"!C"&amp;ROW(B357))</f>
        <v>Zeke Nnaji</v>
      </c>
      <c r="Q376" s="344" t="str">
        <f>UpdateHashtag!F406</f>
        <v/>
      </c>
      <c r="R376" s="105" t="str">
        <f t="array" ref="R376">INDIRECT("Update"&amp;Projections!$AH$17&amp;"!D"&amp;ROW(B357))</f>
        <v>PF,C</v>
      </c>
      <c r="S376" s="73">
        <f t="shared" si="14"/>
        <v>-7.173836186</v>
      </c>
      <c r="T376" s="73">
        <f>SUM(AE376:AM376)-IFERROR(IFS(Projections!$I$17,AN376,Projections!$J$17,AO376),"")</f>
        <v>-7.173836186</v>
      </c>
      <c r="U376" s="73">
        <f t="shared" si="15"/>
        <v>0</v>
      </c>
      <c r="V376" s="73">
        <f t="array" ref="V376">INDIRECT("Update"&amp;Projections!$AH$17&amp;"!M"&amp;ROW(B357))</f>
        <v>4.3</v>
      </c>
      <c r="W376" s="73">
        <f t="array" ref="W376">INDIRECT("Update"&amp;Projections!$AH$17&amp;"!L"&amp;ROW(B357))</f>
        <v>0.2</v>
      </c>
      <c r="X376" s="73">
        <f t="array" ref="X376">INDIRECT("Update"&amp;Projections!$AH$17&amp;"!N"&amp;ROW(B357))</f>
        <v>2.5</v>
      </c>
      <c r="Y376" s="73">
        <f t="array" ref="Y376">INDIRECT("Update"&amp;Projections!$AH$17&amp;"!O"&amp;ROW(B357))</f>
        <v>0.5</v>
      </c>
      <c r="Z376" s="73">
        <f t="array" ref="Z376">INDIRECT("Update"&amp;Projections!$AH$17&amp;"!P"&amp;ROW(B357))</f>
        <v>0.3</v>
      </c>
      <c r="AA376" s="73">
        <f t="array" ref="AA376">INDIRECT("Update"&amp;Projections!$AH$17&amp;"!Q"&amp;ROW(B357))</f>
        <v>0.6</v>
      </c>
      <c r="AB376" s="107">
        <f t="array" ref="AB376">INDIRECT("Update"&amp;Projections!$AH$17&amp;"!I"&amp;ROW(B357))</f>
        <v>0.519</v>
      </c>
      <c r="AC376" s="107">
        <f t="array" ref="AC376">INDIRECT("Update"&amp;Projections!$AH$17&amp;"!K"&amp;ROW(B357))</f>
        <v>0.664</v>
      </c>
      <c r="AD376" s="73">
        <f t="array" ref="AD376">INDIRECT("Update"&amp;Projections!$AH$17&amp;"!R"&amp;ROW(B357))</f>
        <v>0.5</v>
      </c>
      <c r="AE376" s="73">
        <f t="shared" si="16"/>
        <v>-2.378572137</v>
      </c>
      <c r="AF376" s="73">
        <f t="shared" si="17"/>
        <v>-1.541637983</v>
      </c>
      <c r="AG376" s="73">
        <f t="shared" si="18"/>
        <v>-1.399939828</v>
      </c>
      <c r="AH376" s="73">
        <f t="shared" si="19"/>
        <v>-1.565393808</v>
      </c>
      <c r="AI376" s="73">
        <f t="shared" si="20"/>
        <v>-2.244392479</v>
      </c>
      <c r="AJ376" s="73">
        <f t="shared" si="21"/>
        <v>-0.2587299387</v>
      </c>
      <c r="AK376" s="73">
        <f t="shared" si="22"/>
        <v>0.08295593225</v>
      </c>
      <c r="AL376" s="73">
        <f t="shared" si="23"/>
        <v>-0.5563451074</v>
      </c>
      <c r="AM376" s="73">
        <f t="shared" si="24"/>
        <v>0.3096470256</v>
      </c>
      <c r="AN376" s="120">
        <f t="shared" si="25"/>
        <v>-2.378572137</v>
      </c>
      <c r="AO376" s="120">
        <f t="shared" si="26"/>
        <v>-4.622964616</v>
      </c>
      <c r="AP376" s="120">
        <f t="array" ref="AP376">INDIRECT("Update"&amp;Projections!$AH$17&amp;"!S"&amp;ROW(B357))</f>
        <v>3.2</v>
      </c>
      <c r="AQ376" s="120">
        <f t="array" ref="AQ376">INDIRECT("Update"&amp;Projections!$AH$17&amp;"!T"&amp;ROW(B357))</f>
        <v>1.2</v>
      </c>
      <c r="AR376" s="100">
        <f t="shared" si="27"/>
        <v>-6.981221495</v>
      </c>
    </row>
    <row r="377">
      <c r="A377" s="40" t="str">
        <f t="shared" si="3"/>
        <v>Baylor Scheierman</v>
      </c>
      <c r="B377" s="42">
        <f t="shared" si="4"/>
        <v>-2.414701741</v>
      </c>
      <c r="C377" s="43">
        <f t="shared" si="5"/>
        <v>-1.044016488</v>
      </c>
      <c r="D377" s="42">
        <f t="shared" si="6"/>
        <v>-1.596071683</v>
      </c>
      <c r="E377" s="42">
        <f t="shared" si="7"/>
        <v>-1.383146726</v>
      </c>
      <c r="F377" s="42">
        <f t="shared" si="8"/>
        <v>-2.576325158</v>
      </c>
      <c r="G377" s="42">
        <f t="shared" si="9"/>
        <v>-1.329092151</v>
      </c>
      <c r="H377" s="42">
        <f t="shared" si="10"/>
        <v>-0.205825093</v>
      </c>
      <c r="I377" s="42">
        <f>UpdateHashtag!S375</f>
        <v>3.2</v>
      </c>
      <c r="J377" s="47">
        <f t="shared" si="11"/>
        <v>0.06714623139</v>
      </c>
      <c r="K377" s="48">
        <f>UpdateHashtag!T375</f>
        <v>0.7</v>
      </c>
      <c r="L377" s="42">
        <f t="shared" si="12"/>
        <v>-1.238588102</v>
      </c>
      <c r="N377" s="100">
        <f t="shared" si="13"/>
        <v>344</v>
      </c>
      <c r="O377" s="94" t="str">
        <f t="array" ref="O377">INDIRECT("Update"&amp;Projections!$AH$17&amp;"!B"&amp;ROW(B358))</f>
        <v/>
      </c>
      <c r="P377" s="101" t="str">
        <f t="array" ref="P377">INDIRECT("Update"&amp;Projections!$AH$17&amp;"!C"&amp;ROW(B358))</f>
        <v>Kobe Bufkin</v>
      </c>
      <c r="Q377" s="344" t="str">
        <f>UpdateHashtag!F407</f>
        <v/>
      </c>
      <c r="R377" s="105" t="str">
        <f t="array" ref="R377">INDIRECT("Update"&amp;Projections!$AH$17&amp;"!D"&amp;ROW(B358))</f>
        <v>PG,SG</v>
      </c>
      <c r="S377" s="73">
        <f t="shared" si="14"/>
        <v>-6.56518632</v>
      </c>
      <c r="T377" s="73">
        <f>SUM(AE377:AM377)-IFERROR(IFS(Projections!$I$17,AN377,Projections!$J$17,AO377),"")</f>
        <v>-6.56518632</v>
      </c>
      <c r="U377" s="73">
        <f t="shared" si="15"/>
        <v>0</v>
      </c>
      <c r="V377" s="73">
        <f t="array" ref="V377">INDIRECT("Update"&amp;Projections!$AH$17&amp;"!M"&amp;ROW(B358))</f>
        <v>6.4</v>
      </c>
      <c r="W377" s="73">
        <f t="array" ref="W377">INDIRECT("Update"&amp;Projections!$AH$17&amp;"!L"&amp;ROW(B358))</f>
        <v>0.7</v>
      </c>
      <c r="X377" s="73">
        <f t="array" ref="X377">INDIRECT("Update"&amp;Projections!$AH$17&amp;"!N"&amp;ROW(B358))</f>
        <v>2.6</v>
      </c>
      <c r="Y377" s="73">
        <f t="array" ref="Y377">INDIRECT("Update"&amp;Projections!$AH$17&amp;"!O"&amp;ROW(B358))</f>
        <v>2.1</v>
      </c>
      <c r="Z377" s="73">
        <f t="array" ref="Z377">INDIRECT("Update"&amp;Projections!$AH$17&amp;"!P"&amp;ROW(B358))</f>
        <v>0.6</v>
      </c>
      <c r="AA377" s="73">
        <f t="array" ref="AA377">INDIRECT("Update"&amp;Projections!$AH$17&amp;"!Q"&amp;ROW(B358))</f>
        <v>0.4</v>
      </c>
      <c r="AB377" s="107">
        <f t="array" ref="AB377">INDIRECT("Update"&amp;Projections!$AH$17&amp;"!I"&amp;ROW(B358))</f>
        <v>0.37</v>
      </c>
      <c r="AC377" s="107">
        <f t="array" ref="AC377">INDIRECT("Update"&amp;Projections!$AH$17&amp;"!K"&amp;ROW(B358))</f>
        <v>0.508</v>
      </c>
      <c r="AD377" s="73">
        <f t="array" ref="AD377">INDIRECT("Update"&amp;Projections!$AH$17&amp;"!R"&amp;ROW(B358))</f>
        <v>0.8</v>
      </c>
      <c r="AE377" s="73">
        <f t="shared" si="16"/>
        <v>-1.999211295</v>
      </c>
      <c r="AF377" s="73">
        <f t="shared" si="17"/>
        <v>-1.044016488</v>
      </c>
      <c r="AG377" s="73">
        <f t="shared" si="18"/>
        <v>-1.360713457</v>
      </c>
      <c r="AH377" s="73">
        <f t="shared" si="19"/>
        <v>-0.8364054809</v>
      </c>
      <c r="AI377" s="73">
        <f t="shared" si="20"/>
        <v>-1.248594445</v>
      </c>
      <c r="AJ377" s="73">
        <f t="shared" si="21"/>
        <v>-0.6155173428</v>
      </c>
      <c r="AK377" s="73">
        <f t="shared" si="22"/>
        <v>-1.085542174</v>
      </c>
      <c r="AL377" s="73">
        <f t="shared" si="23"/>
        <v>-0.6096493179</v>
      </c>
      <c r="AM377" s="73">
        <f t="shared" si="24"/>
        <v>0.2352523852</v>
      </c>
      <c r="AN377" s="120">
        <f t="shared" si="25"/>
        <v>-1.999211295</v>
      </c>
      <c r="AO377" s="120">
        <f t="shared" si="26"/>
        <v>-3.359924752</v>
      </c>
      <c r="AP377" s="120">
        <f t="array" ref="AP377">INDIRECT("Update"&amp;Projections!$AH$17&amp;"!S"&amp;ROW(B358))</f>
        <v>7.3</v>
      </c>
      <c r="AQ377" s="120">
        <f t="array" ref="AQ377">INDIRECT("Update"&amp;Projections!$AH$17&amp;"!T"&amp;ROW(B358))</f>
        <v>0.6</v>
      </c>
      <c r="AR377" s="100">
        <f t="shared" si="27"/>
        <v>-7.025086096</v>
      </c>
    </row>
    <row r="378">
      <c r="A378" s="40" t="str">
        <f t="shared" si="3"/>
        <v>AJ Green</v>
      </c>
      <c r="B378" s="42">
        <f t="shared" si="4"/>
        <v>-2.342442533</v>
      </c>
      <c r="C378" s="43">
        <f t="shared" si="5"/>
        <v>-0.5463949927</v>
      </c>
      <c r="D378" s="42">
        <f t="shared" si="6"/>
        <v>-1.909882652</v>
      </c>
      <c r="E378" s="42">
        <f t="shared" si="7"/>
        <v>-1.519832037</v>
      </c>
      <c r="F378" s="42">
        <f t="shared" si="8"/>
        <v>-2.576325158</v>
      </c>
      <c r="G378" s="42">
        <f t="shared" si="9"/>
        <v>-1.329092151</v>
      </c>
      <c r="H378" s="42">
        <f t="shared" si="10"/>
        <v>-0.2948552498</v>
      </c>
      <c r="I378" s="42">
        <f>UpdateHashtag!S376</f>
        <v>3.5</v>
      </c>
      <c r="J378" s="47">
        <f t="shared" si="11"/>
        <v>0.1328946579</v>
      </c>
      <c r="K378" s="48">
        <f>UpdateHashtag!T376</f>
        <v>0.3</v>
      </c>
      <c r="L378" s="42">
        <f t="shared" si="12"/>
        <v>-1.536166664</v>
      </c>
      <c r="N378" s="100">
        <f t="shared" si="13"/>
        <v>361</v>
      </c>
      <c r="O378" s="94" t="str">
        <f t="array" ref="O378">INDIRECT("Update"&amp;Projections!$AH$17&amp;"!B"&amp;ROW(B359))</f>
        <v/>
      </c>
      <c r="P378" s="101" t="str">
        <f t="array" ref="P378">INDIRECT("Update"&amp;Projections!$AH$17&amp;"!C"&amp;ROW(B359))</f>
        <v>Trendon Watford</v>
      </c>
      <c r="Q378" s="344" t="str">
        <f>UpdateHashtag!F408</f>
        <v/>
      </c>
      <c r="R378" s="105" t="str">
        <f t="array" ref="R378">INDIRECT("Update"&amp;Projections!$AH$17&amp;"!D"&amp;ROW(B359))</f>
        <v>PF,C</v>
      </c>
      <c r="S378" s="73">
        <f t="shared" si="14"/>
        <v>-7.154913218</v>
      </c>
      <c r="T378" s="73">
        <f>SUM(AE378:AM378)-IFERROR(IFS(Projections!$I$17,AN378,Projections!$J$17,AO378),"")</f>
        <v>-7.154913218</v>
      </c>
      <c r="U378" s="73">
        <f t="shared" si="15"/>
        <v>0</v>
      </c>
      <c r="V378" s="73">
        <f t="array" ref="V378">INDIRECT("Update"&amp;Projections!$AH$17&amp;"!M"&amp;ROW(B359))</f>
        <v>4.5</v>
      </c>
      <c r="W378" s="73">
        <f t="array" ref="W378">INDIRECT("Update"&amp;Projections!$AH$17&amp;"!L"&amp;ROW(B359))</f>
        <v>0.3</v>
      </c>
      <c r="X378" s="73">
        <f t="array" ref="X378">INDIRECT("Update"&amp;Projections!$AH$17&amp;"!N"&amp;ROW(B359))</f>
        <v>2.2</v>
      </c>
      <c r="Y378" s="73">
        <f t="array" ref="Y378">INDIRECT("Update"&amp;Projections!$AH$17&amp;"!O"&amp;ROW(B359))</f>
        <v>1.1</v>
      </c>
      <c r="Z378" s="73">
        <f t="array" ref="Z378">INDIRECT("Update"&amp;Projections!$AH$17&amp;"!P"&amp;ROW(B359))</f>
        <v>0.3</v>
      </c>
      <c r="AA378" s="73">
        <f t="array" ref="AA378">INDIRECT("Update"&amp;Projections!$AH$17&amp;"!Q"&amp;ROW(B359))</f>
        <v>0.2</v>
      </c>
      <c r="AB378" s="107">
        <f t="array" ref="AB378">INDIRECT("Update"&amp;Projections!$AH$17&amp;"!I"&amp;ROW(B359))</f>
        <v>0.546</v>
      </c>
      <c r="AC378" s="107">
        <f t="array" ref="AC378">INDIRECT("Update"&amp;Projections!$AH$17&amp;"!K"&amp;ROW(B359))</f>
        <v>0.758</v>
      </c>
      <c r="AD378" s="73">
        <f t="array" ref="AD378">INDIRECT("Update"&amp;Projections!$AH$17&amp;"!R"&amp;ROW(B359))</f>
        <v>0.7</v>
      </c>
      <c r="AE378" s="73">
        <f t="shared" si="16"/>
        <v>-2.342442533</v>
      </c>
      <c r="AF378" s="73">
        <f t="shared" si="17"/>
        <v>-1.442113684</v>
      </c>
      <c r="AG378" s="73">
        <f t="shared" si="18"/>
        <v>-1.517618941</v>
      </c>
      <c r="AH378" s="73">
        <f t="shared" si="19"/>
        <v>-1.292023185</v>
      </c>
      <c r="AI378" s="73">
        <f t="shared" si="20"/>
        <v>-2.244392479</v>
      </c>
      <c r="AJ378" s="73">
        <f t="shared" si="21"/>
        <v>-0.9723047469</v>
      </c>
      <c r="AK378" s="73">
        <f t="shared" si="22"/>
        <v>0.1842168112</v>
      </c>
      <c r="AL378" s="73">
        <f t="shared" si="23"/>
        <v>-0.1307275913</v>
      </c>
      <c r="AM378" s="73">
        <f t="shared" si="24"/>
        <v>0.2600505987</v>
      </c>
      <c r="AN378" s="120">
        <f t="shared" si="25"/>
        <v>-2.342442533</v>
      </c>
      <c r="AO378" s="120">
        <f t="shared" si="26"/>
        <v>-4.586835012</v>
      </c>
      <c r="AP378" s="120">
        <f t="array" ref="AP378">INDIRECT("Update"&amp;Projections!$AH$17&amp;"!S"&amp;ROW(B359))</f>
        <v>3.2</v>
      </c>
      <c r="AQ378" s="120">
        <f t="array" ref="AQ378">INDIRECT("Update"&amp;Projections!$AH$17&amp;"!T"&amp;ROW(B359))</f>
        <v>1</v>
      </c>
      <c r="AR378" s="100">
        <f t="shared" si="27"/>
        <v>-7.091745705</v>
      </c>
    </row>
    <row r="379">
      <c r="A379" s="40" t="str">
        <f t="shared" si="3"/>
        <v>Isaiah Collier</v>
      </c>
      <c r="B379" s="42">
        <f t="shared" si="4"/>
        <v>-2.017276097</v>
      </c>
      <c r="C379" s="43">
        <f t="shared" si="5"/>
        <v>-1.342589385</v>
      </c>
      <c r="D379" s="42">
        <f t="shared" si="6"/>
        <v>-1.949109024</v>
      </c>
      <c r="E379" s="42">
        <f t="shared" si="7"/>
        <v>-1.018652563</v>
      </c>
      <c r="F379" s="42">
        <f t="shared" si="8"/>
        <v>-1.248594445</v>
      </c>
      <c r="G379" s="42">
        <f t="shared" si="9"/>
        <v>-1.150698449</v>
      </c>
      <c r="H379" s="42">
        <f t="shared" si="10"/>
        <v>-0.03101533545</v>
      </c>
      <c r="I379" s="42">
        <f>UpdateHashtag!S377</f>
        <v>4.5</v>
      </c>
      <c r="J379" s="47">
        <f t="shared" si="11"/>
        <v>-1.009311286</v>
      </c>
      <c r="K379" s="48">
        <f>UpdateHashtag!T377</f>
        <v>2.3</v>
      </c>
      <c r="L379" s="42">
        <f t="shared" si="12"/>
        <v>-0.4450452712</v>
      </c>
      <c r="N379" s="100">
        <f t="shared" si="13"/>
        <v>367</v>
      </c>
      <c r="O379" s="94" t="str">
        <f t="array" ref="O379">INDIRECT("Update"&amp;Projections!$AH$17&amp;"!B"&amp;ROW(B360))</f>
        <v/>
      </c>
      <c r="P379" s="101" t="str">
        <f t="array" ref="P379">INDIRECT("Update"&amp;Projections!$AH$17&amp;"!C"&amp;ROW(B360))</f>
        <v>Garrison Mathews</v>
      </c>
      <c r="Q379" s="344" t="str">
        <f>UpdateHashtag!F409</f>
        <v/>
      </c>
      <c r="R379" s="105" t="str">
        <f t="array" ref="R379">INDIRECT("Update"&amp;Projections!$AH$17&amp;"!D"&amp;ROW(B360))</f>
        <v>SG,SF</v>
      </c>
      <c r="S379" s="73">
        <f t="shared" si="14"/>
        <v>-7.269581928</v>
      </c>
      <c r="T379" s="73">
        <f>SUM(AE379:AM379)-IFERROR(IFS(Projections!$I$17,AN379,Projections!$J$17,AO379),"")</f>
        <v>-7.269581928</v>
      </c>
      <c r="U379" s="73">
        <f t="shared" si="15"/>
        <v>0</v>
      </c>
      <c r="V379" s="73">
        <f t="array" ref="V379">INDIRECT("Update"&amp;Projections!$AH$17&amp;"!M"&amp;ROW(B360))</f>
        <v>4.5</v>
      </c>
      <c r="W379" s="73">
        <f t="array" ref="W379">INDIRECT("Update"&amp;Projections!$AH$17&amp;"!L"&amp;ROW(B360))</f>
        <v>1.1</v>
      </c>
      <c r="X379" s="73">
        <f t="array" ref="X379">INDIRECT("Update"&amp;Projections!$AH$17&amp;"!N"&amp;ROW(B360))</f>
        <v>1.3</v>
      </c>
      <c r="Y379" s="73">
        <f t="array" ref="Y379">INDIRECT("Update"&amp;Projections!$AH$17&amp;"!O"&amp;ROW(B360))</f>
        <v>0.5</v>
      </c>
      <c r="Z379" s="73">
        <f t="array" ref="Z379">INDIRECT("Update"&amp;Projections!$AH$17&amp;"!P"&amp;ROW(B360))</f>
        <v>0.3</v>
      </c>
      <c r="AA379" s="73">
        <f t="array" ref="AA379">INDIRECT("Update"&amp;Projections!$AH$17&amp;"!Q"&amp;ROW(B360))</f>
        <v>0.1</v>
      </c>
      <c r="AB379" s="107">
        <f t="array" ref="AB379">INDIRECT("Update"&amp;Projections!$AH$17&amp;"!I"&amp;ROW(B360))</f>
        <v>0.414</v>
      </c>
      <c r="AC379" s="107">
        <f t="array" ref="AC379">INDIRECT("Update"&amp;Projections!$AH$17&amp;"!K"&amp;ROW(B360))</f>
        <v>0.863</v>
      </c>
      <c r="AD379" s="73">
        <f t="array" ref="AD379">INDIRECT("Update"&amp;Projections!$AH$17&amp;"!R"&amp;ROW(B360))</f>
        <v>0.3</v>
      </c>
      <c r="AE379" s="73">
        <f t="shared" si="16"/>
        <v>-2.342442533</v>
      </c>
      <c r="AF379" s="73">
        <f t="shared" si="17"/>
        <v>-0.6459192917</v>
      </c>
      <c r="AG379" s="73">
        <f t="shared" si="18"/>
        <v>-1.870656281</v>
      </c>
      <c r="AH379" s="73">
        <f t="shared" si="19"/>
        <v>-1.565393808</v>
      </c>
      <c r="AI379" s="73">
        <f t="shared" si="20"/>
        <v>-2.244392479</v>
      </c>
      <c r="AJ379" s="73">
        <f t="shared" si="21"/>
        <v>-1.150698449</v>
      </c>
      <c r="AK379" s="73">
        <f t="shared" si="22"/>
        <v>-0.3205500116</v>
      </c>
      <c r="AL379" s="73">
        <f t="shared" si="23"/>
        <v>0.1687849401</v>
      </c>
      <c r="AM379" s="73">
        <f t="shared" si="24"/>
        <v>0.3592434526</v>
      </c>
      <c r="AN379" s="120">
        <f t="shared" si="25"/>
        <v>-2.342442533</v>
      </c>
      <c r="AO379" s="120">
        <f t="shared" si="26"/>
        <v>-4.586835012</v>
      </c>
      <c r="AP379" s="120">
        <f t="array" ref="AP379">INDIRECT("Update"&amp;Projections!$AH$17&amp;"!S"&amp;ROW(B360))</f>
        <v>3.3</v>
      </c>
      <c r="AQ379" s="120">
        <f t="array" ref="AQ379">INDIRECT("Update"&amp;Projections!$AH$17&amp;"!T"&amp;ROW(B360))</f>
        <v>0.7</v>
      </c>
      <c r="AR379" s="100">
        <f t="shared" si="27"/>
        <v>-7.110703916</v>
      </c>
    </row>
    <row r="380">
      <c r="A380" s="40" t="str">
        <f t="shared" si="3"/>
        <v>Cory Joseph</v>
      </c>
      <c r="B380" s="42">
        <f t="shared" si="4"/>
        <v>-2.50502575</v>
      </c>
      <c r="C380" s="43">
        <f t="shared" si="5"/>
        <v>-1.143540787</v>
      </c>
      <c r="D380" s="42">
        <f t="shared" si="6"/>
        <v>-1.988335395</v>
      </c>
      <c r="E380" s="42">
        <f t="shared" si="7"/>
        <v>-0.9275290217</v>
      </c>
      <c r="F380" s="42">
        <f t="shared" si="8"/>
        <v>-2.244392479</v>
      </c>
      <c r="G380" s="42">
        <f t="shared" si="9"/>
        <v>-1.150698449</v>
      </c>
      <c r="H380" s="42">
        <f t="shared" si="10"/>
        <v>-0.2938563325</v>
      </c>
      <c r="I380" s="42">
        <f>UpdateHashtag!S378</f>
        <v>3.1</v>
      </c>
      <c r="J380" s="47">
        <f t="shared" si="11"/>
        <v>-0.0401892358</v>
      </c>
      <c r="K380" s="48">
        <f>UpdateHashtag!T378</f>
        <v>0.6</v>
      </c>
      <c r="L380" s="42">
        <f t="shared" si="12"/>
        <v>-1.238588102</v>
      </c>
      <c r="N380" s="100">
        <f t="shared" si="13"/>
        <v>368</v>
      </c>
      <c r="O380" s="94" t="str">
        <f t="array" ref="O380">INDIRECT("Update"&amp;Projections!$AH$17&amp;"!B"&amp;ROW(B361))</f>
        <v/>
      </c>
      <c r="P380" s="101" t="str">
        <f t="array" ref="P380">INDIRECT("Update"&amp;Projections!$AH$17&amp;"!C"&amp;ROW(B361))</f>
        <v>Nikola Djurisic</v>
      </c>
      <c r="Q380" s="94" t="str">
        <f>UpdateHashtag!F410</f>
        <v/>
      </c>
      <c r="R380" s="105" t="str">
        <f t="array" ref="R380">INDIRECT("Update"&amp;Projections!$AH$17&amp;"!D"&amp;ROW(B361))</f>
        <v>SF</v>
      </c>
      <c r="S380" s="73">
        <f t="shared" si="14"/>
        <v>-7.278260596</v>
      </c>
      <c r="T380" s="73">
        <f>SUM(AE380:AM380)-IFERROR(IFS(Projections!$I$17,AN380,Projections!$J$17,AO380),"")</f>
        <v>-7.278260596</v>
      </c>
      <c r="U380" s="73">
        <f t="shared" si="15"/>
        <v>0</v>
      </c>
      <c r="V380" s="73">
        <f t="array" ref="V380">INDIRECT("Update"&amp;Projections!$AH$17&amp;"!M"&amp;ROW(B361))</f>
        <v>6.5</v>
      </c>
      <c r="W380" s="73">
        <f t="array" ref="W380">INDIRECT("Update"&amp;Projections!$AH$17&amp;"!L"&amp;ROW(B361))</f>
        <v>0.5</v>
      </c>
      <c r="X380" s="73">
        <f t="array" ref="X380">INDIRECT("Update"&amp;Projections!$AH$17&amp;"!N"&amp;ROW(B361))</f>
        <v>1.2</v>
      </c>
      <c r="Y380" s="73">
        <f t="array" ref="Y380">INDIRECT("Update"&amp;Projections!$AH$17&amp;"!O"&amp;ROW(B361))</f>
        <v>1.5</v>
      </c>
      <c r="Z380" s="73">
        <f t="array" ref="Z380">INDIRECT("Update"&amp;Projections!$AH$17&amp;"!P"&amp;ROW(B361))</f>
        <v>0.5</v>
      </c>
      <c r="AA380" s="73">
        <f t="array" ref="AA380">INDIRECT("Update"&amp;Projections!$AH$17&amp;"!Q"&amp;ROW(B361))</f>
        <v>0.2</v>
      </c>
      <c r="AB380" s="107">
        <f t="array" ref="AB380">INDIRECT("Update"&amp;Projections!$AH$17&amp;"!I"&amp;ROW(B361))</f>
        <v>0.449</v>
      </c>
      <c r="AC380" s="107">
        <f t="array" ref="AC380">INDIRECT("Update"&amp;Projections!$AH$17&amp;"!K"&amp;ROW(B361))</f>
        <v>0.759</v>
      </c>
      <c r="AD380" s="73">
        <f t="array" ref="AD380">INDIRECT("Update"&amp;Projections!$AH$17&amp;"!R"&amp;ROW(B361))</f>
        <v>1.4</v>
      </c>
      <c r="AE380" s="73">
        <f t="shared" si="16"/>
        <v>-1.981146493</v>
      </c>
      <c r="AF380" s="73">
        <f t="shared" si="17"/>
        <v>-1.243065086</v>
      </c>
      <c r="AG380" s="73">
        <f t="shared" si="18"/>
        <v>-1.909882652</v>
      </c>
      <c r="AH380" s="73">
        <f t="shared" si="19"/>
        <v>-1.109776103</v>
      </c>
      <c r="AI380" s="73">
        <f t="shared" si="20"/>
        <v>-1.580527123</v>
      </c>
      <c r="AJ380" s="73">
        <f t="shared" si="21"/>
        <v>-0.9723047469</v>
      </c>
      <c r="AK380" s="73">
        <f t="shared" si="22"/>
        <v>-0.2693584088</v>
      </c>
      <c r="AL380" s="73">
        <f t="shared" si="23"/>
        <v>-0.2798095802</v>
      </c>
      <c r="AM380" s="73">
        <f t="shared" si="24"/>
        <v>0.08646310432</v>
      </c>
      <c r="AN380" s="120">
        <f t="shared" si="25"/>
        <v>-1.981146493</v>
      </c>
      <c r="AO380" s="120">
        <f t="shared" si="26"/>
        <v>-3.891029146</v>
      </c>
      <c r="AP380" s="120">
        <f t="array" ref="AP380">INDIRECT("Update"&amp;Projections!$AH$17&amp;"!S"&amp;ROW(B361))</f>
        <v>4.8</v>
      </c>
      <c r="AQ380" s="120">
        <f t="array" ref="AQ380">INDIRECT("Update"&amp;Projections!$AH$17&amp;"!T"&amp;ROW(B361))</f>
        <v>2.2</v>
      </c>
      <c r="AR380" s="100">
        <f t="shared" si="27"/>
        <v>-7.135448381</v>
      </c>
    </row>
    <row r="381">
      <c r="A381" s="40" t="str">
        <f t="shared" si="3"/>
        <v>DeAndre Jordan</v>
      </c>
      <c r="B381" s="42">
        <f t="shared" si="4"/>
        <v>-2.523090552</v>
      </c>
      <c r="C381" s="43">
        <f t="shared" si="5"/>
        <v>-1.740686581</v>
      </c>
      <c r="D381" s="42">
        <f t="shared" si="6"/>
        <v>-0.9292233743</v>
      </c>
      <c r="E381" s="42">
        <f t="shared" si="7"/>
        <v>-1.519832037</v>
      </c>
      <c r="F381" s="42">
        <f t="shared" si="8"/>
        <v>-2.576325158</v>
      </c>
      <c r="G381" s="42">
        <f t="shared" si="9"/>
        <v>-0.6155173428</v>
      </c>
      <c r="H381" s="42">
        <f t="shared" si="10"/>
        <v>0.5023785799</v>
      </c>
      <c r="I381" s="42">
        <f>UpdateHashtag!S379</f>
        <v>2.1</v>
      </c>
      <c r="J381" s="47">
        <f t="shared" si="11"/>
        <v>-1.147114678</v>
      </c>
      <c r="K381" s="48">
        <f>UpdateHashtag!T379</f>
        <v>1</v>
      </c>
      <c r="L381" s="42">
        <f t="shared" si="12"/>
        <v>-1.040202395</v>
      </c>
      <c r="N381" s="100">
        <f t="shared" si="13"/>
        <v>359</v>
      </c>
      <c r="O381" s="94" t="str">
        <f t="array" ref="O381">INDIRECT("Update"&amp;Projections!$AH$17&amp;"!B"&amp;ROW(B362))</f>
        <v/>
      </c>
      <c r="P381" s="101" t="str">
        <f t="array" ref="P381">INDIRECT("Update"&amp;Projections!$AH$17&amp;"!C"&amp;ROW(B362))</f>
        <v>Adem Bona</v>
      </c>
      <c r="Q381" s="94" t="str">
        <f>UpdateHashtag!F411</f>
        <v/>
      </c>
      <c r="R381" s="105" t="str">
        <f t="array" ref="R381">INDIRECT("Update"&amp;Projections!$AH$17&amp;"!D"&amp;ROW(B362))</f>
        <v>C</v>
      </c>
      <c r="S381" s="73">
        <f t="shared" si="14"/>
        <v>-7.110703916</v>
      </c>
      <c r="T381" s="73">
        <f>SUM(AE381:AM381)-IFERROR(IFS(Projections!$I$17,AN381,Projections!$J$17,AO381),"")</f>
        <v>-7.110703916</v>
      </c>
      <c r="U381" s="73">
        <f t="shared" si="15"/>
        <v>0</v>
      </c>
      <c r="V381" s="73">
        <f t="array" ref="V381">INDIRECT("Update"&amp;Projections!$AH$17&amp;"!M"&amp;ROW(B362))</f>
        <v>3.9</v>
      </c>
      <c r="W381" s="73">
        <f t="array" ref="W381">INDIRECT("Update"&amp;Projections!$AH$17&amp;"!L"&amp;ROW(B362))</f>
        <v>0</v>
      </c>
      <c r="X381" s="73">
        <f t="array" ref="X381">INDIRECT("Update"&amp;Projections!$AH$17&amp;"!N"&amp;ROW(B362))</f>
        <v>1.9</v>
      </c>
      <c r="Y381" s="73">
        <f t="array" ref="Y381">INDIRECT("Update"&amp;Projections!$AH$17&amp;"!O"&amp;ROW(B362))</f>
        <v>0.4</v>
      </c>
      <c r="Z381" s="73">
        <f t="array" ref="Z381">INDIRECT("Update"&amp;Projections!$AH$17&amp;"!P"&amp;ROW(B362))</f>
        <v>0.4</v>
      </c>
      <c r="AA381" s="73">
        <f t="array" ref="AA381">INDIRECT("Update"&amp;Projections!$AH$17&amp;"!Q"&amp;ROW(B362))</f>
        <v>0.6</v>
      </c>
      <c r="AB381" s="107">
        <f t="array" ref="AB381">INDIRECT("Update"&amp;Projections!$AH$17&amp;"!I"&amp;ROW(B362))</f>
        <v>0.59</v>
      </c>
      <c r="AC381" s="107">
        <f t="array" ref="AC381">INDIRECT("Update"&amp;Projections!$AH$17&amp;"!K"&amp;ROW(B362))</f>
        <v>0.702</v>
      </c>
      <c r="AD381" s="73">
        <f t="array" ref="AD381">INDIRECT("Update"&amp;Projections!$AH$17&amp;"!R"&amp;ROW(B362))</f>
        <v>0.8</v>
      </c>
      <c r="AE381" s="73">
        <f t="shared" si="16"/>
        <v>-2.450831344</v>
      </c>
      <c r="AF381" s="73">
        <f t="shared" si="17"/>
        <v>-1.740686581</v>
      </c>
      <c r="AG381" s="73">
        <f t="shared" si="18"/>
        <v>-1.635298055</v>
      </c>
      <c r="AH381" s="73">
        <f t="shared" si="19"/>
        <v>-1.610955578</v>
      </c>
      <c r="AI381" s="73">
        <f t="shared" si="20"/>
        <v>-1.912459801</v>
      </c>
      <c r="AJ381" s="73">
        <f t="shared" si="21"/>
        <v>-0.2587299387</v>
      </c>
      <c r="AK381" s="73">
        <f t="shared" si="22"/>
        <v>0.2728394843</v>
      </c>
      <c r="AL381" s="73">
        <f t="shared" si="23"/>
        <v>-0.460665832</v>
      </c>
      <c r="AM381" s="73">
        <f t="shared" si="24"/>
        <v>0.2352523852</v>
      </c>
      <c r="AN381" s="120">
        <f t="shared" si="25"/>
        <v>-2.450831344</v>
      </c>
      <c r="AO381" s="120">
        <f t="shared" si="26"/>
        <v>-4.363291146</v>
      </c>
      <c r="AP381" s="120">
        <f t="array" ref="AP381">INDIRECT("Update"&amp;Projections!$AH$17&amp;"!S"&amp;ROW(B362))</f>
        <v>2.5</v>
      </c>
      <c r="AQ381" s="120">
        <f t="array" ref="AQ381">INDIRECT("Update"&amp;Projections!$AH$17&amp;"!T"&amp;ROW(B362))</f>
        <v>1.4</v>
      </c>
      <c r="AR381" s="100">
        <f t="shared" si="27"/>
        <v>-7.154913218</v>
      </c>
    </row>
    <row r="382">
      <c r="A382" s="40" t="str">
        <f t="shared" si="3"/>
        <v>Pelle Larsson</v>
      </c>
      <c r="B382" s="42">
        <f t="shared" si="4"/>
        <v>-2.432766543</v>
      </c>
      <c r="C382" s="43">
        <f t="shared" si="5"/>
        <v>-1.342589385</v>
      </c>
      <c r="D382" s="42">
        <f t="shared" si="6"/>
        <v>-1.870656281</v>
      </c>
      <c r="E382" s="42">
        <f t="shared" si="7"/>
        <v>-1.246461415</v>
      </c>
      <c r="F382" s="42">
        <f t="shared" si="8"/>
        <v>-2.244392479</v>
      </c>
      <c r="G382" s="42">
        <f t="shared" si="9"/>
        <v>-1.150698449</v>
      </c>
      <c r="H382" s="42">
        <f t="shared" si="10"/>
        <v>0.06999406784</v>
      </c>
      <c r="I382" s="42">
        <f>UpdateHashtag!S380</f>
        <v>2.7</v>
      </c>
      <c r="J382" s="47">
        <f t="shared" si="11"/>
        <v>-0.1590589386</v>
      </c>
      <c r="K382" s="48">
        <f>UpdateHashtag!T380</f>
        <v>1</v>
      </c>
      <c r="L382" s="42">
        <f t="shared" si="12"/>
        <v>-1.139395249</v>
      </c>
      <c r="N382" s="100">
        <f t="shared" si="13"/>
        <v>383</v>
      </c>
      <c r="O382" s="94" t="str">
        <f t="array" ref="O382">INDIRECT("Update"&amp;Projections!$AH$17&amp;"!B"&amp;ROW(B363))</f>
        <v/>
      </c>
      <c r="P382" s="101" t="str">
        <f t="array" ref="P382">INDIRECT("Update"&amp;Projections!$AH$17&amp;"!C"&amp;ROW(B363))</f>
        <v>Cody Williams</v>
      </c>
      <c r="Q382" s="94" t="str">
        <f>UpdateHashtag!F412</f>
        <v/>
      </c>
      <c r="R382" s="105" t="str">
        <f t="array" ref="R382">INDIRECT("Update"&amp;Projections!$AH$17&amp;"!D"&amp;ROW(B363))</f>
        <v>SF</v>
      </c>
      <c r="S382" s="73">
        <f t="shared" si="14"/>
        <v>-7.673246886</v>
      </c>
      <c r="T382" s="73">
        <f>SUM(AE382:AM382)-IFERROR(IFS(Projections!$I$17,AN382,Projections!$J$17,AO382),"")</f>
        <v>-7.673246886</v>
      </c>
      <c r="U382" s="73">
        <f t="shared" si="15"/>
        <v>0</v>
      </c>
      <c r="V382" s="73">
        <f t="array" ref="V382">INDIRECT("Update"&amp;Projections!$AH$17&amp;"!M"&amp;ROW(B363))</f>
        <v>5.5</v>
      </c>
      <c r="W382" s="73">
        <f t="array" ref="W382">INDIRECT("Update"&amp;Projections!$AH$17&amp;"!L"&amp;ROW(B363))</f>
        <v>0.3</v>
      </c>
      <c r="X382" s="73">
        <f t="array" ref="X382">INDIRECT("Update"&amp;Projections!$AH$17&amp;"!N"&amp;ROW(B363))</f>
        <v>1.4</v>
      </c>
      <c r="Y382" s="73">
        <f t="array" ref="Y382">INDIRECT("Update"&amp;Projections!$AH$17&amp;"!O"&amp;ROW(B363))</f>
        <v>0.7</v>
      </c>
      <c r="Z382" s="73">
        <f t="array" ref="Z382">INDIRECT("Update"&amp;Projections!$AH$17&amp;"!P"&amp;ROW(B363))</f>
        <v>0.3</v>
      </c>
      <c r="AA382" s="73">
        <f t="array" ref="AA382">INDIRECT("Update"&amp;Projections!$AH$17&amp;"!Q"&amp;ROW(B363))</f>
        <v>0.3</v>
      </c>
      <c r="AB382" s="107">
        <f t="array" ref="AB382">INDIRECT("Update"&amp;Projections!$AH$17&amp;"!I"&amp;ROW(B363))</f>
        <v>0.552</v>
      </c>
      <c r="AC382" s="107">
        <f t="array" ref="AC382">INDIRECT("Update"&amp;Projections!$AH$17&amp;"!K"&amp;ROW(B363))</f>
        <v>0.716</v>
      </c>
      <c r="AD382" s="73">
        <f t="array" ref="AD382">INDIRECT("Update"&amp;Projections!$AH$17&amp;"!R"&amp;ROW(B363))</f>
        <v>0.9</v>
      </c>
      <c r="AE382" s="73">
        <f t="shared" si="16"/>
        <v>-2.161794513</v>
      </c>
      <c r="AF382" s="73">
        <f t="shared" si="17"/>
        <v>-1.442113684</v>
      </c>
      <c r="AG382" s="73">
        <f t="shared" si="18"/>
        <v>-1.83142991</v>
      </c>
      <c r="AH382" s="73">
        <f t="shared" si="19"/>
        <v>-1.474270267</v>
      </c>
      <c r="AI382" s="73">
        <f t="shared" si="20"/>
        <v>-2.244392479</v>
      </c>
      <c r="AJ382" s="73">
        <f t="shared" si="21"/>
        <v>-0.7939110449</v>
      </c>
      <c r="AK382" s="73">
        <f t="shared" si="22"/>
        <v>0.2390191083</v>
      </c>
      <c r="AL382" s="73">
        <f t="shared" si="23"/>
        <v>-0.4192007474</v>
      </c>
      <c r="AM382" s="73">
        <f t="shared" si="24"/>
        <v>0.2104541717</v>
      </c>
      <c r="AN382" s="120">
        <f t="shared" si="25"/>
        <v>-2.244392479</v>
      </c>
      <c r="AO382" s="120">
        <f t="shared" si="26"/>
        <v>-4.406186993</v>
      </c>
      <c r="AP382" s="120">
        <f t="array" ref="AP382">INDIRECT("Update"&amp;Projections!$AH$17&amp;"!S"&amp;ROW(B363))</f>
        <v>3.7</v>
      </c>
      <c r="AQ382" s="120">
        <f t="array" ref="AQ382">INDIRECT("Update"&amp;Projections!$AH$17&amp;"!T"&amp;ROW(B363))</f>
        <v>1.5</v>
      </c>
      <c r="AR382" s="100">
        <f t="shared" si="27"/>
        <v>-7.173836186</v>
      </c>
    </row>
    <row r="383">
      <c r="A383" s="40" t="str">
        <f t="shared" si="3"/>
        <v>Keita Bates-Diop</v>
      </c>
      <c r="B383" s="42">
        <f t="shared" si="4"/>
        <v>-2.523090552</v>
      </c>
      <c r="C383" s="43">
        <f t="shared" si="5"/>
        <v>-1.442113684</v>
      </c>
      <c r="D383" s="42">
        <f t="shared" si="6"/>
        <v>-1.792203539</v>
      </c>
      <c r="E383" s="42">
        <f t="shared" si="7"/>
        <v>-1.519832037</v>
      </c>
      <c r="F383" s="42">
        <f t="shared" si="8"/>
        <v>-2.244392479</v>
      </c>
      <c r="G383" s="42">
        <f t="shared" si="9"/>
        <v>-0.9723047469</v>
      </c>
      <c r="H383" s="42">
        <f t="shared" si="10"/>
        <v>-0.03126681114</v>
      </c>
      <c r="I383" s="42">
        <f>UpdateHashtag!S381</f>
        <v>2.7</v>
      </c>
      <c r="J383" s="47">
        <f t="shared" si="11"/>
        <v>-0.04791937826</v>
      </c>
      <c r="K383" s="48">
        <f>UpdateHashtag!T381</f>
        <v>0.8</v>
      </c>
      <c r="L383" s="42">
        <f t="shared" si="12"/>
        <v>-1.43697381</v>
      </c>
      <c r="N383" s="100">
        <f t="shared" si="13"/>
        <v>358</v>
      </c>
      <c r="O383" s="94" t="str">
        <f t="array" ref="O383">INDIRECT("Update"&amp;Projections!$AH$17&amp;"!B"&amp;ROW(B364))</f>
        <v/>
      </c>
      <c r="P383" s="101" t="str">
        <f t="array" ref="P383">INDIRECT("Update"&amp;Projections!$AH$17&amp;"!C"&amp;ROW(B364))</f>
        <v>MarJon Beauchamp</v>
      </c>
      <c r="Q383" s="94" t="str">
        <f>UpdateHashtag!F413</f>
        <v/>
      </c>
      <c r="R383" s="105" t="str">
        <f t="array" ref="R383">INDIRECT("Update"&amp;Projections!$AH$17&amp;"!D"&amp;ROW(B364))</f>
        <v>SG,SF</v>
      </c>
      <c r="S383" s="73">
        <f t="shared" si="14"/>
        <v>-7.091745705</v>
      </c>
      <c r="T383" s="73">
        <f>SUM(AE383:AM383)-IFERROR(IFS(Projections!$I$17,AN383,Projections!$J$17,AO383),"")</f>
        <v>-7.091745705</v>
      </c>
      <c r="U383" s="73">
        <f t="shared" si="15"/>
        <v>0</v>
      </c>
      <c r="V383" s="73">
        <f t="array" ref="V383">INDIRECT("Update"&amp;Projections!$AH$17&amp;"!M"&amp;ROW(B364))</f>
        <v>5.1</v>
      </c>
      <c r="W383" s="73">
        <f t="array" ref="W383">INDIRECT("Update"&amp;Projections!$AH$17&amp;"!L"&amp;ROW(B364))</f>
        <v>0.8</v>
      </c>
      <c r="X383" s="73">
        <f t="array" ref="X383">INDIRECT("Update"&amp;Projections!$AH$17&amp;"!N"&amp;ROW(B364))</f>
        <v>2.3</v>
      </c>
      <c r="Y383" s="73">
        <f t="array" ref="Y383">INDIRECT("Update"&amp;Projections!$AH$17&amp;"!O"&amp;ROW(B364))</f>
        <v>0.7</v>
      </c>
      <c r="Z383" s="73">
        <f t="array" ref="Z383">INDIRECT("Update"&amp;Projections!$AH$17&amp;"!P"&amp;ROW(B364))</f>
        <v>0.4</v>
      </c>
      <c r="AA383" s="73">
        <f t="array" ref="AA383">INDIRECT("Update"&amp;Projections!$AH$17&amp;"!Q"&amp;ROW(B364))</f>
        <v>0.2</v>
      </c>
      <c r="AB383" s="107">
        <f t="array" ref="AB383">INDIRECT("Update"&amp;Projections!$AH$17&amp;"!I"&amp;ROW(B364))</f>
        <v>0.432</v>
      </c>
      <c r="AC383" s="107">
        <f t="array" ref="AC383">INDIRECT("Update"&amp;Projections!$AH$17&amp;"!K"&amp;ROW(B364))</f>
        <v>0.71</v>
      </c>
      <c r="AD383" s="73">
        <f t="array" ref="AD383">INDIRECT("Update"&amp;Projections!$AH$17&amp;"!R"&amp;ROW(B364))</f>
        <v>0.8</v>
      </c>
      <c r="AE383" s="73">
        <f t="shared" si="16"/>
        <v>-2.234053721</v>
      </c>
      <c r="AF383" s="73">
        <f t="shared" si="17"/>
        <v>-0.9444921888</v>
      </c>
      <c r="AG383" s="73">
        <f t="shared" si="18"/>
        <v>-1.47839257</v>
      </c>
      <c r="AH383" s="73">
        <f t="shared" si="19"/>
        <v>-1.474270267</v>
      </c>
      <c r="AI383" s="73">
        <f t="shared" si="20"/>
        <v>-1.912459801</v>
      </c>
      <c r="AJ383" s="73">
        <f t="shared" si="21"/>
        <v>-0.9723047469</v>
      </c>
      <c r="AK383" s="73">
        <f t="shared" si="22"/>
        <v>-0.3345775431</v>
      </c>
      <c r="AL383" s="73">
        <f t="shared" si="23"/>
        <v>-0.2105009728</v>
      </c>
      <c r="AM383" s="73">
        <f t="shared" si="24"/>
        <v>0.2352523852</v>
      </c>
      <c r="AN383" s="120">
        <f t="shared" si="25"/>
        <v>-2.234053721</v>
      </c>
      <c r="AO383" s="120">
        <f t="shared" si="26"/>
        <v>-4.146513522</v>
      </c>
      <c r="AP383" s="120">
        <f t="array" ref="AP383">INDIRECT("Update"&amp;Projections!$AH$17&amp;"!S"&amp;ROW(B364))</f>
        <v>4.4</v>
      </c>
      <c r="AQ383" s="120">
        <f t="array" ref="AQ383">INDIRECT("Update"&amp;Projections!$AH$17&amp;"!T"&amp;ROW(B364))</f>
        <v>0.7</v>
      </c>
      <c r="AR383" s="100">
        <f t="shared" si="27"/>
        <v>-7.180318051</v>
      </c>
    </row>
    <row r="384">
      <c r="A384" s="40" t="str">
        <f t="shared" si="3"/>
        <v>Johnny Juzang</v>
      </c>
      <c r="B384" s="42">
        <f t="shared" si="4"/>
        <v>-2.107600107</v>
      </c>
      <c r="C384" s="43">
        <f t="shared" si="5"/>
        <v>-0.5463949927</v>
      </c>
      <c r="D384" s="42">
        <f t="shared" si="6"/>
        <v>-1.635298055</v>
      </c>
      <c r="E384" s="42">
        <f t="shared" si="7"/>
        <v>-1.428708496</v>
      </c>
      <c r="F384" s="42">
        <f t="shared" si="8"/>
        <v>-2.576325158</v>
      </c>
      <c r="G384" s="42">
        <f t="shared" si="9"/>
        <v>-1.150698449</v>
      </c>
      <c r="H384" s="42">
        <f t="shared" si="10"/>
        <v>-0.589362004</v>
      </c>
      <c r="I384" s="42">
        <f>UpdateHashtag!S382</f>
        <v>5.3</v>
      </c>
      <c r="J384" s="47">
        <f t="shared" si="11"/>
        <v>-0.2264983338</v>
      </c>
      <c r="K384" s="48">
        <f>UpdateHashtag!T382</f>
        <v>0.5</v>
      </c>
      <c r="L384" s="42">
        <f t="shared" si="12"/>
        <v>-1.337780956</v>
      </c>
      <c r="N384" s="100">
        <f t="shared" si="13"/>
        <v>366</v>
      </c>
      <c r="O384" s="94" t="str">
        <f t="array" ref="O384">INDIRECT("Update"&amp;Projections!$AH$17&amp;"!B"&amp;ROW(B365))</f>
        <v/>
      </c>
      <c r="P384" s="101" t="str">
        <f t="array" ref="P384">INDIRECT("Update"&amp;Projections!$AH$17&amp;"!C"&amp;ROW(B365))</f>
        <v>Tristan Vukcevic</v>
      </c>
      <c r="Q384" s="94" t="str">
        <f>UpdateHashtag!F414</f>
        <v/>
      </c>
      <c r="R384" s="105" t="str">
        <f t="array" ref="R384">INDIRECT("Update"&amp;Projections!$AH$17&amp;"!D"&amp;ROW(B365))</f>
        <v>C</v>
      </c>
      <c r="S384" s="73">
        <f t="shared" si="14"/>
        <v>-7.250095932</v>
      </c>
      <c r="T384" s="73">
        <f>SUM(AE384:AM384)-IFERROR(IFS(Projections!$I$17,AN384,Projections!$J$17,AO384),"")</f>
        <v>-7.250095932</v>
      </c>
      <c r="U384" s="73">
        <f t="shared" si="15"/>
        <v>0</v>
      </c>
      <c r="V384" s="73">
        <f t="array" ref="V384">INDIRECT("Update"&amp;Projections!$AH$17&amp;"!M"&amp;ROW(B365))</f>
        <v>4.4</v>
      </c>
      <c r="W384" s="73">
        <f t="array" ref="W384">INDIRECT("Update"&amp;Projections!$AH$17&amp;"!L"&amp;ROW(B365))</f>
        <v>0.5</v>
      </c>
      <c r="X384" s="73">
        <f t="array" ref="X384">INDIRECT("Update"&amp;Projections!$AH$17&amp;"!N"&amp;ROW(B365))</f>
        <v>1.9</v>
      </c>
      <c r="Y384" s="73">
        <f t="array" ref="Y384">INDIRECT("Update"&amp;Projections!$AH$17&amp;"!O"&amp;ROW(B365))</f>
        <v>0.7</v>
      </c>
      <c r="Z384" s="73">
        <f t="array" ref="Z384">INDIRECT("Update"&amp;Projections!$AH$17&amp;"!P"&amp;ROW(B365))</f>
        <v>0.3</v>
      </c>
      <c r="AA384" s="73">
        <f t="array" ref="AA384">INDIRECT("Update"&amp;Projections!$AH$17&amp;"!Q"&amp;ROW(B365))</f>
        <v>0.4</v>
      </c>
      <c r="AB384" s="107">
        <f t="array" ref="AB384">INDIRECT("Update"&amp;Projections!$AH$17&amp;"!I"&amp;ROW(B365))</f>
        <v>0.434</v>
      </c>
      <c r="AC384" s="107">
        <f t="array" ref="AC384">INDIRECT("Update"&amp;Projections!$AH$17&amp;"!K"&amp;ROW(B365))</f>
        <v>0.772</v>
      </c>
      <c r="AD384" s="73">
        <f t="array" ref="AD384">INDIRECT("Update"&amp;Projections!$AH$17&amp;"!R"&amp;ROW(B365))</f>
        <v>0.5</v>
      </c>
      <c r="AE384" s="73">
        <f t="shared" si="16"/>
        <v>-2.360507335</v>
      </c>
      <c r="AF384" s="73">
        <f t="shared" si="17"/>
        <v>-1.243065086</v>
      </c>
      <c r="AG384" s="73">
        <f t="shared" si="18"/>
        <v>-1.635298055</v>
      </c>
      <c r="AH384" s="73">
        <f t="shared" si="19"/>
        <v>-1.474270267</v>
      </c>
      <c r="AI384" s="73">
        <f t="shared" si="20"/>
        <v>-2.244392479</v>
      </c>
      <c r="AJ384" s="73">
        <f t="shared" si="21"/>
        <v>-0.6155173428</v>
      </c>
      <c r="AK384" s="73">
        <f t="shared" si="22"/>
        <v>-0.257937221</v>
      </c>
      <c r="AL384" s="73">
        <f t="shared" si="23"/>
        <v>-0.08926250669</v>
      </c>
      <c r="AM384" s="73">
        <f t="shared" si="24"/>
        <v>0.3096470256</v>
      </c>
      <c r="AN384" s="120">
        <f t="shared" si="25"/>
        <v>-2.360507335</v>
      </c>
      <c r="AO384" s="120">
        <f t="shared" si="26"/>
        <v>-4.604899814</v>
      </c>
      <c r="AP384" s="120">
        <f t="array" ref="AP384">INDIRECT("Update"&amp;Projections!$AH$17&amp;"!S"&amp;ROW(B365))</f>
        <v>3.5</v>
      </c>
      <c r="AQ384" s="120">
        <f t="array" ref="AQ384">INDIRECT("Update"&amp;Projections!$AH$17&amp;"!T"&amp;ROW(B365))</f>
        <v>1.1</v>
      </c>
      <c r="AR384" s="100">
        <f t="shared" si="27"/>
        <v>-7.201736828</v>
      </c>
    </row>
    <row r="385">
      <c r="A385" s="40" t="str">
        <f t="shared" si="3"/>
        <v>Nick Smith Jr.</v>
      </c>
      <c r="B385" s="42">
        <f t="shared" si="4"/>
        <v>-2.161794513</v>
      </c>
      <c r="C385" s="43">
        <f t="shared" si="5"/>
        <v>-0.6459192917</v>
      </c>
      <c r="D385" s="42">
        <f t="shared" si="6"/>
        <v>-1.870656281</v>
      </c>
      <c r="E385" s="42">
        <f t="shared" si="7"/>
        <v>-1.292023185</v>
      </c>
      <c r="F385" s="42">
        <f t="shared" si="8"/>
        <v>-2.576325158</v>
      </c>
      <c r="G385" s="42">
        <f t="shared" si="9"/>
        <v>-1.150698449</v>
      </c>
      <c r="H385" s="42">
        <f t="shared" si="10"/>
        <v>-0.6639012622</v>
      </c>
      <c r="I385" s="42">
        <f>UpdateHashtag!S383</f>
        <v>5.3</v>
      </c>
      <c r="J385" s="47">
        <f t="shared" si="11"/>
        <v>0.09995946657</v>
      </c>
      <c r="K385" s="48">
        <f>UpdateHashtag!T383</f>
        <v>0.3</v>
      </c>
      <c r="L385" s="42">
        <f t="shared" si="12"/>
        <v>-1.040202395</v>
      </c>
      <c r="N385" s="100">
        <f t="shared" si="13"/>
        <v>364</v>
      </c>
      <c r="O385" s="94" t="str">
        <f t="array" ref="O385">INDIRECT("Update"&amp;Projections!$AH$17&amp;"!B"&amp;ROW(B366))</f>
        <v/>
      </c>
      <c r="P385" s="101" t="str">
        <f t="array" ref="P385">INDIRECT("Update"&amp;Projections!$AH$17&amp;"!C"&amp;ROW(B366))</f>
        <v>Aaron Holiday</v>
      </c>
      <c r="Q385" s="94" t="str">
        <f>UpdateHashtag!F415</f>
        <v/>
      </c>
      <c r="R385" s="105" t="str">
        <f t="array" ref="R385">INDIRECT("Update"&amp;Projections!$AH$17&amp;"!D"&amp;ROW(B366))</f>
        <v>PG,SG</v>
      </c>
      <c r="S385" s="73">
        <f t="shared" si="14"/>
        <v>-7.201736828</v>
      </c>
      <c r="T385" s="73">
        <f>SUM(AE385:AM385)-IFERROR(IFS(Projections!$I$17,AN385,Projections!$J$17,AO385),"")</f>
        <v>-7.201736828</v>
      </c>
      <c r="U385" s="73">
        <f t="shared" si="15"/>
        <v>0</v>
      </c>
      <c r="V385" s="73">
        <f t="array" ref="V385">INDIRECT("Update"&amp;Projections!$AH$17&amp;"!M"&amp;ROW(B366))</f>
        <v>3.8</v>
      </c>
      <c r="W385" s="73">
        <f t="array" ref="W385">INDIRECT("Update"&amp;Projections!$AH$17&amp;"!L"&amp;ROW(B366))</f>
        <v>0.6</v>
      </c>
      <c r="X385" s="73">
        <f t="array" ref="X385">INDIRECT("Update"&amp;Projections!$AH$17&amp;"!N"&amp;ROW(B366))</f>
        <v>1</v>
      </c>
      <c r="Y385" s="73">
        <f t="array" ref="Y385">INDIRECT("Update"&amp;Projections!$AH$17&amp;"!O"&amp;ROW(B366))</f>
        <v>1.1</v>
      </c>
      <c r="Z385" s="73">
        <f t="array" ref="Z385">INDIRECT("Update"&amp;Projections!$AH$17&amp;"!P"&amp;ROW(B366))</f>
        <v>0.4</v>
      </c>
      <c r="AA385" s="73">
        <f t="array" ref="AA385">INDIRECT("Update"&amp;Projections!$AH$17&amp;"!Q"&amp;ROW(B366))</f>
        <v>0.1</v>
      </c>
      <c r="AB385" s="107">
        <f t="array" ref="AB385">INDIRECT("Update"&amp;Projections!$AH$17&amp;"!I"&amp;ROW(B366))</f>
        <v>0.437</v>
      </c>
      <c r="AC385" s="107">
        <f t="array" ref="AC385">INDIRECT("Update"&amp;Projections!$AH$17&amp;"!K"&amp;ROW(B366))</f>
        <v>0.894</v>
      </c>
      <c r="AD385" s="73">
        <f t="array" ref="AD385">INDIRECT("Update"&amp;Projections!$AH$17&amp;"!R"&amp;ROW(B366))</f>
        <v>0.4</v>
      </c>
      <c r="AE385" s="73">
        <f t="shared" si="16"/>
        <v>-2.468896146</v>
      </c>
      <c r="AF385" s="73">
        <f t="shared" si="17"/>
        <v>-1.143540787</v>
      </c>
      <c r="AG385" s="73">
        <f t="shared" si="18"/>
        <v>-1.988335395</v>
      </c>
      <c r="AH385" s="73">
        <f t="shared" si="19"/>
        <v>-1.292023185</v>
      </c>
      <c r="AI385" s="73">
        <f t="shared" si="20"/>
        <v>-1.912459801</v>
      </c>
      <c r="AJ385" s="73">
        <f t="shared" si="21"/>
        <v>-1.150698449</v>
      </c>
      <c r="AK385" s="73">
        <f t="shared" si="22"/>
        <v>-0.2245771076</v>
      </c>
      <c r="AL385" s="73">
        <f t="shared" si="23"/>
        <v>0.175452657</v>
      </c>
      <c r="AM385" s="73">
        <f t="shared" si="24"/>
        <v>0.3344452391</v>
      </c>
      <c r="AN385" s="120">
        <f t="shared" si="25"/>
        <v>-2.468896146</v>
      </c>
      <c r="AO385" s="120">
        <f t="shared" si="26"/>
        <v>-4.457231541</v>
      </c>
      <c r="AP385" s="120">
        <f t="array" ref="AP385">INDIRECT("Update"&amp;Projections!$AH$17&amp;"!S"&amp;ROW(B366))</f>
        <v>3.2</v>
      </c>
      <c r="AQ385" s="120">
        <f t="array" ref="AQ385">INDIRECT("Update"&amp;Projections!$AH$17&amp;"!T"&amp;ROW(B366))</f>
        <v>0.5</v>
      </c>
      <c r="AR385" s="100">
        <f t="shared" si="27"/>
        <v>-7.223919415</v>
      </c>
    </row>
    <row r="386">
      <c r="A386" s="40" t="str">
        <f t="shared" si="3"/>
        <v>Vlatko Cancar</v>
      </c>
      <c r="B386" s="42">
        <f t="shared" si="4"/>
        <v>-2.613414562</v>
      </c>
      <c r="C386" s="43">
        <f t="shared" si="5"/>
        <v>-1.342589385</v>
      </c>
      <c r="D386" s="42">
        <f t="shared" si="6"/>
        <v>-1.870656281</v>
      </c>
      <c r="E386" s="42">
        <f t="shared" si="7"/>
        <v>-1.428708496</v>
      </c>
      <c r="F386" s="42">
        <f t="shared" si="8"/>
        <v>-2.576325158</v>
      </c>
      <c r="G386" s="42">
        <f t="shared" si="9"/>
        <v>-1.150698449</v>
      </c>
      <c r="H386" s="42">
        <f t="shared" si="10"/>
        <v>-0.0562863141</v>
      </c>
      <c r="I386" s="42">
        <f>UpdateHashtag!S384</f>
        <v>2.3</v>
      </c>
      <c r="J386" s="47">
        <f t="shared" si="11"/>
        <v>0.1871088488</v>
      </c>
      <c r="K386" s="48">
        <f>UpdateHashtag!T384</f>
        <v>0.4</v>
      </c>
      <c r="L386" s="42">
        <f t="shared" si="12"/>
        <v>-1.337780956</v>
      </c>
      <c r="N386" s="100">
        <f t="shared" si="13"/>
        <v>372</v>
      </c>
      <c r="O386" s="94" t="str">
        <f t="array" ref="O386">INDIRECT("Update"&amp;Projections!$AH$17&amp;"!B"&amp;ROW(B367))</f>
        <v/>
      </c>
      <c r="P386" s="101" t="str">
        <f t="array" ref="P386">INDIRECT("Update"&amp;Projections!$AH$17&amp;"!C"&amp;ROW(B367))</f>
        <v>Derrick Rose</v>
      </c>
      <c r="Q386" s="94" t="str">
        <f>UpdateHashtag!F416</f>
        <v/>
      </c>
      <c r="R386" s="105" t="str">
        <f t="array" ref="R386">INDIRECT("Update"&amp;Projections!$AH$17&amp;"!D"&amp;ROW(B367))</f>
        <v>PG</v>
      </c>
      <c r="S386" s="73">
        <f t="shared" si="14"/>
        <v>-7.350614401</v>
      </c>
      <c r="T386" s="73">
        <f>SUM(AE386:AM386)-IFERROR(IFS(Projections!$I$17,AN386,Projections!$J$17,AO386),"")</f>
        <v>-7.350614401</v>
      </c>
      <c r="U386" s="73">
        <f t="shared" si="15"/>
        <v>0</v>
      </c>
      <c r="V386" s="73">
        <f t="array" ref="V386">INDIRECT("Update"&amp;Projections!$AH$17&amp;"!M"&amp;ROW(B367))</f>
        <v>5.4</v>
      </c>
      <c r="W386" s="73">
        <f t="array" ref="W386">INDIRECT("Update"&amp;Projections!$AH$17&amp;"!L"&amp;ROW(B367))</f>
        <v>0.5</v>
      </c>
      <c r="X386" s="73">
        <f t="array" ref="X386">INDIRECT("Update"&amp;Projections!$AH$17&amp;"!N"&amp;ROW(B367))</f>
        <v>1.3</v>
      </c>
      <c r="Y386" s="73">
        <f t="array" ref="Y386">INDIRECT("Update"&amp;Projections!$AH$17&amp;"!O"&amp;ROW(B367))</f>
        <v>1.9</v>
      </c>
      <c r="Z386" s="73">
        <f t="array" ref="Z386">INDIRECT("Update"&amp;Projections!$AH$17&amp;"!P"&amp;ROW(B367))</f>
        <v>0.2</v>
      </c>
      <c r="AA386" s="73">
        <f t="array" ref="AA386">INDIRECT("Update"&amp;Projections!$AH$17&amp;"!Q"&amp;ROW(B367))</f>
        <v>0.1</v>
      </c>
      <c r="AB386" s="107">
        <f t="array" ref="AB386">INDIRECT("Update"&amp;Projections!$AH$17&amp;"!I"&amp;ROW(B367))</f>
        <v>0.423</v>
      </c>
      <c r="AC386" s="107">
        <f t="array" ref="AC386">INDIRECT("Update"&amp;Projections!$AH$17&amp;"!K"&amp;ROW(B367))</f>
        <v>0.902</v>
      </c>
      <c r="AD386" s="73">
        <f t="array" ref="AD386">INDIRECT("Update"&amp;Projections!$AH$17&amp;"!R"&amp;ROW(B367))</f>
        <v>0.8</v>
      </c>
      <c r="AE386" s="73">
        <f t="shared" si="16"/>
        <v>-2.179859315</v>
      </c>
      <c r="AF386" s="73">
        <f t="shared" si="17"/>
        <v>-1.243065086</v>
      </c>
      <c r="AG386" s="73">
        <f t="shared" si="18"/>
        <v>-1.870656281</v>
      </c>
      <c r="AH386" s="73">
        <f t="shared" si="19"/>
        <v>-0.9275290217</v>
      </c>
      <c r="AI386" s="73">
        <f t="shared" si="20"/>
        <v>-2.576325158</v>
      </c>
      <c r="AJ386" s="73">
        <f t="shared" si="21"/>
        <v>-1.150698449</v>
      </c>
      <c r="AK386" s="73">
        <f t="shared" si="22"/>
        <v>-0.4416006305</v>
      </c>
      <c r="AL386" s="73">
        <f t="shared" si="23"/>
        <v>0.2275419968</v>
      </c>
      <c r="AM386" s="73">
        <f t="shared" si="24"/>
        <v>0.2352523852</v>
      </c>
      <c r="AN386" s="120">
        <f t="shared" si="25"/>
        <v>-2.576325158</v>
      </c>
      <c r="AO386" s="120">
        <f t="shared" si="26"/>
        <v>-4.756184473</v>
      </c>
      <c r="AP386" s="120">
        <f t="array" ref="AP386">INDIRECT("Update"&amp;Projections!$AH$17&amp;"!S"&amp;ROW(B367))</f>
        <v>5.1</v>
      </c>
      <c r="AQ386" s="120">
        <f t="array" ref="AQ386">INDIRECT("Update"&amp;Projections!$AH$17&amp;"!T"&amp;ROW(B367))</f>
        <v>0.6</v>
      </c>
      <c r="AR386" s="100">
        <f t="shared" si="27"/>
        <v>-7.250095932</v>
      </c>
    </row>
    <row r="387">
      <c r="A387" s="40" t="str">
        <f t="shared" si="3"/>
        <v>KJ Simpson</v>
      </c>
      <c r="B387" s="42">
        <f t="shared" si="4"/>
        <v>-2.523090552</v>
      </c>
      <c r="C387" s="43">
        <f t="shared" si="5"/>
        <v>-1.342589385</v>
      </c>
      <c r="D387" s="42">
        <f t="shared" si="6"/>
        <v>-1.988335395</v>
      </c>
      <c r="E387" s="42">
        <f t="shared" si="7"/>
        <v>-1.383146726</v>
      </c>
      <c r="F387" s="42">
        <f t="shared" si="8"/>
        <v>-2.244392479</v>
      </c>
      <c r="G387" s="42">
        <f t="shared" si="9"/>
        <v>-1.329092151</v>
      </c>
      <c r="H387" s="42">
        <f t="shared" si="10"/>
        <v>-0.06118077619</v>
      </c>
      <c r="I387" s="42">
        <f>UpdateHashtag!S385</f>
        <v>2.5</v>
      </c>
      <c r="J387" s="47">
        <f t="shared" si="11"/>
        <v>0.2648183573</v>
      </c>
      <c r="K387" s="48">
        <f>UpdateHashtag!T385</f>
        <v>0.9</v>
      </c>
      <c r="L387" s="42">
        <f t="shared" si="12"/>
        <v>-1.337780956</v>
      </c>
      <c r="N387" s="100">
        <f t="shared" si="13"/>
        <v>340</v>
      </c>
      <c r="O387" s="94" t="str">
        <f t="array" ref="O387">INDIRECT("Update"&amp;Projections!$AH$17&amp;"!B"&amp;ROW(B368))</f>
        <v/>
      </c>
      <c r="P387" s="101" t="str">
        <f t="array" ref="P387">INDIRECT("Update"&amp;Projections!$AH$17&amp;"!C"&amp;ROW(B368))</f>
        <v>Jordan Walsh</v>
      </c>
      <c r="Q387" s="94" t="str">
        <f>UpdateHashtag!F417</f>
        <v/>
      </c>
      <c r="R387" s="105" t="str">
        <f t="array" ref="R387">INDIRECT("Update"&amp;Projections!$AH$17&amp;"!D"&amp;ROW(B368))</f>
        <v>SG,SF</v>
      </c>
      <c r="S387" s="73">
        <f t="shared" si="14"/>
        <v>-6.529040919</v>
      </c>
      <c r="T387" s="73">
        <f>SUM(AE387:AM387)-IFERROR(IFS(Projections!$I$17,AN387,Projections!$J$17,AO387),"")</f>
        <v>-6.529040919</v>
      </c>
      <c r="U387" s="73">
        <f t="shared" si="15"/>
        <v>0</v>
      </c>
      <c r="V387" s="73">
        <f t="array" ref="V387">INDIRECT("Update"&amp;Projections!$AH$17&amp;"!M"&amp;ROW(B368))</f>
        <v>2</v>
      </c>
      <c r="W387" s="73">
        <f t="array" ref="W387">INDIRECT("Update"&amp;Projections!$AH$17&amp;"!L"&amp;ROW(B368))</f>
        <v>0.3</v>
      </c>
      <c r="X387" s="73">
        <f t="array" ref="X387">INDIRECT("Update"&amp;Projections!$AH$17&amp;"!N"&amp;ROW(B368))</f>
        <v>2.7</v>
      </c>
      <c r="Y387" s="73">
        <f t="array" ref="Y387">INDIRECT("Update"&amp;Projections!$AH$17&amp;"!O"&amp;ROW(B368))</f>
        <v>0.7</v>
      </c>
      <c r="Z387" s="73">
        <f t="array" ref="Z387">INDIRECT("Update"&amp;Projections!$AH$17&amp;"!P"&amp;ROW(B368))</f>
        <v>0.7</v>
      </c>
      <c r="AA387" s="73">
        <f t="array" ref="AA387">INDIRECT("Update"&amp;Projections!$AH$17&amp;"!Q"&amp;ROW(B368))</f>
        <v>0.1</v>
      </c>
      <c r="AB387" s="107">
        <f t="array" ref="AB387">INDIRECT("Update"&amp;Projections!$AH$17&amp;"!I"&amp;ROW(B368))</f>
        <v>0.401</v>
      </c>
      <c r="AC387" s="107">
        <f t="array" ref="AC387">INDIRECT("Update"&amp;Projections!$AH$17&amp;"!K"&amp;ROW(B368))</f>
        <v>0.481</v>
      </c>
      <c r="AD387" s="73">
        <f t="array" ref="AD387">INDIRECT("Update"&amp;Projections!$AH$17&amp;"!R"&amp;ROW(B368))</f>
        <v>0.4</v>
      </c>
      <c r="AE387" s="73">
        <f t="shared" si="16"/>
        <v>-2.794062582</v>
      </c>
      <c r="AF387" s="73">
        <f t="shared" si="17"/>
        <v>-1.442113684</v>
      </c>
      <c r="AG387" s="73">
        <f t="shared" si="18"/>
        <v>-1.321487086</v>
      </c>
      <c r="AH387" s="73">
        <f t="shared" si="19"/>
        <v>-1.474270267</v>
      </c>
      <c r="AI387" s="73">
        <f t="shared" si="20"/>
        <v>-0.9166617668</v>
      </c>
      <c r="AJ387" s="73">
        <f t="shared" si="21"/>
        <v>-1.150698449</v>
      </c>
      <c r="AK387" s="73">
        <f t="shared" si="22"/>
        <v>-0.2247447581</v>
      </c>
      <c r="AL387" s="73">
        <f t="shared" si="23"/>
        <v>-0.3335101482</v>
      </c>
      <c r="AM387" s="73">
        <f t="shared" si="24"/>
        <v>0.3344452391</v>
      </c>
      <c r="AN387" s="120">
        <f t="shared" si="25"/>
        <v>-2.794062582</v>
      </c>
      <c r="AO387" s="120">
        <f t="shared" si="26"/>
        <v>-4.268332849</v>
      </c>
      <c r="AP387" s="120">
        <f t="array" ref="AP387">INDIRECT("Update"&amp;Projections!$AH$17&amp;"!S"&amp;ROW(B368))</f>
        <v>2</v>
      </c>
      <c r="AQ387" s="120">
        <f t="array" ref="AQ387">INDIRECT("Update"&amp;Projections!$AH$17&amp;"!T"&amp;ROW(B368))</f>
        <v>0.3</v>
      </c>
      <c r="AR387" s="100">
        <f t="shared" si="27"/>
        <v>-7.269581928</v>
      </c>
    </row>
    <row r="388">
      <c r="A388" s="40" t="str">
        <f t="shared" si="3"/>
        <v>DaRon Holmes II</v>
      </c>
      <c r="B388" s="42">
        <f t="shared" si="4"/>
        <v>-2.396636939</v>
      </c>
      <c r="C388" s="43">
        <f t="shared" si="5"/>
        <v>-1.541637983</v>
      </c>
      <c r="D388" s="42">
        <f t="shared" si="6"/>
        <v>-1.713750797</v>
      </c>
      <c r="E388" s="42">
        <f t="shared" si="7"/>
        <v>-1.565393808</v>
      </c>
      <c r="F388" s="42">
        <f t="shared" si="8"/>
        <v>-2.576325158</v>
      </c>
      <c r="G388" s="42">
        <f t="shared" si="9"/>
        <v>-0.6155173428</v>
      </c>
      <c r="H388" s="42">
        <f t="shared" si="10"/>
        <v>0.1409893815</v>
      </c>
      <c r="I388" s="42">
        <f>UpdateHashtag!S386</f>
        <v>2.5</v>
      </c>
      <c r="J388" s="47">
        <f t="shared" si="11"/>
        <v>-0.5221645564</v>
      </c>
      <c r="K388" s="48">
        <f>UpdateHashtag!T386</f>
        <v>1.8</v>
      </c>
      <c r="L388" s="42">
        <f t="shared" si="12"/>
        <v>-1.238588102</v>
      </c>
      <c r="N388" s="100">
        <f t="shared" si="13"/>
        <v>360</v>
      </c>
      <c r="O388" s="94" t="str">
        <f t="array" ref="O388">INDIRECT("Update"&amp;Projections!$AH$17&amp;"!B"&amp;ROW(B369))</f>
        <v/>
      </c>
      <c r="P388" s="101" t="str">
        <f t="array" ref="P388">INDIRECT("Update"&amp;Projections!$AH$17&amp;"!C"&amp;ROW(B369))</f>
        <v>Dalano Banton</v>
      </c>
      <c r="Q388" s="94" t="str">
        <f>UpdateHashtag!F418</f>
        <v/>
      </c>
      <c r="R388" s="105" t="str">
        <f t="array" ref="R388">INDIRECT("Update"&amp;Projections!$AH$17&amp;"!D"&amp;ROW(B369))</f>
        <v>SF</v>
      </c>
      <c r="S388" s="73">
        <f t="shared" si="14"/>
        <v>-7.135448381</v>
      </c>
      <c r="T388" s="73">
        <f>SUM(AE388:AM388)-IFERROR(IFS(Projections!$I$17,AN388,Projections!$J$17,AO388),"")</f>
        <v>-7.135448381</v>
      </c>
      <c r="U388" s="73">
        <f t="shared" si="15"/>
        <v>0</v>
      </c>
      <c r="V388" s="73">
        <f t="array" ref="V388">INDIRECT("Update"&amp;Projections!$AH$17&amp;"!M"&amp;ROW(B369))</f>
        <v>5.3</v>
      </c>
      <c r="W388" s="73">
        <f t="array" ref="W388">INDIRECT("Update"&amp;Projections!$AH$17&amp;"!L"&amp;ROW(B369))</f>
        <v>0.6</v>
      </c>
      <c r="X388" s="73">
        <f t="array" ref="X388">INDIRECT("Update"&amp;Projections!$AH$17&amp;"!N"&amp;ROW(B369))</f>
        <v>1.7</v>
      </c>
      <c r="Y388" s="73">
        <f t="array" ref="Y388">INDIRECT("Update"&amp;Projections!$AH$17&amp;"!O"&amp;ROW(B369))</f>
        <v>1.2</v>
      </c>
      <c r="Z388" s="73">
        <f t="array" ref="Z388">INDIRECT("Update"&amp;Projections!$AH$17&amp;"!P"&amp;ROW(B369))</f>
        <v>0.4</v>
      </c>
      <c r="AA388" s="73">
        <f t="array" ref="AA388">INDIRECT("Update"&amp;Projections!$AH$17&amp;"!Q"&amp;ROW(B369))</f>
        <v>0.3</v>
      </c>
      <c r="AB388" s="107">
        <f t="array" ref="AB388">INDIRECT("Update"&amp;Projections!$AH$17&amp;"!I"&amp;ROW(B369))</f>
        <v>0.408</v>
      </c>
      <c r="AC388" s="107">
        <f t="array" ref="AC388">INDIRECT("Update"&amp;Projections!$AH$17&amp;"!K"&amp;ROW(B369))</f>
        <v>0.773</v>
      </c>
      <c r="AD388" s="73">
        <f t="array" ref="AD388">INDIRECT("Update"&amp;Projections!$AH$17&amp;"!R"&amp;ROW(B369))</f>
        <v>0.7</v>
      </c>
      <c r="AE388" s="73">
        <f t="shared" si="16"/>
        <v>-2.197924117</v>
      </c>
      <c r="AF388" s="73">
        <f t="shared" si="17"/>
        <v>-1.143540787</v>
      </c>
      <c r="AG388" s="73">
        <f t="shared" si="18"/>
        <v>-1.713750797</v>
      </c>
      <c r="AH388" s="73">
        <f t="shared" si="19"/>
        <v>-1.246461415</v>
      </c>
      <c r="AI388" s="73">
        <f t="shared" si="20"/>
        <v>-1.912459801</v>
      </c>
      <c r="AJ388" s="73">
        <f t="shared" si="21"/>
        <v>-0.7939110449</v>
      </c>
      <c r="AK388" s="73">
        <f t="shared" si="22"/>
        <v>-0.5000081886</v>
      </c>
      <c r="AL388" s="73">
        <f t="shared" si="23"/>
        <v>-0.08536694643</v>
      </c>
      <c r="AM388" s="73">
        <f t="shared" si="24"/>
        <v>0.2600505987</v>
      </c>
      <c r="AN388" s="120">
        <f t="shared" si="25"/>
        <v>-2.197924117</v>
      </c>
      <c r="AO388" s="120">
        <f t="shared" si="26"/>
        <v>-4.110383918</v>
      </c>
      <c r="AP388" s="120">
        <f t="array" ref="AP388">INDIRECT("Update"&amp;Projections!$AH$17&amp;"!S"&amp;ROW(B369))</f>
        <v>4.8</v>
      </c>
      <c r="AQ388" s="120">
        <f t="array" ref="AQ388">INDIRECT("Update"&amp;Projections!$AH$17&amp;"!T"&amp;ROW(B369))</f>
        <v>1.1</v>
      </c>
      <c r="AR388" s="100">
        <f t="shared" si="27"/>
        <v>-7.278260596</v>
      </c>
    </row>
    <row r="389">
      <c r="A389" s="40" t="str">
        <f t="shared" si="3"/>
        <v>Jeff Green</v>
      </c>
      <c r="B389" s="42">
        <f t="shared" si="4"/>
        <v>-2.342442533</v>
      </c>
      <c r="C389" s="43">
        <f t="shared" si="5"/>
        <v>-1.342589385</v>
      </c>
      <c r="D389" s="42">
        <f t="shared" si="6"/>
        <v>-1.792203539</v>
      </c>
      <c r="E389" s="42">
        <f t="shared" si="7"/>
        <v>-1.474270267</v>
      </c>
      <c r="F389" s="42">
        <f t="shared" si="8"/>
        <v>-2.576325158</v>
      </c>
      <c r="G389" s="42">
        <f t="shared" si="9"/>
        <v>-0.9723047469</v>
      </c>
      <c r="H389" s="42">
        <f t="shared" si="10"/>
        <v>-0.1000966397</v>
      </c>
      <c r="I389" s="42">
        <f>UpdateHashtag!S387</f>
        <v>3.3</v>
      </c>
      <c r="J389" s="47">
        <f t="shared" si="11"/>
        <v>-0.06405745784</v>
      </c>
      <c r="K389" s="48">
        <f>UpdateHashtag!T387</f>
        <v>1.3</v>
      </c>
      <c r="L389" s="42">
        <f t="shared" si="12"/>
        <v>-1.337780956</v>
      </c>
      <c r="N389" s="100">
        <f t="shared" si="13"/>
        <v>369</v>
      </c>
      <c r="O389" s="94" t="str">
        <f t="array" ref="O389">INDIRECT("Update"&amp;Projections!$AH$17&amp;"!B"&amp;ROW(B370))</f>
        <v/>
      </c>
      <c r="P389" s="101" t="str">
        <f t="array" ref="P389">INDIRECT("Update"&amp;Projections!$AH$17&amp;"!C"&amp;ROW(B370))</f>
        <v>Jalen McDaniels</v>
      </c>
      <c r="Q389" s="94" t="str">
        <f>UpdateHashtag!F419</f>
        <v/>
      </c>
      <c r="R389" s="105" t="str">
        <f t="array" ref="R389">INDIRECT("Update"&amp;Projections!$AH$17&amp;"!D"&amp;ROW(B370))</f>
        <v>SF,PF</v>
      </c>
      <c r="S389" s="73">
        <f t="shared" si="14"/>
        <v>-7.2937085</v>
      </c>
      <c r="T389" s="73">
        <f>SUM(AE389:AM389)-IFERROR(IFS(Projections!$I$17,AN389,Projections!$J$17,AO389),"")</f>
        <v>-7.2937085</v>
      </c>
      <c r="U389" s="73">
        <f t="shared" si="15"/>
        <v>0</v>
      </c>
      <c r="V389" s="73">
        <f t="array" ref="V389">INDIRECT("Update"&amp;Projections!$AH$17&amp;"!M"&amp;ROW(B370))</f>
        <v>4</v>
      </c>
      <c r="W389" s="73">
        <f t="array" ref="W389">INDIRECT("Update"&amp;Projections!$AH$17&amp;"!L"&amp;ROW(B370))</f>
        <v>0.4</v>
      </c>
      <c r="X389" s="73">
        <f t="array" ref="X389">INDIRECT("Update"&amp;Projections!$AH$17&amp;"!N"&amp;ROW(B370))</f>
        <v>1.8</v>
      </c>
      <c r="Y389" s="73">
        <f t="array" ref="Y389">INDIRECT("Update"&amp;Projections!$AH$17&amp;"!O"&amp;ROW(B370))</f>
        <v>0.7</v>
      </c>
      <c r="Z389" s="73">
        <f t="array" ref="Z389">INDIRECT("Update"&amp;Projections!$AH$17&amp;"!P"&amp;ROW(B370))</f>
        <v>0.4</v>
      </c>
      <c r="AA389" s="73">
        <f t="array" ref="AA389">INDIRECT("Update"&amp;Projections!$AH$17&amp;"!Q"&amp;ROW(B370))</f>
        <v>0.2</v>
      </c>
      <c r="AB389" s="107">
        <f t="array" ref="AB389">INDIRECT("Update"&amp;Projections!$AH$17&amp;"!I"&amp;ROW(B370))</f>
        <v>0.429</v>
      </c>
      <c r="AC389" s="107">
        <f t="array" ref="AC389">INDIRECT("Update"&amp;Projections!$AH$17&amp;"!K"&amp;ROW(B370))</f>
        <v>0.813</v>
      </c>
      <c r="AD389" s="73">
        <f t="array" ref="AD389">INDIRECT("Update"&amp;Projections!$AH$17&amp;"!R"&amp;ROW(B370))</f>
        <v>0.5</v>
      </c>
      <c r="AE389" s="73">
        <f t="shared" si="16"/>
        <v>-2.432766543</v>
      </c>
      <c r="AF389" s="73">
        <f t="shared" si="17"/>
        <v>-1.342589385</v>
      </c>
      <c r="AG389" s="73">
        <f t="shared" si="18"/>
        <v>-1.674524426</v>
      </c>
      <c r="AH389" s="73">
        <f t="shared" si="19"/>
        <v>-1.474270267</v>
      </c>
      <c r="AI389" s="73">
        <f t="shared" si="20"/>
        <v>-1.912459801</v>
      </c>
      <c r="AJ389" s="73">
        <f t="shared" si="21"/>
        <v>-0.9723047469</v>
      </c>
      <c r="AK389" s="73">
        <f t="shared" si="22"/>
        <v>-0.278447237</v>
      </c>
      <c r="AL389" s="73">
        <f t="shared" si="23"/>
        <v>0.05124033752</v>
      </c>
      <c r="AM389" s="73">
        <f t="shared" si="24"/>
        <v>0.3096470256</v>
      </c>
      <c r="AN389" s="120">
        <f t="shared" si="25"/>
        <v>-2.432766543</v>
      </c>
      <c r="AO389" s="120">
        <f t="shared" si="26"/>
        <v>-4.345226344</v>
      </c>
      <c r="AP389" s="120">
        <f t="array" ref="AP389">INDIRECT("Update"&amp;Projections!$AH$17&amp;"!S"&amp;ROW(B370))</f>
        <v>3.5</v>
      </c>
      <c r="AQ389" s="120">
        <f t="array" ref="AQ389">INDIRECT("Update"&amp;Projections!$AH$17&amp;"!T"&amp;ROW(B370))</f>
        <v>0.8</v>
      </c>
      <c r="AR389" s="100">
        <f t="shared" si="27"/>
        <v>-7.2937085</v>
      </c>
    </row>
    <row r="390">
      <c r="A390" s="40" t="str">
        <f t="shared" si="3"/>
        <v>Caleb Houstan</v>
      </c>
      <c r="B390" s="42">
        <f t="shared" si="4"/>
        <v>-2.432766543</v>
      </c>
      <c r="C390" s="43">
        <f t="shared" si="5"/>
        <v>-0.6459192917</v>
      </c>
      <c r="D390" s="42">
        <f t="shared" si="6"/>
        <v>-1.752977168</v>
      </c>
      <c r="E390" s="42">
        <f t="shared" si="7"/>
        <v>-1.565393808</v>
      </c>
      <c r="F390" s="42">
        <f t="shared" si="8"/>
        <v>-2.576325158</v>
      </c>
      <c r="G390" s="42">
        <f t="shared" si="9"/>
        <v>-1.150698449</v>
      </c>
      <c r="H390" s="42">
        <f t="shared" si="10"/>
        <v>-0.4999554098</v>
      </c>
      <c r="I390" s="42">
        <f>UpdateHashtag!S388</f>
        <v>3.5</v>
      </c>
      <c r="J390" s="47">
        <f t="shared" si="11"/>
        <v>0.03695270771</v>
      </c>
      <c r="K390" s="48">
        <f>UpdateHashtag!T388</f>
        <v>0.4</v>
      </c>
      <c r="L390" s="42">
        <f t="shared" si="12"/>
        <v>-1.43697381</v>
      </c>
      <c r="N390" s="100">
        <f t="shared" si="13"/>
        <v>370</v>
      </c>
      <c r="O390" s="94" t="str">
        <f t="array" ref="O390">INDIRECT("Update"&amp;Projections!$AH$17&amp;"!B"&amp;ROW(B371))</f>
        <v/>
      </c>
      <c r="P390" s="101" t="str">
        <f t="array" ref="P390">INDIRECT("Update"&amp;Projections!$AH$17&amp;"!C"&amp;ROW(B371))</f>
        <v>Jalen Wilson</v>
      </c>
      <c r="Q390" s="94" t="str">
        <f>UpdateHashtag!F420</f>
        <v/>
      </c>
      <c r="R390" s="105" t="str">
        <f t="array" ref="R390">INDIRECT("Update"&amp;Projections!$AH$17&amp;"!D"&amp;ROW(B371))</f>
        <v>SF</v>
      </c>
      <c r="S390" s="73">
        <f t="shared" si="14"/>
        <v>-7.324334482</v>
      </c>
      <c r="T390" s="73">
        <f>SUM(AE390:AM390)-IFERROR(IFS(Projections!$I$17,AN390,Projections!$J$17,AO390),"")</f>
        <v>-7.324334482</v>
      </c>
      <c r="U390" s="73">
        <f t="shared" si="15"/>
        <v>0</v>
      </c>
      <c r="V390" s="73">
        <f t="array" ref="V390">INDIRECT("Update"&amp;Projections!$AH$17&amp;"!M"&amp;ROW(B371))</f>
        <v>4.4</v>
      </c>
      <c r="W390" s="73">
        <f t="array" ref="W390">INDIRECT("Update"&amp;Projections!$AH$17&amp;"!L"&amp;ROW(B371))</f>
        <v>0.5</v>
      </c>
      <c r="X390" s="73">
        <f t="array" ref="X390">INDIRECT("Update"&amp;Projections!$AH$17&amp;"!N"&amp;ROW(B371))</f>
        <v>2.7</v>
      </c>
      <c r="Y390" s="73">
        <f t="array" ref="Y390">INDIRECT("Update"&amp;Projections!$AH$17&amp;"!O"&amp;ROW(B371))</f>
        <v>0.9</v>
      </c>
      <c r="Z390" s="73">
        <f t="array" ref="Z390">INDIRECT("Update"&amp;Projections!$AH$17&amp;"!P"&amp;ROW(B371))</f>
        <v>0.2</v>
      </c>
      <c r="AA390" s="73">
        <f t="array" ref="AA390">INDIRECT("Update"&amp;Projections!$AH$17&amp;"!Q"&amp;ROW(B371))</f>
        <v>0.1</v>
      </c>
      <c r="AB390" s="107">
        <f t="array" ref="AB390">INDIRECT("Update"&amp;Projections!$AH$17&amp;"!I"&amp;ROW(B371))</f>
        <v>0.425</v>
      </c>
      <c r="AC390" s="107">
        <f t="array" ref="AC390">INDIRECT("Update"&amp;Projections!$AH$17&amp;"!K"&amp;ROW(B371))</f>
        <v>0.83</v>
      </c>
      <c r="AD390" s="73">
        <f t="array" ref="AD390">INDIRECT("Update"&amp;Projections!$AH$17&amp;"!R"&amp;ROW(B371))</f>
        <v>0.4</v>
      </c>
      <c r="AE390" s="73">
        <f t="shared" si="16"/>
        <v>-2.360507335</v>
      </c>
      <c r="AF390" s="73">
        <f t="shared" si="17"/>
        <v>-1.243065086</v>
      </c>
      <c r="AG390" s="73">
        <f t="shared" si="18"/>
        <v>-1.321487086</v>
      </c>
      <c r="AH390" s="73">
        <f t="shared" si="19"/>
        <v>-1.383146726</v>
      </c>
      <c r="AI390" s="73">
        <f t="shared" si="20"/>
        <v>-2.576325158</v>
      </c>
      <c r="AJ390" s="73">
        <f t="shared" si="21"/>
        <v>-1.150698449</v>
      </c>
      <c r="AK390" s="73">
        <f t="shared" si="22"/>
        <v>-0.3117041213</v>
      </c>
      <c r="AL390" s="73">
        <f t="shared" si="23"/>
        <v>0.1118290816</v>
      </c>
      <c r="AM390" s="73">
        <f t="shared" si="24"/>
        <v>0.3344452391</v>
      </c>
      <c r="AN390" s="120">
        <f t="shared" si="25"/>
        <v>-2.576325158</v>
      </c>
      <c r="AO390" s="120">
        <f t="shared" si="26"/>
        <v>-4.936832492</v>
      </c>
      <c r="AP390" s="120">
        <f t="array" ref="AP390">INDIRECT("Update"&amp;Projections!$AH$17&amp;"!S"&amp;ROW(B371))</f>
        <v>3.7</v>
      </c>
      <c r="AQ390" s="120">
        <f t="array" ref="AQ390">INDIRECT("Update"&amp;Projections!$AH$17&amp;"!T"&amp;ROW(B371))</f>
        <v>0.9</v>
      </c>
      <c r="AR390" s="100">
        <f t="shared" si="27"/>
        <v>-7.324334482</v>
      </c>
    </row>
    <row r="391">
      <c r="A391" s="40" t="str">
        <f t="shared" si="3"/>
        <v>Nassir Little</v>
      </c>
      <c r="B391" s="42">
        <f t="shared" si="4"/>
        <v>-2.486960948</v>
      </c>
      <c r="C391" s="43">
        <f t="shared" si="5"/>
        <v>-1.143540787</v>
      </c>
      <c r="D391" s="42">
        <f t="shared" si="6"/>
        <v>-1.752977168</v>
      </c>
      <c r="E391" s="42">
        <f t="shared" si="7"/>
        <v>-1.565393808</v>
      </c>
      <c r="F391" s="42">
        <f t="shared" si="8"/>
        <v>-2.576325158</v>
      </c>
      <c r="G391" s="42">
        <f t="shared" si="9"/>
        <v>-0.9723047469</v>
      </c>
      <c r="H391" s="42">
        <f t="shared" si="10"/>
        <v>-0.1848602475</v>
      </c>
      <c r="I391" s="42">
        <f>UpdateHashtag!S389</f>
        <v>3.1</v>
      </c>
      <c r="J391" s="47">
        <f t="shared" si="11"/>
        <v>-0.05119812194</v>
      </c>
      <c r="K391" s="48">
        <f>UpdateHashtag!T389</f>
        <v>0.5</v>
      </c>
      <c r="L391" s="42">
        <f t="shared" si="12"/>
        <v>-1.337780956</v>
      </c>
      <c r="N391" s="100">
        <f t="shared" si="13"/>
        <v>363</v>
      </c>
      <c r="O391" s="94" t="str">
        <f t="array" ref="O391">INDIRECT("Update"&amp;Projections!$AH$17&amp;"!B"&amp;ROW(B372))</f>
        <v/>
      </c>
      <c r="P391" s="101" t="str">
        <f t="array" ref="P391">INDIRECT("Update"&amp;Projections!$AH$17&amp;"!C"&amp;ROW(B372))</f>
        <v>Devonte' Graham</v>
      </c>
      <c r="Q391" s="94" t="str">
        <f>UpdateHashtag!F421</f>
        <v/>
      </c>
      <c r="R391" s="105" t="str">
        <f t="array" ref="R391">INDIRECT("Update"&amp;Projections!$AH$17&amp;"!D"&amp;ROW(B372))</f>
        <v>PG,SG</v>
      </c>
      <c r="S391" s="73">
        <f t="shared" si="14"/>
        <v>-7.180318051</v>
      </c>
      <c r="T391" s="73">
        <f>SUM(AE391:AM391)-IFERROR(IFS(Projections!$I$17,AN391,Projections!$J$17,AO391),"")</f>
        <v>-7.180318051</v>
      </c>
      <c r="U391" s="73">
        <f t="shared" si="15"/>
        <v>0</v>
      </c>
      <c r="V391" s="73">
        <f t="array" ref="V391">INDIRECT("Update"&amp;Projections!$AH$17&amp;"!M"&amp;ROW(B372))</f>
        <v>4.4</v>
      </c>
      <c r="W391" s="73">
        <f t="array" ref="W391">INDIRECT("Update"&amp;Projections!$AH$17&amp;"!L"&amp;ROW(B372))</f>
        <v>1</v>
      </c>
      <c r="X391" s="73">
        <f t="array" ref="X391">INDIRECT("Update"&amp;Projections!$AH$17&amp;"!N"&amp;ROW(B372))</f>
        <v>1.1</v>
      </c>
      <c r="Y391" s="73">
        <f t="array" ref="Y391">INDIRECT("Update"&amp;Projections!$AH$17&amp;"!O"&amp;ROW(B372))</f>
        <v>1.7</v>
      </c>
      <c r="Z391" s="73">
        <f t="array" ref="Z391">INDIRECT("Update"&amp;Projections!$AH$17&amp;"!P"&amp;ROW(B372))</f>
        <v>0.4</v>
      </c>
      <c r="AA391" s="73">
        <f t="array" ref="AA391">INDIRECT("Update"&amp;Projections!$AH$17&amp;"!Q"&amp;ROW(B372))</f>
        <v>0.1</v>
      </c>
      <c r="AB391" s="107">
        <f t="array" ref="AB391">INDIRECT("Update"&amp;Projections!$AH$17&amp;"!I"&amp;ROW(B372))</f>
        <v>0.369</v>
      </c>
      <c r="AC391" s="107">
        <f t="array" ref="AC391">INDIRECT("Update"&amp;Projections!$AH$17&amp;"!K"&amp;ROW(B372))</f>
        <v>0.75</v>
      </c>
      <c r="AD391" s="73">
        <f t="array" ref="AD391">INDIRECT("Update"&amp;Projections!$AH$17&amp;"!R"&amp;ROW(B372))</f>
        <v>0.5</v>
      </c>
      <c r="AE391" s="73">
        <f t="shared" si="16"/>
        <v>-2.360507335</v>
      </c>
      <c r="AF391" s="73">
        <f t="shared" si="17"/>
        <v>-0.7454435908</v>
      </c>
      <c r="AG391" s="73">
        <f t="shared" si="18"/>
        <v>-1.949109024</v>
      </c>
      <c r="AH391" s="73">
        <f t="shared" si="19"/>
        <v>-1.018652563</v>
      </c>
      <c r="AI391" s="73">
        <f t="shared" si="20"/>
        <v>-1.912459801</v>
      </c>
      <c r="AJ391" s="73">
        <f t="shared" si="21"/>
        <v>-1.150698449</v>
      </c>
      <c r="AK391" s="73">
        <f t="shared" si="22"/>
        <v>-0.5545427107</v>
      </c>
      <c r="AL391" s="73">
        <f t="shared" si="23"/>
        <v>-0.1590589386</v>
      </c>
      <c r="AM391" s="73">
        <f t="shared" si="24"/>
        <v>0.3096470256</v>
      </c>
      <c r="AN391" s="120">
        <f t="shared" si="25"/>
        <v>-2.360507335</v>
      </c>
      <c r="AO391" s="120">
        <f t="shared" si="26"/>
        <v>-4.309616358</v>
      </c>
      <c r="AP391" s="120">
        <f t="array" ref="AP391">INDIRECT("Update"&amp;Projections!$AH$17&amp;"!S"&amp;ROW(B372))</f>
        <v>3.7</v>
      </c>
      <c r="AQ391" s="120">
        <f t="array" ref="AQ391">INDIRECT("Update"&amp;Projections!$AH$17&amp;"!T"&amp;ROW(B372))</f>
        <v>1</v>
      </c>
      <c r="AR391" s="100">
        <f t="shared" si="27"/>
        <v>-7.350115198</v>
      </c>
    </row>
    <row r="392">
      <c r="A392" s="40" t="str">
        <f t="shared" si="3"/>
        <v>Ariel Hukporti</v>
      </c>
      <c r="B392" s="42">
        <f t="shared" si="4"/>
        <v>-2.613414562</v>
      </c>
      <c r="C392" s="43">
        <f t="shared" si="5"/>
        <v>-1.740686581</v>
      </c>
      <c r="D392" s="42">
        <f t="shared" si="6"/>
        <v>-1.360713457</v>
      </c>
      <c r="E392" s="42">
        <f t="shared" si="7"/>
        <v>-1.656517348</v>
      </c>
      <c r="F392" s="42">
        <f t="shared" si="8"/>
        <v>-2.576325158</v>
      </c>
      <c r="G392" s="42">
        <f t="shared" si="9"/>
        <v>-0.2587299387</v>
      </c>
      <c r="H392" s="42">
        <f t="shared" si="10"/>
        <v>0.162732715</v>
      </c>
      <c r="I392" s="42">
        <f>UpdateHashtag!S390</f>
        <v>2.1</v>
      </c>
      <c r="J392" s="47">
        <f t="shared" si="11"/>
        <v>-0.6371504255</v>
      </c>
      <c r="K392" s="48">
        <f>UpdateHashtag!T390</f>
        <v>1</v>
      </c>
      <c r="L392" s="42">
        <f t="shared" si="12"/>
        <v>-1.139395249</v>
      </c>
      <c r="N392" s="100">
        <f t="shared" si="13"/>
        <v>376</v>
      </c>
      <c r="O392" s="94" t="str">
        <f t="array" ref="O392">INDIRECT("Update"&amp;Projections!$AH$17&amp;"!B"&amp;ROW(B373))</f>
        <v/>
      </c>
      <c r="P392" s="101" t="str">
        <f t="array" ref="P392">INDIRECT("Update"&amp;Projections!$AH$17&amp;"!C"&amp;ROW(B373))</f>
        <v>David Jones</v>
      </c>
      <c r="Q392" s="94" t="str">
        <f>UpdateHashtag!F422</f>
        <v/>
      </c>
      <c r="R392" s="105" t="str">
        <f t="array" ref="R392">INDIRECT("Update"&amp;Projections!$AH$17&amp;"!D"&amp;ROW(B373))</f>
        <v>SF</v>
      </c>
      <c r="S392" s="73">
        <f t="shared" si="14"/>
        <v>-7.550294256</v>
      </c>
      <c r="T392" s="73">
        <f>SUM(AE392:AM392)-IFERROR(IFS(Projections!$I$17,AN392,Projections!$J$17,AO392),"")</f>
        <v>-7.550294256</v>
      </c>
      <c r="U392" s="73">
        <f t="shared" si="15"/>
        <v>0</v>
      </c>
      <c r="V392" s="73">
        <f t="array" ref="V392">INDIRECT("Update"&amp;Projections!$AH$17&amp;"!M"&amp;ROW(B373))</f>
        <v>4.3</v>
      </c>
      <c r="W392" s="73">
        <f t="array" ref="W392">INDIRECT("Update"&amp;Projections!$AH$17&amp;"!L"&amp;ROW(B373))</f>
        <v>0.5</v>
      </c>
      <c r="X392" s="73">
        <f t="array" ref="X392">INDIRECT("Update"&amp;Projections!$AH$17&amp;"!N"&amp;ROW(B373))</f>
        <v>1.5</v>
      </c>
      <c r="Y392" s="73">
        <f t="array" ref="Y392">INDIRECT("Update"&amp;Projections!$AH$17&amp;"!O"&amp;ROW(B373))</f>
        <v>0.4</v>
      </c>
      <c r="Z392" s="73">
        <f t="array" ref="Z392">INDIRECT("Update"&amp;Projections!$AH$17&amp;"!P"&amp;ROW(B373))</f>
        <v>0.4</v>
      </c>
      <c r="AA392" s="73">
        <f t="array" ref="AA392">INDIRECT("Update"&amp;Projections!$AH$17&amp;"!Q"&amp;ROW(B373))</f>
        <v>0.1</v>
      </c>
      <c r="AB392" s="107">
        <f t="array" ref="AB392">INDIRECT("Update"&amp;Projections!$AH$17&amp;"!I"&amp;ROW(B373))</f>
        <v>0.461</v>
      </c>
      <c r="AC392" s="107">
        <f t="array" ref="AC392">INDIRECT("Update"&amp;Projections!$AH$17&amp;"!K"&amp;ROW(B373))</f>
        <v>0.795</v>
      </c>
      <c r="AD392" s="73">
        <f t="array" ref="AD392">INDIRECT("Update"&amp;Projections!$AH$17&amp;"!R"&amp;ROW(B373))</f>
        <v>0.6</v>
      </c>
      <c r="AE392" s="73">
        <f t="shared" si="16"/>
        <v>-2.378572137</v>
      </c>
      <c r="AF392" s="73">
        <f t="shared" si="17"/>
        <v>-1.243065086</v>
      </c>
      <c r="AG392" s="73">
        <f t="shared" si="18"/>
        <v>-1.792203539</v>
      </c>
      <c r="AH392" s="73">
        <f t="shared" si="19"/>
        <v>-1.610955578</v>
      </c>
      <c r="AI392" s="73">
        <f t="shared" si="20"/>
        <v>-1.912459801</v>
      </c>
      <c r="AJ392" s="73">
        <f t="shared" si="21"/>
        <v>-1.150698449</v>
      </c>
      <c r="AK392" s="73">
        <f t="shared" si="22"/>
        <v>-0.1261569726</v>
      </c>
      <c r="AL392" s="73">
        <f t="shared" si="23"/>
        <v>0.0003963574259</v>
      </c>
      <c r="AM392" s="73">
        <f t="shared" si="24"/>
        <v>0.2848488121</v>
      </c>
      <c r="AN392" s="120">
        <f t="shared" si="25"/>
        <v>-2.378572137</v>
      </c>
      <c r="AO392" s="120">
        <f t="shared" si="26"/>
        <v>-4.291031938</v>
      </c>
      <c r="AP392" s="120">
        <f t="array" ref="AP392">INDIRECT("Update"&amp;Projections!$AH$17&amp;"!S"&amp;ROW(B373))</f>
        <v>3</v>
      </c>
      <c r="AQ392" s="120">
        <f t="array" ref="AQ392">INDIRECT("Update"&amp;Projections!$AH$17&amp;"!T"&amp;ROW(B373))</f>
        <v>1.3</v>
      </c>
      <c r="AR392" s="100">
        <f t="shared" si="27"/>
        <v>-7.350614401</v>
      </c>
    </row>
    <row r="393">
      <c r="A393" s="40" t="str">
        <f t="shared" si="3"/>
        <v>Matt Ryan</v>
      </c>
      <c r="B393" s="42">
        <f t="shared" si="4"/>
        <v>-2.360507335</v>
      </c>
      <c r="C393" s="43">
        <f t="shared" si="5"/>
        <v>-0.5463949927</v>
      </c>
      <c r="D393" s="42">
        <f t="shared" si="6"/>
        <v>-1.949109024</v>
      </c>
      <c r="E393" s="42">
        <f t="shared" si="7"/>
        <v>-1.565393808</v>
      </c>
      <c r="F393" s="42">
        <f t="shared" si="8"/>
        <v>-2.576325158</v>
      </c>
      <c r="G393" s="42">
        <f t="shared" si="9"/>
        <v>-1.329092151</v>
      </c>
      <c r="H393" s="42">
        <f t="shared" si="10"/>
        <v>-0.3933033266</v>
      </c>
      <c r="I393" s="42">
        <f>UpdateHashtag!S391</f>
        <v>3.5</v>
      </c>
      <c r="J393" s="47">
        <f t="shared" si="11"/>
        <v>0.1219467498</v>
      </c>
      <c r="K393" s="48">
        <f>UpdateHashtag!T391</f>
        <v>0.4</v>
      </c>
      <c r="L393" s="42">
        <f t="shared" si="12"/>
        <v>-1.337780956</v>
      </c>
      <c r="N393" s="100">
        <f t="shared" si="13"/>
        <v>365</v>
      </c>
      <c r="O393" s="94" t="str">
        <f t="array" ref="O393">INDIRECT("Update"&amp;Projections!$AH$17&amp;"!B"&amp;ROW(B374))</f>
        <v/>
      </c>
      <c r="P393" s="101" t="str">
        <f t="array" ref="P393">INDIRECT("Update"&amp;Projections!$AH$17&amp;"!C"&amp;ROW(B374))</f>
        <v>Orlando Robinson</v>
      </c>
      <c r="Q393" s="94" t="str">
        <f>UpdateHashtag!F423</f>
        <v/>
      </c>
      <c r="R393" s="105" t="str">
        <f t="array" ref="R393">INDIRECT("Update"&amp;Projections!$AH$17&amp;"!D"&amp;ROW(B374))</f>
        <v>C</v>
      </c>
      <c r="S393" s="73">
        <f t="shared" si="14"/>
        <v>-7.223919415</v>
      </c>
      <c r="T393" s="73">
        <f>SUM(AE393:AM393)-IFERROR(IFS(Projections!$I$17,AN393,Projections!$J$17,AO393),"")</f>
        <v>-7.223919415</v>
      </c>
      <c r="U393" s="73">
        <f t="shared" si="15"/>
        <v>0</v>
      </c>
      <c r="V393" s="73">
        <f t="array" ref="V393">INDIRECT("Update"&amp;Projections!$AH$17&amp;"!M"&amp;ROW(B374))</f>
        <v>2.8</v>
      </c>
      <c r="W393" s="73">
        <f t="array" ref="W393">INDIRECT("Update"&amp;Projections!$AH$17&amp;"!L"&amp;ROW(B374))</f>
        <v>0.1</v>
      </c>
      <c r="X393" s="73">
        <f t="array" ref="X393">INDIRECT("Update"&amp;Projections!$AH$17&amp;"!N"&amp;ROW(B374))</f>
        <v>2.7</v>
      </c>
      <c r="Y393" s="73">
        <f t="array" ref="Y393">INDIRECT("Update"&amp;Projections!$AH$17&amp;"!O"&amp;ROW(B374))</f>
        <v>0.8</v>
      </c>
      <c r="Z393" s="73">
        <f t="array" ref="Z393">INDIRECT("Update"&amp;Projections!$AH$17&amp;"!P"&amp;ROW(B374))</f>
        <v>0.3</v>
      </c>
      <c r="AA393" s="73">
        <f t="array" ref="AA393">INDIRECT("Update"&amp;Projections!$AH$17&amp;"!Q"&amp;ROW(B374))</f>
        <v>0.3</v>
      </c>
      <c r="AB393" s="107">
        <f t="array" ref="AB393">INDIRECT("Update"&amp;Projections!$AH$17&amp;"!I"&amp;ROW(B374))</f>
        <v>0.514</v>
      </c>
      <c r="AC393" s="107">
        <f t="array" ref="AC393">INDIRECT("Update"&amp;Projections!$AH$17&amp;"!K"&amp;ROW(B374))</f>
        <v>0.726</v>
      </c>
      <c r="AD393" s="73">
        <f t="array" ref="AD393">INDIRECT("Update"&amp;Projections!$AH$17&amp;"!R"&amp;ROW(B374))</f>
        <v>0.4</v>
      </c>
      <c r="AE393" s="73">
        <f t="shared" si="16"/>
        <v>-2.649544166</v>
      </c>
      <c r="AF393" s="73">
        <f t="shared" si="17"/>
        <v>-1.641162282</v>
      </c>
      <c r="AG393" s="73">
        <f t="shared" si="18"/>
        <v>-1.321487086</v>
      </c>
      <c r="AH393" s="73">
        <f t="shared" si="19"/>
        <v>-1.428708496</v>
      </c>
      <c r="AI393" s="73">
        <f t="shared" si="20"/>
        <v>-2.244392479</v>
      </c>
      <c r="AJ393" s="73">
        <f t="shared" si="21"/>
        <v>-0.7939110449</v>
      </c>
      <c r="AK393" s="73">
        <f t="shared" si="22"/>
        <v>0.04213382094</v>
      </c>
      <c r="AL393" s="73">
        <f t="shared" si="23"/>
        <v>-0.1708370865</v>
      </c>
      <c r="AM393" s="73">
        <f t="shared" si="24"/>
        <v>0.3344452391</v>
      </c>
      <c r="AN393" s="120">
        <f t="shared" si="25"/>
        <v>-2.649544166</v>
      </c>
      <c r="AO393" s="120">
        <f t="shared" si="26"/>
        <v>-4.893936646</v>
      </c>
      <c r="AP393" s="120">
        <f t="array" ref="AP393">INDIRECT("Update"&amp;Projections!$AH$17&amp;"!S"&amp;ROW(B374))</f>
        <v>2.1</v>
      </c>
      <c r="AQ393" s="120">
        <f t="array" ref="AQ393">INDIRECT("Update"&amp;Projections!$AH$17&amp;"!T"&amp;ROW(B374))</f>
        <v>0.7</v>
      </c>
      <c r="AR393" s="100">
        <f t="shared" si="27"/>
        <v>-7.424982917</v>
      </c>
    </row>
    <row r="394">
      <c r="A394" s="40" t="str">
        <f t="shared" si="3"/>
        <v>Ousmane Dieng</v>
      </c>
      <c r="B394" s="42">
        <f t="shared" si="4"/>
        <v>-2.486960948</v>
      </c>
      <c r="C394" s="43">
        <f t="shared" si="5"/>
        <v>-1.243065086</v>
      </c>
      <c r="D394" s="42">
        <f t="shared" si="6"/>
        <v>-1.674524426</v>
      </c>
      <c r="E394" s="42">
        <f t="shared" si="7"/>
        <v>-1.383146726</v>
      </c>
      <c r="F394" s="42">
        <f t="shared" si="8"/>
        <v>-2.244392479</v>
      </c>
      <c r="G394" s="42">
        <f t="shared" si="9"/>
        <v>-1.150698449</v>
      </c>
      <c r="H394" s="42">
        <f t="shared" si="10"/>
        <v>-0.2896091875</v>
      </c>
      <c r="I394" s="42">
        <f>UpdateHashtag!S392</f>
        <v>3.3</v>
      </c>
      <c r="J394" s="47">
        <f t="shared" si="11"/>
        <v>-0.06362357545</v>
      </c>
      <c r="K394" s="48">
        <f>UpdateHashtag!T392</f>
        <v>0.4</v>
      </c>
      <c r="L394" s="42">
        <f t="shared" si="12"/>
        <v>-1.238588102</v>
      </c>
      <c r="N394" s="100">
        <f t="shared" si="13"/>
        <v>377</v>
      </c>
      <c r="O394" s="94" t="str">
        <f t="array" ref="O394">INDIRECT("Update"&amp;Projections!$AH$17&amp;"!B"&amp;ROW(B375))</f>
        <v/>
      </c>
      <c r="P394" s="101" t="str">
        <f t="array" ref="P394">INDIRECT("Update"&amp;Projections!$AH$17&amp;"!C"&amp;ROW(B375))</f>
        <v>Baylor Scheierman</v>
      </c>
      <c r="Q394" s="94" t="str">
        <f>UpdateHashtag!F424</f>
        <v/>
      </c>
      <c r="R394" s="105" t="str">
        <f t="array" ref="R394">INDIRECT("Update"&amp;Projections!$AH$17&amp;"!D"&amp;ROW(B375))</f>
        <v>SG</v>
      </c>
      <c r="S394" s="73">
        <f t="shared" si="14"/>
        <v>-7.596060625</v>
      </c>
      <c r="T394" s="73">
        <f>SUM(AE394:AM394)-IFERROR(IFS(Projections!$I$17,AN394,Projections!$J$17,AO394),"")</f>
        <v>-7.596060625</v>
      </c>
      <c r="U394" s="73">
        <f t="shared" si="15"/>
        <v>0</v>
      </c>
      <c r="V394" s="73">
        <f t="array" ref="V394">INDIRECT("Update"&amp;Projections!$AH$17&amp;"!M"&amp;ROW(B375))</f>
        <v>4.1</v>
      </c>
      <c r="W394" s="73">
        <f t="array" ref="W394">INDIRECT("Update"&amp;Projections!$AH$17&amp;"!L"&amp;ROW(B375))</f>
        <v>0.7</v>
      </c>
      <c r="X394" s="73">
        <f t="array" ref="X394">INDIRECT("Update"&amp;Projections!$AH$17&amp;"!N"&amp;ROW(B375))</f>
        <v>2</v>
      </c>
      <c r="Y394" s="73">
        <f t="array" ref="Y394">INDIRECT("Update"&amp;Projections!$AH$17&amp;"!O"&amp;ROW(B375))</f>
        <v>0.9</v>
      </c>
      <c r="Z394" s="73">
        <f t="array" ref="Z394">INDIRECT("Update"&amp;Projections!$AH$17&amp;"!P"&amp;ROW(B375))</f>
        <v>0.2</v>
      </c>
      <c r="AA394" s="73">
        <f t="array" ref="AA394">INDIRECT("Update"&amp;Projections!$AH$17&amp;"!Q"&amp;ROW(B375))</f>
        <v>0</v>
      </c>
      <c r="AB394" s="107">
        <f t="array" ref="AB394">INDIRECT("Update"&amp;Projections!$AH$17&amp;"!I"&amp;ROW(B375))</f>
        <v>0.442</v>
      </c>
      <c r="AC394" s="107">
        <f t="array" ref="AC394">INDIRECT("Update"&amp;Projections!$AH$17&amp;"!K"&amp;ROW(B375))</f>
        <v>0.822</v>
      </c>
      <c r="AD394" s="73">
        <f t="array" ref="AD394">INDIRECT("Update"&amp;Projections!$AH$17&amp;"!R"&amp;ROW(B375))</f>
        <v>0.5</v>
      </c>
      <c r="AE394" s="73">
        <f t="shared" si="16"/>
        <v>-2.414701741</v>
      </c>
      <c r="AF394" s="73">
        <f t="shared" si="17"/>
        <v>-1.044016488</v>
      </c>
      <c r="AG394" s="73">
        <f t="shared" si="18"/>
        <v>-1.596071683</v>
      </c>
      <c r="AH394" s="73">
        <f t="shared" si="19"/>
        <v>-1.383146726</v>
      </c>
      <c r="AI394" s="73">
        <f t="shared" si="20"/>
        <v>-2.576325158</v>
      </c>
      <c r="AJ394" s="73">
        <f t="shared" si="21"/>
        <v>-1.329092151</v>
      </c>
      <c r="AK394" s="73">
        <f t="shared" si="22"/>
        <v>-0.205825093</v>
      </c>
      <c r="AL394" s="73">
        <f t="shared" si="23"/>
        <v>0.06714623139</v>
      </c>
      <c r="AM394" s="73">
        <f t="shared" si="24"/>
        <v>0.3096470256</v>
      </c>
      <c r="AN394" s="120">
        <f t="shared" si="25"/>
        <v>-2.576325158</v>
      </c>
      <c r="AO394" s="120">
        <f t="shared" si="26"/>
        <v>-4.991026898</v>
      </c>
      <c r="AP394" s="120">
        <f t="array" ref="AP394">INDIRECT("Update"&amp;Projections!$AH$17&amp;"!S"&amp;ROW(B375))</f>
        <v>3.2</v>
      </c>
      <c r="AQ394" s="120">
        <f t="array" ref="AQ394">INDIRECT("Update"&amp;Projections!$AH$17&amp;"!T"&amp;ROW(B375))</f>
        <v>0.7</v>
      </c>
      <c r="AR394" s="100">
        <f t="shared" si="27"/>
        <v>-7.425563292</v>
      </c>
    </row>
    <row r="395">
      <c r="A395" s="40" t="str">
        <f t="shared" si="3"/>
        <v>Kris Murray</v>
      </c>
      <c r="B395" s="42">
        <f t="shared" si="4"/>
        <v>-2.577284958</v>
      </c>
      <c r="C395" s="43">
        <f t="shared" si="5"/>
        <v>-1.342589385</v>
      </c>
      <c r="D395" s="42">
        <f t="shared" si="6"/>
        <v>-1.635298055</v>
      </c>
      <c r="E395" s="42">
        <f t="shared" si="7"/>
        <v>-1.474270267</v>
      </c>
      <c r="F395" s="42">
        <f t="shared" si="8"/>
        <v>-1.912459801</v>
      </c>
      <c r="G395" s="42">
        <f t="shared" si="9"/>
        <v>-0.9723047469</v>
      </c>
      <c r="H395" s="42">
        <f t="shared" si="10"/>
        <v>-0.3628871863</v>
      </c>
      <c r="I395" s="42">
        <f>UpdateHashtag!S393</f>
        <v>3.1</v>
      </c>
      <c r="J395" s="47">
        <f t="shared" si="11"/>
        <v>-0.2388932983</v>
      </c>
      <c r="K395" s="48">
        <f>UpdateHashtag!T393</f>
        <v>0.5</v>
      </c>
      <c r="L395" s="42">
        <f t="shared" si="12"/>
        <v>-1.238588102</v>
      </c>
      <c r="N395" s="100">
        <f t="shared" si="13"/>
        <v>374</v>
      </c>
      <c r="O395" s="94" t="str">
        <f t="array" ref="O395">INDIRECT("Update"&amp;Projections!$AH$17&amp;"!B"&amp;ROW(B376))</f>
        <v/>
      </c>
      <c r="P395" s="101" t="str">
        <f t="array" ref="P395">INDIRECT("Update"&amp;Projections!$AH$17&amp;"!C"&amp;ROW(B376))</f>
        <v>AJ Green</v>
      </c>
      <c r="Q395" s="94" t="str">
        <f>UpdateHashtag!F425</f>
        <v/>
      </c>
      <c r="R395" s="105" t="str">
        <f t="array" ref="R395">INDIRECT("Update"&amp;Projections!$AH$17&amp;"!D"&amp;ROW(B376))</f>
        <v>PG,SG</v>
      </c>
      <c r="S395" s="73">
        <f t="shared" si="14"/>
        <v>-7.425563292</v>
      </c>
      <c r="T395" s="73">
        <f>SUM(AE395:AM395)-IFERROR(IFS(Projections!$I$17,AN395,Projections!$J$17,AO395),"")</f>
        <v>-7.425563292</v>
      </c>
      <c r="U395" s="73">
        <f t="shared" si="15"/>
        <v>0</v>
      </c>
      <c r="V395" s="73">
        <f t="array" ref="V395">INDIRECT("Update"&amp;Projections!$AH$17&amp;"!M"&amp;ROW(B376))</f>
        <v>4.5</v>
      </c>
      <c r="W395" s="73">
        <f t="array" ref="W395">INDIRECT("Update"&amp;Projections!$AH$17&amp;"!L"&amp;ROW(B376))</f>
        <v>1.2</v>
      </c>
      <c r="X395" s="73">
        <f t="array" ref="X395">INDIRECT("Update"&amp;Projections!$AH$17&amp;"!N"&amp;ROW(B376))</f>
        <v>1.2</v>
      </c>
      <c r="Y395" s="73">
        <f t="array" ref="Y395">INDIRECT("Update"&amp;Projections!$AH$17&amp;"!O"&amp;ROW(B376))</f>
        <v>0.6</v>
      </c>
      <c r="Z395" s="73">
        <f t="array" ref="Z395">INDIRECT("Update"&amp;Projections!$AH$17&amp;"!P"&amp;ROW(B376))</f>
        <v>0.2</v>
      </c>
      <c r="AA395" s="73">
        <f t="array" ref="AA395">INDIRECT("Update"&amp;Projections!$AH$17&amp;"!Q"&amp;ROW(B376))</f>
        <v>0</v>
      </c>
      <c r="AB395" s="107">
        <f t="array" ref="AB395">INDIRECT("Update"&amp;Projections!$AH$17&amp;"!I"&amp;ROW(B376))</f>
        <v>0.425</v>
      </c>
      <c r="AC395" s="107">
        <f t="array" ref="AC395">INDIRECT("Update"&amp;Projections!$AH$17&amp;"!K"&amp;ROW(B376))</f>
        <v>0.92</v>
      </c>
      <c r="AD395" s="73">
        <f t="array" ref="AD395">INDIRECT("Update"&amp;Projections!$AH$17&amp;"!R"&amp;ROW(B376))</f>
        <v>0.2</v>
      </c>
      <c r="AE395" s="73">
        <f t="shared" si="16"/>
        <v>-2.342442533</v>
      </c>
      <c r="AF395" s="73">
        <f t="shared" si="17"/>
        <v>-0.5463949927</v>
      </c>
      <c r="AG395" s="73">
        <f t="shared" si="18"/>
        <v>-1.909882652</v>
      </c>
      <c r="AH395" s="73">
        <f t="shared" si="19"/>
        <v>-1.519832037</v>
      </c>
      <c r="AI395" s="73">
        <f t="shared" si="20"/>
        <v>-2.576325158</v>
      </c>
      <c r="AJ395" s="73">
        <f t="shared" si="21"/>
        <v>-1.329092151</v>
      </c>
      <c r="AK395" s="73">
        <f t="shared" si="22"/>
        <v>-0.2948552498</v>
      </c>
      <c r="AL395" s="73">
        <f t="shared" si="23"/>
        <v>0.1328946579</v>
      </c>
      <c r="AM395" s="73">
        <f t="shared" si="24"/>
        <v>0.384041666</v>
      </c>
      <c r="AN395" s="120">
        <f t="shared" si="25"/>
        <v>-2.576325158</v>
      </c>
      <c r="AO395" s="120">
        <f t="shared" si="26"/>
        <v>-4.91876769</v>
      </c>
      <c r="AP395" s="120">
        <f t="array" ref="AP395">INDIRECT("Update"&amp;Projections!$AH$17&amp;"!S"&amp;ROW(B376))</f>
        <v>3.5</v>
      </c>
      <c r="AQ395" s="120">
        <f t="array" ref="AQ395">INDIRECT("Update"&amp;Projections!$AH$17&amp;"!T"&amp;ROW(B376))</f>
        <v>0.3</v>
      </c>
      <c r="AR395" s="100">
        <f t="shared" si="27"/>
        <v>-7.478894674</v>
      </c>
    </row>
    <row r="396">
      <c r="A396" s="40" t="str">
        <f t="shared" si="3"/>
        <v>Garrett Temple</v>
      </c>
      <c r="B396" s="42">
        <f t="shared" si="4"/>
        <v>-2.68567377</v>
      </c>
      <c r="C396" s="43">
        <f t="shared" si="5"/>
        <v>-1.342589385</v>
      </c>
      <c r="D396" s="42">
        <f t="shared" si="6"/>
        <v>-1.909882652</v>
      </c>
      <c r="E396" s="42">
        <f t="shared" si="7"/>
        <v>-1.428708496</v>
      </c>
      <c r="F396" s="42">
        <f t="shared" si="8"/>
        <v>-1.912459801</v>
      </c>
      <c r="G396" s="42">
        <f t="shared" si="9"/>
        <v>-1.150698449</v>
      </c>
      <c r="H396" s="42">
        <f t="shared" si="10"/>
        <v>-0.3042817075</v>
      </c>
      <c r="I396" s="42">
        <f>UpdateHashtag!S394</f>
        <v>2.3</v>
      </c>
      <c r="J396" s="47">
        <f t="shared" si="11"/>
        <v>0.03733733858</v>
      </c>
      <c r="K396" s="48">
        <f>UpdateHashtag!T394</f>
        <v>0.5</v>
      </c>
      <c r="L396" s="42">
        <f t="shared" si="12"/>
        <v>-1.43697381</v>
      </c>
      <c r="N396" s="100">
        <f t="shared" si="13"/>
        <v>379</v>
      </c>
      <c r="O396" s="94" t="str">
        <f t="array" ref="O396">INDIRECT("Update"&amp;Projections!$AH$17&amp;"!B"&amp;ROW(B377))</f>
        <v/>
      </c>
      <c r="P396" s="101" t="str">
        <f t="array" ref="P396">INDIRECT("Update"&amp;Projections!$AH$17&amp;"!C"&amp;ROW(B377))</f>
        <v>Isaiah Collier</v>
      </c>
      <c r="Q396" s="94" t="str">
        <f>UpdateHashtag!F426</f>
        <v/>
      </c>
      <c r="R396" s="105" t="str">
        <f t="array" ref="R396">INDIRECT("Update"&amp;Projections!$AH$17&amp;"!D"&amp;ROW(B377))</f>
        <v>PG</v>
      </c>
      <c r="S396" s="73">
        <f t="shared" si="14"/>
        <v>-7.638709169</v>
      </c>
      <c r="T396" s="73">
        <f>SUM(AE396:AM396)-IFERROR(IFS(Projections!$I$17,AN396,Projections!$J$17,AO396),"")</f>
        <v>-7.638709169</v>
      </c>
      <c r="U396" s="73">
        <f t="shared" si="15"/>
        <v>0</v>
      </c>
      <c r="V396" s="73">
        <f t="array" ref="V396">INDIRECT("Update"&amp;Projections!$AH$17&amp;"!M"&amp;ROW(B377))</f>
        <v>6.3</v>
      </c>
      <c r="W396" s="73">
        <f t="array" ref="W396">INDIRECT("Update"&amp;Projections!$AH$17&amp;"!L"&amp;ROW(B377))</f>
        <v>0.4</v>
      </c>
      <c r="X396" s="73">
        <f t="array" ref="X396">INDIRECT("Update"&amp;Projections!$AH$17&amp;"!N"&amp;ROW(B377))</f>
        <v>1.1</v>
      </c>
      <c r="Y396" s="73">
        <f t="array" ref="Y396">INDIRECT("Update"&amp;Projections!$AH$17&amp;"!O"&amp;ROW(B377))</f>
        <v>1.7</v>
      </c>
      <c r="Z396" s="73">
        <f t="array" ref="Z396">INDIRECT("Update"&amp;Projections!$AH$17&amp;"!P"&amp;ROW(B377))</f>
        <v>0.6</v>
      </c>
      <c r="AA396" s="73">
        <f t="array" ref="AA396">INDIRECT("Update"&amp;Projections!$AH$17&amp;"!Q"&amp;ROW(B377))</f>
        <v>0.1</v>
      </c>
      <c r="AB396" s="107">
        <f t="array" ref="AB396">INDIRECT("Update"&amp;Projections!$AH$17&amp;"!I"&amp;ROW(B377))</f>
        <v>0.491</v>
      </c>
      <c r="AC396" s="107">
        <f t="array" ref="AC396">INDIRECT("Update"&amp;Projections!$AH$17&amp;"!K"&amp;ROW(B377))</f>
        <v>0.671</v>
      </c>
      <c r="AD396" s="73">
        <f t="array" ref="AD396">INDIRECT("Update"&amp;Projections!$AH$17&amp;"!R"&amp;ROW(B377))</f>
        <v>1.3</v>
      </c>
      <c r="AE396" s="73">
        <f t="shared" si="16"/>
        <v>-2.017276097</v>
      </c>
      <c r="AF396" s="73">
        <f t="shared" si="17"/>
        <v>-1.342589385</v>
      </c>
      <c r="AG396" s="73">
        <f t="shared" si="18"/>
        <v>-1.949109024</v>
      </c>
      <c r="AH396" s="73">
        <f t="shared" si="19"/>
        <v>-1.018652563</v>
      </c>
      <c r="AI396" s="73">
        <f t="shared" si="20"/>
        <v>-1.248594445</v>
      </c>
      <c r="AJ396" s="73">
        <f t="shared" si="21"/>
        <v>-1.150698449</v>
      </c>
      <c r="AK396" s="73">
        <f t="shared" si="22"/>
        <v>-0.03101533545</v>
      </c>
      <c r="AL396" s="73">
        <f t="shared" si="23"/>
        <v>-1.009311286</v>
      </c>
      <c r="AM396" s="73">
        <f t="shared" si="24"/>
        <v>0.1112613178</v>
      </c>
      <c r="AN396" s="120">
        <f t="shared" si="25"/>
        <v>-2.017276097</v>
      </c>
      <c r="AO396" s="120">
        <f t="shared" si="26"/>
        <v>-3.966385121</v>
      </c>
      <c r="AP396" s="120">
        <f t="array" ref="AP396">INDIRECT("Update"&amp;Projections!$AH$17&amp;"!S"&amp;ROW(B377))</f>
        <v>4.5</v>
      </c>
      <c r="AQ396" s="120">
        <f t="array" ref="AQ396">INDIRECT("Update"&amp;Projections!$AH$17&amp;"!T"&amp;ROW(B377))</f>
        <v>2.3</v>
      </c>
      <c r="AR396" s="100">
        <f t="shared" si="27"/>
        <v>-7.550294256</v>
      </c>
    </row>
    <row r="397">
      <c r="A397" s="40" t="str">
        <f t="shared" si="3"/>
        <v>Terrence Shannon Jr.</v>
      </c>
      <c r="B397" s="42">
        <f t="shared" si="4"/>
        <v>-2.396636939</v>
      </c>
      <c r="C397" s="43">
        <f t="shared" si="5"/>
        <v>-1.342589385</v>
      </c>
      <c r="D397" s="42">
        <f t="shared" si="6"/>
        <v>-2.106014508</v>
      </c>
      <c r="E397" s="42">
        <f t="shared" si="7"/>
        <v>-1.610955578</v>
      </c>
      <c r="F397" s="42">
        <f t="shared" si="8"/>
        <v>-2.576325158</v>
      </c>
      <c r="G397" s="42">
        <f t="shared" si="9"/>
        <v>-0.9723047469</v>
      </c>
      <c r="H397" s="42">
        <f t="shared" si="10"/>
        <v>-0.06667520962</v>
      </c>
      <c r="I397" s="42">
        <f>UpdateHashtag!S395</f>
        <v>2.6</v>
      </c>
      <c r="J397" s="47">
        <f t="shared" si="11"/>
        <v>0.03448544137</v>
      </c>
      <c r="K397" s="48">
        <f>UpdateHashtag!T395</f>
        <v>1.6</v>
      </c>
      <c r="L397" s="42">
        <f t="shared" si="12"/>
        <v>-1.337780956</v>
      </c>
      <c r="N397" s="100">
        <f t="shared" si="13"/>
        <v>375</v>
      </c>
      <c r="O397" s="94" t="str">
        <f t="array" ref="O397">INDIRECT("Update"&amp;Projections!$AH$17&amp;"!B"&amp;ROW(B378))</f>
        <v/>
      </c>
      <c r="P397" s="101" t="str">
        <f t="array" ref="P397">INDIRECT("Update"&amp;Projections!$AH$17&amp;"!C"&amp;ROW(B378))</f>
        <v>Cory Joseph</v>
      </c>
      <c r="Q397" s="94" t="str">
        <f>UpdateHashtag!F427</f>
        <v/>
      </c>
      <c r="R397" s="105" t="str">
        <f t="array" ref="R397">INDIRECT("Update"&amp;Projections!$AH$17&amp;"!D"&amp;ROW(B378))</f>
        <v>PG</v>
      </c>
      <c r="S397" s="73">
        <f t="shared" si="14"/>
        <v>-7.478894674</v>
      </c>
      <c r="T397" s="73">
        <f>SUM(AE397:AM397)-IFERROR(IFS(Projections!$I$17,AN397,Projections!$J$17,AO397),"")</f>
        <v>-7.478894674</v>
      </c>
      <c r="U397" s="73">
        <f t="shared" si="15"/>
        <v>0</v>
      </c>
      <c r="V397" s="73">
        <f t="array" ref="V397">INDIRECT("Update"&amp;Projections!$AH$17&amp;"!M"&amp;ROW(B378))</f>
        <v>3.6</v>
      </c>
      <c r="W397" s="73">
        <f t="array" ref="W397">INDIRECT("Update"&amp;Projections!$AH$17&amp;"!L"&amp;ROW(B378))</f>
        <v>0.6</v>
      </c>
      <c r="X397" s="73">
        <f t="array" ref="X397">INDIRECT("Update"&amp;Projections!$AH$17&amp;"!N"&amp;ROW(B378))</f>
        <v>1</v>
      </c>
      <c r="Y397" s="73">
        <f t="array" ref="Y397">INDIRECT("Update"&amp;Projections!$AH$17&amp;"!O"&amp;ROW(B378))</f>
        <v>1.9</v>
      </c>
      <c r="Z397" s="73">
        <f t="array" ref="Z397">INDIRECT("Update"&amp;Projections!$AH$17&amp;"!P"&amp;ROW(B378))</f>
        <v>0.3</v>
      </c>
      <c r="AA397" s="73">
        <f t="array" ref="AA397">INDIRECT("Update"&amp;Projections!$AH$17&amp;"!Q"&amp;ROW(B378))</f>
        <v>0.1</v>
      </c>
      <c r="AB397" s="107">
        <f t="array" ref="AB397">INDIRECT("Update"&amp;Projections!$AH$17&amp;"!I"&amp;ROW(B378))</f>
        <v>0.416</v>
      </c>
      <c r="AC397" s="107">
        <f t="array" ref="AC397">INDIRECT("Update"&amp;Projections!$AH$17&amp;"!K"&amp;ROW(B378))</f>
        <v>0.776</v>
      </c>
      <c r="AD397" s="73">
        <f t="array" ref="AD397">INDIRECT("Update"&amp;Projections!$AH$17&amp;"!R"&amp;ROW(B378))</f>
        <v>0.5</v>
      </c>
      <c r="AE397" s="73">
        <f t="shared" si="16"/>
        <v>-2.50502575</v>
      </c>
      <c r="AF397" s="73">
        <f t="shared" si="17"/>
        <v>-1.143540787</v>
      </c>
      <c r="AG397" s="73">
        <f t="shared" si="18"/>
        <v>-1.988335395</v>
      </c>
      <c r="AH397" s="73">
        <f t="shared" si="19"/>
        <v>-0.9275290217</v>
      </c>
      <c r="AI397" s="73">
        <f t="shared" si="20"/>
        <v>-2.244392479</v>
      </c>
      <c r="AJ397" s="73">
        <f t="shared" si="21"/>
        <v>-1.150698449</v>
      </c>
      <c r="AK397" s="73">
        <f t="shared" si="22"/>
        <v>-0.2938563325</v>
      </c>
      <c r="AL397" s="73">
        <f t="shared" si="23"/>
        <v>-0.0401892358</v>
      </c>
      <c r="AM397" s="73">
        <f t="shared" si="24"/>
        <v>0.3096470256</v>
      </c>
      <c r="AN397" s="120">
        <f t="shared" si="25"/>
        <v>-2.50502575</v>
      </c>
      <c r="AO397" s="120">
        <f t="shared" si="26"/>
        <v>-4.74941823</v>
      </c>
      <c r="AP397" s="120">
        <f t="array" ref="AP397">INDIRECT("Update"&amp;Projections!$AH$17&amp;"!S"&amp;ROW(B378))</f>
        <v>3.1</v>
      </c>
      <c r="AQ397" s="120">
        <f t="array" ref="AQ397">INDIRECT("Update"&amp;Projections!$AH$17&amp;"!T"&amp;ROW(B378))</f>
        <v>0.6</v>
      </c>
      <c r="AR397" s="100">
        <f t="shared" si="27"/>
        <v>-7.596060625</v>
      </c>
    </row>
    <row r="398">
      <c r="A398" s="40" t="str">
        <f t="shared" si="3"/>
        <v>Jamal Shead</v>
      </c>
      <c r="B398" s="42">
        <f t="shared" si="4"/>
        <v>-2.703738572</v>
      </c>
      <c r="C398" s="43">
        <f t="shared" si="5"/>
        <v>-1.541637983</v>
      </c>
      <c r="D398" s="42">
        <f t="shared" si="6"/>
        <v>-2.106014508</v>
      </c>
      <c r="E398" s="42">
        <f t="shared" si="7"/>
        <v>-1.246461415</v>
      </c>
      <c r="F398" s="42">
        <f t="shared" si="8"/>
        <v>-1.912459801</v>
      </c>
      <c r="G398" s="42">
        <f t="shared" si="9"/>
        <v>-1.150698449</v>
      </c>
      <c r="H398" s="42">
        <f t="shared" si="10"/>
        <v>-0.2422828592</v>
      </c>
      <c r="I398" s="42">
        <f>UpdateHashtag!S396</f>
        <v>2.3</v>
      </c>
      <c r="J398" s="47">
        <f t="shared" si="11"/>
        <v>-0.02994961141</v>
      </c>
      <c r="K398" s="48">
        <f>UpdateHashtag!T396</f>
        <v>0.5</v>
      </c>
      <c r="L398" s="42">
        <f t="shared" si="12"/>
        <v>-1.337780956</v>
      </c>
      <c r="N398" s="100">
        <f t="shared" si="13"/>
        <v>386</v>
      </c>
      <c r="O398" s="94" t="str">
        <f t="array" ref="O398">INDIRECT("Update"&amp;Projections!$AH$17&amp;"!B"&amp;ROW(B379))</f>
        <v/>
      </c>
      <c r="P398" s="101" t="str">
        <f t="array" ref="P398">INDIRECT("Update"&amp;Projections!$AH$17&amp;"!C"&amp;ROW(B379))</f>
        <v>DeAndre Jordan</v>
      </c>
      <c r="Q398" s="94" t="str">
        <f>UpdateHashtag!F428</f>
        <v/>
      </c>
      <c r="R398" s="105" t="str">
        <f t="array" ref="R398">INDIRECT("Update"&amp;Projections!$AH$17&amp;"!D"&amp;ROW(B379))</f>
        <v>C</v>
      </c>
      <c r="S398" s="73">
        <f t="shared" si="14"/>
        <v>-7.713035387</v>
      </c>
      <c r="T398" s="73">
        <f>SUM(AE398:AM398)-IFERROR(IFS(Projections!$I$17,AN398,Projections!$J$17,AO398),"")</f>
        <v>-7.713035387</v>
      </c>
      <c r="U398" s="73">
        <f t="shared" si="15"/>
        <v>0</v>
      </c>
      <c r="V398" s="73">
        <f t="array" ref="V398">INDIRECT("Update"&amp;Projections!$AH$17&amp;"!M"&amp;ROW(B379))</f>
        <v>3.5</v>
      </c>
      <c r="W398" s="73">
        <f t="array" ref="W398">INDIRECT("Update"&amp;Projections!$AH$17&amp;"!L"&amp;ROW(B379))</f>
        <v>0</v>
      </c>
      <c r="X398" s="73">
        <f t="array" ref="X398">INDIRECT("Update"&amp;Projections!$AH$17&amp;"!N"&amp;ROW(B379))</f>
        <v>3.7</v>
      </c>
      <c r="Y398" s="73">
        <f t="array" ref="Y398">INDIRECT("Update"&amp;Projections!$AH$17&amp;"!O"&amp;ROW(B379))</f>
        <v>0.6</v>
      </c>
      <c r="Z398" s="73">
        <f t="array" ref="Z398">INDIRECT("Update"&amp;Projections!$AH$17&amp;"!P"&amp;ROW(B379))</f>
        <v>0.2</v>
      </c>
      <c r="AA398" s="73">
        <f t="array" ref="AA398">INDIRECT("Update"&amp;Projections!$AH$17&amp;"!Q"&amp;ROW(B379))</f>
        <v>0.4</v>
      </c>
      <c r="AB398" s="107">
        <f t="array" ref="AB398">INDIRECT("Update"&amp;Projections!$AH$17&amp;"!I"&amp;ROW(B379))</f>
        <v>0.701</v>
      </c>
      <c r="AC398" s="107">
        <f t="array" ref="AC398">INDIRECT("Update"&amp;Projections!$AH$17&amp;"!K"&amp;ROW(B379))</f>
        <v>0.471</v>
      </c>
      <c r="AD398" s="73">
        <f t="array" ref="AD398">INDIRECT("Update"&amp;Projections!$AH$17&amp;"!R"&amp;ROW(B379))</f>
        <v>0.7</v>
      </c>
      <c r="AE398" s="73">
        <f t="shared" si="16"/>
        <v>-2.523090552</v>
      </c>
      <c r="AF398" s="73">
        <f t="shared" si="17"/>
        <v>-1.740686581</v>
      </c>
      <c r="AG398" s="73">
        <f t="shared" si="18"/>
        <v>-0.9292233743</v>
      </c>
      <c r="AH398" s="73">
        <f t="shared" si="19"/>
        <v>-1.519832037</v>
      </c>
      <c r="AI398" s="73">
        <f t="shared" si="20"/>
        <v>-2.576325158</v>
      </c>
      <c r="AJ398" s="73">
        <f t="shared" si="21"/>
        <v>-0.6155173428</v>
      </c>
      <c r="AK398" s="73">
        <f t="shared" si="22"/>
        <v>0.5023785799</v>
      </c>
      <c r="AL398" s="73">
        <f t="shared" si="23"/>
        <v>-1.147114678</v>
      </c>
      <c r="AM398" s="73">
        <f t="shared" si="24"/>
        <v>0.2600505987</v>
      </c>
      <c r="AN398" s="120">
        <f t="shared" si="25"/>
        <v>-2.576325158</v>
      </c>
      <c r="AO398" s="120">
        <f t="shared" si="26"/>
        <v>-5.09941571</v>
      </c>
      <c r="AP398" s="120">
        <f t="array" ref="AP398">INDIRECT("Update"&amp;Projections!$AH$17&amp;"!S"&amp;ROW(B379))</f>
        <v>2.1</v>
      </c>
      <c r="AQ398" s="120">
        <f t="array" ref="AQ398">INDIRECT("Update"&amp;Projections!$AH$17&amp;"!T"&amp;ROW(B379))</f>
        <v>1</v>
      </c>
      <c r="AR398" s="100">
        <f t="shared" si="27"/>
        <v>-7.629055713</v>
      </c>
    </row>
    <row r="399">
      <c r="A399" s="40" t="str">
        <f t="shared" si="3"/>
        <v>Blake Wesley</v>
      </c>
      <c r="B399" s="42">
        <f t="shared" si="4"/>
        <v>-2.486960948</v>
      </c>
      <c r="C399" s="43">
        <f t="shared" si="5"/>
        <v>-1.442113684</v>
      </c>
      <c r="D399" s="42">
        <f t="shared" si="6"/>
        <v>-1.83142991</v>
      </c>
      <c r="E399" s="42">
        <f t="shared" si="7"/>
        <v>-0.7908437104</v>
      </c>
      <c r="F399" s="42">
        <f t="shared" si="8"/>
        <v>-1.912459801</v>
      </c>
      <c r="G399" s="42">
        <f t="shared" si="9"/>
        <v>-1.150698449</v>
      </c>
      <c r="H399" s="42">
        <f t="shared" si="10"/>
        <v>-0.4056093362</v>
      </c>
      <c r="I399" s="42">
        <f>UpdateHashtag!S397</f>
        <v>3.5</v>
      </c>
      <c r="J399" s="47">
        <f t="shared" si="11"/>
        <v>-0.5627806386</v>
      </c>
      <c r="K399" s="48">
        <f>UpdateHashtag!T397</f>
        <v>1</v>
      </c>
      <c r="L399" s="42">
        <f t="shared" si="12"/>
        <v>-0.7426238329</v>
      </c>
      <c r="N399" s="100">
        <f t="shared" si="13"/>
        <v>382</v>
      </c>
      <c r="O399" s="94" t="str">
        <f t="array" ref="O399">INDIRECT("Update"&amp;Projections!$AH$17&amp;"!B"&amp;ROW(B380))</f>
        <v/>
      </c>
      <c r="P399" s="101" t="str">
        <f t="array" ref="P399">INDIRECT("Update"&amp;Projections!$AH$17&amp;"!C"&amp;ROW(B380))</f>
        <v>Pelle Larsson</v>
      </c>
      <c r="Q399" s="94" t="str">
        <f>UpdateHashtag!F429</f>
        <v/>
      </c>
      <c r="R399" s="105" t="str">
        <f t="array" ref="R399">INDIRECT("Update"&amp;Projections!$AH$17&amp;"!D"&amp;ROW(B380))</f>
        <v>SG</v>
      </c>
      <c r="S399" s="73">
        <f t="shared" si="14"/>
        <v>-7.659014068</v>
      </c>
      <c r="T399" s="73">
        <f>SUM(AE399:AM399)-IFERROR(IFS(Projections!$I$17,AN399,Projections!$J$17,AO399),"")</f>
        <v>-7.659014068</v>
      </c>
      <c r="U399" s="73">
        <f t="shared" si="15"/>
        <v>0</v>
      </c>
      <c r="V399" s="73">
        <f t="array" ref="V399">INDIRECT("Update"&amp;Projections!$AH$17&amp;"!M"&amp;ROW(B380))</f>
        <v>4</v>
      </c>
      <c r="W399" s="73">
        <f t="array" ref="W399">INDIRECT("Update"&amp;Projections!$AH$17&amp;"!L"&amp;ROW(B380))</f>
        <v>0.4</v>
      </c>
      <c r="X399" s="73">
        <f t="array" ref="X399">INDIRECT("Update"&amp;Projections!$AH$17&amp;"!N"&amp;ROW(B380))</f>
        <v>1.3</v>
      </c>
      <c r="Y399" s="73">
        <f t="array" ref="Y399">INDIRECT("Update"&amp;Projections!$AH$17&amp;"!O"&amp;ROW(B380))</f>
        <v>1.2</v>
      </c>
      <c r="Z399" s="73">
        <f t="array" ref="Z399">INDIRECT("Update"&amp;Projections!$AH$17&amp;"!P"&amp;ROW(B380))</f>
        <v>0.3</v>
      </c>
      <c r="AA399" s="73">
        <f t="array" ref="AA399">INDIRECT("Update"&amp;Projections!$AH$17&amp;"!Q"&amp;ROW(B380))</f>
        <v>0.1</v>
      </c>
      <c r="AB399" s="107">
        <f t="array" ref="AB399">INDIRECT("Update"&amp;Projections!$AH$17&amp;"!I"&amp;ROW(B380))</f>
        <v>0.519</v>
      </c>
      <c r="AC399" s="107">
        <f t="array" ref="AC399">INDIRECT("Update"&amp;Projections!$AH$17&amp;"!K"&amp;ROW(B380))</f>
        <v>0.75</v>
      </c>
      <c r="AD399" s="73">
        <f t="array" ref="AD399">INDIRECT("Update"&amp;Projections!$AH$17&amp;"!R"&amp;ROW(B380))</f>
        <v>0.6</v>
      </c>
      <c r="AE399" s="73">
        <f t="shared" si="16"/>
        <v>-2.432766543</v>
      </c>
      <c r="AF399" s="73">
        <f t="shared" si="17"/>
        <v>-1.342589385</v>
      </c>
      <c r="AG399" s="73">
        <f t="shared" si="18"/>
        <v>-1.870656281</v>
      </c>
      <c r="AH399" s="73">
        <f t="shared" si="19"/>
        <v>-1.246461415</v>
      </c>
      <c r="AI399" s="73">
        <f t="shared" si="20"/>
        <v>-2.244392479</v>
      </c>
      <c r="AJ399" s="73">
        <f t="shared" si="21"/>
        <v>-1.150698449</v>
      </c>
      <c r="AK399" s="73">
        <f t="shared" si="22"/>
        <v>0.06999406784</v>
      </c>
      <c r="AL399" s="73">
        <f t="shared" si="23"/>
        <v>-0.1590589386</v>
      </c>
      <c r="AM399" s="73">
        <f t="shared" si="24"/>
        <v>0.2848488121</v>
      </c>
      <c r="AN399" s="120">
        <f t="shared" si="25"/>
        <v>-2.432766543</v>
      </c>
      <c r="AO399" s="120">
        <f t="shared" si="26"/>
        <v>-4.677159022</v>
      </c>
      <c r="AP399" s="120">
        <f t="array" ref="AP399">INDIRECT("Update"&amp;Projections!$AH$17&amp;"!S"&amp;ROW(B380))</f>
        <v>2.7</v>
      </c>
      <c r="AQ399" s="120">
        <f t="array" ref="AQ399">INDIRECT("Update"&amp;Projections!$AH$17&amp;"!T"&amp;ROW(B380))</f>
        <v>1</v>
      </c>
      <c r="AR399" s="100">
        <f t="shared" si="27"/>
        <v>-7.638709169</v>
      </c>
    </row>
    <row r="400">
      <c r="A400" s="40" t="str">
        <f t="shared" si="3"/>
        <v>Dalen Terry</v>
      </c>
      <c r="B400" s="42">
        <f t="shared" si="4"/>
        <v>-2.703738572</v>
      </c>
      <c r="C400" s="43">
        <f t="shared" si="5"/>
        <v>-1.541637983</v>
      </c>
      <c r="D400" s="42">
        <f t="shared" si="6"/>
        <v>-1.83142991</v>
      </c>
      <c r="E400" s="42">
        <f t="shared" si="7"/>
        <v>-1.337584956</v>
      </c>
      <c r="F400" s="42">
        <f t="shared" si="8"/>
        <v>-1.912459801</v>
      </c>
      <c r="G400" s="42">
        <f t="shared" si="9"/>
        <v>-0.9723047469</v>
      </c>
      <c r="H400" s="42">
        <f t="shared" si="10"/>
        <v>-0.1415047514</v>
      </c>
      <c r="I400" s="42">
        <f>UpdateHashtag!S398</f>
        <v>2.2</v>
      </c>
      <c r="J400" s="47">
        <f t="shared" si="11"/>
        <v>-0.3992890637</v>
      </c>
      <c r="K400" s="48">
        <f>UpdateHashtag!T398</f>
        <v>0.6</v>
      </c>
      <c r="L400" s="42">
        <f t="shared" si="12"/>
        <v>-1.337780956</v>
      </c>
      <c r="N400" s="100">
        <f t="shared" si="13"/>
        <v>385</v>
      </c>
      <c r="O400" s="94" t="str">
        <f t="array" ref="O400">INDIRECT("Update"&amp;Projections!$AH$17&amp;"!B"&amp;ROW(B381))</f>
        <v/>
      </c>
      <c r="P400" s="101" t="str">
        <f t="array" ref="P400">INDIRECT("Update"&amp;Projections!$AH$17&amp;"!C"&amp;ROW(B381))</f>
        <v>Keita Bates-Diop</v>
      </c>
      <c r="Q400" s="94" t="str">
        <f>UpdateHashtag!F430</f>
        <v/>
      </c>
      <c r="R400" s="105" t="str">
        <f t="array" ref="R400">INDIRECT("Update"&amp;Projections!$AH$17&amp;"!D"&amp;ROW(B381))</f>
        <v>SF,PF</v>
      </c>
      <c r="S400" s="73">
        <f t="shared" si="14"/>
        <v>-7.690789223</v>
      </c>
      <c r="T400" s="73">
        <f>SUM(AE400:AM400)-IFERROR(IFS(Projections!$I$17,AN400,Projections!$J$17,AO400),"")</f>
        <v>-7.690789223</v>
      </c>
      <c r="U400" s="73">
        <f t="shared" si="15"/>
        <v>0</v>
      </c>
      <c r="V400" s="73">
        <f t="array" ref="V400">INDIRECT("Update"&amp;Projections!$AH$17&amp;"!M"&amp;ROW(B381))</f>
        <v>3.5</v>
      </c>
      <c r="W400" s="73">
        <f t="array" ref="W400">INDIRECT("Update"&amp;Projections!$AH$17&amp;"!L"&amp;ROW(B381))</f>
        <v>0.3</v>
      </c>
      <c r="X400" s="73">
        <f t="array" ref="X400">INDIRECT("Update"&amp;Projections!$AH$17&amp;"!N"&amp;ROW(B381))</f>
        <v>1.5</v>
      </c>
      <c r="Y400" s="73">
        <f t="array" ref="Y400">INDIRECT("Update"&amp;Projections!$AH$17&amp;"!O"&amp;ROW(B381))</f>
        <v>0.6</v>
      </c>
      <c r="Z400" s="73">
        <f t="array" ref="Z400">INDIRECT("Update"&amp;Projections!$AH$17&amp;"!P"&amp;ROW(B381))</f>
        <v>0.3</v>
      </c>
      <c r="AA400" s="73">
        <f t="array" ref="AA400">INDIRECT("Update"&amp;Projections!$AH$17&amp;"!Q"&amp;ROW(B381))</f>
        <v>0.2</v>
      </c>
      <c r="AB400" s="107">
        <f t="array" ref="AB400">INDIRECT("Update"&amp;Projections!$AH$17&amp;"!I"&amp;ROW(B381))</f>
        <v>0.487</v>
      </c>
      <c r="AC400" s="107">
        <f t="array" ref="AC400">INDIRECT("Update"&amp;Projections!$AH$17&amp;"!K"&amp;ROW(B381))</f>
        <v>0.778</v>
      </c>
      <c r="AD400" s="73">
        <f t="array" ref="AD400">INDIRECT("Update"&amp;Projections!$AH$17&amp;"!R"&amp;ROW(B381))</f>
        <v>0.3</v>
      </c>
      <c r="AE400" s="73">
        <f t="shared" si="16"/>
        <v>-2.523090552</v>
      </c>
      <c r="AF400" s="73">
        <f t="shared" si="17"/>
        <v>-1.442113684</v>
      </c>
      <c r="AG400" s="73">
        <f t="shared" si="18"/>
        <v>-1.792203539</v>
      </c>
      <c r="AH400" s="73">
        <f t="shared" si="19"/>
        <v>-1.519832037</v>
      </c>
      <c r="AI400" s="73">
        <f t="shared" si="20"/>
        <v>-2.244392479</v>
      </c>
      <c r="AJ400" s="73">
        <f t="shared" si="21"/>
        <v>-0.9723047469</v>
      </c>
      <c r="AK400" s="73">
        <f t="shared" si="22"/>
        <v>-0.03126681114</v>
      </c>
      <c r="AL400" s="73">
        <f t="shared" si="23"/>
        <v>-0.04791937826</v>
      </c>
      <c r="AM400" s="73">
        <f t="shared" si="24"/>
        <v>0.3592434526</v>
      </c>
      <c r="AN400" s="120">
        <f t="shared" si="25"/>
        <v>-2.523090552</v>
      </c>
      <c r="AO400" s="120">
        <f t="shared" si="26"/>
        <v>-4.767483032</v>
      </c>
      <c r="AP400" s="120">
        <f t="array" ref="AP400">INDIRECT("Update"&amp;Projections!$AH$17&amp;"!S"&amp;ROW(B381))</f>
        <v>2.7</v>
      </c>
      <c r="AQ400" s="120">
        <f t="array" ref="AQ400">INDIRECT("Update"&amp;Projections!$AH$17&amp;"!T"&amp;ROW(B381))</f>
        <v>0.8</v>
      </c>
      <c r="AR400" s="100">
        <f t="shared" si="27"/>
        <v>-7.651514508</v>
      </c>
    </row>
    <row r="401">
      <c r="A401" s="40" t="str">
        <f t="shared" si="3"/>
        <v>Vít Krejcí</v>
      </c>
      <c r="B401" s="42">
        <f t="shared" si="4"/>
        <v>-2.757932978</v>
      </c>
      <c r="C401" s="43">
        <f t="shared" si="5"/>
        <v>-1.342589385</v>
      </c>
      <c r="D401" s="42">
        <f t="shared" si="6"/>
        <v>-1.988335395</v>
      </c>
      <c r="E401" s="42">
        <f t="shared" si="7"/>
        <v>-1.428708496</v>
      </c>
      <c r="F401" s="42">
        <f t="shared" si="8"/>
        <v>-2.576325158</v>
      </c>
      <c r="G401" s="42">
        <f t="shared" si="9"/>
        <v>-1.150698449</v>
      </c>
      <c r="H401" s="42">
        <f t="shared" si="10"/>
        <v>-0.05881737038</v>
      </c>
      <c r="I401" s="42">
        <f>UpdateHashtag!S399</f>
        <v>1.8</v>
      </c>
      <c r="J401" s="47">
        <f t="shared" si="11"/>
        <v>0.001801198243</v>
      </c>
      <c r="K401" s="48">
        <f>UpdateHashtag!T399</f>
        <v>0.1</v>
      </c>
      <c r="L401" s="42">
        <f t="shared" si="12"/>
        <v>-1.43697381</v>
      </c>
      <c r="N401" s="100">
        <f t="shared" si="13"/>
        <v>371</v>
      </c>
      <c r="O401" s="94" t="str">
        <f t="array" ref="O401">INDIRECT("Update"&amp;Projections!$AH$17&amp;"!B"&amp;ROW(B382))</f>
        <v/>
      </c>
      <c r="P401" s="101" t="str">
        <f t="array" ref="P401">INDIRECT("Update"&amp;Projections!$AH$17&amp;"!C"&amp;ROW(B382))</f>
        <v>Johnny Juzang</v>
      </c>
      <c r="Q401" s="94" t="str">
        <f>UpdateHashtag!F431</f>
        <v/>
      </c>
      <c r="R401" s="105" t="str">
        <f t="array" ref="R401">INDIRECT("Update"&amp;Projections!$AH$17&amp;"!D"&amp;ROW(B382))</f>
        <v>SG,SF</v>
      </c>
      <c r="S401" s="73">
        <f t="shared" si="14"/>
        <v>-7.350115198</v>
      </c>
      <c r="T401" s="73">
        <f>SUM(AE401:AM401)-IFERROR(IFS(Projections!$I$17,AN401,Projections!$J$17,AO401),"")</f>
        <v>-7.350115198</v>
      </c>
      <c r="U401" s="73">
        <f t="shared" si="15"/>
        <v>0</v>
      </c>
      <c r="V401" s="73">
        <f t="array" ref="V401">INDIRECT("Update"&amp;Projections!$AH$17&amp;"!M"&amp;ROW(B382))</f>
        <v>5.8</v>
      </c>
      <c r="W401" s="73">
        <f t="array" ref="W401">INDIRECT("Update"&amp;Projections!$AH$17&amp;"!L"&amp;ROW(B382))</f>
        <v>1.2</v>
      </c>
      <c r="X401" s="73">
        <f t="array" ref="X401">INDIRECT("Update"&amp;Projections!$AH$17&amp;"!N"&amp;ROW(B382))</f>
        <v>1.9</v>
      </c>
      <c r="Y401" s="73">
        <f t="array" ref="Y401">INDIRECT("Update"&amp;Projections!$AH$17&amp;"!O"&amp;ROW(B382))</f>
        <v>0.8</v>
      </c>
      <c r="Z401" s="73">
        <f t="array" ref="Z401">INDIRECT("Update"&amp;Projections!$AH$17&amp;"!P"&amp;ROW(B382))</f>
        <v>0.2</v>
      </c>
      <c r="AA401" s="73">
        <f t="array" ref="AA401">INDIRECT("Update"&amp;Projections!$AH$17&amp;"!Q"&amp;ROW(B382))</f>
        <v>0.1</v>
      </c>
      <c r="AB401" s="107">
        <f t="array" ref="AB401">INDIRECT("Update"&amp;Projections!$AH$17&amp;"!I"&amp;ROW(B382))</f>
        <v>0.402</v>
      </c>
      <c r="AC401" s="107">
        <f t="array" ref="AC401">INDIRECT("Update"&amp;Projections!$AH$17&amp;"!K"&amp;ROW(B382))</f>
        <v>0.667</v>
      </c>
      <c r="AD401" s="73">
        <f t="array" ref="AD401">INDIRECT("Update"&amp;Projections!$AH$17&amp;"!R"&amp;ROW(B382))</f>
        <v>0.4</v>
      </c>
      <c r="AE401" s="73">
        <f t="shared" si="16"/>
        <v>-2.107600107</v>
      </c>
      <c r="AF401" s="73">
        <f t="shared" si="17"/>
        <v>-0.5463949927</v>
      </c>
      <c r="AG401" s="73">
        <f t="shared" si="18"/>
        <v>-1.635298055</v>
      </c>
      <c r="AH401" s="73">
        <f t="shared" si="19"/>
        <v>-1.428708496</v>
      </c>
      <c r="AI401" s="73">
        <f t="shared" si="20"/>
        <v>-2.576325158</v>
      </c>
      <c r="AJ401" s="73">
        <f t="shared" si="21"/>
        <v>-1.150698449</v>
      </c>
      <c r="AK401" s="73">
        <f t="shared" si="22"/>
        <v>-0.589362004</v>
      </c>
      <c r="AL401" s="73">
        <f t="shared" si="23"/>
        <v>-0.2264983338</v>
      </c>
      <c r="AM401" s="73">
        <f t="shared" si="24"/>
        <v>0.3344452391</v>
      </c>
      <c r="AN401" s="120">
        <f t="shared" si="25"/>
        <v>-2.576325158</v>
      </c>
      <c r="AO401" s="120">
        <f t="shared" si="26"/>
        <v>-4.683925265</v>
      </c>
      <c r="AP401" s="120">
        <f t="array" ref="AP401">INDIRECT("Update"&amp;Projections!$AH$17&amp;"!S"&amp;ROW(B382))</f>
        <v>5.3</v>
      </c>
      <c r="AQ401" s="120">
        <f t="array" ref="AQ401">INDIRECT("Update"&amp;Projections!$AH$17&amp;"!T"&amp;ROW(B382))</f>
        <v>0.5</v>
      </c>
      <c r="AR401" s="100">
        <f t="shared" si="27"/>
        <v>-7.6520397</v>
      </c>
    </row>
    <row r="402">
      <c r="A402" s="40" t="str">
        <f t="shared" si="3"/>
        <v>Anthony Gill</v>
      </c>
      <c r="B402" s="42">
        <f t="shared" si="4"/>
        <v>-2.59534976</v>
      </c>
      <c r="C402" s="43">
        <f t="shared" si="5"/>
        <v>-1.641162282</v>
      </c>
      <c r="D402" s="42">
        <f t="shared" si="6"/>
        <v>-1.752977168</v>
      </c>
      <c r="E402" s="42">
        <f t="shared" si="7"/>
        <v>-1.519832037</v>
      </c>
      <c r="F402" s="42">
        <f t="shared" si="8"/>
        <v>-2.576325158</v>
      </c>
      <c r="G402" s="42">
        <f t="shared" si="9"/>
        <v>-0.9723047469</v>
      </c>
      <c r="H402" s="42">
        <f t="shared" si="10"/>
        <v>0.008773707505</v>
      </c>
      <c r="I402" s="42">
        <f>UpdateHashtag!S400</f>
        <v>2.4</v>
      </c>
      <c r="J402" s="47">
        <f t="shared" si="11"/>
        <v>-0.09324953405</v>
      </c>
      <c r="K402" s="48">
        <f>UpdateHashtag!T400</f>
        <v>0.8</v>
      </c>
      <c r="L402" s="42">
        <f t="shared" si="12"/>
        <v>-1.43697381</v>
      </c>
      <c r="N402" s="100">
        <f t="shared" si="13"/>
        <v>373</v>
      </c>
      <c r="O402" s="94" t="str">
        <f t="array" ref="O402">INDIRECT("Update"&amp;Projections!$AH$17&amp;"!B"&amp;ROW(B383))</f>
        <v/>
      </c>
      <c r="P402" s="101" t="str">
        <f t="array" ref="P402">INDIRECT("Update"&amp;Projections!$AH$17&amp;"!C"&amp;ROW(B383))</f>
        <v>Nick Smith Jr.</v>
      </c>
      <c r="Q402" s="94" t="str">
        <f>UpdateHashtag!F432</f>
        <v/>
      </c>
      <c r="R402" s="105" t="str">
        <f t="array" ref="R402">INDIRECT("Update"&amp;Projections!$AH$17&amp;"!D"&amp;ROW(B383))</f>
        <v>PG,SG</v>
      </c>
      <c r="S402" s="73">
        <f t="shared" si="14"/>
        <v>-7.424982917</v>
      </c>
      <c r="T402" s="73">
        <f>SUM(AE402:AM402)-IFERROR(IFS(Projections!$I$17,AN402,Projections!$J$17,AO402),"")</f>
        <v>-7.424982917</v>
      </c>
      <c r="U402" s="73">
        <f t="shared" si="15"/>
        <v>0</v>
      </c>
      <c r="V402" s="73">
        <f t="array" ref="V402">INDIRECT("Update"&amp;Projections!$AH$17&amp;"!M"&amp;ROW(B383))</f>
        <v>5.5</v>
      </c>
      <c r="W402" s="73">
        <f t="array" ref="W402">INDIRECT("Update"&amp;Projections!$AH$17&amp;"!L"&amp;ROW(B383))</f>
        <v>1.1</v>
      </c>
      <c r="X402" s="73">
        <f t="array" ref="X402">INDIRECT("Update"&amp;Projections!$AH$17&amp;"!N"&amp;ROW(B383))</f>
        <v>1.3</v>
      </c>
      <c r="Y402" s="73">
        <f t="array" ref="Y402">INDIRECT("Update"&amp;Projections!$AH$17&amp;"!O"&amp;ROW(B383))</f>
        <v>1.1</v>
      </c>
      <c r="Z402" s="73">
        <f t="array" ref="Z402">INDIRECT("Update"&amp;Projections!$AH$17&amp;"!P"&amp;ROW(B383))</f>
        <v>0.2</v>
      </c>
      <c r="AA402" s="73">
        <f t="array" ref="AA402">INDIRECT("Update"&amp;Projections!$AH$17&amp;"!Q"&amp;ROW(B383))</f>
        <v>0.1</v>
      </c>
      <c r="AB402" s="107">
        <f t="array" ref="AB402">INDIRECT("Update"&amp;Projections!$AH$17&amp;"!I"&amp;ROW(B383))</f>
        <v>0.39</v>
      </c>
      <c r="AC402" s="107">
        <f t="array" ref="AC402">INDIRECT("Update"&amp;Projections!$AH$17&amp;"!K"&amp;ROW(B383))</f>
        <v>0.889</v>
      </c>
      <c r="AD402" s="73">
        <f t="array" ref="AD402">INDIRECT("Update"&amp;Projections!$AH$17&amp;"!R"&amp;ROW(B383))</f>
        <v>0.7</v>
      </c>
      <c r="AE402" s="73">
        <f t="shared" si="16"/>
        <v>-2.161794513</v>
      </c>
      <c r="AF402" s="73">
        <f t="shared" si="17"/>
        <v>-0.6459192917</v>
      </c>
      <c r="AG402" s="73">
        <f t="shared" si="18"/>
        <v>-1.870656281</v>
      </c>
      <c r="AH402" s="73">
        <f t="shared" si="19"/>
        <v>-1.292023185</v>
      </c>
      <c r="AI402" s="73">
        <f t="shared" si="20"/>
        <v>-2.576325158</v>
      </c>
      <c r="AJ402" s="73">
        <f t="shared" si="21"/>
        <v>-1.150698449</v>
      </c>
      <c r="AK402" s="73">
        <f t="shared" si="22"/>
        <v>-0.6639012622</v>
      </c>
      <c r="AL402" s="73">
        <f t="shared" si="23"/>
        <v>0.09995946657</v>
      </c>
      <c r="AM402" s="73">
        <f t="shared" si="24"/>
        <v>0.2600505987</v>
      </c>
      <c r="AN402" s="120">
        <f t="shared" si="25"/>
        <v>-2.576325158</v>
      </c>
      <c r="AO402" s="120">
        <f t="shared" si="26"/>
        <v>-4.738119671</v>
      </c>
      <c r="AP402" s="120">
        <f t="array" ref="AP402">INDIRECT("Update"&amp;Projections!$AH$17&amp;"!S"&amp;ROW(B383))</f>
        <v>5.3</v>
      </c>
      <c r="AQ402" s="120">
        <f t="array" ref="AQ402">INDIRECT("Update"&amp;Projections!$AH$17&amp;"!T"&amp;ROW(B383))</f>
        <v>0.3</v>
      </c>
      <c r="AR402" s="100">
        <f t="shared" si="27"/>
        <v>-7.659014068</v>
      </c>
    </row>
    <row r="403">
      <c r="A403" s="40" t="str">
        <f t="shared" si="3"/>
        <v>Jared McCain</v>
      </c>
      <c r="B403" s="42">
        <f t="shared" si="4"/>
        <v>-2.631479364</v>
      </c>
      <c r="C403" s="43">
        <f t="shared" si="5"/>
        <v>-1.243065086</v>
      </c>
      <c r="D403" s="42">
        <f t="shared" si="6"/>
        <v>-1.988335395</v>
      </c>
      <c r="E403" s="42">
        <f t="shared" si="7"/>
        <v>-1.610955578</v>
      </c>
      <c r="F403" s="42">
        <f t="shared" si="8"/>
        <v>-2.576325158</v>
      </c>
      <c r="G403" s="42">
        <f t="shared" si="9"/>
        <v>-1.329092151</v>
      </c>
      <c r="H403" s="42">
        <f t="shared" si="10"/>
        <v>-0.08584867888</v>
      </c>
      <c r="I403" s="42">
        <f>UpdateHashtag!S401</f>
        <v>2.1</v>
      </c>
      <c r="J403" s="47">
        <f t="shared" si="11"/>
        <v>0.1789940754</v>
      </c>
      <c r="K403" s="48">
        <f>UpdateHashtag!T401</f>
        <v>0.5</v>
      </c>
      <c r="L403" s="42">
        <f t="shared" si="12"/>
        <v>-1.43697381</v>
      </c>
      <c r="N403" s="100">
        <f t="shared" si="13"/>
        <v>394</v>
      </c>
      <c r="O403" s="94" t="str">
        <f t="array" ref="O403">INDIRECT("Update"&amp;Projections!$AH$17&amp;"!B"&amp;ROW(B384))</f>
        <v/>
      </c>
      <c r="P403" s="101" t="str">
        <f t="array" ref="P403">INDIRECT("Update"&amp;Projections!$AH$17&amp;"!C"&amp;ROW(B384))</f>
        <v>Vlatko Cancar</v>
      </c>
      <c r="Q403" s="94" t="str">
        <f>UpdateHashtag!F433</f>
        <v/>
      </c>
      <c r="R403" s="105" t="str">
        <f t="array" ref="R403">INDIRECT("Update"&amp;Projections!$AH$17&amp;"!D"&amp;ROW(B384))</f>
        <v>PF</v>
      </c>
      <c r="S403" s="73">
        <f t="shared" si="14"/>
        <v>-7.903709995</v>
      </c>
      <c r="T403" s="73">
        <f>SUM(AE403:AM403)-IFERROR(IFS(Projections!$I$17,AN403,Projections!$J$17,AO403),"")</f>
        <v>-7.903709995</v>
      </c>
      <c r="U403" s="73">
        <f t="shared" si="15"/>
        <v>0</v>
      </c>
      <c r="V403" s="73">
        <f t="array" ref="V403">INDIRECT("Update"&amp;Projections!$AH$17&amp;"!M"&amp;ROW(B384))</f>
        <v>3</v>
      </c>
      <c r="W403" s="73">
        <f t="array" ref="W403">INDIRECT("Update"&amp;Projections!$AH$17&amp;"!L"&amp;ROW(B384))</f>
        <v>0.4</v>
      </c>
      <c r="X403" s="73">
        <f t="array" ref="X403">INDIRECT("Update"&amp;Projections!$AH$17&amp;"!N"&amp;ROW(B384))</f>
        <v>1.3</v>
      </c>
      <c r="Y403" s="73">
        <f t="array" ref="Y403">INDIRECT("Update"&amp;Projections!$AH$17&amp;"!O"&amp;ROW(B384))</f>
        <v>0.8</v>
      </c>
      <c r="Z403" s="73">
        <f t="array" ref="Z403">INDIRECT("Update"&amp;Projections!$AH$17&amp;"!P"&amp;ROW(B384))</f>
        <v>0.2</v>
      </c>
      <c r="AA403" s="73">
        <f t="array" ref="AA403">INDIRECT("Update"&amp;Projections!$AH$17&amp;"!Q"&amp;ROW(B384))</f>
        <v>0.1</v>
      </c>
      <c r="AB403" s="107">
        <f t="array" ref="AB403">INDIRECT("Update"&amp;Projections!$AH$17&amp;"!I"&amp;ROW(B384))</f>
        <v>0.476</v>
      </c>
      <c r="AC403" s="107">
        <f t="array" ref="AC403">INDIRECT("Update"&amp;Projections!$AH$17&amp;"!K"&amp;ROW(B384))</f>
        <v>0.927</v>
      </c>
      <c r="AD403" s="73">
        <f t="array" ref="AD403">INDIRECT("Update"&amp;Projections!$AH$17&amp;"!R"&amp;ROW(B384))</f>
        <v>0.4</v>
      </c>
      <c r="AE403" s="73">
        <f t="shared" si="16"/>
        <v>-2.613414562</v>
      </c>
      <c r="AF403" s="73">
        <f t="shared" si="17"/>
        <v>-1.342589385</v>
      </c>
      <c r="AG403" s="73">
        <f t="shared" si="18"/>
        <v>-1.870656281</v>
      </c>
      <c r="AH403" s="73">
        <f t="shared" si="19"/>
        <v>-1.428708496</v>
      </c>
      <c r="AI403" s="73">
        <f t="shared" si="20"/>
        <v>-2.576325158</v>
      </c>
      <c r="AJ403" s="73">
        <f t="shared" si="21"/>
        <v>-1.150698449</v>
      </c>
      <c r="AK403" s="73">
        <f t="shared" si="22"/>
        <v>-0.0562863141</v>
      </c>
      <c r="AL403" s="73">
        <f t="shared" si="23"/>
        <v>0.1871088488</v>
      </c>
      <c r="AM403" s="73">
        <f t="shared" si="24"/>
        <v>0.3344452391</v>
      </c>
      <c r="AN403" s="120">
        <f t="shared" si="25"/>
        <v>-2.613414562</v>
      </c>
      <c r="AO403" s="120">
        <f t="shared" si="26"/>
        <v>-5.18973972</v>
      </c>
      <c r="AP403" s="120">
        <f t="array" ref="AP403">INDIRECT("Update"&amp;Projections!$AH$17&amp;"!S"&amp;ROW(B384))</f>
        <v>2.3</v>
      </c>
      <c r="AQ403" s="120">
        <f t="array" ref="AQ403">INDIRECT("Update"&amp;Projections!$AH$17&amp;"!T"&amp;ROW(B384))</f>
        <v>0.4</v>
      </c>
      <c r="AR403" s="100">
        <f t="shared" si="27"/>
        <v>-7.673246886</v>
      </c>
    </row>
    <row r="404">
      <c r="A404" t="str">
        <f t="shared" si="3"/>
        <v/>
      </c>
      <c r="B404" s="42">
        <f t="shared" si="4"/>
        <v>-3.155358621</v>
      </c>
      <c r="C404" s="43">
        <f t="shared" si="5"/>
        <v>-1.740686581</v>
      </c>
      <c r="D404" s="42">
        <f t="shared" si="6"/>
        <v>-2.380599106</v>
      </c>
      <c r="E404" s="42">
        <f t="shared" si="7"/>
        <v>-1.79320266</v>
      </c>
      <c r="F404" s="42">
        <f t="shared" si="8"/>
        <v>-3.240190514</v>
      </c>
      <c r="G404" s="42">
        <f t="shared" si="9"/>
        <v>-1.329092151</v>
      </c>
      <c r="H404" s="42">
        <f t="shared" si="10"/>
        <v>0</v>
      </c>
      <c r="I404" s="42" t="str">
        <f>UpdateHashtag!S402</f>
        <v/>
      </c>
      <c r="J404" s="47">
        <f t="shared" si="11"/>
        <v>0</v>
      </c>
      <c r="K404" s="48" t="str">
        <f>UpdateHashtag!T402</f>
        <v/>
      </c>
      <c r="L404" s="42">
        <f t="shared" si="12"/>
        <v>-1.734552372</v>
      </c>
      <c r="N404" s="100">
        <f t="shared" si="13"/>
        <v>388</v>
      </c>
      <c r="O404" s="94" t="str">
        <f t="array" ref="O404">INDIRECT("Update"&amp;Projections!$AH$17&amp;"!B"&amp;ROW(B385))</f>
        <v/>
      </c>
      <c r="P404" s="101" t="str">
        <f t="array" ref="P404">INDIRECT("Update"&amp;Projections!$AH$17&amp;"!C"&amp;ROW(B385))</f>
        <v>KJ Simpson</v>
      </c>
      <c r="Q404" s="94" t="str">
        <f>UpdateHashtag!F434</f>
        <v/>
      </c>
      <c r="R404" s="105" t="str">
        <f t="array" ref="R404">INDIRECT("Update"&amp;Projections!$AH$17&amp;"!D"&amp;ROW(B385))</f>
        <v>PG</v>
      </c>
      <c r="S404" s="73">
        <f t="shared" si="14"/>
        <v>-7.749473316</v>
      </c>
      <c r="T404" s="73">
        <f>SUM(AE404:AM404)-IFERROR(IFS(Projections!$I$17,AN404,Projections!$J$17,AO404),"")</f>
        <v>-7.749473316</v>
      </c>
      <c r="U404" s="73">
        <f t="shared" si="15"/>
        <v>0</v>
      </c>
      <c r="V404" s="73">
        <f t="array" ref="V404">INDIRECT("Update"&amp;Projections!$AH$17&amp;"!M"&amp;ROW(B385))</f>
        <v>3.5</v>
      </c>
      <c r="W404" s="73">
        <f t="array" ref="W404">INDIRECT("Update"&amp;Projections!$AH$17&amp;"!L"&amp;ROW(B385))</f>
        <v>0.4</v>
      </c>
      <c r="X404" s="73">
        <f t="array" ref="X404">INDIRECT("Update"&amp;Projections!$AH$17&amp;"!N"&amp;ROW(B385))</f>
        <v>1</v>
      </c>
      <c r="Y404" s="73">
        <f t="array" ref="Y404">INDIRECT("Update"&amp;Projections!$AH$17&amp;"!O"&amp;ROW(B385))</f>
        <v>0.9</v>
      </c>
      <c r="Z404" s="73">
        <f t="array" ref="Z404">INDIRECT("Update"&amp;Projections!$AH$17&amp;"!P"&amp;ROW(B385))</f>
        <v>0.3</v>
      </c>
      <c r="AA404" s="73">
        <f t="array" ref="AA404">INDIRECT("Update"&amp;Projections!$AH$17&amp;"!Q"&amp;ROW(B385))</f>
        <v>0</v>
      </c>
      <c r="AB404" s="107">
        <f t="array" ref="AB404">INDIRECT("Update"&amp;Projections!$AH$17&amp;"!I"&amp;ROW(B385))</f>
        <v>0.476</v>
      </c>
      <c r="AC404" s="107">
        <f t="array" ref="AC404">INDIRECT("Update"&amp;Projections!$AH$17&amp;"!K"&amp;ROW(B385))</f>
        <v>0.878</v>
      </c>
      <c r="AD404" s="73">
        <f t="array" ref="AD404">INDIRECT("Update"&amp;Projections!$AH$17&amp;"!R"&amp;ROW(B385))</f>
        <v>0.4</v>
      </c>
      <c r="AE404" s="73">
        <f t="shared" si="16"/>
        <v>-2.523090552</v>
      </c>
      <c r="AF404" s="73">
        <f t="shared" si="17"/>
        <v>-1.342589385</v>
      </c>
      <c r="AG404" s="73">
        <f t="shared" si="18"/>
        <v>-1.988335395</v>
      </c>
      <c r="AH404" s="73">
        <f t="shared" si="19"/>
        <v>-1.383146726</v>
      </c>
      <c r="AI404" s="73">
        <f t="shared" si="20"/>
        <v>-2.244392479</v>
      </c>
      <c r="AJ404" s="73">
        <f t="shared" si="21"/>
        <v>-1.329092151</v>
      </c>
      <c r="AK404" s="73">
        <f t="shared" si="22"/>
        <v>-0.06118077619</v>
      </c>
      <c r="AL404" s="73">
        <f t="shared" si="23"/>
        <v>0.2648183573</v>
      </c>
      <c r="AM404" s="73">
        <f t="shared" si="24"/>
        <v>0.3344452391</v>
      </c>
      <c r="AN404" s="120">
        <f t="shared" si="25"/>
        <v>-2.523090552</v>
      </c>
      <c r="AO404" s="120">
        <f t="shared" si="26"/>
        <v>-4.767483032</v>
      </c>
      <c r="AP404" s="120">
        <f t="array" ref="AP404">INDIRECT("Update"&amp;Projections!$AH$17&amp;"!S"&amp;ROW(B385))</f>
        <v>2.5</v>
      </c>
      <c r="AQ404" s="120">
        <f t="array" ref="AQ404">INDIRECT("Update"&amp;Projections!$AH$17&amp;"!T"&amp;ROW(B385))</f>
        <v>0.9</v>
      </c>
      <c r="AR404" s="100">
        <f t="shared" si="27"/>
        <v>-7.687408647</v>
      </c>
    </row>
    <row r="405">
      <c r="A405" t="str">
        <f t="shared" si="3"/>
        <v/>
      </c>
      <c r="B405" s="42">
        <f t="shared" si="4"/>
        <v>-3.155358621</v>
      </c>
      <c r="C405" s="43">
        <f t="shared" si="5"/>
        <v>-1.740686581</v>
      </c>
      <c r="D405" s="42">
        <f t="shared" si="6"/>
        <v>-2.380599106</v>
      </c>
      <c r="E405" s="42">
        <f t="shared" si="7"/>
        <v>-1.79320266</v>
      </c>
      <c r="F405" s="42">
        <f t="shared" si="8"/>
        <v>-3.240190514</v>
      </c>
      <c r="G405" s="42">
        <f t="shared" si="9"/>
        <v>-1.329092151</v>
      </c>
      <c r="H405" s="42">
        <f t="shared" si="10"/>
        <v>0</v>
      </c>
      <c r="I405" s="42" t="str">
        <f>UpdateHashtag!S403</f>
        <v/>
      </c>
      <c r="J405" s="47">
        <f t="shared" si="11"/>
        <v>0</v>
      </c>
      <c r="K405" s="48" t="str">
        <f>UpdateHashtag!T403</f>
        <v/>
      </c>
      <c r="L405" s="42">
        <f t="shared" si="12"/>
        <v>-1.734552372</v>
      </c>
      <c r="N405" s="100">
        <f t="shared" si="13"/>
        <v>395</v>
      </c>
      <c r="O405" s="94" t="str">
        <f t="array" ref="O405">INDIRECT("Update"&amp;Projections!$AH$17&amp;"!B"&amp;ROW(B386))</f>
        <v/>
      </c>
      <c r="P405" s="101" t="str">
        <f t="array" ref="P405">INDIRECT("Update"&amp;Projections!$AH$17&amp;"!C"&amp;ROW(B386))</f>
        <v>DaRon Holmes II</v>
      </c>
      <c r="Q405" s="94" t="str">
        <f>UpdateHashtag!F435</f>
        <v/>
      </c>
      <c r="R405" s="105" t="str">
        <f t="array" ref="R405">INDIRECT("Update"&amp;Projections!$AH$17&amp;"!D"&amp;ROW(B386))</f>
        <v>PF</v>
      </c>
      <c r="S405" s="73">
        <f t="shared" si="14"/>
        <v>-7.904465018</v>
      </c>
      <c r="T405" s="73">
        <f>SUM(AE405:AM405)-IFERROR(IFS(Projections!$I$17,AN405,Projections!$J$17,AO405),"")</f>
        <v>-7.904465018</v>
      </c>
      <c r="U405" s="73">
        <f t="shared" si="15"/>
        <v>0</v>
      </c>
      <c r="V405" s="73">
        <f t="array" ref="V405">INDIRECT("Update"&amp;Projections!$AH$17&amp;"!M"&amp;ROW(B386))</f>
        <v>4.2</v>
      </c>
      <c r="W405" s="73">
        <f t="array" ref="W405">INDIRECT("Update"&amp;Projections!$AH$17&amp;"!L"&amp;ROW(B386))</f>
        <v>0.2</v>
      </c>
      <c r="X405" s="73">
        <f t="array" ref="X405">INDIRECT("Update"&amp;Projections!$AH$17&amp;"!N"&amp;ROW(B386))</f>
        <v>1.7</v>
      </c>
      <c r="Y405" s="73">
        <f t="array" ref="Y405">INDIRECT("Update"&amp;Projections!$AH$17&amp;"!O"&amp;ROW(B386))</f>
        <v>0.5</v>
      </c>
      <c r="Z405" s="73">
        <f t="array" ref="Z405">INDIRECT("Update"&amp;Projections!$AH$17&amp;"!P"&amp;ROW(B386))</f>
        <v>0.2</v>
      </c>
      <c r="AA405" s="73">
        <f t="array" ref="AA405">INDIRECT("Update"&amp;Projections!$AH$17&amp;"!Q"&amp;ROW(B386))</f>
        <v>0.4</v>
      </c>
      <c r="AB405" s="107">
        <f t="array" ref="AB405">INDIRECT("Update"&amp;Projections!$AH$17&amp;"!I"&amp;ROW(B386))</f>
        <v>0.545</v>
      </c>
      <c r="AC405" s="107">
        <f t="array" ref="AC405">INDIRECT("Update"&amp;Projections!$AH$17&amp;"!K"&amp;ROW(B386))</f>
        <v>0.713</v>
      </c>
      <c r="AD405" s="73">
        <f t="array" ref="AD405">INDIRECT("Update"&amp;Projections!$AH$17&amp;"!R"&amp;ROW(B386))</f>
        <v>0.5</v>
      </c>
      <c r="AE405" s="73">
        <f t="shared" si="16"/>
        <v>-2.396636939</v>
      </c>
      <c r="AF405" s="73">
        <f t="shared" si="17"/>
        <v>-1.541637983</v>
      </c>
      <c r="AG405" s="73">
        <f t="shared" si="18"/>
        <v>-1.713750797</v>
      </c>
      <c r="AH405" s="73">
        <f t="shared" si="19"/>
        <v>-1.565393808</v>
      </c>
      <c r="AI405" s="73">
        <f t="shared" si="20"/>
        <v>-2.576325158</v>
      </c>
      <c r="AJ405" s="73">
        <f t="shared" si="21"/>
        <v>-0.6155173428</v>
      </c>
      <c r="AK405" s="73">
        <f t="shared" si="22"/>
        <v>0.1409893815</v>
      </c>
      <c r="AL405" s="73">
        <f t="shared" si="23"/>
        <v>-0.5221645564</v>
      </c>
      <c r="AM405" s="73">
        <f t="shared" si="24"/>
        <v>0.3096470256</v>
      </c>
      <c r="AN405" s="120">
        <f t="shared" si="25"/>
        <v>-2.576325158</v>
      </c>
      <c r="AO405" s="120">
        <f t="shared" si="26"/>
        <v>-4.972962096</v>
      </c>
      <c r="AP405" s="120">
        <f t="array" ref="AP405">INDIRECT("Update"&amp;Projections!$AH$17&amp;"!S"&amp;ROW(B386))</f>
        <v>2.5</v>
      </c>
      <c r="AQ405" s="120">
        <f t="array" ref="AQ405">INDIRECT("Update"&amp;Projections!$AH$17&amp;"!T"&amp;ROW(B386))</f>
        <v>1.8</v>
      </c>
      <c r="AR405" s="100">
        <f t="shared" si="27"/>
        <v>-7.690789223</v>
      </c>
    </row>
    <row r="406">
      <c r="A406" t="str">
        <f t="shared" si="3"/>
        <v/>
      </c>
      <c r="B406" s="42">
        <f t="shared" si="4"/>
        <v>-3.155358621</v>
      </c>
      <c r="C406" s="43">
        <f t="shared" si="5"/>
        <v>-1.740686581</v>
      </c>
      <c r="D406" s="42">
        <f t="shared" si="6"/>
        <v>-2.380599106</v>
      </c>
      <c r="E406" s="42">
        <f t="shared" si="7"/>
        <v>-1.79320266</v>
      </c>
      <c r="F406" s="42">
        <f t="shared" si="8"/>
        <v>-3.240190514</v>
      </c>
      <c r="G406" s="42">
        <f t="shared" si="9"/>
        <v>-1.329092151</v>
      </c>
      <c r="H406" s="42">
        <f t="shared" si="10"/>
        <v>0</v>
      </c>
      <c r="I406" s="42" t="str">
        <f>UpdateHashtag!S404</f>
        <v/>
      </c>
      <c r="J406" s="47">
        <f t="shared" si="11"/>
        <v>0</v>
      </c>
      <c r="K406" s="48" t="str">
        <f>UpdateHashtag!T404</f>
        <v/>
      </c>
      <c r="L406" s="42">
        <f t="shared" si="12"/>
        <v>-1.734552372</v>
      </c>
      <c r="N406" s="100">
        <f t="shared" si="13"/>
        <v>389</v>
      </c>
      <c r="O406" s="94" t="str">
        <f t="array" ref="O406">INDIRECT("Update"&amp;Projections!$AH$17&amp;"!B"&amp;ROW(B387))</f>
        <v/>
      </c>
      <c r="P406" s="101" t="str">
        <f t="array" ref="P406">INDIRECT("Update"&amp;Projections!$AH$17&amp;"!C"&amp;ROW(B387))</f>
        <v>Jeff Green</v>
      </c>
      <c r="Q406" s="94" t="str">
        <f>UpdateHashtag!F436</f>
        <v/>
      </c>
      <c r="R406" s="105" t="str">
        <f t="array" ref="R406">INDIRECT("Update"&amp;Projections!$AH$17&amp;"!D"&amp;ROW(B387))</f>
        <v>PF,C</v>
      </c>
      <c r="S406" s="73">
        <f t="shared" si="14"/>
        <v>-7.753519329</v>
      </c>
      <c r="T406" s="73">
        <f>SUM(AE406:AM406)-IFERROR(IFS(Projections!$I$17,AN406,Projections!$J$17,AO406),"")</f>
        <v>-7.753519329</v>
      </c>
      <c r="U406" s="73">
        <f t="shared" si="15"/>
        <v>0</v>
      </c>
      <c r="V406" s="73">
        <f t="array" ref="V406">INDIRECT("Update"&amp;Projections!$AH$17&amp;"!M"&amp;ROW(B387))</f>
        <v>4.5</v>
      </c>
      <c r="W406" s="73">
        <f t="array" ref="W406">INDIRECT("Update"&amp;Projections!$AH$17&amp;"!L"&amp;ROW(B387))</f>
        <v>0.4</v>
      </c>
      <c r="X406" s="73">
        <f t="array" ref="X406">INDIRECT("Update"&amp;Projections!$AH$17&amp;"!N"&amp;ROW(B387))</f>
        <v>1.5</v>
      </c>
      <c r="Y406" s="73">
        <f t="array" ref="Y406">INDIRECT("Update"&amp;Projections!$AH$17&amp;"!O"&amp;ROW(B387))</f>
        <v>0.7</v>
      </c>
      <c r="Z406" s="73">
        <f t="array" ref="Z406">INDIRECT("Update"&amp;Projections!$AH$17&amp;"!P"&amp;ROW(B387))</f>
        <v>0.2</v>
      </c>
      <c r="AA406" s="73">
        <f t="array" ref="AA406">INDIRECT("Update"&amp;Projections!$AH$17&amp;"!Q"&amp;ROW(B387))</f>
        <v>0.2</v>
      </c>
      <c r="AB406" s="107">
        <f t="array" ref="AB406">INDIRECT("Update"&amp;Projections!$AH$17&amp;"!I"&amp;ROW(B387))</f>
        <v>0.471</v>
      </c>
      <c r="AC406" s="107">
        <f t="array" ref="AC406">INDIRECT("Update"&amp;Projections!$AH$17&amp;"!K"&amp;ROW(B387))</f>
        <v>0.781</v>
      </c>
      <c r="AD406" s="73">
        <f t="array" ref="AD406">INDIRECT("Update"&amp;Projections!$AH$17&amp;"!R"&amp;ROW(B387))</f>
        <v>0.4</v>
      </c>
      <c r="AE406" s="73">
        <f t="shared" si="16"/>
        <v>-2.342442533</v>
      </c>
      <c r="AF406" s="73">
        <f t="shared" si="17"/>
        <v>-1.342589385</v>
      </c>
      <c r="AG406" s="73">
        <f t="shared" si="18"/>
        <v>-1.792203539</v>
      </c>
      <c r="AH406" s="73">
        <f t="shared" si="19"/>
        <v>-1.474270267</v>
      </c>
      <c r="AI406" s="73">
        <f t="shared" si="20"/>
        <v>-2.576325158</v>
      </c>
      <c r="AJ406" s="73">
        <f t="shared" si="21"/>
        <v>-0.9723047469</v>
      </c>
      <c r="AK406" s="73">
        <f t="shared" si="22"/>
        <v>-0.1000966397</v>
      </c>
      <c r="AL406" s="73">
        <f t="shared" si="23"/>
        <v>-0.06405745784</v>
      </c>
      <c r="AM406" s="73">
        <f t="shared" si="24"/>
        <v>0.3344452391</v>
      </c>
      <c r="AN406" s="120">
        <f t="shared" si="25"/>
        <v>-2.576325158</v>
      </c>
      <c r="AO406" s="120">
        <f t="shared" si="26"/>
        <v>-4.91876769</v>
      </c>
      <c r="AP406" s="120">
        <f t="array" ref="AP406">INDIRECT("Update"&amp;Projections!$AH$17&amp;"!S"&amp;ROW(B387))</f>
        <v>3.3</v>
      </c>
      <c r="AQ406" s="120">
        <f t="array" ref="AQ406">INDIRECT("Update"&amp;Projections!$AH$17&amp;"!T"&amp;ROW(B387))</f>
        <v>1.3</v>
      </c>
      <c r="AR406" s="100">
        <f t="shared" si="27"/>
        <v>-7.713035387</v>
      </c>
    </row>
    <row r="407">
      <c r="A407" t="str">
        <f t="shared" si="3"/>
        <v/>
      </c>
      <c r="B407" s="42">
        <f t="shared" si="4"/>
        <v>-3.155358621</v>
      </c>
      <c r="C407" s="43">
        <f t="shared" si="5"/>
        <v>-1.740686581</v>
      </c>
      <c r="D407" s="42">
        <f t="shared" si="6"/>
        <v>-2.380599106</v>
      </c>
      <c r="E407" s="42">
        <f t="shared" si="7"/>
        <v>-1.79320266</v>
      </c>
      <c r="F407" s="42">
        <f t="shared" si="8"/>
        <v>-3.240190514</v>
      </c>
      <c r="G407" s="42">
        <f t="shared" si="9"/>
        <v>-1.329092151</v>
      </c>
      <c r="H407" s="42">
        <f t="shared" si="10"/>
        <v>0</v>
      </c>
      <c r="I407" s="42" t="str">
        <f>UpdateHashtag!S405</f>
        <v/>
      </c>
      <c r="J407" s="47">
        <f t="shared" si="11"/>
        <v>0</v>
      </c>
      <c r="K407" s="48" t="str">
        <f>UpdateHashtag!T405</f>
        <v/>
      </c>
      <c r="L407" s="42">
        <f t="shared" si="12"/>
        <v>-1.734552372</v>
      </c>
      <c r="N407" s="100">
        <f t="shared" si="13"/>
        <v>380</v>
      </c>
      <c r="O407" s="94" t="str">
        <f t="array" ref="O407">INDIRECT("Update"&amp;Projections!$AH$17&amp;"!B"&amp;ROW(B388))</f>
        <v/>
      </c>
      <c r="P407" s="101" t="str">
        <f t="array" ref="P407">INDIRECT("Update"&amp;Projections!$AH$17&amp;"!C"&amp;ROW(B388))</f>
        <v>Caleb Houstan</v>
      </c>
      <c r="Q407" s="94" t="str">
        <f>UpdateHashtag!F437</f>
        <v/>
      </c>
      <c r="R407" s="105" t="str">
        <f t="array" ref="R407">INDIRECT("Update"&amp;Projections!$AH$17&amp;"!D"&amp;ROW(B388))</f>
        <v>SG,SF</v>
      </c>
      <c r="S407" s="73">
        <f t="shared" si="14"/>
        <v>-7.651514508</v>
      </c>
      <c r="T407" s="73">
        <f>SUM(AE407:AM407)-IFERROR(IFS(Projections!$I$17,AN407,Projections!$J$17,AO407),"")</f>
        <v>-7.651514508</v>
      </c>
      <c r="U407" s="73">
        <f t="shared" si="15"/>
        <v>0</v>
      </c>
      <c r="V407" s="73">
        <f t="array" ref="V407">INDIRECT("Update"&amp;Projections!$AH$17&amp;"!M"&amp;ROW(B388))</f>
        <v>4</v>
      </c>
      <c r="W407" s="73">
        <f t="array" ref="W407">INDIRECT("Update"&amp;Projections!$AH$17&amp;"!L"&amp;ROW(B388))</f>
        <v>1.1</v>
      </c>
      <c r="X407" s="73">
        <f t="array" ref="X407">INDIRECT("Update"&amp;Projections!$AH$17&amp;"!N"&amp;ROW(B388))</f>
        <v>1.6</v>
      </c>
      <c r="Y407" s="73">
        <f t="array" ref="Y407">INDIRECT("Update"&amp;Projections!$AH$17&amp;"!O"&amp;ROW(B388))</f>
        <v>0.5</v>
      </c>
      <c r="Z407" s="73">
        <f t="array" ref="Z407">INDIRECT("Update"&amp;Projections!$AH$17&amp;"!P"&amp;ROW(B388))</f>
        <v>0.2</v>
      </c>
      <c r="AA407" s="73">
        <f t="array" ref="AA407">INDIRECT("Update"&amp;Projections!$AH$17&amp;"!Q"&amp;ROW(B388))</f>
        <v>0.1</v>
      </c>
      <c r="AB407" s="107">
        <f t="array" ref="AB407">INDIRECT("Update"&amp;Projections!$AH$17&amp;"!I"&amp;ROW(B388))</f>
        <v>0.375</v>
      </c>
      <c r="AC407" s="107">
        <f t="array" ref="AC407">INDIRECT("Update"&amp;Projections!$AH$17&amp;"!K"&amp;ROW(B388))</f>
        <v>0.821</v>
      </c>
      <c r="AD407" s="73">
        <f t="array" ref="AD407">INDIRECT("Update"&amp;Projections!$AH$17&amp;"!R"&amp;ROW(B388))</f>
        <v>0.3</v>
      </c>
      <c r="AE407" s="73">
        <f t="shared" si="16"/>
        <v>-2.432766543</v>
      </c>
      <c r="AF407" s="73">
        <f t="shared" si="17"/>
        <v>-0.6459192917</v>
      </c>
      <c r="AG407" s="73">
        <f t="shared" si="18"/>
        <v>-1.752977168</v>
      </c>
      <c r="AH407" s="73">
        <f t="shared" si="19"/>
        <v>-1.565393808</v>
      </c>
      <c r="AI407" s="73">
        <f t="shared" si="20"/>
        <v>-2.576325158</v>
      </c>
      <c r="AJ407" s="73">
        <f t="shared" si="21"/>
        <v>-1.150698449</v>
      </c>
      <c r="AK407" s="73">
        <f t="shared" si="22"/>
        <v>-0.4999554098</v>
      </c>
      <c r="AL407" s="73">
        <f t="shared" si="23"/>
        <v>0.03695270771</v>
      </c>
      <c r="AM407" s="73">
        <f t="shared" si="24"/>
        <v>0.3592434526</v>
      </c>
      <c r="AN407" s="120">
        <f t="shared" si="25"/>
        <v>-2.576325158</v>
      </c>
      <c r="AO407" s="120">
        <f t="shared" si="26"/>
        <v>-5.0090917</v>
      </c>
      <c r="AP407" s="120">
        <f t="array" ref="AP407">INDIRECT("Update"&amp;Projections!$AH$17&amp;"!S"&amp;ROW(B388))</f>
        <v>3.5</v>
      </c>
      <c r="AQ407" s="120">
        <f t="array" ref="AQ407">INDIRECT("Update"&amp;Projections!$AH$17&amp;"!T"&amp;ROW(B388))</f>
        <v>0.4</v>
      </c>
      <c r="AR407" s="100">
        <f t="shared" si="27"/>
        <v>-7.739412903</v>
      </c>
    </row>
    <row r="408">
      <c r="A408" t="str">
        <f t="shared" si="3"/>
        <v/>
      </c>
      <c r="B408" s="42">
        <f t="shared" si="4"/>
        <v>-3.155358621</v>
      </c>
      <c r="C408" s="43">
        <f t="shared" si="5"/>
        <v>-1.740686581</v>
      </c>
      <c r="D408" s="42">
        <f t="shared" si="6"/>
        <v>-2.380599106</v>
      </c>
      <c r="E408" s="42">
        <f t="shared" si="7"/>
        <v>-1.79320266</v>
      </c>
      <c r="F408" s="42">
        <f t="shared" si="8"/>
        <v>-3.240190514</v>
      </c>
      <c r="G408" s="42">
        <f t="shared" si="9"/>
        <v>-1.329092151</v>
      </c>
      <c r="H408" s="42">
        <f t="shared" si="10"/>
        <v>0</v>
      </c>
      <c r="I408" s="42" t="str">
        <f>UpdateHashtag!S406</f>
        <v/>
      </c>
      <c r="J408" s="47">
        <f t="shared" si="11"/>
        <v>0</v>
      </c>
      <c r="K408" s="48" t="str">
        <f>UpdateHashtag!T406</f>
        <v/>
      </c>
      <c r="L408" s="42">
        <f t="shared" si="12"/>
        <v>-1.734552372</v>
      </c>
      <c r="N408" s="100">
        <f t="shared" si="13"/>
        <v>392</v>
      </c>
      <c r="O408" s="94" t="str">
        <f t="array" ref="O408">INDIRECT("Update"&amp;Projections!$AH$17&amp;"!B"&amp;ROW(B389))</f>
        <v/>
      </c>
      <c r="P408" s="101" t="str">
        <f t="array" ref="P408">INDIRECT("Update"&amp;Projections!$AH$17&amp;"!C"&amp;ROW(B389))</f>
        <v>Nassir Little</v>
      </c>
      <c r="Q408" s="94" t="str">
        <f>UpdateHashtag!F438</f>
        <v/>
      </c>
      <c r="R408" s="105" t="str">
        <f t="array" ref="R408">INDIRECT("Update"&amp;Projections!$AH$17&amp;"!D"&amp;ROW(B389))</f>
        <v>SF,PF</v>
      </c>
      <c r="S408" s="73">
        <f t="shared" si="14"/>
        <v>-7.822790588</v>
      </c>
      <c r="T408" s="73">
        <f>SUM(AE408:AM408)-IFERROR(IFS(Projections!$I$17,AN408,Projections!$J$17,AO408),"")</f>
        <v>-7.822790588</v>
      </c>
      <c r="U408" s="73">
        <f t="shared" si="15"/>
        <v>0</v>
      </c>
      <c r="V408" s="73">
        <f t="array" ref="V408">INDIRECT("Update"&amp;Projections!$AH$17&amp;"!M"&amp;ROW(B389))</f>
        <v>3.7</v>
      </c>
      <c r="W408" s="73">
        <f t="array" ref="W408">INDIRECT("Update"&amp;Projections!$AH$17&amp;"!L"&amp;ROW(B389))</f>
        <v>0.6</v>
      </c>
      <c r="X408" s="73">
        <f t="array" ref="X408">INDIRECT("Update"&amp;Projections!$AH$17&amp;"!N"&amp;ROW(B389))</f>
        <v>1.6</v>
      </c>
      <c r="Y408" s="73">
        <f t="array" ref="Y408">INDIRECT("Update"&amp;Projections!$AH$17&amp;"!O"&amp;ROW(B389))</f>
        <v>0.5</v>
      </c>
      <c r="Z408" s="73">
        <f t="array" ref="Z408">INDIRECT("Update"&amp;Projections!$AH$17&amp;"!P"&amp;ROW(B389))</f>
        <v>0.2</v>
      </c>
      <c r="AA408" s="73">
        <f t="array" ref="AA408">INDIRECT("Update"&amp;Projections!$AH$17&amp;"!Q"&amp;ROW(B389))</f>
        <v>0.2</v>
      </c>
      <c r="AB408" s="107">
        <f t="array" ref="AB408">INDIRECT("Update"&amp;Projections!$AH$17&amp;"!I"&amp;ROW(B389))</f>
        <v>0.446</v>
      </c>
      <c r="AC408" s="107">
        <f t="array" ref="AC408">INDIRECT("Update"&amp;Projections!$AH$17&amp;"!K"&amp;ROW(B389))</f>
        <v>0.766</v>
      </c>
      <c r="AD408" s="73">
        <f t="array" ref="AD408">INDIRECT("Update"&amp;Projections!$AH$17&amp;"!R"&amp;ROW(B389))</f>
        <v>0.4</v>
      </c>
      <c r="AE408" s="73">
        <f t="shared" si="16"/>
        <v>-2.486960948</v>
      </c>
      <c r="AF408" s="73">
        <f t="shared" si="17"/>
        <v>-1.143540787</v>
      </c>
      <c r="AG408" s="73">
        <f t="shared" si="18"/>
        <v>-1.752977168</v>
      </c>
      <c r="AH408" s="73">
        <f t="shared" si="19"/>
        <v>-1.565393808</v>
      </c>
      <c r="AI408" s="73">
        <f t="shared" si="20"/>
        <v>-2.576325158</v>
      </c>
      <c r="AJ408" s="73">
        <f t="shared" si="21"/>
        <v>-0.9723047469</v>
      </c>
      <c r="AK408" s="73">
        <f t="shared" si="22"/>
        <v>-0.1848602475</v>
      </c>
      <c r="AL408" s="73">
        <f t="shared" si="23"/>
        <v>-0.05119812194</v>
      </c>
      <c r="AM408" s="73">
        <f t="shared" si="24"/>
        <v>0.3344452391</v>
      </c>
      <c r="AN408" s="120">
        <f t="shared" si="25"/>
        <v>-2.576325158</v>
      </c>
      <c r="AO408" s="120">
        <f t="shared" si="26"/>
        <v>-5.063286106</v>
      </c>
      <c r="AP408" s="120">
        <f t="array" ref="AP408">INDIRECT("Update"&amp;Projections!$AH$17&amp;"!S"&amp;ROW(B389))</f>
        <v>3.1</v>
      </c>
      <c r="AQ408" s="120">
        <f t="array" ref="AQ408">INDIRECT("Update"&amp;Projections!$AH$17&amp;"!T"&amp;ROW(B389))</f>
        <v>0.5</v>
      </c>
      <c r="AR408" s="100">
        <f t="shared" si="27"/>
        <v>-7.749473316</v>
      </c>
    </row>
    <row r="409">
      <c r="A409" t="str">
        <f t="shared" si="3"/>
        <v/>
      </c>
      <c r="B409" s="42">
        <f t="shared" si="4"/>
        <v>-3.155358621</v>
      </c>
      <c r="C409" s="43">
        <f t="shared" si="5"/>
        <v>-1.740686581</v>
      </c>
      <c r="D409" s="42">
        <f t="shared" si="6"/>
        <v>-2.380599106</v>
      </c>
      <c r="E409" s="42">
        <f t="shared" si="7"/>
        <v>-1.79320266</v>
      </c>
      <c r="F409" s="42">
        <f t="shared" si="8"/>
        <v>-3.240190514</v>
      </c>
      <c r="G409" s="42">
        <f t="shared" si="9"/>
        <v>-1.329092151</v>
      </c>
      <c r="H409" s="42">
        <f t="shared" si="10"/>
        <v>0</v>
      </c>
      <c r="I409" s="42" t="str">
        <f>UpdateHashtag!S407</f>
        <v/>
      </c>
      <c r="J409" s="47">
        <f t="shared" si="11"/>
        <v>0</v>
      </c>
      <c r="K409" s="48" t="str">
        <f>UpdateHashtag!T407</f>
        <v/>
      </c>
      <c r="L409" s="42">
        <f t="shared" si="12"/>
        <v>-1.734552372</v>
      </c>
      <c r="N409" s="100">
        <f t="shared" si="13"/>
        <v>390</v>
      </c>
      <c r="O409" s="94" t="str">
        <f t="array" ref="O409">INDIRECT("Update"&amp;Projections!$AH$17&amp;"!B"&amp;ROW(B390))</f>
        <v/>
      </c>
      <c r="P409" s="101" t="str">
        <f t="array" ref="P409">INDIRECT("Update"&amp;Projections!$AH$17&amp;"!C"&amp;ROW(B390))</f>
        <v>Ariel Hukporti</v>
      </c>
      <c r="Q409" s="94" t="str">
        <f>UpdateHashtag!F439</f>
        <v/>
      </c>
      <c r="R409" s="105" t="str">
        <f t="array" ref="R409">INDIRECT("Update"&amp;Projections!$AH$17&amp;"!D"&amp;ROW(B390))</f>
        <v>C</v>
      </c>
      <c r="S409" s="73">
        <f t="shared" si="14"/>
        <v>-7.782541381</v>
      </c>
      <c r="T409" s="73">
        <f>SUM(AE409:AM409)-IFERROR(IFS(Projections!$I$17,AN409,Projections!$J$17,AO409),"")</f>
        <v>-7.782541381</v>
      </c>
      <c r="U409" s="73">
        <f t="shared" si="15"/>
        <v>0</v>
      </c>
      <c r="V409" s="73">
        <f t="array" ref="V409">INDIRECT("Update"&amp;Projections!$AH$17&amp;"!M"&amp;ROW(B390))</f>
        <v>3</v>
      </c>
      <c r="W409" s="73">
        <f t="array" ref="W409">INDIRECT("Update"&amp;Projections!$AH$17&amp;"!L"&amp;ROW(B390))</f>
        <v>0</v>
      </c>
      <c r="X409" s="73">
        <f t="array" ref="X409">INDIRECT("Update"&amp;Projections!$AH$17&amp;"!N"&amp;ROW(B390))</f>
        <v>2.6</v>
      </c>
      <c r="Y409" s="73">
        <f t="array" ref="Y409">INDIRECT("Update"&amp;Projections!$AH$17&amp;"!O"&amp;ROW(B390))</f>
        <v>0.3</v>
      </c>
      <c r="Z409" s="73">
        <f t="array" ref="Z409">INDIRECT("Update"&amp;Projections!$AH$17&amp;"!P"&amp;ROW(B390))</f>
        <v>0.2</v>
      </c>
      <c r="AA409" s="73">
        <f t="array" ref="AA409">INDIRECT("Update"&amp;Projections!$AH$17&amp;"!Q"&amp;ROW(B390))</f>
        <v>0.6</v>
      </c>
      <c r="AB409" s="107">
        <f t="array" ref="AB409">INDIRECT("Update"&amp;Projections!$AH$17&amp;"!I"&amp;ROW(B390))</f>
        <v>0.563</v>
      </c>
      <c r="AC409" s="107">
        <f t="array" ref="AC409">INDIRECT("Update"&amp;Projections!$AH$17&amp;"!K"&amp;ROW(B390))</f>
        <v>0.615</v>
      </c>
      <c r="AD409" s="73">
        <f t="array" ref="AD409">INDIRECT("Update"&amp;Projections!$AH$17&amp;"!R"&amp;ROW(B390))</f>
        <v>0.6</v>
      </c>
      <c r="AE409" s="73">
        <f t="shared" si="16"/>
        <v>-2.613414562</v>
      </c>
      <c r="AF409" s="73">
        <f t="shared" si="17"/>
        <v>-1.740686581</v>
      </c>
      <c r="AG409" s="73">
        <f t="shared" si="18"/>
        <v>-1.360713457</v>
      </c>
      <c r="AH409" s="73">
        <f t="shared" si="19"/>
        <v>-1.656517348</v>
      </c>
      <c r="AI409" s="73">
        <f t="shared" si="20"/>
        <v>-2.576325158</v>
      </c>
      <c r="AJ409" s="73">
        <f t="shared" si="21"/>
        <v>-0.2587299387</v>
      </c>
      <c r="AK409" s="73">
        <f t="shared" si="22"/>
        <v>0.162732715</v>
      </c>
      <c r="AL409" s="73">
        <f t="shared" si="23"/>
        <v>-0.6371504255</v>
      </c>
      <c r="AM409" s="73">
        <f t="shared" si="24"/>
        <v>0.2848488121</v>
      </c>
      <c r="AN409" s="120">
        <f t="shared" si="25"/>
        <v>-2.613414562</v>
      </c>
      <c r="AO409" s="120">
        <f t="shared" si="26"/>
        <v>-5.18973972</v>
      </c>
      <c r="AP409" s="120">
        <f t="array" ref="AP409">INDIRECT("Update"&amp;Projections!$AH$17&amp;"!S"&amp;ROW(B390))</f>
        <v>2.1</v>
      </c>
      <c r="AQ409" s="120">
        <f t="array" ref="AQ409">INDIRECT("Update"&amp;Projections!$AH$17&amp;"!T"&amp;ROW(B390))</f>
        <v>1</v>
      </c>
      <c r="AR409" s="100">
        <f t="shared" si="27"/>
        <v>-7.753519329</v>
      </c>
    </row>
    <row r="410">
      <c r="A410" t="str">
        <f t="shared" si="3"/>
        <v/>
      </c>
      <c r="B410" s="42">
        <f t="shared" si="4"/>
        <v>-3.155358621</v>
      </c>
      <c r="C410" s="43">
        <f t="shared" si="5"/>
        <v>-1.740686581</v>
      </c>
      <c r="D410" s="42">
        <f t="shared" si="6"/>
        <v>-2.380599106</v>
      </c>
      <c r="E410" s="42">
        <f t="shared" si="7"/>
        <v>-1.79320266</v>
      </c>
      <c r="F410" s="42">
        <f t="shared" si="8"/>
        <v>-3.240190514</v>
      </c>
      <c r="G410" s="42">
        <f t="shared" si="9"/>
        <v>-1.329092151</v>
      </c>
      <c r="H410" s="42">
        <f t="shared" si="10"/>
        <v>0</v>
      </c>
      <c r="I410" s="42" t="str">
        <f>UpdateHashtag!S408</f>
        <v/>
      </c>
      <c r="J410" s="47">
        <f t="shared" si="11"/>
        <v>0</v>
      </c>
      <c r="K410" s="48" t="str">
        <f>UpdateHashtag!T408</f>
        <v/>
      </c>
      <c r="L410" s="42">
        <f t="shared" si="12"/>
        <v>-1.734552372</v>
      </c>
      <c r="N410" s="100">
        <f t="shared" si="13"/>
        <v>384</v>
      </c>
      <c r="O410" s="94" t="str">
        <f t="array" ref="O410">INDIRECT("Update"&amp;Projections!$AH$17&amp;"!B"&amp;ROW(B391))</f>
        <v/>
      </c>
      <c r="P410" s="101" t="str">
        <f t="array" ref="P410">INDIRECT("Update"&amp;Projections!$AH$17&amp;"!C"&amp;ROW(B391))</f>
        <v>Matt Ryan</v>
      </c>
      <c r="Q410" s="94" t="str">
        <f>UpdateHashtag!F440</f>
        <v/>
      </c>
      <c r="R410" s="105" t="str">
        <f t="array" ref="R410">INDIRECT("Update"&amp;Projections!$AH$17&amp;"!D"&amp;ROW(B391))</f>
        <v>SF</v>
      </c>
      <c r="S410" s="73">
        <f t="shared" si="14"/>
        <v>-7.687408647</v>
      </c>
      <c r="T410" s="73">
        <f>SUM(AE410:AM410)-IFERROR(IFS(Projections!$I$17,AN410,Projections!$J$17,AO410),"")</f>
        <v>-7.687408647</v>
      </c>
      <c r="U410" s="73">
        <f t="shared" si="15"/>
        <v>0</v>
      </c>
      <c r="V410" s="73">
        <f t="array" ref="V410">INDIRECT("Update"&amp;Projections!$AH$17&amp;"!M"&amp;ROW(B391))</f>
        <v>4.4</v>
      </c>
      <c r="W410" s="73">
        <f t="array" ref="W410">INDIRECT("Update"&amp;Projections!$AH$17&amp;"!L"&amp;ROW(B391))</f>
        <v>1.2</v>
      </c>
      <c r="X410" s="73">
        <f t="array" ref="X410">INDIRECT("Update"&amp;Projections!$AH$17&amp;"!N"&amp;ROW(B391))</f>
        <v>1.1</v>
      </c>
      <c r="Y410" s="73">
        <f t="array" ref="Y410">INDIRECT("Update"&amp;Projections!$AH$17&amp;"!O"&amp;ROW(B391))</f>
        <v>0.5</v>
      </c>
      <c r="Z410" s="73">
        <f t="array" ref="Z410">INDIRECT("Update"&amp;Projections!$AH$17&amp;"!P"&amp;ROW(B391))</f>
        <v>0.2</v>
      </c>
      <c r="AA410" s="73">
        <f t="array" ref="AA410">INDIRECT("Update"&amp;Projections!$AH$17&amp;"!Q"&amp;ROW(B391))</f>
        <v>0</v>
      </c>
      <c r="AB410" s="107">
        <f t="array" ref="AB410">INDIRECT("Update"&amp;Projections!$AH$17&amp;"!I"&amp;ROW(B391))</f>
        <v>0.401</v>
      </c>
      <c r="AC410" s="107">
        <f t="array" ref="AC410">INDIRECT("Update"&amp;Projections!$AH$17&amp;"!K"&amp;ROW(B391))</f>
        <v>0.881</v>
      </c>
      <c r="AD410" s="73">
        <f t="array" ref="AD410">INDIRECT("Update"&amp;Projections!$AH$17&amp;"!R"&amp;ROW(B391))</f>
        <v>0.4</v>
      </c>
      <c r="AE410" s="73">
        <f t="shared" si="16"/>
        <v>-2.360507335</v>
      </c>
      <c r="AF410" s="73">
        <f t="shared" si="17"/>
        <v>-0.5463949927</v>
      </c>
      <c r="AG410" s="73">
        <f t="shared" si="18"/>
        <v>-1.949109024</v>
      </c>
      <c r="AH410" s="73">
        <f t="shared" si="19"/>
        <v>-1.565393808</v>
      </c>
      <c r="AI410" s="73">
        <f t="shared" si="20"/>
        <v>-2.576325158</v>
      </c>
      <c r="AJ410" s="73">
        <f t="shared" si="21"/>
        <v>-1.329092151</v>
      </c>
      <c r="AK410" s="73">
        <f t="shared" si="22"/>
        <v>-0.3933033266</v>
      </c>
      <c r="AL410" s="73">
        <f t="shared" si="23"/>
        <v>0.1219467498</v>
      </c>
      <c r="AM410" s="73">
        <f t="shared" si="24"/>
        <v>0.3344452391</v>
      </c>
      <c r="AN410" s="120">
        <f t="shared" si="25"/>
        <v>-2.576325158</v>
      </c>
      <c r="AO410" s="120">
        <f t="shared" si="26"/>
        <v>-4.936832492</v>
      </c>
      <c r="AP410" s="120">
        <f t="array" ref="AP410">INDIRECT("Update"&amp;Projections!$AH$17&amp;"!S"&amp;ROW(B391))</f>
        <v>3.5</v>
      </c>
      <c r="AQ410" s="120">
        <f t="array" ref="AQ410">INDIRECT("Update"&amp;Projections!$AH$17&amp;"!T"&amp;ROW(B391))</f>
        <v>0.4</v>
      </c>
      <c r="AR410" s="100">
        <f t="shared" si="27"/>
        <v>-7.782541381</v>
      </c>
    </row>
    <row r="411">
      <c r="A411" t="str">
        <f t="shared" si="3"/>
        <v/>
      </c>
      <c r="B411" s="42">
        <f t="shared" si="4"/>
        <v>-3.155358621</v>
      </c>
      <c r="C411" s="43">
        <f t="shared" si="5"/>
        <v>-1.740686581</v>
      </c>
      <c r="D411" s="42">
        <f t="shared" si="6"/>
        <v>-2.380599106</v>
      </c>
      <c r="E411" s="42">
        <f t="shared" si="7"/>
        <v>-1.79320266</v>
      </c>
      <c r="F411" s="42">
        <f t="shared" si="8"/>
        <v>-3.240190514</v>
      </c>
      <c r="G411" s="42">
        <f t="shared" si="9"/>
        <v>-1.329092151</v>
      </c>
      <c r="H411" s="42">
        <f t="shared" si="10"/>
        <v>0</v>
      </c>
      <c r="I411" s="42" t="str">
        <f>UpdateHashtag!S409</f>
        <v/>
      </c>
      <c r="J411" s="47">
        <f t="shared" si="11"/>
        <v>0</v>
      </c>
      <c r="K411" s="48" t="str">
        <f>UpdateHashtag!T409</f>
        <v/>
      </c>
      <c r="L411" s="42">
        <f t="shared" si="12"/>
        <v>-1.734552372</v>
      </c>
      <c r="N411" s="100">
        <f t="shared" si="13"/>
        <v>387</v>
      </c>
      <c r="O411" s="94" t="str">
        <f t="array" ref="O411">INDIRECT("Update"&amp;Projections!$AH$17&amp;"!B"&amp;ROW(B392))</f>
        <v/>
      </c>
      <c r="P411" s="101" t="str">
        <f t="array" ref="P411">INDIRECT("Update"&amp;Projections!$AH$17&amp;"!C"&amp;ROW(B392))</f>
        <v>Ousmane Dieng</v>
      </c>
      <c r="Q411" s="94" t="str">
        <f>UpdateHashtag!F441</f>
        <v/>
      </c>
      <c r="R411" s="105" t="str">
        <f t="array" ref="R411">INDIRECT("Update"&amp;Projections!$AH$17&amp;"!D"&amp;ROW(B392))</f>
        <v>SF,PF</v>
      </c>
      <c r="S411" s="73">
        <f t="shared" si="14"/>
        <v>-7.739412903</v>
      </c>
      <c r="T411" s="73">
        <f>SUM(AE411:AM411)-IFERROR(IFS(Projections!$I$17,AN411,Projections!$J$17,AO411),"")</f>
        <v>-7.739412903</v>
      </c>
      <c r="U411" s="73">
        <f t="shared" si="15"/>
        <v>0</v>
      </c>
      <c r="V411" s="73">
        <f t="array" ref="V411">INDIRECT("Update"&amp;Projections!$AH$17&amp;"!M"&amp;ROW(B392))</f>
        <v>3.7</v>
      </c>
      <c r="W411" s="73">
        <f t="array" ref="W411">INDIRECT("Update"&amp;Projections!$AH$17&amp;"!L"&amp;ROW(B392))</f>
        <v>0.5</v>
      </c>
      <c r="X411" s="73">
        <f t="array" ref="X411">INDIRECT("Update"&amp;Projections!$AH$17&amp;"!N"&amp;ROW(B392))</f>
        <v>1.8</v>
      </c>
      <c r="Y411" s="73">
        <f t="array" ref="Y411">INDIRECT("Update"&amp;Projections!$AH$17&amp;"!O"&amp;ROW(B392))</f>
        <v>0.9</v>
      </c>
      <c r="Z411" s="73">
        <f t="array" ref="Z411">INDIRECT("Update"&amp;Projections!$AH$17&amp;"!P"&amp;ROW(B392))</f>
        <v>0.3</v>
      </c>
      <c r="AA411" s="73">
        <f t="array" ref="AA411">INDIRECT("Update"&amp;Projections!$AH$17&amp;"!Q"&amp;ROW(B392))</f>
        <v>0.1</v>
      </c>
      <c r="AB411" s="107">
        <f t="array" ref="AB411">INDIRECT("Update"&amp;Projections!$AH$17&amp;"!I"&amp;ROW(B392))</f>
        <v>0.422</v>
      </c>
      <c r="AC411" s="107">
        <f t="array" ref="AC411">INDIRECT("Update"&amp;Projections!$AH$17&amp;"!K"&amp;ROW(B392))</f>
        <v>0.75</v>
      </c>
      <c r="AD411" s="73">
        <f t="array" ref="AD411">INDIRECT("Update"&amp;Projections!$AH$17&amp;"!R"&amp;ROW(B392))</f>
        <v>0.5</v>
      </c>
      <c r="AE411" s="73">
        <f t="shared" si="16"/>
        <v>-2.486960948</v>
      </c>
      <c r="AF411" s="73">
        <f t="shared" si="17"/>
        <v>-1.243065086</v>
      </c>
      <c r="AG411" s="73">
        <f t="shared" si="18"/>
        <v>-1.674524426</v>
      </c>
      <c r="AH411" s="73">
        <f t="shared" si="19"/>
        <v>-1.383146726</v>
      </c>
      <c r="AI411" s="73">
        <f t="shared" si="20"/>
        <v>-2.244392479</v>
      </c>
      <c r="AJ411" s="73">
        <f t="shared" si="21"/>
        <v>-1.150698449</v>
      </c>
      <c r="AK411" s="73">
        <f t="shared" si="22"/>
        <v>-0.2896091875</v>
      </c>
      <c r="AL411" s="73">
        <f t="shared" si="23"/>
        <v>-0.06362357545</v>
      </c>
      <c r="AM411" s="73">
        <f t="shared" si="24"/>
        <v>0.3096470256</v>
      </c>
      <c r="AN411" s="120">
        <f t="shared" si="25"/>
        <v>-2.486960948</v>
      </c>
      <c r="AO411" s="120">
        <f t="shared" si="26"/>
        <v>-4.731353428</v>
      </c>
      <c r="AP411" s="120">
        <f t="array" ref="AP411">INDIRECT("Update"&amp;Projections!$AH$17&amp;"!S"&amp;ROW(B392))</f>
        <v>3.3</v>
      </c>
      <c r="AQ411" s="120">
        <f t="array" ref="AQ411">INDIRECT("Update"&amp;Projections!$AH$17&amp;"!T"&amp;ROW(B392))</f>
        <v>0.4</v>
      </c>
      <c r="AR411" s="100">
        <f t="shared" si="27"/>
        <v>-7.801765973</v>
      </c>
    </row>
    <row r="412">
      <c r="A412" t="str">
        <f t="shared" si="3"/>
        <v/>
      </c>
      <c r="B412" s="42">
        <f t="shared" si="4"/>
        <v>-3.155358621</v>
      </c>
      <c r="C412" s="43">
        <f t="shared" si="5"/>
        <v>-1.740686581</v>
      </c>
      <c r="D412" s="42">
        <f t="shared" si="6"/>
        <v>-2.380599106</v>
      </c>
      <c r="E412" s="42">
        <f t="shared" si="7"/>
        <v>-1.79320266</v>
      </c>
      <c r="F412" s="42">
        <f t="shared" si="8"/>
        <v>-3.240190514</v>
      </c>
      <c r="G412" s="42">
        <f t="shared" si="9"/>
        <v>-1.329092151</v>
      </c>
      <c r="H412" s="42">
        <f t="shared" si="10"/>
        <v>0</v>
      </c>
      <c r="I412" s="42" t="str">
        <f>UpdateHashtag!S410</f>
        <v/>
      </c>
      <c r="J412" s="47">
        <f t="shared" si="11"/>
        <v>0</v>
      </c>
      <c r="K412" s="48" t="str">
        <f>UpdateHashtag!T410</f>
        <v/>
      </c>
      <c r="L412" s="42">
        <f t="shared" si="12"/>
        <v>-1.734552372</v>
      </c>
      <c r="N412" s="100">
        <f t="shared" si="13"/>
        <v>378</v>
      </c>
      <c r="O412" s="94" t="str">
        <f t="array" ref="O412">INDIRECT("Update"&amp;Projections!$AH$17&amp;"!B"&amp;ROW(B393))</f>
        <v/>
      </c>
      <c r="P412" s="101" t="str">
        <f t="array" ref="P412">INDIRECT("Update"&amp;Projections!$AH$17&amp;"!C"&amp;ROW(B393))</f>
        <v>Kris Murray</v>
      </c>
      <c r="Q412" s="94" t="str">
        <f>UpdateHashtag!F442</f>
        <v/>
      </c>
      <c r="R412" s="105" t="str">
        <f t="array" ref="R412">INDIRECT("Update"&amp;Projections!$AH$17&amp;"!D"&amp;ROW(B393))</f>
        <v>SF,PF</v>
      </c>
      <c r="S412" s="73">
        <f t="shared" si="14"/>
        <v>-7.629055713</v>
      </c>
      <c r="T412" s="73">
        <f>SUM(AE412:AM412)-IFERROR(IFS(Projections!$I$17,AN412,Projections!$J$17,AO412),"")</f>
        <v>-7.629055713</v>
      </c>
      <c r="U412" s="73">
        <f t="shared" si="15"/>
        <v>0</v>
      </c>
      <c r="V412" s="73">
        <f t="array" ref="V412">INDIRECT("Update"&amp;Projections!$AH$17&amp;"!M"&amp;ROW(B393))</f>
        <v>3.2</v>
      </c>
      <c r="W412" s="73">
        <f t="array" ref="W412">INDIRECT("Update"&amp;Projections!$AH$17&amp;"!L"&amp;ROW(B393))</f>
        <v>0.4</v>
      </c>
      <c r="X412" s="73">
        <f t="array" ref="X412">INDIRECT("Update"&amp;Projections!$AH$17&amp;"!N"&amp;ROW(B393))</f>
        <v>1.9</v>
      </c>
      <c r="Y412" s="73">
        <f t="array" ref="Y412">INDIRECT("Update"&amp;Projections!$AH$17&amp;"!O"&amp;ROW(B393))</f>
        <v>0.7</v>
      </c>
      <c r="Z412" s="73">
        <f t="array" ref="Z412">INDIRECT("Update"&amp;Projections!$AH$17&amp;"!P"&amp;ROW(B393))</f>
        <v>0.4</v>
      </c>
      <c r="AA412" s="73">
        <f t="array" ref="AA412">INDIRECT("Update"&amp;Projections!$AH$17&amp;"!Q"&amp;ROW(B393))</f>
        <v>0.2</v>
      </c>
      <c r="AB412" s="107">
        <f t="array" ref="AB412">INDIRECT("Update"&amp;Projections!$AH$17&amp;"!I"&amp;ROW(B393))</f>
        <v>0.397</v>
      </c>
      <c r="AC412" s="107">
        <f t="array" ref="AC412">INDIRECT("Update"&amp;Projections!$AH$17&amp;"!K"&amp;ROW(B393))</f>
        <v>0.66</v>
      </c>
      <c r="AD412" s="73">
        <f t="array" ref="AD412">INDIRECT("Update"&amp;Projections!$AH$17&amp;"!R"&amp;ROW(B393))</f>
        <v>0.5</v>
      </c>
      <c r="AE412" s="73">
        <f t="shared" si="16"/>
        <v>-2.577284958</v>
      </c>
      <c r="AF412" s="73">
        <f t="shared" si="17"/>
        <v>-1.342589385</v>
      </c>
      <c r="AG412" s="73">
        <f t="shared" si="18"/>
        <v>-1.635298055</v>
      </c>
      <c r="AH412" s="73">
        <f t="shared" si="19"/>
        <v>-1.474270267</v>
      </c>
      <c r="AI412" s="73">
        <f t="shared" si="20"/>
        <v>-1.912459801</v>
      </c>
      <c r="AJ412" s="73">
        <f t="shared" si="21"/>
        <v>-0.9723047469</v>
      </c>
      <c r="AK412" s="73">
        <f t="shared" si="22"/>
        <v>-0.3628871863</v>
      </c>
      <c r="AL412" s="73">
        <f t="shared" si="23"/>
        <v>-0.2388932983</v>
      </c>
      <c r="AM412" s="73">
        <f t="shared" si="24"/>
        <v>0.3096470256</v>
      </c>
      <c r="AN412" s="120">
        <f t="shared" si="25"/>
        <v>-2.577284958</v>
      </c>
      <c r="AO412" s="120">
        <f t="shared" si="26"/>
        <v>-4.48974476</v>
      </c>
      <c r="AP412" s="120">
        <f t="array" ref="AP412">INDIRECT("Update"&amp;Projections!$AH$17&amp;"!S"&amp;ROW(B393))</f>
        <v>3.1</v>
      </c>
      <c r="AQ412" s="120">
        <f t="array" ref="AQ412">INDIRECT("Update"&amp;Projections!$AH$17&amp;"!T"&amp;ROW(B393))</f>
        <v>0.5</v>
      </c>
      <c r="AR412" s="100">
        <f t="shared" si="27"/>
        <v>-7.822790588</v>
      </c>
    </row>
    <row r="413">
      <c r="A413" t="str">
        <f t="shared" si="3"/>
        <v/>
      </c>
      <c r="B413" s="42">
        <f t="shared" si="4"/>
        <v>-3.155358621</v>
      </c>
      <c r="C413" s="43">
        <f t="shared" si="5"/>
        <v>-1.740686581</v>
      </c>
      <c r="D413" s="42">
        <f t="shared" si="6"/>
        <v>-2.380599106</v>
      </c>
      <c r="E413" s="42">
        <f t="shared" si="7"/>
        <v>-1.79320266</v>
      </c>
      <c r="F413" s="42">
        <f t="shared" si="8"/>
        <v>-3.240190514</v>
      </c>
      <c r="G413" s="42">
        <f t="shared" si="9"/>
        <v>-1.329092151</v>
      </c>
      <c r="H413" s="42">
        <f t="shared" si="10"/>
        <v>0</v>
      </c>
      <c r="I413" s="42" t="str">
        <f>UpdateHashtag!S411</f>
        <v/>
      </c>
      <c r="J413" s="47">
        <f t="shared" si="11"/>
        <v>0</v>
      </c>
      <c r="K413" s="48" t="str">
        <f>UpdateHashtag!T411</f>
        <v/>
      </c>
      <c r="L413" s="42">
        <f t="shared" si="12"/>
        <v>-1.734552372</v>
      </c>
      <c r="N413" s="100">
        <f t="shared" si="13"/>
        <v>381</v>
      </c>
      <c r="O413" s="94" t="str">
        <f t="array" ref="O413">INDIRECT("Update"&amp;Projections!$AH$17&amp;"!B"&amp;ROW(B394))</f>
        <v/>
      </c>
      <c r="P413" s="101" t="str">
        <f t="array" ref="P413">INDIRECT("Update"&amp;Projections!$AH$17&amp;"!C"&amp;ROW(B394))</f>
        <v>Garrett Temple</v>
      </c>
      <c r="Q413" s="94" t="str">
        <f>UpdateHashtag!F443</f>
        <v/>
      </c>
      <c r="R413" s="105" t="str">
        <f t="array" ref="R413">INDIRECT("Update"&amp;Projections!$AH$17&amp;"!D"&amp;ROW(B394))</f>
        <v>SG</v>
      </c>
      <c r="S413" s="73">
        <f t="shared" si="14"/>
        <v>-7.6520397</v>
      </c>
      <c r="T413" s="73">
        <f>SUM(AE413:AM413)-IFERROR(IFS(Projections!$I$17,AN413,Projections!$J$17,AO413),"")</f>
        <v>-7.6520397</v>
      </c>
      <c r="U413" s="73">
        <f t="shared" si="15"/>
        <v>0</v>
      </c>
      <c r="V413" s="73">
        <f t="array" ref="V413">INDIRECT("Update"&amp;Projections!$AH$17&amp;"!M"&amp;ROW(B394))</f>
        <v>2.6</v>
      </c>
      <c r="W413" s="73">
        <f t="array" ref="W413">INDIRECT("Update"&amp;Projections!$AH$17&amp;"!L"&amp;ROW(B394))</f>
        <v>0.4</v>
      </c>
      <c r="X413" s="73">
        <f t="array" ref="X413">INDIRECT("Update"&amp;Projections!$AH$17&amp;"!N"&amp;ROW(B394))</f>
        <v>1.2</v>
      </c>
      <c r="Y413" s="73">
        <f t="array" ref="Y413">INDIRECT("Update"&amp;Projections!$AH$17&amp;"!O"&amp;ROW(B394))</f>
        <v>0.8</v>
      </c>
      <c r="Z413" s="73">
        <f t="array" ref="Z413">INDIRECT("Update"&amp;Projections!$AH$17&amp;"!P"&amp;ROW(B394))</f>
        <v>0.4</v>
      </c>
      <c r="AA413" s="73">
        <f t="array" ref="AA413">INDIRECT("Update"&amp;Projections!$AH$17&amp;"!Q"&amp;ROW(B394))</f>
        <v>0.1</v>
      </c>
      <c r="AB413" s="107">
        <f t="array" ref="AB413">INDIRECT("Update"&amp;Projections!$AH$17&amp;"!I"&amp;ROW(B394))</f>
        <v>0.384</v>
      </c>
      <c r="AC413" s="107">
        <f t="array" ref="AC413">INDIRECT("Update"&amp;Projections!$AH$17&amp;"!K"&amp;ROW(B394))</f>
        <v>0.816</v>
      </c>
      <c r="AD413" s="73">
        <f t="array" ref="AD413">INDIRECT("Update"&amp;Projections!$AH$17&amp;"!R"&amp;ROW(B394))</f>
        <v>0.3</v>
      </c>
      <c r="AE413" s="73">
        <f t="shared" si="16"/>
        <v>-2.68567377</v>
      </c>
      <c r="AF413" s="73">
        <f t="shared" si="17"/>
        <v>-1.342589385</v>
      </c>
      <c r="AG413" s="73">
        <f t="shared" si="18"/>
        <v>-1.909882652</v>
      </c>
      <c r="AH413" s="73">
        <f t="shared" si="19"/>
        <v>-1.428708496</v>
      </c>
      <c r="AI413" s="73">
        <f t="shared" si="20"/>
        <v>-1.912459801</v>
      </c>
      <c r="AJ413" s="73">
        <f t="shared" si="21"/>
        <v>-1.150698449</v>
      </c>
      <c r="AK413" s="73">
        <f t="shared" si="22"/>
        <v>-0.3042817075</v>
      </c>
      <c r="AL413" s="73">
        <f t="shared" si="23"/>
        <v>0.03733733858</v>
      </c>
      <c r="AM413" s="73">
        <f t="shared" si="24"/>
        <v>0.3592434526</v>
      </c>
      <c r="AN413" s="120">
        <f t="shared" si="25"/>
        <v>-2.68567377</v>
      </c>
      <c r="AO413" s="120">
        <f t="shared" si="26"/>
        <v>-4.598133571</v>
      </c>
      <c r="AP413" s="120">
        <f t="array" ref="AP413">INDIRECT("Update"&amp;Projections!$AH$17&amp;"!S"&amp;ROW(B394))</f>
        <v>2.3</v>
      </c>
      <c r="AQ413" s="120">
        <f t="array" ref="AQ413">INDIRECT("Update"&amp;Projections!$AH$17&amp;"!T"&amp;ROW(B394))</f>
        <v>0.5</v>
      </c>
      <c r="AR413" s="100">
        <f t="shared" si="27"/>
        <v>-7.895059388</v>
      </c>
    </row>
    <row r="414">
      <c r="A414" t="str">
        <f t="shared" si="3"/>
        <v/>
      </c>
      <c r="B414" s="42">
        <f t="shared" si="4"/>
        <v>-3.155358621</v>
      </c>
      <c r="C414" s="43">
        <f t="shared" si="5"/>
        <v>-1.740686581</v>
      </c>
      <c r="D414" s="42">
        <f t="shared" si="6"/>
        <v>-2.380599106</v>
      </c>
      <c r="E414" s="42">
        <f t="shared" si="7"/>
        <v>-1.79320266</v>
      </c>
      <c r="F414" s="42">
        <f t="shared" si="8"/>
        <v>-3.240190514</v>
      </c>
      <c r="G414" s="42">
        <f t="shared" si="9"/>
        <v>-1.329092151</v>
      </c>
      <c r="H414" s="42">
        <f t="shared" si="10"/>
        <v>0</v>
      </c>
      <c r="I414" s="42" t="str">
        <f>UpdateHashtag!S412</f>
        <v/>
      </c>
      <c r="J414" s="47">
        <f t="shared" si="11"/>
        <v>0</v>
      </c>
      <c r="K414" s="48" t="str">
        <f>UpdateHashtag!T412</f>
        <v/>
      </c>
      <c r="L414" s="42">
        <f t="shared" si="12"/>
        <v>-1.734552372</v>
      </c>
      <c r="N414" s="100">
        <f t="shared" si="13"/>
        <v>397</v>
      </c>
      <c r="O414" s="94" t="str">
        <f t="array" ref="O414">INDIRECT("Update"&amp;Projections!$AH$17&amp;"!B"&amp;ROW(B395))</f>
        <v/>
      </c>
      <c r="P414" s="101" t="str">
        <f t="array" ref="P414">INDIRECT("Update"&amp;Projections!$AH$17&amp;"!C"&amp;ROW(B395))</f>
        <v>Terrence Shannon Jr.</v>
      </c>
      <c r="Q414" s="94" t="str">
        <f>UpdateHashtag!F444</f>
        <v/>
      </c>
      <c r="R414" s="105" t="str">
        <f t="array" ref="R414">INDIRECT("Update"&amp;Projections!$AH$17&amp;"!D"&amp;ROW(B395))</f>
        <v>SG</v>
      </c>
      <c r="S414" s="73">
        <f t="shared" si="14"/>
        <v>-8.126245686</v>
      </c>
      <c r="T414" s="73">
        <f>SUM(AE414:AM414)-IFERROR(IFS(Projections!$I$17,AN414,Projections!$J$17,AO414),"")</f>
        <v>-8.126245686</v>
      </c>
      <c r="U414" s="73">
        <f t="shared" si="15"/>
        <v>0</v>
      </c>
      <c r="V414" s="73">
        <f t="array" ref="V414">INDIRECT("Update"&amp;Projections!$AH$17&amp;"!M"&amp;ROW(B395))</f>
        <v>4.2</v>
      </c>
      <c r="W414" s="73">
        <f t="array" ref="W414">INDIRECT("Update"&amp;Projections!$AH$17&amp;"!L"&amp;ROW(B395))</f>
        <v>0.4</v>
      </c>
      <c r="X414" s="73">
        <f t="array" ref="X414">INDIRECT("Update"&amp;Projections!$AH$17&amp;"!N"&amp;ROW(B395))</f>
        <v>0.7</v>
      </c>
      <c r="Y414" s="73">
        <f t="array" ref="Y414">INDIRECT("Update"&amp;Projections!$AH$17&amp;"!O"&amp;ROW(B395))</f>
        <v>0.4</v>
      </c>
      <c r="Z414" s="73">
        <f t="array" ref="Z414">INDIRECT("Update"&amp;Projections!$AH$17&amp;"!P"&amp;ROW(B395))</f>
        <v>0.2</v>
      </c>
      <c r="AA414" s="73">
        <f t="array" ref="AA414">INDIRECT("Update"&amp;Projections!$AH$17&amp;"!Q"&amp;ROW(B395))</f>
        <v>0.2</v>
      </c>
      <c r="AB414" s="107">
        <f t="array" ref="AB414">INDIRECT("Update"&amp;Projections!$AH$17&amp;"!I"&amp;ROW(B395))</f>
        <v>0.475</v>
      </c>
      <c r="AC414" s="107">
        <f t="array" ref="AC414">INDIRECT("Update"&amp;Projections!$AH$17&amp;"!K"&amp;ROW(B395))</f>
        <v>0.801</v>
      </c>
      <c r="AD414" s="73">
        <f t="array" ref="AD414">INDIRECT("Update"&amp;Projections!$AH$17&amp;"!R"&amp;ROW(B395))</f>
        <v>0.4</v>
      </c>
      <c r="AE414" s="73">
        <f t="shared" si="16"/>
        <v>-2.396636939</v>
      </c>
      <c r="AF414" s="73">
        <f t="shared" si="17"/>
        <v>-1.342589385</v>
      </c>
      <c r="AG414" s="73">
        <f t="shared" si="18"/>
        <v>-2.106014508</v>
      </c>
      <c r="AH414" s="73">
        <f t="shared" si="19"/>
        <v>-1.610955578</v>
      </c>
      <c r="AI414" s="73">
        <f t="shared" si="20"/>
        <v>-2.576325158</v>
      </c>
      <c r="AJ414" s="73">
        <f t="shared" si="21"/>
        <v>-0.9723047469</v>
      </c>
      <c r="AK414" s="73">
        <f t="shared" si="22"/>
        <v>-0.06667520962</v>
      </c>
      <c r="AL414" s="73">
        <f t="shared" si="23"/>
        <v>0.03448544137</v>
      </c>
      <c r="AM414" s="73">
        <f t="shared" si="24"/>
        <v>0.3344452391</v>
      </c>
      <c r="AN414" s="120">
        <f t="shared" si="25"/>
        <v>-2.576325158</v>
      </c>
      <c r="AO414" s="120">
        <f t="shared" si="26"/>
        <v>-4.972962096</v>
      </c>
      <c r="AP414" s="120">
        <f t="array" ref="AP414">INDIRECT("Update"&amp;Projections!$AH$17&amp;"!S"&amp;ROW(B395))</f>
        <v>2.6</v>
      </c>
      <c r="AQ414" s="120">
        <f t="array" ref="AQ414">INDIRECT("Update"&amp;Projections!$AH$17&amp;"!T"&amp;ROW(B395))</f>
        <v>1.6</v>
      </c>
      <c r="AR414" s="100">
        <f t="shared" si="27"/>
        <v>-7.903709995</v>
      </c>
    </row>
    <row r="415">
      <c r="A415" t="str">
        <f t="shared" si="3"/>
        <v/>
      </c>
      <c r="B415" s="42">
        <f t="shared" si="4"/>
        <v>-3.155358621</v>
      </c>
      <c r="C415" s="43">
        <f t="shared" si="5"/>
        <v>-1.740686581</v>
      </c>
      <c r="D415" s="42">
        <f t="shared" si="6"/>
        <v>-2.380599106</v>
      </c>
      <c r="E415" s="42">
        <f t="shared" si="7"/>
        <v>-1.79320266</v>
      </c>
      <c r="F415" s="42">
        <f t="shared" si="8"/>
        <v>-3.240190514</v>
      </c>
      <c r="G415" s="42">
        <f t="shared" si="9"/>
        <v>-1.329092151</v>
      </c>
      <c r="H415" s="42">
        <f t="shared" si="10"/>
        <v>0</v>
      </c>
      <c r="I415" s="42" t="str">
        <f>UpdateHashtag!S413</f>
        <v/>
      </c>
      <c r="J415" s="47">
        <f t="shared" si="11"/>
        <v>0</v>
      </c>
      <c r="K415" s="48" t="str">
        <f>UpdateHashtag!T413</f>
        <v/>
      </c>
      <c r="L415" s="42">
        <f t="shared" si="12"/>
        <v>-1.734552372</v>
      </c>
      <c r="N415" s="100">
        <f t="shared" si="13"/>
        <v>393</v>
      </c>
      <c r="O415" s="94" t="str">
        <f t="array" ref="O415">INDIRECT("Update"&amp;Projections!$AH$17&amp;"!B"&amp;ROW(B396))</f>
        <v/>
      </c>
      <c r="P415" s="101" t="str">
        <f t="array" ref="P415">INDIRECT("Update"&amp;Projections!$AH$17&amp;"!C"&amp;ROW(B396))</f>
        <v>Jamal Shead</v>
      </c>
      <c r="Q415" s="94" t="str">
        <f>UpdateHashtag!F445</f>
        <v/>
      </c>
      <c r="R415" s="105" t="str">
        <f t="array" ref="R415">INDIRECT("Update"&amp;Projections!$AH$17&amp;"!D"&amp;ROW(B396))</f>
        <v>PG</v>
      </c>
      <c r="S415" s="73">
        <f t="shared" si="14"/>
        <v>-7.895059388</v>
      </c>
      <c r="T415" s="73">
        <f>SUM(AE415:AM415)-IFERROR(IFS(Projections!$I$17,AN415,Projections!$J$17,AO415),"")</f>
        <v>-7.895059388</v>
      </c>
      <c r="U415" s="73">
        <f t="shared" si="15"/>
        <v>0</v>
      </c>
      <c r="V415" s="73">
        <f t="array" ref="V415">INDIRECT("Update"&amp;Projections!$AH$17&amp;"!M"&amp;ROW(B396))</f>
        <v>2.5</v>
      </c>
      <c r="W415" s="73">
        <f t="array" ref="W415">INDIRECT("Update"&amp;Projections!$AH$17&amp;"!L"&amp;ROW(B396))</f>
        <v>0.2</v>
      </c>
      <c r="X415" s="73">
        <f t="array" ref="X415">INDIRECT("Update"&amp;Projections!$AH$17&amp;"!N"&amp;ROW(B396))</f>
        <v>0.7</v>
      </c>
      <c r="Y415" s="73">
        <f t="array" ref="Y415">INDIRECT("Update"&amp;Projections!$AH$17&amp;"!O"&amp;ROW(B396))</f>
        <v>1.2</v>
      </c>
      <c r="Z415" s="73">
        <f t="array" ref="Z415">INDIRECT("Update"&amp;Projections!$AH$17&amp;"!P"&amp;ROW(B396))</f>
        <v>0.4</v>
      </c>
      <c r="AA415" s="73">
        <f t="array" ref="AA415">INDIRECT("Update"&amp;Projections!$AH$17&amp;"!Q"&amp;ROW(B396))</f>
        <v>0.1</v>
      </c>
      <c r="AB415" s="107">
        <f t="array" ref="AB415">INDIRECT("Update"&amp;Projections!$AH$17&amp;"!I"&amp;ROW(B396))</f>
        <v>0.407</v>
      </c>
      <c r="AC415" s="107">
        <f t="array" ref="AC415">INDIRECT("Update"&amp;Projections!$AH$17&amp;"!K"&amp;ROW(B396))</f>
        <v>0.778</v>
      </c>
      <c r="AD415" s="73">
        <f t="array" ref="AD415">INDIRECT("Update"&amp;Projections!$AH$17&amp;"!R"&amp;ROW(B396))</f>
        <v>0.4</v>
      </c>
      <c r="AE415" s="73">
        <f t="shared" si="16"/>
        <v>-2.703738572</v>
      </c>
      <c r="AF415" s="73">
        <f t="shared" si="17"/>
        <v>-1.541637983</v>
      </c>
      <c r="AG415" s="73">
        <f t="shared" si="18"/>
        <v>-2.106014508</v>
      </c>
      <c r="AH415" s="73">
        <f t="shared" si="19"/>
        <v>-1.246461415</v>
      </c>
      <c r="AI415" s="73">
        <f t="shared" si="20"/>
        <v>-1.912459801</v>
      </c>
      <c r="AJ415" s="73">
        <f t="shared" si="21"/>
        <v>-1.150698449</v>
      </c>
      <c r="AK415" s="73">
        <f t="shared" si="22"/>
        <v>-0.2422828592</v>
      </c>
      <c r="AL415" s="73">
        <f t="shared" si="23"/>
        <v>-0.02994961141</v>
      </c>
      <c r="AM415" s="73">
        <f t="shared" si="24"/>
        <v>0.3344452391</v>
      </c>
      <c r="AN415" s="120">
        <f t="shared" si="25"/>
        <v>-2.703738572</v>
      </c>
      <c r="AO415" s="120">
        <f t="shared" si="26"/>
        <v>-4.80975308</v>
      </c>
      <c r="AP415" s="120">
        <f t="array" ref="AP415">INDIRECT("Update"&amp;Projections!$AH$17&amp;"!S"&amp;ROW(B396))</f>
        <v>2.3</v>
      </c>
      <c r="AQ415" s="120">
        <f t="array" ref="AQ415">INDIRECT("Update"&amp;Projections!$AH$17&amp;"!T"&amp;ROW(B396))</f>
        <v>0.5</v>
      </c>
      <c r="AR415" s="100">
        <f t="shared" si="27"/>
        <v>-7.904465018</v>
      </c>
    </row>
    <row r="416">
      <c r="A416" t="str">
        <f t="shared" si="3"/>
        <v/>
      </c>
      <c r="B416" s="42">
        <f t="shared" si="4"/>
        <v>-3.155358621</v>
      </c>
      <c r="C416" s="43">
        <f t="shared" si="5"/>
        <v>-1.740686581</v>
      </c>
      <c r="D416" s="42">
        <f t="shared" si="6"/>
        <v>-2.380599106</v>
      </c>
      <c r="E416" s="42">
        <f t="shared" si="7"/>
        <v>-1.79320266</v>
      </c>
      <c r="F416" s="42">
        <f t="shared" si="8"/>
        <v>-3.240190514</v>
      </c>
      <c r="G416" s="42">
        <f t="shared" si="9"/>
        <v>-1.329092151</v>
      </c>
      <c r="H416" s="42">
        <f t="shared" si="10"/>
        <v>0</v>
      </c>
      <c r="I416" s="42" t="str">
        <f>UpdateHashtag!S414</f>
        <v/>
      </c>
      <c r="J416" s="47">
        <f t="shared" si="11"/>
        <v>0</v>
      </c>
      <c r="K416" s="48" t="str">
        <f>UpdateHashtag!T414</f>
        <v/>
      </c>
      <c r="L416" s="42">
        <f t="shared" si="12"/>
        <v>-1.734552372</v>
      </c>
      <c r="N416" s="100">
        <f t="shared" si="13"/>
        <v>396</v>
      </c>
      <c r="O416" s="94" t="str">
        <f t="array" ref="O416">INDIRECT("Update"&amp;Projections!$AH$17&amp;"!B"&amp;ROW(B397))</f>
        <v/>
      </c>
      <c r="P416" s="101" t="str">
        <f t="array" ref="P416">INDIRECT("Update"&amp;Projections!$AH$17&amp;"!C"&amp;ROW(B397))</f>
        <v>Blake Wesley</v>
      </c>
      <c r="Q416" s="94" t="str">
        <f>UpdateHashtag!F446</f>
        <v/>
      </c>
      <c r="R416" s="105" t="str">
        <f t="array" ref="R416">INDIRECT("Update"&amp;Projections!$AH$17&amp;"!D"&amp;ROW(B397))</f>
        <v>PG,SG</v>
      </c>
      <c r="S416" s="73">
        <f t="shared" si="14"/>
        <v>-7.910279571</v>
      </c>
      <c r="T416" s="73">
        <f>SUM(AE416:AM416)-IFERROR(IFS(Projections!$I$17,AN416,Projections!$J$17,AO416),"")</f>
        <v>-7.910279571</v>
      </c>
      <c r="U416" s="73">
        <f t="shared" si="15"/>
        <v>0</v>
      </c>
      <c r="V416" s="73">
        <f t="array" ref="V416">INDIRECT("Update"&amp;Projections!$AH$17&amp;"!M"&amp;ROW(B397))</f>
        <v>3.7</v>
      </c>
      <c r="W416" s="73">
        <f t="array" ref="W416">INDIRECT("Update"&amp;Projections!$AH$17&amp;"!L"&amp;ROW(B397))</f>
        <v>0.3</v>
      </c>
      <c r="X416" s="73">
        <f t="array" ref="X416">INDIRECT("Update"&amp;Projections!$AH$17&amp;"!N"&amp;ROW(B397))</f>
        <v>1.4</v>
      </c>
      <c r="Y416" s="73">
        <f t="array" ref="Y416">INDIRECT("Update"&amp;Projections!$AH$17&amp;"!O"&amp;ROW(B397))</f>
        <v>2.2</v>
      </c>
      <c r="Z416" s="73">
        <f t="array" ref="Z416">INDIRECT("Update"&amp;Projections!$AH$17&amp;"!P"&amp;ROW(B397))</f>
        <v>0.4</v>
      </c>
      <c r="AA416" s="73">
        <f t="array" ref="AA416">INDIRECT("Update"&amp;Projections!$AH$17&amp;"!Q"&amp;ROW(B397))</f>
        <v>0.1</v>
      </c>
      <c r="AB416" s="107">
        <f t="array" ref="AB416">INDIRECT("Update"&amp;Projections!$AH$17&amp;"!I"&amp;ROW(B397))</f>
        <v>0.398</v>
      </c>
      <c r="AC416" s="107">
        <f t="array" ref="AC416">INDIRECT("Update"&amp;Projections!$AH$17&amp;"!K"&amp;ROW(B397))</f>
        <v>0.636</v>
      </c>
      <c r="AD416" s="73">
        <f t="array" ref="AD416">INDIRECT("Update"&amp;Projections!$AH$17&amp;"!R"&amp;ROW(B397))</f>
        <v>1</v>
      </c>
      <c r="AE416" s="73">
        <f t="shared" si="16"/>
        <v>-2.486960948</v>
      </c>
      <c r="AF416" s="73">
        <f t="shared" si="17"/>
        <v>-1.442113684</v>
      </c>
      <c r="AG416" s="73">
        <f t="shared" si="18"/>
        <v>-1.83142991</v>
      </c>
      <c r="AH416" s="73">
        <f t="shared" si="19"/>
        <v>-0.7908437104</v>
      </c>
      <c r="AI416" s="73">
        <f t="shared" si="20"/>
        <v>-1.912459801</v>
      </c>
      <c r="AJ416" s="73">
        <f t="shared" si="21"/>
        <v>-1.150698449</v>
      </c>
      <c r="AK416" s="73">
        <f t="shared" si="22"/>
        <v>-0.4056093362</v>
      </c>
      <c r="AL416" s="73">
        <f t="shared" si="23"/>
        <v>-0.5627806386</v>
      </c>
      <c r="AM416" s="73">
        <f t="shared" si="24"/>
        <v>0.1856559582</v>
      </c>
      <c r="AN416" s="120">
        <f t="shared" si="25"/>
        <v>-2.486960948</v>
      </c>
      <c r="AO416" s="120">
        <f t="shared" si="26"/>
        <v>-4.39942075</v>
      </c>
      <c r="AP416" s="120">
        <f t="array" ref="AP416">INDIRECT("Update"&amp;Projections!$AH$17&amp;"!S"&amp;ROW(B397))</f>
        <v>3.5</v>
      </c>
      <c r="AQ416" s="120">
        <f t="array" ref="AQ416">INDIRECT("Update"&amp;Projections!$AH$17&amp;"!T"&amp;ROW(B397))</f>
        <v>1</v>
      </c>
      <c r="AR416" s="100">
        <f t="shared" si="27"/>
        <v>-7.910279571</v>
      </c>
    </row>
    <row r="417">
      <c r="A417" t="str">
        <f t="shared" si="3"/>
        <v/>
      </c>
      <c r="B417" s="42">
        <f t="shared" si="4"/>
        <v>-3.155358621</v>
      </c>
      <c r="C417" s="43">
        <f t="shared" si="5"/>
        <v>-1.740686581</v>
      </c>
      <c r="D417" s="42">
        <f t="shared" si="6"/>
        <v>-2.380599106</v>
      </c>
      <c r="E417" s="42">
        <f t="shared" si="7"/>
        <v>-1.79320266</v>
      </c>
      <c r="F417" s="42">
        <f t="shared" si="8"/>
        <v>-3.240190514</v>
      </c>
      <c r="G417" s="42">
        <f t="shared" si="9"/>
        <v>-1.329092151</v>
      </c>
      <c r="H417" s="42">
        <f t="shared" si="10"/>
        <v>0</v>
      </c>
      <c r="I417" s="42" t="str">
        <f>UpdateHashtag!S415</f>
        <v/>
      </c>
      <c r="J417" s="47">
        <f t="shared" si="11"/>
        <v>0</v>
      </c>
      <c r="K417" s="48" t="str">
        <f>UpdateHashtag!T415</f>
        <v/>
      </c>
      <c r="L417" s="42">
        <f t="shared" si="12"/>
        <v>-1.734552372</v>
      </c>
      <c r="N417" s="100">
        <f t="shared" si="13"/>
        <v>391</v>
      </c>
      <c r="O417" s="94" t="str">
        <f t="array" ref="O417">INDIRECT("Update"&amp;Projections!$AH$17&amp;"!B"&amp;ROW(B398))</f>
        <v/>
      </c>
      <c r="P417" s="101" t="str">
        <f t="array" ref="P417">INDIRECT("Update"&amp;Projections!$AH$17&amp;"!C"&amp;ROW(B398))</f>
        <v>Dalen Terry</v>
      </c>
      <c r="Q417" s="94" t="str">
        <f>UpdateHashtag!F447</f>
        <v/>
      </c>
      <c r="R417" s="105" t="str">
        <f t="array" ref="R417">INDIRECT("Update"&amp;Projections!$AH$17&amp;"!D"&amp;ROW(B398))</f>
        <v>SG,SF</v>
      </c>
      <c r="S417" s="73">
        <f t="shared" si="14"/>
        <v>-7.801765973</v>
      </c>
      <c r="T417" s="73">
        <f>SUM(AE417:AM417)-IFERROR(IFS(Projections!$I$17,AN417,Projections!$J$17,AO417),"")</f>
        <v>-7.801765973</v>
      </c>
      <c r="U417" s="73">
        <f t="shared" si="15"/>
        <v>0</v>
      </c>
      <c r="V417" s="73">
        <f t="array" ref="V417">INDIRECT("Update"&amp;Projections!$AH$17&amp;"!M"&amp;ROW(B398))</f>
        <v>2.5</v>
      </c>
      <c r="W417" s="73">
        <f t="array" ref="W417">INDIRECT("Update"&amp;Projections!$AH$17&amp;"!L"&amp;ROW(B398))</f>
        <v>0.2</v>
      </c>
      <c r="X417" s="73">
        <f t="array" ref="X417">INDIRECT("Update"&amp;Projections!$AH$17&amp;"!N"&amp;ROW(B398))</f>
        <v>1.4</v>
      </c>
      <c r="Y417" s="73">
        <f t="array" ref="Y417">INDIRECT("Update"&amp;Projections!$AH$17&amp;"!O"&amp;ROW(B398))</f>
        <v>1</v>
      </c>
      <c r="Z417" s="73">
        <f t="array" ref="Z417">INDIRECT("Update"&amp;Projections!$AH$17&amp;"!P"&amp;ROW(B398))</f>
        <v>0.4</v>
      </c>
      <c r="AA417" s="73">
        <f t="array" ref="AA417">INDIRECT("Update"&amp;Projections!$AH$17&amp;"!Q"&amp;ROW(B398))</f>
        <v>0.2</v>
      </c>
      <c r="AB417" s="107">
        <f t="array" ref="AB417">INDIRECT("Update"&amp;Projections!$AH$17&amp;"!I"&amp;ROW(B398))</f>
        <v>0.442</v>
      </c>
      <c r="AC417" s="107">
        <f t="array" ref="AC417">INDIRECT("Update"&amp;Projections!$AH$17&amp;"!K"&amp;ROW(B398))</f>
        <v>0.607</v>
      </c>
      <c r="AD417" s="73">
        <f t="array" ref="AD417">INDIRECT("Update"&amp;Projections!$AH$17&amp;"!R"&amp;ROW(B398))</f>
        <v>0.4</v>
      </c>
      <c r="AE417" s="73">
        <f t="shared" si="16"/>
        <v>-2.703738572</v>
      </c>
      <c r="AF417" s="73">
        <f t="shared" si="17"/>
        <v>-1.541637983</v>
      </c>
      <c r="AG417" s="73">
        <f t="shared" si="18"/>
        <v>-1.83142991</v>
      </c>
      <c r="AH417" s="73">
        <f t="shared" si="19"/>
        <v>-1.337584956</v>
      </c>
      <c r="AI417" s="73">
        <f t="shared" si="20"/>
        <v>-1.912459801</v>
      </c>
      <c r="AJ417" s="73">
        <f t="shared" si="21"/>
        <v>-0.9723047469</v>
      </c>
      <c r="AK417" s="73">
        <f t="shared" si="22"/>
        <v>-0.1415047514</v>
      </c>
      <c r="AL417" s="73">
        <f t="shared" si="23"/>
        <v>-0.3992890637</v>
      </c>
      <c r="AM417" s="73">
        <f t="shared" si="24"/>
        <v>0.3344452391</v>
      </c>
      <c r="AN417" s="120">
        <f t="shared" si="25"/>
        <v>-2.703738572</v>
      </c>
      <c r="AO417" s="120">
        <f t="shared" si="26"/>
        <v>-4.616198373</v>
      </c>
      <c r="AP417" s="120">
        <f t="array" ref="AP417">INDIRECT("Update"&amp;Projections!$AH$17&amp;"!S"&amp;ROW(B398))</f>
        <v>2.2</v>
      </c>
      <c r="AQ417" s="120">
        <f t="array" ref="AQ417">INDIRECT("Update"&amp;Projections!$AH$17&amp;"!T"&amp;ROW(B398))</f>
        <v>0.6</v>
      </c>
      <c r="AR417" s="100">
        <f t="shared" si="27"/>
        <v>-8.126245686</v>
      </c>
    </row>
    <row r="418">
      <c r="A418" t="str">
        <f t="shared" si="3"/>
        <v/>
      </c>
      <c r="B418" s="42">
        <f t="shared" si="4"/>
        <v>-3.155358621</v>
      </c>
      <c r="C418" s="43">
        <f t="shared" si="5"/>
        <v>-1.740686581</v>
      </c>
      <c r="D418" s="42">
        <f t="shared" si="6"/>
        <v>-2.380599106</v>
      </c>
      <c r="E418" s="42">
        <f t="shared" si="7"/>
        <v>-1.79320266</v>
      </c>
      <c r="F418" s="42">
        <f t="shared" si="8"/>
        <v>-3.240190514</v>
      </c>
      <c r="G418" s="42">
        <f t="shared" si="9"/>
        <v>-1.329092151</v>
      </c>
      <c r="H418" s="42">
        <f t="shared" si="10"/>
        <v>0</v>
      </c>
      <c r="I418" s="42" t="str">
        <f>UpdateHashtag!S416</f>
        <v/>
      </c>
      <c r="J418" s="47">
        <f t="shared" si="11"/>
        <v>0</v>
      </c>
      <c r="K418" s="48" t="str">
        <f>UpdateHashtag!T416</f>
        <v/>
      </c>
      <c r="L418" s="42">
        <f t="shared" si="12"/>
        <v>-1.734552372</v>
      </c>
      <c r="N418" s="100">
        <f t="shared" si="13"/>
        <v>398</v>
      </c>
      <c r="O418" s="94" t="str">
        <f t="array" ref="O418">INDIRECT("Update"&amp;Projections!$AH$17&amp;"!B"&amp;ROW(B399))</f>
        <v/>
      </c>
      <c r="P418" s="101" t="str">
        <f t="array" ref="P418">INDIRECT("Update"&amp;Projections!$AH$17&amp;"!C"&amp;ROW(B399))</f>
        <v>Vít Krejcí</v>
      </c>
      <c r="Q418" s="94" t="str">
        <f>UpdateHashtag!F448</f>
        <v/>
      </c>
      <c r="R418" s="105" t="str">
        <f t="array" ref="R418">INDIRECT("Update"&amp;Projections!$AH$17&amp;"!D"&amp;ROW(B399))</f>
        <v>SG,SF</v>
      </c>
      <c r="S418" s="73">
        <f t="shared" si="14"/>
        <v>-8.184429602</v>
      </c>
      <c r="T418" s="73">
        <f>SUM(AE418:AM418)-IFERROR(IFS(Projections!$I$17,AN418,Projections!$J$17,AO418),"")</f>
        <v>-8.184429602</v>
      </c>
      <c r="U418" s="73">
        <f t="shared" si="15"/>
        <v>0</v>
      </c>
      <c r="V418" s="73">
        <f t="array" ref="V418">INDIRECT("Update"&amp;Projections!$AH$17&amp;"!M"&amp;ROW(B399))</f>
        <v>2.2</v>
      </c>
      <c r="W418" s="73">
        <f t="array" ref="W418">INDIRECT("Update"&amp;Projections!$AH$17&amp;"!L"&amp;ROW(B399))</f>
        <v>0.4</v>
      </c>
      <c r="X418" s="73">
        <f t="array" ref="X418">INDIRECT("Update"&amp;Projections!$AH$17&amp;"!N"&amp;ROW(B399))</f>
        <v>1</v>
      </c>
      <c r="Y418" s="73">
        <f t="array" ref="Y418">INDIRECT("Update"&amp;Projections!$AH$17&amp;"!O"&amp;ROW(B399))</f>
        <v>0.8</v>
      </c>
      <c r="Z418" s="73">
        <f t="array" ref="Z418">INDIRECT("Update"&amp;Projections!$AH$17&amp;"!P"&amp;ROW(B399))</f>
        <v>0.2</v>
      </c>
      <c r="AA418" s="73">
        <f t="array" ref="AA418">INDIRECT("Update"&amp;Projections!$AH$17&amp;"!Q"&amp;ROW(B399))</f>
        <v>0.1</v>
      </c>
      <c r="AB418" s="107">
        <f t="array" ref="AB418">INDIRECT("Update"&amp;Projections!$AH$17&amp;"!I"&amp;ROW(B399))</f>
        <v>0.469</v>
      </c>
      <c r="AC418" s="107">
        <f t="array" ref="AC418">INDIRECT("Update"&amp;Projections!$AH$17&amp;"!K"&amp;ROW(B399))</f>
        <v>0.8</v>
      </c>
      <c r="AD418" s="73">
        <f t="array" ref="AD418">INDIRECT("Update"&amp;Projections!$AH$17&amp;"!R"&amp;ROW(B399))</f>
        <v>0.3</v>
      </c>
      <c r="AE418" s="73">
        <f t="shared" si="16"/>
        <v>-2.757932978</v>
      </c>
      <c r="AF418" s="73">
        <f t="shared" si="17"/>
        <v>-1.342589385</v>
      </c>
      <c r="AG418" s="73">
        <f t="shared" si="18"/>
        <v>-1.988335395</v>
      </c>
      <c r="AH418" s="73">
        <f t="shared" si="19"/>
        <v>-1.428708496</v>
      </c>
      <c r="AI418" s="73">
        <f t="shared" si="20"/>
        <v>-2.576325158</v>
      </c>
      <c r="AJ418" s="73">
        <f t="shared" si="21"/>
        <v>-1.150698449</v>
      </c>
      <c r="AK418" s="73">
        <f t="shared" si="22"/>
        <v>-0.05881737038</v>
      </c>
      <c r="AL418" s="73">
        <f t="shared" si="23"/>
        <v>0.001801198243</v>
      </c>
      <c r="AM418" s="73">
        <f t="shared" si="24"/>
        <v>0.3592434526</v>
      </c>
      <c r="AN418" s="120">
        <f t="shared" si="25"/>
        <v>-2.757932978</v>
      </c>
      <c r="AO418" s="120">
        <f t="shared" si="26"/>
        <v>-5.334258136</v>
      </c>
      <c r="AP418" s="120">
        <f t="array" ref="AP418">INDIRECT("Update"&amp;Projections!$AH$17&amp;"!S"&amp;ROW(B399))</f>
        <v>1.8</v>
      </c>
      <c r="AQ418" s="120">
        <f t="array" ref="AQ418">INDIRECT("Update"&amp;Projections!$AH$17&amp;"!T"&amp;ROW(B399))</f>
        <v>0.1</v>
      </c>
      <c r="AR418" s="100">
        <f t="shared" si="27"/>
        <v>-8.184429602</v>
      </c>
    </row>
    <row r="419">
      <c r="A419" t="str">
        <f t="shared" si="3"/>
        <v/>
      </c>
      <c r="B419" s="42">
        <f t="shared" si="4"/>
        <v>-3.155358621</v>
      </c>
      <c r="C419" s="43">
        <f t="shared" si="5"/>
        <v>-1.740686581</v>
      </c>
      <c r="D419" s="42">
        <f t="shared" si="6"/>
        <v>-2.380599106</v>
      </c>
      <c r="E419" s="42">
        <f t="shared" si="7"/>
        <v>-1.79320266</v>
      </c>
      <c r="F419" s="42">
        <f t="shared" si="8"/>
        <v>-3.240190514</v>
      </c>
      <c r="G419" s="42">
        <f t="shared" si="9"/>
        <v>-1.329092151</v>
      </c>
      <c r="H419" s="42">
        <f t="shared" si="10"/>
        <v>0</v>
      </c>
      <c r="I419" s="42" t="str">
        <f>UpdateHashtag!S417</f>
        <v/>
      </c>
      <c r="J419" s="47">
        <f t="shared" si="11"/>
        <v>0</v>
      </c>
      <c r="K419" s="48" t="str">
        <f>UpdateHashtag!T417</f>
        <v/>
      </c>
      <c r="L419" s="42">
        <f t="shared" si="12"/>
        <v>-1.734552372</v>
      </c>
      <c r="N419" s="100">
        <f t="shared" si="13"/>
        <v>399</v>
      </c>
      <c r="O419" s="94" t="str">
        <f t="array" ref="O419">INDIRECT("Update"&amp;Projections!$AH$17&amp;"!B"&amp;ROW(B400))</f>
        <v/>
      </c>
      <c r="P419" s="101" t="str">
        <f t="array" ref="P419">INDIRECT("Update"&amp;Projections!$AH$17&amp;"!C"&amp;ROW(B400))</f>
        <v>Anthony Gill</v>
      </c>
      <c r="Q419" s="94" t="str">
        <f>UpdateHashtag!F449</f>
        <v/>
      </c>
      <c r="R419" s="105" t="str">
        <f t="array" ref="R419">INDIRECT("Update"&amp;Projections!$AH$17&amp;"!D"&amp;ROW(B400))</f>
        <v>PF,C</v>
      </c>
      <c r="S419" s="73">
        <f t="shared" si="14"/>
        <v>-8.187833766</v>
      </c>
      <c r="T419" s="73">
        <f>SUM(AE419:AM419)-IFERROR(IFS(Projections!$I$17,AN419,Projections!$J$17,AO419),"")</f>
        <v>-8.187833766</v>
      </c>
      <c r="U419" s="73">
        <f t="shared" si="15"/>
        <v>0</v>
      </c>
      <c r="V419" s="73">
        <f t="array" ref="V419">INDIRECT("Update"&amp;Projections!$AH$17&amp;"!M"&amp;ROW(B400))</f>
        <v>3.1</v>
      </c>
      <c r="W419" s="73">
        <f t="array" ref="W419">INDIRECT("Update"&amp;Projections!$AH$17&amp;"!L"&amp;ROW(B400))</f>
        <v>0.1</v>
      </c>
      <c r="X419" s="73">
        <f t="array" ref="X419">INDIRECT("Update"&amp;Projections!$AH$17&amp;"!N"&amp;ROW(B400))</f>
        <v>1.6</v>
      </c>
      <c r="Y419" s="73">
        <f t="array" ref="Y419">INDIRECT("Update"&amp;Projections!$AH$17&amp;"!O"&amp;ROW(B400))</f>
        <v>0.6</v>
      </c>
      <c r="Z419" s="73">
        <f t="array" ref="Z419">INDIRECT("Update"&amp;Projections!$AH$17&amp;"!P"&amp;ROW(B400))</f>
        <v>0.2</v>
      </c>
      <c r="AA419" s="73">
        <f t="array" ref="AA419">INDIRECT("Update"&amp;Projections!$AH$17&amp;"!Q"&amp;ROW(B400))</f>
        <v>0.2</v>
      </c>
      <c r="AB419" s="107">
        <f t="array" ref="AB419">INDIRECT("Update"&amp;Projections!$AH$17&amp;"!I"&amp;ROW(B400))</f>
        <v>0.5</v>
      </c>
      <c r="AC419" s="107">
        <f t="array" ref="AC419">INDIRECT("Update"&amp;Projections!$AH$17&amp;"!K"&amp;ROW(B400))</f>
        <v>0.762</v>
      </c>
      <c r="AD419" s="73">
        <f t="array" ref="AD419">INDIRECT("Update"&amp;Projections!$AH$17&amp;"!R"&amp;ROW(B400))</f>
        <v>0.3</v>
      </c>
      <c r="AE419" s="73">
        <f t="shared" si="16"/>
        <v>-2.59534976</v>
      </c>
      <c r="AF419" s="73">
        <f t="shared" si="17"/>
        <v>-1.641162282</v>
      </c>
      <c r="AG419" s="73">
        <f t="shared" si="18"/>
        <v>-1.752977168</v>
      </c>
      <c r="AH419" s="73">
        <f t="shared" si="19"/>
        <v>-1.519832037</v>
      </c>
      <c r="AI419" s="73">
        <f t="shared" si="20"/>
        <v>-2.576325158</v>
      </c>
      <c r="AJ419" s="73">
        <f t="shared" si="21"/>
        <v>-0.9723047469</v>
      </c>
      <c r="AK419" s="73">
        <f t="shared" si="22"/>
        <v>0.008773707505</v>
      </c>
      <c r="AL419" s="73">
        <f t="shared" si="23"/>
        <v>-0.09324953405</v>
      </c>
      <c r="AM419" s="73">
        <f t="shared" si="24"/>
        <v>0.3592434526</v>
      </c>
      <c r="AN419" s="120">
        <f t="shared" si="25"/>
        <v>-2.59534976</v>
      </c>
      <c r="AO419" s="120">
        <f t="shared" si="26"/>
        <v>-5.171674918</v>
      </c>
      <c r="AP419" s="120">
        <f t="array" ref="AP419">INDIRECT("Update"&amp;Projections!$AH$17&amp;"!S"&amp;ROW(B400))</f>
        <v>2.4</v>
      </c>
      <c r="AQ419" s="120">
        <f t="array" ref="AQ419">INDIRECT("Update"&amp;Projections!$AH$17&amp;"!T"&amp;ROW(B400))</f>
        <v>0.8</v>
      </c>
      <c r="AR419" s="100">
        <f t="shared" si="27"/>
        <v>-8.187833766</v>
      </c>
    </row>
    <row r="420">
      <c r="A420" t="str">
        <f t="shared" si="3"/>
        <v/>
      </c>
      <c r="B420" s="42">
        <f t="shared" si="4"/>
        <v>-3.155358621</v>
      </c>
      <c r="C420" s="43">
        <f t="shared" si="5"/>
        <v>-1.740686581</v>
      </c>
      <c r="D420" s="42">
        <f t="shared" si="6"/>
        <v>-2.380599106</v>
      </c>
      <c r="E420" s="42">
        <f t="shared" si="7"/>
        <v>-1.79320266</v>
      </c>
      <c r="F420" s="42">
        <f t="shared" si="8"/>
        <v>-3.240190514</v>
      </c>
      <c r="G420" s="42">
        <f t="shared" si="9"/>
        <v>-1.329092151</v>
      </c>
      <c r="H420" s="42">
        <f t="shared" si="10"/>
        <v>0</v>
      </c>
      <c r="I420" s="42" t="str">
        <f>UpdateHashtag!S418</f>
        <v/>
      </c>
      <c r="J420" s="47">
        <f t="shared" si="11"/>
        <v>0</v>
      </c>
      <c r="K420" s="48" t="str">
        <f>UpdateHashtag!T418</f>
        <v/>
      </c>
      <c r="L420" s="42">
        <f t="shared" si="12"/>
        <v>-1.734552372</v>
      </c>
      <c r="N420" s="100">
        <f t="shared" si="13"/>
        <v>400</v>
      </c>
      <c r="O420" s="94" t="str">
        <f t="array" ref="O420">INDIRECT("Update"&amp;Projections!$AH$17&amp;"!B"&amp;ROW(B401))</f>
        <v/>
      </c>
      <c r="P420" s="101" t="str">
        <f t="array" ref="P420">INDIRECT("Update"&amp;Projections!$AH$17&amp;"!C"&amp;ROW(B401))</f>
        <v>Jared McCain</v>
      </c>
      <c r="Q420" s="94" t="str">
        <f>UpdateHashtag!F450</f>
        <v/>
      </c>
      <c r="R420" s="105" t="str">
        <f t="array" ref="R420">INDIRECT("Update"&amp;Projections!$AH$17&amp;"!D"&amp;ROW(B401))</f>
        <v>PG</v>
      </c>
      <c r="S420" s="73">
        <f t="shared" si="14"/>
        <v>-8.295384518</v>
      </c>
      <c r="T420" s="73">
        <f>SUM(AE420:AM420)-IFERROR(IFS(Projections!$I$17,AN420,Projections!$J$17,AO420),"")</f>
        <v>-8.295384518</v>
      </c>
      <c r="U420" s="73">
        <f t="shared" si="15"/>
        <v>0</v>
      </c>
      <c r="V420" s="73">
        <f t="array" ref="V420">INDIRECT("Update"&amp;Projections!$AH$17&amp;"!M"&amp;ROW(B401))</f>
        <v>2.9</v>
      </c>
      <c r="W420" s="73">
        <f t="array" ref="W420">INDIRECT("Update"&amp;Projections!$AH$17&amp;"!L"&amp;ROW(B401))</f>
        <v>0.5</v>
      </c>
      <c r="X420" s="73">
        <f t="array" ref="X420">INDIRECT("Update"&amp;Projections!$AH$17&amp;"!N"&amp;ROW(B401))</f>
        <v>1</v>
      </c>
      <c r="Y420" s="73">
        <f t="array" ref="Y420">INDIRECT("Update"&amp;Projections!$AH$17&amp;"!O"&amp;ROW(B401))</f>
        <v>0.4</v>
      </c>
      <c r="Z420" s="73">
        <f t="array" ref="Z420">INDIRECT("Update"&amp;Projections!$AH$17&amp;"!P"&amp;ROW(B401))</f>
        <v>0.2</v>
      </c>
      <c r="AA420" s="73">
        <f t="array" ref="AA420">INDIRECT("Update"&amp;Projections!$AH$17&amp;"!Q"&amp;ROW(B401))</f>
        <v>0</v>
      </c>
      <c r="AB420" s="107">
        <f t="array" ref="AB420">INDIRECT("Update"&amp;Projections!$AH$17&amp;"!I"&amp;ROW(B401))</f>
        <v>0.462</v>
      </c>
      <c r="AC420" s="107">
        <f t="array" ref="AC420">INDIRECT("Update"&amp;Projections!$AH$17&amp;"!K"&amp;ROW(B401))</f>
        <v>0.896</v>
      </c>
      <c r="AD420" s="73">
        <f t="array" ref="AD420">INDIRECT("Update"&amp;Projections!$AH$17&amp;"!R"&amp;ROW(B401))</f>
        <v>0.3</v>
      </c>
      <c r="AE420" s="73">
        <f t="shared" si="16"/>
        <v>-2.631479364</v>
      </c>
      <c r="AF420" s="73">
        <f t="shared" si="17"/>
        <v>-1.243065086</v>
      </c>
      <c r="AG420" s="73">
        <f t="shared" si="18"/>
        <v>-1.988335395</v>
      </c>
      <c r="AH420" s="73">
        <f t="shared" si="19"/>
        <v>-1.610955578</v>
      </c>
      <c r="AI420" s="73">
        <f t="shared" si="20"/>
        <v>-2.576325158</v>
      </c>
      <c r="AJ420" s="73">
        <f t="shared" si="21"/>
        <v>-1.329092151</v>
      </c>
      <c r="AK420" s="73">
        <f t="shared" si="22"/>
        <v>-0.08584867888</v>
      </c>
      <c r="AL420" s="73">
        <f t="shared" si="23"/>
        <v>0.1789940754</v>
      </c>
      <c r="AM420" s="73">
        <f t="shared" si="24"/>
        <v>0.3592434526</v>
      </c>
      <c r="AN420" s="120">
        <f t="shared" si="25"/>
        <v>-2.631479364</v>
      </c>
      <c r="AO420" s="120">
        <f t="shared" si="26"/>
        <v>-5.207804522</v>
      </c>
      <c r="AP420" s="120">
        <f t="array" ref="AP420">INDIRECT("Update"&amp;Projections!$AH$17&amp;"!S"&amp;ROW(B401))</f>
        <v>2.1</v>
      </c>
      <c r="AQ420" s="120">
        <f t="array" ref="AQ420">INDIRECT("Update"&amp;Projections!$AH$17&amp;"!T"&amp;ROW(B401))</f>
        <v>0.5</v>
      </c>
      <c r="AR420" s="100">
        <f t="shared" si="27"/>
        <v>-8.295384518</v>
      </c>
    </row>
    <row r="421">
      <c r="A421" t="str">
        <f t="shared" si="3"/>
        <v/>
      </c>
      <c r="B421" s="42">
        <f t="shared" si="4"/>
        <v>-3.155358621</v>
      </c>
      <c r="C421" s="43">
        <f t="shared" si="5"/>
        <v>-1.740686581</v>
      </c>
      <c r="D421" s="42">
        <f t="shared" si="6"/>
        <v>-2.380599106</v>
      </c>
      <c r="E421" s="42">
        <f t="shared" si="7"/>
        <v>-1.79320266</v>
      </c>
      <c r="F421" s="42">
        <f t="shared" si="8"/>
        <v>-3.240190514</v>
      </c>
      <c r="G421" s="42">
        <f t="shared" si="9"/>
        <v>-1.329092151</v>
      </c>
      <c r="H421" s="42">
        <f t="shared" si="10"/>
        <v>0</v>
      </c>
      <c r="I421" s="42" t="str">
        <f>UpdateHashtag!S419</f>
        <v/>
      </c>
      <c r="J421" s="47">
        <f t="shared" si="11"/>
        <v>0</v>
      </c>
      <c r="K421" s="48" t="str">
        <f>UpdateHashtag!T419</f>
        <v/>
      </c>
      <c r="L421" s="42">
        <f t="shared" si="12"/>
        <v>-1.734552372</v>
      </c>
      <c r="N421" s="100">
        <f t="shared" si="13"/>
        <v>401</v>
      </c>
      <c r="O421" s="94" t="str">
        <f t="array" ref="O421">INDIRECT("Update"&amp;Projections!$AH$17&amp;"!B"&amp;ROW(B402))</f>
        <v/>
      </c>
      <c r="P421" s="414" t="str">
        <f t="array" ref="P421">INDIRECT("Update"&amp;Projections!$AH$17&amp;"!C"&amp;ROW(B402))</f>
        <v/>
      </c>
      <c r="Q421" s="94" t="str">
        <f>UpdateHashtag!F451</f>
        <v/>
      </c>
      <c r="R421" s="105" t="str">
        <f t="array" ref="R421">INDIRECT("Update"&amp;Projections!$AH$17&amp;"!D"&amp;ROW(B402))</f>
        <v/>
      </c>
      <c r="S421" s="73">
        <f t="shared" si="14"/>
        <v>-9.965301026</v>
      </c>
      <c r="T421" s="73">
        <f>SUM(AE421:AM421)-IFERROR(IFS(Projections!$I$17,AN421,Projections!$J$17,AO421),"")</f>
        <v>-9.965301026</v>
      </c>
      <c r="U421" s="73">
        <f t="shared" si="15"/>
        <v>0</v>
      </c>
      <c r="V421" s="73" t="str">
        <f t="array" ref="V421">INDIRECT("Update"&amp;Projections!$AH$17&amp;"!M"&amp;ROW(B402))</f>
        <v/>
      </c>
      <c r="W421" s="73" t="str">
        <f t="array" ref="W421">INDIRECT("Update"&amp;Projections!$AH$17&amp;"!L"&amp;ROW(B402))</f>
        <v/>
      </c>
      <c r="X421" s="73" t="str">
        <f t="array" ref="X421">INDIRECT("Update"&amp;Projections!$AH$17&amp;"!N"&amp;ROW(B402))</f>
        <v/>
      </c>
      <c r="Y421" s="73" t="str">
        <f t="array" ref="Y421">INDIRECT("Update"&amp;Projections!$AH$17&amp;"!O"&amp;ROW(B402))</f>
        <v/>
      </c>
      <c r="Z421" s="73" t="str">
        <f t="array" ref="Z421">INDIRECT("Update"&amp;Projections!$AH$17&amp;"!P"&amp;ROW(B402))</f>
        <v/>
      </c>
      <c r="AA421" s="73" t="str">
        <f t="array" ref="AA421">INDIRECT("Update"&amp;Projections!$AH$17&amp;"!Q"&amp;ROW(B402))</f>
        <v/>
      </c>
      <c r="AB421" s="107" t="str">
        <f t="array" ref="AB421">INDIRECT("Update"&amp;Projections!$AH$17&amp;"!I"&amp;ROW(B402))</f>
        <v/>
      </c>
      <c r="AC421" s="107" t="str">
        <f t="array" ref="AC421">INDIRECT("Update"&amp;Projections!$AH$17&amp;"!K"&amp;ROW(B402))</f>
        <v/>
      </c>
      <c r="AD421" s="73" t="str">
        <f t="array" ref="AD421">INDIRECT("Update"&amp;Projections!$AH$17&amp;"!R"&amp;ROW(B402))</f>
        <v/>
      </c>
      <c r="AE421" s="73">
        <f t="shared" si="16"/>
        <v>-3.155358621</v>
      </c>
      <c r="AF421" s="73">
        <f t="shared" si="17"/>
        <v>-1.740686581</v>
      </c>
      <c r="AG421" s="73">
        <f t="shared" si="18"/>
        <v>-2.380599106</v>
      </c>
      <c r="AH421" s="73">
        <f t="shared" si="19"/>
        <v>-1.79320266</v>
      </c>
      <c r="AI421" s="73">
        <f t="shared" si="20"/>
        <v>-3.240190514</v>
      </c>
      <c r="AJ421" s="73">
        <f t="shared" si="21"/>
        <v>-1.329092151</v>
      </c>
      <c r="AK421" s="73">
        <f t="shared" si="22"/>
        <v>0</v>
      </c>
      <c r="AL421" s="73">
        <f t="shared" si="23"/>
        <v>0</v>
      </c>
      <c r="AM421" s="73">
        <f t="shared" si="24"/>
        <v>0.433638093</v>
      </c>
      <c r="AN421" s="120">
        <f t="shared" si="25"/>
        <v>-3.240190514</v>
      </c>
      <c r="AO421" s="120">
        <f t="shared" si="26"/>
        <v>-6.395549135</v>
      </c>
      <c r="AP421" s="120" t="str">
        <f t="array" ref="AP421">INDIRECT("Update"&amp;Projections!$AH$17&amp;"!S"&amp;ROW(B402))</f>
        <v/>
      </c>
      <c r="AQ421" s="120" t="str">
        <f t="array" ref="AQ421">INDIRECT("Update"&amp;Projections!$AH$17&amp;"!T"&amp;ROW(B402))</f>
        <v/>
      </c>
      <c r="AR421" s="100">
        <f t="shared" si="27"/>
        <v>-9.965301026</v>
      </c>
    </row>
    <row r="422">
      <c r="A422" t="str">
        <f t="shared" si="3"/>
        <v/>
      </c>
      <c r="B422" s="42">
        <f t="shared" si="4"/>
        <v>-3.155358621</v>
      </c>
      <c r="C422" s="43">
        <f t="shared" si="5"/>
        <v>-1.740686581</v>
      </c>
      <c r="D422" s="42">
        <f t="shared" si="6"/>
        <v>-2.380599106</v>
      </c>
      <c r="E422" s="42">
        <f t="shared" si="7"/>
        <v>-1.79320266</v>
      </c>
      <c r="F422" s="42">
        <f t="shared" si="8"/>
        <v>-3.240190514</v>
      </c>
      <c r="G422" s="42">
        <f t="shared" si="9"/>
        <v>-1.329092151</v>
      </c>
      <c r="H422" s="42">
        <f t="shared" si="10"/>
        <v>0</v>
      </c>
      <c r="I422" s="42" t="str">
        <f>UpdateHashtag!S420</f>
        <v/>
      </c>
      <c r="J422" s="47">
        <f t="shared" si="11"/>
        <v>0</v>
      </c>
      <c r="K422" s="48" t="str">
        <f>UpdateHashtag!T420</f>
        <v/>
      </c>
      <c r="L422" s="42">
        <f t="shared" si="12"/>
        <v>-1.734552372</v>
      </c>
      <c r="N422" s="100">
        <f t="shared" si="13"/>
        <v>401</v>
      </c>
      <c r="O422" s="94" t="str">
        <f t="array" ref="O422">INDIRECT("Update"&amp;Projections!$AH$17&amp;"!B"&amp;ROW(B403))</f>
        <v/>
      </c>
      <c r="P422" s="414" t="str">
        <f t="array" ref="P422">INDIRECT("Update"&amp;Projections!$AH$17&amp;"!C"&amp;ROW(B403))</f>
        <v/>
      </c>
      <c r="Q422" s="94" t="str">
        <f>UpdateHashtag!F452</f>
        <v/>
      </c>
      <c r="R422" s="105" t="str">
        <f t="array" ref="R422">INDIRECT("Update"&amp;Projections!$AH$17&amp;"!D"&amp;ROW(B403))</f>
        <v/>
      </c>
      <c r="S422" s="73">
        <f t="shared" si="14"/>
        <v>-9.965301026</v>
      </c>
      <c r="T422" s="73">
        <f>SUM(AE422:AM422)-IFERROR(IFS(Projections!$I$17,AN422,Projections!$J$17,AO422),"")</f>
        <v>-9.965301026</v>
      </c>
      <c r="U422" s="73">
        <f t="shared" si="15"/>
        <v>0</v>
      </c>
      <c r="V422" s="73" t="str">
        <f t="array" ref="V422">INDIRECT("Update"&amp;Projections!$AH$17&amp;"!M"&amp;ROW(B403))</f>
        <v/>
      </c>
      <c r="W422" s="73" t="str">
        <f t="array" ref="W422">INDIRECT("Update"&amp;Projections!$AH$17&amp;"!L"&amp;ROW(B403))</f>
        <v/>
      </c>
      <c r="X422" s="73" t="str">
        <f t="array" ref="X422">INDIRECT("Update"&amp;Projections!$AH$17&amp;"!N"&amp;ROW(B403))</f>
        <v/>
      </c>
      <c r="Y422" s="73" t="str">
        <f t="array" ref="Y422">INDIRECT("Update"&amp;Projections!$AH$17&amp;"!O"&amp;ROW(B403))</f>
        <v/>
      </c>
      <c r="Z422" s="73" t="str">
        <f t="array" ref="Z422">INDIRECT("Update"&amp;Projections!$AH$17&amp;"!P"&amp;ROW(B403))</f>
        <v/>
      </c>
      <c r="AA422" s="73" t="str">
        <f t="array" ref="AA422">INDIRECT("Update"&amp;Projections!$AH$17&amp;"!Q"&amp;ROW(B403))</f>
        <v/>
      </c>
      <c r="AB422" s="107" t="str">
        <f t="array" ref="AB422">INDIRECT("Update"&amp;Projections!$AH$17&amp;"!I"&amp;ROW(B403))</f>
        <v/>
      </c>
      <c r="AC422" s="107" t="str">
        <f t="array" ref="AC422">INDIRECT("Update"&amp;Projections!$AH$17&amp;"!K"&amp;ROW(B403))</f>
        <v/>
      </c>
      <c r="AD422" s="73" t="str">
        <f t="array" ref="AD422">INDIRECT("Update"&amp;Projections!$AH$17&amp;"!R"&amp;ROW(B403))</f>
        <v/>
      </c>
      <c r="AE422" s="73">
        <f t="shared" si="16"/>
        <v>-3.155358621</v>
      </c>
      <c r="AF422" s="73">
        <f t="shared" si="17"/>
        <v>-1.740686581</v>
      </c>
      <c r="AG422" s="73">
        <f t="shared" si="18"/>
        <v>-2.380599106</v>
      </c>
      <c r="AH422" s="73">
        <f t="shared" si="19"/>
        <v>-1.79320266</v>
      </c>
      <c r="AI422" s="73">
        <f t="shared" si="20"/>
        <v>-3.240190514</v>
      </c>
      <c r="AJ422" s="73">
        <f t="shared" si="21"/>
        <v>-1.329092151</v>
      </c>
      <c r="AK422" s="73">
        <f t="shared" si="22"/>
        <v>0</v>
      </c>
      <c r="AL422" s="73">
        <f t="shared" si="23"/>
        <v>0</v>
      </c>
      <c r="AM422" s="73">
        <f t="shared" si="24"/>
        <v>0.433638093</v>
      </c>
      <c r="AN422" s="120">
        <f t="shared" si="25"/>
        <v>-3.240190514</v>
      </c>
      <c r="AO422" s="120">
        <f t="shared" si="26"/>
        <v>-6.395549135</v>
      </c>
      <c r="AP422" s="120" t="str">
        <f t="array" ref="AP422">INDIRECT("Update"&amp;Projections!$AH$17&amp;"!S"&amp;ROW(B403))</f>
        <v/>
      </c>
      <c r="AQ422" s="120" t="str">
        <f t="array" ref="AQ422">INDIRECT("Update"&amp;Projections!$AH$17&amp;"!T"&amp;ROW(B403))</f>
        <v/>
      </c>
      <c r="AR422" s="100">
        <f t="shared" si="27"/>
        <v>-9.965301026</v>
      </c>
    </row>
    <row r="423">
      <c r="A423" t="str">
        <f t="shared" si="3"/>
        <v/>
      </c>
      <c r="B423" s="42">
        <f t="shared" si="4"/>
        <v>-3.155358621</v>
      </c>
      <c r="C423" s="43">
        <f t="shared" si="5"/>
        <v>-1.740686581</v>
      </c>
      <c r="D423" s="42">
        <f t="shared" si="6"/>
        <v>-2.380599106</v>
      </c>
      <c r="E423" s="42">
        <f t="shared" si="7"/>
        <v>-1.79320266</v>
      </c>
      <c r="F423" s="42">
        <f t="shared" si="8"/>
        <v>-3.240190514</v>
      </c>
      <c r="G423" s="42">
        <f t="shared" si="9"/>
        <v>-1.329092151</v>
      </c>
      <c r="H423" s="42">
        <f t="shared" si="10"/>
        <v>0</v>
      </c>
      <c r="I423" s="42" t="str">
        <f>UpdateHashtag!S421</f>
        <v/>
      </c>
      <c r="J423" s="47">
        <f t="shared" si="11"/>
        <v>0</v>
      </c>
      <c r="K423" s="48" t="str">
        <f>UpdateHashtag!T421</f>
        <v/>
      </c>
      <c r="L423" s="42">
        <f t="shared" si="12"/>
        <v>-1.734552372</v>
      </c>
      <c r="N423" s="100">
        <f t="shared" si="13"/>
        <v>401</v>
      </c>
      <c r="O423" s="94" t="str">
        <f t="array" ref="O423">INDIRECT("Update"&amp;Projections!$AH$17&amp;"!B"&amp;ROW(B404))</f>
        <v/>
      </c>
      <c r="P423" s="414" t="str">
        <f t="array" ref="P423">INDIRECT("Update"&amp;Projections!$AH$17&amp;"!C"&amp;ROW(B404))</f>
        <v/>
      </c>
      <c r="Q423" s="94" t="str">
        <f>UpdateHashtag!F453</f>
        <v/>
      </c>
      <c r="R423" s="105" t="str">
        <f t="array" ref="R423">INDIRECT("Update"&amp;Projections!$AH$17&amp;"!D"&amp;ROW(B404))</f>
        <v/>
      </c>
      <c r="S423" s="73">
        <f t="shared" si="14"/>
        <v>-9.965301026</v>
      </c>
      <c r="T423" s="73">
        <f>SUM(AE423:AM423)-IFERROR(IFS(Projections!$I$17,AN423,Projections!$J$17,AO423),"")</f>
        <v>-9.965301026</v>
      </c>
      <c r="U423" s="73">
        <f t="shared" si="15"/>
        <v>0</v>
      </c>
      <c r="V423" s="73" t="str">
        <f t="array" ref="V423">INDIRECT("Update"&amp;Projections!$AH$17&amp;"!M"&amp;ROW(B404))</f>
        <v/>
      </c>
      <c r="W423" s="73" t="str">
        <f t="array" ref="W423">INDIRECT("Update"&amp;Projections!$AH$17&amp;"!L"&amp;ROW(B404))</f>
        <v/>
      </c>
      <c r="X423" s="73" t="str">
        <f t="array" ref="X423">INDIRECT("Update"&amp;Projections!$AH$17&amp;"!N"&amp;ROW(B404))</f>
        <v/>
      </c>
      <c r="Y423" s="73" t="str">
        <f t="array" ref="Y423">INDIRECT("Update"&amp;Projections!$AH$17&amp;"!O"&amp;ROW(B404))</f>
        <v/>
      </c>
      <c r="Z423" s="73" t="str">
        <f t="array" ref="Z423">INDIRECT("Update"&amp;Projections!$AH$17&amp;"!P"&amp;ROW(B404))</f>
        <v/>
      </c>
      <c r="AA423" s="73" t="str">
        <f t="array" ref="AA423">INDIRECT("Update"&amp;Projections!$AH$17&amp;"!Q"&amp;ROW(B404))</f>
        <v/>
      </c>
      <c r="AB423" s="107" t="str">
        <f t="array" ref="AB423">INDIRECT("Update"&amp;Projections!$AH$17&amp;"!I"&amp;ROW(B404))</f>
        <v/>
      </c>
      <c r="AC423" s="107" t="str">
        <f t="array" ref="AC423">INDIRECT("Update"&amp;Projections!$AH$17&amp;"!K"&amp;ROW(B404))</f>
        <v/>
      </c>
      <c r="AD423" s="73" t="str">
        <f t="array" ref="AD423">INDIRECT("Update"&amp;Projections!$AH$17&amp;"!R"&amp;ROW(B404))</f>
        <v/>
      </c>
      <c r="AE423" s="73">
        <f t="shared" si="16"/>
        <v>-3.155358621</v>
      </c>
      <c r="AF423" s="73">
        <f t="shared" si="17"/>
        <v>-1.740686581</v>
      </c>
      <c r="AG423" s="73">
        <f t="shared" si="18"/>
        <v>-2.380599106</v>
      </c>
      <c r="AH423" s="73">
        <f t="shared" si="19"/>
        <v>-1.79320266</v>
      </c>
      <c r="AI423" s="73">
        <f t="shared" si="20"/>
        <v>-3.240190514</v>
      </c>
      <c r="AJ423" s="73">
        <f t="shared" si="21"/>
        <v>-1.329092151</v>
      </c>
      <c r="AK423" s="73">
        <f t="shared" si="22"/>
        <v>0</v>
      </c>
      <c r="AL423" s="73">
        <f t="shared" si="23"/>
        <v>0</v>
      </c>
      <c r="AM423" s="73">
        <f t="shared" si="24"/>
        <v>0.433638093</v>
      </c>
      <c r="AN423" s="120">
        <f t="shared" si="25"/>
        <v>-3.240190514</v>
      </c>
      <c r="AO423" s="120">
        <f t="shared" si="26"/>
        <v>-6.395549135</v>
      </c>
      <c r="AP423" s="120" t="str">
        <f t="array" ref="AP423">INDIRECT("Update"&amp;Projections!$AH$17&amp;"!S"&amp;ROW(B404))</f>
        <v/>
      </c>
      <c r="AQ423" s="120" t="str">
        <f t="array" ref="AQ423">INDIRECT("Update"&amp;Projections!$AH$17&amp;"!T"&amp;ROW(B404))</f>
        <v/>
      </c>
      <c r="AR423" s="100">
        <f t="shared" si="27"/>
        <v>-9.965301026</v>
      </c>
    </row>
    <row r="424">
      <c r="A424" t="str">
        <f t="shared" si="3"/>
        <v/>
      </c>
      <c r="B424" s="42">
        <f t="shared" si="4"/>
        <v>-3.155358621</v>
      </c>
      <c r="C424" s="43">
        <f t="shared" si="5"/>
        <v>-1.740686581</v>
      </c>
      <c r="D424" s="42">
        <f t="shared" si="6"/>
        <v>-2.380599106</v>
      </c>
      <c r="E424" s="42">
        <f t="shared" si="7"/>
        <v>-1.79320266</v>
      </c>
      <c r="F424" s="42">
        <f t="shared" si="8"/>
        <v>-3.240190514</v>
      </c>
      <c r="G424" s="42">
        <f t="shared" si="9"/>
        <v>-1.329092151</v>
      </c>
      <c r="H424" s="42">
        <f t="shared" si="10"/>
        <v>0</v>
      </c>
      <c r="I424" s="42" t="str">
        <f>UpdateHashtag!S422</f>
        <v/>
      </c>
      <c r="J424" s="47">
        <f t="shared" si="11"/>
        <v>0</v>
      </c>
      <c r="K424" s="48" t="str">
        <f>UpdateHashtag!T422</f>
        <v/>
      </c>
      <c r="L424" s="42">
        <f t="shared" si="12"/>
        <v>-1.734552372</v>
      </c>
      <c r="N424" s="100">
        <f t="shared" si="13"/>
        <v>401</v>
      </c>
      <c r="O424" s="94" t="str">
        <f t="array" ref="O424">INDIRECT("Update"&amp;Projections!$AH$17&amp;"!B"&amp;ROW(B405))</f>
        <v/>
      </c>
      <c r="P424" s="414" t="str">
        <f t="array" ref="P424">INDIRECT("Update"&amp;Projections!$AH$17&amp;"!C"&amp;ROW(B405))</f>
        <v/>
      </c>
      <c r="Q424" s="94" t="str">
        <f>UpdateHashtag!F454</f>
        <v/>
      </c>
      <c r="R424" s="105" t="str">
        <f t="array" ref="R424">INDIRECT("Update"&amp;Projections!$AH$17&amp;"!D"&amp;ROW(B405))</f>
        <v/>
      </c>
      <c r="S424" s="73">
        <f t="shared" si="14"/>
        <v>-9.965301026</v>
      </c>
      <c r="T424" s="73">
        <f>SUM(AE424:AM424)-IFERROR(IFS(Projections!$I$17,AN424,Projections!$J$17,AO424),"")</f>
        <v>-9.965301026</v>
      </c>
      <c r="U424" s="73">
        <f t="shared" si="15"/>
        <v>0</v>
      </c>
      <c r="V424" s="73" t="str">
        <f t="array" ref="V424">INDIRECT("Update"&amp;Projections!$AH$17&amp;"!M"&amp;ROW(B405))</f>
        <v/>
      </c>
      <c r="W424" s="73" t="str">
        <f t="array" ref="W424">INDIRECT("Update"&amp;Projections!$AH$17&amp;"!L"&amp;ROW(B405))</f>
        <v/>
      </c>
      <c r="X424" s="73" t="str">
        <f t="array" ref="X424">INDIRECT("Update"&amp;Projections!$AH$17&amp;"!N"&amp;ROW(B405))</f>
        <v/>
      </c>
      <c r="Y424" s="73" t="str">
        <f t="array" ref="Y424">INDIRECT("Update"&amp;Projections!$AH$17&amp;"!O"&amp;ROW(B405))</f>
        <v/>
      </c>
      <c r="Z424" s="73" t="str">
        <f t="array" ref="Z424">INDIRECT("Update"&amp;Projections!$AH$17&amp;"!P"&amp;ROW(B405))</f>
        <v/>
      </c>
      <c r="AA424" s="73" t="str">
        <f t="array" ref="AA424">INDIRECT("Update"&amp;Projections!$AH$17&amp;"!Q"&amp;ROW(B405))</f>
        <v/>
      </c>
      <c r="AB424" s="107" t="str">
        <f t="array" ref="AB424">INDIRECT("Update"&amp;Projections!$AH$17&amp;"!I"&amp;ROW(B405))</f>
        <v/>
      </c>
      <c r="AC424" s="107" t="str">
        <f t="array" ref="AC424">INDIRECT("Update"&amp;Projections!$AH$17&amp;"!K"&amp;ROW(B405))</f>
        <v/>
      </c>
      <c r="AD424" s="73" t="str">
        <f t="array" ref="AD424">INDIRECT("Update"&amp;Projections!$AH$17&amp;"!R"&amp;ROW(B405))</f>
        <v/>
      </c>
      <c r="AE424" s="73">
        <f t="shared" si="16"/>
        <v>-3.155358621</v>
      </c>
      <c r="AF424" s="73">
        <f t="shared" si="17"/>
        <v>-1.740686581</v>
      </c>
      <c r="AG424" s="73">
        <f t="shared" si="18"/>
        <v>-2.380599106</v>
      </c>
      <c r="AH424" s="73">
        <f t="shared" si="19"/>
        <v>-1.79320266</v>
      </c>
      <c r="AI424" s="73">
        <f t="shared" si="20"/>
        <v>-3.240190514</v>
      </c>
      <c r="AJ424" s="73">
        <f t="shared" si="21"/>
        <v>-1.329092151</v>
      </c>
      <c r="AK424" s="73">
        <f t="shared" si="22"/>
        <v>0</v>
      </c>
      <c r="AL424" s="73">
        <f t="shared" si="23"/>
        <v>0</v>
      </c>
      <c r="AM424" s="73">
        <f t="shared" si="24"/>
        <v>0.433638093</v>
      </c>
      <c r="AN424" s="120">
        <f t="shared" si="25"/>
        <v>-3.240190514</v>
      </c>
      <c r="AO424" s="120">
        <f t="shared" si="26"/>
        <v>-6.395549135</v>
      </c>
      <c r="AP424" s="120" t="str">
        <f t="array" ref="AP424">INDIRECT("Update"&amp;Projections!$AH$17&amp;"!S"&amp;ROW(B405))</f>
        <v/>
      </c>
      <c r="AQ424" s="120" t="str">
        <f t="array" ref="AQ424">INDIRECT("Update"&amp;Projections!$AH$17&amp;"!T"&amp;ROW(B405))</f>
        <v/>
      </c>
      <c r="AR424" s="100">
        <f t="shared" si="27"/>
        <v>-9.965301026</v>
      </c>
    </row>
    <row r="425">
      <c r="A425" t="str">
        <f t="shared" si="3"/>
        <v/>
      </c>
      <c r="B425" s="42">
        <f t="shared" si="4"/>
        <v>-3.155358621</v>
      </c>
      <c r="C425" s="43">
        <f t="shared" si="5"/>
        <v>-1.740686581</v>
      </c>
      <c r="D425" s="42">
        <f t="shared" si="6"/>
        <v>-2.380599106</v>
      </c>
      <c r="E425" s="42">
        <f t="shared" si="7"/>
        <v>-1.79320266</v>
      </c>
      <c r="F425" s="42">
        <f t="shared" si="8"/>
        <v>-3.240190514</v>
      </c>
      <c r="G425" s="42">
        <f t="shared" si="9"/>
        <v>-1.329092151</v>
      </c>
      <c r="H425" s="42">
        <f t="shared" si="10"/>
        <v>0</v>
      </c>
      <c r="I425" s="42" t="str">
        <f>UpdateHashtag!S423</f>
        <v/>
      </c>
      <c r="J425" s="47">
        <f t="shared" si="11"/>
        <v>0</v>
      </c>
      <c r="K425" s="48" t="str">
        <f>UpdateHashtag!T423</f>
        <v/>
      </c>
      <c r="L425" s="42">
        <f t="shared" si="12"/>
        <v>-1.734552372</v>
      </c>
      <c r="N425" s="100">
        <f t="shared" si="13"/>
        <v>401</v>
      </c>
      <c r="O425" s="94" t="str">
        <f t="array" ref="O425">INDIRECT("Update"&amp;Projections!$AH$17&amp;"!B"&amp;ROW(B406))</f>
        <v/>
      </c>
      <c r="P425" s="414" t="str">
        <f t="array" ref="P425">INDIRECT("Update"&amp;Projections!$AH$17&amp;"!C"&amp;ROW(B406))</f>
        <v/>
      </c>
      <c r="Q425" s="94" t="str">
        <f>UpdateHashtag!F455</f>
        <v/>
      </c>
      <c r="R425" s="105" t="str">
        <f t="array" ref="R425">INDIRECT("Update"&amp;Projections!$AH$17&amp;"!D"&amp;ROW(B406))</f>
        <v/>
      </c>
      <c r="S425" s="73">
        <f t="shared" si="14"/>
        <v>-9.965301026</v>
      </c>
      <c r="T425" s="73">
        <f>SUM(AE425:AM425)-IFERROR(IFS(Projections!$I$17,AN425,Projections!$J$17,AO425),"")</f>
        <v>-9.965301026</v>
      </c>
      <c r="U425" s="73">
        <f t="shared" si="15"/>
        <v>0</v>
      </c>
      <c r="V425" s="73" t="str">
        <f t="array" ref="V425">INDIRECT("Update"&amp;Projections!$AH$17&amp;"!M"&amp;ROW(B406))</f>
        <v/>
      </c>
      <c r="W425" s="73" t="str">
        <f t="array" ref="W425">INDIRECT("Update"&amp;Projections!$AH$17&amp;"!L"&amp;ROW(B406))</f>
        <v/>
      </c>
      <c r="X425" s="73" t="str">
        <f t="array" ref="X425">INDIRECT("Update"&amp;Projections!$AH$17&amp;"!N"&amp;ROW(B406))</f>
        <v/>
      </c>
      <c r="Y425" s="73" t="str">
        <f t="array" ref="Y425">INDIRECT("Update"&amp;Projections!$AH$17&amp;"!O"&amp;ROW(B406))</f>
        <v/>
      </c>
      <c r="Z425" s="73" t="str">
        <f t="array" ref="Z425">INDIRECT("Update"&amp;Projections!$AH$17&amp;"!P"&amp;ROW(B406))</f>
        <v/>
      </c>
      <c r="AA425" s="73" t="str">
        <f t="array" ref="AA425">INDIRECT("Update"&amp;Projections!$AH$17&amp;"!Q"&amp;ROW(B406))</f>
        <v/>
      </c>
      <c r="AB425" s="107" t="str">
        <f t="array" ref="AB425">INDIRECT("Update"&amp;Projections!$AH$17&amp;"!I"&amp;ROW(B406))</f>
        <v/>
      </c>
      <c r="AC425" s="107" t="str">
        <f t="array" ref="AC425">INDIRECT("Update"&amp;Projections!$AH$17&amp;"!K"&amp;ROW(B406))</f>
        <v/>
      </c>
      <c r="AD425" s="73" t="str">
        <f t="array" ref="AD425">INDIRECT("Update"&amp;Projections!$AH$17&amp;"!R"&amp;ROW(B406))</f>
        <v/>
      </c>
      <c r="AE425" s="73">
        <f t="shared" si="16"/>
        <v>-3.155358621</v>
      </c>
      <c r="AF425" s="73">
        <f t="shared" si="17"/>
        <v>-1.740686581</v>
      </c>
      <c r="AG425" s="73">
        <f t="shared" si="18"/>
        <v>-2.380599106</v>
      </c>
      <c r="AH425" s="73">
        <f t="shared" si="19"/>
        <v>-1.79320266</v>
      </c>
      <c r="AI425" s="73">
        <f t="shared" si="20"/>
        <v>-3.240190514</v>
      </c>
      <c r="AJ425" s="73">
        <f t="shared" si="21"/>
        <v>-1.329092151</v>
      </c>
      <c r="AK425" s="73">
        <f t="shared" si="22"/>
        <v>0</v>
      </c>
      <c r="AL425" s="73">
        <f t="shared" si="23"/>
        <v>0</v>
      </c>
      <c r="AM425" s="73">
        <f t="shared" si="24"/>
        <v>0.433638093</v>
      </c>
      <c r="AN425" s="120">
        <f t="shared" si="25"/>
        <v>-3.240190514</v>
      </c>
      <c r="AO425" s="120">
        <f t="shared" si="26"/>
        <v>-6.395549135</v>
      </c>
      <c r="AP425" s="120" t="str">
        <f t="array" ref="AP425">INDIRECT("Update"&amp;Projections!$AH$17&amp;"!S"&amp;ROW(B406))</f>
        <v/>
      </c>
      <c r="AQ425" s="120" t="str">
        <f t="array" ref="AQ425">INDIRECT("Update"&amp;Projections!$AH$17&amp;"!T"&amp;ROW(B406))</f>
        <v/>
      </c>
      <c r="AR425" s="100">
        <f t="shared" si="27"/>
        <v>-9.965301026</v>
      </c>
    </row>
    <row r="426">
      <c r="A426" t="str">
        <f t="shared" si="3"/>
        <v/>
      </c>
      <c r="B426" s="42">
        <f t="shared" si="4"/>
        <v>-3.155358621</v>
      </c>
      <c r="C426" s="43">
        <f t="shared" si="5"/>
        <v>-1.740686581</v>
      </c>
      <c r="D426" s="42">
        <f t="shared" si="6"/>
        <v>-2.380599106</v>
      </c>
      <c r="E426" s="42">
        <f t="shared" si="7"/>
        <v>-1.79320266</v>
      </c>
      <c r="F426" s="42">
        <f t="shared" si="8"/>
        <v>-3.240190514</v>
      </c>
      <c r="G426" s="42">
        <f t="shared" si="9"/>
        <v>-1.329092151</v>
      </c>
      <c r="H426" s="42">
        <f t="shared" si="10"/>
        <v>0</v>
      </c>
      <c r="I426" s="42" t="str">
        <f>UpdateHashtag!S424</f>
        <v/>
      </c>
      <c r="J426" s="47">
        <f t="shared" si="11"/>
        <v>0</v>
      </c>
      <c r="K426" s="48" t="str">
        <f>UpdateHashtag!T424</f>
        <v/>
      </c>
      <c r="L426" s="42">
        <f t="shared" si="12"/>
        <v>-1.734552372</v>
      </c>
      <c r="N426" s="100">
        <f t="shared" si="13"/>
        <v>401</v>
      </c>
      <c r="O426" s="94" t="str">
        <f t="array" ref="O426">INDIRECT("Update"&amp;Projections!$AH$17&amp;"!B"&amp;ROW(B407))</f>
        <v/>
      </c>
      <c r="P426" s="414" t="str">
        <f t="array" ref="P426">INDIRECT("Update"&amp;Projections!$AH$17&amp;"!C"&amp;ROW(B407))</f>
        <v/>
      </c>
      <c r="Q426" s="94" t="str">
        <f>UpdateHashtag!F456</f>
        <v/>
      </c>
      <c r="R426" s="105" t="str">
        <f t="array" ref="R426">INDIRECT("Update"&amp;Projections!$AH$17&amp;"!D"&amp;ROW(B407))</f>
        <v/>
      </c>
      <c r="S426" s="73">
        <f t="shared" si="14"/>
        <v>-9.965301026</v>
      </c>
      <c r="T426" s="73">
        <f>SUM(AE426:AM426)-IFERROR(IFS(Projections!$I$17,AN426,Projections!$J$17,AO426),"")</f>
        <v>-9.965301026</v>
      </c>
      <c r="U426" s="73">
        <f t="shared" si="15"/>
        <v>0</v>
      </c>
      <c r="V426" s="73" t="str">
        <f t="array" ref="V426">INDIRECT("Update"&amp;Projections!$AH$17&amp;"!M"&amp;ROW(B407))</f>
        <v/>
      </c>
      <c r="W426" s="73" t="str">
        <f t="array" ref="W426">INDIRECT("Update"&amp;Projections!$AH$17&amp;"!L"&amp;ROW(B407))</f>
        <v/>
      </c>
      <c r="X426" s="73" t="str">
        <f t="array" ref="X426">INDIRECT("Update"&amp;Projections!$AH$17&amp;"!N"&amp;ROW(B407))</f>
        <v/>
      </c>
      <c r="Y426" s="73" t="str">
        <f t="array" ref="Y426">INDIRECT("Update"&amp;Projections!$AH$17&amp;"!O"&amp;ROW(B407))</f>
        <v/>
      </c>
      <c r="Z426" s="73" t="str">
        <f t="array" ref="Z426">INDIRECT("Update"&amp;Projections!$AH$17&amp;"!P"&amp;ROW(B407))</f>
        <v/>
      </c>
      <c r="AA426" s="73" t="str">
        <f t="array" ref="AA426">INDIRECT("Update"&amp;Projections!$AH$17&amp;"!Q"&amp;ROW(B407))</f>
        <v/>
      </c>
      <c r="AB426" s="107" t="str">
        <f t="array" ref="AB426">INDIRECT("Update"&amp;Projections!$AH$17&amp;"!I"&amp;ROW(B407))</f>
        <v/>
      </c>
      <c r="AC426" s="107" t="str">
        <f t="array" ref="AC426">INDIRECT("Update"&amp;Projections!$AH$17&amp;"!K"&amp;ROW(B407))</f>
        <v/>
      </c>
      <c r="AD426" s="73" t="str">
        <f t="array" ref="AD426">INDIRECT("Update"&amp;Projections!$AH$17&amp;"!R"&amp;ROW(B407))</f>
        <v/>
      </c>
      <c r="AE426" s="73">
        <f t="shared" si="16"/>
        <v>-3.155358621</v>
      </c>
      <c r="AF426" s="73">
        <f t="shared" si="17"/>
        <v>-1.740686581</v>
      </c>
      <c r="AG426" s="73">
        <f t="shared" si="18"/>
        <v>-2.380599106</v>
      </c>
      <c r="AH426" s="73">
        <f t="shared" si="19"/>
        <v>-1.79320266</v>
      </c>
      <c r="AI426" s="73">
        <f t="shared" si="20"/>
        <v>-3.240190514</v>
      </c>
      <c r="AJ426" s="73">
        <f t="shared" si="21"/>
        <v>-1.329092151</v>
      </c>
      <c r="AK426" s="73">
        <f t="shared" si="22"/>
        <v>0</v>
      </c>
      <c r="AL426" s="73">
        <f t="shared" si="23"/>
        <v>0</v>
      </c>
      <c r="AM426" s="73">
        <f t="shared" si="24"/>
        <v>0.433638093</v>
      </c>
      <c r="AN426" s="120">
        <f t="shared" si="25"/>
        <v>-3.240190514</v>
      </c>
      <c r="AO426" s="120">
        <f t="shared" si="26"/>
        <v>-6.395549135</v>
      </c>
      <c r="AP426" s="120" t="str">
        <f t="array" ref="AP426">INDIRECT("Update"&amp;Projections!$AH$17&amp;"!S"&amp;ROW(B407))</f>
        <v/>
      </c>
      <c r="AQ426" s="120" t="str">
        <f t="array" ref="AQ426">INDIRECT("Update"&amp;Projections!$AH$17&amp;"!T"&amp;ROW(B407))</f>
        <v/>
      </c>
      <c r="AR426" s="100">
        <f t="shared" si="27"/>
        <v>-9.965301026</v>
      </c>
    </row>
    <row r="427">
      <c r="A427" t="str">
        <f t="shared" si="3"/>
        <v/>
      </c>
      <c r="B427" s="42">
        <f t="shared" si="4"/>
        <v>-3.155358621</v>
      </c>
      <c r="C427" s="43">
        <f t="shared" si="5"/>
        <v>-1.740686581</v>
      </c>
      <c r="D427" s="42">
        <f t="shared" si="6"/>
        <v>-2.380599106</v>
      </c>
      <c r="E427" s="42">
        <f t="shared" si="7"/>
        <v>-1.79320266</v>
      </c>
      <c r="F427" s="42">
        <f t="shared" si="8"/>
        <v>-3.240190514</v>
      </c>
      <c r="G427" s="42">
        <f t="shared" si="9"/>
        <v>-1.329092151</v>
      </c>
      <c r="H427" s="42">
        <f t="shared" si="10"/>
        <v>0</v>
      </c>
      <c r="I427" s="42" t="str">
        <f>UpdateHashtag!S425</f>
        <v/>
      </c>
      <c r="J427" s="47">
        <f t="shared" si="11"/>
        <v>0</v>
      </c>
      <c r="K427" s="48" t="str">
        <f>UpdateHashtag!T425</f>
        <v/>
      </c>
      <c r="L427" s="42">
        <f t="shared" si="12"/>
        <v>-1.734552372</v>
      </c>
      <c r="N427" s="100">
        <f t="shared" si="13"/>
        <v>401</v>
      </c>
      <c r="O427" s="94" t="str">
        <f t="array" ref="O427">INDIRECT("Update"&amp;Projections!$AH$17&amp;"!B"&amp;ROW(B408))</f>
        <v/>
      </c>
      <c r="P427" s="414" t="str">
        <f t="array" ref="P427">INDIRECT("Update"&amp;Projections!$AH$17&amp;"!C"&amp;ROW(B408))</f>
        <v/>
      </c>
      <c r="Q427" s="94" t="str">
        <f>UpdateHashtag!F457</f>
        <v/>
      </c>
      <c r="R427" s="105" t="str">
        <f t="array" ref="R427">INDIRECT("Update"&amp;Projections!$AH$17&amp;"!D"&amp;ROW(B408))</f>
        <v/>
      </c>
      <c r="S427" s="73">
        <f t="shared" si="14"/>
        <v>-9.965301026</v>
      </c>
      <c r="T427" s="73">
        <f>SUM(AE427:AM427)-IFERROR(IFS(Projections!$I$17,AN427,Projections!$J$17,AO427),"")</f>
        <v>-9.965301026</v>
      </c>
      <c r="U427" s="73">
        <f t="shared" si="15"/>
        <v>0</v>
      </c>
      <c r="V427" s="73" t="str">
        <f t="array" ref="V427">INDIRECT("Update"&amp;Projections!$AH$17&amp;"!M"&amp;ROW(B408))</f>
        <v/>
      </c>
      <c r="W427" s="73" t="str">
        <f t="array" ref="W427">INDIRECT("Update"&amp;Projections!$AH$17&amp;"!L"&amp;ROW(B408))</f>
        <v/>
      </c>
      <c r="X427" s="73" t="str">
        <f t="array" ref="X427">INDIRECT("Update"&amp;Projections!$AH$17&amp;"!N"&amp;ROW(B408))</f>
        <v/>
      </c>
      <c r="Y427" s="73" t="str">
        <f t="array" ref="Y427">INDIRECT("Update"&amp;Projections!$AH$17&amp;"!O"&amp;ROW(B408))</f>
        <v/>
      </c>
      <c r="Z427" s="73" t="str">
        <f t="array" ref="Z427">INDIRECT("Update"&amp;Projections!$AH$17&amp;"!P"&amp;ROW(B408))</f>
        <v/>
      </c>
      <c r="AA427" s="73" t="str">
        <f t="array" ref="AA427">INDIRECT("Update"&amp;Projections!$AH$17&amp;"!Q"&amp;ROW(B408))</f>
        <v/>
      </c>
      <c r="AB427" s="107" t="str">
        <f t="array" ref="AB427">INDIRECT("Update"&amp;Projections!$AH$17&amp;"!I"&amp;ROW(B408))</f>
        <v/>
      </c>
      <c r="AC427" s="107" t="str">
        <f t="array" ref="AC427">INDIRECT("Update"&amp;Projections!$AH$17&amp;"!K"&amp;ROW(B408))</f>
        <v/>
      </c>
      <c r="AD427" s="73" t="str">
        <f t="array" ref="AD427">INDIRECT("Update"&amp;Projections!$AH$17&amp;"!R"&amp;ROW(B408))</f>
        <v/>
      </c>
      <c r="AE427" s="73">
        <f t="shared" si="16"/>
        <v>-3.155358621</v>
      </c>
      <c r="AF427" s="73">
        <f t="shared" si="17"/>
        <v>-1.740686581</v>
      </c>
      <c r="AG427" s="73">
        <f t="shared" si="18"/>
        <v>-2.380599106</v>
      </c>
      <c r="AH427" s="73">
        <f t="shared" si="19"/>
        <v>-1.79320266</v>
      </c>
      <c r="AI427" s="73">
        <f t="shared" si="20"/>
        <v>-3.240190514</v>
      </c>
      <c r="AJ427" s="73">
        <f t="shared" si="21"/>
        <v>-1.329092151</v>
      </c>
      <c r="AK427" s="73">
        <f t="shared" si="22"/>
        <v>0</v>
      </c>
      <c r="AL427" s="73">
        <f t="shared" si="23"/>
        <v>0</v>
      </c>
      <c r="AM427" s="73">
        <f t="shared" si="24"/>
        <v>0.433638093</v>
      </c>
      <c r="AN427" s="120">
        <f t="shared" si="25"/>
        <v>-3.240190514</v>
      </c>
      <c r="AO427" s="120">
        <f t="shared" si="26"/>
        <v>-6.395549135</v>
      </c>
      <c r="AP427" s="120" t="str">
        <f t="array" ref="AP427">INDIRECT("Update"&amp;Projections!$AH$17&amp;"!S"&amp;ROW(B408))</f>
        <v/>
      </c>
      <c r="AQ427" s="120" t="str">
        <f t="array" ref="AQ427">INDIRECT("Update"&amp;Projections!$AH$17&amp;"!T"&amp;ROW(B408))</f>
        <v/>
      </c>
      <c r="AR427" s="100">
        <f t="shared" si="27"/>
        <v>-9.965301026</v>
      </c>
    </row>
    <row r="428">
      <c r="A428" t="str">
        <f t="shared" si="3"/>
        <v/>
      </c>
      <c r="B428" s="42">
        <f t="shared" si="4"/>
        <v>-3.155358621</v>
      </c>
      <c r="C428" s="43">
        <f t="shared" si="5"/>
        <v>-1.740686581</v>
      </c>
      <c r="D428" s="42">
        <f t="shared" si="6"/>
        <v>-2.380599106</v>
      </c>
      <c r="E428" s="42">
        <f t="shared" si="7"/>
        <v>-1.79320266</v>
      </c>
      <c r="F428" s="42">
        <f t="shared" si="8"/>
        <v>-3.240190514</v>
      </c>
      <c r="G428" s="42">
        <f t="shared" si="9"/>
        <v>-1.329092151</v>
      </c>
      <c r="H428" s="42">
        <f t="shared" si="10"/>
        <v>0</v>
      </c>
      <c r="I428" s="42" t="str">
        <f>UpdateHashtag!S426</f>
        <v/>
      </c>
      <c r="J428" s="47">
        <f t="shared" si="11"/>
        <v>0</v>
      </c>
      <c r="K428" s="48" t="str">
        <f>UpdateHashtag!T426</f>
        <v/>
      </c>
      <c r="L428" s="42">
        <f t="shared" si="12"/>
        <v>-1.734552372</v>
      </c>
      <c r="N428" s="100">
        <f t="shared" si="13"/>
        <v>401</v>
      </c>
      <c r="O428" s="94" t="str">
        <f t="array" ref="O428">INDIRECT("Update"&amp;Projections!$AH$17&amp;"!B"&amp;ROW(B409))</f>
        <v/>
      </c>
      <c r="P428" s="414" t="str">
        <f t="array" ref="P428">INDIRECT("Update"&amp;Projections!$AH$17&amp;"!C"&amp;ROW(B409))</f>
        <v/>
      </c>
      <c r="Q428" s="94" t="str">
        <f>UpdateHashtag!F458</f>
        <v/>
      </c>
      <c r="R428" s="105" t="str">
        <f t="array" ref="R428">INDIRECT("Update"&amp;Projections!$AH$17&amp;"!D"&amp;ROW(B409))</f>
        <v/>
      </c>
      <c r="S428" s="73">
        <f t="shared" si="14"/>
        <v>-9.965301026</v>
      </c>
      <c r="T428" s="73">
        <f>SUM(AE428:AM428)-IFERROR(IFS(Projections!$I$17,AN428,Projections!$J$17,AO428),"")</f>
        <v>-9.965301026</v>
      </c>
      <c r="U428" s="73">
        <f t="shared" si="15"/>
        <v>0</v>
      </c>
      <c r="V428" s="73" t="str">
        <f t="array" ref="V428">INDIRECT("Update"&amp;Projections!$AH$17&amp;"!M"&amp;ROW(B409))</f>
        <v/>
      </c>
      <c r="W428" s="73" t="str">
        <f t="array" ref="W428">INDIRECT("Update"&amp;Projections!$AH$17&amp;"!L"&amp;ROW(B409))</f>
        <v/>
      </c>
      <c r="X428" s="73" t="str">
        <f t="array" ref="X428">INDIRECT("Update"&amp;Projections!$AH$17&amp;"!N"&amp;ROW(B409))</f>
        <v/>
      </c>
      <c r="Y428" s="73" t="str">
        <f t="array" ref="Y428">INDIRECT("Update"&amp;Projections!$AH$17&amp;"!O"&amp;ROW(B409))</f>
        <v/>
      </c>
      <c r="Z428" s="73" t="str">
        <f t="array" ref="Z428">INDIRECT("Update"&amp;Projections!$AH$17&amp;"!P"&amp;ROW(B409))</f>
        <v/>
      </c>
      <c r="AA428" s="73" t="str">
        <f t="array" ref="AA428">INDIRECT("Update"&amp;Projections!$AH$17&amp;"!Q"&amp;ROW(B409))</f>
        <v/>
      </c>
      <c r="AB428" s="107" t="str">
        <f t="array" ref="AB428">INDIRECT("Update"&amp;Projections!$AH$17&amp;"!I"&amp;ROW(B409))</f>
        <v/>
      </c>
      <c r="AC428" s="107" t="str">
        <f t="array" ref="AC428">INDIRECT("Update"&amp;Projections!$AH$17&amp;"!K"&amp;ROW(B409))</f>
        <v/>
      </c>
      <c r="AD428" s="73" t="str">
        <f t="array" ref="AD428">INDIRECT("Update"&amp;Projections!$AH$17&amp;"!R"&amp;ROW(B409))</f>
        <v/>
      </c>
      <c r="AE428" s="73">
        <f t="shared" si="16"/>
        <v>-3.155358621</v>
      </c>
      <c r="AF428" s="73">
        <f t="shared" si="17"/>
        <v>-1.740686581</v>
      </c>
      <c r="AG428" s="73">
        <f t="shared" si="18"/>
        <v>-2.380599106</v>
      </c>
      <c r="AH428" s="73">
        <f t="shared" si="19"/>
        <v>-1.79320266</v>
      </c>
      <c r="AI428" s="73">
        <f t="shared" si="20"/>
        <v>-3.240190514</v>
      </c>
      <c r="AJ428" s="73">
        <f t="shared" si="21"/>
        <v>-1.329092151</v>
      </c>
      <c r="AK428" s="73">
        <f t="shared" si="22"/>
        <v>0</v>
      </c>
      <c r="AL428" s="73">
        <f t="shared" si="23"/>
        <v>0</v>
      </c>
      <c r="AM428" s="73">
        <f t="shared" si="24"/>
        <v>0.433638093</v>
      </c>
      <c r="AN428" s="120">
        <f t="shared" si="25"/>
        <v>-3.240190514</v>
      </c>
      <c r="AO428" s="120">
        <f t="shared" si="26"/>
        <v>-6.395549135</v>
      </c>
      <c r="AP428" s="120" t="str">
        <f t="array" ref="AP428">INDIRECT("Update"&amp;Projections!$AH$17&amp;"!S"&amp;ROW(B409))</f>
        <v/>
      </c>
      <c r="AQ428" s="120" t="str">
        <f t="array" ref="AQ428">INDIRECT("Update"&amp;Projections!$AH$17&amp;"!T"&amp;ROW(B409))</f>
        <v/>
      </c>
      <c r="AR428" s="100">
        <f t="shared" si="27"/>
        <v>-9.965301026</v>
      </c>
    </row>
    <row r="429">
      <c r="A429" t="str">
        <f t="shared" si="3"/>
        <v/>
      </c>
      <c r="B429" s="42">
        <f t="shared" si="4"/>
        <v>-3.155358621</v>
      </c>
      <c r="C429" s="43">
        <f t="shared" si="5"/>
        <v>-1.740686581</v>
      </c>
      <c r="D429" s="42">
        <f t="shared" si="6"/>
        <v>-2.380599106</v>
      </c>
      <c r="E429" s="42">
        <f t="shared" si="7"/>
        <v>-1.79320266</v>
      </c>
      <c r="F429" s="42">
        <f t="shared" si="8"/>
        <v>-3.240190514</v>
      </c>
      <c r="G429" s="42">
        <f t="shared" si="9"/>
        <v>-1.329092151</v>
      </c>
      <c r="H429" s="42">
        <f t="shared" si="10"/>
        <v>0</v>
      </c>
      <c r="I429" s="42" t="str">
        <f>UpdateHashtag!S427</f>
        <v/>
      </c>
      <c r="J429" s="47">
        <f t="shared" si="11"/>
        <v>0</v>
      </c>
      <c r="K429" s="48" t="str">
        <f>UpdateHashtag!T427</f>
        <v/>
      </c>
      <c r="L429" s="42">
        <f t="shared" si="12"/>
        <v>-1.734552372</v>
      </c>
      <c r="N429" s="100">
        <f t="shared" si="13"/>
        <v>401</v>
      </c>
      <c r="O429" s="94" t="str">
        <f t="array" ref="O429">INDIRECT("Update"&amp;Projections!$AH$17&amp;"!B"&amp;ROW(B410))</f>
        <v/>
      </c>
      <c r="P429" s="414" t="str">
        <f t="array" ref="P429">INDIRECT("Update"&amp;Projections!$AH$17&amp;"!C"&amp;ROW(B410))</f>
        <v/>
      </c>
      <c r="Q429" s="94" t="str">
        <f>UpdateHashtag!F459</f>
        <v/>
      </c>
      <c r="R429" s="105" t="str">
        <f t="array" ref="R429">INDIRECT("Update"&amp;Projections!$AH$17&amp;"!D"&amp;ROW(B410))</f>
        <v/>
      </c>
      <c r="S429" s="73">
        <f t="shared" si="14"/>
        <v>-9.965301026</v>
      </c>
      <c r="T429" s="73">
        <f>SUM(AE429:AM429)-IFERROR(IFS(Projections!$I$17,AN429,Projections!$J$17,AO429),"")</f>
        <v>-9.965301026</v>
      </c>
      <c r="U429" s="73">
        <f t="shared" si="15"/>
        <v>0</v>
      </c>
      <c r="V429" s="73" t="str">
        <f t="array" ref="V429">INDIRECT("Update"&amp;Projections!$AH$17&amp;"!M"&amp;ROW(B410))</f>
        <v/>
      </c>
      <c r="W429" s="73" t="str">
        <f t="array" ref="W429">INDIRECT("Update"&amp;Projections!$AH$17&amp;"!L"&amp;ROW(B410))</f>
        <v/>
      </c>
      <c r="X429" s="73" t="str">
        <f t="array" ref="X429">INDIRECT("Update"&amp;Projections!$AH$17&amp;"!N"&amp;ROW(B410))</f>
        <v/>
      </c>
      <c r="Y429" s="73" t="str">
        <f t="array" ref="Y429">INDIRECT("Update"&amp;Projections!$AH$17&amp;"!O"&amp;ROW(B410))</f>
        <v/>
      </c>
      <c r="Z429" s="73" t="str">
        <f t="array" ref="Z429">INDIRECT("Update"&amp;Projections!$AH$17&amp;"!P"&amp;ROW(B410))</f>
        <v/>
      </c>
      <c r="AA429" s="73" t="str">
        <f t="array" ref="AA429">INDIRECT("Update"&amp;Projections!$AH$17&amp;"!Q"&amp;ROW(B410))</f>
        <v/>
      </c>
      <c r="AB429" s="107" t="str">
        <f t="array" ref="AB429">INDIRECT("Update"&amp;Projections!$AH$17&amp;"!I"&amp;ROW(B410))</f>
        <v/>
      </c>
      <c r="AC429" s="107" t="str">
        <f t="array" ref="AC429">INDIRECT("Update"&amp;Projections!$AH$17&amp;"!K"&amp;ROW(B410))</f>
        <v/>
      </c>
      <c r="AD429" s="73" t="str">
        <f t="array" ref="AD429">INDIRECT("Update"&amp;Projections!$AH$17&amp;"!R"&amp;ROW(B410))</f>
        <v/>
      </c>
      <c r="AE429" s="73">
        <f t="shared" si="16"/>
        <v>-3.155358621</v>
      </c>
      <c r="AF429" s="73">
        <f t="shared" si="17"/>
        <v>-1.740686581</v>
      </c>
      <c r="AG429" s="73">
        <f t="shared" si="18"/>
        <v>-2.380599106</v>
      </c>
      <c r="AH429" s="73">
        <f t="shared" si="19"/>
        <v>-1.79320266</v>
      </c>
      <c r="AI429" s="73">
        <f t="shared" si="20"/>
        <v>-3.240190514</v>
      </c>
      <c r="AJ429" s="73">
        <f t="shared" si="21"/>
        <v>-1.329092151</v>
      </c>
      <c r="AK429" s="73">
        <f t="shared" si="22"/>
        <v>0</v>
      </c>
      <c r="AL429" s="73">
        <f t="shared" si="23"/>
        <v>0</v>
      </c>
      <c r="AM429" s="73">
        <f t="shared" si="24"/>
        <v>0.433638093</v>
      </c>
      <c r="AN429" s="120">
        <f t="shared" si="25"/>
        <v>-3.240190514</v>
      </c>
      <c r="AO429" s="120">
        <f t="shared" si="26"/>
        <v>-6.395549135</v>
      </c>
      <c r="AP429" s="120" t="str">
        <f t="array" ref="AP429">INDIRECT("Update"&amp;Projections!$AH$17&amp;"!S"&amp;ROW(B410))</f>
        <v/>
      </c>
      <c r="AQ429" s="120" t="str">
        <f t="array" ref="AQ429">INDIRECT("Update"&amp;Projections!$AH$17&amp;"!T"&amp;ROW(B410))</f>
        <v/>
      </c>
      <c r="AR429" s="100">
        <f t="shared" si="27"/>
        <v>-9.965301026</v>
      </c>
    </row>
    <row r="430">
      <c r="A430" t="str">
        <f t="shared" si="3"/>
        <v/>
      </c>
      <c r="B430" s="42">
        <f t="shared" si="4"/>
        <v>-3.155358621</v>
      </c>
      <c r="C430" s="43">
        <f t="shared" si="5"/>
        <v>-1.740686581</v>
      </c>
      <c r="D430" s="42">
        <f t="shared" si="6"/>
        <v>-2.380599106</v>
      </c>
      <c r="E430" s="42">
        <f t="shared" si="7"/>
        <v>-1.79320266</v>
      </c>
      <c r="F430" s="42">
        <f t="shared" si="8"/>
        <v>-3.240190514</v>
      </c>
      <c r="G430" s="42">
        <f t="shared" si="9"/>
        <v>-1.329092151</v>
      </c>
      <c r="H430" s="42">
        <f t="shared" si="10"/>
        <v>0</v>
      </c>
      <c r="I430" s="42" t="str">
        <f>UpdateHashtag!S428</f>
        <v/>
      </c>
      <c r="J430" s="47">
        <f t="shared" si="11"/>
        <v>0</v>
      </c>
      <c r="K430" s="48" t="str">
        <f>UpdateHashtag!T428</f>
        <v/>
      </c>
      <c r="L430" s="42">
        <f t="shared" si="12"/>
        <v>-1.734552372</v>
      </c>
      <c r="N430" s="100">
        <f t="shared" si="13"/>
        <v>401</v>
      </c>
      <c r="O430" s="94" t="str">
        <f t="array" ref="O430">INDIRECT("Update"&amp;Projections!$AH$17&amp;"!B"&amp;ROW(B411))</f>
        <v/>
      </c>
      <c r="P430" s="414" t="str">
        <f t="array" ref="P430">INDIRECT("Update"&amp;Projections!$AH$17&amp;"!C"&amp;ROW(B411))</f>
        <v/>
      </c>
      <c r="Q430" s="94" t="str">
        <f>UpdateHashtag!F460</f>
        <v/>
      </c>
      <c r="R430" s="105" t="str">
        <f t="array" ref="R430">INDIRECT("Update"&amp;Projections!$AH$17&amp;"!D"&amp;ROW(B411))</f>
        <v/>
      </c>
      <c r="S430" s="73">
        <f t="shared" si="14"/>
        <v>-9.965301026</v>
      </c>
      <c r="T430" s="73">
        <f>SUM(AE430:AM430)-IFERROR(IFS(Projections!$I$17,AN430,Projections!$J$17,AO430),"")</f>
        <v>-9.965301026</v>
      </c>
      <c r="U430" s="73">
        <f t="shared" si="15"/>
        <v>0</v>
      </c>
      <c r="V430" s="73" t="str">
        <f t="array" ref="V430">INDIRECT("Update"&amp;Projections!$AH$17&amp;"!M"&amp;ROW(B411))</f>
        <v/>
      </c>
      <c r="W430" s="73" t="str">
        <f t="array" ref="W430">INDIRECT("Update"&amp;Projections!$AH$17&amp;"!L"&amp;ROW(B411))</f>
        <v/>
      </c>
      <c r="X430" s="73" t="str">
        <f t="array" ref="X430">INDIRECT("Update"&amp;Projections!$AH$17&amp;"!N"&amp;ROW(B411))</f>
        <v/>
      </c>
      <c r="Y430" s="73" t="str">
        <f t="array" ref="Y430">INDIRECT("Update"&amp;Projections!$AH$17&amp;"!O"&amp;ROW(B411))</f>
        <v/>
      </c>
      <c r="Z430" s="73" t="str">
        <f t="array" ref="Z430">INDIRECT("Update"&amp;Projections!$AH$17&amp;"!P"&amp;ROW(B411))</f>
        <v/>
      </c>
      <c r="AA430" s="73" t="str">
        <f t="array" ref="AA430">INDIRECT("Update"&amp;Projections!$AH$17&amp;"!Q"&amp;ROW(B411))</f>
        <v/>
      </c>
      <c r="AB430" s="107" t="str">
        <f t="array" ref="AB430">INDIRECT("Update"&amp;Projections!$AH$17&amp;"!I"&amp;ROW(B411))</f>
        <v/>
      </c>
      <c r="AC430" s="107" t="str">
        <f t="array" ref="AC430">INDIRECT("Update"&amp;Projections!$AH$17&amp;"!K"&amp;ROW(B411))</f>
        <v/>
      </c>
      <c r="AD430" s="73" t="str">
        <f t="array" ref="AD430">INDIRECT("Update"&amp;Projections!$AH$17&amp;"!R"&amp;ROW(B411))</f>
        <v/>
      </c>
      <c r="AE430" s="73">
        <f t="shared" si="16"/>
        <v>-3.155358621</v>
      </c>
      <c r="AF430" s="73">
        <f t="shared" si="17"/>
        <v>-1.740686581</v>
      </c>
      <c r="AG430" s="73">
        <f t="shared" si="18"/>
        <v>-2.380599106</v>
      </c>
      <c r="AH430" s="73">
        <f t="shared" si="19"/>
        <v>-1.79320266</v>
      </c>
      <c r="AI430" s="73">
        <f t="shared" si="20"/>
        <v>-3.240190514</v>
      </c>
      <c r="AJ430" s="73">
        <f t="shared" si="21"/>
        <v>-1.329092151</v>
      </c>
      <c r="AK430" s="73">
        <f t="shared" si="22"/>
        <v>0</v>
      </c>
      <c r="AL430" s="73">
        <f t="shared" si="23"/>
        <v>0</v>
      </c>
      <c r="AM430" s="73">
        <f t="shared" si="24"/>
        <v>0.433638093</v>
      </c>
      <c r="AN430" s="120">
        <f t="shared" si="25"/>
        <v>-3.240190514</v>
      </c>
      <c r="AO430" s="120">
        <f t="shared" si="26"/>
        <v>-6.395549135</v>
      </c>
      <c r="AP430" s="120" t="str">
        <f t="array" ref="AP430">INDIRECT("Update"&amp;Projections!$AH$17&amp;"!S"&amp;ROW(B411))</f>
        <v/>
      </c>
      <c r="AQ430" s="120" t="str">
        <f t="array" ref="AQ430">INDIRECT("Update"&amp;Projections!$AH$17&amp;"!T"&amp;ROW(B411))</f>
        <v/>
      </c>
      <c r="AR430" s="100">
        <f t="shared" si="27"/>
        <v>-9.965301026</v>
      </c>
    </row>
    <row r="431">
      <c r="A431" t="str">
        <f t="shared" si="3"/>
        <v/>
      </c>
      <c r="B431" s="42">
        <f t="shared" si="4"/>
        <v>-3.155358621</v>
      </c>
      <c r="C431" s="43">
        <f t="shared" si="5"/>
        <v>-1.740686581</v>
      </c>
      <c r="D431" s="42">
        <f t="shared" si="6"/>
        <v>-2.380599106</v>
      </c>
      <c r="E431" s="42">
        <f t="shared" si="7"/>
        <v>-1.79320266</v>
      </c>
      <c r="F431" s="42">
        <f t="shared" si="8"/>
        <v>-3.240190514</v>
      </c>
      <c r="G431" s="42">
        <f t="shared" si="9"/>
        <v>-1.329092151</v>
      </c>
      <c r="H431" s="42">
        <f t="shared" si="10"/>
        <v>0</v>
      </c>
      <c r="I431" s="42" t="str">
        <f>UpdateHashtag!S429</f>
        <v/>
      </c>
      <c r="J431" s="47">
        <f t="shared" si="11"/>
        <v>0</v>
      </c>
      <c r="K431" s="48" t="str">
        <f>UpdateHashtag!T429</f>
        <v/>
      </c>
      <c r="L431" s="42">
        <f t="shared" si="12"/>
        <v>-1.734552372</v>
      </c>
      <c r="N431" s="100">
        <f t="shared" si="13"/>
        <v>401</v>
      </c>
      <c r="O431" s="94" t="str">
        <f t="array" ref="O431">INDIRECT("Update"&amp;Projections!$AH$17&amp;"!B"&amp;ROW(B412))</f>
        <v/>
      </c>
      <c r="P431" s="414" t="str">
        <f t="array" ref="P431">INDIRECT("Update"&amp;Projections!$AH$17&amp;"!C"&amp;ROW(B412))</f>
        <v/>
      </c>
      <c r="Q431" s="94" t="str">
        <f>UpdateHashtag!F461</f>
        <v/>
      </c>
      <c r="R431" s="105" t="str">
        <f t="array" ref="R431">INDIRECT("Update"&amp;Projections!$AH$17&amp;"!D"&amp;ROW(B412))</f>
        <v/>
      </c>
      <c r="S431" s="73">
        <f t="shared" si="14"/>
        <v>-9.965301026</v>
      </c>
      <c r="T431" s="73">
        <f>SUM(AE431:AM431)-IFERROR(IFS(Projections!$I$17,AN431,Projections!$J$17,AO431),"")</f>
        <v>-9.965301026</v>
      </c>
      <c r="U431" s="73">
        <f t="shared" si="15"/>
        <v>0</v>
      </c>
      <c r="V431" s="73" t="str">
        <f t="array" ref="V431">INDIRECT("Update"&amp;Projections!$AH$17&amp;"!M"&amp;ROW(B412))</f>
        <v/>
      </c>
      <c r="W431" s="73" t="str">
        <f t="array" ref="W431">INDIRECT("Update"&amp;Projections!$AH$17&amp;"!L"&amp;ROW(B412))</f>
        <v/>
      </c>
      <c r="X431" s="73" t="str">
        <f t="array" ref="X431">INDIRECT("Update"&amp;Projections!$AH$17&amp;"!N"&amp;ROW(B412))</f>
        <v/>
      </c>
      <c r="Y431" s="73" t="str">
        <f t="array" ref="Y431">INDIRECT("Update"&amp;Projections!$AH$17&amp;"!O"&amp;ROW(B412))</f>
        <v/>
      </c>
      <c r="Z431" s="73" t="str">
        <f t="array" ref="Z431">INDIRECT("Update"&amp;Projections!$AH$17&amp;"!P"&amp;ROW(B412))</f>
        <v/>
      </c>
      <c r="AA431" s="73" t="str">
        <f t="array" ref="AA431">INDIRECT("Update"&amp;Projections!$AH$17&amp;"!Q"&amp;ROW(B412))</f>
        <v/>
      </c>
      <c r="AB431" s="107" t="str">
        <f t="array" ref="AB431">INDIRECT("Update"&amp;Projections!$AH$17&amp;"!I"&amp;ROW(B412))</f>
        <v/>
      </c>
      <c r="AC431" s="107" t="str">
        <f t="array" ref="AC431">INDIRECT("Update"&amp;Projections!$AH$17&amp;"!K"&amp;ROW(B412))</f>
        <v/>
      </c>
      <c r="AD431" s="73" t="str">
        <f t="array" ref="AD431">INDIRECT("Update"&amp;Projections!$AH$17&amp;"!R"&amp;ROW(B412))</f>
        <v/>
      </c>
      <c r="AE431" s="73">
        <f t="shared" si="16"/>
        <v>-3.155358621</v>
      </c>
      <c r="AF431" s="73">
        <f t="shared" si="17"/>
        <v>-1.740686581</v>
      </c>
      <c r="AG431" s="73">
        <f t="shared" si="18"/>
        <v>-2.380599106</v>
      </c>
      <c r="AH431" s="73">
        <f t="shared" si="19"/>
        <v>-1.79320266</v>
      </c>
      <c r="AI431" s="73">
        <f t="shared" si="20"/>
        <v>-3.240190514</v>
      </c>
      <c r="AJ431" s="73">
        <f t="shared" si="21"/>
        <v>-1.329092151</v>
      </c>
      <c r="AK431" s="73">
        <f t="shared" si="22"/>
        <v>0</v>
      </c>
      <c r="AL431" s="73">
        <f t="shared" si="23"/>
        <v>0</v>
      </c>
      <c r="AM431" s="73">
        <f t="shared" si="24"/>
        <v>0.433638093</v>
      </c>
      <c r="AN431" s="120">
        <f t="shared" si="25"/>
        <v>-3.240190514</v>
      </c>
      <c r="AO431" s="120">
        <f t="shared" si="26"/>
        <v>-6.395549135</v>
      </c>
      <c r="AP431" s="120" t="str">
        <f t="array" ref="AP431">INDIRECT("Update"&amp;Projections!$AH$17&amp;"!S"&amp;ROW(B412))</f>
        <v/>
      </c>
      <c r="AQ431" s="120" t="str">
        <f t="array" ref="AQ431">INDIRECT("Update"&amp;Projections!$AH$17&amp;"!T"&amp;ROW(B412))</f>
        <v/>
      </c>
      <c r="AR431" s="100">
        <f t="shared" si="27"/>
        <v>-9.965301026</v>
      </c>
    </row>
    <row r="432">
      <c r="A432" t="str">
        <f t="shared" si="3"/>
        <v/>
      </c>
      <c r="B432" s="42">
        <f t="shared" si="4"/>
        <v>-3.155358621</v>
      </c>
      <c r="C432" s="43">
        <f t="shared" si="5"/>
        <v>-1.740686581</v>
      </c>
      <c r="D432" s="42">
        <f t="shared" si="6"/>
        <v>-2.380599106</v>
      </c>
      <c r="E432" s="42">
        <f t="shared" si="7"/>
        <v>-1.79320266</v>
      </c>
      <c r="F432" s="42">
        <f t="shared" si="8"/>
        <v>-3.240190514</v>
      </c>
      <c r="G432" s="42">
        <f t="shared" si="9"/>
        <v>-1.329092151</v>
      </c>
      <c r="H432" s="42">
        <f t="shared" si="10"/>
        <v>0</v>
      </c>
      <c r="I432" s="42" t="str">
        <f>UpdateHashtag!S430</f>
        <v/>
      </c>
      <c r="J432" s="47">
        <f t="shared" si="11"/>
        <v>0</v>
      </c>
      <c r="K432" s="48" t="str">
        <f>UpdateHashtag!T430</f>
        <v/>
      </c>
      <c r="L432" s="42">
        <f t="shared" si="12"/>
        <v>-1.734552372</v>
      </c>
      <c r="N432" s="100">
        <f t="shared" si="13"/>
        <v>401</v>
      </c>
      <c r="O432" s="94" t="str">
        <f t="array" ref="O432">INDIRECT("Update"&amp;Projections!$AH$17&amp;"!B"&amp;ROW(B413))</f>
        <v/>
      </c>
      <c r="P432" s="414" t="str">
        <f t="array" ref="P432">INDIRECT("Update"&amp;Projections!$AH$17&amp;"!C"&amp;ROW(B413))</f>
        <v/>
      </c>
      <c r="Q432" s="94" t="str">
        <f>UpdateHashtag!F462</f>
        <v/>
      </c>
      <c r="R432" s="105" t="str">
        <f t="array" ref="R432">INDIRECT("Update"&amp;Projections!$AH$17&amp;"!D"&amp;ROW(B413))</f>
        <v/>
      </c>
      <c r="S432" s="73">
        <f t="shared" si="14"/>
        <v>-9.965301026</v>
      </c>
      <c r="T432" s="73">
        <f>SUM(AE432:AM432)-IFERROR(IFS(Projections!$I$17,AN432,Projections!$J$17,AO432),"")</f>
        <v>-9.965301026</v>
      </c>
      <c r="U432" s="73">
        <f t="shared" si="15"/>
        <v>0</v>
      </c>
      <c r="V432" s="73" t="str">
        <f t="array" ref="V432">INDIRECT("Update"&amp;Projections!$AH$17&amp;"!M"&amp;ROW(B413))</f>
        <v/>
      </c>
      <c r="W432" s="73" t="str">
        <f t="array" ref="W432">INDIRECT("Update"&amp;Projections!$AH$17&amp;"!L"&amp;ROW(B413))</f>
        <v/>
      </c>
      <c r="X432" s="73" t="str">
        <f t="array" ref="X432">INDIRECT("Update"&amp;Projections!$AH$17&amp;"!N"&amp;ROW(B413))</f>
        <v/>
      </c>
      <c r="Y432" s="73" t="str">
        <f t="array" ref="Y432">INDIRECT("Update"&amp;Projections!$AH$17&amp;"!O"&amp;ROW(B413))</f>
        <v/>
      </c>
      <c r="Z432" s="73" t="str">
        <f t="array" ref="Z432">INDIRECT("Update"&amp;Projections!$AH$17&amp;"!P"&amp;ROW(B413))</f>
        <v/>
      </c>
      <c r="AA432" s="73" t="str">
        <f t="array" ref="AA432">INDIRECT("Update"&amp;Projections!$AH$17&amp;"!Q"&amp;ROW(B413))</f>
        <v/>
      </c>
      <c r="AB432" s="107" t="str">
        <f t="array" ref="AB432">INDIRECT("Update"&amp;Projections!$AH$17&amp;"!I"&amp;ROW(B413))</f>
        <v/>
      </c>
      <c r="AC432" s="107" t="str">
        <f t="array" ref="AC432">INDIRECT("Update"&amp;Projections!$AH$17&amp;"!K"&amp;ROW(B413))</f>
        <v/>
      </c>
      <c r="AD432" s="73" t="str">
        <f t="array" ref="AD432">INDIRECT("Update"&amp;Projections!$AH$17&amp;"!R"&amp;ROW(B413))</f>
        <v/>
      </c>
      <c r="AE432" s="73">
        <f t="shared" si="16"/>
        <v>-3.155358621</v>
      </c>
      <c r="AF432" s="73">
        <f t="shared" si="17"/>
        <v>-1.740686581</v>
      </c>
      <c r="AG432" s="73">
        <f t="shared" si="18"/>
        <v>-2.380599106</v>
      </c>
      <c r="AH432" s="73">
        <f t="shared" si="19"/>
        <v>-1.79320266</v>
      </c>
      <c r="AI432" s="73">
        <f t="shared" si="20"/>
        <v>-3.240190514</v>
      </c>
      <c r="AJ432" s="73">
        <f t="shared" si="21"/>
        <v>-1.329092151</v>
      </c>
      <c r="AK432" s="73">
        <f t="shared" si="22"/>
        <v>0</v>
      </c>
      <c r="AL432" s="73">
        <f t="shared" si="23"/>
        <v>0</v>
      </c>
      <c r="AM432" s="73">
        <f t="shared" si="24"/>
        <v>0.433638093</v>
      </c>
      <c r="AN432" s="120">
        <f t="shared" si="25"/>
        <v>-3.240190514</v>
      </c>
      <c r="AO432" s="120">
        <f t="shared" si="26"/>
        <v>-6.395549135</v>
      </c>
      <c r="AP432" s="120" t="str">
        <f t="array" ref="AP432">INDIRECT("Update"&amp;Projections!$AH$17&amp;"!S"&amp;ROW(B413))</f>
        <v/>
      </c>
      <c r="AQ432" s="120" t="str">
        <f t="array" ref="AQ432">INDIRECT("Update"&amp;Projections!$AH$17&amp;"!T"&amp;ROW(B413))</f>
        <v/>
      </c>
      <c r="AR432" s="100">
        <f t="shared" si="27"/>
        <v>-9.965301026</v>
      </c>
    </row>
    <row r="433">
      <c r="A433" t="str">
        <f t="shared" si="3"/>
        <v/>
      </c>
      <c r="B433" s="42">
        <f t="shared" si="4"/>
        <v>-3.155358621</v>
      </c>
      <c r="C433" s="43">
        <f t="shared" si="5"/>
        <v>-1.740686581</v>
      </c>
      <c r="D433" s="42">
        <f t="shared" si="6"/>
        <v>-2.380599106</v>
      </c>
      <c r="E433" s="42">
        <f t="shared" si="7"/>
        <v>-1.79320266</v>
      </c>
      <c r="F433" s="42">
        <f t="shared" si="8"/>
        <v>-3.240190514</v>
      </c>
      <c r="G433" s="42">
        <f t="shared" si="9"/>
        <v>-1.329092151</v>
      </c>
      <c r="H433" s="42">
        <f t="shared" si="10"/>
        <v>0</v>
      </c>
      <c r="I433" s="42" t="str">
        <f>UpdateHashtag!S431</f>
        <v/>
      </c>
      <c r="J433" s="47">
        <f t="shared" si="11"/>
        <v>0</v>
      </c>
      <c r="K433" s="48" t="str">
        <f>UpdateHashtag!T431</f>
        <v/>
      </c>
      <c r="L433" s="42">
        <f t="shared" si="12"/>
        <v>-1.734552372</v>
      </c>
      <c r="N433" s="100">
        <f t="shared" si="13"/>
        <v>401</v>
      </c>
      <c r="O433" s="94" t="str">
        <f t="array" ref="O433">INDIRECT("Update"&amp;Projections!$AH$17&amp;"!B"&amp;ROW(B414))</f>
        <v/>
      </c>
      <c r="P433" s="414" t="str">
        <f t="array" ref="P433">INDIRECT("Update"&amp;Projections!$AH$17&amp;"!C"&amp;ROW(B414))</f>
        <v/>
      </c>
      <c r="Q433" s="94" t="str">
        <f>UpdateHashtag!F463</f>
        <v/>
      </c>
      <c r="R433" s="105" t="str">
        <f t="array" ref="R433">INDIRECT("Update"&amp;Projections!$AH$17&amp;"!D"&amp;ROW(B414))</f>
        <v/>
      </c>
      <c r="S433" s="73">
        <f t="shared" si="14"/>
        <v>-9.965301026</v>
      </c>
      <c r="T433" s="73">
        <f>SUM(AE433:AM433)-IFERROR(IFS(Projections!$I$17,AN433,Projections!$J$17,AO433),"")</f>
        <v>-9.965301026</v>
      </c>
      <c r="U433" s="73">
        <f t="shared" si="15"/>
        <v>0</v>
      </c>
      <c r="V433" s="73" t="str">
        <f t="array" ref="V433">INDIRECT("Update"&amp;Projections!$AH$17&amp;"!M"&amp;ROW(B414))</f>
        <v/>
      </c>
      <c r="W433" s="73" t="str">
        <f t="array" ref="W433">INDIRECT("Update"&amp;Projections!$AH$17&amp;"!L"&amp;ROW(B414))</f>
        <v/>
      </c>
      <c r="X433" s="73" t="str">
        <f t="array" ref="X433">INDIRECT("Update"&amp;Projections!$AH$17&amp;"!N"&amp;ROW(B414))</f>
        <v/>
      </c>
      <c r="Y433" s="73" t="str">
        <f t="array" ref="Y433">INDIRECT("Update"&amp;Projections!$AH$17&amp;"!O"&amp;ROW(B414))</f>
        <v/>
      </c>
      <c r="Z433" s="73" t="str">
        <f t="array" ref="Z433">INDIRECT("Update"&amp;Projections!$AH$17&amp;"!P"&amp;ROW(B414))</f>
        <v/>
      </c>
      <c r="AA433" s="73" t="str">
        <f t="array" ref="AA433">INDIRECT("Update"&amp;Projections!$AH$17&amp;"!Q"&amp;ROW(B414))</f>
        <v/>
      </c>
      <c r="AB433" s="107" t="str">
        <f t="array" ref="AB433">INDIRECT("Update"&amp;Projections!$AH$17&amp;"!I"&amp;ROW(B414))</f>
        <v/>
      </c>
      <c r="AC433" s="107" t="str">
        <f t="array" ref="AC433">INDIRECT("Update"&amp;Projections!$AH$17&amp;"!K"&amp;ROW(B414))</f>
        <v/>
      </c>
      <c r="AD433" s="73" t="str">
        <f t="array" ref="AD433">INDIRECT("Update"&amp;Projections!$AH$17&amp;"!R"&amp;ROW(B414))</f>
        <v/>
      </c>
      <c r="AE433" s="73">
        <f t="shared" si="16"/>
        <v>-3.155358621</v>
      </c>
      <c r="AF433" s="73">
        <f t="shared" si="17"/>
        <v>-1.740686581</v>
      </c>
      <c r="AG433" s="73">
        <f t="shared" si="18"/>
        <v>-2.380599106</v>
      </c>
      <c r="AH433" s="73">
        <f t="shared" si="19"/>
        <v>-1.79320266</v>
      </c>
      <c r="AI433" s="73">
        <f t="shared" si="20"/>
        <v>-3.240190514</v>
      </c>
      <c r="AJ433" s="73">
        <f t="shared" si="21"/>
        <v>-1.329092151</v>
      </c>
      <c r="AK433" s="73">
        <f t="shared" si="22"/>
        <v>0</v>
      </c>
      <c r="AL433" s="73">
        <f t="shared" si="23"/>
        <v>0</v>
      </c>
      <c r="AM433" s="73">
        <f t="shared" si="24"/>
        <v>0.433638093</v>
      </c>
      <c r="AN433" s="120">
        <f t="shared" si="25"/>
        <v>-3.240190514</v>
      </c>
      <c r="AO433" s="120">
        <f t="shared" si="26"/>
        <v>-6.395549135</v>
      </c>
      <c r="AP433" s="120" t="str">
        <f t="array" ref="AP433">INDIRECT("Update"&amp;Projections!$AH$17&amp;"!S"&amp;ROW(B414))</f>
        <v/>
      </c>
      <c r="AQ433" s="120" t="str">
        <f t="array" ref="AQ433">INDIRECT("Update"&amp;Projections!$AH$17&amp;"!T"&amp;ROW(B414))</f>
        <v/>
      </c>
      <c r="AR433" s="100">
        <f t="shared" si="27"/>
        <v>-9.965301026</v>
      </c>
    </row>
    <row r="434">
      <c r="A434" t="str">
        <f t="shared" si="3"/>
        <v/>
      </c>
      <c r="B434" s="42">
        <f t="shared" si="4"/>
        <v>-3.155358621</v>
      </c>
      <c r="C434" s="43">
        <f t="shared" si="5"/>
        <v>-1.740686581</v>
      </c>
      <c r="D434" s="42">
        <f t="shared" si="6"/>
        <v>-2.380599106</v>
      </c>
      <c r="E434" s="42">
        <f t="shared" si="7"/>
        <v>-1.79320266</v>
      </c>
      <c r="F434" s="42">
        <f t="shared" si="8"/>
        <v>-3.240190514</v>
      </c>
      <c r="G434" s="42">
        <f t="shared" si="9"/>
        <v>-1.329092151</v>
      </c>
      <c r="H434" s="42">
        <f t="shared" si="10"/>
        <v>0</v>
      </c>
      <c r="I434" s="42" t="str">
        <f>UpdateHashtag!S432</f>
        <v/>
      </c>
      <c r="J434" s="47">
        <f t="shared" si="11"/>
        <v>0</v>
      </c>
      <c r="K434" s="48" t="str">
        <f>UpdateHashtag!T432</f>
        <v/>
      </c>
      <c r="L434" s="42">
        <f t="shared" si="12"/>
        <v>-1.734552372</v>
      </c>
      <c r="N434" s="100">
        <f t="shared" si="13"/>
        <v>401</v>
      </c>
      <c r="O434" s="94" t="str">
        <f t="array" ref="O434">INDIRECT("Update"&amp;Projections!$AH$17&amp;"!B"&amp;ROW(B415))</f>
        <v/>
      </c>
      <c r="P434" s="414" t="str">
        <f t="array" ref="P434">INDIRECT("Update"&amp;Projections!$AH$17&amp;"!C"&amp;ROW(B415))</f>
        <v/>
      </c>
      <c r="Q434" s="94" t="str">
        <f>UpdateHashtag!F464</f>
        <v/>
      </c>
      <c r="R434" s="105" t="str">
        <f t="array" ref="R434">INDIRECT("Update"&amp;Projections!$AH$17&amp;"!D"&amp;ROW(B415))</f>
        <v/>
      </c>
      <c r="S434" s="73">
        <f t="shared" si="14"/>
        <v>-9.965301026</v>
      </c>
      <c r="T434" s="73">
        <f>SUM(AE434:AM434)-IFERROR(IFS(Projections!$I$17,AN434,Projections!$J$17,AO434),"")</f>
        <v>-9.965301026</v>
      </c>
      <c r="U434" s="73">
        <f t="shared" si="15"/>
        <v>0</v>
      </c>
      <c r="V434" s="73" t="str">
        <f t="array" ref="V434">INDIRECT("Update"&amp;Projections!$AH$17&amp;"!M"&amp;ROW(B415))</f>
        <v/>
      </c>
      <c r="W434" s="73" t="str">
        <f t="array" ref="W434">INDIRECT("Update"&amp;Projections!$AH$17&amp;"!L"&amp;ROW(B415))</f>
        <v/>
      </c>
      <c r="X434" s="73" t="str">
        <f t="array" ref="X434">INDIRECT("Update"&amp;Projections!$AH$17&amp;"!N"&amp;ROW(B415))</f>
        <v/>
      </c>
      <c r="Y434" s="73" t="str">
        <f t="array" ref="Y434">INDIRECT("Update"&amp;Projections!$AH$17&amp;"!O"&amp;ROW(B415))</f>
        <v/>
      </c>
      <c r="Z434" s="73" t="str">
        <f t="array" ref="Z434">INDIRECT("Update"&amp;Projections!$AH$17&amp;"!P"&amp;ROW(B415))</f>
        <v/>
      </c>
      <c r="AA434" s="73" t="str">
        <f t="array" ref="AA434">INDIRECT("Update"&amp;Projections!$AH$17&amp;"!Q"&amp;ROW(B415))</f>
        <v/>
      </c>
      <c r="AB434" s="107" t="str">
        <f t="array" ref="AB434">INDIRECT("Update"&amp;Projections!$AH$17&amp;"!I"&amp;ROW(B415))</f>
        <v/>
      </c>
      <c r="AC434" s="107" t="str">
        <f t="array" ref="AC434">INDIRECT("Update"&amp;Projections!$AH$17&amp;"!K"&amp;ROW(B415))</f>
        <v/>
      </c>
      <c r="AD434" s="73" t="str">
        <f t="array" ref="AD434">INDIRECT("Update"&amp;Projections!$AH$17&amp;"!R"&amp;ROW(B415))</f>
        <v/>
      </c>
      <c r="AE434" s="73">
        <f t="shared" si="16"/>
        <v>-3.155358621</v>
      </c>
      <c r="AF434" s="73">
        <f t="shared" si="17"/>
        <v>-1.740686581</v>
      </c>
      <c r="AG434" s="73">
        <f t="shared" si="18"/>
        <v>-2.380599106</v>
      </c>
      <c r="AH434" s="73">
        <f t="shared" si="19"/>
        <v>-1.79320266</v>
      </c>
      <c r="AI434" s="73">
        <f t="shared" si="20"/>
        <v>-3.240190514</v>
      </c>
      <c r="AJ434" s="73">
        <f t="shared" si="21"/>
        <v>-1.329092151</v>
      </c>
      <c r="AK434" s="73">
        <f t="shared" si="22"/>
        <v>0</v>
      </c>
      <c r="AL434" s="73">
        <f t="shared" si="23"/>
        <v>0</v>
      </c>
      <c r="AM434" s="73">
        <f t="shared" si="24"/>
        <v>0.433638093</v>
      </c>
      <c r="AN434" s="120">
        <f t="shared" si="25"/>
        <v>-3.240190514</v>
      </c>
      <c r="AO434" s="120">
        <f t="shared" si="26"/>
        <v>-6.395549135</v>
      </c>
      <c r="AP434" s="120" t="str">
        <f t="array" ref="AP434">INDIRECT("Update"&amp;Projections!$AH$17&amp;"!S"&amp;ROW(B415))</f>
        <v/>
      </c>
      <c r="AQ434" s="120" t="str">
        <f t="array" ref="AQ434">INDIRECT("Update"&amp;Projections!$AH$17&amp;"!T"&amp;ROW(B415))</f>
        <v/>
      </c>
      <c r="AR434" s="100">
        <f t="shared" si="27"/>
        <v>-9.965301026</v>
      </c>
    </row>
    <row r="435">
      <c r="A435" t="str">
        <f t="shared" si="3"/>
        <v/>
      </c>
      <c r="B435" s="42">
        <f t="shared" si="4"/>
        <v>-3.155358621</v>
      </c>
      <c r="C435" s="43">
        <f t="shared" si="5"/>
        <v>-1.740686581</v>
      </c>
      <c r="D435" s="42">
        <f t="shared" si="6"/>
        <v>-2.380599106</v>
      </c>
      <c r="E435" s="42">
        <f t="shared" si="7"/>
        <v>-1.79320266</v>
      </c>
      <c r="F435" s="42">
        <f t="shared" si="8"/>
        <v>-3.240190514</v>
      </c>
      <c r="G435" s="42">
        <f t="shared" si="9"/>
        <v>-1.329092151</v>
      </c>
      <c r="H435" s="42">
        <f t="shared" si="10"/>
        <v>0</v>
      </c>
      <c r="I435" s="42" t="str">
        <f>UpdateHashtag!S433</f>
        <v/>
      </c>
      <c r="J435" s="47">
        <f t="shared" si="11"/>
        <v>0</v>
      </c>
      <c r="K435" s="48" t="str">
        <f>UpdateHashtag!T433</f>
        <v/>
      </c>
      <c r="L435" s="42">
        <f t="shared" si="12"/>
        <v>-1.734552372</v>
      </c>
      <c r="N435" s="100">
        <f t="shared" si="13"/>
        <v>401</v>
      </c>
      <c r="O435" s="94" t="str">
        <f t="array" ref="O435">INDIRECT("Update"&amp;Projections!$AH$17&amp;"!B"&amp;ROW(B416))</f>
        <v/>
      </c>
      <c r="P435" s="414" t="str">
        <f t="array" ref="P435">INDIRECT("Update"&amp;Projections!$AH$17&amp;"!C"&amp;ROW(B416))</f>
        <v/>
      </c>
      <c r="Q435" s="94" t="str">
        <f>UpdateHashtag!F465</f>
        <v/>
      </c>
      <c r="R435" s="105" t="str">
        <f t="array" ref="R435">INDIRECT("Update"&amp;Projections!$AH$17&amp;"!D"&amp;ROW(B416))</f>
        <v/>
      </c>
      <c r="S435" s="73">
        <f t="shared" si="14"/>
        <v>-9.965301026</v>
      </c>
      <c r="T435" s="73">
        <f>SUM(AE435:AM435)-IFERROR(IFS(Projections!$I$17,AN435,Projections!$J$17,AO435),"")</f>
        <v>-9.965301026</v>
      </c>
      <c r="U435" s="73">
        <f t="shared" si="15"/>
        <v>0</v>
      </c>
      <c r="V435" s="73" t="str">
        <f t="array" ref="V435">INDIRECT("Update"&amp;Projections!$AH$17&amp;"!M"&amp;ROW(B416))</f>
        <v/>
      </c>
      <c r="W435" s="73" t="str">
        <f t="array" ref="W435">INDIRECT("Update"&amp;Projections!$AH$17&amp;"!L"&amp;ROW(B416))</f>
        <v/>
      </c>
      <c r="X435" s="73" t="str">
        <f t="array" ref="X435">INDIRECT("Update"&amp;Projections!$AH$17&amp;"!N"&amp;ROW(B416))</f>
        <v/>
      </c>
      <c r="Y435" s="73" t="str">
        <f t="array" ref="Y435">INDIRECT("Update"&amp;Projections!$AH$17&amp;"!O"&amp;ROW(B416))</f>
        <v/>
      </c>
      <c r="Z435" s="73" t="str">
        <f t="array" ref="Z435">INDIRECT("Update"&amp;Projections!$AH$17&amp;"!P"&amp;ROW(B416))</f>
        <v/>
      </c>
      <c r="AA435" s="73" t="str">
        <f t="array" ref="AA435">INDIRECT("Update"&amp;Projections!$AH$17&amp;"!Q"&amp;ROW(B416))</f>
        <v/>
      </c>
      <c r="AB435" s="107" t="str">
        <f t="array" ref="AB435">INDIRECT("Update"&amp;Projections!$AH$17&amp;"!I"&amp;ROW(B416))</f>
        <v/>
      </c>
      <c r="AC435" s="107" t="str">
        <f t="array" ref="AC435">INDIRECT("Update"&amp;Projections!$AH$17&amp;"!K"&amp;ROW(B416))</f>
        <v/>
      </c>
      <c r="AD435" s="73" t="str">
        <f t="array" ref="AD435">INDIRECT("Update"&amp;Projections!$AH$17&amp;"!R"&amp;ROW(B416))</f>
        <v/>
      </c>
      <c r="AE435" s="73">
        <f t="shared" si="16"/>
        <v>-3.155358621</v>
      </c>
      <c r="AF435" s="73">
        <f t="shared" si="17"/>
        <v>-1.740686581</v>
      </c>
      <c r="AG435" s="73">
        <f t="shared" si="18"/>
        <v>-2.380599106</v>
      </c>
      <c r="AH435" s="73">
        <f t="shared" si="19"/>
        <v>-1.79320266</v>
      </c>
      <c r="AI435" s="73">
        <f t="shared" si="20"/>
        <v>-3.240190514</v>
      </c>
      <c r="AJ435" s="73">
        <f t="shared" si="21"/>
        <v>-1.329092151</v>
      </c>
      <c r="AK435" s="73">
        <f t="shared" si="22"/>
        <v>0</v>
      </c>
      <c r="AL435" s="73">
        <f t="shared" si="23"/>
        <v>0</v>
      </c>
      <c r="AM435" s="73">
        <f t="shared" si="24"/>
        <v>0.433638093</v>
      </c>
      <c r="AN435" s="120">
        <f t="shared" si="25"/>
        <v>-3.240190514</v>
      </c>
      <c r="AO435" s="120">
        <f t="shared" si="26"/>
        <v>-6.395549135</v>
      </c>
      <c r="AP435" s="120" t="str">
        <f t="array" ref="AP435">INDIRECT("Update"&amp;Projections!$AH$17&amp;"!S"&amp;ROW(B416))</f>
        <v/>
      </c>
      <c r="AQ435" s="120" t="str">
        <f t="array" ref="AQ435">INDIRECT("Update"&amp;Projections!$AH$17&amp;"!T"&amp;ROW(B416))</f>
        <v/>
      </c>
      <c r="AR435" s="100">
        <f t="shared" si="27"/>
        <v>-9.965301026</v>
      </c>
    </row>
    <row r="436">
      <c r="A436" t="str">
        <f t="shared" si="3"/>
        <v/>
      </c>
      <c r="B436" s="42">
        <f t="shared" si="4"/>
        <v>-3.155358621</v>
      </c>
      <c r="C436" s="43">
        <f t="shared" si="5"/>
        <v>-1.740686581</v>
      </c>
      <c r="D436" s="42">
        <f t="shared" si="6"/>
        <v>-2.380599106</v>
      </c>
      <c r="E436" s="42">
        <f t="shared" si="7"/>
        <v>-1.79320266</v>
      </c>
      <c r="F436" s="42">
        <f t="shared" si="8"/>
        <v>-3.240190514</v>
      </c>
      <c r="G436" s="42">
        <f t="shared" si="9"/>
        <v>-1.329092151</v>
      </c>
      <c r="H436" s="42">
        <f t="shared" si="10"/>
        <v>0</v>
      </c>
      <c r="I436" s="42" t="str">
        <f>UpdateHashtag!S434</f>
        <v/>
      </c>
      <c r="J436" s="47">
        <f t="shared" si="11"/>
        <v>0</v>
      </c>
      <c r="K436" s="48" t="str">
        <f>UpdateHashtag!T434</f>
        <v/>
      </c>
      <c r="L436" s="42">
        <f t="shared" si="12"/>
        <v>-1.734552372</v>
      </c>
      <c r="N436" s="100">
        <f t="shared" si="13"/>
        <v>401</v>
      </c>
      <c r="O436" s="94" t="str">
        <f t="array" ref="O436">INDIRECT("Update"&amp;Projections!$AH$17&amp;"!B"&amp;ROW(B417))</f>
        <v/>
      </c>
      <c r="P436" s="414" t="str">
        <f t="array" ref="P436">INDIRECT("Update"&amp;Projections!$AH$17&amp;"!C"&amp;ROW(B417))</f>
        <v/>
      </c>
      <c r="Q436" s="94" t="str">
        <f>UpdateHashtag!F466</f>
        <v/>
      </c>
      <c r="R436" s="105" t="str">
        <f t="array" ref="R436">INDIRECT("Update"&amp;Projections!$AH$17&amp;"!D"&amp;ROW(B417))</f>
        <v/>
      </c>
      <c r="S436" s="73">
        <f t="shared" si="14"/>
        <v>-9.965301026</v>
      </c>
      <c r="T436" s="73">
        <f>SUM(AE436:AM436)-IFERROR(IFS(Projections!$I$17,AN436,Projections!$J$17,AO436),"")</f>
        <v>-9.965301026</v>
      </c>
      <c r="U436" s="73">
        <f t="shared" si="15"/>
        <v>0</v>
      </c>
      <c r="V436" s="73" t="str">
        <f t="array" ref="V436">INDIRECT("Update"&amp;Projections!$AH$17&amp;"!M"&amp;ROW(B417))</f>
        <v/>
      </c>
      <c r="W436" s="73" t="str">
        <f t="array" ref="W436">INDIRECT("Update"&amp;Projections!$AH$17&amp;"!L"&amp;ROW(B417))</f>
        <v/>
      </c>
      <c r="X436" s="73" t="str">
        <f t="array" ref="X436">INDIRECT("Update"&amp;Projections!$AH$17&amp;"!N"&amp;ROW(B417))</f>
        <v/>
      </c>
      <c r="Y436" s="73" t="str">
        <f t="array" ref="Y436">INDIRECT("Update"&amp;Projections!$AH$17&amp;"!O"&amp;ROW(B417))</f>
        <v/>
      </c>
      <c r="Z436" s="73" t="str">
        <f t="array" ref="Z436">INDIRECT("Update"&amp;Projections!$AH$17&amp;"!P"&amp;ROW(B417))</f>
        <v/>
      </c>
      <c r="AA436" s="73" t="str">
        <f t="array" ref="AA436">INDIRECT("Update"&amp;Projections!$AH$17&amp;"!Q"&amp;ROW(B417))</f>
        <v/>
      </c>
      <c r="AB436" s="107" t="str">
        <f t="array" ref="AB436">INDIRECT("Update"&amp;Projections!$AH$17&amp;"!I"&amp;ROW(B417))</f>
        <v/>
      </c>
      <c r="AC436" s="107" t="str">
        <f t="array" ref="AC436">INDIRECT("Update"&amp;Projections!$AH$17&amp;"!K"&amp;ROW(B417))</f>
        <v/>
      </c>
      <c r="AD436" s="73" t="str">
        <f t="array" ref="AD436">INDIRECT("Update"&amp;Projections!$AH$17&amp;"!R"&amp;ROW(B417))</f>
        <v/>
      </c>
      <c r="AE436" s="73">
        <f t="shared" si="16"/>
        <v>-3.155358621</v>
      </c>
      <c r="AF436" s="73">
        <f t="shared" si="17"/>
        <v>-1.740686581</v>
      </c>
      <c r="AG436" s="73">
        <f t="shared" si="18"/>
        <v>-2.380599106</v>
      </c>
      <c r="AH436" s="73">
        <f t="shared" si="19"/>
        <v>-1.79320266</v>
      </c>
      <c r="AI436" s="73">
        <f t="shared" si="20"/>
        <v>-3.240190514</v>
      </c>
      <c r="AJ436" s="73">
        <f t="shared" si="21"/>
        <v>-1.329092151</v>
      </c>
      <c r="AK436" s="73">
        <f t="shared" si="22"/>
        <v>0</v>
      </c>
      <c r="AL436" s="73">
        <f t="shared" si="23"/>
        <v>0</v>
      </c>
      <c r="AM436" s="73">
        <f t="shared" si="24"/>
        <v>0.433638093</v>
      </c>
      <c r="AN436" s="120">
        <f t="shared" si="25"/>
        <v>-3.240190514</v>
      </c>
      <c r="AO436" s="120">
        <f t="shared" si="26"/>
        <v>-6.395549135</v>
      </c>
      <c r="AP436" s="120" t="str">
        <f t="array" ref="AP436">INDIRECT("Update"&amp;Projections!$AH$17&amp;"!S"&amp;ROW(B417))</f>
        <v/>
      </c>
      <c r="AQ436" s="120" t="str">
        <f t="array" ref="AQ436">INDIRECT("Update"&amp;Projections!$AH$17&amp;"!T"&amp;ROW(B417))</f>
        <v/>
      </c>
      <c r="AR436" s="100">
        <f t="shared" si="27"/>
        <v>-9.965301026</v>
      </c>
    </row>
    <row r="437">
      <c r="A437" t="str">
        <f t="shared" si="3"/>
        <v/>
      </c>
      <c r="B437" s="42">
        <f t="shared" si="4"/>
        <v>-3.155358621</v>
      </c>
      <c r="C437" s="43">
        <f t="shared" si="5"/>
        <v>-1.740686581</v>
      </c>
      <c r="D437" s="42">
        <f t="shared" si="6"/>
        <v>-2.380599106</v>
      </c>
      <c r="E437" s="42">
        <f t="shared" si="7"/>
        <v>-1.79320266</v>
      </c>
      <c r="F437" s="42">
        <f t="shared" si="8"/>
        <v>-3.240190514</v>
      </c>
      <c r="G437" s="42">
        <f t="shared" si="9"/>
        <v>-1.329092151</v>
      </c>
      <c r="H437" s="42">
        <f t="shared" si="10"/>
        <v>0</v>
      </c>
      <c r="I437" s="42" t="str">
        <f>UpdateHashtag!S435</f>
        <v/>
      </c>
      <c r="J437" s="47">
        <f t="shared" si="11"/>
        <v>0</v>
      </c>
      <c r="K437" s="48" t="str">
        <f>UpdateHashtag!T435</f>
        <v/>
      </c>
      <c r="L437" s="42">
        <f t="shared" si="12"/>
        <v>-1.734552372</v>
      </c>
      <c r="N437" s="100">
        <f t="shared" si="13"/>
        <v>401</v>
      </c>
      <c r="O437" s="94" t="str">
        <f t="array" ref="O437">INDIRECT("Update"&amp;Projections!$AH$17&amp;"!B"&amp;ROW(B418))</f>
        <v/>
      </c>
      <c r="P437" s="414" t="str">
        <f t="array" ref="P437">INDIRECT("Update"&amp;Projections!$AH$17&amp;"!C"&amp;ROW(B418))</f>
        <v/>
      </c>
      <c r="Q437" s="94" t="str">
        <f>UpdateHashtag!F467</f>
        <v/>
      </c>
      <c r="R437" s="105" t="str">
        <f t="array" ref="R437">INDIRECT("Update"&amp;Projections!$AH$17&amp;"!D"&amp;ROW(B418))</f>
        <v/>
      </c>
      <c r="S437" s="73">
        <f t="shared" si="14"/>
        <v>-9.965301026</v>
      </c>
      <c r="T437" s="73">
        <f>SUM(AE437:AM437)-IFERROR(IFS(Projections!$I$17,AN437,Projections!$J$17,AO437),"")</f>
        <v>-9.965301026</v>
      </c>
      <c r="U437" s="73">
        <f t="shared" si="15"/>
        <v>0</v>
      </c>
      <c r="V437" s="73" t="str">
        <f t="array" ref="V437">INDIRECT("Update"&amp;Projections!$AH$17&amp;"!M"&amp;ROW(B418))</f>
        <v/>
      </c>
      <c r="W437" s="73" t="str">
        <f t="array" ref="W437">INDIRECT("Update"&amp;Projections!$AH$17&amp;"!L"&amp;ROW(B418))</f>
        <v/>
      </c>
      <c r="X437" s="73" t="str">
        <f t="array" ref="X437">INDIRECT("Update"&amp;Projections!$AH$17&amp;"!N"&amp;ROW(B418))</f>
        <v/>
      </c>
      <c r="Y437" s="73" t="str">
        <f t="array" ref="Y437">INDIRECT("Update"&amp;Projections!$AH$17&amp;"!O"&amp;ROW(B418))</f>
        <v/>
      </c>
      <c r="Z437" s="73" t="str">
        <f t="array" ref="Z437">INDIRECT("Update"&amp;Projections!$AH$17&amp;"!P"&amp;ROW(B418))</f>
        <v/>
      </c>
      <c r="AA437" s="73" t="str">
        <f t="array" ref="AA437">INDIRECT("Update"&amp;Projections!$AH$17&amp;"!Q"&amp;ROW(B418))</f>
        <v/>
      </c>
      <c r="AB437" s="107" t="str">
        <f t="array" ref="AB437">INDIRECT("Update"&amp;Projections!$AH$17&amp;"!I"&amp;ROW(B418))</f>
        <v/>
      </c>
      <c r="AC437" s="107" t="str">
        <f t="array" ref="AC437">INDIRECT("Update"&amp;Projections!$AH$17&amp;"!K"&amp;ROW(B418))</f>
        <v/>
      </c>
      <c r="AD437" s="73" t="str">
        <f t="array" ref="AD437">INDIRECT("Update"&amp;Projections!$AH$17&amp;"!R"&amp;ROW(B418))</f>
        <v/>
      </c>
      <c r="AE437" s="73">
        <f t="shared" si="16"/>
        <v>-3.155358621</v>
      </c>
      <c r="AF437" s="73">
        <f t="shared" si="17"/>
        <v>-1.740686581</v>
      </c>
      <c r="AG437" s="73">
        <f t="shared" si="18"/>
        <v>-2.380599106</v>
      </c>
      <c r="AH437" s="73">
        <f t="shared" si="19"/>
        <v>-1.79320266</v>
      </c>
      <c r="AI437" s="73">
        <f t="shared" si="20"/>
        <v>-3.240190514</v>
      </c>
      <c r="AJ437" s="73">
        <f t="shared" si="21"/>
        <v>-1.329092151</v>
      </c>
      <c r="AK437" s="73">
        <f t="shared" si="22"/>
        <v>0</v>
      </c>
      <c r="AL437" s="73">
        <f t="shared" si="23"/>
        <v>0</v>
      </c>
      <c r="AM437" s="73">
        <f t="shared" si="24"/>
        <v>0.433638093</v>
      </c>
      <c r="AN437" s="120">
        <f t="shared" si="25"/>
        <v>-3.240190514</v>
      </c>
      <c r="AO437" s="120">
        <f t="shared" si="26"/>
        <v>-6.395549135</v>
      </c>
      <c r="AP437" s="120" t="str">
        <f t="array" ref="AP437">INDIRECT("Update"&amp;Projections!$AH$17&amp;"!S"&amp;ROW(B418))</f>
        <v/>
      </c>
      <c r="AQ437" s="120" t="str">
        <f t="array" ref="AQ437">INDIRECT("Update"&amp;Projections!$AH$17&amp;"!T"&amp;ROW(B418))</f>
        <v/>
      </c>
      <c r="AR437" s="100">
        <f t="shared" si="27"/>
        <v>-9.965301026</v>
      </c>
    </row>
    <row r="438">
      <c r="A438" t="str">
        <f t="shared" si="3"/>
        <v/>
      </c>
      <c r="B438" s="42">
        <f t="shared" si="4"/>
        <v>-3.155358621</v>
      </c>
      <c r="C438" s="43">
        <f t="shared" si="5"/>
        <v>-1.740686581</v>
      </c>
      <c r="D438" s="42">
        <f t="shared" si="6"/>
        <v>-2.380599106</v>
      </c>
      <c r="E438" s="42">
        <f t="shared" si="7"/>
        <v>-1.79320266</v>
      </c>
      <c r="F438" s="42">
        <f t="shared" si="8"/>
        <v>-3.240190514</v>
      </c>
      <c r="G438" s="42">
        <f t="shared" si="9"/>
        <v>-1.329092151</v>
      </c>
      <c r="H438" s="42">
        <f t="shared" si="10"/>
        <v>0</v>
      </c>
      <c r="I438" s="42" t="str">
        <f>UpdateHashtag!S436</f>
        <v/>
      </c>
      <c r="J438" s="47">
        <f t="shared" si="11"/>
        <v>0</v>
      </c>
      <c r="K438" s="48" t="str">
        <f>UpdateHashtag!T436</f>
        <v/>
      </c>
      <c r="L438" s="42">
        <f t="shared" si="12"/>
        <v>-1.734552372</v>
      </c>
      <c r="N438" s="100">
        <f t="shared" si="13"/>
        <v>401</v>
      </c>
      <c r="O438" s="94" t="str">
        <f t="array" ref="O438">INDIRECT("Update"&amp;Projections!$AH$17&amp;"!B"&amp;ROW(B419))</f>
        <v/>
      </c>
      <c r="P438" s="414" t="str">
        <f t="array" ref="P438">INDIRECT("Update"&amp;Projections!$AH$17&amp;"!C"&amp;ROW(B419))</f>
        <v/>
      </c>
      <c r="Q438" s="94" t="str">
        <f>UpdateHashtag!F468</f>
        <v/>
      </c>
      <c r="R438" s="105" t="str">
        <f t="array" ref="R438">INDIRECT("Update"&amp;Projections!$AH$17&amp;"!D"&amp;ROW(B419))</f>
        <v/>
      </c>
      <c r="S438" s="73">
        <f t="shared" si="14"/>
        <v>-9.965301026</v>
      </c>
      <c r="T438" s="73">
        <f>SUM(AE438:AM438)-IFERROR(IFS(Projections!$I$17,AN438,Projections!$J$17,AO438),"")</f>
        <v>-9.965301026</v>
      </c>
      <c r="U438" s="73">
        <f t="shared" si="15"/>
        <v>0</v>
      </c>
      <c r="V438" s="73" t="str">
        <f t="array" ref="V438">INDIRECT("Update"&amp;Projections!$AH$17&amp;"!M"&amp;ROW(B419))</f>
        <v/>
      </c>
      <c r="W438" s="73" t="str">
        <f t="array" ref="W438">INDIRECT("Update"&amp;Projections!$AH$17&amp;"!L"&amp;ROW(B419))</f>
        <v/>
      </c>
      <c r="X438" s="73" t="str">
        <f t="array" ref="X438">INDIRECT("Update"&amp;Projections!$AH$17&amp;"!N"&amp;ROW(B419))</f>
        <v/>
      </c>
      <c r="Y438" s="73" t="str">
        <f t="array" ref="Y438">INDIRECT("Update"&amp;Projections!$AH$17&amp;"!O"&amp;ROW(B419))</f>
        <v/>
      </c>
      <c r="Z438" s="73" t="str">
        <f t="array" ref="Z438">INDIRECT("Update"&amp;Projections!$AH$17&amp;"!P"&amp;ROW(B419))</f>
        <v/>
      </c>
      <c r="AA438" s="73" t="str">
        <f t="array" ref="AA438">INDIRECT("Update"&amp;Projections!$AH$17&amp;"!Q"&amp;ROW(B419))</f>
        <v/>
      </c>
      <c r="AB438" s="107" t="str">
        <f t="array" ref="AB438">INDIRECT("Update"&amp;Projections!$AH$17&amp;"!I"&amp;ROW(B419))</f>
        <v/>
      </c>
      <c r="AC438" s="107" t="str">
        <f t="array" ref="AC438">INDIRECT("Update"&amp;Projections!$AH$17&amp;"!K"&amp;ROW(B419))</f>
        <v/>
      </c>
      <c r="AD438" s="73" t="str">
        <f t="array" ref="AD438">INDIRECT("Update"&amp;Projections!$AH$17&amp;"!R"&amp;ROW(B419))</f>
        <v/>
      </c>
      <c r="AE438" s="73">
        <f t="shared" si="16"/>
        <v>-3.155358621</v>
      </c>
      <c r="AF438" s="73">
        <f t="shared" si="17"/>
        <v>-1.740686581</v>
      </c>
      <c r="AG438" s="73">
        <f t="shared" si="18"/>
        <v>-2.380599106</v>
      </c>
      <c r="AH438" s="73">
        <f t="shared" si="19"/>
        <v>-1.79320266</v>
      </c>
      <c r="AI438" s="73">
        <f t="shared" si="20"/>
        <v>-3.240190514</v>
      </c>
      <c r="AJ438" s="73">
        <f t="shared" si="21"/>
        <v>-1.329092151</v>
      </c>
      <c r="AK438" s="73">
        <f t="shared" si="22"/>
        <v>0</v>
      </c>
      <c r="AL438" s="73">
        <f t="shared" si="23"/>
        <v>0</v>
      </c>
      <c r="AM438" s="73">
        <f t="shared" si="24"/>
        <v>0.433638093</v>
      </c>
      <c r="AN438" s="120">
        <f t="shared" si="25"/>
        <v>-3.240190514</v>
      </c>
      <c r="AO438" s="120">
        <f t="shared" si="26"/>
        <v>-6.395549135</v>
      </c>
      <c r="AP438" s="120" t="str">
        <f t="array" ref="AP438">INDIRECT("Update"&amp;Projections!$AH$17&amp;"!S"&amp;ROW(B419))</f>
        <v/>
      </c>
      <c r="AQ438" s="120" t="str">
        <f t="array" ref="AQ438">INDIRECT("Update"&amp;Projections!$AH$17&amp;"!T"&amp;ROW(B419))</f>
        <v/>
      </c>
      <c r="AR438" s="100">
        <f t="shared" si="27"/>
        <v>-9.965301026</v>
      </c>
    </row>
    <row r="439">
      <c r="A439" t="str">
        <f t="shared" si="3"/>
        <v/>
      </c>
      <c r="B439" s="42">
        <f t="shared" si="4"/>
        <v>-3.155358621</v>
      </c>
      <c r="C439" s="43">
        <f t="shared" si="5"/>
        <v>-1.740686581</v>
      </c>
      <c r="D439" s="42">
        <f t="shared" si="6"/>
        <v>-2.380599106</v>
      </c>
      <c r="E439" s="42">
        <f t="shared" si="7"/>
        <v>-1.79320266</v>
      </c>
      <c r="F439" s="42">
        <f t="shared" si="8"/>
        <v>-3.240190514</v>
      </c>
      <c r="G439" s="42">
        <f t="shared" si="9"/>
        <v>-1.329092151</v>
      </c>
      <c r="H439" s="42">
        <f t="shared" si="10"/>
        <v>0</v>
      </c>
      <c r="I439" s="42" t="str">
        <f>UpdateHashtag!S437</f>
        <v/>
      </c>
      <c r="J439" s="47">
        <f t="shared" si="11"/>
        <v>0</v>
      </c>
      <c r="K439" s="48" t="str">
        <f>UpdateHashtag!T437</f>
        <v/>
      </c>
      <c r="L439" s="42">
        <f t="shared" si="12"/>
        <v>-1.734552372</v>
      </c>
      <c r="N439" s="100">
        <f t="shared" si="13"/>
        <v>401</v>
      </c>
      <c r="O439" s="94" t="str">
        <f t="array" ref="O439">INDIRECT("Update"&amp;Projections!$AH$17&amp;"!B"&amp;ROW(B420))</f>
        <v/>
      </c>
      <c r="P439" s="414" t="str">
        <f t="array" ref="P439">INDIRECT("Update"&amp;Projections!$AH$17&amp;"!C"&amp;ROW(B420))</f>
        <v/>
      </c>
      <c r="Q439" s="94" t="str">
        <f>UpdateHashtag!F469</f>
        <v/>
      </c>
      <c r="R439" s="105" t="str">
        <f t="array" ref="R439">INDIRECT("Update"&amp;Projections!$AH$17&amp;"!D"&amp;ROW(B420))</f>
        <v/>
      </c>
      <c r="S439" s="73">
        <f t="shared" si="14"/>
        <v>-9.965301026</v>
      </c>
      <c r="T439" s="73">
        <f>SUM(AE439:AM439)-IFERROR(IFS(Projections!$I$17,AN439,Projections!$J$17,AO439),"")</f>
        <v>-9.965301026</v>
      </c>
      <c r="U439" s="73">
        <f t="shared" si="15"/>
        <v>0</v>
      </c>
      <c r="V439" s="73" t="str">
        <f t="array" ref="V439">INDIRECT("Update"&amp;Projections!$AH$17&amp;"!M"&amp;ROW(B420))</f>
        <v/>
      </c>
      <c r="W439" s="73" t="str">
        <f t="array" ref="W439">INDIRECT("Update"&amp;Projections!$AH$17&amp;"!L"&amp;ROW(B420))</f>
        <v/>
      </c>
      <c r="X439" s="73" t="str">
        <f t="array" ref="X439">INDIRECT("Update"&amp;Projections!$AH$17&amp;"!N"&amp;ROW(B420))</f>
        <v/>
      </c>
      <c r="Y439" s="73" t="str">
        <f t="array" ref="Y439">INDIRECT("Update"&amp;Projections!$AH$17&amp;"!O"&amp;ROW(B420))</f>
        <v/>
      </c>
      <c r="Z439" s="73" t="str">
        <f t="array" ref="Z439">INDIRECT("Update"&amp;Projections!$AH$17&amp;"!P"&amp;ROW(B420))</f>
        <v/>
      </c>
      <c r="AA439" s="73" t="str">
        <f t="array" ref="AA439">INDIRECT("Update"&amp;Projections!$AH$17&amp;"!Q"&amp;ROW(B420))</f>
        <v/>
      </c>
      <c r="AB439" s="107" t="str">
        <f t="array" ref="AB439">INDIRECT("Update"&amp;Projections!$AH$17&amp;"!I"&amp;ROW(B420))</f>
        <v/>
      </c>
      <c r="AC439" s="107" t="str">
        <f t="array" ref="AC439">INDIRECT("Update"&amp;Projections!$AH$17&amp;"!K"&amp;ROW(B420))</f>
        <v/>
      </c>
      <c r="AD439" s="73" t="str">
        <f t="array" ref="AD439">INDIRECT("Update"&amp;Projections!$AH$17&amp;"!R"&amp;ROW(B420))</f>
        <v/>
      </c>
      <c r="AE439" s="73">
        <f t="shared" si="16"/>
        <v>-3.155358621</v>
      </c>
      <c r="AF439" s="73">
        <f t="shared" si="17"/>
        <v>-1.740686581</v>
      </c>
      <c r="AG439" s="73">
        <f t="shared" si="18"/>
        <v>-2.380599106</v>
      </c>
      <c r="AH439" s="73">
        <f t="shared" si="19"/>
        <v>-1.79320266</v>
      </c>
      <c r="AI439" s="73">
        <f t="shared" si="20"/>
        <v>-3.240190514</v>
      </c>
      <c r="AJ439" s="73">
        <f t="shared" si="21"/>
        <v>-1.329092151</v>
      </c>
      <c r="AK439" s="73">
        <f t="shared" si="22"/>
        <v>0</v>
      </c>
      <c r="AL439" s="73">
        <f t="shared" si="23"/>
        <v>0</v>
      </c>
      <c r="AM439" s="73">
        <f t="shared" si="24"/>
        <v>0.433638093</v>
      </c>
      <c r="AN439" s="120">
        <f t="shared" si="25"/>
        <v>-3.240190514</v>
      </c>
      <c r="AO439" s="120">
        <f t="shared" si="26"/>
        <v>-6.395549135</v>
      </c>
      <c r="AP439" s="120" t="str">
        <f t="array" ref="AP439">INDIRECT("Update"&amp;Projections!$AH$17&amp;"!S"&amp;ROW(B420))</f>
        <v/>
      </c>
      <c r="AQ439" s="120" t="str">
        <f t="array" ref="AQ439">INDIRECT("Update"&amp;Projections!$AH$17&amp;"!T"&amp;ROW(B420))</f>
        <v/>
      </c>
      <c r="AR439" s="100">
        <f t="shared" si="27"/>
        <v>-9.965301026</v>
      </c>
    </row>
    <row r="440">
      <c r="A440" t="str">
        <f t="shared" si="3"/>
        <v/>
      </c>
      <c r="B440" s="42">
        <f t="shared" si="4"/>
        <v>-3.155358621</v>
      </c>
      <c r="C440" s="43">
        <f t="shared" si="5"/>
        <v>-1.740686581</v>
      </c>
      <c r="D440" s="42">
        <f t="shared" si="6"/>
        <v>-2.380599106</v>
      </c>
      <c r="E440" s="42">
        <f t="shared" si="7"/>
        <v>-1.79320266</v>
      </c>
      <c r="F440" s="42">
        <f t="shared" si="8"/>
        <v>-3.240190514</v>
      </c>
      <c r="G440" s="42">
        <f t="shared" si="9"/>
        <v>-1.329092151</v>
      </c>
      <c r="H440" s="42">
        <f t="shared" si="10"/>
        <v>0</v>
      </c>
      <c r="I440" s="42" t="str">
        <f>UpdateHashtag!S438</f>
        <v/>
      </c>
      <c r="J440" s="47">
        <f t="shared" si="11"/>
        <v>0</v>
      </c>
      <c r="K440" s="48" t="str">
        <f>UpdateHashtag!T438</f>
        <v/>
      </c>
      <c r="L440" s="42">
        <f t="shared" si="12"/>
        <v>-1.734552372</v>
      </c>
      <c r="N440" s="100">
        <f t="shared" si="13"/>
        <v>401</v>
      </c>
      <c r="O440" s="94" t="str">
        <f t="array" ref="O440">INDIRECT("Update"&amp;Projections!$AH$17&amp;"!B"&amp;ROW(B421))</f>
        <v/>
      </c>
      <c r="P440" s="414" t="str">
        <f t="array" ref="P440">INDIRECT("Update"&amp;Projections!$AH$17&amp;"!C"&amp;ROW(B421))</f>
        <v/>
      </c>
      <c r="Q440" s="94" t="str">
        <f>UpdateHashtag!F470</f>
        <v/>
      </c>
      <c r="R440" s="105" t="str">
        <f t="array" ref="R440">INDIRECT("Update"&amp;Projections!$AH$17&amp;"!D"&amp;ROW(B421))</f>
        <v/>
      </c>
      <c r="S440" s="73">
        <f t="shared" si="14"/>
        <v>-9.965301026</v>
      </c>
      <c r="T440" s="73">
        <f>SUM(AE440:AM440)-IFERROR(IFS(Projections!$I$17,AN440,Projections!$J$17,AO440),"")</f>
        <v>-9.965301026</v>
      </c>
      <c r="U440" s="73">
        <f t="shared" si="15"/>
        <v>0</v>
      </c>
      <c r="V440" s="73" t="str">
        <f t="array" ref="V440">INDIRECT("Update"&amp;Projections!$AH$17&amp;"!M"&amp;ROW(B421))</f>
        <v/>
      </c>
      <c r="W440" s="73" t="str">
        <f t="array" ref="W440">INDIRECT("Update"&amp;Projections!$AH$17&amp;"!L"&amp;ROW(B421))</f>
        <v/>
      </c>
      <c r="X440" s="73" t="str">
        <f t="array" ref="X440">INDIRECT("Update"&amp;Projections!$AH$17&amp;"!N"&amp;ROW(B421))</f>
        <v/>
      </c>
      <c r="Y440" s="73" t="str">
        <f t="array" ref="Y440">INDIRECT("Update"&amp;Projections!$AH$17&amp;"!O"&amp;ROW(B421))</f>
        <v/>
      </c>
      <c r="Z440" s="73" t="str">
        <f t="array" ref="Z440">INDIRECT("Update"&amp;Projections!$AH$17&amp;"!P"&amp;ROW(B421))</f>
        <v/>
      </c>
      <c r="AA440" s="73" t="str">
        <f t="array" ref="AA440">INDIRECT("Update"&amp;Projections!$AH$17&amp;"!Q"&amp;ROW(B421))</f>
        <v/>
      </c>
      <c r="AB440" s="107" t="str">
        <f t="array" ref="AB440">INDIRECT("Update"&amp;Projections!$AH$17&amp;"!I"&amp;ROW(B421))</f>
        <v/>
      </c>
      <c r="AC440" s="107" t="str">
        <f t="array" ref="AC440">INDIRECT("Update"&amp;Projections!$AH$17&amp;"!K"&amp;ROW(B421))</f>
        <v/>
      </c>
      <c r="AD440" s="73" t="str">
        <f t="array" ref="AD440">INDIRECT("Update"&amp;Projections!$AH$17&amp;"!R"&amp;ROW(B421))</f>
        <v/>
      </c>
      <c r="AE440" s="73">
        <f t="shared" si="16"/>
        <v>-3.155358621</v>
      </c>
      <c r="AF440" s="73">
        <f t="shared" si="17"/>
        <v>-1.740686581</v>
      </c>
      <c r="AG440" s="73">
        <f t="shared" si="18"/>
        <v>-2.380599106</v>
      </c>
      <c r="AH440" s="73">
        <f t="shared" si="19"/>
        <v>-1.79320266</v>
      </c>
      <c r="AI440" s="73">
        <f t="shared" si="20"/>
        <v>-3.240190514</v>
      </c>
      <c r="AJ440" s="73">
        <f t="shared" si="21"/>
        <v>-1.329092151</v>
      </c>
      <c r="AK440" s="73">
        <f t="shared" si="22"/>
        <v>0</v>
      </c>
      <c r="AL440" s="73">
        <f t="shared" si="23"/>
        <v>0</v>
      </c>
      <c r="AM440" s="73">
        <f t="shared" si="24"/>
        <v>0.433638093</v>
      </c>
      <c r="AN440" s="120">
        <f t="shared" si="25"/>
        <v>-3.240190514</v>
      </c>
      <c r="AO440" s="120">
        <f t="shared" si="26"/>
        <v>-6.395549135</v>
      </c>
      <c r="AP440" s="120" t="str">
        <f t="array" ref="AP440">INDIRECT("Update"&amp;Projections!$AH$17&amp;"!S"&amp;ROW(B421))</f>
        <v/>
      </c>
      <c r="AQ440" s="120" t="str">
        <f t="array" ref="AQ440">INDIRECT("Update"&amp;Projections!$AH$17&amp;"!T"&amp;ROW(B421))</f>
        <v/>
      </c>
      <c r="AR440" s="100">
        <f t="shared" si="27"/>
        <v>-9.965301026</v>
      </c>
    </row>
    <row r="441">
      <c r="A441" t="str">
        <f t="shared" si="3"/>
        <v/>
      </c>
      <c r="B441" s="42">
        <f t="shared" si="4"/>
        <v>-3.155358621</v>
      </c>
      <c r="C441" s="43">
        <f t="shared" si="5"/>
        <v>-1.740686581</v>
      </c>
      <c r="D441" s="42">
        <f t="shared" si="6"/>
        <v>-2.380599106</v>
      </c>
      <c r="E441" s="42">
        <f t="shared" si="7"/>
        <v>-1.79320266</v>
      </c>
      <c r="F441" s="42">
        <f t="shared" si="8"/>
        <v>-3.240190514</v>
      </c>
      <c r="G441" s="42">
        <f t="shared" si="9"/>
        <v>-1.329092151</v>
      </c>
      <c r="H441" s="42">
        <f t="shared" si="10"/>
        <v>0</v>
      </c>
      <c r="I441" s="42" t="str">
        <f>UpdateHashtag!S439</f>
        <v/>
      </c>
      <c r="J441" s="47">
        <f t="shared" si="11"/>
        <v>0</v>
      </c>
      <c r="K441" s="48" t="str">
        <f>UpdateHashtag!T439</f>
        <v/>
      </c>
      <c r="L441" s="42">
        <f t="shared" si="12"/>
        <v>-1.734552372</v>
      </c>
      <c r="N441" s="100">
        <f t="shared" si="13"/>
        <v>401</v>
      </c>
      <c r="O441" s="94" t="str">
        <f t="array" ref="O441">INDIRECT("Update"&amp;Projections!$AH$17&amp;"!B"&amp;ROW(B422))</f>
        <v/>
      </c>
      <c r="P441" s="414" t="str">
        <f t="array" ref="P441">INDIRECT("Update"&amp;Projections!$AH$17&amp;"!C"&amp;ROW(B422))</f>
        <v/>
      </c>
      <c r="Q441" s="94" t="str">
        <f>UpdateHashtag!F471</f>
        <v/>
      </c>
      <c r="R441" s="105" t="str">
        <f t="array" ref="R441">INDIRECT("Update"&amp;Projections!$AH$17&amp;"!D"&amp;ROW(B422))</f>
        <v/>
      </c>
      <c r="S441" s="73">
        <f t="shared" si="14"/>
        <v>-9.965301026</v>
      </c>
      <c r="T441" s="73">
        <f>SUM(AE441:AM441)-IFERROR(IFS(Projections!$I$17,AN441,Projections!$J$17,AO441),"")</f>
        <v>-9.965301026</v>
      </c>
      <c r="U441" s="73">
        <f t="shared" si="15"/>
        <v>0</v>
      </c>
      <c r="V441" s="73" t="str">
        <f t="array" ref="V441">INDIRECT("Update"&amp;Projections!$AH$17&amp;"!M"&amp;ROW(B422))</f>
        <v/>
      </c>
      <c r="W441" s="73" t="str">
        <f t="array" ref="W441">INDIRECT("Update"&amp;Projections!$AH$17&amp;"!L"&amp;ROW(B422))</f>
        <v/>
      </c>
      <c r="X441" s="73" t="str">
        <f t="array" ref="X441">INDIRECT("Update"&amp;Projections!$AH$17&amp;"!N"&amp;ROW(B422))</f>
        <v/>
      </c>
      <c r="Y441" s="73" t="str">
        <f t="array" ref="Y441">INDIRECT("Update"&amp;Projections!$AH$17&amp;"!O"&amp;ROW(B422))</f>
        <v/>
      </c>
      <c r="Z441" s="73" t="str">
        <f t="array" ref="Z441">INDIRECT("Update"&amp;Projections!$AH$17&amp;"!P"&amp;ROW(B422))</f>
        <v/>
      </c>
      <c r="AA441" s="73" t="str">
        <f t="array" ref="AA441">INDIRECT("Update"&amp;Projections!$AH$17&amp;"!Q"&amp;ROW(B422))</f>
        <v/>
      </c>
      <c r="AB441" s="107" t="str">
        <f t="array" ref="AB441">INDIRECT("Update"&amp;Projections!$AH$17&amp;"!I"&amp;ROW(B422))</f>
        <v/>
      </c>
      <c r="AC441" s="107" t="str">
        <f t="array" ref="AC441">INDIRECT("Update"&amp;Projections!$AH$17&amp;"!K"&amp;ROW(B422))</f>
        <v/>
      </c>
      <c r="AD441" s="73" t="str">
        <f t="array" ref="AD441">INDIRECT("Update"&amp;Projections!$AH$17&amp;"!R"&amp;ROW(B422))</f>
        <v/>
      </c>
      <c r="AE441" s="73">
        <f t="shared" si="16"/>
        <v>-3.155358621</v>
      </c>
      <c r="AF441" s="73">
        <f t="shared" si="17"/>
        <v>-1.740686581</v>
      </c>
      <c r="AG441" s="73">
        <f t="shared" si="18"/>
        <v>-2.380599106</v>
      </c>
      <c r="AH441" s="73">
        <f t="shared" si="19"/>
        <v>-1.79320266</v>
      </c>
      <c r="AI441" s="73">
        <f t="shared" si="20"/>
        <v>-3.240190514</v>
      </c>
      <c r="AJ441" s="73">
        <f t="shared" si="21"/>
        <v>-1.329092151</v>
      </c>
      <c r="AK441" s="73">
        <f t="shared" si="22"/>
        <v>0</v>
      </c>
      <c r="AL441" s="73">
        <f t="shared" si="23"/>
        <v>0</v>
      </c>
      <c r="AM441" s="73">
        <f t="shared" si="24"/>
        <v>0.433638093</v>
      </c>
      <c r="AN441" s="120">
        <f t="shared" si="25"/>
        <v>-3.240190514</v>
      </c>
      <c r="AO441" s="120">
        <f t="shared" si="26"/>
        <v>-6.395549135</v>
      </c>
      <c r="AP441" s="120" t="str">
        <f t="array" ref="AP441">INDIRECT("Update"&amp;Projections!$AH$17&amp;"!S"&amp;ROW(B422))</f>
        <v/>
      </c>
      <c r="AQ441" s="120" t="str">
        <f t="array" ref="AQ441">INDIRECT("Update"&amp;Projections!$AH$17&amp;"!T"&amp;ROW(B422))</f>
        <v/>
      </c>
      <c r="AR441" s="100">
        <f t="shared" si="27"/>
        <v>-9.965301026</v>
      </c>
    </row>
    <row r="442">
      <c r="A442" t="str">
        <f t="shared" si="3"/>
        <v/>
      </c>
      <c r="B442" s="42">
        <f t="shared" si="4"/>
        <v>-3.155358621</v>
      </c>
      <c r="C442" s="43">
        <f t="shared" si="5"/>
        <v>-1.740686581</v>
      </c>
      <c r="D442" s="42">
        <f t="shared" si="6"/>
        <v>-2.380599106</v>
      </c>
      <c r="E442" s="42">
        <f t="shared" si="7"/>
        <v>-1.79320266</v>
      </c>
      <c r="F442" s="42">
        <f t="shared" si="8"/>
        <v>-3.240190514</v>
      </c>
      <c r="G442" s="42">
        <f t="shared" si="9"/>
        <v>-1.329092151</v>
      </c>
      <c r="H442" s="42">
        <f t="shared" si="10"/>
        <v>0</v>
      </c>
      <c r="I442" s="42" t="str">
        <f>UpdateHashtag!S440</f>
        <v/>
      </c>
      <c r="J442" s="47">
        <f t="shared" si="11"/>
        <v>0</v>
      </c>
      <c r="K442" s="48" t="str">
        <f>UpdateHashtag!T440</f>
        <v/>
      </c>
      <c r="L442" s="42">
        <f t="shared" si="12"/>
        <v>-1.734552372</v>
      </c>
      <c r="N442" s="100">
        <f t="shared" si="13"/>
        <v>401</v>
      </c>
      <c r="O442" s="94" t="str">
        <f t="array" ref="O442">INDIRECT("Update"&amp;Projections!$AH$17&amp;"!B"&amp;ROW(B423))</f>
        <v/>
      </c>
      <c r="P442" s="414" t="str">
        <f t="array" ref="P442">INDIRECT("Update"&amp;Projections!$AH$17&amp;"!C"&amp;ROW(B423))</f>
        <v/>
      </c>
      <c r="Q442" s="94" t="str">
        <f>UpdateHashtag!F472</f>
        <v/>
      </c>
      <c r="R442" s="105" t="str">
        <f t="array" ref="R442">INDIRECT("Update"&amp;Projections!$AH$17&amp;"!D"&amp;ROW(B423))</f>
        <v/>
      </c>
      <c r="S442" s="73">
        <f t="shared" si="14"/>
        <v>-9.965301026</v>
      </c>
      <c r="T442" s="73">
        <f>SUM(AE442:AM442)-IFERROR(IFS(Projections!$I$17,AN442,Projections!$J$17,AO442),"")</f>
        <v>-9.965301026</v>
      </c>
      <c r="U442" s="73">
        <f t="shared" si="15"/>
        <v>0</v>
      </c>
      <c r="V442" s="73" t="str">
        <f t="array" ref="V442">INDIRECT("Update"&amp;Projections!$AH$17&amp;"!M"&amp;ROW(B423))</f>
        <v/>
      </c>
      <c r="W442" s="73" t="str">
        <f t="array" ref="W442">INDIRECT("Update"&amp;Projections!$AH$17&amp;"!L"&amp;ROW(B423))</f>
        <v/>
      </c>
      <c r="X442" s="73" t="str">
        <f t="array" ref="X442">INDIRECT("Update"&amp;Projections!$AH$17&amp;"!N"&amp;ROW(B423))</f>
        <v/>
      </c>
      <c r="Y442" s="73" t="str">
        <f t="array" ref="Y442">INDIRECT("Update"&amp;Projections!$AH$17&amp;"!O"&amp;ROW(B423))</f>
        <v/>
      </c>
      <c r="Z442" s="73" t="str">
        <f t="array" ref="Z442">INDIRECT("Update"&amp;Projections!$AH$17&amp;"!P"&amp;ROW(B423))</f>
        <v/>
      </c>
      <c r="AA442" s="73" t="str">
        <f t="array" ref="AA442">INDIRECT("Update"&amp;Projections!$AH$17&amp;"!Q"&amp;ROW(B423))</f>
        <v/>
      </c>
      <c r="AB442" s="107" t="str">
        <f t="array" ref="AB442">INDIRECT("Update"&amp;Projections!$AH$17&amp;"!I"&amp;ROW(B423))</f>
        <v/>
      </c>
      <c r="AC442" s="107" t="str">
        <f t="array" ref="AC442">INDIRECT("Update"&amp;Projections!$AH$17&amp;"!K"&amp;ROW(B423))</f>
        <v/>
      </c>
      <c r="AD442" s="73" t="str">
        <f t="array" ref="AD442">INDIRECT("Update"&amp;Projections!$AH$17&amp;"!R"&amp;ROW(B423))</f>
        <v/>
      </c>
      <c r="AE442" s="73">
        <f t="shared" si="16"/>
        <v>-3.155358621</v>
      </c>
      <c r="AF442" s="73">
        <f t="shared" si="17"/>
        <v>-1.740686581</v>
      </c>
      <c r="AG442" s="73">
        <f t="shared" si="18"/>
        <v>-2.380599106</v>
      </c>
      <c r="AH442" s="73">
        <f t="shared" si="19"/>
        <v>-1.79320266</v>
      </c>
      <c r="AI442" s="73">
        <f t="shared" si="20"/>
        <v>-3.240190514</v>
      </c>
      <c r="AJ442" s="73">
        <f t="shared" si="21"/>
        <v>-1.329092151</v>
      </c>
      <c r="AK442" s="73">
        <f t="shared" si="22"/>
        <v>0</v>
      </c>
      <c r="AL442" s="73">
        <f t="shared" si="23"/>
        <v>0</v>
      </c>
      <c r="AM442" s="73">
        <f t="shared" si="24"/>
        <v>0.433638093</v>
      </c>
      <c r="AN442" s="120">
        <f t="shared" si="25"/>
        <v>-3.240190514</v>
      </c>
      <c r="AO442" s="120">
        <f t="shared" si="26"/>
        <v>-6.395549135</v>
      </c>
      <c r="AP442" s="120" t="str">
        <f t="array" ref="AP442">INDIRECT("Update"&amp;Projections!$AH$17&amp;"!S"&amp;ROW(B423))</f>
        <v/>
      </c>
      <c r="AQ442" s="120" t="str">
        <f t="array" ref="AQ442">INDIRECT("Update"&amp;Projections!$AH$17&amp;"!T"&amp;ROW(B423))</f>
        <v/>
      </c>
      <c r="AR442" s="100">
        <f t="shared" si="27"/>
        <v>-9.965301026</v>
      </c>
    </row>
    <row r="443">
      <c r="A443" t="str">
        <f t="shared" si="3"/>
        <v/>
      </c>
      <c r="B443" s="42">
        <f t="shared" si="4"/>
        <v>-3.155358621</v>
      </c>
      <c r="C443" s="43">
        <f t="shared" si="5"/>
        <v>-1.740686581</v>
      </c>
      <c r="D443" s="42">
        <f t="shared" si="6"/>
        <v>-2.380599106</v>
      </c>
      <c r="E443" s="42">
        <f t="shared" si="7"/>
        <v>-1.79320266</v>
      </c>
      <c r="F443" s="42">
        <f t="shared" si="8"/>
        <v>-3.240190514</v>
      </c>
      <c r="G443" s="42">
        <f t="shared" si="9"/>
        <v>-1.329092151</v>
      </c>
      <c r="H443" s="42">
        <f t="shared" si="10"/>
        <v>0</v>
      </c>
      <c r="I443" s="42" t="str">
        <f>UpdateHashtag!S441</f>
        <v/>
      </c>
      <c r="J443" s="47">
        <f t="shared" si="11"/>
        <v>0</v>
      </c>
      <c r="K443" s="48" t="str">
        <f>UpdateHashtag!T441</f>
        <v/>
      </c>
      <c r="L443" s="42">
        <f t="shared" si="12"/>
        <v>-1.734552372</v>
      </c>
      <c r="N443" s="100">
        <f t="shared" si="13"/>
        <v>401</v>
      </c>
      <c r="O443" s="94" t="str">
        <f t="array" ref="O443">INDIRECT("Update"&amp;Projections!$AH$17&amp;"!B"&amp;ROW(B424))</f>
        <v/>
      </c>
      <c r="P443" s="414" t="str">
        <f t="array" ref="P443">INDIRECT("Update"&amp;Projections!$AH$17&amp;"!C"&amp;ROW(B424))</f>
        <v/>
      </c>
      <c r="Q443" s="94" t="str">
        <f>UpdateHashtag!F473</f>
        <v/>
      </c>
      <c r="R443" s="105" t="str">
        <f t="array" ref="R443">INDIRECT("Update"&amp;Projections!$AH$17&amp;"!D"&amp;ROW(B424))</f>
        <v/>
      </c>
      <c r="S443" s="73">
        <f t="shared" si="14"/>
        <v>-9.965301026</v>
      </c>
      <c r="T443" s="73">
        <f>SUM(AE443:AM443)-IFERROR(IFS(Projections!$I$17,AN443,Projections!$J$17,AO443),"")</f>
        <v>-9.965301026</v>
      </c>
      <c r="U443" s="73">
        <f t="shared" si="15"/>
        <v>0</v>
      </c>
      <c r="V443" s="73" t="str">
        <f t="array" ref="V443">INDIRECT("Update"&amp;Projections!$AH$17&amp;"!M"&amp;ROW(B424))</f>
        <v/>
      </c>
      <c r="W443" s="73" t="str">
        <f t="array" ref="W443">INDIRECT("Update"&amp;Projections!$AH$17&amp;"!L"&amp;ROW(B424))</f>
        <v/>
      </c>
      <c r="X443" s="73" t="str">
        <f t="array" ref="X443">INDIRECT("Update"&amp;Projections!$AH$17&amp;"!N"&amp;ROW(B424))</f>
        <v/>
      </c>
      <c r="Y443" s="73" t="str">
        <f t="array" ref="Y443">INDIRECT("Update"&amp;Projections!$AH$17&amp;"!O"&amp;ROW(B424))</f>
        <v/>
      </c>
      <c r="Z443" s="73" t="str">
        <f t="array" ref="Z443">INDIRECT("Update"&amp;Projections!$AH$17&amp;"!P"&amp;ROW(B424))</f>
        <v/>
      </c>
      <c r="AA443" s="73" t="str">
        <f t="array" ref="AA443">INDIRECT("Update"&amp;Projections!$AH$17&amp;"!Q"&amp;ROW(B424))</f>
        <v/>
      </c>
      <c r="AB443" s="107" t="str">
        <f t="array" ref="AB443">INDIRECT("Update"&amp;Projections!$AH$17&amp;"!I"&amp;ROW(B424))</f>
        <v/>
      </c>
      <c r="AC443" s="107" t="str">
        <f t="array" ref="AC443">INDIRECT("Update"&amp;Projections!$AH$17&amp;"!K"&amp;ROW(B424))</f>
        <v/>
      </c>
      <c r="AD443" s="73" t="str">
        <f t="array" ref="AD443">INDIRECT("Update"&amp;Projections!$AH$17&amp;"!R"&amp;ROW(B424))</f>
        <v/>
      </c>
      <c r="AE443" s="73">
        <f t="shared" si="16"/>
        <v>-3.155358621</v>
      </c>
      <c r="AF443" s="73">
        <f t="shared" si="17"/>
        <v>-1.740686581</v>
      </c>
      <c r="AG443" s="73">
        <f t="shared" si="18"/>
        <v>-2.380599106</v>
      </c>
      <c r="AH443" s="73">
        <f t="shared" si="19"/>
        <v>-1.79320266</v>
      </c>
      <c r="AI443" s="73">
        <f t="shared" si="20"/>
        <v>-3.240190514</v>
      </c>
      <c r="AJ443" s="73">
        <f t="shared" si="21"/>
        <v>-1.329092151</v>
      </c>
      <c r="AK443" s="73">
        <f t="shared" si="22"/>
        <v>0</v>
      </c>
      <c r="AL443" s="73">
        <f t="shared" si="23"/>
        <v>0</v>
      </c>
      <c r="AM443" s="73">
        <f t="shared" si="24"/>
        <v>0.433638093</v>
      </c>
      <c r="AN443" s="120">
        <f t="shared" si="25"/>
        <v>-3.240190514</v>
      </c>
      <c r="AO443" s="120">
        <f t="shared" si="26"/>
        <v>-6.395549135</v>
      </c>
      <c r="AP443" s="120" t="str">
        <f t="array" ref="AP443">INDIRECT("Update"&amp;Projections!$AH$17&amp;"!S"&amp;ROW(B424))</f>
        <v/>
      </c>
      <c r="AQ443" s="120" t="str">
        <f t="array" ref="AQ443">INDIRECT("Update"&amp;Projections!$AH$17&amp;"!T"&amp;ROW(B424))</f>
        <v/>
      </c>
      <c r="AR443" s="100">
        <f t="shared" si="27"/>
        <v>-9.965301026</v>
      </c>
    </row>
    <row r="444">
      <c r="A444" t="str">
        <f t="shared" si="3"/>
        <v/>
      </c>
      <c r="B444" s="42">
        <f t="shared" si="4"/>
        <v>-3.155358621</v>
      </c>
      <c r="C444" s="43">
        <f t="shared" si="5"/>
        <v>-1.740686581</v>
      </c>
      <c r="D444" s="42">
        <f t="shared" si="6"/>
        <v>-2.380599106</v>
      </c>
      <c r="E444" s="42">
        <f t="shared" si="7"/>
        <v>-1.79320266</v>
      </c>
      <c r="F444" s="42">
        <f t="shared" si="8"/>
        <v>-3.240190514</v>
      </c>
      <c r="G444" s="42">
        <f t="shared" si="9"/>
        <v>-1.329092151</v>
      </c>
      <c r="H444" s="42">
        <f t="shared" si="10"/>
        <v>0</v>
      </c>
      <c r="I444" s="42" t="str">
        <f>UpdateHashtag!S442</f>
        <v/>
      </c>
      <c r="J444" s="47">
        <f t="shared" si="11"/>
        <v>0</v>
      </c>
      <c r="K444" s="48" t="str">
        <f>UpdateHashtag!T442</f>
        <v/>
      </c>
      <c r="L444" s="42">
        <f t="shared" si="12"/>
        <v>-1.734552372</v>
      </c>
      <c r="N444" s="100">
        <f t="shared" si="13"/>
        <v>401</v>
      </c>
      <c r="O444" s="94" t="str">
        <f t="array" ref="O444">INDIRECT("Update"&amp;Projections!$AH$17&amp;"!B"&amp;ROW(B425))</f>
        <v/>
      </c>
      <c r="P444" s="414" t="str">
        <f t="array" ref="P444">INDIRECT("Update"&amp;Projections!$AH$17&amp;"!C"&amp;ROW(B425))</f>
        <v/>
      </c>
      <c r="Q444" s="94" t="str">
        <f>UpdateHashtag!F474</f>
        <v/>
      </c>
      <c r="R444" s="105" t="str">
        <f t="array" ref="R444">INDIRECT("Update"&amp;Projections!$AH$17&amp;"!D"&amp;ROW(B425))</f>
        <v/>
      </c>
      <c r="S444" s="73">
        <f t="shared" si="14"/>
        <v>-9.965301026</v>
      </c>
      <c r="T444" s="73">
        <f>SUM(AE444:AM444)-IFERROR(IFS(Projections!$I$17,AN444,Projections!$J$17,AO444),"")</f>
        <v>-9.965301026</v>
      </c>
      <c r="U444" s="73">
        <f t="shared" si="15"/>
        <v>0</v>
      </c>
      <c r="V444" s="73" t="str">
        <f t="array" ref="V444">INDIRECT("Update"&amp;Projections!$AH$17&amp;"!M"&amp;ROW(B425))</f>
        <v/>
      </c>
      <c r="W444" s="73" t="str">
        <f t="array" ref="W444">INDIRECT("Update"&amp;Projections!$AH$17&amp;"!L"&amp;ROW(B425))</f>
        <v/>
      </c>
      <c r="X444" s="73" t="str">
        <f t="array" ref="X444">INDIRECT("Update"&amp;Projections!$AH$17&amp;"!N"&amp;ROW(B425))</f>
        <v/>
      </c>
      <c r="Y444" s="73" t="str">
        <f t="array" ref="Y444">INDIRECT("Update"&amp;Projections!$AH$17&amp;"!O"&amp;ROW(B425))</f>
        <v/>
      </c>
      <c r="Z444" s="73" t="str">
        <f t="array" ref="Z444">INDIRECT("Update"&amp;Projections!$AH$17&amp;"!P"&amp;ROW(B425))</f>
        <v/>
      </c>
      <c r="AA444" s="73" t="str">
        <f t="array" ref="AA444">INDIRECT("Update"&amp;Projections!$AH$17&amp;"!Q"&amp;ROW(B425))</f>
        <v/>
      </c>
      <c r="AB444" s="107" t="str">
        <f t="array" ref="AB444">INDIRECT("Update"&amp;Projections!$AH$17&amp;"!I"&amp;ROW(B425))</f>
        <v/>
      </c>
      <c r="AC444" s="107" t="str">
        <f t="array" ref="AC444">INDIRECT("Update"&amp;Projections!$AH$17&amp;"!K"&amp;ROW(B425))</f>
        <v/>
      </c>
      <c r="AD444" s="73" t="str">
        <f t="array" ref="AD444">INDIRECT("Update"&amp;Projections!$AH$17&amp;"!R"&amp;ROW(B425))</f>
        <v/>
      </c>
      <c r="AE444" s="73">
        <f t="shared" si="16"/>
        <v>-3.155358621</v>
      </c>
      <c r="AF444" s="73">
        <f t="shared" si="17"/>
        <v>-1.740686581</v>
      </c>
      <c r="AG444" s="73">
        <f t="shared" si="18"/>
        <v>-2.380599106</v>
      </c>
      <c r="AH444" s="73">
        <f t="shared" si="19"/>
        <v>-1.79320266</v>
      </c>
      <c r="AI444" s="73">
        <f t="shared" si="20"/>
        <v>-3.240190514</v>
      </c>
      <c r="AJ444" s="73">
        <f t="shared" si="21"/>
        <v>-1.329092151</v>
      </c>
      <c r="AK444" s="73">
        <f t="shared" si="22"/>
        <v>0</v>
      </c>
      <c r="AL444" s="73">
        <f t="shared" si="23"/>
        <v>0</v>
      </c>
      <c r="AM444" s="73">
        <f t="shared" si="24"/>
        <v>0.433638093</v>
      </c>
      <c r="AN444" s="120">
        <f t="shared" si="25"/>
        <v>-3.240190514</v>
      </c>
      <c r="AO444" s="120">
        <f t="shared" si="26"/>
        <v>-6.395549135</v>
      </c>
      <c r="AP444" s="120" t="str">
        <f t="array" ref="AP444">INDIRECT("Update"&amp;Projections!$AH$17&amp;"!S"&amp;ROW(B425))</f>
        <v/>
      </c>
      <c r="AQ444" s="120" t="str">
        <f t="array" ref="AQ444">INDIRECT("Update"&amp;Projections!$AH$17&amp;"!T"&amp;ROW(B425))</f>
        <v/>
      </c>
      <c r="AR444" s="100">
        <f t="shared" si="27"/>
        <v>-9.965301026</v>
      </c>
    </row>
    <row r="445">
      <c r="A445" t="str">
        <f t="shared" si="3"/>
        <v/>
      </c>
      <c r="B445" s="42">
        <f t="shared" si="4"/>
        <v>-3.155358621</v>
      </c>
      <c r="C445" s="43">
        <f t="shared" si="5"/>
        <v>-1.740686581</v>
      </c>
      <c r="D445" s="42">
        <f t="shared" si="6"/>
        <v>-2.380599106</v>
      </c>
      <c r="E445" s="42">
        <f t="shared" si="7"/>
        <v>-1.79320266</v>
      </c>
      <c r="F445" s="42">
        <f t="shared" si="8"/>
        <v>-3.240190514</v>
      </c>
      <c r="G445" s="42">
        <f t="shared" si="9"/>
        <v>-1.329092151</v>
      </c>
      <c r="H445" s="42">
        <f t="shared" si="10"/>
        <v>0</v>
      </c>
      <c r="I445" s="42" t="str">
        <f>UpdateHashtag!S443</f>
        <v/>
      </c>
      <c r="J445" s="47">
        <f t="shared" si="11"/>
        <v>0</v>
      </c>
      <c r="K445" s="48" t="str">
        <f>UpdateHashtag!T443</f>
        <v/>
      </c>
      <c r="L445" s="42">
        <f t="shared" si="12"/>
        <v>-1.734552372</v>
      </c>
      <c r="N445" s="100">
        <f t="shared" si="13"/>
        <v>401</v>
      </c>
      <c r="O445" s="94" t="str">
        <f t="array" ref="O445">INDIRECT("Update"&amp;Projections!$AH$17&amp;"!B"&amp;ROW(B426))</f>
        <v/>
      </c>
      <c r="P445" s="414" t="str">
        <f t="array" ref="P445">INDIRECT("Update"&amp;Projections!$AH$17&amp;"!C"&amp;ROW(B426))</f>
        <v/>
      </c>
      <c r="Q445" s="94" t="str">
        <f>UpdateHashtag!F475</f>
        <v/>
      </c>
      <c r="R445" s="105" t="str">
        <f t="array" ref="R445">INDIRECT("Update"&amp;Projections!$AH$17&amp;"!D"&amp;ROW(B426))</f>
        <v/>
      </c>
      <c r="S445" s="73">
        <f t="shared" si="14"/>
        <v>-9.965301026</v>
      </c>
      <c r="T445" s="73">
        <f>SUM(AE445:AM445)-IFERROR(IFS(Projections!$I$17,AN445,Projections!$J$17,AO445),"")</f>
        <v>-9.965301026</v>
      </c>
      <c r="U445" s="73">
        <f t="shared" si="15"/>
        <v>0</v>
      </c>
      <c r="V445" s="73" t="str">
        <f t="array" ref="V445">INDIRECT("Update"&amp;Projections!$AH$17&amp;"!M"&amp;ROW(B426))</f>
        <v/>
      </c>
      <c r="W445" s="73" t="str">
        <f t="array" ref="W445">INDIRECT("Update"&amp;Projections!$AH$17&amp;"!L"&amp;ROW(B426))</f>
        <v/>
      </c>
      <c r="X445" s="73" t="str">
        <f t="array" ref="X445">INDIRECT("Update"&amp;Projections!$AH$17&amp;"!N"&amp;ROW(B426))</f>
        <v/>
      </c>
      <c r="Y445" s="73" t="str">
        <f t="array" ref="Y445">INDIRECT("Update"&amp;Projections!$AH$17&amp;"!O"&amp;ROW(B426))</f>
        <v/>
      </c>
      <c r="Z445" s="73" t="str">
        <f t="array" ref="Z445">INDIRECT("Update"&amp;Projections!$AH$17&amp;"!P"&amp;ROW(B426))</f>
        <v/>
      </c>
      <c r="AA445" s="73" t="str">
        <f t="array" ref="AA445">INDIRECT("Update"&amp;Projections!$AH$17&amp;"!Q"&amp;ROW(B426))</f>
        <v/>
      </c>
      <c r="AB445" s="107" t="str">
        <f t="array" ref="AB445">INDIRECT("Update"&amp;Projections!$AH$17&amp;"!I"&amp;ROW(B426))</f>
        <v/>
      </c>
      <c r="AC445" s="107" t="str">
        <f t="array" ref="AC445">INDIRECT("Update"&amp;Projections!$AH$17&amp;"!K"&amp;ROW(B426))</f>
        <v/>
      </c>
      <c r="AD445" s="73" t="str">
        <f t="array" ref="AD445">INDIRECT("Update"&amp;Projections!$AH$17&amp;"!R"&amp;ROW(B426))</f>
        <v/>
      </c>
      <c r="AE445" s="73">
        <f t="shared" si="16"/>
        <v>-3.155358621</v>
      </c>
      <c r="AF445" s="73">
        <f t="shared" si="17"/>
        <v>-1.740686581</v>
      </c>
      <c r="AG445" s="73">
        <f t="shared" si="18"/>
        <v>-2.380599106</v>
      </c>
      <c r="AH445" s="73">
        <f t="shared" si="19"/>
        <v>-1.79320266</v>
      </c>
      <c r="AI445" s="73">
        <f t="shared" si="20"/>
        <v>-3.240190514</v>
      </c>
      <c r="AJ445" s="73">
        <f t="shared" si="21"/>
        <v>-1.329092151</v>
      </c>
      <c r="AK445" s="73">
        <f t="shared" si="22"/>
        <v>0</v>
      </c>
      <c r="AL445" s="73">
        <f t="shared" si="23"/>
        <v>0</v>
      </c>
      <c r="AM445" s="73">
        <f t="shared" si="24"/>
        <v>0.433638093</v>
      </c>
      <c r="AN445" s="120">
        <f t="shared" si="25"/>
        <v>-3.240190514</v>
      </c>
      <c r="AO445" s="120">
        <f t="shared" si="26"/>
        <v>-6.395549135</v>
      </c>
      <c r="AP445" s="120" t="str">
        <f t="array" ref="AP445">INDIRECT("Update"&amp;Projections!$AH$17&amp;"!S"&amp;ROW(B426))</f>
        <v/>
      </c>
      <c r="AQ445" s="120" t="str">
        <f t="array" ref="AQ445">INDIRECT("Update"&amp;Projections!$AH$17&amp;"!T"&amp;ROW(B426))</f>
        <v/>
      </c>
      <c r="AR445" s="100">
        <f t="shared" si="27"/>
        <v>-9.965301026</v>
      </c>
    </row>
    <row r="446">
      <c r="A446" t="str">
        <f t="shared" si="3"/>
        <v/>
      </c>
      <c r="B446" s="42">
        <f t="shared" si="4"/>
        <v>-3.155358621</v>
      </c>
      <c r="C446" s="43">
        <f t="shared" si="5"/>
        <v>-1.740686581</v>
      </c>
      <c r="D446" s="42">
        <f t="shared" si="6"/>
        <v>-2.380599106</v>
      </c>
      <c r="E446" s="42">
        <f t="shared" si="7"/>
        <v>-1.79320266</v>
      </c>
      <c r="F446" s="42">
        <f t="shared" si="8"/>
        <v>-3.240190514</v>
      </c>
      <c r="G446" s="42">
        <f t="shared" si="9"/>
        <v>-1.329092151</v>
      </c>
      <c r="H446" s="42">
        <f t="shared" si="10"/>
        <v>0</v>
      </c>
      <c r="I446" s="42" t="str">
        <f>UpdateHashtag!S444</f>
        <v/>
      </c>
      <c r="J446" s="47">
        <f t="shared" si="11"/>
        <v>0</v>
      </c>
      <c r="K446" s="48" t="str">
        <f>UpdateHashtag!T444</f>
        <v/>
      </c>
      <c r="L446" s="42">
        <f t="shared" si="12"/>
        <v>-1.734552372</v>
      </c>
      <c r="N446" s="100">
        <f t="shared" si="13"/>
        <v>401</v>
      </c>
      <c r="O446" s="94" t="str">
        <f t="array" ref="O446">INDIRECT("Update"&amp;Projections!$AH$17&amp;"!B"&amp;ROW(B427))</f>
        <v/>
      </c>
      <c r="P446" s="414" t="str">
        <f t="array" ref="P446">INDIRECT("Update"&amp;Projections!$AH$17&amp;"!C"&amp;ROW(B427))</f>
        <v/>
      </c>
      <c r="Q446" s="94" t="str">
        <f>UpdateHashtag!F476</f>
        <v/>
      </c>
      <c r="R446" s="105" t="str">
        <f t="array" ref="R446">INDIRECT("Update"&amp;Projections!$AH$17&amp;"!D"&amp;ROW(B427))</f>
        <v/>
      </c>
      <c r="S446" s="73">
        <f t="shared" si="14"/>
        <v>-9.965301026</v>
      </c>
      <c r="T446" s="73">
        <f>SUM(AE446:AM446)-IFERROR(IFS(Projections!$I$17,AN446,Projections!$J$17,AO446),"")</f>
        <v>-9.965301026</v>
      </c>
      <c r="U446" s="73">
        <f t="shared" si="15"/>
        <v>0</v>
      </c>
      <c r="V446" s="73" t="str">
        <f t="array" ref="V446">INDIRECT("Update"&amp;Projections!$AH$17&amp;"!M"&amp;ROW(B427))</f>
        <v/>
      </c>
      <c r="W446" s="73" t="str">
        <f t="array" ref="W446">INDIRECT("Update"&amp;Projections!$AH$17&amp;"!L"&amp;ROW(B427))</f>
        <v/>
      </c>
      <c r="X446" s="73" t="str">
        <f t="array" ref="X446">INDIRECT("Update"&amp;Projections!$AH$17&amp;"!N"&amp;ROW(B427))</f>
        <v/>
      </c>
      <c r="Y446" s="73" t="str">
        <f t="array" ref="Y446">INDIRECT("Update"&amp;Projections!$AH$17&amp;"!O"&amp;ROW(B427))</f>
        <v/>
      </c>
      <c r="Z446" s="73" t="str">
        <f t="array" ref="Z446">INDIRECT("Update"&amp;Projections!$AH$17&amp;"!P"&amp;ROW(B427))</f>
        <v/>
      </c>
      <c r="AA446" s="73" t="str">
        <f t="array" ref="AA446">INDIRECT("Update"&amp;Projections!$AH$17&amp;"!Q"&amp;ROW(B427))</f>
        <v/>
      </c>
      <c r="AB446" s="107" t="str">
        <f t="array" ref="AB446">INDIRECT("Update"&amp;Projections!$AH$17&amp;"!I"&amp;ROW(B427))</f>
        <v/>
      </c>
      <c r="AC446" s="107" t="str">
        <f t="array" ref="AC446">INDIRECT("Update"&amp;Projections!$AH$17&amp;"!K"&amp;ROW(B427))</f>
        <v/>
      </c>
      <c r="AD446" s="73" t="str">
        <f t="array" ref="AD446">INDIRECT("Update"&amp;Projections!$AH$17&amp;"!R"&amp;ROW(B427))</f>
        <v/>
      </c>
      <c r="AE446" s="73">
        <f t="shared" si="16"/>
        <v>-3.155358621</v>
      </c>
      <c r="AF446" s="73">
        <f t="shared" si="17"/>
        <v>-1.740686581</v>
      </c>
      <c r="AG446" s="73">
        <f t="shared" si="18"/>
        <v>-2.380599106</v>
      </c>
      <c r="AH446" s="73">
        <f t="shared" si="19"/>
        <v>-1.79320266</v>
      </c>
      <c r="AI446" s="73">
        <f t="shared" si="20"/>
        <v>-3.240190514</v>
      </c>
      <c r="AJ446" s="73">
        <f t="shared" si="21"/>
        <v>-1.329092151</v>
      </c>
      <c r="AK446" s="73">
        <f t="shared" si="22"/>
        <v>0</v>
      </c>
      <c r="AL446" s="73">
        <f t="shared" si="23"/>
        <v>0</v>
      </c>
      <c r="AM446" s="73">
        <f t="shared" si="24"/>
        <v>0.433638093</v>
      </c>
      <c r="AN446" s="120">
        <f t="shared" si="25"/>
        <v>-3.240190514</v>
      </c>
      <c r="AO446" s="120">
        <f t="shared" si="26"/>
        <v>-6.395549135</v>
      </c>
      <c r="AP446" s="120" t="str">
        <f t="array" ref="AP446">INDIRECT("Update"&amp;Projections!$AH$17&amp;"!S"&amp;ROW(B427))</f>
        <v/>
      </c>
      <c r="AQ446" s="120" t="str">
        <f t="array" ref="AQ446">INDIRECT("Update"&amp;Projections!$AH$17&amp;"!T"&amp;ROW(B427))</f>
        <v/>
      </c>
      <c r="AR446" s="100">
        <f t="shared" si="27"/>
        <v>-9.965301026</v>
      </c>
    </row>
    <row r="447">
      <c r="A447" t="str">
        <f t="shared" si="3"/>
        <v/>
      </c>
      <c r="B447" s="42">
        <f t="shared" si="4"/>
        <v>-3.155358621</v>
      </c>
      <c r="C447" s="43">
        <f t="shared" si="5"/>
        <v>-1.740686581</v>
      </c>
      <c r="D447" s="42">
        <f t="shared" si="6"/>
        <v>-2.380599106</v>
      </c>
      <c r="E447" s="42">
        <f t="shared" si="7"/>
        <v>-1.79320266</v>
      </c>
      <c r="F447" s="42">
        <f t="shared" si="8"/>
        <v>-3.240190514</v>
      </c>
      <c r="G447" s="42">
        <f t="shared" si="9"/>
        <v>-1.329092151</v>
      </c>
      <c r="H447" s="42">
        <f t="shared" si="10"/>
        <v>0</v>
      </c>
      <c r="I447" s="42" t="str">
        <f>UpdateHashtag!S445</f>
        <v/>
      </c>
      <c r="J447" s="47">
        <f t="shared" si="11"/>
        <v>0</v>
      </c>
      <c r="K447" s="48" t="str">
        <f>UpdateHashtag!T445</f>
        <v/>
      </c>
      <c r="L447" s="42">
        <f t="shared" si="12"/>
        <v>-1.734552372</v>
      </c>
      <c r="N447" s="100">
        <f t="shared" si="13"/>
        <v>401</v>
      </c>
      <c r="O447" s="94" t="str">
        <f t="array" ref="O447">INDIRECT("Update"&amp;Projections!$AH$17&amp;"!B"&amp;ROW(B428))</f>
        <v/>
      </c>
      <c r="P447" s="414" t="str">
        <f t="array" ref="P447">INDIRECT("Update"&amp;Projections!$AH$17&amp;"!C"&amp;ROW(B428))</f>
        <v/>
      </c>
      <c r="Q447" s="94" t="str">
        <f>UpdateHashtag!F477</f>
        <v/>
      </c>
      <c r="R447" s="105" t="str">
        <f t="array" ref="R447">INDIRECT("Update"&amp;Projections!$AH$17&amp;"!D"&amp;ROW(B428))</f>
        <v/>
      </c>
      <c r="S447" s="73">
        <f t="shared" si="14"/>
        <v>-9.965301026</v>
      </c>
      <c r="T447" s="73">
        <f>SUM(AE447:AM447)-IFERROR(IFS(Projections!$I$17,AN447,Projections!$J$17,AO447),"")</f>
        <v>-9.965301026</v>
      </c>
      <c r="U447" s="73">
        <f t="shared" si="15"/>
        <v>0</v>
      </c>
      <c r="V447" s="73" t="str">
        <f t="array" ref="V447">INDIRECT("Update"&amp;Projections!$AH$17&amp;"!M"&amp;ROW(B428))</f>
        <v/>
      </c>
      <c r="W447" s="73" t="str">
        <f t="array" ref="W447">INDIRECT("Update"&amp;Projections!$AH$17&amp;"!L"&amp;ROW(B428))</f>
        <v/>
      </c>
      <c r="X447" s="73" t="str">
        <f t="array" ref="X447">INDIRECT("Update"&amp;Projections!$AH$17&amp;"!N"&amp;ROW(B428))</f>
        <v/>
      </c>
      <c r="Y447" s="73" t="str">
        <f t="array" ref="Y447">INDIRECT("Update"&amp;Projections!$AH$17&amp;"!O"&amp;ROW(B428))</f>
        <v/>
      </c>
      <c r="Z447" s="73" t="str">
        <f t="array" ref="Z447">INDIRECT("Update"&amp;Projections!$AH$17&amp;"!P"&amp;ROW(B428))</f>
        <v/>
      </c>
      <c r="AA447" s="73" t="str">
        <f t="array" ref="AA447">INDIRECT("Update"&amp;Projections!$AH$17&amp;"!Q"&amp;ROW(B428))</f>
        <v/>
      </c>
      <c r="AB447" s="107" t="str">
        <f t="array" ref="AB447">INDIRECT("Update"&amp;Projections!$AH$17&amp;"!I"&amp;ROW(B428))</f>
        <v/>
      </c>
      <c r="AC447" s="107" t="str">
        <f t="array" ref="AC447">INDIRECT("Update"&amp;Projections!$AH$17&amp;"!K"&amp;ROW(B428))</f>
        <v/>
      </c>
      <c r="AD447" s="73" t="str">
        <f t="array" ref="AD447">INDIRECT("Update"&amp;Projections!$AH$17&amp;"!R"&amp;ROW(B428))</f>
        <v/>
      </c>
      <c r="AE447" s="73">
        <f t="shared" si="16"/>
        <v>-3.155358621</v>
      </c>
      <c r="AF447" s="73">
        <f t="shared" si="17"/>
        <v>-1.740686581</v>
      </c>
      <c r="AG447" s="73">
        <f t="shared" si="18"/>
        <v>-2.380599106</v>
      </c>
      <c r="AH447" s="73">
        <f t="shared" si="19"/>
        <v>-1.79320266</v>
      </c>
      <c r="AI447" s="73">
        <f t="shared" si="20"/>
        <v>-3.240190514</v>
      </c>
      <c r="AJ447" s="73">
        <f t="shared" si="21"/>
        <v>-1.329092151</v>
      </c>
      <c r="AK447" s="73">
        <f t="shared" si="22"/>
        <v>0</v>
      </c>
      <c r="AL447" s="73">
        <f t="shared" si="23"/>
        <v>0</v>
      </c>
      <c r="AM447" s="73">
        <f t="shared" si="24"/>
        <v>0.433638093</v>
      </c>
      <c r="AN447" s="120">
        <f t="shared" si="25"/>
        <v>-3.240190514</v>
      </c>
      <c r="AO447" s="120">
        <f t="shared" si="26"/>
        <v>-6.395549135</v>
      </c>
      <c r="AP447" s="120" t="str">
        <f t="array" ref="AP447">INDIRECT("Update"&amp;Projections!$AH$17&amp;"!S"&amp;ROW(B428))</f>
        <v/>
      </c>
      <c r="AQ447" s="120" t="str">
        <f t="array" ref="AQ447">INDIRECT("Update"&amp;Projections!$AH$17&amp;"!T"&amp;ROW(B428))</f>
        <v/>
      </c>
      <c r="AR447" s="100">
        <f t="shared" si="27"/>
        <v>-9.965301026</v>
      </c>
    </row>
    <row r="448">
      <c r="A448" t="str">
        <f t="shared" si="3"/>
        <v/>
      </c>
      <c r="B448" s="42">
        <f t="shared" si="4"/>
        <v>-3.155358621</v>
      </c>
      <c r="C448" s="43">
        <f t="shared" si="5"/>
        <v>-1.740686581</v>
      </c>
      <c r="D448" s="42">
        <f t="shared" si="6"/>
        <v>-2.380599106</v>
      </c>
      <c r="E448" s="42">
        <f t="shared" si="7"/>
        <v>-1.79320266</v>
      </c>
      <c r="F448" s="42">
        <f t="shared" si="8"/>
        <v>-3.240190514</v>
      </c>
      <c r="G448" s="42">
        <f t="shared" si="9"/>
        <v>-1.329092151</v>
      </c>
      <c r="H448" s="42">
        <f t="shared" si="10"/>
        <v>0</v>
      </c>
      <c r="I448" s="42" t="str">
        <f>UpdateHashtag!S446</f>
        <v/>
      </c>
      <c r="J448" s="47">
        <f t="shared" si="11"/>
        <v>0</v>
      </c>
      <c r="K448" s="48" t="str">
        <f>UpdateHashtag!T446</f>
        <v/>
      </c>
      <c r="L448" s="42">
        <f t="shared" si="12"/>
        <v>-1.734552372</v>
      </c>
      <c r="N448" s="100">
        <f t="shared" si="13"/>
        <v>401</v>
      </c>
      <c r="O448" s="94" t="str">
        <f t="array" ref="O448">INDIRECT("Update"&amp;Projections!$AH$17&amp;"!B"&amp;ROW(B429))</f>
        <v/>
      </c>
      <c r="P448" s="414" t="str">
        <f t="array" ref="P448">INDIRECT("Update"&amp;Projections!$AH$17&amp;"!C"&amp;ROW(B429))</f>
        <v/>
      </c>
      <c r="Q448" s="94" t="str">
        <f>UpdateHashtag!F478</f>
        <v/>
      </c>
      <c r="R448" s="105" t="str">
        <f t="array" ref="R448">INDIRECT("Update"&amp;Projections!$AH$17&amp;"!D"&amp;ROW(B429))</f>
        <v/>
      </c>
      <c r="S448" s="73">
        <f t="shared" si="14"/>
        <v>-9.965301026</v>
      </c>
      <c r="T448" s="73">
        <f>SUM(AE448:AM448)-IFERROR(IFS(Projections!$I$17,AN448,Projections!$J$17,AO448),"")</f>
        <v>-9.965301026</v>
      </c>
      <c r="U448" s="73">
        <f t="shared" si="15"/>
        <v>0</v>
      </c>
      <c r="V448" s="73" t="str">
        <f t="array" ref="V448">INDIRECT("Update"&amp;Projections!$AH$17&amp;"!M"&amp;ROW(B429))</f>
        <v/>
      </c>
      <c r="W448" s="73" t="str">
        <f t="array" ref="W448">INDIRECT("Update"&amp;Projections!$AH$17&amp;"!L"&amp;ROW(B429))</f>
        <v/>
      </c>
      <c r="X448" s="73" t="str">
        <f t="array" ref="X448">INDIRECT("Update"&amp;Projections!$AH$17&amp;"!N"&amp;ROW(B429))</f>
        <v/>
      </c>
      <c r="Y448" s="73" t="str">
        <f t="array" ref="Y448">INDIRECT("Update"&amp;Projections!$AH$17&amp;"!O"&amp;ROW(B429))</f>
        <v/>
      </c>
      <c r="Z448" s="73" t="str">
        <f t="array" ref="Z448">INDIRECT("Update"&amp;Projections!$AH$17&amp;"!P"&amp;ROW(B429))</f>
        <v/>
      </c>
      <c r="AA448" s="73" t="str">
        <f t="array" ref="AA448">INDIRECT("Update"&amp;Projections!$AH$17&amp;"!Q"&amp;ROW(B429))</f>
        <v/>
      </c>
      <c r="AB448" s="107" t="str">
        <f t="array" ref="AB448">INDIRECT("Update"&amp;Projections!$AH$17&amp;"!I"&amp;ROW(B429))</f>
        <v/>
      </c>
      <c r="AC448" s="107" t="str">
        <f t="array" ref="AC448">INDIRECT("Update"&amp;Projections!$AH$17&amp;"!K"&amp;ROW(B429))</f>
        <v/>
      </c>
      <c r="AD448" s="73" t="str">
        <f t="array" ref="AD448">INDIRECT("Update"&amp;Projections!$AH$17&amp;"!R"&amp;ROW(B429))</f>
        <v/>
      </c>
      <c r="AE448" s="73">
        <f t="shared" si="16"/>
        <v>-3.155358621</v>
      </c>
      <c r="AF448" s="73">
        <f t="shared" si="17"/>
        <v>-1.740686581</v>
      </c>
      <c r="AG448" s="73">
        <f t="shared" si="18"/>
        <v>-2.380599106</v>
      </c>
      <c r="AH448" s="73">
        <f t="shared" si="19"/>
        <v>-1.79320266</v>
      </c>
      <c r="AI448" s="73">
        <f t="shared" si="20"/>
        <v>-3.240190514</v>
      </c>
      <c r="AJ448" s="73">
        <f t="shared" si="21"/>
        <v>-1.329092151</v>
      </c>
      <c r="AK448" s="73">
        <f t="shared" si="22"/>
        <v>0</v>
      </c>
      <c r="AL448" s="73">
        <f t="shared" si="23"/>
        <v>0</v>
      </c>
      <c r="AM448" s="73">
        <f t="shared" si="24"/>
        <v>0.433638093</v>
      </c>
      <c r="AN448" s="120">
        <f t="shared" si="25"/>
        <v>-3.240190514</v>
      </c>
      <c r="AO448" s="120">
        <f t="shared" si="26"/>
        <v>-6.395549135</v>
      </c>
      <c r="AP448" s="120" t="str">
        <f t="array" ref="AP448">INDIRECT("Update"&amp;Projections!$AH$17&amp;"!S"&amp;ROW(B429))</f>
        <v/>
      </c>
      <c r="AQ448" s="120" t="str">
        <f t="array" ref="AQ448">INDIRECT("Update"&amp;Projections!$AH$17&amp;"!T"&amp;ROW(B429))</f>
        <v/>
      </c>
      <c r="AR448" s="100">
        <f t="shared" si="27"/>
        <v>-9.965301026</v>
      </c>
    </row>
    <row r="449">
      <c r="A449" t="str">
        <f t="shared" si="3"/>
        <v/>
      </c>
      <c r="B449" s="42">
        <f t="shared" si="4"/>
        <v>-3.155358621</v>
      </c>
      <c r="C449" s="43">
        <f t="shared" si="5"/>
        <v>-1.740686581</v>
      </c>
      <c r="D449" s="42">
        <f t="shared" si="6"/>
        <v>-2.380599106</v>
      </c>
      <c r="E449" s="42">
        <f t="shared" si="7"/>
        <v>-1.79320266</v>
      </c>
      <c r="F449" s="42">
        <f t="shared" si="8"/>
        <v>-3.240190514</v>
      </c>
      <c r="G449" s="42">
        <f t="shared" si="9"/>
        <v>-1.329092151</v>
      </c>
      <c r="H449" s="42">
        <f t="shared" si="10"/>
        <v>0</v>
      </c>
      <c r="I449" s="42" t="str">
        <f>UpdateHashtag!S447</f>
        <v/>
      </c>
      <c r="J449" s="47">
        <f t="shared" si="11"/>
        <v>0</v>
      </c>
      <c r="K449" s="48" t="str">
        <f>UpdateHashtag!T447</f>
        <v/>
      </c>
      <c r="L449" s="42">
        <f t="shared" si="12"/>
        <v>-1.734552372</v>
      </c>
      <c r="N449" s="100">
        <f t="shared" si="13"/>
        <v>401</v>
      </c>
      <c r="O449" s="94" t="str">
        <f t="array" ref="O449">INDIRECT("Update"&amp;Projections!$AH$17&amp;"!B"&amp;ROW(B430))</f>
        <v/>
      </c>
      <c r="P449" s="414" t="str">
        <f t="array" ref="P449">INDIRECT("Update"&amp;Projections!$AH$17&amp;"!C"&amp;ROW(B430))</f>
        <v/>
      </c>
      <c r="Q449" s="94" t="str">
        <f>UpdateHashtag!F479</f>
        <v/>
      </c>
      <c r="R449" s="105" t="str">
        <f t="array" ref="R449">INDIRECT("Update"&amp;Projections!$AH$17&amp;"!D"&amp;ROW(B430))</f>
        <v/>
      </c>
      <c r="S449" s="73">
        <f t="shared" si="14"/>
        <v>-9.965301026</v>
      </c>
      <c r="T449" s="73">
        <f>SUM(AE449:AM449)-IFERROR(IFS(Projections!$I$17,AN449,Projections!$J$17,AO449),"")</f>
        <v>-9.965301026</v>
      </c>
      <c r="U449" s="73">
        <f t="shared" si="15"/>
        <v>0</v>
      </c>
      <c r="V449" s="73" t="str">
        <f t="array" ref="V449">INDIRECT("Update"&amp;Projections!$AH$17&amp;"!M"&amp;ROW(B430))</f>
        <v/>
      </c>
      <c r="W449" s="73" t="str">
        <f t="array" ref="W449">INDIRECT("Update"&amp;Projections!$AH$17&amp;"!L"&amp;ROW(B430))</f>
        <v/>
      </c>
      <c r="X449" s="73" t="str">
        <f t="array" ref="X449">INDIRECT("Update"&amp;Projections!$AH$17&amp;"!N"&amp;ROW(B430))</f>
        <v/>
      </c>
      <c r="Y449" s="73" t="str">
        <f t="array" ref="Y449">INDIRECT("Update"&amp;Projections!$AH$17&amp;"!O"&amp;ROW(B430))</f>
        <v/>
      </c>
      <c r="Z449" s="73" t="str">
        <f t="array" ref="Z449">INDIRECT("Update"&amp;Projections!$AH$17&amp;"!P"&amp;ROW(B430))</f>
        <v/>
      </c>
      <c r="AA449" s="73" t="str">
        <f t="array" ref="AA449">INDIRECT("Update"&amp;Projections!$AH$17&amp;"!Q"&amp;ROW(B430))</f>
        <v/>
      </c>
      <c r="AB449" s="107" t="str">
        <f t="array" ref="AB449">INDIRECT("Update"&amp;Projections!$AH$17&amp;"!I"&amp;ROW(B430))</f>
        <v/>
      </c>
      <c r="AC449" s="107" t="str">
        <f t="array" ref="AC449">INDIRECT("Update"&amp;Projections!$AH$17&amp;"!K"&amp;ROW(B430))</f>
        <v/>
      </c>
      <c r="AD449" s="73" t="str">
        <f t="array" ref="AD449">INDIRECT("Update"&amp;Projections!$AH$17&amp;"!R"&amp;ROW(B430))</f>
        <v/>
      </c>
      <c r="AE449" s="73">
        <f t="shared" si="16"/>
        <v>-3.155358621</v>
      </c>
      <c r="AF449" s="73">
        <f t="shared" si="17"/>
        <v>-1.740686581</v>
      </c>
      <c r="AG449" s="73">
        <f t="shared" si="18"/>
        <v>-2.380599106</v>
      </c>
      <c r="AH449" s="73">
        <f t="shared" si="19"/>
        <v>-1.79320266</v>
      </c>
      <c r="AI449" s="73">
        <f t="shared" si="20"/>
        <v>-3.240190514</v>
      </c>
      <c r="AJ449" s="73">
        <f t="shared" si="21"/>
        <v>-1.329092151</v>
      </c>
      <c r="AK449" s="73">
        <f t="shared" si="22"/>
        <v>0</v>
      </c>
      <c r="AL449" s="73">
        <f t="shared" si="23"/>
        <v>0</v>
      </c>
      <c r="AM449" s="73">
        <f t="shared" si="24"/>
        <v>0.433638093</v>
      </c>
      <c r="AN449" s="120">
        <f t="shared" si="25"/>
        <v>-3.240190514</v>
      </c>
      <c r="AO449" s="120">
        <f t="shared" si="26"/>
        <v>-6.395549135</v>
      </c>
      <c r="AP449" s="120" t="str">
        <f t="array" ref="AP449">INDIRECT("Update"&amp;Projections!$AH$17&amp;"!S"&amp;ROW(B430))</f>
        <v/>
      </c>
      <c r="AQ449" s="120" t="str">
        <f t="array" ref="AQ449">INDIRECT("Update"&amp;Projections!$AH$17&amp;"!T"&amp;ROW(B430))</f>
        <v/>
      </c>
      <c r="AR449" s="100">
        <f t="shared" si="27"/>
        <v>-9.965301026</v>
      </c>
    </row>
    <row r="450">
      <c r="A450" t="str">
        <f t="shared" si="3"/>
        <v/>
      </c>
      <c r="B450" s="42">
        <f t="shared" si="4"/>
        <v>-3.155358621</v>
      </c>
      <c r="C450" s="43">
        <f t="shared" si="5"/>
        <v>-1.740686581</v>
      </c>
      <c r="D450" s="42">
        <f t="shared" si="6"/>
        <v>-2.380599106</v>
      </c>
      <c r="E450" s="42">
        <f t="shared" si="7"/>
        <v>-1.79320266</v>
      </c>
      <c r="F450" s="42">
        <f t="shared" si="8"/>
        <v>-3.240190514</v>
      </c>
      <c r="G450" s="42">
        <f t="shared" si="9"/>
        <v>-1.329092151</v>
      </c>
      <c r="H450" s="42">
        <f t="shared" si="10"/>
        <v>0</v>
      </c>
      <c r="I450" s="42" t="str">
        <f>UpdateHashtag!S448</f>
        <v/>
      </c>
      <c r="J450" s="47">
        <f t="shared" si="11"/>
        <v>0</v>
      </c>
      <c r="K450" s="48" t="str">
        <f>UpdateHashtag!T448</f>
        <v/>
      </c>
      <c r="L450" s="42">
        <f t="shared" si="12"/>
        <v>-1.734552372</v>
      </c>
      <c r="N450" s="100">
        <f t="shared" si="13"/>
        <v>401</v>
      </c>
      <c r="O450" s="94" t="str">
        <f t="array" ref="O450">INDIRECT("Update"&amp;Projections!$AH$17&amp;"!B"&amp;ROW(B431))</f>
        <v/>
      </c>
      <c r="P450" s="414" t="str">
        <f t="array" ref="P450">INDIRECT("Update"&amp;Projections!$AH$17&amp;"!C"&amp;ROW(B431))</f>
        <v/>
      </c>
      <c r="Q450" s="94" t="str">
        <f>UpdateHashtag!F480</f>
        <v/>
      </c>
      <c r="R450" s="105" t="str">
        <f t="array" ref="R450">INDIRECT("Update"&amp;Projections!$AH$17&amp;"!D"&amp;ROW(B431))</f>
        <v/>
      </c>
      <c r="S450" s="73">
        <f t="shared" si="14"/>
        <v>-9.965301026</v>
      </c>
      <c r="T450" s="73">
        <f>SUM(AE450:AM450)-IFERROR(IFS(Projections!$I$17,AN450,Projections!$J$17,AO450),"")</f>
        <v>-9.965301026</v>
      </c>
      <c r="U450" s="73">
        <f t="shared" si="15"/>
        <v>0</v>
      </c>
      <c r="V450" s="73" t="str">
        <f t="array" ref="V450">INDIRECT("Update"&amp;Projections!$AH$17&amp;"!M"&amp;ROW(B431))</f>
        <v/>
      </c>
      <c r="W450" s="73" t="str">
        <f t="array" ref="W450">INDIRECT("Update"&amp;Projections!$AH$17&amp;"!L"&amp;ROW(B431))</f>
        <v/>
      </c>
      <c r="X450" s="73" t="str">
        <f t="array" ref="X450">INDIRECT("Update"&amp;Projections!$AH$17&amp;"!N"&amp;ROW(B431))</f>
        <v/>
      </c>
      <c r="Y450" s="73" t="str">
        <f t="array" ref="Y450">INDIRECT("Update"&amp;Projections!$AH$17&amp;"!O"&amp;ROW(B431))</f>
        <v/>
      </c>
      <c r="Z450" s="73" t="str">
        <f t="array" ref="Z450">INDIRECT("Update"&amp;Projections!$AH$17&amp;"!P"&amp;ROW(B431))</f>
        <v/>
      </c>
      <c r="AA450" s="73" t="str">
        <f t="array" ref="AA450">INDIRECT("Update"&amp;Projections!$AH$17&amp;"!Q"&amp;ROW(B431))</f>
        <v/>
      </c>
      <c r="AB450" s="107" t="str">
        <f t="array" ref="AB450">INDIRECT("Update"&amp;Projections!$AH$17&amp;"!I"&amp;ROW(B431))</f>
        <v/>
      </c>
      <c r="AC450" s="107" t="str">
        <f t="array" ref="AC450">INDIRECT("Update"&amp;Projections!$AH$17&amp;"!K"&amp;ROW(B431))</f>
        <v/>
      </c>
      <c r="AD450" s="73" t="str">
        <f t="array" ref="AD450">INDIRECT("Update"&amp;Projections!$AH$17&amp;"!R"&amp;ROW(B431))</f>
        <v/>
      </c>
      <c r="AE450" s="73">
        <f t="shared" si="16"/>
        <v>-3.155358621</v>
      </c>
      <c r="AF450" s="73">
        <f t="shared" si="17"/>
        <v>-1.740686581</v>
      </c>
      <c r="AG450" s="73">
        <f t="shared" si="18"/>
        <v>-2.380599106</v>
      </c>
      <c r="AH450" s="73">
        <f t="shared" si="19"/>
        <v>-1.79320266</v>
      </c>
      <c r="AI450" s="73">
        <f t="shared" si="20"/>
        <v>-3.240190514</v>
      </c>
      <c r="AJ450" s="73">
        <f t="shared" si="21"/>
        <v>-1.329092151</v>
      </c>
      <c r="AK450" s="73">
        <f t="shared" si="22"/>
        <v>0</v>
      </c>
      <c r="AL450" s="73">
        <f t="shared" si="23"/>
        <v>0</v>
      </c>
      <c r="AM450" s="73">
        <f t="shared" si="24"/>
        <v>0.433638093</v>
      </c>
      <c r="AN450" s="120">
        <f t="shared" si="25"/>
        <v>-3.240190514</v>
      </c>
      <c r="AO450" s="120">
        <f t="shared" si="26"/>
        <v>-6.395549135</v>
      </c>
      <c r="AP450" s="120" t="str">
        <f t="array" ref="AP450">INDIRECT("Update"&amp;Projections!$AH$17&amp;"!S"&amp;ROW(B431))</f>
        <v/>
      </c>
      <c r="AQ450" s="120" t="str">
        <f t="array" ref="AQ450">INDIRECT("Update"&amp;Projections!$AH$17&amp;"!T"&amp;ROW(B431))</f>
        <v/>
      </c>
      <c r="AR450" s="100">
        <f t="shared" si="27"/>
        <v>-9.965301026</v>
      </c>
    </row>
    <row r="451">
      <c r="A451" t="str">
        <f t="shared" si="3"/>
        <v/>
      </c>
      <c r="B451" s="42">
        <f t="shared" si="4"/>
        <v>-3.155358621</v>
      </c>
      <c r="C451" s="43">
        <f t="shared" si="5"/>
        <v>-1.740686581</v>
      </c>
      <c r="D451" s="42">
        <f t="shared" si="6"/>
        <v>-2.380599106</v>
      </c>
      <c r="E451" s="42">
        <f t="shared" si="7"/>
        <v>-1.79320266</v>
      </c>
      <c r="F451" s="42">
        <f t="shared" si="8"/>
        <v>-3.240190514</v>
      </c>
      <c r="G451" s="42">
        <f t="shared" si="9"/>
        <v>-1.329092151</v>
      </c>
      <c r="H451" s="42">
        <f t="shared" si="10"/>
        <v>0</v>
      </c>
      <c r="I451" s="42" t="str">
        <f>UpdateHashtag!S449</f>
        <v/>
      </c>
      <c r="J451" s="47">
        <f t="shared" si="11"/>
        <v>0</v>
      </c>
      <c r="K451" s="48" t="str">
        <f>UpdateHashtag!T449</f>
        <v/>
      </c>
      <c r="L451" s="42">
        <f t="shared" si="12"/>
        <v>-1.734552372</v>
      </c>
      <c r="N451" s="100">
        <f t="shared" si="13"/>
        <v>401</v>
      </c>
      <c r="O451" s="94" t="str">
        <f t="array" ref="O451">INDIRECT("Update"&amp;Projections!$AH$17&amp;"!B"&amp;ROW(B432))</f>
        <v/>
      </c>
      <c r="P451" s="414" t="str">
        <f t="array" ref="P451">INDIRECT("Update"&amp;Projections!$AH$17&amp;"!C"&amp;ROW(B432))</f>
        <v/>
      </c>
      <c r="Q451" s="94" t="str">
        <f>UpdateHashtag!F481</f>
        <v/>
      </c>
      <c r="R451" s="105" t="str">
        <f t="array" ref="R451">INDIRECT("Update"&amp;Projections!$AH$17&amp;"!D"&amp;ROW(B432))</f>
        <v/>
      </c>
      <c r="S451" s="73">
        <f t="shared" si="14"/>
        <v>-9.965301026</v>
      </c>
      <c r="T451" s="73">
        <f>SUM(AE451:AM451)-IFERROR(IFS(Projections!$I$17,AN451,Projections!$J$17,AO451),"")</f>
        <v>-9.965301026</v>
      </c>
      <c r="U451" s="73">
        <f t="shared" si="15"/>
        <v>0</v>
      </c>
      <c r="V451" s="73" t="str">
        <f t="array" ref="V451">INDIRECT("Update"&amp;Projections!$AH$17&amp;"!M"&amp;ROW(B432))</f>
        <v/>
      </c>
      <c r="W451" s="73" t="str">
        <f t="array" ref="W451">INDIRECT("Update"&amp;Projections!$AH$17&amp;"!L"&amp;ROW(B432))</f>
        <v/>
      </c>
      <c r="X451" s="73" t="str">
        <f t="array" ref="X451">INDIRECT("Update"&amp;Projections!$AH$17&amp;"!N"&amp;ROW(B432))</f>
        <v/>
      </c>
      <c r="Y451" s="73" t="str">
        <f t="array" ref="Y451">INDIRECT("Update"&amp;Projections!$AH$17&amp;"!O"&amp;ROW(B432))</f>
        <v/>
      </c>
      <c r="Z451" s="73" t="str">
        <f t="array" ref="Z451">INDIRECT("Update"&amp;Projections!$AH$17&amp;"!P"&amp;ROW(B432))</f>
        <v/>
      </c>
      <c r="AA451" s="73" t="str">
        <f t="array" ref="AA451">INDIRECT("Update"&amp;Projections!$AH$17&amp;"!Q"&amp;ROW(B432))</f>
        <v/>
      </c>
      <c r="AB451" s="107" t="str">
        <f t="array" ref="AB451">INDIRECT("Update"&amp;Projections!$AH$17&amp;"!I"&amp;ROW(B432))</f>
        <v/>
      </c>
      <c r="AC451" s="107" t="str">
        <f t="array" ref="AC451">INDIRECT("Update"&amp;Projections!$AH$17&amp;"!K"&amp;ROW(B432))</f>
        <v/>
      </c>
      <c r="AD451" s="73" t="str">
        <f t="array" ref="AD451">INDIRECT("Update"&amp;Projections!$AH$17&amp;"!R"&amp;ROW(B432))</f>
        <v/>
      </c>
      <c r="AE451" s="73">
        <f t="shared" si="16"/>
        <v>-3.155358621</v>
      </c>
      <c r="AF451" s="73">
        <f t="shared" si="17"/>
        <v>-1.740686581</v>
      </c>
      <c r="AG451" s="73">
        <f t="shared" si="18"/>
        <v>-2.380599106</v>
      </c>
      <c r="AH451" s="73">
        <f t="shared" si="19"/>
        <v>-1.79320266</v>
      </c>
      <c r="AI451" s="73">
        <f t="shared" si="20"/>
        <v>-3.240190514</v>
      </c>
      <c r="AJ451" s="73">
        <f t="shared" si="21"/>
        <v>-1.329092151</v>
      </c>
      <c r="AK451" s="73">
        <f t="shared" si="22"/>
        <v>0</v>
      </c>
      <c r="AL451" s="73">
        <f t="shared" si="23"/>
        <v>0</v>
      </c>
      <c r="AM451" s="73">
        <f t="shared" si="24"/>
        <v>0.433638093</v>
      </c>
      <c r="AN451" s="120">
        <f t="shared" si="25"/>
        <v>-3.240190514</v>
      </c>
      <c r="AO451" s="120">
        <f t="shared" si="26"/>
        <v>-6.395549135</v>
      </c>
      <c r="AP451" s="120" t="str">
        <f t="array" ref="AP451">INDIRECT("Update"&amp;Projections!$AH$17&amp;"!S"&amp;ROW(B432))</f>
        <v/>
      </c>
      <c r="AQ451" s="120" t="str">
        <f t="array" ref="AQ451">INDIRECT("Update"&amp;Projections!$AH$17&amp;"!T"&amp;ROW(B432))</f>
        <v/>
      </c>
      <c r="AR451" s="100">
        <f t="shared" si="27"/>
        <v>-9.965301026</v>
      </c>
    </row>
    <row r="452">
      <c r="A452" t="str">
        <f t="shared" si="3"/>
        <v/>
      </c>
      <c r="B452" s="42">
        <f t="shared" si="4"/>
        <v>-3.155358621</v>
      </c>
      <c r="C452" s="43">
        <f t="shared" si="5"/>
        <v>-1.740686581</v>
      </c>
      <c r="D452" s="42">
        <f t="shared" si="6"/>
        <v>-2.380599106</v>
      </c>
      <c r="E452" s="42">
        <f t="shared" si="7"/>
        <v>-1.79320266</v>
      </c>
      <c r="F452" s="42">
        <f t="shared" si="8"/>
        <v>-3.240190514</v>
      </c>
      <c r="G452" s="42">
        <f t="shared" si="9"/>
        <v>-1.329092151</v>
      </c>
      <c r="H452" s="42">
        <f t="shared" si="10"/>
        <v>0</v>
      </c>
      <c r="I452" s="42" t="str">
        <f>UpdateHashtag!S450</f>
        <v/>
      </c>
      <c r="J452" s="47">
        <f t="shared" si="11"/>
        <v>0</v>
      </c>
      <c r="K452" s="48" t="str">
        <f>UpdateHashtag!T450</f>
        <v/>
      </c>
      <c r="L452" s="42">
        <f t="shared" si="12"/>
        <v>-1.734552372</v>
      </c>
      <c r="N452" s="100">
        <f t="shared" si="13"/>
        <v>401</v>
      </c>
      <c r="O452" s="94" t="str">
        <f t="array" ref="O452">INDIRECT("Update"&amp;Projections!$AH$17&amp;"!B"&amp;ROW(B433))</f>
        <v/>
      </c>
      <c r="P452" s="414" t="str">
        <f t="array" ref="P452">INDIRECT("Update"&amp;Projections!$AH$17&amp;"!C"&amp;ROW(B433))</f>
        <v/>
      </c>
      <c r="Q452" s="94" t="str">
        <f>UpdateHashtag!F482</f>
        <v/>
      </c>
      <c r="R452" s="105" t="str">
        <f t="array" ref="R452">INDIRECT("Update"&amp;Projections!$AH$17&amp;"!D"&amp;ROW(B433))</f>
        <v/>
      </c>
      <c r="S452" s="73">
        <f t="shared" si="14"/>
        <v>-9.965301026</v>
      </c>
      <c r="T452" s="73">
        <f>SUM(AE452:AM452)-IFERROR(IFS(Projections!$I$17,AN452,Projections!$J$17,AO452),"")</f>
        <v>-9.965301026</v>
      </c>
      <c r="U452" s="73">
        <f t="shared" si="15"/>
        <v>0</v>
      </c>
      <c r="V452" s="73" t="str">
        <f t="array" ref="V452">INDIRECT("Update"&amp;Projections!$AH$17&amp;"!M"&amp;ROW(B433))</f>
        <v/>
      </c>
      <c r="W452" s="73" t="str">
        <f t="array" ref="W452">INDIRECT("Update"&amp;Projections!$AH$17&amp;"!L"&amp;ROW(B433))</f>
        <v/>
      </c>
      <c r="X452" s="73" t="str">
        <f t="array" ref="X452">INDIRECT("Update"&amp;Projections!$AH$17&amp;"!N"&amp;ROW(B433))</f>
        <v/>
      </c>
      <c r="Y452" s="73" t="str">
        <f t="array" ref="Y452">INDIRECT("Update"&amp;Projections!$AH$17&amp;"!O"&amp;ROW(B433))</f>
        <v/>
      </c>
      <c r="Z452" s="73" t="str">
        <f t="array" ref="Z452">INDIRECT("Update"&amp;Projections!$AH$17&amp;"!P"&amp;ROW(B433))</f>
        <v/>
      </c>
      <c r="AA452" s="73" t="str">
        <f t="array" ref="AA452">INDIRECT("Update"&amp;Projections!$AH$17&amp;"!Q"&amp;ROW(B433))</f>
        <v/>
      </c>
      <c r="AB452" s="107" t="str">
        <f t="array" ref="AB452">INDIRECT("Update"&amp;Projections!$AH$17&amp;"!I"&amp;ROW(B433))</f>
        <v/>
      </c>
      <c r="AC452" s="107" t="str">
        <f t="array" ref="AC452">INDIRECT("Update"&amp;Projections!$AH$17&amp;"!K"&amp;ROW(B433))</f>
        <v/>
      </c>
      <c r="AD452" s="73" t="str">
        <f t="array" ref="AD452">INDIRECT("Update"&amp;Projections!$AH$17&amp;"!R"&amp;ROW(B433))</f>
        <v/>
      </c>
      <c r="AE452" s="73">
        <f t="shared" si="16"/>
        <v>-3.155358621</v>
      </c>
      <c r="AF452" s="73">
        <f t="shared" si="17"/>
        <v>-1.740686581</v>
      </c>
      <c r="AG452" s="73">
        <f t="shared" si="18"/>
        <v>-2.380599106</v>
      </c>
      <c r="AH452" s="73">
        <f t="shared" si="19"/>
        <v>-1.79320266</v>
      </c>
      <c r="AI452" s="73">
        <f t="shared" si="20"/>
        <v>-3.240190514</v>
      </c>
      <c r="AJ452" s="73">
        <f t="shared" si="21"/>
        <v>-1.329092151</v>
      </c>
      <c r="AK452" s="73">
        <f t="shared" si="22"/>
        <v>0</v>
      </c>
      <c r="AL452" s="73">
        <f t="shared" si="23"/>
        <v>0</v>
      </c>
      <c r="AM452" s="73">
        <f t="shared" si="24"/>
        <v>0.433638093</v>
      </c>
      <c r="AN452" s="120">
        <f t="shared" si="25"/>
        <v>-3.240190514</v>
      </c>
      <c r="AO452" s="120">
        <f t="shared" si="26"/>
        <v>-6.395549135</v>
      </c>
      <c r="AP452" s="120" t="str">
        <f t="array" ref="AP452">INDIRECT("Update"&amp;Projections!$AH$17&amp;"!S"&amp;ROW(B433))</f>
        <v/>
      </c>
      <c r="AQ452" s="120" t="str">
        <f t="array" ref="AQ452">INDIRECT("Update"&amp;Projections!$AH$17&amp;"!T"&amp;ROW(B433))</f>
        <v/>
      </c>
      <c r="AR452" s="100">
        <f t="shared" si="27"/>
        <v>-9.965301026</v>
      </c>
    </row>
    <row r="453">
      <c r="A453" t="str">
        <f t="shared" si="3"/>
        <v/>
      </c>
      <c r="B453" s="42">
        <f t="shared" si="4"/>
        <v>-3.155358621</v>
      </c>
      <c r="C453" s="43">
        <f t="shared" si="5"/>
        <v>-1.740686581</v>
      </c>
      <c r="D453" s="42">
        <f t="shared" si="6"/>
        <v>-2.380599106</v>
      </c>
      <c r="E453" s="42">
        <f t="shared" si="7"/>
        <v>-1.79320266</v>
      </c>
      <c r="F453" s="42">
        <f t="shared" si="8"/>
        <v>-3.240190514</v>
      </c>
      <c r="G453" s="42">
        <f t="shared" si="9"/>
        <v>-1.329092151</v>
      </c>
      <c r="H453" s="42">
        <f t="shared" si="10"/>
        <v>0</v>
      </c>
      <c r="I453" s="42" t="str">
        <f>UpdateHashtag!S451</f>
        <v/>
      </c>
      <c r="J453" s="47">
        <f t="shared" si="11"/>
        <v>0</v>
      </c>
      <c r="K453" s="48" t="str">
        <f>UpdateHashtag!T451</f>
        <v/>
      </c>
      <c r="L453" s="42">
        <f t="shared" si="12"/>
        <v>-1.734552372</v>
      </c>
      <c r="N453" s="100">
        <f t="shared" si="13"/>
        <v>401</v>
      </c>
      <c r="O453" s="94" t="str">
        <f t="array" ref="O453">INDIRECT("Update"&amp;Projections!$AH$17&amp;"!B"&amp;ROW(B434))</f>
        <v/>
      </c>
      <c r="P453" s="414" t="str">
        <f t="array" ref="P453">INDIRECT("Update"&amp;Projections!$AH$17&amp;"!C"&amp;ROW(B434))</f>
        <v/>
      </c>
      <c r="Q453" s="94" t="str">
        <f>UpdateHashtag!F483</f>
        <v/>
      </c>
      <c r="R453" s="105" t="str">
        <f t="array" ref="R453">INDIRECT("Update"&amp;Projections!$AH$17&amp;"!D"&amp;ROW(B434))</f>
        <v/>
      </c>
      <c r="S453" s="73">
        <f t="shared" si="14"/>
        <v>-9.965301026</v>
      </c>
      <c r="T453" s="73">
        <f>SUM(AE453:AM453)-IFERROR(IFS(Projections!$I$17,AN453,Projections!$J$17,AO453),"")</f>
        <v>-9.965301026</v>
      </c>
      <c r="U453" s="73">
        <f t="shared" si="15"/>
        <v>0</v>
      </c>
      <c r="V453" s="73" t="str">
        <f t="array" ref="V453">INDIRECT("Update"&amp;Projections!$AH$17&amp;"!M"&amp;ROW(B434))</f>
        <v/>
      </c>
      <c r="W453" s="73" t="str">
        <f t="array" ref="W453">INDIRECT("Update"&amp;Projections!$AH$17&amp;"!L"&amp;ROW(B434))</f>
        <v/>
      </c>
      <c r="X453" s="73" t="str">
        <f t="array" ref="X453">INDIRECT("Update"&amp;Projections!$AH$17&amp;"!N"&amp;ROW(B434))</f>
        <v/>
      </c>
      <c r="Y453" s="73" t="str">
        <f t="array" ref="Y453">INDIRECT("Update"&amp;Projections!$AH$17&amp;"!O"&amp;ROW(B434))</f>
        <v/>
      </c>
      <c r="Z453" s="73" t="str">
        <f t="array" ref="Z453">INDIRECT("Update"&amp;Projections!$AH$17&amp;"!P"&amp;ROW(B434))</f>
        <v/>
      </c>
      <c r="AA453" s="73" t="str">
        <f t="array" ref="AA453">INDIRECT("Update"&amp;Projections!$AH$17&amp;"!Q"&amp;ROW(B434))</f>
        <v/>
      </c>
      <c r="AB453" s="107" t="str">
        <f t="array" ref="AB453">INDIRECT("Update"&amp;Projections!$AH$17&amp;"!I"&amp;ROW(B434))</f>
        <v/>
      </c>
      <c r="AC453" s="107" t="str">
        <f t="array" ref="AC453">INDIRECT("Update"&amp;Projections!$AH$17&amp;"!K"&amp;ROW(B434))</f>
        <v/>
      </c>
      <c r="AD453" s="73" t="str">
        <f t="array" ref="AD453">INDIRECT("Update"&amp;Projections!$AH$17&amp;"!R"&amp;ROW(B434))</f>
        <v/>
      </c>
      <c r="AE453" s="73">
        <f t="shared" si="16"/>
        <v>-3.155358621</v>
      </c>
      <c r="AF453" s="73">
        <f t="shared" si="17"/>
        <v>-1.740686581</v>
      </c>
      <c r="AG453" s="73">
        <f t="shared" si="18"/>
        <v>-2.380599106</v>
      </c>
      <c r="AH453" s="73">
        <f t="shared" si="19"/>
        <v>-1.79320266</v>
      </c>
      <c r="AI453" s="73">
        <f t="shared" si="20"/>
        <v>-3.240190514</v>
      </c>
      <c r="AJ453" s="73">
        <f t="shared" si="21"/>
        <v>-1.329092151</v>
      </c>
      <c r="AK453" s="73">
        <f t="shared" si="22"/>
        <v>0</v>
      </c>
      <c r="AL453" s="73">
        <f t="shared" si="23"/>
        <v>0</v>
      </c>
      <c r="AM453" s="73">
        <f t="shared" si="24"/>
        <v>0.433638093</v>
      </c>
      <c r="AN453" s="120">
        <f t="shared" si="25"/>
        <v>-3.240190514</v>
      </c>
      <c r="AO453" s="120">
        <f t="shared" si="26"/>
        <v>-6.395549135</v>
      </c>
      <c r="AP453" s="120" t="str">
        <f t="array" ref="AP453">INDIRECT("Update"&amp;Projections!$AH$17&amp;"!S"&amp;ROW(B434))</f>
        <v/>
      </c>
      <c r="AQ453" s="120" t="str">
        <f t="array" ref="AQ453">INDIRECT("Update"&amp;Projections!$AH$17&amp;"!T"&amp;ROW(B434))</f>
        <v/>
      </c>
      <c r="AR453" s="100">
        <f t="shared" si="27"/>
        <v>-9.965301026</v>
      </c>
    </row>
    <row r="454">
      <c r="A454" t="str">
        <f t="shared" si="3"/>
        <v/>
      </c>
      <c r="B454" s="42">
        <f t="shared" si="4"/>
        <v>-3.155358621</v>
      </c>
      <c r="C454" s="43">
        <f t="shared" si="5"/>
        <v>-1.740686581</v>
      </c>
      <c r="D454" s="42">
        <f t="shared" si="6"/>
        <v>-2.380599106</v>
      </c>
      <c r="E454" s="42">
        <f t="shared" si="7"/>
        <v>-1.79320266</v>
      </c>
      <c r="F454" s="42">
        <f t="shared" si="8"/>
        <v>-3.240190514</v>
      </c>
      <c r="G454" s="42">
        <f t="shared" si="9"/>
        <v>-1.329092151</v>
      </c>
      <c r="H454" s="42">
        <f t="shared" si="10"/>
        <v>0</v>
      </c>
      <c r="I454" s="42" t="str">
        <f>UpdateHashtag!S452</f>
        <v/>
      </c>
      <c r="J454" s="47">
        <f t="shared" si="11"/>
        <v>0</v>
      </c>
      <c r="K454" s="48" t="str">
        <f>UpdateHashtag!T452</f>
        <v/>
      </c>
      <c r="L454" s="42">
        <f t="shared" si="12"/>
        <v>-1.734552372</v>
      </c>
      <c r="N454" s="100">
        <f t="shared" si="13"/>
        <v>401</v>
      </c>
      <c r="O454" s="94" t="str">
        <f t="array" ref="O454">INDIRECT("Update"&amp;Projections!$AH$17&amp;"!B"&amp;ROW(B435))</f>
        <v/>
      </c>
      <c r="P454" s="414" t="str">
        <f t="array" ref="P454">INDIRECT("Update"&amp;Projections!$AH$17&amp;"!C"&amp;ROW(B435))</f>
        <v/>
      </c>
      <c r="Q454" s="94" t="str">
        <f>UpdateHashtag!F484</f>
        <v/>
      </c>
      <c r="R454" s="105" t="str">
        <f t="array" ref="R454">INDIRECT("Update"&amp;Projections!$AH$17&amp;"!D"&amp;ROW(B435))</f>
        <v/>
      </c>
      <c r="S454" s="73">
        <f t="shared" si="14"/>
        <v>-9.965301026</v>
      </c>
      <c r="T454" s="73">
        <f>SUM(AE454:AM454)-IFERROR(IFS(Projections!$I$17,AN454,Projections!$J$17,AO454),"")</f>
        <v>-9.965301026</v>
      </c>
      <c r="U454" s="73">
        <f t="shared" si="15"/>
        <v>0</v>
      </c>
      <c r="V454" s="73" t="str">
        <f t="array" ref="V454">INDIRECT("Update"&amp;Projections!$AH$17&amp;"!M"&amp;ROW(B435))</f>
        <v/>
      </c>
      <c r="W454" s="73" t="str">
        <f t="array" ref="W454">INDIRECT("Update"&amp;Projections!$AH$17&amp;"!L"&amp;ROW(B435))</f>
        <v/>
      </c>
      <c r="X454" s="73" t="str">
        <f t="array" ref="X454">INDIRECT("Update"&amp;Projections!$AH$17&amp;"!N"&amp;ROW(B435))</f>
        <v/>
      </c>
      <c r="Y454" s="73" t="str">
        <f t="array" ref="Y454">INDIRECT("Update"&amp;Projections!$AH$17&amp;"!O"&amp;ROW(B435))</f>
        <v/>
      </c>
      <c r="Z454" s="73" t="str">
        <f t="array" ref="Z454">INDIRECT("Update"&amp;Projections!$AH$17&amp;"!P"&amp;ROW(B435))</f>
        <v/>
      </c>
      <c r="AA454" s="73" t="str">
        <f t="array" ref="AA454">INDIRECT("Update"&amp;Projections!$AH$17&amp;"!Q"&amp;ROW(B435))</f>
        <v/>
      </c>
      <c r="AB454" s="107" t="str">
        <f t="array" ref="AB454">INDIRECT("Update"&amp;Projections!$AH$17&amp;"!I"&amp;ROW(B435))</f>
        <v/>
      </c>
      <c r="AC454" s="107" t="str">
        <f t="array" ref="AC454">INDIRECT("Update"&amp;Projections!$AH$17&amp;"!K"&amp;ROW(B435))</f>
        <v/>
      </c>
      <c r="AD454" s="73" t="str">
        <f t="array" ref="AD454">INDIRECT("Update"&amp;Projections!$AH$17&amp;"!R"&amp;ROW(B435))</f>
        <v/>
      </c>
      <c r="AE454" s="73">
        <f t="shared" si="16"/>
        <v>-3.155358621</v>
      </c>
      <c r="AF454" s="73">
        <f t="shared" si="17"/>
        <v>-1.740686581</v>
      </c>
      <c r="AG454" s="73">
        <f t="shared" si="18"/>
        <v>-2.380599106</v>
      </c>
      <c r="AH454" s="73">
        <f t="shared" si="19"/>
        <v>-1.79320266</v>
      </c>
      <c r="AI454" s="73">
        <f t="shared" si="20"/>
        <v>-3.240190514</v>
      </c>
      <c r="AJ454" s="73">
        <f t="shared" si="21"/>
        <v>-1.329092151</v>
      </c>
      <c r="AK454" s="73">
        <f t="shared" si="22"/>
        <v>0</v>
      </c>
      <c r="AL454" s="73">
        <f t="shared" si="23"/>
        <v>0</v>
      </c>
      <c r="AM454" s="73">
        <f t="shared" si="24"/>
        <v>0.433638093</v>
      </c>
      <c r="AN454" s="120">
        <f t="shared" si="25"/>
        <v>-3.240190514</v>
      </c>
      <c r="AO454" s="120">
        <f t="shared" si="26"/>
        <v>-6.395549135</v>
      </c>
      <c r="AP454" s="120" t="str">
        <f t="array" ref="AP454">INDIRECT("Update"&amp;Projections!$AH$17&amp;"!S"&amp;ROW(B435))</f>
        <v/>
      </c>
      <c r="AQ454" s="120" t="str">
        <f t="array" ref="AQ454">INDIRECT("Update"&amp;Projections!$AH$17&amp;"!T"&amp;ROW(B435))</f>
        <v/>
      </c>
      <c r="AR454" s="100">
        <f t="shared" si="27"/>
        <v>-9.965301026</v>
      </c>
    </row>
    <row r="455">
      <c r="A455" t="str">
        <f t="shared" si="3"/>
        <v/>
      </c>
      <c r="B455" s="42">
        <f t="shared" si="4"/>
        <v>-3.155358621</v>
      </c>
      <c r="C455" s="43">
        <f t="shared" si="5"/>
        <v>-1.740686581</v>
      </c>
      <c r="D455" s="42">
        <f t="shared" si="6"/>
        <v>-2.380599106</v>
      </c>
      <c r="E455" s="42">
        <f t="shared" si="7"/>
        <v>-1.79320266</v>
      </c>
      <c r="F455" s="42">
        <f t="shared" si="8"/>
        <v>-3.240190514</v>
      </c>
      <c r="G455" s="42">
        <f t="shared" si="9"/>
        <v>-1.329092151</v>
      </c>
      <c r="H455" s="42">
        <f t="shared" si="10"/>
        <v>0</v>
      </c>
      <c r="I455" s="42" t="str">
        <f>UpdateHashtag!S453</f>
        <v/>
      </c>
      <c r="J455" s="47">
        <f t="shared" si="11"/>
        <v>0</v>
      </c>
      <c r="K455" s="48" t="str">
        <f>UpdateHashtag!T453</f>
        <v/>
      </c>
      <c r="L455" s="42">
        <f t="shared" si="12"/>
        <v>-1.734552372</v>
      </c>
      <c r="N455" s="100">
        <f t="shared" si="13"/>
        <v>401</v>
      </c>
      <c r="O455" s="94" t="str">
        <f t="array" ref="O455">INDIRECT("Update"&amp;Projections!$AH$17&amp;"!B"&amp;ROW(B436))</f>
        <v/>
      </c>
      <c r="P455" s="414" t="str">
        <f t="array" ref="P455">INDIRECT("Update"&amp;Projections!$AH$17&amp;"!C"&amp;ROW(B436))</f>
        <v/>
      </c>
      <c r="Q455" s="94" t="str">
        <f>UpdateHashtag!F485</f>
        <v/>
      </c>
      <c r="R455" s="105" t="str">
        <f t="array" ref="R455">INDIRECT("Update"&amp;Projections!$AH$17&amp;"!D"&amp;ROW(B436))</f>
        <v/>
      </c>
      <c r="S455" s="73">
        <f t="shared" si="14"/>
        <v>-9.965301026</v>
      </c>
      <c r="T455" s="73">
        <f>SUM(AE455:AM455)-IFERROR(IFS(Projections!$I$17,AN455,Projections!$J$17,AO455),"")</f>
        <v>-9.965301026</v>
      </c>
      <c r="U455" s="73">
        <f t="shared" si="15"/>
        <v>0</v>
      </c>
      <c r="V455" s="73" t="str">
        <f t="array" ref="V455">INDIRECT("Update"&amp;Projections!$AH$17&amp;"!M"&amp;ROW(B436))</f>
        <v/>
      </c>
      <c r="W455" s="73" t="str">
        <f t="array" ref="W455">INDIRECT("Update"&amp;Projections!$AH$17&amp;"!L"&amp;ROW(B436))</f>
        <v/>
      </c>
      <c r="X455" s="73" t="str">
        <f t="array" ref="X455">INDIRECT("Update"&amp;Projections!$AH$17&amp;"!N"&amp;ROW(B436))</f>
        <v/>
      </c>
      <c r="Y455" s="73" t="str">
        <f t="array" ref="Y455">INDIRECT("Update"&amp;Projections!$AH$17&amp;"!O"&amp;ROW(B436))</f>
        <v/>
      </c>
      <c r="Z455" s="73" t="str">
        <f t="array" ref="Z455">INDIRECT("Update"&amp;Projections!$AH$17&amp;"!P"&amp;ROW(B436))</f>
        <v/>
      </c>
      <c r="AA455" s="73" t="str">
        <f t="array" ref="AA455">INDIRECT("Update"&amp;Projections!$AH$17&amp;"!Q"&amp;ROW(B436))</f>
        <v/>
      </c>
      <c r="AB455" s="107" t="str">
        <f t="array" ref="AB455">INDIRECT("Update"&amp;Projections!$AH$17&amp;"!I"&amp;ROW(B436))</f>
        <v/>
      </c>
      <c r="AC455" s="107" t="str">
        <f t="array" ref="AC455">INDIRECT("Update"&amp;Projections!$AH$17&amp;"!K"&amp;ROW(B436))</f>
        <v/>
      </c>
      <c r="AD455" s="73" t="str">
        <f t="array" ref="AD455">INDIRECT("Update"&amp;Projections!$AH$17&amp;"!R"&amp;ROW(B436))</f>
        <v/>
      </c>
      <c r="AE455" s="73">
        <f t="shared" si="16"/>
        <v>-3.155358621</v>
      </c>
      <c r="AF455" s="73">
        <f t="shared" si="17"/>
        <v>-1.740686581</v>
      </c>
      <c r="AG455" s="73">
        <f t="shared" si="18"/>
        <v>-2.380599106</v>
      </c>
      <c r="AH455" s="73">
        <f t="shared" si="19"/>
        <v>-1.79320266</v>
      </c>
      <c r="AI455" s="73">
        <f t="shared" si="20"/>
        <v>-3.240190514</v>
      </c>
      <c r="AJ455" s="73">
        <f t="shared" si="21"/>
        <v>-1.329092151</v>
      </c>
      <c r="AK455" s="73">
        <f t="shared" si="22"/>
        <v>0</v>
      </c>
      <c r="AL455" s="73">
        <f t="shared" si="23"/>
        <v>0</v>
      </c>
      <c r="AM455" s="73">
        <f t="shared" si="24"/>
        <v>0.433638093</v>
      </c>
      <c r="AN455" s="120">
        <f t="shared" si="25"/>
        <v>-3.240190514</v>
      </c>
      <c r="AO455" s="120">
        <f t="shared" si="26"/>
        <v>-6.395549135</v>
      </c>
      <c r="AP455" s="120" t="str">
        <f t="array" ref="AP455">INDIRECT("Update"&amp;Projections!$AH$17&amp;"!S"&amp;ROW(B436))</f>
        <v/>
      </c>
      <c r="AQ455" s="120" t="str">
        <f t="array" ref="AQ455">INDIRECT("Update"&amp;Projections!$AH$17&amp;"!T"&amp;ROW(B436))</f>
        <v/>
      </c>
      <c r="AR455" s="100">
        <f t="shared" si="27"/>
        <v>-9.965301026</v>
      </c>
    </row>
    <row r="456">
      <c r="A456" t="str">
        <f t="shared" si="3"/>
        <v/>
      </c>
      <c r="B456" s="42">
        <f t="shared" si="4"/>
        <v>-3.155358621</v>
      </c>
      <c r="C456" s="43">
        <f t="shared" si="5"/>
        <v>-1.740686581</v>
      </c>
      <c r="D456" s="42">
        <f t="shared" si="6"/>
        <v>-2.380599106</v>
      </c>
      <c r="E456" s="42">
        <f t="shared" si="7"/>
        <v>-1.79320266</v>
      </c>
      <c r="F456" s="42">
        <f t="shared" si="8"/>
        <v>-3.240190514</v>
      </c>
      <c r="G456" s="42">
        <f t="shared" si="9"/>
        <v>-1.329092151</v>
      </c>
      <c r="H456" s="42">
        <f t="shared" si="10"/>
        <v>0</v>
      </c>
      <c r="I456" s="42" t="str">
        <f>UpdateHashtag!S454</f>
        <v/>
      </c>
      <c r="J456" s="47">
        <f t="shared" si="11"/>
        <v>0</v>
      </c>
      <c r="K456" s="48" t="str">
        <f>UpdateHashtag!T454</f>
        <v/>
      </c>
      <c r="L456" s="42">
        <f t="shared" si="12"/>
        <v>-1.734552372</v>
      </c>
      <c r="N456" s="100">
        <f t="shared" si="13"/>
        <v>401</v>
      </c>
      <c r="O456" s="94" t="str">
        <f t="array" ref="O456">INDIRECT("Update"&amp;Projections!$AH$17&amp;"!B"&amp;ROW(B437))</f>
        <v/>
      </c>
      <c r="P456" s="414" t="str">
        <f t="array" ref="P456">INDIRECT("Update"&amp;Projections!$AH$17&amp;"!C"&amp;ROW(B437))</f>
        <v/>
      </c>
      <c r="Q456" s="94" t="str">
        <f>UpdateHashtag!F486</f>
        <v/>
      </c>
      <c r="R456" s="105" t="str">
        <f t="array" ref="R456">INDIRECT("Update"&amp;Projections!$AH$17&amp;"!D"&amp;ROW(B437))</f>
        <v/>
      </c>
      <c r="S456" s="73">
        <f t="shared" si="14"/>
        <v>-9.965301026</v>
      </c>
      <c r="T456" s="73">
        <f>SUM(AE456:AM456)-IFERROR(IFS(Projections!$I$17,AN456,Projections!$J$17,AO456),"")</f>
        <v>-9.965301026</v>
      </c>
      <c r="U456" s="73">
        <f t="shared" si="15"/>
        <v>0</v>
      </c>
      <c r="V456" s="73" t="str">
        <f t="array" ref="V456">INDIRECT("Update"&amp;Projections!$AH$17&amp;"!M"&amp;ROW(B437))</f>
        <v/>
      </c>
      <c r="W456" s="73" t="str">
        <f t="array" ref="W456">INDIRECT("Update"&amp;Projections!$AH$17&amp;"!L"&amp;ROW(B437))</f>
        <v/>
      </c>
      <c r="X456" s="73" t="str">
        <f t="array" ref="X456">INDIRECT("Update"&amp;Projections!$AH$17&amp;"!N"&amp;ROW(B437))</f>
        <v/>
      </c>
      <c r="Y456" s="73" t="str">
        <f t="array" ref="Y456">INDIRECT("Update"&amp;Projections!$AH$17&amp;"!O"&amp;ROW(B437))</f>
        <v/>
      </c>
      <c r="Z456" s="73" t="str">
        <f t="array" ref="Z456">INDIRECT("Update"&amp;Projections!$AH$17&amp;"!P"&amp;ROW(B437))</f>
        <v/>
      </c>
      <c r="AA456" s="73" t="str">
        <f t="array" ref="AA456">INDIRECT("Update"&amp;Projections!$AH$17&amp;"!Q"&amp;ROW(B437))</f>
        <v/>
      </c>
      <c r="AB456" s="107" t="str">
        <f t="array" ref="AB456">INDIRECT("Update"&amp;Projections!$AH$17&amp;"!I"&amp;ROW(B437))</f>
        <v/>
      </c>
      <c r="AC456" s="107" t="str">
        <f t="array" ref="AC456">INDIRECT("Update"&amp;Projections!$AH$17&amp;"!K"&amp;ROW(B437))</f>
        <v/>
      </c>
      <c r="AD456" s="73" t="str">
        <f t="array" ref="AD456">INDIRECT("Update"&amp;Projections!$AH$17&amp;"!R"&amp;ROW(B437))</f>
        <v/>
      </c>
      <c r="AE456" s="73">
        <f t="shared" si="16"/>
        <v>-3.155358621</v>
      </c>
      <c r="AF456" s="73">
        <f t="shared" si="17"/>
        <v>-1.740686581</v>
      </c>
      <c r="AG456" s="73">
        <f t="shared" si="18"/>
        <v>-2.380599106</v>
      </c>
      <c r="AH456" s="73">
        <f t="shared" si="19"/>
        <v>-1.79320266</v>
      </c>
      <c r="AI456" s="73">
        <f t="shared" si="20"/>
        <v>-3.240190514</v>
      </c>
      <c r="AJ456" s="73">
        <f t="shared" si="21"/>
        <v>-1.329092151</v>
      </c>
      <c r="AK456" s="73">
        <f t="shared" si="22"/>
        <v>0</v>
      </c>
      <c r="AL456" s="73">
        <f t="shared" si="23"/>
        <v>0</v>
      </c>
      <c r="AM456" s="73">
        <f t="shared" si="24"/>
        <v>0.433638093</v>
      </c>
      <c r="AN456" s="120">
        <f t="shared" si="25"/>
        <v>-3.240190514</v>
      </c>
      <c r="AO456" s="120">
        <f t="shared" si="26"/>
        <v>-6.395549135</v>
      </c>
      <c r="AP456" s="120" t="str">
        <f t="array" ref="AP456">INDIRECT("Update"&amp;Projections!$AH$17&amp;"!S"&amp;ROW(B437))</f>
        <v/>
      </c>
      <c r="AQ456" s="120" t="str">
        <f t="array" ref="AQ456">INDIRECT("Update"&amp;Projections!$AH$17&amp;"!T"&amp;ROW(B437))</f>
        <v/>
      </c>
      <c r="AR456" s="100">
        <f t="shared" si="27"/>
        <v>-9.965301026</v>
      </c>
    </row>
    <row r="457">
      <c r="A457" t="str">
        <f t="shared" si="3"/>
        <v/>
      </c>
      <c r="B457" s="42">
        <f t="shared" si="4"/>
        <v>-3.155358621</v>
      </c>
      <c r="C457" s="43">
        <f t="shared" si="5"/>
        <v>-1.740686581</v>
      </c>
      <c r="D457" s="42">
        <f t="shared" si="6"/>
        <v>-2.380599106</v>
      </c>
      <c r="E457" s="42">
        <f t="shared" si="7"/>
        <v>-1.79320266</v>
      </c>
      <c r="F457" s="42">
        <f t="shared" si="8"/>
        <v>-3.240190514</v>
      </c>
      <c r="G457" s="42">
        <f t="shared" si="9"/>
        <v>-1.329092151</v>
      </c>
      <c r="H457" s="42">
        <f t="shared" si="10"/>
        <v>0</v>
      </c>
      <c r="I457" s="42" t="str">
        <f>UpdateHashtag!S455</f>
        <v/>
      </c>
      <c r="J457" s="47">
        <f t="shared" si="11"/>
        <v>0</v>
      </c>
      <c r="K457" s="48" t="str">
        <f>UpdateHashtag!T455</f>
        <v/>
      </c>
      <c r="L457" s="42">
        <f t="shared" si="12"/>
        <v>-1.734552372</v>
      </c>
      <c r="N457" s="100">
        <f t="shared" si="13"/>
        <v>401</v>
      </c>
      <c r="O457" s="94" t="str">
        <f t="array" ref="O457">INDIRECT("Update"&amp;Projections!$AH$17&amp;"!B"&amp;ROW(B438))</f>
        <v/>
      </c>
      <c r="P457" s="414" t="str">
        <f t="array" ref="P457">INDIRECT("Update"&amp;Projections!$AH$17&amp;"!C"&amp;ROW(B438))</f>
        <v/>
      </c>
      <c r="Q457" s="94" t="str">
        <f>UpdateHashtag!F487</f>
        <v/>
      </c>
      <c r="R457" s="105" t="str">
        <f t="array" ref="R457">INDIRECT("Update"&amp;Projections!$AH$17&amp;"!D"&amp;ROW(B438))</f>
        <v/>
      </c>
      <c r="S457" s="73">
        <f t="shared" si="14"/>
        <v>-9.965301026</v>
      </c>
      <c r="T457" s="73">
        <f>SUM(AE457:AM457)-IFERROR(IFS(Projections!$I$17,AN457,Projections!$J$17,AO457),"")</f>
        <v>-9.965301026</v>
      </c>
      <c r="U457" s="73">
        <f t="shared" si="15"/>
        <v>0</v>
      </c>
      <c r="V457" s="73" t="str">
        <f t="array" ref="V457">INDIRECT("Update"&amp;Projections!$AH$17&amp;"!M"&amp;ROW(B438))</f>
        <v/>
      </c>
      <c r="W457" s="73" t="str">
        <f t="array" ref="W457">INDIRECT("Update"&amp;Projections!$AH$17&amp;"!L"&amp;ROW(B438))</f>
        <v/>
      </c>
      <c r="X457" s="73" t="str">
        <f t="array" ref="X457">INDIRECT("Update"&amp;Projections!$AH$17&amp;"!N"&amp;ROW(B438))</f>
        <v/>
      </c>
      <c r="Y457" s="73" t="str">
        <f t="array" ref="Y457">INDIRECT("Update"&amp;Projections!$AH$17&amp;"!O"&amp;ROW(B438))</f>
        <v/>
      </c>
      <c r="Z457" s="73" t="str">
        <f t="array" ref="Z457">INDIRECT("Update"&amp;Projections!$AH$17&amp;"!P"&amp;ROW(B438))</f>
        <v/>
      </c>
      <c r="AA457" s="73" t="str">
        <f t="array" ref="AA457">INDIRECT("Update"&amp;Projections!$AH$17&amp;"!Q"&amp;ROW(B438))</f>
        <v/>
      </c>
      <c r="AB457" s="107" t="str">
        <f t="array" ref="AB457">INDIRECT("Update"&amp;Projections!$AH$17&amp;"!I"&amp;ROW(B438))</f>
        <v/>
      </c>
      <c r="AC457" s="107" t="str">
        <f t="array" ref="AC457">INDIRECT("Update"&amp;Projections!$AH$17&amp;"!K"&amp;ROW(B438))</f>
        <v/>
      </c>
      <c r="AD457" s="73" t="str">
        <f t="array" ref="AD457">INDIRECT("Update"&amp;Projections!$AH$17&amp;"!R"&amp;ROW(B438))</f>
        <v/>
      </c>
      <c r="AE457" s="73">
        <f t="shared" si="16"/>
        <v>-3.155358621</v>
      </c>
      <c r="AF457" s="73">
        <f t="shared" si="17"/>
        <v>-1.740686581</v>
      </c>
      <c r="AG457" s="73">
        <f t="shared" si="18"/>
        <v>-2.380599106</v>
      </c>
      <c r="AH457" s="73">
        <f t="shared" si="19"/>
        <v>-1.79320266</v>
      </c>
      <c r="AI457" s="73">
        <f t="shared" si="20"/>
        <v>-3.240190514</v>
      </c>
      <c r="AJ457" s="73">
        <f t="shared" si="21"/>
        <v>-1.329092151</v>
      </c>
      <c r="AK457" s="73">
        <f t="shared" si="22"/>
        <v>0</v>
      </c>
      <c r="AL457" s="73">
        <f t="shared" si="23"/>
        <v>0</v>
      </c>
      <c r="AM457" s="73">
        <f t="shared" si="24"/>
        <v>0.433638093</v>
      </c>
      <c r="AN457" s="120">
        <f t="shared" si="25"/>
        <v>-3.240190514</v>
      </c>
      <c r="AO457" s="120">
        <f t="shared" si="26"/>
        <v>-6.395549135</v>
      </c>
      <c r="AP457" s="120" t="str">
        <f t="array" ref="AP457">INDIRECT("Update"&amp;Projections!$AH$17&amp;"!S"&amp;ROW(B438))</f>
        <v/>
      </c>
      <c r="AQ457" s="120" t="str">
        <f t="array" ref="AQ457">INDIRECT("Update"&amp;Projections!$AH$17&amp;"!T"&amp;ROW(B438))</f>
        <v/>
      </c>
      <c r="AR457" s="100">
        <f t="shared" si="27"/>
        <v>-9.965301026</v>
      </c>
    </row>
    <row r="458">
      <c r="A458" t="str">
        <f t="shared" si="3"/>
        <v/>
      </c>
      <c r="B458" s="42">
        <f t="shared" si="4"/>
        <v>-3.155358621</v>
      </c>
      <c r="C458" s="43">
        <f t="shared" si="5"/>
        <v>-1.740686581</v>
      </c>
      <c r="D458" s="42">
        <f t="shared" si="6"/>
        <v>-2.380599106</v>
      </c>
      <c r="E458" s="42">
        <f t="shared" si="7"/>
        <v>-1.79320266</v>
      </c>
      <c r="F458" s="42">
        <f t="shared" si="8"/>
        <v>-3.240190514</v>
      </c>
      <c r="G458" s="42">
        <f t="shared" si="9"/>
        <v>-1.329092151</v>
      </c>
      <c r="H458" s="42">
        <f t="shared" si="10"/>
        <v>0</v>
      </c>
      <c r="I458" s="42" t="str">
        <f>UpdateHashtag!S456</f>
        <v/>
      </c>
      <c r="J458" s="47">
        <f t="shared" si="11"/>
        <v>0</v>
      </c>
      <c r="K458" s="48" t="str">
        <f>UpdateHashtag!T456</f>
        <v/>
      </c>
      <c r="L458" s="42">
        <f t="shared" si="12"/>
        <v>-1.734552372</v>
      </c>
      <c r="N458" s="100">
        <f t="shared" si="13"/>
        <v>401</v>
      </c>
      <c r="O458" s="94" t="str">
        <f t="array" ref="O458">INDIRECT("Update"&amp;Projections!$AH$17&amp;"!B"&amp;ROW(B439))</f>
        <v/>
      </c>
      <c r="P458" s="414" t="str">
        <f t="array" ref="P458">INDIRECT("Update"&amp;Projections!$AH$17&amp;"!C"&amp;ROW(B439))</f>
        <v/>
      </c>
      <c r="Q458" s="94" t="str">
        <f>UpdateHashtag!F488</f>
        <v/>
      </c>
      <c r="R458" s="105" t="str">
        <f t="array" ref="R458">INDIRECT("Update"&amp;Projections!$AH$17&amp;"!D"&amp;ROW(B439))</f>
        <v/>
      </c>
      <c r="S458" s="73">
        <f t="shared" si="14"/>
        <v>-9.965301026</v>
      </c>
      <c r="T458" s="73">
        <f>SUM(AE458:AM458)-IFERROR(IFS(Projections!$I$17,AN458,Projections!$J$17,AO458),"")</f>
        <v>-9.965301026</v>
      </c>
      <c r="U458" s="73">
        <f t="shared" si="15"/>
        <v>0</v>
      </c>
      <c r="V458" s="73" t="str">
        <f t="array" ref="V458">INDIRECT("Update"&amp;Projections!$AH$17&amp;"!M"&amp;ROW(B439))</f>
        <v/>
      </c>
      <c r="W458" s="73" t="str">
        <f t="array" ref="W458">INDIRECT("Update"&amp;Projections!$AH$17&amp;"!L"&amp;ROW(B439))</f>
        <v/>
      </c>
      <c r="X458" s="73" t="str">
        <f t="array" ref="X458">INDIRECT("Update"&amp;Projections!$AH$17&amp;"!N"&amp;ROW(B439))</f>
        <v/>
      </c>
      <c r="Y458" s="73" t="str">
        <f t="array" ref="Y458">INDIRECT("Update"&amp;Projections!$AH$17&amp;"!O"&amp;ROW(B439))</f>
        <v/>
      </c>
      <c r="Z458" s="73" t="str">
        <f t="array" ref="Z458">INDIRECT("Update"&amp;Projections!$AH$17&amp;"!P"&amp;ROW(B439))</f>
        <v/>
      </c>
      <c r="AA458" s="73" t="str">
        <f t="array" ref="AA458">INDIRECT("Update"&amp;Projections!$AH$17&amp;"!Q"&amp;ROW(B439))</f>
        <v/>
      </c>
      <c r="AB458" s="107" t="str">
        <f t="array" ref="AB458">INDIRECT("Update"&amp;Projections!$AH$17&amp;"!I"&amp;ROW(B439))</f>
        <v/>
      </c>
      <c r="AC458" s="107" t="str">
        <f t="array" ref="AC458">INDIRECT("Update"&amp;Projections!$AH$17&amp;"!K"&amp;ROW(B439))</f>
        <v/>
      </c>
      <c r="AD458" s="73" t="str">
        <f t="array" ref="AD458">INDIRECT("Update"&amp;Projections!$AH$17&amp;"!R"&amp;ROW(B439))</f>
        <v/>
      </c>
      <c r="AE458" s="73">
        <f t="shared" si="16"/>
        <v>-3.155358621</v>
      </c>
      <c r="AF458" s="73">
        <f t="shared" si="17"/>
        <v>-1.740686581</v>
      </c>
      <c r="AG458" s="73">
        <f t="shared" si="18"/>
        <v>-2.380599106</v>
      </c>
      <c r="AH458" s="73">
        <f t="shared" si="19"/>
        <v>-1.79320266</v>
      </c>
      <c r="AI458" s="73">
        <f t="shared" si="20"/>
        <v>-3.240190514</v>
      </c>
      <c r="AJ458" s="73">
        <f t="shared" si="21"/>
        <v>-1.329092151</v>
      </c>
      <c r="AK458" s="73">
        <f t="shared" si="22"/>
        <v>0</v>
      </c>
      <c r="AL458" s="73">
        <f t="shared" si="23"/>
        <v>0</v>
      </c>
      <c r="AM458" s="73">
        <f t="shared" si="24"/>
        <v>0.433638093</v>
      </c>
      <c r="AN458" s="120">
        <f t="shared" si="25"/>
        <v>-3.240190514</v>
      </c>
      <c r="AO458" s="120">
        <f t="shared" si="26"/>
        <v>-6.395549135</v>
      </c>
      <c r="AP458" s="120" t="str">
        <f t="array" ref="AP458">INDIRECT("Update"&amp;Projections!$AH$17&amp;"!S"&amp;ROW(B439))</f>
        <v/>
      </c>
      <c r="AQ458" s="120" t="str">
        <f t="array" ref="AQ458">INDIRECT("Update"&amp;Projections!$AH$17&amp;"!T"&amp;ROW(B439))</f>
        <v/>
      </c>
      <c r="AR458" s="100">
        <f t="shared" si="27"/>
        <v>-9.965301026</v>
      </c>
    </row>
    <row r="459">
      <c r="A459" t="str">
        <f t="shared" si="3"/>
        <v/>
      </c>
      <c r="B459" s="42">
        <f t="shared" si="4"/>
        <v>-3.155358621</v>
      </c>
      <c r="C459" s="43">
        <f t="shared" si="5"/>
        <v>-1.740686581</v>
      </c>
      <c r="D459" s="42">
        <f t="shared" si="6"/>
        <v>-2.380599106</v>
      </c>
      <c r="E459" s="42">
        <f t="shared" si="7"/>
        <v>-1.79320266</v>
      </c>
      <c r="F459" s="42">
        <f t="shared" si="8"/>
        <v>-3.240190514</v>
      </c>
      <c r="G459" s="42">
        <f t="shared" si="9"/>
        <v>-1.329092151</v>
      </c>
      <c r="H459" s="42">
        <f t="shared" si="10"/>
        <v>0</v>
      </c>
      <c r="I459" s="42" t="str">
        <f>UpdateHashtag!S457</f>
        <v/>
      </c>
      <c r="J459" s="47">
        <f t="shared" si="11"/>
        <v>0</v>
      </c>
      <c r="K459" s="48" t="str">
        <f>UpdateHashtag!T457</f>
        <v/>
      </c>
      <c r="L459" s="42">
        <f t="shared" si="12"/>
        <v>-1.734552372</v>
      </c>
      <c r="N459" s="100">
        <f t="shared" si="13"/>
        <v>401</v>
      </c>
      <c r="O459" s="94" t="str">
        <f t="array" ref="O459">INDIRECT("Update"&amp;Projections!$AH$17&amp;"!B"&amp;ROW(B440))</f>
        <v/>
      </c>
      <c r="P459" s="414" t="str">
        <f t="array" ref="P459">INDIRECT("Update"&amp;Projections!$AH$17&amp;"!C"&amp;ROW(B440))</f>
        <v/>
      </c>
      <c r="Q459" s="94" t="str">
        <f>UpdateHashtag!F489</f>
        <v/>
      </c>
      <c r="R459" s="105" t="str">
        <f t="array" ref="R459">INDIRECT("Update"&amp;Projections!$AH$17&amp;"!D"&amp;ROW(B440))</f>
        <v/>
      </c>
      <c r="S459" s="73">
        <f t="shared" si="14"/>
        <v>-9.965301026</v>
      </c>
      <c r="T459" s="73">
        <f>SUM(AE459:AM459)-IFERROR(IFS(Projections!$I$17,AN459,Projections!$J$17,AO459),"")</f>
        <v>-9.965301026</v>
      </c>
      <c r="U459" s="73">
        <f t="shared" si="15"/>
        <v>0</v>
      </c>
      <c r="V459" s="73" t="str">
        <f t="array" ref="V459">INDIRECT("Update"&amp;Projections!$AH$17&amp;"!M"&amp;ROW(B440))</f>
        <v/>
      </c>
      <c r="W459" s="73" t="str">
        <f t="array" ref="W459">INDIRECT("Update"&amp;Projections!$AH$17&amp;"!L"&amp;ROW(B440))</f>
        <v/>
      </c>
      <c r="X459" s="73" t="str">
        <f t="array" ref="X459">INDIRECT("Update"&amp;Projections!$AH$17&amp;"!N"&amp;ROW(B440))</f>
        <v/>
      </c>
      <c r="Y459" s="73" t="str">
        <f t="array" ref="Y459">INDIRECT("Update"&amp;Projections!$AH$17&amp;"!O"&amp;ROW(B440))</f>
        <v/>
      </c>
      <c r="Z459" s="73" t="str">
        <f t="array" ref="Z459">INDIRECT("Update"&amp;Projections!$AH$17&amp;"!P"&amp;ROW(B440))</f>
        <v/>
      </c>
      <c r="AA459" s="73" t="str">
        <f t="array" ref="AA459">INDIRECT("Update"&amp;Projections!$AH$17&amp;"!Q"&amp;ROW(B440))</f>
        <v/>
      </c>
      <c r="AB459" s="107" t="str">
        <f t="array" ref="AB459">INDIRECT("Update"&amp;Projections!$AH$17&amp;"!I"&amp;ROW(B440))</f>
        <v/>
      </c>
      <c r="AC459" s="107" t="str">
        <f t="array" ref="AC459">INDIRECT("Update"&amp;Projections!$AH$17&amp;"!K"&amp;ROW(B440))</f>
        <v/>
      </c>
      <c r="AD459" s="73" t="str">
        <f t="array" ref="AD459">INDIRECT("Update"&amp;Projections!$AH$17&amp;"!R"&amp;ROW(B440))</f>
        <v/>
      </c>
      <c r="AE459" s="73">
        <f t="shared" si="16"/>
        <v>-3.155358621</v>
      </c>
      <c r="AF459" s="73">
        <f t="shared" si="17"/>
        <v>-1.740686581</v>
      </c>
      <c r="AG459" s="73">
        <f t="shared" si="18"/>
        <v>-2.380599106</v>
      </c>
      <c r="AH459" s="73">
        <f t="shared" si="19"/>
        <v>-1.79320266</v>
      </c>
      <c r="AI459" s="73">
        <f t="shared" si="20"/>
        <v>-3.240190514</v>
      </c>
      <c r="AJ459" s="73">
        <f t="shared" si="21"/>
        <v>-1.329092151</v>
      </c>
      <c r="AK459" s="73">
        <f t="shared" si="22"/>
        <v>0</v>
      </c>
      <c r="AL459" s="73">
        <f t="shared" si="23"/>
        <v>0</v>
      </c>
      <c r="AM459" s="73">
        <f t="shared" si="24"/>
        <v>0.433638093</v>
      </c>
      <c r="AN459" s="120">
        <f t="shared" si="25"/>
        <v>-3.240190514</v>
      </c>
      <c r="AO459" s="120">
        <f t="shared" si="26"/>
        <v>-6.395549135</v>
      </c>
      <c r="AP459" s="120" t="str">
        <f t="array" ref="AP459">INDIRECT("Update"&amp;Projections!$AH$17&amp;"!S"&amp;ROW(B440))</f>
        <v/>
      </c>
      <c r="AQ459" s="120" t="str">
        <f t="array" ref="AQ459">INDIRECT("Update"&amp;Projections!$AH$17&amp;"!T"&amp;ROW(B440))</f>
        <v/>
      </c>
      <c r="AR459" s="100">
        <f t="shared" si="27"/>
        <v>-9.965301026</v>
      </c>
    </row>
    <row r="460">
      <c r="A460" t="str">
        <f t="shared" si="3"/>
        <v/>
      </c>
      <c r="B460" s="42">
        <f t="shared" si="4"/>
        <v>-3.155358621</v>
      </c>
      <c r="C460" s="43">
        <f t="shared" si="5"/>
        <v>-1.740686581</v>
      </c>
      <c r="D460" s="42">
        <f t="shared" si="6"/>
        <v>-2.380599106</v>
      </c>
      <c r="E460" s="42">
        <f t="shared" si="7"/>
        <v>-1.79320266</v>
      </c>
      <c r="F460" s="42">
        <f t="shared" si="8"/>
        <v>-3.240190514</v>
      </c>
      <c r="G460" s="42">
        <f t="shared" si="9"/>
        <v>-1.329092151</v>
      </c>
      <c r="H460" s="42">
        <f t="shared" si="10"/>
        <v>0</v>
      </c>
      <c r="I460" s="42" t="str">
        <f>UpdateHashtag!S458</f>
        <v/>
      </c>
      <c r="J460" s="47">
        <f t="shared" si="11"/>
        <v>0</v>
      </c>
      <c r="K460" s="48" t="str">
        <f>UpdateHashtag!T458</f>
        <v/>
      </c>
      <c r="L460" s="42">
        <f t="shared" si="12"/>
        <v>-1.734552372</v>
      </c>
      <c r="N460" s="100">
        <f t="shared" si="13"/>
        <v>401</v>
      </c>
      <c r="O460" s="94" t="str">
        <f t="array" ref="O460">INDIRECT("Update"&amp;Projections!$AH$17&amp;"!B"&amp;ROW(B441))</f>
        <v/>
      </c>
      <c r="P460" s="414" t="str">
        <f t="array" ref="P460">INDIRECT("Update"&amp;Projections!$AH$17&amp;"!C"&amp;ROW(B441))</f>
        <v/>
      </c>
      <c r="Q460" s="94" t="str">
        <f>UpdateHashtag!F490</f>
        <v/>
      </c>
      <c r="R460" s="105" t="str">
        <f t="array" ref="R460">INDIRECT("Update"&amp;Projections!$AH$17&amp;"!D"&amp;ROW(B441))</f>
        <v/>
      </c>
      <c r="S460" s="73">
        <f t="shared" si="14"/>
        <v>-9.965301026</v>
      </c>
      <c r="T460" s="73">
        <f>SUM(AE460:AM460)-IFERROR(IFS(Projections!$I$17,AN460,Projections!$J$17,AO460),"")</f>
        <v>-9.965301026</v>
      </c>
      <c r="U460" s="73">
        <f t="shared" si="15"/>
        <v>0</v>
      </c>
      <c r="V460" s="73" t="str">
        <f t="array" ref="V460">INDIRECT("Update"&amp;Projections!$AH$17&amp;"!M"&amp;ROW(B441))</f>
        <v/>
      </c>
      <c r="W460" s="73" t="str">
        <f t="array" ref="W460">INDIRECT("Update"&amp;Projections!$AH$17&amp;"!L"&amp;ROW(B441))</f>
        <v/>
      </c>
      <c r="X460" s="73" t="str">
        <f t="array" ref="X460">INDIRECT("Update"&amp;Projections!$AH$17&amp;"!N"&amp;ROW(B441))</f>
        <v/>
      </c>
      <c r="Y460" s="73" t="str">
        <f t="array" ref="Y460">INDIRECT("Update"&amp;Projections!$AH$17&amp;"!O"&amp;ROW(B441))</f>
        <v/>
      </c>
      <c r="Z460" s="73" t="str">
        <f t="array" ref="Z460">INDIRECT("Update"&amp;Projections!$AH$17&amp;"!P"&amp;ROW(B441))</f>
        <v/>
      </c>
      <c r="AA460" s="73" t="str">
        <f t="array" ref="AA460">INDIRECT("Update"&amp;Projections!$AH$17&amp;"!Q"&amp;ROW(B441))</f>
        <v/>
      </c>
      <c r="AB460" s="107" t="str">
        <f t="array" ref="AB460">INDIRECT("Update"&amp;Projections!$AH$17&amp;"!I"&amp;ROW(B441))</f>
        <v/>
      </c>
      <c r="AC460" s="107" t="str">
        <f t="array" ref="AC460">INDIRECT("Update"&amp;Projections!$AH$17&amp;"!K"&amp;ROW(B441))</f>
        <v/>
      </c>
      <c r="AD460" s="73" t="str">
        <f t="array" ref="AD460">INDIRECT("Update"&amp;Projections!$AH$17&amp;"!R"&amp;ROW(B441))</f>
        <v/>
      </c>
      <c r="AE460" s="73">
        <f t="shared" si="16"/>
        <v>-3.155358621</v>
      </c>
      <c r="AF460" s="73">
        <f t="shared" si="17"/>
        <v>-1.740686581</v>
      </c>
      <c r="AG460" s="73">
        <f t="shared" si="18"/>
        <v>-2.380599106</v>
      </c>
      <c r="AH460" s="73">
        <f t="shared" si="19"/>
        <v>-1.79320266</v>
      </c>
      <c r="AI460" s="73">
        <f t="shared" si="20"/>
        <v>-3.240190514</v>
      </c>
      <c r="AJ460" s="73">
        <f t="shared" si="21"/>
        <v>-1.329092151</v>
      </c>
      <c r="AK460" s="73">
        <f t="shared" si="22"/>
        <v>0</v>
      </c>
      <c r="AL460" s="73">
        <f t="shared" si="23"/>
        <v>0</v>
      </c>
      <c r="AM460" s="73">
        <f t="shared" si="24"/>
        <v>0.433638093</v>
      </c>
      <c r="AN460" s="120">
        <f t="shared" si="25"/>
        <v>-3.240190514</v>
      </c>
      <c r="AO460" s="120">
        <f t="shared" si="26"/>
        <v>-6.395549135</v>
      </c>
      <c r="AP460" s="120" t="str">
        <f t="array" ref="AP460">INDIRECT("Update"&amp;Projections!$AH$17&amp;"!S"&amp;ROW(B441))</f>
        <v/>
      </c>
      <c r="AQ460" s="120" t="str">
        <f t="array" ref="AQ460">INDIRECT("Update"&amp;Projections!$AH$17&amp;"!T"&amp;ROW(B441))</f>
        <v/>
      </c>
      <c r="AR460" s="100">
        <f t="shared" si="27"/>
        <v>-9.965301026</v>
      </c>
    </row>
    <row r="461">
      <c r="A461" t="str">
        <f t="shared" si="3"/>
        <v/>
      </c>
      <c r="B461" s="42">
        <f t="shared" si="4"/>
        <v>-3.155358621</v>
      </c>
      <c r="C461" s="43">
        <f t="shared" si="5"/>
        <v>-1.740686581</v>
      </c>
      <c r="D461" s="42">
        <f t="shared" si="6"/>
        <v>-2.380599106</v>
      </c>
      <c r="E461" s="42">
        <f t="shared" si="7"/>
        <v>-1.79320266</v>
      </c>
      <c r="F461" s="42">
        <f t="shared" si="8"/>
        <v>-3.240190514</v>
      </c>
      <c r="G461" s="42">
        <f t="shared" si="9"/>
        <v>-1.329092151</v>
      </c>
      <c r="H461" s="42">
        <f t="shared" si="10"/>
        <v>0</v>
      </c>
      <c r="I461" s="42" t="str">
        <f>UpdateHashtag!S459</f>
        <v/>
      </c>
      <c r="J461" s="47">
        <f t="shared" si="11"/>
        <v>0</v>
      </c>
      <c r="K461" s="48" t="str">
        <f>UpdateHashtag!T459</f>
        <v/>
      </c>
      <c r="L461" s="42">
        <f t="shared" si="12"/>
        <v>-1.734552372</v>
      </c>
      <c r="N461" s="100">
        <f t="shared" si="13"/>
        <v>401</v>
      </c>
      <c r="O461" s="94" t="str">
        <f t="array" ref="O461">INDIRECT("Update"&amp;Projections!$AH$17&amp;"!B"&amp;ROW(B442))</f>
        <v/>
      </c>
      <c r="P461" s="414" t="str">
        <f t="array" ref="P461">INDIRECT("Update"&amp;Projections!$AH$17&amp;"!C"&amp;ROW(B442))</f>
        <v/>
      </c>
      <c r="Q461" s="94" t="str">
        <f>UpdateHashtag!F491</f>
        <v/>
      </c>
      <c r="R461" s="105" t="str">
        <f t="array" ref="R461">INDIRECT("Update"&amp;Projections!$AH$17&amp;"!D"&amp;ROW(B442))</f>
        <v/>
      </c>
      <c r="S461" s="73">
        <f t="shared" si="14"/>
        <v>-9.965301026</v>
      </c>
      <c r="T461" s="73">
        <f>SUM(AE461:AM461)-IFERROR(IFS(Projections!$I$17,AN461,Projections!$J$17,AO461),"")</f>
        <v>-9.965301026</v>
      </c>
      <c r="U461" s="73">
        <f t="shared" si="15"/>
        <v>0</v>
      </c>
      <c r="V461" s="73" t="str">
        <f t="array" ref="V461">INDIRECT("Update"&amp;Projections!$AH$17&amp;"!M"&amp;ROW(B442))</f>
        <v/>
      </c>
      <c r="W461" s="73" t="str">
        <f t="array" ref="W461">INDIRECT("Update"&amp;Projections!$AH$17&amp;"!L"&amp;ROW(B442))</f>
        <v/>
      </c>
      <c r="X461" s="73" t="str">
        <f t="array" ref="X461">INDIRECT("Update"&amp;Projections!$AH$17&amp;"!N"&amp;ROW(B442))</f>
        <v/>
      </c>
      <c r="Y461" s="73" t="str">
        <f t="array" ref="Y461">INDIRECT("Update"&amp;Projections!$AH$17&amp;"!O"&amp;ROW(B442))</f>
        <v/>
      </c>
      <c r="Z461" s="73" t="str">
        <f t="array" ref="Z461">INDIRECT("Update"&amp;Projections!$AH$17&amp;"!P"&amp;ROW(B442))</f>
        <v/>
      </c>
      <c r="AA461" s="73" t="str">
        <f t="array" ref="AA461">INDIRECT("Update"&amp;Projections!$AH$17&amp;"!Q"&amp;ROW(B442))</f>
        <v/>
      </c>
      <c r="AB461" s="107" t="str">
        <f t="array" ref="AB461">INDIRECT("Update"&amp;Projections!$AH$17&amp;"!I"&amp;ROW(B442))</f>
        <v/>
      </c>
      <c r="AC461" s="107" t="str">
        <f t="array" ref="AC461">INDIRECT("Update"&amp;Projections!$AH$17&amp;"!K"&amp;ROW(B442))</f>
        <v/>
      </c>
      <c r="AD461" s="73" t="str">
        <f t="array" ref="AD461">INDIRECT("Update"&amp;Projections!$AH$17&amp;"!R"&amp;ROW(B442))</f>
        <v/>
      </c>
      <c r="AE461" s="73">
        <f t="shared" si="16"/>
        <v>-3.155358621</v>
      </c>
      <c r="AF461" s="73">
        <f t="shared" si="17"/>
        <v>-1.740686581</v>
      </c>
      <c r="AG461" s="73">
        <f t="shared" si="18"/>
        <v>-2.380599106</v>
      </c>
      <c r="AH461" s="73">
        <f t="shared" si="19"/>
        <v>-1.79320266</v>
      </c>
      <c r="AI461" s="73">
        <f t="shared" si="20"/>
        <v>-3.240190514</v>
      </c>
      <c r="AJ461" s="73">
        <f t="shared" si="21"/>
        <v>-1.329092151</v>
      </c>
      <c r="AK461" s="73">
        <f t="shared" si="22"/>
        <v>0</v>
      </c>
      <c r="AL461" s="73">
        <f t="shared" si="23"/>
        <v>0</v>
      </c>
      <c r="AM461" s="73">
        <f t="shared" si="24"/>
        <v>0.433638093</v>
      </c>
      <c r="AN461" s="120">
        <f t="shared" si="25"/>
        <v>-3.240190514</v>
      </c>
      <c r="AO461" s="120">
        <f t="shared" si="26"/>
        <v>-6.395549135</v>
      </c>
      <c r="AP461" s="120" t="str">
        <f t="array" ref="AP461">INDIRECT("Update"&amp;Projections!$AH$17&amp;"!S"&amp;ROW(B442))</f>
        <v/>
      </c>
      <c r="AQ461" s="120" t="str">
        <f t="array" ref="AQ461">INDIRECT("Update"&amp;Projections!$AH$17&amp;"!T"&amp;ROW(B442))</f>
        <v/>
      </c>
      <c r="AR461" s="100">
        <f t="shared" si="27"/>
        <v>-9.965301026</v>
      </c>
    </row>
    <row r="462">
      <c r="A462" t="str">
        <f t="shared" si="3"/>
        <v/>
      </c>
      <c r="B462" s="42">
        <f t="shared" si="4"/>
        <v>-3.155358621</v>
      </c>
      <c r="C462" s="43">
        <f t="shared" si="5"/>
        <v>-1.740686581</v>
      </c>
      <c r="D462" s="42">
        <f t="shared" si="6"/>
        <v>-2.380599106</v>
      </c>
      <c r="E462" s="42">
        <f t="shared" si="7"/>
        <v>-1.79320266</v>
      </c>
      <c r="F462" s="42">
        <f t="shared" si="8"/>
        <v>-3.240190514</v>
      </c>
      <c r="G462" s="42">
        <f t="shared" si="9"/>
        <v>-1.329092151</v>
      </c>
      <c r="H462" s="42">
        <f t="shared" si="10"/>
        <v>0</v>
      </c>
      <c r="I462" s="42" t="str">
        <f>UpdateHashtag!S460</f>
        <v/>
      </c>
      <c r="J462" s="47">
        <f t="shared" si="11"/>
        <v>0</v>
      </c>
      <c r="K462" s="48" t="str">
        <f>UpdateHashtag!T460</f>
        <v/>
      </c>
      <c r="L462" s="42">
        <f t="shared" si="12"/>
        <v>-1.734552372</v>
      </c>
      <c r="N462" s="100">
        <f t="shared" si="13"/>
        <v>401</v>
      </c>
      <c r="O462" s="94" t="str">
        <f t="array" ref="O462">INDIRECT("Update"&amp;Projections!$AH$17&amp;"!B"&amp;ROW(B443))</f>
        <v/>
      </c>
      <c r="P462" s="414" t="str">
        <f t="array" ref="P462">INDIRECT("Update"&amp;Projections!$AH$17&amp;"!C"&amp;ROW(B443))</f>
        <v/>
      </c>
      <c r="Q462" s="94" t="str">
        <f>UpdateHashtag!F492</f>
        <v/>
      </c>
      <c r="R462" s="105" t="str">
        <f t="array" ref="R462">INDIRECT("Update"&amp;Projections!$AH$17&amp;"!D"&amp;ROW(B443))</f>
        <v/>
      </c>
      <c r="S462" s="73">
        <f t="shared" si="14"/>
        <v>-9.965301026</v>
      </c>
      <c r="T462" s="73">
        <f>SUM(AE462:AM462)-IFERROR(IFS(Projections!$I$17,AN462,Projections!$J$17,AO462),"")</f>
        <v>-9.965301026</v>
      </c>
      <c r="U462" s="73">
        <f t="shared" si="15"/>
        <v>0</v>
      </c>
      <c r="V462" s="73" t="str">
        <f t="array" ref="V462">INDIRECT("Update"&amp;Projections!$AH$17&amp;"!M"&amp;ROW(B443))</f>
        <v/>
      </c>
      <c r="W462" s="73" t="str">
        <f t="array" ref="W462">INDIRECT("Update"&amp;Projections!$AH$17&amp;"!L"&amp;ROW(B443))</f>
        <v/>
      </c>
      <c r="X462" s="73" t="str">
        <f t="array" ref="X462">INDIRECT("Update"&amp;Projections!$AH$17&amp;"!N"&amp;ROW(B443))</f>
        <v/>
      </c>
      <c r="Y462" s="73" t="str">
        <f t="array" ref="Y462">INDIRECT("Update"&amp;Projections!$AH$17&amp;"!O"&amp;ROW(B443))</f>
        <v/>
      </c>
      <c r="Z462" s="73" t="str">
        <f t="array" ref="Z462">INDIRECT("Update"&amp;Projections!$AH$17&amp;"!P"&amp;ROW(B443))</f>
        <v/>
      </c>
      <c r="AA462" s="73" t="str">
        <f t="array" ref="AA462">INDIRECT("Update"&amp;Projections!$AH$17&amp;"!Q"&amp;ROW(B443))</f>
        <v/>
      </c>
      <c r="AB462" s="107" t="str">
        <f t="array" ref="AB462">INDIRECT("Update"&amp;Projections!$AH$17&amp;"!I"&amp;ROW(B443))</f>
        <v/>
      </c>
      <c r="AC462" s="107" t="str">
        <f t="array" ref="AC462">INDIRECT("Update"&amp;Projections!$AH$17&amp;"!K"&amp;ROW(B443))</f>
        <v/>
      </c>
      <c r="AD462" s="73" t="str">
        <f t="array" ref="AD462">INDIRECT("Update"&amp;Projections!$AH$17&amp;"!R"&amp;ROW(B443))</f>
        <v/>
      </c>
      <c r="AE462" s="73">
        <f t="shared" si="16"/>
        <v>-3.155358621</v>
      </c>
      <c r="AF462" s="73">
        <f t="shared" si="17"/>
        <v>-1.740686581</v>
      </c>
      <c r="AG462" s="73">
        <f t="shared" si="18"/>
        <v>-2.380599106</v>
      </c>
      <c r="AH462" s="73">
        <f t="shared" si="19"/>
        <v>-1.79320266</v>
      </c>
      <c r="AI462" s="73">
        <f t="shared" si="20"/>
        <v>-3.240190514</v>
      </c>
      <c r="AJ462" s="73">
        <f t="shared" si="21"/>
        <v>-1.329092151</v>
      </c>
      <c r="AK462" s="73">
        <f t="shared" si="22"/>
        <v>0</v>
      </c>
      <c r="AL462" s="73">
        <f t="shared" si="23"/>
        <v>0</v>
      </c>
      <c r="AM462" s="73">
        <f t="shared" si="24"/>
        <v>0.433638093</v>
      </c>
      <c r="AN462" s="120">
        <f t="shared" si="25"/>
        <v>-3.240190514</v>
      </c>
      <c r="AO462" s="120">
        <f t="shared" si="26"/>
        <v>-6.395549135</v>
      </c>
      <c r="AP462" s="120" t="str">
        <f t="array" ref="AP462">INDIRECT("Update"&amp;Projections!$AH$17&amp;"!S"&amp;ROW(B443))</f>
        <v/>
      </c>
      <c r="AQ462" s="120" t="str">
        <f t="array" ref="AQ462">INDIRECT("Update"&amp;Projections!$AH$17&amp;"!T"&amp;ROW(B443))</f>
        <v/>
      </c>
      <c r="AR462" s="100">
        <f t="shared" si="27"/>
        <v>-9.965301026</v>
      </c>
    </row>
    <row r="463">
      <c r="A463" t="str">
        <f t="shared" si="3"/>
        <v/>
      </c>
      <c r="B463" s="42">
        <f t="shared" si="4"/>
        <v>-3.155358621</v>
      </c>
      <c r="C463" s="43">
        <f t="shared" si="5"/>
        <v>-1.740686581</v>
      </c>
      <c r="D463" s="42">
        <f t="shared" si="6"/>
        <v>-2.380599106</v>
      </c>
      <c r="E463" s="42">
        <f t="shared" si="7"/>
        <v>-1.79320266</v>
      </c>
      <c r="F463" s="42">
        <f t="shared" si="8"/>
        <v>-3.240190514</v>
      </c>
      <c r="G463" s="42">
        <f t="shared" si="9"/>
        <v>-1.329092151</v>
      </c>
      <c r="H463" s="42">
        <f t="shared" si="10"/>
        <v>0</v>
      </c>
      <c r="I463" s="42" t="str">
        <f>UpdateHashtag!S461</f>
        <v/>
      </c>
      <c r="J463" s="47">
        <f t="shared" si="11"/>
        <v>0</v>
      </c>
      <c r="K463" s="48" t="str">
        <f>UpdateHashtag!T461</f>
        <v/>
      </c>
      <c r="L463" s="42">
        <f t="shared" si="12"/>
        <v>-1.734552372</v>
      </c>
      <c r="N463" s="100">
        <f t="shared" si="13"/>
        <v>401</v>
      </c>
      <c r="O463" s="94" t="str">
        <f t="array" ref="O463">INDIRECT("Update"&amp;Projections!$AH$17&amp;"!B"&amp;ROW(B444))</f>
        <v/>
      </c>
      <c r="P463" s="414" t="str">
        <f t="array" ref="P463">INDIRECT("Update"&amp;Projections!$AH$17&amp;"!C"&amp;ROW(B444))</f>
        <v/>
      </c>
      <c r="Q463" s="94" t="str">
        <f>UpdateHashtag!F493</f>
        <v/>
      </c>
      <c r="R463" s="105" t="str">
        <f t="array" ref="R463">INDIRECT("Update"&amp;Projections!$AH$17&amp;"!D"&amp;ROW(B444))</f>
        <v/>
      </c>
      <c r="S463" s="73">
        <f t="shared" si="14"/>
        <v>-9.965301026</v>
      </c>
      <c r="T463" s="73">
        <f>SUM(AE463:AM463)-IFERROR(IFS(Projections!$I$17,AN463,Projections!$J$17,AO463),"")</f>
        <v>-9.965301026</v>
      </c>
      <c r="U463" s="73">
        <f t="shared" si="15"/>
        <v>0</v>
      </c>
      <c r="V463" s="73" t="str">
        <f t="array" ref="V463">INDIRECT("Update"&amp;Projections!$AH$17&amp;"!M"&amp;ROW(B444))</f>
        <v/>
      </c>
      <c r="W463" s="73" t="str">
        <f t="array" ref="W463">INDIRECT("Update"&amp;Projections!$AH$17&amp;"!L"&amp;ROW(B444))</f>
        <v/>
      </c>
      <c r="X463" s="73" t="str">
        <f t="array" ref="X463">INDIRECT("Update"&amp;Projections!$AH$17&amp;"!N"&amp;ROW(B444))</f>
        <v/>
      </c>
      <c r="Y463" s="73" t="str">
        <f t="array" ref="Y463">INDIRECT("Update"&amp;Projections!$AH$17&amp;"!O"&amp;ROW(B444))</f>
        <v/>
      </c>
      <c r="Z463" s="73" t="str">
        <f t="array" ref="Z463">INDIRECT("Update"&amp;Projections!$AH$17&amp;"!P"&amp;ROW(B444))</f>
        <v/>
      </c>
      <c r="AA463" s="73" t="str">
        <f t="array" ref="AA463">INDIRECT("Update"&amp;Projections!$AH$17&amp;"!Q"&amp;ROW(B444))</f>
        <v/>
      </c>
      <c r="AB463" s="107" t="str">
        <f t="array" ref="AB463">INDIRECT("Update"&amp;Projections!$AH$17&amp;"!I"&amp;ROW(B444))</f>
        <v/>
      </c>
      <c r="AC463" s="107" t="str">
        <f t="array" ref="AC463">INDIRECT("Update"&amp;Projections!$AH$17&amp;"!K"&amp;ROW(B444))</f>
        <v/>
      </c>
      <c r="AD463" s="73" t="str">
        <f t="array" ref="AD463">INDIRECT("Update"&amp;Projections!$AH$17&amp;"!R"&amp;ROW(B444))</f>
        <v/>
      </c>
      <c r="AE463" s="73">
        <f t="shared" si="16"/>
        <v>-3.155358621</v>
      </c>
      <c r="AF463" s="73">
        <f t="shared" si="17"/>
        <v>-1.740686581</v>
      </c>
      <c r="AG463" s="73">
        <f t="shared" si="18"/>
        <v>-2.380599106</v>
      </c>
      <c r="AH463" s="73">
        <f t="shared" si="19"/>
        <v>-1.79320266</v>
      </c>
      <c r="AI463" s="73">
        <f t="shared" si="20"/>
        <v>-3.240190514</v>
      </c>
      <c r="AJ463" s="73">
        <f t="shared" si="21"/>
        <v>-1.329092151</v>
      </c>
      <c r="AK463" s="73">
        <f t="shared" si="22"/>
        <v>0</v>
      </c>
      <c r="AL463" s="73">
        <f t="shared" si="23"/>
        <v>0</v>
      </c>
      <c r="AM463" s="73">
        <f t="shared" si="24"/>
        <v>0.433638093</v>
      </c>
      <c r="AN463" s="120">
        <f t="shared" si="25"/>
        <v>-3.240190514</v>
      </c>
      <c r="AO463" s="120">
        <f t="shared" si="26"/>
        <v>-6.395549135</v>
      </c>
      <c r="AP463" s="120" t="str">
        <f t="array" ref="AP463">INDIRECT("Update"&amp;Projections!$AH$17&amp;"!S"&amp;ROW(B444))</f>
        <v/>
      </c>
      <c r="AQ463" s="120" t="str">
        <f t="array" ref="AQ463">INDIRECT("Update"&amp;Projections!$AH$17&amp;"!T"&amp;ROW(B444))</f>
        <v/>
      </c>
      <c r="AR463" s="100">
        <f t="shared" si="27"/>
        <v>-9.965301026</v>
      </c>
    </row>
    <row r="464">
      <c r="A464" t="str">
        <f t="shared" si="3"/>
        <v/>
      </c>
      <c r="B464" s="42">
        <f t="shared" si="4"/>
        <v>-3.155358621</v>
      </c>
      <c r="C464" s="43">
        <f t="shared" si="5"/>
        <v>-1.740686581</v>
      </c>
      <c r="D464" s="42">
        <f t="shared" si="6"/>
        <v>-2.380599106</v>
      </c>
      <c r="E464" s="42">
        <f t="shared" si="7"/>
        <v>-1.79320266</v>
      </c>
      <c r="F464" s="42">
        <f t="shared" si="8"/>
        <v>-3.240190514</v>
      </c>
      <c r="G464" s="42">
        <f t="shared" si="9"/>
        <v>-1.329092151</v>
      </c>
      <c r="H464" s="42">
        <f t="shared" si="10"/>
        <v>0</v>
      </c>
      <c r="I464" s="42" t="str">
        <f>UpdateHashtag!S462</f>
        <v/>
      </c>
      <c r="J464" s="47">
        <f t="shared" si="11"/>
        <v>0</v>
      </c>
      <c r="K464" s="48" t="str">
        <f>UpdateHashtag!T462</f>
        <v/>
      </c>
      <c r="L464" s="42">
        <f t="shared" si="12"/>
        <v>-1.734552372</v>
      </c>
      <c r="N464" s="100">
        <f t="shared" si="13"/>
        <v>401</v>
      </c>
      <c r="O464" s="94" t="str">
        <f t="array" ref="O464">INDIRECT("Update"&amp;Projections!$AH$17&amp;"!B"&amp;ROW(B445))</f>
        <v/>
      </c>
      <c r="P464" s="414" t="str">
        <f t="array" ref="P464">INDIRECT("Update"&amp;Projections!$AH$17&amp;"!C"&amp;ROW(B445))</f>
        <v/>
      </c>
      <c r="Q464" s="94" t="str">
        <f>UpdateHashtag!F494</f>
        <v/>
      </c>
      <c r="R464" s="105" t="str">
        <f t="array" ref="R464">INDIRECT("Update"&amp;Projections!$AH$17&amp;"!D"&amp;ROW(B445))</f>
        <v/>
      </c>
      <c r="S464" s="73">
        <f t="shared" si="14"/>
        <v>-9.965301026</v>
      </c>
      <c r="T464" s="73">
        <f>SUM(AE464:AM464)-IFERROR(IFS(Projections!$I$17,AN464,Projections!$J$17,AO464),"")</f>
        <v>-9.965301026</v>
      </c>
      <c r="U464" s="73">
        <f t="shared" si="15"/>
        <v>0</v>
      </c>
      <c r="V464" s="73" t="str">
        <f t="array" ref="V464">INDIRECT("Update"&amp;Projections!$AH$17&amp;"!M"&amp;ROW(B445))</f>
        <v/>
      </c>
      <c r="W464" s="73" t="str">
        <f t="array" ref="W464">INDIRECT("Update"&amp;Projections!$AH$17&amp;"!L"&amp;ROW(B445))</f>
        <v/>
      </c>
      <c r="X464" s="73" t="str">
        <f t="array" ref="X464">INDIRECT("Update"&amp;Projections!$AH$17&amp;"!N"&amp;ROW(B445))</f>
        <v/>
      </c>
      <c r="Y464" s="73" t="str">
        <f t="array" ref="Y464">INDIRECT("Update"&amp;Projections!$AH$17&amp;"!O"&amp;ROW(B445))</f>
        <v/>
      </c>
      <c r="Z464" s="73" t="str">
        <f t="array" ref="Z464">INDIRECT("Update"&amp;Projections!$AH$17&amp;"!P"&amp;ROW(B445))</f>
        <v/>
      </c>
      <c r="AA464" s="73" t="str">
        <f t="array" ref="AA464">INDIRECT("Update"&amp;Projections!$AH$17&amp;"!Q"&amp;ROW(B445))</f>
        <v/>
      </c>
      <c r="AB464" s="107" t="str">
        <f t="array" ref="AB464">INDIRECT("Update"&amp;Projections!$AH$17&amp;"!I"&amp;ROW(B445))</f>
        <v/>
      </c>
      <c r="AC464" s="107" t="str">
        <f t="array" ref="AC464">INDIRECT("Update"&amp;Projections!$AH$17&amp;"!K"&amp;ROW(B445))</f>
        <v/>
      </c>
      <c r="AD464" s="73" t="str">
        <f t="array" ref="AD464">INDIRECT("Update"&amp;Projections!$AH$17&amp;"!R"&amp;ROW(B445))</f>
        <v/>
      </c>
      <c r="AE464" s="73">
        <f t="shared" si="16"/>
        <v>-3.155358621</v>
      </c>
      <c r="AF464" s="73">
        <f t="shared" si="17"/>
        <v>-1.740686581</v>
      </c>
      <c r="AG464" s="73">
        <f t="shared" si="18"/>
        <v>-2.380599106</v>
      </c>
      <c r="AH464" s="73">
        <f t="shared" si="19"/>
        <v>-1.79320266</v>
      </c>
      <c r="AI464" s="73">
        <f t="shared" si="20"/>
        <v>-3.240190514</v>
      </c>
      <c r="AJ464" s="73">
        <f t="shared" si="21"/>
        <v>-1.329092151</v>
      </c>
      <c r="AK464" s="73">
        <f t="shared" si="22"/>
        <v>0</v>
      </c>
      <c r="AL464" s="73">
        <f t="shared" si="23"/>
        <v>0</v>
      </c>
      <c r="AM464" s="73">
        <f t="shared" si="24"/>
        <v>0.433638093</v>
      </c>
      <c r="AN464" s="120">
        <f t="shared" si="25"/>
        <v>-3.240190514</v>
      </c>
      <c r="AO464" s="120">
        <f t="shared" si="26"/>
        <v>-6.395549135</v>
      </c>
      <c r="AP464" s="120" t="str">
        <f t="array" ref="AP464">INDIRECT("Update"&amp;Projections!$AH$17&amp;"!S"&amp;ROW(B445))</f>
        <v/>
      </c>
      <c r="AQ464" s="120" t="str">
        <f t="array" ref="AQ464">INDIRECT("Update"&amp;Projections!$AH$17&amp;"!T"&amp;ROW(B445))</f>
        <v/>
      </c>
      <c r="AR464" s="100">
        <f t="shared" si="27"/>
        <v>-9.965301026</v>
      </c>
    </row>
    <row r="465">
      <c r="A465" t="str">
        <f t="shared" si="3"/>
        <v/>
      </c>
      <c r="B465" s="42">
        <f t="shared" si="4"/>
        <v>-3.155358621</v>
      </c>
      <c r="C465" s="43">
        <f t="shared" si="5"/>
        <v>-1.740686581</v>
      </c>
      <c r="D465" s="42">
        <f t="shared" si="6"/>
        <v>-2.380599106</v>
      </c>
      <c r="E465" s="42">
        <f t="shared" si="7"/>
        <v>-1.79320266</v>
      </c>
      <c r="F465" s="42">
        <f t="shared" si="8"/>
        <v>-3.240190514</v>
      </c>
      <c r="G465" s="42">
        <f t="shared" si="9"/>
        <v>-1.329092151</v>
      </c>
      <c r="H465" s="42">
        <f t="shared" si="10"/>
        <v>0</v>
      </c>
      <c r="I465" s="42" t="str">
        <f>UpdateHashtag!S463</f>
        <v/>
      </c>
      <c r="J465" s="47">
        <f t="shared" si="11"/>
        <v>0</v>
      </c>
      <c r="K465" s="48" t="str">
        <f>UpdateHashtag!T463</f>
        <v/>
      </c>
      <c r="L465" s="42">
        <f t="shared" si="12"/>
        <v>-1.734552372</v>
      </c>
      <c r="N465" s="100">
        <f t="shared" si="13"/>
        <v>401</v>
      </c>
      <c r="O465" s="94" t="str">
        <f t="array" ref="O465">INDIRECT("Update"&amp;Projections!$AH$17&amp;"!B"&amp;ROW(B446))</f>
        <v/>
      </c>
      <c r="P465" s="414" t="str">
        <f t="array" ref="P465">INDIRECT("Update"&amp;Projections!$AH$17&amp;"!C"&amp;ROW(B446))</f>
        <v/>
      </c>
      <c r="Q465" s="94" t="str">
        <f>UpdateHashtag!F495</f>
        <v/>
      </c>
      <c r="R465" s="105" t="str">
        <f t="array" ref="R465">INDIRECT("Update"&amp;Projections!$AH$17&amp;"!D"&amp;ROW(B446))</f>
        <v/>
      </c>
      <c r="S465" s="73">
        <f t="shared" si="14"/>
        <v>-9.965301026</v>
      </c>
      <c r="T465" s="73">
        <f>SUM(AE465:AM465)-IFERROR(IFS(Projections!$I$17,AN465,Projections!$J$17,AO465),"")</f>
        <v>-9.965301026</v>
      </c>
      <c r="U465" s="73">
        <f t="shared" si="15"/>
        <v>0</v>
      </c>
      <c r="V465" s="73" t="str">
        <f t="array" ref="V465">INDIRECT("Update"&amp;Projections!$AH$17&amp;"!M"&amp;ROW(B446))</f>
        <v/>
      </c>
      <c r="W465" s="73" t="str">
        <f t="array" ref="W465">INDIRECT("Update"&amp;Projections!$AH$17&amp;"!L"&amp;ROW(B446))</f>
        <v/>
      </c>
      <c r="X465" s="73" t="str">
        <f t="array" ref="X465">INDIRECT("Update"&amp;Projections!$AH$17&amp;"!N"&amp;ROW(B446))</f>
        <v/>
      </c>
      <c r="Y465" s="73" t="str">
        <f t="array" ref="Y465">INDIRECT("Update"&amp;Projections!$AH$17&amp;"!O"&amp;ROW(B446))</f>
        <v/>
      </c>
      <c r="Z465" s="73" t="str">
        <f t="array" ref="Z465">INDIRECT("Update"&amp;Projections!$AH$17&amp;"!P"&amp;ROW(B446))</f>
        <v/>
      </c>
      <c r="AA465" s="73" t="str">
        <f t="array" ref="AA465">INDIRECT("Update"&amp;Projections!$AH$17&amp;"!Q"&amp;ROW(B446))</f>
        <v/>
      </c>
      <c r="AB465" s="107" t="str">
        <f t="array" ref="AB465">INDIRECT("Update"&amp;Projections!$AH$17&amp;"!I"&amp;ROW(B446))</f>
        <v/>
      </c>
      <c r="AC465" s="107" t="str">
        <f t="array" ref="AC465">INDIRECT("Update"&amp;Projections!$AH$17&amp;"!K"&amp;ROW(B446))</f>
        <v/>
      </c>
      <c r="AD465" s="73" t="str">
        <f t="array" ref="AD465">INDIRECT("Update"&amp;Projections!$AH$17&amp;"!R"&amp;ROW(B446))</f>
        <v/>
      </c>
      <c r="AE465" s="73">
        <f t="shared" si="16"/>
        <v>-3.155358621</v>
      </c>
      <c r="AF465" s="73">
        <f t="shared" si="17"/>
        <v>-1.740686581</v>
      </c>
      <c r="AG465" s="73">
        <f t="shared" si="18"/>
        <v>-2.380599106</v>
      </c>
      <c r="AH465" s="73">
        <f t="shared" si="19"/>
        <v>-1.79320266</v>
      </c>
      <c r="AI465" s="73">
        <f t="shared" si="20"/>
        <v>-3.240190514</v>
      </c>
      <c r="AJ465" s="73">
        <f t="shared" si="21"/>
        <v>-1.329092151</v>
      </c>
      <c r="AK465" s="73">
        <f t="shared" si="22"/>
        <v>0</v>
      </c>
      <c r="AL465" s="73">
        <f t="shared" si="23"/>
        <v>0</v>
      </c>
      <c r="AM465" s="73">
        <f t="shared" si="24"/>
        <v>0.433638093</v>
      </c>
      <c r="AN465" s="120">
        <f t="shared" si="25"/>
        <v>-3.240190514</v>
      </c>
      <c r="AO465" s="120">
        <f t="shared" si="26"/>
        <v>-6.395549135</v>
      </c>
      <c r="AP465" s="120" t="str">
        <f t="array" ref="AP465">INDIRECT("Update"&amp;Projections!$AH$17&amp;"!S"&amp;ROW(B446))</f>
        <v/>
      </c>
      <c r="AQ465" s="120" t="str">
        <f t="array" ref="AQ465">INDIRECT("Update"&amp;Projections!$AH$17&amp;"!T"&amp;ROW(B446))</f>
        <v/>
      </c>
      <c r="AR465" s="100">
        <f t="shared" si="27"/>
        <v>-9.965301026</v>
      </c>
    </row>
    <row r="466">
      <c r="A466" t="str">
        <f t="shared" si="3"/>
        <v/>
      </c>
      <c r="B466" s="42">
        <f t="shared" si="4"/>
        <v>-3.155358621</v>
      </c>
      <c r="C466" s="43">
        <f t="shared" si="5"/>
        <v>-1.740686581</v>
      </c>
      <c r="D466" s="42">
        <f t="shared" si="6"/>
        <v>-2.380599106</v>
      </c>
      <c r="E466" s="42">
        <f t="shared" si="7"/>
        <v>-1.79320266</v>
      </c>
      <c r="F466" s="42">
        <f t="shared" si="8"/>
        <v>-3.240190514</v>
      </c>
      <c r="G466" s="42">
        <f t="shared" si="9"/>
        <v>-1.329092151</v>
      </c>
      <c r="H466" s="42">
        <f t="shared" si="10"/>
        <v>0</v>
      </c>
      <c r="I466" s="42" t="str">
        <f>UpdateHashtag!S464</f>
        <v/>
      </c>
      <c r="J466" s="47">
        <f t="shared" si="11"/>
        <v>0</v>
      </c>
      <c r="K466" s="48" t="str">
        <f>UpdateHashtag!T464</f>
        <v/>
      </c>
      <c r="L466" s="42">
        <f t="shared" si="12"/>
        <v>-1.734552372</v>
      </c>
      <c r="N466" s="100">
        <f t="shared" si="13"/>
        <v>401</v>
      </c>
      <c r="O466" s="94" t="str">
        <f t="array" ref="O466">INDIRECT("Update"&amp;Projections!$AH$17&amp;"!B"&amp;ROW(B447))</f>
        <v/>
      </c>
      <c r="P466" s="414" t="str">
        <f t="array" ref="P466">INDIRECT("Update"&amp;Projections!$AH$17&amp;"!C"&amp;ROW(B447))</f>
        <v/>
      </c>
      <c r="Q466" s="94" t="str">
        <f>UpdateHashtag!F496</f>
        <v/>
      </c>
      <c r="R466" s="105" t="str">
        <f t="array" ref="R466">INDIRECT("Update"&amp;Projections!$AH$17&amp;"!D"&amp;ROW(B447))</f>
        <v/>
      </c>
      <c r="S466" s="73">
        <f t="shared" si="14"/>
        <v>-9.965301026</v>
      </c>
      <c r="T466" s="73">
        <f>SUM(AE466:AM466)-IFERROR(IFS(Projections!$I$17,AN466,Projections!$J$17,AO466),"")</f>
        <v>-9.965301026</v>
      </c>
      <c r="U466" s="73">
        <f t="shared" si="15"/>
        <v>0</v>
      </c>
      <c r="V466" s="73" t="str">
        <f t="array" ref="V466">INDIRECT("Update"&amp;Projections!$AH$17&amp;"!M"&amp;ROW(B447))</f>
        <v/>
      </c>
      <c r="W466" s="73" t="str">
        <f t="array" ref="W466">INDIRECT("Update"&amp;Projections!$AH$17&amp;"!L"&amp;ROW(B447))</f>
        <v/>
      </c>
      <c r="X466" s="73" t="str">
        <f t="array" ref="X466">INDIRECT("Update"&amp;Projections!$AH$17&amp;"!N"&amp;ROW(B447))</f>
        <v/>
      </c>
      <c r="Y466" s="73" t="str">
        <f t="array" ref="Y466">INDIRECT("Update"&amp;Projections!$AH$17&amp;"!O"&amp;ROW(B447))</f>
        <v/>
      </c>
      <c r="Z466" s="73" t="str">
        <f t="array" ref="Z466">INDIRECT("Update"&amp;Projections!$AH$17&amp;"!P"&amp;ROW(B447))</f>
        <v/>
      </c>
      <c r="AA466" s="73" t="str">
        <f t="array" ref="AA466">INDIRECT("Update"&amp;Projections!$AH$17&amp;"!Q"&amp;ROW(B447))</f>
        <v/>
      </c>
      <c r="AB466" s="107" t="str">
        <f t="array" ref="AB466">INDIRECT("Update"&amp;Projections!$AH$17&amp;"!I"&amp;ROW(B447))</f>
        <v/>
      </c>
      <c r="AC466" s="107" t="str">
        <f t="array" ref="AC466">INDIRECT("Update"&amp;Projections!$AH$17&amp;"!K"&amp;ROW(B447))</f>
        <v/>
      </c>
      <c r="AD466" s="73" t="str">
        <f t="array" ref="AD466">INDIRECT("Update"&amp;Projections!$AH$17&amp;"!R"&amp;ROW(B447))</f>
        <v/>
      </c>
      <c r="AE466" s="73">
        <f t="shared" si="16"/>
        <v>-3.155358621</v>
      </c>
      <c r="AF466" s="73">
        <f t="shared" si="17"/>
        <v>-1.740686581</v>
      </c>
      <c r="AG466" s="73">
        <f t="shared" si="18"/>
        <v>-2.380599106</v>
      </c>
      <c r="AH466" s="73">
        <f t="shared" si="19"/>
        <v>-1.79320266</v>
      </c>
      <c r="AI466" s="73">
        <f t="shared" si="20"/>
        <v>-3.240190514</v>
      </c>
      <c r="AJ466" s="73">
        <f t="shared" si="21"/>
        <v>-1.329092151</v>
      </c>
      <c r="AK466" s="73">
        <f t="shared" si="22"/>
        <v>0</v>
      </c>
      <c r="AL466" s="73">
        <f t="shared" si="23"/>
        <v>0</v>
      </c>
      <c r="AM466" s="73">
        <f t="shared" si="24"/>
        <v>0.433638093</v>
      </c>
      <c r="AN466" s="120">
        <f t="shared" si="25"/>
        <v>-3.240190514</v>
      </c>
      <c r="AO466" s="120">
        <f t="shared" si="26"/>
        <v>-6.395549135</v>
      </c>
      <c r="AP466" s="120" t="str">
        <f t="array" ref="AP466">INDIRECT("Update"&amp;Projections!$AH$17&amp;"!S"&amp;ROW(B447))</f>
        <v/>
      </c>
      <c r="AQ466" s="120" t="str">
        <f t="array" ref="AQ466">INDIRECT("Update"&amp;Projections!$AH$17&amp;"!T"&amp;ROW(B447))</f>
        <v/>
      </c>
      <c r="AR466" s="100">
        <f t="shared" si="27"/>
        <v>-9.965301026</v>
      </c>
    </row>
    <row r="467">
      <c r="A467" t="str">
        <f t="shared" si="3"/>
        <v/>
      </c>
      <c r="B467" s="42">
        <f t="shared" si="4"/>
        <v>-3.155358621</v>
      </c>
      <c r="C467" s="43">
        <f t="shared" si="5"/>
        <v>-1.740686581</v>
      </c>
      <c r="D467" s="42">
        <f t="shared" si="6"/>
        <v>-2.380599106</v>
      </c>
      <c r="E467" s="42">
        <f t="shared" si="7"/>
        <v>-1.79320266</v>
      </c>
      <c r="F467" s="42">
        <f t="shared" si="8"/>
        <v>-3.240190514</v>
      </c>
      <c r="G467" s="42">
        <f t="shared" si="9"/>
        <v>-1.329092151</v>
      </c>
      <c r="H467" s="42">
        <f t="shared" si="10"/>
        <v>0</v>
      </c>
      <c r="I467" s="42" t="str">
        <f>UpdateHashtag!S465</f>
        <v/>
      </c>
      <c r="J467" s="47">
        <f t="shared" si="11"/>
        <v>0</v>
      </c>
      <c r="K467" s="48" t="str">
        <f>UpdateHashtag!T465</f>
        <v/>
      </c>
      <c r="L467" s="42">
        <f t="shared" si="12"/>
        <v>-1.734552372</v>
      </c>
      <c r="N467" s="100">
        <f t="shared" si="13"/>
        <v>401</v>
      </c>
      <c r="O467" s="94" t="str">
        <f t="array" ref="O467">INDIRECT("Update"&amp;Projections!$AH$17&amp;"!B"&amp;ROW(B448))</f>
        <v/>
      </c>
      <c r="P467" s="414" t="str">
        <f t="array" ref="P467">INDIRECT("Update"&amp;Projections!$AH$17&amp;"!C"&amp;ROW(B448))</f>
        <v/>
      </c>
      <c r="Q467" s="94" t="str">
        <f>UpdateHashtag!F497</f>
        <v/>
      </c>
      <c r="R467" s="105" t="str">
        <f t="array" ref="R467">INDIRECT("Update"&amp;Projections!$AH$17&amp;"!D"&amp;ROW(B448))</f>
        <v/>
      </c>
      <c r="S467" s="73">
        <f t="shared" si="14"/>
        <v>-9.965301026</v>
      </c>
      <c r="T467" s="73">
        <f>SUM(AE467:AM467)-IFERROR(IFS(Projections!$I$17,AN467,Projections!$J$17,AO467),"")</f>
        <v>-9.965301026</v>
      </c>
      <c r="U467" s="73">
        <f t="shared" si="15"/>
        <v>0</v>
      </c>
      <c r="V467" s="73" t="str">
        <f t="array" ref="V467">INDIRECT("Update"&amp;Projections!$AH$17&amp;"!M"&amp;ROW(B448))</f>
        <v/>
      </c>
      <c r="W467" s="73" t="str">
        <f t="array" ref="W467">INDIRECT("Update"&amp;Projections!$AH$17&amp;"!L"&amp;ROW(B448))</f>
        <v/>
      </c>
      <c r="X467" s="73" t="str">
        <f t="array" ref="X467">INDIRECT("Update"&amp;Projections!$AH$17&amp;"!N"&amp;ROW(B448))</f>
        <v/>
      </c>
      <c r="Y467" s="73" t="str">
        <f t="array" ref="Y467">INDIRECT("Update"&amp;Projections!$AH$17&amp;"!O"&amp;ROW(B448))</f>
        <v/>
      </c>
      <c r="Z467" s="73" t="str">
        <f t="array" ref="Z467">INDIRECT("Update"&amp;Projections!$AH$17&amp;"!P"&amp;ROW(B448))</f>
        <v/>
      </c>
      <c r="AA467" s="73" t="str">
        <f t="array" ref="AA467">INDIRECT("Update"&amp;Projections!$AH$17&amp;"!Q"&amp;ROW(B448))</f>
        <v/>
      </c>
      <c r="AB467" s="107" t="str">
        <f t="array" ref="AB467">INDIRECT("Update"&amp;Projections!$AH$17&amp;"!I"&amp;ROW(B448))</f>
        <v/>
      </c>
      <c r="AC467" s="107" t="str">
        <f t="array" ref="AC467">INDIRECT("Update"&amp;Projections!$AH$17&amp;"!K"&amp;ROW(B448))</f>
        <v/>
      </c>
      <c r="AD467" s="73" t="str">
        <f t="array" ref="AD467">INDIRECT("Update"&amp;Projections!$AH$17&amp;"!R"&amp;ROW(B448))</f>
        <v/>
      </c>
      <c r="AE467" s="73">
        <f t="shared" si="16"/>
        <v>-3.155358621</v>
      </c>
      <c r="AF467" s="73">
        <f t="shared" si="17"/>
        <v>-1.740686581</v>
      </c>
      <c r="AG467" s="73">
        <f t="shared" si="18"/>
        <v>-2.380599106</v>
      </c>
      <c r="AH467" s="73">
        <f t="shared" si="19"/>
        <v>-1.79320266</v>
      </c>
      <c r="AI467" s="73">
        <f t="shared" si="20"/>
        <v>-3.240190514</v>
      </c>
      <c r="AJ467" s="73">
        <f t="shared" si="21"/>
        <v>-1.329092151</v>
      </c>
      <c r="AK467" s="73">
        <f t="shared" si="22"/>
        <v>0</v>
      </c>
      <c r="AL467" s="73">
        <f t="shared" si="23"/>
        <v>0</v>
      </c>
      <c r="AM467" s="73">
        <f t="shared" si="24"/>
        <v>0.433638093</v>
      </c>
      <c r="AN467" s="120">
        <f t="shared" si="25"/>
        <v>-3.240190514</v>
      </c>
      <c r="AO467" s="120">
        <f t="shared" si="26"/>
        <v>-6.395549135</v>
      </c>
      <c r="AP467" s="120" t="str">
        <f t="array" ref="AP467">INDIRECT("Update"&amp;Projections!$AH$17&amp;"!S"&amp;ROW(B448))</f>
        <v/>
      </c>
      <c r="AQ467" s="120" t="str">
        <f t="array" ref="AQ467">INDIRECT("Update"&amp;Projections!$AH$17&amp;"!T"&amp;ROW(B448))</f>
        <v/>
      </c>
      <c r="AR467" s="100">
        <f t="shared" si="27"/>
        <v>-9.965301026</v>
      </c>
    </row>
    <row r="468">
      <c r="A468" t="str">
        <f t="shared" si="3"/>
        <v/>
      </c>
      <c r="B468" s="42">
        <f t="shared" si="4"/>
        <v>-3.155358621</v>
      </c>
      <c r="C468" s="43">
        <f t="shared" si="5"/>
        <v>-1.740686581</v>
      </c>
      <c r="D468" s="42">
        <f t="shared" si="6"/>
        <v>-2.380599106</v>
      </c>
      <c r="E468" s="42">
        <f t="shared" si="7"/>
        <v>-1.79320266</v>
      </c>
      <c r="F468" s="42">
        <f t="shared" si="8"/>
        <v>-3.240190514</v>
      </c>
      <c r="G468" s="42">
        <f t="shared" si="9"/>
        <v>-1.329092151</v>
      </c>
      <c r="H468" s="42">
        <f t="shared" si="10"/>
        <v>0</v>
      </c>
      <c r="I468" s="42" t="str">
        <f>UpdateHashtag!S466</f>
        <v/>
      </c>
      <c r="J468" s="47">
        <f t="shared" si="11"/>
        <v>0</v>
      </c>
      <c r="K468" s="48" t="str">
        <f>UpdateHashtag!T466</f>
        <v/>
      </c>
      <c r="L468" s="42">
        <f t="shared" si="12"/>
        <v>-1.734552372</v>
      </c>
      <c r="N468" s="100">
        <f t="shared" si="13"/>
        <v>401</v>
      </c>
      <c r="O468" s="94" t="str">
        <f t="array" ref="O468">INDIRECT("Update"&amp;Projections!$AH$17&amp;"!B"&amp;ROW(B449))</f>
        <v/>
      </c>
      <c r="P468" s="414" t="str">
        <f t="array" ref="P468">INDIRECT("Update"&amp;Projections!$AH$17&amp;"!C"&amp;ROW(B449))</f>
        <v/>
      </c>
      <c r="Q468" s="94" t="str">
        <f>UpdateHashtag!F498</f>
        <v/>
      </c>
      <c r="R468" s="105" t="str">
        <f t="array" ref="R468">INDIRECT("Update"&amp;Projections!$AH$17&amp;"!D"&amp;ROW(B449))</f>
        <v/>
      </c>
      <c r="S468" s="73">
        <f t="shared" si="14"/>
        <v>-9.965301026</v>
      </c>
      <c r="T468" s="73">
        <f>SUM(AE468:AM468)-IFERROR(IFS(Projections!$I$17,AN468,Projections!$J$17,AO468),"")</f>
        <v>-9.965301026</v>
      </c>
      <c r="U468" s="73">
        <f t="shared" si="15"/>
        <v>0</v>
      </c>
      <c r="V468" s="73" t="str">
        <f t="array" ref="V468">INDIRECT("Update"&amp;Projections!$AH$17&amp;"!M"&amp;ROW(B449))</f>
        <v/>
      </c>
      <c r="W468" s="73" t="str">
        <f t="array" ref="W468">INDIRECT("Update"&amp;Projections!$AH$17&amp;"!L"&amp;ROW(B449))</f>
        <v/>
      </c>
      <c r="X468" s="73" t="str">
        <f t="array" ref="X468">INDIRECT("Update"&amp;Projections!$AH$17&amp;"!N"&amp;ROW(B449))</f>
        <v/>
      </c>
      <c r="Y468" s="73" t="str">
        <f t="array" ref="Y468">INDIRECT("Update"&amp;Projections!$AH$17&amp;"!O"&amp;ROW(B449))</f>
        <v/>
      </c>
      <c r="Z468" s="73" t="str">
        <f t="array" ref="Z468">INDIRECT("Update"&amp;Projections!$AH$17&amp;"!P"&amp;ROW(B449))</f>
        <v/>
      </c>
      <c r="AA468" s="73" t="str">
        <f t="array" ref="AA468">INDIRECT("Update"&amp;Projections!$AH$17&amp;"!Q"&amp;ROW(B449))</f>
        <v/>
      </c>
      <c r="AB468" s="107" t="str">
        <f t="array" ref="AB468">INDIRECT("Update"&amp;Projections!$AH$17&amp;"!I"&amp;ROW(B449))</f>
        <v/>
      </c>
      <c r="AC468" s="107" t="str">
        <f t="array" ref="AC468">INDIRECT("Update"&amp;Projections!$AH$17&amp;"!K"&amp;ROW(B449))</f>
        <v/>
      </c>
      <c r="AD468" s="73" t="str">
        <f t="array" ref="AD468">INDIRECT("Update"&amp;Projections!$AH$17&amp;"!R"&amp;ROW(B449))</f>
        <v/>
      </c>
      <c r="AE468" s="73">
        <f t="shared" si="16"/>
        <v>-3.155358621</v>
      </c>
      <c r="AF468" s="73">
        <f t="shared" si="17"/>
        <v>-1.740686581</v>
      </c>
      <c r="AG468" s="73">
        <f t="shared" si="18"/>
        <v>-2.380599106</v>
      </c>
      <c r="AH468" s="73">
        <f t="shared" si="19"/>
        <v>-1.79320266</v>
      </c>
      <c r="AI468" s="73">
        <f t="shared" si="20"/>
        <v>-3.240190514</v>
      </c>
      <c r="AJ468" s="73">
        <f t="shared" si="21"/>
        <v>-1.329092151</v>
      </c>
      <c r="AK468" s="73">
        <f t="shared" si="22"/>
        <v>0</v>
      </c>
      <c r="AL468" s="73">
        <f t="shared" si="23"/>
        <v>0</v>
      </c>
      <c r="AM468" s="73">
        <f t="shared" si="24"/>
        <v>0.433638093</v>
      </c>
      <c r="AN468" s="120">
        <f t="shared" si="25"/>
        <v>-3.240190514</v>
      </c>
      <c r="AO468" s="120">
        <f t="shared" si="26"/>
        <v>-6.395549135</v>
      </c>
      <c r="AP468" s="120" t="str">
        <f t="array" ref="AP468">INDIRECT("Update"&amp;Projections!$AH$17&amp;"!S"&amp;ROW(B449))</f>
        <v/>
      </c>
      <c r="AQ468" s="120" t="str">
        <f t="array" ref="AQ468">INDIRECT("Update"&amp;Projections!$AH$17&amp;"!T"&amp;ROW(B449))</f>
        <v/>
      </c>
      <c r="AR468" s="100">
        <f t="shared" si="27"/>
        <v>-9.965301026</v>
      </c>
    </row>
    <row r="469">
      <c r="A469" t="str">
        <f t="shared" si="3"/>
        <v/>
      </c>
      <c r="B469" s="42">
        <f t="shared" si="4"/>
        <v>-3.155358621</v>
      </c>
      <c r="C469" s="43">
        <f t="shared" si="5"/>
        <v>-1.740686581</v>
      </c>
      <c r="D469" s="42">
        <f t="shared" si="6"/>
        <v>-2.380599106</v>
      </c>
      <c r="E469" s="42">
        <f t="shared" si="7"/>
        <v>-1.79320266</v>
      </c>
      <c r="F469" s="42">
        <f t="shared" si="8"/>
        <v>-3.240190514</v>
      </c>
      <c r="G469" s="42">
        <f t="shared" si="9"/>
        <v>-1.329092151</v>
      </c>
      <c r="H469" s="42">
        <f t="shared" si="10"/>
        <v>0</v>
      </c>
      <c r="I469" s="42" t="str">
        <f>UpdateHashtag!S467</f>
        <v/>
      </c>
      <c r="J469" s="47">
        <f t="shared" si="11"/>
        <v>0</v>
      </c>
      <c r="K469" s="48" t="str">
        <f>UpdateHashtag!T467</f>
        <v/>
      </c>
      <c r="L469" s="42">
        <f t="shared" si="12"/>
        <v>-1.734552372</v>
      </c>
      <c r="N469" s="100">
        <f t="shared" si="13"/>
        <v>401</v>
      </c>
      <c r="O469" s="94" t="str">
        <f t="array" ref="O469">INDIRECT("Update"&amp;Projections!$AH$17&amp;"!B"&amp;ROW(B450))</f>
        <v/>
      </c>
      <c r="P469" s="414" t="str">
        <f t="array" ref="P469">INDIRECT("Update"&amp;Projections!$AH$17&amp;"!C"&amp;ROW(B450))</f>
        <v/>
      </c>
      <c r="Q469" s="94" t="str">
        <f>UpdateHashtag!F499</f>
        <v/>
      </c>
      <c r="R469" s="105" t="str">
        <f t="array" ref="R469">INDIRECT("Update"&amp;Projections!$AH$17&amp;"!D"&amp;ROW(B450))</f>
        <v/>
      </c>
      <c r="S469" s="73">
        <f t="shared" si="14"/>
        <v>-9.965301026</v>
      </c>
      <c r="T469" s="73">
        <f>SUM(AE469:AM469)-IFERROR(IFS(Projections!$I$17,AN469,Projections!$J$17,AO469),"")</f>
        <v>-9.965301026</v>
      </c>
      <c r="U469" s="73">
        <f t="shared" si="15"/>
        <v>0</v>
      </c>
      <c r="V469" s="73" t="str">
        <f t="array" ref="V469">INDIRECT("Update"&amp;Projections!$AH$17&amp;"!M"&amp;ROW(B450))</f>
        <v/>
      </c>
      <c r="W469" s="73" t="str">
        <f t="array" ref="W469">INDIRECT("Update"&amp;Projections!$AH$17&amp;"!L"&amp;ROW(B450))</f>
        <v/>
      </c>
      <c r="X469" s="73" t="str">
        <f t="array" ref="X469">INDIRECT("Update"&amp;Projections!$AH$17&amp;"!N"&amp;ROW(B450))</f>
        <v/>
      </c>
      <c r="Y469" s="73" t="str">
        <f t="array" ref="Y469">INDIRECT("Update"&amp;Projections!$AH$17&amp;"!O"&amp;ROW(B450))</f>
        <v/>
      </c>
      <c r="Z469" s="73" t="str">
        <f t="array" ref="Z469">INDIRECT("Update"&amp;Projections!$AH$17&amp;"!P"&amp;ROW(B450))</f>
        <v/>
      </c>
      <c r="AA469" s="73" t="str">
        <f t="array" ref="AA469">INDIRECT("Update"&amp;Projections!$AH$17&amp;"!Q"&amp;ROW(B450))</f>
        <v/>
      </c>
      <c r="AB469" s="107" t="str">
        <f t="array" ref="AB469">INDIRECT("Update"&amp;Projections!$AH$17&amp;"!I"&amp;ROW(B450))</f>
        <v/>
      </c>
      <c r="AC469" s="107" t="str">
        <f t="array" ref="AC469">INDIRECT("Update"&amp;Projections!$AH$17&amp;"!K"&amp;ROW(B450))</f>
        <v/>
      </c>
      <c r="AD469" s="73" t="str">
        <f t="array" ref="AD469">INDIRECT("Update"&amp;Projections!$AH$17&amp;"!R"&amp;ROW(B450))</f>
        <v/>
      </c>
      <c r="AE469" s="73">
        <f t="shared" si="16"/>
        <v>-3.155358621</v>
      </c>
      <c r="AF469" s="73">
        <f t="shared" si="17"/>
        <v>-1.740686581</v>
      </c>
      <c r="AG469" s="73">
        <f t="shared" si="18"/>
        <v>-2.380599106</v>
      </c>
      <c r="AH469" s="73">
        <f t="shared" si="19"/>
        <v>-1.79320266</v>
      </c>
      <c r="AI469" s="73">
        <f t="shared" si="20"/>
        <v>-3.240190514</v>
      </c>
      <c r="AJ469" s="73">
        <f t="shared" si="21"/>
        <v>-1.329092151</v>
      </c>
      <c r="AK469" s="73">
        <f t="shared" si="22"/>
        <v>0</v>
      </c>
      <c r="AL469" s="73">
        <f t="shared" si="23"/>
        <v>0</v>
      </c>
      <c r="AM469" s="73">
        <f t="shared" si="24"/>
        <v>0.433638093</v>
      </c>
      <c r="AN469" s="120">
        <f t="shared" si="25"/>
        <v>-3.240190514</v>
      </c>
      <c r="AO469" s="120">
        <f t="shared" si="26"/>
        <v>-6.395549135</v>
      </c>
      <c r="AP469" s="120" t="str">
        <f t="array" ref="AP469">INDIRECT("Update"&amp;Projections!$AH$17&amp;"!S"&amp;ROW(B450))</f>
        <v/>
      </c>
      <c r="AQ469" s="120" t="str">
        <f t="array" ref="AQ469">INDIRECT("Update"&amp;Projections!$AH$17&amp;"!T"&amp;ROW(B450))</f>
        <v/>
      </c>
      <c r="AR469" s="100">
        <f t="shared" si="27"/>
        <v>-9.965301026</v>
      </c>
    </row>
    <row r="470">
      <c r="A470" t="str">
        <f t="shared" si="3"/>
        <v/>
      </c>
      <c r="B470" s="42">
        <f t="shared" si="4"/>
        <v>-3.155358621</v>
      </c>
      <c r="C470" s="43">
        <f t="shared" si="5"/>
        <v>-1.740686581</v>
      </c>
      <c r="D470" s="42">
        <f t="shared" si="6"/>
        <v>-2.380599106</v>
      </c>
      <c r="E470" s="42">
        <f t="shared" si="7"/>
        <v>-1.79320266</v>
      </c>
      <c r="F470" s="42">
        <f t="shared" si="8"/>
        <v>-3.240190514</v>
      </c>
      <c r="G470" s="42">
        <f t="shared" si="9"/>
        <v>-1.329092151</v>
      </c>
      <c r="H470" s="42">
        <f t="shared" si="10"/>
        <v>0</v>
      </c>
      <c r="I470" s="42" t="str">
        <f>UpdateHashtag!S468</f>
        <v/>
      </c>
      <c r="J470" s="47">
        <f t="shared" si="11"/>
        <v>0</v>
      </c>
      <c r="K470" s="48" t="str">
        <f>UpdateHashtag!T468</f>
        <v/>
      </c>
      <c r="L470" s="42">
        <f t="shared" si="12"/>
        <v>-1.734552372</v>
      </c>
      <c r="N470" s="100">
        <f t="shared" si="13"/>
        <v>401</v>
      </c>
      <c r="O470" s="94" t="str">
        <f t="array" ref="O470">INDIRECT("Update"&amp;Projections!$AH$17&amp;"!B"&amp;ROW(B451))</f>
        <v/>
      </c>
      <c r="P470" s="414" t="str">
        <f t="array" ref="P470">INDIRECT("Update"&amp;Projections!$AH$17&amp;"!C"&amp;ROW(B451))</f>
        <v/>
      </c>
      <c r="Q470" s="94" t="str">
        <f>UpdateHashtag!F500</f>
        <v/>
      </c>
      <c r="R470" s="105" t="str">
        <f t="array" ref="R470">INDIRECT("Update"&amp;Projections!$AH$17&amp;"!D"&amp;ROW(B451))</f>
        <v/>
      </c>
      <c r="S470" s="73">
        <f t="shared" si="14"/>
        <v>-9.965301026</v>
      </c>
      <c r="T470" s="73">
        <f>SUM(AE470:AM470)-IFERROR(IFS(Projections!$I$17,AN470,Projections!$J$17,AO470),"")</f>
        <v>-9.965301026</v>
      </c>
      <c r="U470" s="73">
        <f t="shared" si="15"/>
        <v>0</v>
      </c>
      <c r="V470" s="73" t="str">
        <f t="array" ref="V470">INDIRECT("Update"&amp;Projections!$AH$17&amp;"!M"&amp;ROW(B451))</f>
        <v/>
      </c>
      <c r="W470" s="73" t="str">
        <f t="array" ref="W470">INDIRECT("Update"&amp;Projections!$AH$17&amp;"!L"&amp;ROW(B451))</f>
        <v/>
      </c>
      <c r="X470" s="73" t="str">
        <f t="array" ref="X470">INDIRECT("Update"&amp;Projections!$AH$17&amp;"!N"&amp;ROW(B451))</f>
        <v/>
      </c>
      <c r="Y470" s="73" t="str">
        <f t="array" ref="Y470">INDIRECT("Update"&amp;Projections!$AH$17&amp;"!O"&amp;ROW(B451))</f>
        <v/>
      </c>
      <c r="Z470" s="73" t="str">
        <f t="array" ref="Z470">INDIRECT("Update"&amp;Projections!$AH$17&amp;"!P"&amp;ROW(B451))</f>
        <v/>
      </c>
      <c r="AA470" s="73" t="str">
        <f t="array" ref="AA470">INDIRECT("Update"&amp;Projections!$AH$17&amp;"!Q"&amp;ROW(B451))</f>
        <v/>
      </c>
      <c r="AB470" s="107" t="str">
        <f t="array" ref="AB470">INDIRECT("Update"&amp;Projections!$AH$17&amp;"!I"&amp;ROW(B451))</f>
        <v/>
      </c>
      <c r="AC470" s="107" t="str">
        <f t="array" ref="AC470">INDIRECT("Update"&amp;Projections!$AH$17&amp;"!K"&amp;ROW(B451))</f>
        <v/>
      </c>
      <c r="AD470" s="73" t="str">
        <f t="array" ref="AD470">INDIRECT("Update"&amp;Projections!$AH$17&amp;"!R"&amp;ROW(B451))</f>
        <v/>
      </c>
      <c r="AE470" s="73">
        <f t="shared" si="16"/>
        <v>-3.155358621</v>
      </c>
      <c r="AF470" s="73">
        <f t="shared" si="17"/>
        <v>-1.740686581</v>
      </c>
      <c r="AG470" s="73">
        <f t="shared" si="18"/>
        <v>-2.380599106</v>
      </c>
      <c r="AH470" s="73">
        <f t="shared" si="19"/>
        <v>-1.79320266</v>
      </c>
      <c r="AI470" s="73">
        <f t="shared" si="20"/>
        <v>-3.240190514</v>
      </c>
      <c r="AJ470" s="73">
        <f t="shared" si="21"/>
        <v>-1.329092151</v>
      </c>
      <c r="AK470" s="73">
        <f t="shared" si="22"/>
        <v>0</v>
      </c>
      <c r="AL470" s="73">
        <f t="shared" si="23"/>
        <v>0</v>
      </c>
      <c r="AM470" s="73">
        <f t="shared" si="24"/>
        <v>0.433638093</v>
      </c>
      <c r="AN470" s="120">
        <f t="shared" si="25"/>
        <v>-3.240190514</v>
      </c>
      <c r="AO470" s="120">
        <f t="shared" si="26"/>
        <v>-6.395549135</v>
      </c>
      <c r="AP470" s="120" t="str">
        <f t="array" ref="AP470">INDIRECT("Update"&amp;Projections!$AH$17&amp;"!S"&amp;ROW(B451))</f>
        <v/>
      </c>
      <c r="AQ470" s="120" t="str">
        <f t="array" ref="AQ470">INDIRECT("Update"&amp;Projections!$AH$17&amp;"!T"&amp;ROW(B451))</f>
        <v/>
      </c>
      <c r="AR470" s="100">
        <f t="shared" si="27"/>
        <v>-9.965301026</v>
      </c>
    </row>
    <row r="471">
      <c r="A471" t="str">
        <f t="shared" si="3"/>
        <v/>
      </c>
      <c r="B471" s="42">
        <f t="shared" si="4"/>
        <v>-3.155358621</v>
      </c>
      <c r="C471" s="43">
        <f t="shared" si="5"/>
        <v>-1.740686581</v>
      </c>
      <c r="D471" s="42">
        <f t="shared" si="6"/>
        <v>-2.380599106</v>
      </c>
      <c r="E471" s="42">
        <f t="shared" si="7"/>
        <v>-1.79320266</v>
      </c>
      <c r="F471" s="42">
        <f t="shared" si="8"/>
        <v>-3.240190514</v>
      </c>
      <c r="G471" s="42">
        <f t="shared" si="9"/>
        <v>-1.329092151</v>
      </c>
      <c r="H471" s="42">
        <f t="shared" si="10"/>
        <v>0</v>
      </c>
      <c r="I471" s="42" t="str">
        <f>UpdateHashtag!S469</f>
        <v/>
      </c>
      <c r="J471" s="47">
        <f t="shared" si="11"/>
        <v>0</v>
      </c>
      <c r="K471" s="48" t="str">
        <f>UpdateHashtag!T469</f>
        <v/>
      </c>
      <c r="L471" s="42">
        <f t="shared" si="12"/>
        <v>-1.734552372</v>
      </c>
      <c r="N471" s="100">
        <f t="shared" si="13"/>
        <v>401</v>
      </c>
      <c r="O471" s="94" t="str">
        <f t="array" ref="O471">INDIRECT("Update"&amp;Projections!$AH$17&amp;"!B"&amp;ROW(B452))</f>
        <v/>
      </c>
      <c r="P471" s="414" t="str">
        <f t="array" ref="P471">INDIRECT("Update"&amp;Projections!$AH$17&amp;"!C"&amp;ROW(B452))</f>
        <v/>
      </c>
      <c r="Q471" s="94" t="str">
        <f>UpdateHashtag!F501</f>
        <v/>
      </c>
      <c r="R471" s="105" t="str">
        <f t="array" ref="R471">INDIRECT("Update"&amp;Projections!$AH$17&amp;"!D"&amp;ROW(B452))</f>
        <v/>
      </c>
      <c r="S471" s="73">
        <f t="shared" si="14"/>
        <v>-9.965301026</v>
      </c>
      <c r="T471" s="73">
        <f>SUM(AE471:AM471)-IFERROR(IFS(Projections!$I$17,AN471,Projections!$J$17,AO471),"")</f>
        <v>-9.965301026</v>
      </c>
      <c r="U471" s="73">
        <f t="shared" si="15"/>
        <v>0</v>
      </c>
      <c r="V471" s="73" t="str">
        <f t="array" ref="V471">INDIRECT("Update"&amp;Projections!$AH$17&amp;"!M"&amp;ROW(B452))</f>
        <v/>
      </c>
      <c r="W471" s="73" t="str">
        <f t="array" ref="W471">INDIRECT("Update"&amp;Projections!$AH$17&amp;"!L"&amp;ROW(B452))</f>
        <v/>
      </c>
      <c r="X471" s="73" t="str">
        <f t="array" ref="X471">INDIRECT("Update"&amp;Projections!$AH$17&amp;"!N"&amp;ROW(B452))</f>
        <v/>
      </c>
      <c r="Y471" s="73" t="str">
        <f t="array" ref="Y471">INDIRECT("Update"&amp;Projections!$AH$17&amp;"!O"&amp;ROW(B452))</f>
        <v/>
      </c>
      <c r="Z471" s="73" t="str">
        <f t="array" ref="Z471">INDIRECT("Update"&amp;Projections!$AH$17&amp;"!P"&amp;ROW(B452))</f>
        <v/>
      </c>
      <c r="AA471" s="73" t="str">
        <f t="array" ref="AA471">INDIRECT("Update"&amp;Projections!$AH$17&amp;"!Q"&amp;ROW(B452))</f>
        <v/>
      </c>
      <c r="AB471" s="107" t="str">
        <f t="array" ref="AB471">INDIRECT("Update"&amp;Projections!$AH$17&amp;"!I"&amp;ROW(B452))</f>
        <v/>
      </c>
      <c r="AC471" s="107" t="str">
        <f t="array" ref="AC471">INDIRECT("Update"&amp;Projections!$AH$17&amp;"!K"&amp;ROW(B452))</f>
        <v/>
      </c>
      <c r="AD471" s="73" t="str">
        <f t="array" ref="AD471">INDIRECT("Update"&amp;Projections!$AH$17&amp;"!R"&amp;ROW(B452))</f>
        <v/>
      </c>
      <c r="AE471" s="73">
        <f t="shared" si="16"/>
        <v>-3.155358621</v>
      </c>
      <c r="AF471" s="73">
        <f t="shared" si="17"/>
        <v>-1.740686581</v>
      </c>
      <c r="AG471" s="73">
        <f t="shared" si="18"/>
        <v>-2.380599106</v>
      </c>
      <c r="AH471" s="73">
        <f t="shared" si="19"/>
        <v>-1.79320266</v>
      </c>
      <c r="AI471" s="73">
        <f t="shared" si="20"/>
        <v>-3.240190514</v>
      </c>
      <c r="AJ471" s="73">
        <f t="shared" si="21"/>
        <v>-1.329092151</v>
      </c>
      <c r="AK471" s="73">
        <f t="shared" si="22"/>
        <v>0</v>
      </c>
      <c r="AL471" s="73">
        <f t="shared" si="23"/>
        <v>0</v>
      </c>
      <c r="AM471" s="73">
        <f t="shared" si="24"/>
        <v>0.433638093</v>
      </c>
      <c r="AN471" s="120">
        <f t="shared" si="25"/>
        <v>-3.240190514</v>
      </c>
      <c r="AO471" s="120">
        <f t="shared" si="26"/>
        <v>-6.395549135</v>
      </c>
      <c r="AP471" s="120" t="str">
        <f t="array" ref="AP471">INDIRECT("Update"&amp;Projections!$AH$17&amp;"!S"&amp;ROW(B452))</f>
        <v/>
      </c>
      <c r="AQ471" s="120" t="str">
        <f t="array" ref="AQ471">INDIRECT("Update"&amp;Projections!$AH$17&amp;"!T"&amp;ROW(B452))</f>
        <v/>
      </c>
      <c r="AR471" s="100">
        <f t="shared" si="27"/>
        <v>-9.965301026</v>
      </c>
    </row>
    <row r="472">
      <c r="A472" t="str">
        <f t="shared" si="3"/>
        <v/>
      </c>
      <c r="B472" s="42">
        <f t="shared" si="4"/>
        <v>-3.155358621</v>
      </c>
      <c r="C472" s="43">
        <f t="shared" si="5"/>
        <v>-1.740686581</v>
      </c>
      <c r="D472" s="42">
        <f t="shared" si="6"/>
        <v>-2.380599106</v>
      </c>
      <c r="E472" s="42">
        <f t="shared" si="7"/>
        <v>-1.79320266</v>
      </c>
      <c r="F472" s="42">
        <f t="shared" si="8"/>
        <v>-3.240190514</v>
      </c>
      <c r="G472" s="42">
        <f t="shared" si="9"/>
        <v>-1.329092151</v>
      </c>
      <c r="H472" s="42">
        <f t="shared" si="10"/>
        <v>0</v>
      </c>
      <c r="I472" s="42" t="str">
        <f>UpdateHashtag!S470</f>
        <v/>
      </c>
      <c r="J472" s="47">
        <f t="shared" si="11"/>
        <v>0</v>
      </c>
      <c r="K472" s="48" t="str">
        <f>UpdateHashtag!T470</f>
        <v/>
      </c>
      <c r="L472" s="42">
        <f t="shared" si="12"/>
        <v>-1.734552372</v>
      </c>
      <c r="N472" s="100">
        <f t="shared" si="13"/>
        <v>401</v>
      </c>
      <c r="O472" s="94" t="str">
        <f t="array" ref="O472">INDIRECT("Update"&amp;Projections!$AH$17&amp;"!B"&amp;ROW(B453))</f>
        <v/>
      </c>
      <c r="P472" s="414" t="str">
        <f t="array" ref="P472">INDIRECT("Update"&amp;Projections!$AH$17&amp;"!C"&amp;ROW(B453))</f>
        <v/>
      </c>
      <c r="Q472" s="94" t="str">
        <f>UpdateHashtag!F502</f>
        <v/>
      </c>
      <c r="R472" s="105" t="str">
        <f t="array" ref="R472">INDIRECT("Update"&amp;Projections!$AH$17&amp;"!D"&amp;ROW(B453))</f>
        <v/>
      </c>
      <c r="S472" s="73">
        <f t="shared" si="14"/>
        <v>-9.965301026</v>
      </c>
      <c r="T472" s="73">
        <f>SUM(AE472:AM472)-IFERROR(IFS(Projections!$I$17,AN472,Projections!$J$17,AO472),"")</f>
        <v>-9.965301026</v>
      </c>
      <c r="U472" s="73">
        <f t="shared" si="15"/>
        <v>0</v>
      </c>
      <c r="V472" s="73" t="str">
        <f t="array" ref="V472">INDIRECT("Update"&amp;Projections!$AH$17&amp;"!M"&amp;ROW(B453))</f>
        <v/>
      </c>
      <c r="W472" s="73" t="str">
        <f t="array" ref="W472">INDIRECT("Update"&amp;Projections!$AH$17&amp;"!L"&amp;ROW(B453))</f>
        <v/>
      </c>
      <c r="X472" s="73" t="str">
        <f t="array" ref="X472">INDIRECT("Update"&amp;Projections!$AH$17&amp;"!N"&amp;ROW(B453))</f>
        <v/>
      </c>
      <c r="Y472" s="73" t="str">
        <f t="array" ref="Y472">INDIRECT("Update"&amp;Projections!$AH$17&amp;"!O"&amp;ROW(B453))</f>
        <v/>
      </c>
      <c r="Z472" s="73" t="str">
        <f t="array" ref="Z472">INDIRECT("Update"&amp;Projections!$AH$17&amp;"!P"&amp;ROW(B453))</f>
        <v/>
      </c>
      <c r="AA472" s="73" t="str">
        <f t="array" ref="AA472">INDIRECT("Update"&amp;Projections!$AH$17&amp;"!Q"&amp;ROW(B453))</f>
        <v/>
      </c>
      <c r="AB472" s="107" t="str">
        <f t="array" ref="AB472">INDIRECT("Update"&amp;Projections!$AH$17&amp;"!I"&amp;ROW(B453))</f>
        <v/>
      </c>
      <c r="AC472" s="107" t="str">
        <f t="array" ref="AC472">INDIRECT("Update"&amp;Projections!$AH$17&amp;"!K"&amp;ROW(B453))</f>
        <v/>
      </c>
      <c r="AD472" s="73" t="str">
        <f t="array" ref="AD472">INDIRECT("Update"&amp;Projections!$AH$17&amp;"!R"&amp;ROW(B453))</f>
        <v/>
      </c>
      <c r="AE472" s="73">
        <f t="shared" si="16"/>
        <v>-3.155358621</v>
      </c>
      <c r="AF472" s="73">
        <f t="shared" si="17"/>
        <v>-1.740686581</v>
      </c>
      <c r="AG472" s="73">
        <f t="shared" si="18"/>
        <v>-2.380599106</v>
      </c>
      <c r="AH472" s="73">
        <f t="shared" si="19"/>
        <v>-1.79320266</v>
      </c>
      <c r="AI472" s="73">
        <f t="shared" si="20"/>
        <v>-3.240190514</v>
      </c>
      <c r="AJ472" s="73">
        <f t="shared" si="21"/>
        <v>-1.329092151</v>
      </c>
      <c r="AK472" s="73">
        <f t="shared" si="22"/>
        <v>0</v>
      </c>
      <c r="AL472" s="73">
        <f t="shared" si="23"/>
        <v>0</v>
      </c>
      <c r="AM472" s="73">
        <f t="shared" si="24"/>
        <v>0.433638093</v>
      </c>
      <c r="AN472" s="120">
        <f t="shared" si="25"/>
        <v>-3.240190514</v>
      </c>
      <c r="AO472" s="120">
        <f t="shared" si="26"/>
        <v>-6.395549135</v>
      </c>
      <c r="AP472" s="120" t="str">
        <f t="array" ref="AP472">INDIRECT("Update"&amp;Projections!$AH$17&amp;"!S"&amp;ROW(B453))</f>
        <v/>
      </c>
      <c r="AQ472" s="120" t="str">
        <f t="array" ref="AQ472">INDIRECT("Update"&amp;Projections!$AH$17&amp;"!T"&amp;ROW(B453))</f>
        <v/>
      </c>
      <c r="AR472" s="100">
        <f t="shared" si="27"/>
        <v>-9.965301026</v>
      </c>
    </row>
    <row r="473">
      <c r="A473" t="str">
        <f t="shared" si="3"/>
        <v/>
      </c>
      <c r="B473" s="42">
        <f t="shared" si="4"/>
        <v>-3.155358621</v>
      </c>
      <c r="C473" s="43">
        <f t="shared" si="5"/>
        <v>-1.740686581</v>
      </c>
      <c r="D473" s="42">
        <f t="shared" si="6"/>
        <v>-2.380599106</v>
      </c>
      <c r="E473" s="42">
        <f t="shared" si="7"/>
        <v>-1.79320266</v>
      </c>
      <c r="F473" s="42">
        <f t="shared" si="8"/>
        <v>-3.240190514</v>
      </c>
      <c r="G473" s="42">
        <f t="shared" si="9"/>
        <v>-1.329092151</v>
      </c>
      <c r="H473" s="42">
        <f t="shared" si="10"/>
        <v>0</v>
      </c>
      <c r="I473" s="42" t="str">
        <f>UpdateHashtag!S471</f>
        <v/>
      </c>
      <c r="J473" s="47">
        <f t="shared" si="11"/>
        <v>0</v>
      </c>
      <c r="K473" s="48" t="str">
        <f>UpdateHashtag!T471</f>
        <v/>
      </c>
      <c r="L473" s="42">
        <f t="shared" si="12"/>
        <v>-1.734552372</v>
      </c>
      <c r="N473" s="100">
        <f t="shared" si="13"/>
        <v>401</v>
      </c>
      <c r="O473" s="94" t="str">
        <f t="array" ref="O473">INDIRECT("Update"&amp;Projections!$AH$17&amp;"!B"&amp;ROW(B454))</f>
        <v/>
      </c>
      <c r="P473" s="414" t="str">
        <f t="array" ref="P473">INDIRECT("Update"&amp;Projections!$AH$17&amp;"!C"&amp;ROW(B454))</f>
        <v/>
      </c>
      <c r="Q473" s="94" t="str">
        <f>UpdateHashtag!F503</f>
        <v/>
      </c>
      <c r="R473" s="105" t="str">
        <f t="array" ref="R473">INDIRECT("Update"&amp;Projections!$AH$17&amp;"!D"&amp;ROW(B454))</f>
        <v/>
      </c>
      <c r="S473" s="73">
        <f t="shared" si="14"/>
        <v>-9.965301026</v>
      </c>
      <c r="T473" s="73">
        <f>SUM(AE473:AM473)-IFERROR(IFS(Projections!$I$17,AN473,Projections!$J$17,AO473),"")</f>
        <v>-9.965301026</v>
      </c>
      <c r="U473" s="73">
        <f t="shared" si="15"/>
        <v>0</v>
      </c>
      <c r="V473" s="73" t="str">
        <f t="array" ref="V473">INDIRECT("Update"&amp;Projections!$AH$17&amp;"!M"&amp;ROW(B454))</f>
        <v/>
      </c>
      <c r="W473" s="73" t="str">
        <f t="array" ref="W473">INDIRECT("Update"&amp;Projections!$AH$17&amp;"!L"&amp;ROW(B454))</f>
        <v/>
      </c>
      <c r="X473" s="73" t="str">
        <f t="array" ref="X473">INDIRECT("Update"&amp;Projections!$AH$17&amp;"!N"&amp;ROW(B454))</f>
        <v/>
      </c>
      <c r="Y473" s="73" t="str">
        <f t="array" ref="Y473">INDIRECT("Update"&amp;Projections!$AH$17&amp;"!O"&amp;ROW(B454))</f>
        <v/>
      </c>
      <c r="Z473" s="73" t="str">
        <f t="array" ref="Z473">INDIRECT("Update"&amp;Projections!$AH$17&amp;"!P"&amp;ROW(B454))</f>
        <v/>
      </c>
      <c r="AA473" s="73" t="str">
        <f t="array" ref="AA473">INDIRECT("Update"&amp;Projections!$AH$17&amp;"!Q"&amp;ROW(B454))</f>
        <v/>
      </c>
      <c r="AB473" s="107" t="str">
        <f t="array" ref="AB473">INDIRECT("Update"&amp;Projections!$AH$17&amp;"!I"&amp;ROW(B454))</f>
        <v/>
      </c>
      <c r="AC473" s="107" t="str">
        <f t="array" ref="AC473">INDIRECT("Update"&amp;Projections!$AH$17&amp;"!K"&amp;ROW(B454))</f>
        <v/>
      </c>
      <c r="AD473" s="73" t="str">
        <f t="array" ref="AD473">INDIRECT("Update"&amp;Projections!$AH$17&amp;"!R"&amp;ROW(B454))</f>
        <v/>
      </c>
      <c r="AE473" s="73">
        <f t="shared" si="16"/>
        <v>-3.155358621</v>
      </c>
      <c r="AF473" s="73">
        <f t="shared" si="17"/>
        <v>-1.740686581</v>
      </c>
      <c r="AG473" s="73">
        <f t="shared" si="18"/>
        <v>-2.380599106</v>
      </c>
      <c r="AH473" s="73">
        <f t="shared" si="19"/>
        <v>-1.79320266</v>
      </c>
      <c r="AI473" s="73">
        <f t="shared" si="20"/>
        <v>-3.240190514</v>
      </c>
      <c r="AJ473" s="73">
        <f t="shared" si="21"/>
        <v>-1.329092151</v>
      </c>
      <c r="AK473" s="73">
        <f t="shared" si="22"/>
        <v>0</v>
      </c>
      <c r="AL473" s="73">
        <f t="shared" si="23"/>
        <v>0</v>
      </c>
      <c r="AM473" s="73">
        <f t="shared" si="24"/>
        <v>0.433638093</v>
      </c>
      <c r="AN473" s="120">
        <f t="shared" si="25"/>
        <v>-3.240190514</v>
      </c>
      <c r="AO473" s="120">
        <f t="shared" si="26"/>
        <v>-6.395549135</v>
      </c>
      <c r="AP473" s="120" t="str">
        <f t="array" ref="AP473">INDIRECT("Update"&amp;Projections!$AH$17&amp;"!S"&amp;ROW(B454))</f>
        <v/>
      </c>
      <c r="AQ473" s="120" t="str">
        <f t="array" ref="AQ473">INDIRECT("Update"&amp;Projections!$AH$17&amp;"!T"&amp;ROW(B454))</f>
        <v/>
      </c>
      <c r="AR473" s="100">
        <f t="shared" si="27"/>
        <v>-9.965301026</v>
      </c>
    </row>
    <row r="474">
      <c r="A474" t="str">
        <f t="shared" si="3"/>
        <v/>
      </c>
      <c r="B474" s="42">
        <f t="shared" si="4"/>
        <v>-3.155358621</v>
      </c>
      <c r="C474" s="43">
        <f t="shared" si="5"/>
        <v>-1.740686581</v>
      </c>
      <c r="D474" s="42">
        <f t="shared" si="6"/>
        <v>-2.380599106</v>
      </c>
      <c r="E474" s="42">
        <f t="shared" si="7"/>
        <v>-1.79320266</v>
      </c>
      <c r="F474" s="42">
        <f t="shared" si="8"/>
        <v>-3.240190514</v>
      </c>
      <c r="G474" s="42">
        <f t="shared" si="9"/>
        <v>-1.329092151</v>
      </c>
      <c r="H474" s="42">
        <f t="shared" si="10"/>
        <v>0</v>
      </c>
      <c r="I474" s="42" t="str">
        <f>UpdateHashtag!S472</f>
        <v/>
      </c>
      <c r="J474" s="47">
        <f t="shared" si="11"/>
        <v>0</v>
      </c>
      <c r="K474" s="48" t="str">
        <f>UpdateHashtag!T472</f>
        <v/>
      </c>
      <c r="L474" s="42">
        <f t="shared" si="12"/>
        <v>-1.734552372</v>
      </c>
      <c r="N474" s="100">
        <f t="shared" si="13"/>
        <v>401</v>
      </c>
      <c r="O474" s="94" t="str">
        <f t="array" ref="O474">INDIRECT("Update"&amp;Projections!$AH$17&amp;"!B"&amp;ROW(B455))</f>
        <v/>
      </c>
      <c r="P474" s="414" t="str">
        <f t="array" ref="P474">INDIRECT("Update"&amp;Projections!$AH$17&amp;"!C"&amp;ROW(B455))</f>
        <v/>
      </c>
      <c r="Q474" s="94" t="str">
        <f>UpdateHashtag!F504</f>
        <v/>
      </c>
      <c r="R474" s="105" t="str">
        <f t="array" ref="R474">INDIRECT("Update"&amp;Projections!$AH$17&amp;"!D"&amp;ROW(B455))</f>
        <v/>
      </c>
      <c r="S474" s="73">
        <f t="shared" si="14"/>
        <v>-9.965301026</v>
      </c>
      <c r="T474" s="73">
        <f>SUM(AE474:AM474)-IFERROR(IFS(Projections!$I$17,AN474,Projections!$J$17,AO474),"")</f>
        <v>-9.965301026</v>
      </c>
      <c r="U474" s="73">
        <f t="shared" si="15"/>
        <v>0</v>
      </c>
      <c r="V474" s="73" t="str">
        <f t="array" ref="V474">INDIRECT("Update"&amp;Projections!$AH$17&amp;"!M"&amp;ROW(B455))</f>
        <v/>
      </c>
      <c r="W474" s="73" t="str">
        <f t="array" ref="W474">INDIRECT("Update"&amp;Projections!$AH$17&amp;"!L"&amp;ROW(B455))</f>
        <v/>
      </c>
      <c r="X474" s="73" t="str">
        <f t="array" ref="X474">INDIRECT("Update"&amp;Projections!$AH$17&amp;"!N"&amp;ROW(B455))</f>
        <v/>
      </c>
      <c r="Y474" s="73" t="str">
        <f t="array" ref="Y474">INDIRECT("Update"&amp;Projections!$AH$17&amp;"!O"&amp;ROW(B455))</f>
        <v/>
      </c>
      <c r="Z474" s="73" t="str">
        <f t="array" ref="Z474">INDIRECT("Update"&amp;Projections!$AH$17&amp;"!P"&amp;ROW(B455))</f>
        <v/>
      </c>
      <c r="AA474" s="73" t="str">
        <f t="array" ref="AA474">INDIRECT("Update"&amp;Projections!$AH$17&amp;"!Q"&amp;ROW(B455))</f>
        <v/>
      </c>
      <c r="AB474" s="107" t="str">
        <f t="array" ref="AB474">INDIRECT("Update"&amp;Projections!$AH$17&amp;"!I"&amp;ROW(B455))</f>
        <v/>
      </c>
      <c r="AC474" s="107" t="str">
        <f t="array" ref="AC474">INDIRECT("Update"&amp;Projections!$AH$17&amp;"!K"&amp;ROW(B455))</f>
        <v/>
      </c>
      <c r="AD474" s="73" t="str">
        <f t="array" ref="AD474">INDIRECT("Update"&amp;Projections!$AH$17&amp;"!R"&amp;ROW(B455))</f>
        <v/>
      </c>
      <c r="AE474" s="73">
        <f t="shared" si="16"/>
        <v>-3.155358621</v>
      </c>
      <c r="AF474" s="73">
        <f t="shared" si="17"/>
        <v>-1.740686581</v>
      </c>
      <c r="AG474" s="73">
        <f t="shared" si="18"/>
        <v>-2.380599106</v>
      </c>
      <c r="AH474" s="73">
        <f t="shared" si="19"/>
        <v>-1.79320266</v>
      </c>
      <c r="AI474" s="73">
        <f t="shared" si="20"/>
        <v>-3.240190514</v>
      </c>
      <c r="AJ474" s="73">
        <f t="shared" si="21"/>
        <v>-1.329092151</v>
      </c>
      <c r="AK474" s="73">
        <f t="shared" si="22"/>
        <v>0</v>
      </c>
      <c r="AL474" s="73">
        <f t="shared" si="23"/>
        <v>0</v>
      </c>
      <c r="AM474" s="73">
        <f t="shared" si="24"/>
        <v>0.433638093</v>
      </c>
      <c r="AN474" s="120">
        <f t="shared" si="25"/>
        <v>-3.240190514</v>
      </c>
      <c r="AO474" s="120">
        <f t="shared" si="26"/>
        <v>-6.395549135</v>
      </c>
      <c r="AP474" s="120" t="str">
        <f t="array" ref="AP474">INDIRECT("Update"&amp;Projections!$AH$17&amp;"!S"&amp;ROW(B455))</f>
        <v/>
      </c>
      <c r="AQ474" s="120" t="str">
        <f t="array" ref="AQ474">INDIRECT("Update"&amp;Projections!$AH$17&amp;"!T"&amp;ROW(B455))</f>
        <v/>
      </c>
      <c r="AR474" s="100">
        <f t="shared" si="27"/>
        <v>-9.965301026</v>
      </c>
    </row>
    <row r="475">
      <c r="A475" t="str">
        <f t="shared" si="3"/>
        <v/>
      </c>
      <c r="B475" s="42">
        <f t="shared" si="4"/>
        <v>-3.155358621</v>
      </c>
      <c r="C475" s="43">
        <f t="shared" si="5"/>
        <v>-1.740686581</v>
      </c>
      <c r="D475" s="42">
        <f t="shared" si="6"/>
        <v>-2.380599106</v>
      </c>
      <c r="E475" s="42">
        <f t="shared" si="7"/>
        <v>-1.79320266</v>
      </c>
      <c r="F475" s="42">
        <f t="shared" si="8"/>
        <v>-3.240190514</v>
      </c>
      <c r="G475" s="42">
        <f t="shared" si="9"/>
        <v>-1.329092151</v>
      </c>
      <c r="H475" s="42">
        <f t="shared" si="10"/>
        <v>0</v>
      </c>
      <c r="I475" s="42" t="str">
        <f>UpdateHashtag!S473</f>
        <v/>
      </c>
      <c r="J475" s="47">
        <f t="shared" si="11"/>
        <v>0</v>
      </c>
      <c r="K475" s="48" t="str">
        <f>UpdateHashtag!T473</f>
        <v/>
      </c>
      <c r="L475" s="42">
        <f t="shared" si="12"/>
        <v>-1.734552372</v>
      </c>
      <c r="N475" s="100">
        <f t="shared" si="13"/>
        <v>401</v>
      </c>
      <c r="O475" s="94" t="str">
        <f t="array" ref="O475">INDIRECT("Update"&amp;Projections!$AH$17&amp;"!B"&amp;ROW(B456))</f>
        <v/>
      </c>
      <c r="P475" s="414" t="str">
        <f t="array" ref="P475">INDIRECT("Update"&amp;Projections!$AH$17&amp;"!C"&amp;ROW(B456))</f>
        <v/>
      </c>
      <c r="Q475" s="94" t="str">
        <f>UpdateHashtag!F505</f>
        <v/>
      </c>
      <c r="R475" s="105" t="str">
        <f t="array" ref="R475">INDIRECT("Update"&amp;Projections!$AH$17&amp;"!D"&amp;ROW(B456))</f>
        <v/>
      </c>
      <c r="S475" s="73">
        <f t="shared" si="14"/>
        <v>-9.965301026</v>
      </c>
      <c r="T475" s="73">
        <f>SUM(AE475:AM475)-IFERROR(IFS(Projections!$I$17,AN475,Projections!$J$17,AO475),"")</f>
        <v>-9.965301026</v>
      </c>
      <c r="U475" s="73">
        <f t="shared" si="15"/>
        <v>0</v>
      </c>
      <c r="V475" s="73" t="str">
        <f t="array" ref="V475">INDIRECT("Update"&amp;Projections!$AH$17&amp;"!M"&amp;ROW(B456))</f>
        <v/>
      </c>
      <c r="W475" s="73" t="str">
        <f t="array" ref="W475">INDIRECT("Update"&amp;Projections!$AH$17&amp;"!L"&amp;ROW(B456))</f>
        <v/>
      </c>
      <c r="X475" s="73" t="str">
        <f t="array" ref="X475">INDIRECT("Update"&amp;Projections!$AH$17&amp;"!N"&amp;ROW(B456))</f>
        <v/>
      </c>
      <c r="Y475" s="73" t="str">
        <f t="array" ref="Y475">INDIRECT("Update"&amp;Projections!$AH$17&amp;"!O"&amp;ROW(B456))</f>
        <v/>
      </c>
      <c r="Z475" s="73" t="str">
        <f t="array" ref="Z475">INDIRECT("Update"&amp;Projections!$AH$17&amp;"!P"&amp;ROW(B456))</f>
        <v/>
      </c>
      <c r="AA475" s="73" t="str">
        <f t="array" ref="AA475">INDIRECT("Update"&amp;Projections!$AH$17&amp;"!Q"&amp;ROW(B456))</f>
        <v/>
      </c>
      <c r="AB475" s="107" t="str">
        <f t="array" ref="AB475">INDIRECT("Update"&amp;Projections!$AH$17&amp;"!I"&amp;ROW(B456))</f>
        <v/>
      </c>
      <c r="AC475" s="107" t="str">
        <f t="array" ref="AC475">INDIRECT("Update"&amp;Projections!$AH$17&amp;"!K"&amp;ROW(B456))</f>
        <v/>
      </c>
      <c r="AD475" s="73" t="str">
        <f t="array" ref="AD475">INDIRECT("Update"&amp;Projections!$AH$17&amp;"!R"&amp;ROW(B456))</f>
        <v/>
      </c>
      <c r="AE475" s="73">
        <f t="shared" si="16"/>
        <v>-3.155358621</v>
      </c>
      <c r="AF475" s="73">
        <f t="shared" si="17"/>
        <v>-1.740686581</v>
      </c>
      <c r="AG475" s="73">
        <f t="shared" si="18"/>
        <v>-2.380599106</v>
      </c>
      <c r="AH475" s="73">
        <f t="shared" si="19"/>
        <v>-1.79320266</v>
      </c>
      <c r="AI475" s="73">
        <f t="shared" si="20"/>
        <v>-3.240190514</v>
      </c>
      <c r="AJ475" s="73">
        <f t="shared" si="21"/>
        <v>-1.329092151</v>
      </c>
      <c r="AK475" s="73">
        <f t="shared" si="22"/>
        <v>0</v>
      </c>
      <c r="AL475" s="73">
        <f t="shared" si="23"/>
        <v>0</v>
      </c>
      <c r="AM475" s="73">
        <f t="shared" si="24"/>
        <v>0.433638093</v>
      </c>
      <c r="AN475" s="120">
        <f t="shared" si="25"/>
        <v>-3.240190514</v>
      </c>
      <c r="AO475" s="120">
        <f t="shared" si="26"/>
        <v>-6.395549135</v>
      </c>
      <c r="AP475" s="120" t="str">
        <f t="array" ref="AP475">INDIRECT("Update"&amp;Projections!$AH$17&amp;"!S"&amp;ROW(B456))</f>
        <v/>
      </c>
      <c r="AQ475" s="120" t="str">
        <f t="array" ref="AQ475">INDIRECT("Update"&amp;Projections!$AH$17&amp;"!T"&amp;ROW(B456))</f>
        <v/>
      </c>
      <c r="AR475" s="100">
        <f t="shared" si="27"/>
        <v>-9.965301026</v>
      </c>
    </row>
    <row r="476">
      <c r="A476" t="str">
        <f t="shared" si="3"/>
        <v/>
      </c>
      <c r="B476" s="42">
        <f t="shared" si="4"/>
        <v>-3.155358621</v>
      </c>
      <c r="C476" s="43">
        <f t="shared" si="5"/>
        <v>-1.740686581</v>
      </c>
      <c r="D476" s="42">
        <f t="shared" si="6"/>
        <v>-2.380599106</v>
      </c>
      <c r="E476" s="42">
        <f t="shared" si="7"/>
        <v>-1.79320266</v>
      </c>
      <c r="F476" s="42">
        <f t="shared" si="8"/>
        <v>-3.240190514</v>
      </c>
      <c r="G476" s="42">
        <f t="shared" si="9"/>
        <v>-1.329092151</v>
      </c>
      <c r="H476" s="42">
        <f t="shared" si="10"/>
        <v>0</v>
      </c>
      <c r="I476" s="42" t="str">
        <f>UpdateHashtag!S474</f>
        <v/>
      </c>
      <c r="J476" s="47">
        <f t="shared" si="11"/>
        <v>0</v>
      </c>
      <c r="K476" s="48" t="str">
        <f>UpdateHashtag!T474</f>
        <v/>
      </c>
      <c r="L476" s="42">
        <f t="shared" si="12"/>
        <v>-1.734552372</v>
      </c>
      <c r="N476" s="100">
        <f t="shared" si="13"/>
        <v>401</v>
      </c>
      <c r="O476" s="94" t="str">
        <f t="array" ref="O476">INDIRECT("Update"&amp;Projections!$AH$17&amp;"!B"&amp;ROW(B457))</f>
        <v/>
      </c>
      <c r="P476" s="414" t="str">
        <f t="array" ref="P476">INDIRECT("Update"&amp;Projections!$AH$17&amp;"!C"&amp;ROW(B457))</f>
        <v/>
      </c>
      <c r="Q476" s="94" t="str">
        <f>UpdateHashtag!F506</f>
        <v/>
      </c>
      <c r="R476" s="105" t="str">
        <f t="array" ref="R476">INDIRECT("Update"&amp;Projections!$AH$17&amp;"!D"&amp;ROW(B457))</f>
        <v/>
      </c>
      <c r="S476" s="73">
        <f t="shared" si="14"/>
        <v>-9.965301026</v>
      </c>
      <c r="T476" s="73">
        <f>SUM(AE476:AM476)-IFERROR(IFS(Projections!$I$17,AN476,Projections!$J$17,AO476),"")</f>
        <v>-9.965301026</v>
      </c>
      <c r="U476" s="73">
        <f t="shared" si="15"/>
        <v>0</v>
      </c>
      <c r="V476" s="73" t="str">
        <f t="array" ref="V476">INDIRECT("Update"&amp;Projections!$AH$17&amp;"!M"&amp;ROW(B457))</f>
        <v/>
      </c>
      <c r="W476" s="73" t="str">
        <f t="array" ref="W476">INDIRECT("Update"&amp;Projections!$AH$17&amp;"!L"&amp;ROW(B457))</f>
        <v/>
      </c>
      <c r="X476" s="73" t="str">
        <f t="array" ref="X476">INDIRECT("Update"&amp;Projections!$AH$17&amp;"!N"&amp;ROW(B457))</f>
        <v/>
      </c>
      <c r="Y476" s="73" t="str">
        <f t="array" ref="Y476">INDIRECT("Update"&amp;Projections!$AH$17&amp;"!O"&amp;ROW(B457))</f>
        <v/>
      </c>
      <c r="Z476" s="73" t="str">
        <f t="array" ref="Z476">INDIRECT("Update"&amp;Projections!$AH$17&amp;"!P"&amp;ROW(B457))</f>
        <v/>
      </c>
      <c r="AA476" s="73" t="str">
        <f t="array" ref="AA476">INDIRECT("Update"&amp;Projections!$AH$17&amp;"!Q"&amp;ROW(B457))</f>
        <v/>
      </c>
      <c r="AB476" s="107" t="str">
        <f t="array" ref="AB476">INDIRECT("Update"&amp;Projections!$AH$17&amp;"!I"&amp;ROW(B457))</f>
        <v/>
      </c>
      <c r="AC476" s="107" t="str">
        <f t="array" ref="AC476">INDIRECT("Update"&amp;Projections!$AH$17&amp;"!K"&amp;ROW(B457))</f>
        <v/>
      </c>
      <c r="AD476" s="73" t="str">
        <f t="array" ref="AD476">INDIRECT("Update"&amp;Projections!$AH$17&amp;"!R"&amp;ROW(B457))</f>
        <v/>
      </c>
      <c r="AE476" s="73">
        <f t="shared" si="16"/>
        <v>-3.155358621</v>
      </c>
      <c r="AF476" s="73">
        <f t="shared" si="17"/>
        <v>-1.740686581</v>
      </c>
      <c r="AG476" s="73">
        <f t="shared" si="18"/>
        <v>-2.380599106</v>
      </c>
      <c r="AH476" s="73">
        <f t="shared" si="19"/>
        <v>-1.79320266</v>
      </c>
      <c r="AI476" s="73">
        <f t="shared" si="20"/>
        <v>-3.240190514</v>
      </c>
      <c r="AJ476" s="73">
        <f t="shared" si="21"/>
        <v>-1.329092151</v>
      </c>
      <c r="AK476" s="73">
        <f t="shared" si="22"/>
        <v>0</v>
      </c>
      <c r="AL476" s="73">
        <f t="shared" si="23"/>
        <v>0</v>
      </c>
      <c r="AM476" s="73">
        <f t="shared" si="24"/>
        <v>0.433638093</v>
      </c>
      <c r="AN476" s="120">
        <f t="shared" si="25"/>
        <v>-3.240190514</v>
      </c>
      <c r="AO476" s="120">
        <f t="shared" si="26"/>
        <v>-6.395549135</v>
      </c>
      <c r="AP476" s="120" t="str">
        <f t="array" ref="AP476">INDIRECT("Update"&amp;Projections!$AH$17&amp;"!S"&amp;ROW(B457))</f>
        <v/>
      </c>
      <c r="AQ476" s="120" t="str">
        <f t="array" ref="AQ476">INDIRECT("Update"&amp;Projections!$AH$17&amp;"!T"&amp;ROW(B457))</f>
        <v/>
      </c>
      <c r="AR476" s="100">
        <f t="shared" si="27"/>
        <v>-9.965301026</v>
      </c>
    </row>
    <row r="477">
      <c r="A477" t="str">
        <f t="shared" si="3"/>
        <v/>
      </c>
      <c r="B477" s="42">
        <f t="shared" si="4"/>
        <v>-3.155358621</v>
      </c>
      <c r="C477" s="43">
        <f t="shared" si="5"/>
        <v>-1.740686581</v>
      </c>
      <c r="D477" s="42">
        <f t="shared" si="6"/>
        <v>-2.380599106</v>
      </c>
      <c r="E477" s="42">
        <f t="shared" si="7"/>
        <v>-1.79320266</v>
      </c>
      <c r="F477" s="42">
        <f t="shared" si="8"/>
        <v>-3.240190514</v>
      </c>
      <c r="G477" s="42">
        <f t="shared" si="9"/>
        <v>-1.329092151</v>
      </c>
      <c r="H477" s="42">
        <f t="shared" si="10"/>
        <v>0</v>
      </c>
      <c r="I477" s="42" t="str">
        <f>UpdateHashtag!S475</f>
        <v/>
      </c>
      <c r="J477" s="47">
        <f t="shared" si="11"/>
        <v>0</v>
      </c>
      <c r="K477" s="48" t="str">
        <f>UpdateHashtag!T475</f>
        <v/>
      </c>
      <c r="L477" s="42">
        <f t="shared" si="12"/>
        <v>-1.734552372</v>
      </c>
      <c r="N477" s="100">
        <f t="shared" si="13"/>
        <v>401</v>
      </c>
      <c r="O477" s="94" t="str">
        <f t="array" ref="O477">INDIRECT("Update"&amp;Projections!$AH$17&amp;"!B"&amp;ROW(B458))</f>
        <v/>
      </c>
      <c r="P477" s="414" t="str">
        <f t="array" ref="P477">INDIRECT("Update"&amp;Projections!$AH$17&amp;"!C"&amp;ROW(B458))</f>
        <v/>
      </c>
      <c r="Q477" s="94" t="str">
        <f>UpdateHashtag!F507</f>
        <v/>
      </c>
      <c r="R477" s="105" t="str">
        <f t="array" ref="R477">INDIRECT("Update"&amp;Projections!$AH$17&amp;"!D"&amp;ROW(B458))</f>
        <v/>
      </c>
      <c r="S477" s="73">
        <f t="shared" si="14"/>
        <v>-9.965301026</v>
      </c>
      <c r="T477" s="73">
        <f>SUM(AE477:AM477)-IFERROR(IFS(Projections!$I$17,AN477,Projections!$J$17,AO477),"")</f>
        <v>-9.965301026</v>
      </c>
      <c r="U477" s="73">
        <f t="shared" si="15"/>
        <v>0</v>
      </c>
      <c r="V477" s="73" t="str">
        <f t="array" ref="V477">INDIRECT("Update"&amp;Projections!$AH$17&amp;"!M"&amp;ROW(B458))</f>
        <v/>
      </c>
      <c r="W477" s="73" t="str">
        <f t="array" ref="W477">INDIRECT("Update"&amp;Projections!$AH$17&amp;"!L"&amp;ROW(B458))</f>
        <v/>
      </c>
      <c r="X477" s="73" t="str">
        <f t="array" ref="X477">INDIRECT("Update"&amp;Projections!$AH$17&amp;"!N"&amp;ROW(B458))</f>
        <v/>
      </c>
      <c r="Y477" s="73" t="str">
        <f t="array" ref="Y477">INDIRECT("Update"&amp;Projections!$AH$17&amp;"!O"&amp;ROW(B458))</f>
        <v/>
      </c>
      <c r="Z477" s="73" t="str">
        <f t="array" ref="Z477">INDIRECT("Update"&amp;Projections!$AH$17&amp;"!P"&amp;ROW(B458))</f>
        <v/>
      </c>
      <c r="AA477" s="73" t="str">
        <f t="array" ref="AA477">INDIRECT("Update"&amp;Projections!$AH$17&amp;"!Q"&amp;ROW(B458))</f>
        <v/>
      </c>
      <c r="AB477" s="107" t="str">
        <f t="array" ref="AB477">INDIRECT("Update"&amp;Projections!$AH$17&amp;"!I"&amp;ROW(B458))</f>
        <v/>
      </c>
      <c r="AC477" s="107" t="str">
        <f t="array" ref="AC477">INDIRECT("Update"&amp;Projections!$AH$17&amp;"!K"&amp;ROW(B458))</f>
        <v/>
      </c>
      <c r="AD477" s="73" t="str">
        <f t="array" ref="AD477">INDIRECT("Update"&amp;Projections!$AH$17&amp;"!R"&amp;ROW(B458))</f>
        <v/>
      </c>
      <c r="AE477" s="73">
        <f t="shared" si="16"/>
        <v>-3.155358621</v>
      </c>
      <c r="AF477" s="73">
        <f t="shared" si="17"/>
        <v>-1.740686581</v>
      </c>
      <c r="AG477" s="73">
        <f t="shared" si="18"/>
        <v>-2.380599106</v>
      </c>
      <c r="AH477" s="73">
        <f t="shared" si="19"/>
        <v>-1.79320266</v>
      </c>
      <c r="AI477" s="73">
        <f t="shared" si="20"/>
        <v>-3.240190514</v>
      </c>
      <c r="AJ477" s="73">
        <f t="shared" si="21"/>
        <v>-1.329092151</v>
      </c>
      <c r="AK477" s="73">
        <f t="shared" si="22"/>
        <v>0</v>
      </c>
      <c r="AL477" s="73">
        <f t="shared" si="23"/>
        <v>0</v>
      </c>
      <c r="AM477" s="73">
        <f t="shared" si="24"/>
        <v>0.433638093</v>
      </c>
      <c r="AN477" s="120">
        <f t="shared" si="25"/>
        <v>-3.240190514</v>
      </c>
      <c r="AO477" s="120">
        <f t="shared" si="26"/>
        <v>-6.395549135</v>
      </c>
      <c r="AP477" s="120" t="str">
        <f t="array" ref="AP477">INDIRECT("Update"&amp;Projections!$AH$17&amp;"!S"&amp;ROW(B458))</f>
        <v/>
      </c>
      <c r="AQ477" s="120" t="str">
        <f t="array" ref="AQ477">INDIRECT("Update"&amp;Projections!$AH$17&amp;"!T"&amp;ROW(B458))</f>
        <v/>
      </c>
      <c r="AR477" s="100">
        <f t="shared" si="27"/>
        <v>-9.965301026</v>
      </c>
    </row>
    <row r="478">
      <c r="A478" t="str">
        <f t="shared" si="3"/>
        <v/>
      </c>
      <c r="B478" s="42">
        <f t="shared" si="4"/>
        <v>-3.155358621</v>
      </c>
      <c r="C478" s="43">
        <f t="shared" si="5"/>
        <v>-1.740686581</v>
      </c>
      <c r="D478" s="42">
        <f t="shared" si="6"/>
        <v>-2.380599106</v>
      </c>
      <c r="E478" s="42">
        <f t="shared" si="7"/>
        <v>-1.79320266</v>
      </c>
      <c r="F478" s="42">
        <f t="shared" si="8"/>
        <v>-3.240190514</v>
      </c>
      <c r="G478" s="42">
        <f t="shared" si="9"/>
        <v>-1.329092151</v>
      </c>
      <c r="H478" s="42">
        <f t="shared" si="10"/>
        <v>0</v>
      </c>
      <c r="I478" s="42" t="str">
        <f>UpdateHashtag!S476</f>
        <v/>
      </c>
      <c r="J478" s="47">
        <f t="shared" si="11"/>
        <v>0</v>
      </c>
      <c r="K478" s="48" t="str">
        <f>UpdateHashtag!T476</f>
        <v/>
      </c>
      <c r="L478" s="42">
        <f t="shared" si="12"/>
        <v>-1.734552372</v>
      </c>
      <c r="N478" s="100">
        <f t="shared" si="13"/>
        <v>401</v>
      </c>
      <c r="O478" s="94" t="str">
        <f t="array" ref="O478">INDIRECT("Update"&amp;Projections!$AH$17&amp;"!B"&amp;ROW(B459))</f>
        <v/>
      </c>
      <c r="P478" s="414" t="str">
        <f t="array" ref="P478">INDIRECT("Update"&amp;Projections!$AH$17&amp;"!C"&amp;ROW(B459))</f>
        <v/>
      </c>
      <c r="Q478" s="94" t="str">
        <f>UpdateHashtag!F508</f>
        <v/>
      </c>
      <c r="R478" s="105" t="str">
        <f t="array" ref="R478">INDIRECT("Update"&amp;Projections!$AH$17&amp;"!D"&amp;ROW(B459))</f>
        <v/>
      </c>
      <c r="S478" s="73">
        <f t="shared" si="14"/>
        <v>-9.965301026</v>
      </c>
      <c r="T478" s="73">
        <f>SUM(AE478:AM478)-IFERROR(IFS(Projections!$I$17,AN478,Projections!$J$17,AO478),"")</f>
        <v>-9.965301026</v>
      </c>
      <c r="U478" s="73">
        <f t="shared" si="15"/>
        <v>0</v>
      </c>
      <c r="V478" s="73" t="str">
        <f t="array" ref="V478">INDIRECT("Update"&amp;Projections!$AH$17&amp;"!M"&amp;ROW(B459))</f>
        <v/>
      </c>
      <c r="W478" s="73" t="str">
        <f t="array" ref="W478">INDIRECT("Update"&amp;Projections!$AH$17&amp;"!L"&amp;ROW(B459))</f>
        <v/>
      </c>
      <c r="X478" s="73" t="str">
        <f t="array" ref="X478">INDIRECT("Update"&amp;Projections!$AH$17&amp;"!N"&amp;ROW(B459))</f>
        <v/>
      </c>
      <c r="Y478" s="73" t="str">
        <f t="array" ref="Y478">INDIRECT("Update"&amp;Projections!$AH$17&amp;"!O"&amp;ROW(B459))</f>
        <v/>
      </c>
      <c r="Z478" s="73" t="str">
        <f t="array" ref="Z478">INDIRECT("Update"&amp;Projections!$AH$17&amp;"!P"&amp;ROW(B459))</f>
        <v/>
      </c>
      <c r="AA478" s="73" t="str">
        <f t="array" ref="AA478">INDIRECT("Update"&amp;Projections!$AH$17&amp;"!Q"&amp;ROW(B459))</f>
        <v/>
      </c>
      <c r="AB478" s="107" t="str">
        <f t="array" ref="AB478">INDIRECT("Update"&amp;Projections!$AH$17&amp;"!I"&amp;ROW(B459))</f>
        <v/>
      </c>
      <c r="AC478" s="107" t="str">
        <f t="array" ref="AC478">INDIRECT("Update"&amp;Projections!$AH$17&amp;"!K"&amp;ROW(B459))</f>
        <v/>
      </c>
      <c r="AD478" s="73" t="str">
        <f t="array" ref="AD478">INDIRECT("Update"&amp;Projections!$AH$17&amp;"!R"&amp;ROW(B459))</f>
        <v/>
      </c>
      <c r="AE478" s="73">
        <f t="shared" si="16"/>
        <v>-3.155358621</v>
      </c>
      <c r="AF478" s="73">
        <f t="shared" si="17"/>
        <v>-1.740686581</v>
      </c>
      <c r="AG478" s="73">
        <f t="shared" si="18"/>
        <v>-2.380599106</v>
      </c>
      <c r="AH478" s="73">
        <f t="shared" si="19"/>
        <v>-1.79320266</v>
      </c>
      <c r="AI478" s="73">
        <f t="shared" si="20"/>
        <v>-3.240190514</v>
      </c>
      <c r="AJ478" s="73">
        <f t="shared" si="21"/>
        <v>-1.329092151</v>
      </c>
      <c r="AK478" s="73">
        <f t="shared" si="22"/>
        <v>0</v>
      </c>
      <c r="AL478" s="73">
        <f t="shared" si="23"/>
        <v>0</v>
      </c>
      <c r="AM478" s="73">
        <f t="shared" si="24"/>
        <v>0.433638093</v>
      </c>
      <c r="AN478" s="120">
        <f t="shared" si="25"/>
        <v>-3.240190514</v>
      </c>
      <c r="AO478" s="120">
        <f t="shared" si="26"/>
        <v>-6.395549135</v>
      </c>
      <c r="AP478" s="120" t="str">
        <f t="array" ref="AP478">INDIRECT("Update"&amp;Projections!$AH$17&amp;"!S"&amp;ROW(B459))</f>
        <v/>
      </c>
      <c r="AQ478" s="120" t="str">
        <f t="array" ref="AQ478">INDIRECT("Update"&amp;Projections!$AH$17&amp;"!T"&amp;ROW(B459))</f>
        <v/>
      </c>
      <c r="AR478" s="100">
        <f t="shared" si="27"/>
        <v>-9.965301026</v>
      </c>
    </row>
    <row r="479">
      <c r="A479" t="str">
        <f t="shared" si="3"/>
        <v/>
      </c>
      <c r="B479" s="42">
        <f t="shared" si="4"/>
        <v>-3.155358621</v>
      </c>
      <c r="C479" s="43">
        <f t="shared" si="5"/>
        <v>-1.740686581</v>
      </c>
      <c r="D479" s="42">
        <f t="shared" si="6"/>
        <v>-2.380599106</v>
      </c>
      <c r="E479" s="42">
        <f t="shared" si="7"/>
        <v>-1.79320266</v>
      </c>
      <c r="F479" s="42">
        <f t="shared" si="8"/>
        <v>-3.240190514</v>
      </c>
      <c r="G479" s="42">
        <f t="shared" si="9"/>
        <v>-1.329092151</v>
      </c>
      <c r="H479" s="42">
        <f t="shared" si="10"/>
        <v>0</v>
      </c>
      <c r="I479" s="42" t="str">
        <f>UpdateHashtag!S477</f>
        <v/>
      </c>
      <c r="J479" s="47">
        <f t="shared" si="11"/>
        <v>0</v>
      </c>
      <c r="K479" s="48" t="str">
        <f>UpdateHashtag!T477</f>
        <v/>
      </c>
      <c r="L479" s="42">
        <f t="shared" si="12"/>
        <v>-1.734552372</v>
      </c>
      <c r="N479" s="100">
        <f t="shared" si="13"/>
        <v>401</v>
      </c>
      <c r="O479" s="94" t="str">
        <f t="array" ref="O479">INDIRECT("Update"&amp;Projections!$AH$17&amp;"!B"&amp;ROW(B460))</f>
        <v/>
      </c>
      <c r="P479" s="414" t="str">
        <f t="array" ref="P479">INDIRECT("Update"&amp;Projections!$AH$17&amp;"!C"&amp;ROW(B460))</f>
        <v/>
      </c>
      <c r="Q479" s="94" t="str">
        <f>UpdateHashtag!F509</f>
        <v/>
      </c>
      <c r="R479" s="105" t="str">
        <f t="array" ref="R479">INDIRECT("Update"&amp;Projections!$AH$17&amp;"!D"&amp;ROW(B460))</f>
        <v/>
      </c>
      <c r="S479" s="73">
        <f t="shared" si="14"/>
        <v>-9.965301026</v>
      </c>
      <c r="T479" s="73">
        <f>SUM(AE479:AM479)-IFERROR(IFS(Projections!$I$17,AN479,Projections!$J$17,AO479),"")</f>
        <v>-9.965301026</v>
      </c>
      <c r="U479" s="73">
        <f t="shared" si="15"/>
        <v>0</v>
      </c>
      <c r="V479" s="73" t="str">
        <f t="array" ref="V479">INDIRECT("Update"&amp;Projections!$AH$17&amp;"!M"&amp;ROW(B460))</f>
        <v/>
      </c>
      <c r="W479" s="73" t="str">
        <f t="array" ref="W479">INDIRECT("Update"&amp;Projections!$AH$17&amp;"!L"&amp;ROW(B460))</f>
        <v/>
      </c>
      <c r="X479" s="73" t="str">
        <f t="array" ref="X479">INDIRECT("Update"&amp;Projections!$AH$17&amp;"!N"&amp;ROW(B460))</f>
        <v/>
      </c>
      <c r="Y479" s="73" t="str">
        <f t="array" ref="Y479">INDIRECT("Update"&amp;Projections!$AH$17&amp;"!O"&amp;ROW(B460))</f>
        <v/>
      </c>
      <c r="Z479" s="73" t="str">
        <f t="array" ref="Z479">INDIRECT("Update"&amp;Projections!$AH$17&amp;"!P"&amp;ROW(B460))</f>
        <v/>
      </c>
      <c r="AA479" s="73" t="str">
        <f t="array" ref="AA479">INDIRECT("Update"&amp;Projections!$AH$17&amp;"!Q"&amp;ROW(B460))</f>
        <v/>
      </c>
      <c r="AB479" s="107" t="str">
        <f t="array" ref="AB479">INDIRECT("Update"&amp;Projections!$AH$17&amp;"!I"&amp;ROW(B460))</f>
        <v/>
      </c>
      <c r="AC479" s="107" t="str">
        <f t="array" ref="AC479">INDIRECT("Update"&amp;Projections!$AH$17&amp;"!K"&amp;ROW(B460))</f>
        <v/>
      </c>
      <c r="AD479" s="73" t="str">
        <f t="array" ref="AD479">INDIRECT("Update"&amp;Projections!$AH$17&amp;"!R"&amp;ROW(B460))</f>
        <v/>
      </c>
      <c r="AE479" s="73">
        <f t="shared" si="16"/>
        <v>-3.155358621</v>
      </c>
      <c r="AF479" s="73">
        <f t="shared" si="17"/>
        <v>-1.740686581</v>
      </c>
      <c r="AG479" s="73">
        <f t="shared" si="18"/>
        <v>-2.380599106</v>
      </c>
      <c r="AH479" s="73">
        <f t="shared" si="19"/>
        <v>-1.79320266</v>
      </c>
      <c r="AI479" s="73">
        <f t="shared" si="20"/>
        <v>-3.240190514</v>
      </c>
      <c r="AJ479" s="73">
        <f t="shared" si="21"/>
        <v>-1.329092151</v>
      </c>
      <c r="AK479" s="73">
        <f t="shared" si="22"/>
        <v>0</v>
      </c>
      <c r="AL479" s="73">
        <f t="shared" si="23"/>
        <v>0</v>
      </c>
      <c r="AM479" s="73">
        <f t="shared" si="24"/>
        <v>0.433638093</v>
      </c>
      <c r="AN479" s="120">
        <f t="shared" si="25"/>
        <v>-3.240190514</v>
      </c>
      <c r="AO479" s="120">
        <f t="shared" si="26"/>
        <v>-6.395549135</v>
      </c>
      <c r="AP479" s="120" t="str">
        <f t="array" ref="AP479">INDIRECT("Update"&amp;Projections!$AH$17&amp;"!S"&amp;ROW(B460))</f>
        <v/>
      </c>
      <c r="AQ479" s="120" t="str">
        <f t="array" ref="AQ479">INDIRECT("Update"&amp;Projections!$AH$17&amp;"!T"&amp;ROW(B460))</f>
        <v/>
      </c>
      <c r="AR479" s="100">
        <f t="shared" si="27"/>
        <v>-9.965301026</v>
      </c>
    </row>
    <row r="480">
      <c r="A480" t="str">
        <f t="shared" si="3"/>
        <v/>
      </c>
      <c r="B480" s="42">
        <f t="shared" si="4"/>
        <v>-3.155358621</v>
      </c>
      <c r="C480" s="43">
        <f t="shared" si="5"/>
        <v>-1.740686581</v>
      </c>
      <c r="D480" s="42">
        <f t="shared" si="6"/>
        <v>-2.380599106</v>
      </c>
      <c r="E480" s="42">
        <f t="shared" si="7"/>
        <v>-1.79320266</v>
      </c>
      <c r="F480" s="42">
        <f t="shared" si="8"/>
        <v>-3.240190514</v>
      </c>
      <c r="G480" s="42">
        <f t="shared" si="9"/>
        <v>-1.329092151</v>
      </c>
      <c r="H480" s="42">
        <f t="shared" si="10"/>
        <v>0</v>
      </c>
      <c r="I480" s="42" t="str">
        <f>UpdateHashtag!S478</f>
        <v/>
      </c>
      <c r="J480" s="47">
        <f t="shared" si="11"/>
        <v>0</v>
      </c>
      <c r="K480" s="48" t="str">
        <f>UpdateHashtag!T478</f>
        <v/>
      </c>
      <c r="L480" s="42">
        <f t="shared" si="12"/>
        <v>-1.734552372</v>
      </c>
      <c r="N480" s="100">
        <f t="shared" si="13"/>
        <v>401</v>
      </c>
      <c r="O480" s="94" t="str">
        <f t="array" ref="O480">INDIRECT("Update"&amp;Projections!$AH$17&amp;"!B"&amp;ROW(B461))</f>
        <v/>
      </c>
      <c r="P480" s="414" t="str">
        <f t="array" ref="P480">INDIRECT("Update"&amp;Projections!$AH$17&amp;"!C"&amp;ROW(B461))</f>
        <v/>
      </c>
      <c r="Q480" s="94" t="str">
        <f>UpdateHashtag!F510</f>
        <v/>
      </c>
      <c r="R480" s="105" t="str">
        <f t="array" ref="R480">INDIRECT("Update"&amp;Projections!$AH$17&amp;"!D"&amp;ROW(B461))</f>
        <v/>
      </c>
      <c r="S480" s="73">
        <f t="shared" si="14"/>
        <v>-9.965301026</v>
      </c>
      <c r="T480" s="73">
        <f>SUM(AE480:AM480)-IFERROR(IFS(Projections!$I$17,AN480,Projections!$J$17,AO480),"")</f>
        <v>-9.965301026</v>
      </c>
      <c r="U480" s="73">
        <f t="shared" si="15"/>
        <v>0</v>
      </c>
      <c r="V480" s="73" t="str">
        <f t="array" ref="V480">INDIRECT("Update"&amp;Projections!$AH$17&amp;"!M"&amp;ROW(B461))</f>
        <v/>
      </c>
      <c r="W480" s="73" t="str">
        <f t="array" ref="W480">INDIRECT("Update"&amp;Projections!$AH$17&amp;"!L"&amp;ROW(B461))</f>
        <v/>
      </c>
      <c r="X480" s="73" t="str">
        <f t="array" ref="X480">INDIRECT("Update"&amp;Projections!$AH$17&amp;"!N"&amp;ROW(B461))</f>
        <v/>
      </c>
      <c r="Y480" s="73" t="str">
        <f t="array" ref="Y480">INDIRECT("Update"&amp;Projections!$AH$17&amp;"!O"&amp;ROW(B461))</f>
        <v/>
      </c>
      <c r="Z480" s="73" t="str">
        <f t="array" ref="Z480">INDIRECT("Update"&amp;Projections!$AH$17&amp;"!P"&amp;ROW(B461))</f>
        <v/>
      </c>
      <c r="AA480" s="73" t="str">
        <f t="array" ref="AA480">INDIRECT("Update"&amp;Projections!$AH$17&amp;"!Q"&amp;ROW(B461))</f>
        <v/>
      </c>
      <c r="AB480" s="107" t="str">
        <f t="array" ref="AB480">INDIRECT("Update"&amp;Projections!$AH$17&amp;"!I"&amp;ROW(B461))</f>
        <v/>
      </c>
      <c r="AC480" s="107" t="str">
        <f t="array" ref="AC480">INDIRECT("Update"&amp;Projections!$AH$17&amp;"!K"&amp;ROW(B461))</f>
        <v/>
      </c>
      <c r="AD480" s="73" t="str">
        <f t="array" ref="AD480">INDIRECT("Update"&amp;Projections!$AH$17&amp;"!R"&amp;ROW(B461))</f>
        <v/>
      </c>
      <c r="AE480" s="73">
        <f t="shared" si="16"/>
        <v>-3.155358621</v>
      </c>
      <c r="AF480" s="73">
        <f t="shared" si="17"/>
        <v>-1.740686581</v>
      </c>
      <c r="AG480" s="73">
        <f t="shared" si="18"/>
        <v>-2.380599106</v>
      </c>
      <c r="AH480" s="73">
        <f t="shared" si="19"/>
        <v>-1.79320266</v>
      </c>
      <c r="AI480" s="73">
        <f t="shared" si="20"/>
        <v>-3.240190514</v>
      </c>
      <c r="AJ480" s="73">
        <f t="shared" si="21"/>
        <v>-1.329092151</v>
      </c>
      <c r="AK480" s="73">
        <f t="shared" si="22"/>
        <v>0</v>
      </c>
      <c r="AL480" s="73">
        <f t="shared" si="23"/>
        <v>0</v>
      </c>
      <c r="AM480" s="73">
        <f t="shared" si="24"/>
        <v>0.433638093</v>
      </c>
      <c r="AN480" s="120">
        <f t="shared" si="25"/>
        <v>-3.240190514</v>
      </c>
      <c r="AO480" s="120">
        <f t="shared" si="26"/>
        <v>-6.395549135</v>
      </c>
      <c r="AP480" s="120" t="str">
        <f t="array" ref="AP480">INDIRECT("Update"&amp;Projections!$AH$17&amp;"!S"&amp;ROW(B461))</f>
        <v/>
      </c>
      <c r="AQ480" s="120" t="str">
        <f t="array" ref="AQ480">INDIRECT("Update"&amp;Projections!$AH$17&amp;"!T"&amp;ROW(B461))</f>
        <v/>
      </c>
      <c r="AR480" s="100">
        <f t="shared" si="27"/>
        <v>-9.965301026</v>
      </c>
    </row>
    <row r="481">
      <c r="A481" t="str">
        <f t="shared" si="3"/>
        <v/>
      </c>
      <c r="B481" s="42">
        <f t="shared" si="4"/>
        <v>-3.155358621</v>
      </c>
      <c r="C481" s="43">
        <f t="shared" si="5"/>
        <v>-1.740686581</v>
      </c>
      <c r="D481" s="42">
        <f t="shared" si="6"/>
        <v>-2.380599106</v>
      </c>
      <c r="E481" s="42">
        <f t="shared" si="7"/>
        <v>-1.79320266</v>
      </c>
      <c r="F481" s="42">
        <f t="shared" si="8"/>
        <v>-3.240190514</v>
      </c>
      <c r="G481" s="42">
        <f t="shared" si="9"/>
        <v>-1.329092151</v>
      </c>
      <c r="H481" s="42">
        <f t="shared" si="10"/>
        <v>0</v>
      </c>
      <c r="I481" s="42" t="str">
        <f>UpdateHashtag!S479</f>
        <v/>
      </c>
      <c r="J481" s="47">
        <f t="shared" si="11"/>
        <v>0</v>
      </c>
      <c r="K481" s="48" t="str">
        <f>UpdateHashtag!T479</f>
        <v/>
      </c>
      <c r="L481" s="42">
        <f t="shared" si="12"/>
        <v>-1.734552372</v>
      </c>
      <c r="N481" s="100">
        <f t="shared" si="13"/>
        <v>401</v>
      </c>
      <c r="O481" s="94" t="str">
        <f t="array" ref="O481">INDIRECT("Update"&amp;Projections!$AH$17&amp;"!B"&amp;ROW(B462))</f>
        <v/>
      </c>
      <c r="P481" s="414" t="str">
        <f t="array" ref="P481">INDIRECT("Update"&amp;Projections!$AH$17&amp;"!C"&amp;ROW(B462))</f>
        <v/>
      </c>
      <c r="Q481" s="94" t="str">
        <f>UpdateHashtag!F511</f>
        <v/>
      </c>
      <c r="R481" s="105" t="str">
        <f t="array" ref="R481">INDIRECT("Update"&amp;Projections!$AH$17&amp;"!D"&amp;ROW(B462))</f>
        <v/>
      </c>
      <c r="S481" s="73">
        <f t="shared" si="14"/>
        <v>-9.965301026</v>
      </c>
      <c r="T481" s="73">
        <f>SUM(AE481:AM481)-IFERROR(IFS(Projections!$I$17,AN481,Projections!$J$17,AO481),"")</f>
        <v>-9.965301026</v>
      </c>
      <c r="U481" s="73">
        <f t="shared" si="15"/>
        <v>0</v>
      </c>
      <c r="V481" s="73" t="str">
        <f t="array" ref="V481">INDIRECT("Update"&amp;Projections!$AH$17&amp;"!M"&amp;ROW(B462))</f>
        <v/>
      </c>
      <c r="W481" s="73" t="str">
        <f t="array" ref="W481">INDIRECT("Update"&amp;Projections!$AH$17&amp;"!L"&amp;ROW(B462))</f>
        <v/>
      </c>
      <c r="X481" s="73" t="str">
        <f t="array" ref="X481">INDIRECT("Update"&amp;Projections!$AH$17&amp;"!N"&amp;ROW(B462))</f>
        <v/>
      </c>
      <c r="Y481" s="73" t="str">
        <f t="array" ref="Y481">INDIRECT("Update"&amp;Projections!$AH$17&amp;"!O"&amp;ROW(B462))</f>
        <v/>
      </c>
      <c r="Z481" s="73" t="str">
        <f t="array" ref="Z481">INDIRECT("Update"&amp;Projections!$AH$17&amp;"!P"&amp;ROW(B462))</f>
        <v/>
      </c>
      <c r="AA481" s="73" t="str">
        <f t="array" ref="AA481">INDIRECT("Update"&amp;Projections!$AH$17&amp;"!Q"&amp;ROW(B462))</f>
        <v/>
      </c>
      <c r="AB481" s="107" t="str">
        <f t="array" ref="AB481">INDIRECT("Update"&amp;Projections!$AH$17&amp;"!I"&amp;ROW(B462))</f>
        <v/>
      </c>
      <c r="AC481" s="107" t="str">
        <f t="array" ref="AC481">INDIRECT("Update"&amp;Projections!$AH$17&amp;"!K"&amp;ROW(B462))</f>
        <v/>
      </c>
      <c r="AD481" s="73" t="str">
        <f t="array" ref="AD481">INDIRECT("Update"&amp;Projections!$AH$17&amp;"!R"&amp;ROW(B462))</f>
        <v/>
      </c>
      <c r="AE481" s="73">
        <f t="shared" si="16"/>
        <v>-3.155358621</v>
      </c>
      <c r="AF481" s="73">
        <f t="shared" si="17"/>
        <v>-1.740686581</v>
      </c>
      <c r="AG481" s="73">
        <f t="shared" si="18"/>
        <v>-2.380599106</v>
      </c>
      <c r="AH481" s="73">
        <f t="shared" si="19"/>
        <v>-1.79320266</v>
      </c>
      <c r="AI481" s="73">
        <f t="shared" si="20"/>
        <v>-3.240190514</v>
      </c>
      <c r="AJ481" s="73">
        <f t="shared" si="21"/>
        <v>-1.329092151</v>
      </c>
      <c r="AK481" s="73">
        <f t="shared" si="22"/>
        <v>0</v>
      </c>
      <c r="AL481" s="73">
        <f t="shared" si="23"/>
        <v>0</v>
      </c>
      <c r="AM481" s="73">
        <f t="shared" si="24"/>
        <v>0.433638093</v>
      </c>
      <c r="AN481" s="120">
        <f t="shared" si="25"/>
        <v>-3.240190514</v>
      </c>
      <c r="AO481" s="120">
        <f t="shared" si="26"/>
        <v>-6.395549135</v>
      </c>
      <c r="AP481" s="120" t="str">
        <f t="array" ref="AP481">INDIRECT("Update"&amp;Projections!$AH$17&amp;"!S"&amp;ROW(B462))</f>
        <v/>
      </c>
      <c r="AQ481" s="120" t="str">
        <f t="array" ref="AQ481">INDIRECT("Update"&amp;Projections!$AH$17&amp;"!T"&amp;ROW(B462))</f>
        <v/>
      </c>
      <c r="AR481" s="100">
        <f t="shared" si="27"/>
        <v>-9.965301026</v>
      </c>
    </row>
    <row r="482">
      <c r="A482" t="str">
        <f t="shared" si="3"/>
        <v/>
      </c>
      <c r="B482" s="42">
        <f t="shared" si="4"/>
        <v>-3.155358621</v>
      </c>
      <c r="C482" s="43">
        <f t="shared" si="5"/>
        <v>-1.740686581</v>
      </c>
      <c r="D482" s="42">
        <f t="shared" si="6"/>
        <v>-2.380599106</v>
      </c>
      <c r="E482" s="42">
        <f t="shared" si="7"/>
        <v>-1.79320266</v>
      </c>
      <c r="F482" s="42">
        <f t="shared" si="8"/>
        <v>-3.240190514</v>
      </c>
      <c r="G482" s="42">
        <f t="shared" si="9"/>
        <v>-1.329092151</v>
      </c>
      <c r="H482" s="42">
        <f t="shared" si="10"/>
        <v>0</v>
      </c>
      <c r="I482" s="42" t="str">
        <f>UpdateHashtag!S480</f>
        <v/>
      </c>
      <c r="J482" s="47">
        <f t="shared" si="11"/>
        <v>0</v>
      </c>
      <c r="K482" s="48" t="str">
        <f>UpdateHashtag!T480</f>
        <v/>
      </c>
      <c r="L482" s="42">
        <f t="shared" si="12"/>
        <v>-1.734552372</v>
      </c>
      <c r="N482" s="100">
        <f t="shared" si="13"/>
        <v>401</v>
      </c>
      <c r="O482" s="94" t="str">
        <f t="array" ref="O482">INDIRECT("Update"&amp;Projections!$AH$17&amp;"!B"&amp;ROW(B463))</f>
        <v/>
      </c>
      <c r="P482" s="414" t="str">
        <f t="array" ref="P482">INDIRECT("Update"&amp;Projections!$AH$17&amp;"!C"&amp;ROW(B463))</f>
        <v/>
      </c>
      <c r="Q482" s="94" t="str">
        <f>UpdateHashtag!F512</f>
        <v/>
      </c>
      <c r="R482" s="105" t="str">
        <f t="array" ref="R482">INDIRECT("Update"&amp;Projections!$AH$17&amp;"!D"&amp;ROW(B463))</f>
        <v/>
      </c>
      <c r="S482" s="73">
        <f t="shared" si="14"/>
        <v>-9.965301026</v>
      </c>
      <c r="T482" s="73">
        <f>SUM(AE482:AM482)-IFERROR(IFS(Projections!$I$17,AN482,Projections!$J$17,AO482),"")</f>
        <v>-9.965301026</v>
      </c>
      <c r="U482" s="73">
        <f t="shared" si="15"/>
        <v>0</v>
      </c>
      <c r="V482" s="73" t="str">
        <f t="array" ref="V482">INDIRECT("Update"&amp;Projections!$AH$17&amp;"!M"&amp;ROW(B463))</f>
        <v/>
      </c>
      <c r="W482" s="73" t="str">
        <f t="array" ref="W482">INDIRECT("Update"&amp;Projections!$AH$17&amp;"!L"&amp;ROW(B463))</f>
        <v/>
      </c>
      <c r="X482" s="73" t="str">
        <f t="array" ref="X482">INDIRECT("Update"&amp;Projections!$AH$17&amp;"!N"&amp;ROW(B463))</f>
        <v/>
      </c>
      <c r="Y482" s="73" t="str">
        <f t="array" ref="Y482">INDIRECT("Update"&amp;Projections!$AH$17&amp;"!O"&amp;ROW(B463))</f>
        <v/>
      </c>
      <c r="Z482" s="73" t="str">
        <f t="array" ref="Z482">INDIRECT("Update"&amp;Projections!$AH$17&amp;"!P"&amp;ROW(B463))</f>
        <v/>
      </c>
      <c r="AA482" s="73" t="str">
        <f t="array" ref="AA482">INDIRECT("Update"&amp;Projections!$AH$17&amp;"!Q"&amp;ROW(B463))</f>
        <v/>
      </c>
      <c r="AB482" s="107" t="str">
        <f t="array" ref="AB482">INDIRECT("Update"&amp;Projections!$AH$17&amp;"!I"&amp;ROW(B463))</f>
        <v/>
      </c>
      <c r="AC482" s="107" t="str">
        <f t="array" ref="AC482">INDIRECT("Update"&amp;Projections!$AH$17&amp;"!K"&amp;ROW(B463))</f>
        <v/>
      </c>
      <c r="AD482" s="73" t="str">
        <f t="array" ref="AD482">INDIRECT("Update"&amp;Projections!$AH$17&amp;"!R"&amp;ROW(B463))</f>
        <v/>
      </c>
      <c r="AE482" s="73">
        <f t="shared" si="16"/>
        <v>-3.155358621</v>
      </c>
      <c r="AF482" s="73">
        <f t="shared" si="17"/>
        <v>-1.740686581</v>
      </c>
      <c r="AG482" s="73">
        <f t="shared" si="18"/>
        <v>-2.380599106</v>
      </c>
      <c r="AH482" s="73">
        <f t="shared" si="19"/>
        <v>-1.79320266</v>
      </c>
      <c r="AI482" s="73">
        <f t="shared" si="20"/>
        <v>-3.240190514</v>
      </c>
      <c r="AJ482" s="73">
        <f t="shared" si="21"/>
        <v>-1.329092151</v>
      </c>
      <c r="AK482" s="73">
        <f t="shared" si="22"/>
        <v>0</v>
      </c>
      <c r="AL482" s="73">
        <f t="shared" si="23"/>
        <v>0</v>
      </c>
      <c r="AM482" s="73">
        <f t="shared" si="24"/>
        <v>0.433638093</v>
      </c>
      <c r="AN482" s="120">
        <f t="shared" si="25"/>
        <v>-3.240190514</v>
      </c>
      <c r="AO482" s="120">
        <f t="shared" si="26"/>
        <v>-6.395549135</v>
      </c>
      <c r="AP482" s="120" t="str">
        <f t="array" ref="AP482">INDIRECT("Update"&amp;Projections!$AH$17&amp;"!S"&amp;ROW(B463))</f>
        <v/>
      </c>
      <c r="AQ482" s="120" t="str">
        <f t="array" ref="AQ482">INDIRECT("Update"&amp;Projections!$AH$17&amp;"!T"&amp;ROW(B463))</f>
        <v/>
      </c>
      <c r="AR482" s="100">
        <f t="shared" si="27"/>
        <v>-9.965301026</v>
      </c>
    </row>
    <row r="483">
      <c r="A483" t="str">
        <f t="shared" si="3"/>
        <v/>
      </c>
      <c r="B483" s="42">
        <f t="shared" si="4"/>
        <v>-3.155358621</v>
      </c>
      <c r="C483" s="43">
        <f t="shared" si="5"/>
        <v>-1.740686581</v>
      </c>
      <c r="D483" s="42">
        <f t="shared" si="6"/>
        <v>-2.380599106</v>
      </c>
      <c r="E483" s="42">
        <f t="shared" si="7"/>
        <v>-1.79320266</v>
      </c>
      <c r="F483" s="42">
        <f t="shared" si="8"/>
        <v>-3.240190514</v>
      </c>
      <c r="G483" s="42">
        <f t="shared" si="9"/>
        <v>-1.329092151</v>
      </c>
      <c r="H483" s="42">
        <f t="shared" si="10"/>
        <v>0</v>
      </c>
      <c r="I483" s="42" t="str">
        <f>UpdateHashtag!S481</f>
        <v/>
      </c>
      <c r="J483" s="47">
        <f t="shared" si="11"/>
        <v>0</v>
      </c>
      <c r="K483" s="48" t="str">
        <f>UpdateHashtag!T481</f>
        <v/>
      </c>
      <c r="L483" s="42">
        <f t="shared" si="12"/>
        <v>-1.734552372</v>
      </c>
      <c r="N483" s="100">
        <f t="shared" si="13"/>
        <v>401</v>
      </c>
      <c r="O483" s="94" t="str">
        <f t="array" ref="O483">INDIRECT("Update"&amp;Projections!$AH$17&amp;"!B"&amp;ROW(B464))</f>
        <v/>
      </c>
      <c r="P483" s="414" t="str">
        <f t="array" ref="P483">INDIRECT("Update"&amp;Projections!$AH$17&amp;"!C"&amp;ROW(B464))</f>
        <v/>
      </c>
      <c r="Q483" s="94" t="str">
        <f>UpdateHashtag!F513</f>
        <v/>
      </c>
      <c r="R483" s="105" t="str">
        <f t="array" ref="R483">INDIRECT("Update"&amp;Projections!$AH$17&amp;"!D"&amp;ROW(B464))</f>
        <v/>
      </c>
      <c r="S483" s="73">
        <f t="shared" si="14"/>
        <v>-9.965301026</v>
      </c>
      <c r="T483" s="73">
        <f>SUM(AE483:AM483)-IFERROR(IFS(Projections!$I$17,AN483,Projections!$J$17,AO483),"")</f>
        <v>-9.965301026</v>
      </c>
      <c r="U483" s="73">
        <f t="shared" si="15"/>
        <v>0</v>
      </c>
      <c r="V483" s="73" t="str">
        <f t="array" ref="V483">INDIRECT("Update"&amp;Projections!$AH$17&amp;"!M"&amp;ROW(B464))</f>
        <v/>
      </c>
      <c r="W483" s="73" t="str">
        <f t="array" ref="W483">INDIRECT("Update"&amp;Projections!$AH$17&amp;"!L"&amp;ROW(B464))</f>
        <v/>
      </c>
      <c r="X483" s="73" t="str">
        <f t="array" ref="X483">INDIRECT("Update"&amp;Projections!$AH$17&amp;"!N"&amp;ROW(B464))</f>
        <v/>
      </c>
      <c r="Y483" s="73" t="str">
        <f t="array" ref="Y483">INDIRECT("Update"&amp;Projections!$AH$17&amp;"!O"&amp;ROW(B464))</f>
        <v/>
      </c>
      <c r="Z483" s="73" t="str">
        <f t="array" ref="Z483">INDIRECT("Update"&amp;Projections!$AH$17&amp;"!P"&amp;ROW(B464))</f>
        <v/>
      </c>
      <c r="AA483" s="73" t="str">
        <f t="array" ref="AA483">INDIRECT("Update"&amp;Projections!$AH$17&amp;"!Q"&amp;ROW(B464))</f>
        <v/>
      </c>
      <c r="AB483" s="107" t="str">
        <f t="array" ref="AB483">INDIRECT("Update"&amp;Projections!$AH$17&amp;"!I"&amp;ROW(B464))</f>
        <v/>
      </c>
      <c r="AC483" s="107" t="str">
        <f t="array" ref="AC483">INDIRECT("Update"&amp;Projections!$AH$17&amp;"!K"&amp;ROW(B464))</f>
        <v/>
      </c>
      <c r="AD483" s="73" t="str">
        <f t="array" ref="AD483">INDIRECT("Update"&amp;Projections!$AH$17&amp;"!R"&amp;ROW(B464))</f>
        <v/>
      </c>
      <c r="AE483" s="73">
        <f t="shared" si="16"/>
        <v>-3.155358621</v>
      </c>
      <c r="AF483" s="73">
        <f t="shared" si="17"/>
        <v>-1.740686581</v>
      </c>
      <c r="AG483" s="73">
        <f t="shared" si="18"/>
        <v>-2.380599106</v>
      </c>
      <c r="AH483" s="73">
        <f t="shared" si="19"/>
        <v>-1.79320266</v>
      </c>
      <c r="AI483" s="73">
        <f t="shared" si="20"/>
        <v>-3.240190514</v>
      </c>
      <c r="AJ483" s="73">
        <f t="shared" si="21"/>
        <v>-1.329092151</v>
      </c>
      <c r="AK483" s="73">
        <f t="shared" si="22"/>
        <v>0</v>
      </c>
      <c r="AL483" s="73">
        <f t="shared" si="23"/>
        <v>0</v>
      </c>
      <c r="AM483" s="73">
        <f t="shared" si="24"/>
        <v>0.433638093</v>
      </c>
      <c r="AN483" s="120">
        <f t="shared" si="25"/>
        <v>-3.240190514</v>
      </c>
      <c r="AO483" s="120">
        <f t="shared" si="26"/>
        <v>-6.395549135</v>
      </c>
      <c r="AP483" s="120" t="str">
        <f t="array" ref="AP483">INDIRECT("Update"&amp;Projections!$AH$17&amp;"!S"&amp;ROW(B464))</f>
        <v/>
      </c>
      <c r="AQ483" s="120" t="str">
        <f t="array" ref="AQ483">INDIRECT("Update"&amp;Projections!$AH$17&amp;"!T"&amp;ROW(B464))</f>
        <v/>
      </c>
      <c r="AR483" s="100">
        <f t="shared" si="27"/>
        <v>-9.965301026</v>
      </c>
    </row>
    <row r="484">
      <c r="A484" t="str">
        <f t="shared" si="3"/>
        <v/>
      </c>
      <c r="B484" s="42">
        <f t="shared" si="4"/>
        <v>-3.155358621</v>
      </c>
      <c r="C484" s="43">
        <f t="shared" si="5"/>
        <v>-1.740686581</v>
      </c>
      <c r="D484" s="42">
        <f t="shared" si="6"/>
        <v>-2.380599106</v>
      </c>
      <c r="E484" s="42">
        <f t="shared" si="7"/>
        <v>-1.79320266</v>
      </c>
      <c r="F484" s="42">
        <f t="shared" si="8"/>
        <v>-3.240190514</v>
      </c>
      <c r="G484" s="42">
        <f t="shared" si="9"/>
        <v>-1.329092151</v>
      </c>
      <c r="H484" s="42">
        <f t="shared" si="10"/>
        <v>0</v>
      </c>
      <c r="I484" s="42" t="str">
        <f>UpdateHashtag!S482</f>
        <v/>
      </c>
      <c r="J484" s="47">
        <f t="shared" si="11"/>
        <v>0</v>
      </c>
      <c r="K484" s="48" t="str">
        <f>UpdateHashtag!T482</f>
        <v/>
      </c>
      <c r="L484" s="42">
        <f t="shared" si="12"/>
        <v>-1.734552372</v>
      </c>
      <c r="N484" s="100">
        <f t="shared" si="13"/>
        <v>401</v>
      </c>
      <c r="O484" s="94" t="str">
        <f t="array" ref="O484">INDIRECT("Update"&amp;Projections!$AH$17&amp;"!B"&amp;ROW(B465))</f>
        <v/>
      </c>
      <c r="P484" s="414" t="str">
        <f t="array" ref="P484">INDIRECT("Update"&amp;Projections!$AH$17&amp;"!C"&amp;ROW(B465))</f>
        <v/>
      </c>
      <c r="Q484" s="94" t="str">
        <f>UpdateHashtag!F514</f>
        <v/>
      </c>
      <c r="R484" s="105" t="str">
        <f t="array" ref="R484">INDIRECT("Update"&amp;Projections!$AH$17&amp;"!D"&amp;ROW(B465))</f>
        <v/>
      </c>
      <c r="S484" s="73">
        <f t="shared" si="14"/>
        <v>-9.965301026</v>
      </c>
      <c r="T484" s="73">
        <f>SUM(AE484:AM484)-IFERROR(IFS(Projections!$I$17,AN484,Projections!$J$17,AO484),"")</f>
        <v>-9.965301026</v>
      </c>
      <c r="U484" s="73">
        <f t="shared" si="15"/>
        <v>0</v>
      </c>
      <c r="V484" s="73" t="str">
        <f t="array" ref="V484">INDIRECT("Update"&amp;Projections!$AH$17&amp;"!M"&amp;ROW(B465))</f>
        <v/>
      </c>
      <c r="W484" s="73" t="str">
        <f t="array" ref="W484">INDIRECT("Update"&amp;Projections!$AH$17&amp;"!L"&amp;ROW(B465))</f>
        <v/>
      </c>
      <c r="X484" s="73" t="str">
        <f t="array" ref="X484">INDIRECT("Update"&amp;Projections!$AH$17&amp;"!N"&amp;ROW(B465))</f>
        <v/>
      </c>
      <c r="Y484" s="73" t="str">
        <f t="array" ref="Y484">INDIRECT("Update"&amp;Projections!$AH$17&amp;"!O"&amp;ROW(B465))</f>
        <v/>
      </c>
      <c r="Z484" s="73" t="str">
        <f t="array" ref="Z484">INDIRECT("Update"&amp;Projections!$AH$17&amp;"!P"&amp;ROW(B465))</f>
        <v/>
      </c>
      <c r="AA484" s="73" t="str">
        <f t="array" ref="AA484">INDIRECT("Update"&amp;Projections!$AH$17&amp;"!Q"&amp;ROW(B465))</f>
        <v/>
      </c>
      <c r="AB484" s="107" t="str">
        <f t="array" ref="AB484">INDIRECT("Update"&amp;Projections!$AH$17&amp;"!I"&amp;ROW(B465))</f>
        <v/>
      </c>
      <c r="AC484" s="107" t="str">
        <f t="array" ref="AC484">INDIRECT("Update"&amp;Projections!$AH$17&amp;"!K"&amp;ROW(B465))</f>
        <v/>
      </c>
      <c r="AD484" s="73" t="str">
        <f t="array" ref="AD484">INDIRECT("Update"&amp;Projections!$AH$17&amp;"!R"&amp;ROW(B465))</f>
        <v/>
      </c>
      <c r="AE484" s="73">
        <f t="shared" si="16"/>
        <v>-3.155358621</v>
      </c>
      <c r="AF484" s="73">
        <f t="shared" si="17"/>
        <v>-1.740686581</v>
      </c>
      <c r="AG484" s="73">
        <f t="shared" si="18"/>
        <v>-2.380599106</v>
      </c>
      <c r="AH484" s="73">
        <f t="shared" si="19"/>
        <v>-1.79320266</v>
      </c>
      <c r="AI484" s="73">
        <f t="shared" si="20"/>
        <v>-3.240190514</v>
      </c>
      <c r="AJ484" s="73">
        <f t="shared" si="21"/>
        <v>-1.329092151</v>
      </c>
      <c r="AK484" s="73">
        <f t="shared" si="22"/>
        <v>0</v>
      </c>
      <c r="AL484" s="73">
        <f t="shared" si="23"/>
        <v>0</v>
      </c>
      <c r="AM484" s="73">
        <f t="shared" si="24"/>
        <v>0.433638093</v>
      </c>
      <c r="AN484" s="120">
        <f t="shared" si="25"/>
        <v>-3.240190514</v>
      </c>
      <c r="AO484" s="120">
        <f t="shared" si="26"/>
        <v>-6.395549135</v>
      </c>
      <c r="AP484" s="120" t="str">
        <f t="array" ref="AP484">INDIRECT("Update"&amp;Projections!$AH$17&amp;"!S"&amp;ROW(B465))</f>
        <v/>
      </c>
      <c r="AQ484" s="120" t="str">
        <f t="array" ref="AQ484">INDIRECT("Update"&amp;Projections!$AH$17&amp;"!T"&amp;ROW(B465))</f>
        <v/>
      </c>
      <c r="AR484" s="100">
        <f t="shared" si="27"/>
        <v>-9.965301026</v>
      </c>
    </row>
    <row r="485">
      <c r="A485" t="str">
        <f t="shared" si="3"/>
        <v/>
      </c>
      <c r="B485" s="42">
        <f t="shared" si="4"/>
        <v>-3.155358621</v>
      </c>
      <c r="C485" s="43">
        <f t="shared" si="5"/>
        <v>-1.740686581</v>
      </c>
      <c r="D485" s="42">
        <f t="shared" si="6"/>
        <v>-2.380599106</v>
      </c>
      <c r="E485" s="42">
        <f t="shared" si="7"/>
        <v>-1.79320266</v>
      </c>
      <c r="F485" s="42">
        <f t="shared" si="8"/>
        <v>-3.240190514</v>
      </c>
      <c r="G485" s="42">
        <f t="shared" si="9"/>
        <v>-1.329092151</v>
      </c>
      <c r="H485" s="42">
        <f t="shared" si="10"/>
        <v>0</v>
      </c>
      <c r="I485" s="42" t="str">
        <f>UpdateHashtag!S483</f>
        <v/>
      </c>
      <c r="J485" s="47">
        <f t="shared" si="11"/>
        <v>0</v>
      </c>
      <c r="K485" s="48" t="str">
        <f>UpdateHashtag!T483</f>
        <v/>
      </c>
      <c r="L485" s="42">
        <f t="shared" si="12"/>
        <v>-1.734552372</v>
      </c>
      <c r="N485" s="100">
        <f t="shared" si="13"/>
        <v>401</v>
      </c>
      <c r="O485" s="94" t="str">
        <f t="array" ref="O485">INDIRECT("Update"&amp;Projections!$AH$17&amp;"!B"&amp;ROW(B466))</f>
        <v/>
      </c>
      <c r="P485" s="414" t="str">
        <f t="array" ref="P485">INDIRECT("Update"&amp;Projections!$AH$17&amp;"!C"&amp;ROW(B466))</f>
        <v/>
      </c>
      <c r="Q485" s="94" t="str">
        <f>UpdateHashtag!F515</f>
        <v/>
      </c>
      <c r="R485" s="105" t="str">
        <f t="array" ref="R485">INDIRECT("Update"&amp;Projections!$AH$17&amp;"!D"&amp;ROW(B466))</f>
        <v/>
      </c>
      <c r="S485" s="73">
        <f t="shared" si="14"/>
        <v>-9.965301026</v>
      </c>
      <c r="T485" s="73">
        <f>SUM(AE485:AM485)-IFERROR(IFS(Projections!$I$17,AN485,Projections!$J$17,AO485),"")</f>
        <v>-9.965301026</v>
      </c>
      <c r="U485" s="73">
        <f t="shared" si="15"/>
        <v>0</v>
      </c>
      <c r="V485" s="73" t="str">
        <f t="array" ref="V485">INDIRECT("Update"&amp;Projections!$AH$17&amp;"!M"&amp;ROW(B466))</f>
        <v/>
      </c>
      <c r="W485" s="73" t="str">
        <f t="array" ref="W485">INDIRECT("Update"&amp;Projections!$AH$17&amp;"!L"&amp;ROW(B466))</f>
        <v/>
      </c>
      <c r="X485" s="73" t="str">
        <f t="array" ref="X485">INDIRECT("Update"&amp;Projections!$AH$17&amp;"!N"&amp;ROW(B466))</f>
        <v/>
      </c>
      <c r="Y485" s="73" t="str">
        <f t="array" ref="Y485">INDIRECT("Update"&amp;Projections!$AH$17&amp;"!O"&amp;ROW(B466))</f>
        <v/>
      </c>
      <c r="Z485" s="73" t="str">
        <f t="array" ref="Z485">INDIRECT("Update"&amp;Projections!$AH$17&amp;"!P"&amp;ROW(B466))</f>
        <v/>
      </c>
      <c r="AA485" s="73" t="str">
        <f t="array" ref="AA485">INDIRECT("Update"&amp;Projections!$AH$17&amp;"!Q"&amp;ROW(B466))</f>
        <v/>
      </c>
      <c r="AB485" s="107" t="str">
        <f t="array" ref="AB485">INDIRECT("Update"&amp;Projections!$AH$17&amp;"!I"&amp;ROW(B466))</f>
        <v/>
      </c>
      <c r="AC485" s="107" t="str">
        <f t="array" ref="AC485">INDIRECT("Update"&amp;Projections!$AH$17&amp;"!K"&amp;ROW(B466))</f>
        <v/>
      </c>
      <c r="AD485" s="73" t="str">
        <f t="array" ref="AD485">INDIRECT("Update"&amp;Projections!$AH$17&amp;"!R"&amp;ROW(B466))</f>
        <v/>
      </c>
      <c r="AE485" s="73">
        <f t="shared" si="16"/>
        <v>-3.155358621</v>
      </c>
      <c r="AF485" s="73">
        <f t="shared" si="17"/>
        <v>-1.740686581</v>
      </c>
      <c r="AG485" s="73">
        <f t="shared" si="18"/>
        <v>-2.380599106</v>
      </c>
      <c r="AH485" s="73">
        <f t="shared" si="19"/>
        <v>-1.79320266</v>
      </c>
      <c r="AI485" s="73">
        <f t="shared" si="20"/>
        <v>-3.240190514</v>
      </c>
      <c r="AJ485" s="73">
        <f t="shared" si="21"/>
        <v>-1.329092151</v>
      </c>
      <c r="AK485" s="73">
        <f t="shared" si="22"/>
        <v>0</v>
      </c>
      <c r="AL485" s="73">
        <f t="shared" si="23"/>
        <v>0</v>
      </c>
      <c r="AM485" s="73">
        <f t="shared" si="24"/>
        <v>0.433638093</v>
      </c>
      <c r="AN485" s="120">
        <f t="shared" si="25"/>
        <v>-3.240190514</v>
      </c>
      <c r="AO485" s="120">
        <f t="shared" si="26"/>
        <v>-6.395549135</v>
      </c>
      <c r="AP485" s="120" t="str">
        <f t="array" ref="AP485">INDIRECT("Update"&amp;Projections!$AH$17&amp;"!S"&amp;ROW(B466))</f>
        <v/>
      </c>
      <c r="AQ485" s="120" t="str">
        <f t="array" ref="AQ485">INDIRECT("Update"&amp;Projections!$AH$17&amp;"!T"&amp;ROW(B466))</f>
        <v/>
      </c>
      <c r="AR485" s="100">
        <f t="shared" si="27"/>
        <v>-9.965301026</v>
      </c>
    </row>
    <row r="486">
      <c r="A486" t="str">
        <f t="shared" si="3"/>
        <v/>
      </c>
      <c r="B486" s="42">
        <f t="shared" si="4"/>
        <v>-3.155358621</v>
      </c>
      <c r="C486" s="43">
        <f t="shared" si="5"/>
        <v>-1.740686581</v>
      </c>
      <c r="D486" s="42">
        <f t="shared" si="6"/>
        <v>-2.380599106</v>
      </c>
      <c r="E486" s="42">
        <f t="shared" si="7"/>
        <v>-1.79320266</v>
      </c>
      <c r="F486" s="42">
        <f t="shared" si="8"/>
        <v>-3.240190514</v>
      </c>
      <c r="G486" s="42">
        <f t="shared" si="9"/>
        <v>-1.329092151</v>
      </c>
      <c r="H486" s="42">
        <f t="shared" si="10"/>
        <v>0</v>
      </c>
      <c r="I486" s="42" t="str">
        <f>UpdateHashtag!S484</f>
        <v/>
      </c>
      <c r="J486" s="47">
        <f t="shared" si="11"/>
        <v>0</v>
      </c>
      <c r="K486" s="48" t="str">
        <f>UpdateHashtag!T484</f>
        <v/>
      </c>
      <c r="L486" s="42">
        <f t="shared" si="12"/>
        <v>-1.734552372</v>
      </c>
      <c r="N486" s="100">
        <f t="shared" si="13"/>
        <v>401</v>
      </c>
      <c r="O486" s="94" t="str">
        <f t="array" ref="O486">INDIRECT("Update"&amp;Projections!$AH$17&amp;"!B"&amp;ROW(B467))</f>
        <v/>
      </c>
      <c r="P486" s="414" t="str">
        <f t="array" ref="P486">INDIRECT("Update"&amp;Projections!$AH$17&amp;"!C"&amp;ROW(B467))</f>
        <v/>
      </c>
      <c r="Q486" s="94" t="str">
        <f>UpdateHashtag!F516</f>
        <v/>
      </c>
      <c r="R486" s="105" t="str">
        <f t="array" ref="R486">INDIRECT("Update"&amp;Projections!$AH$17&amp;"!D"&amp;ROW(B467))</f>
        <v/>
      </c>
      <c r="S486" s="73">
        <f t="shared" si="14"/>
        <v>-9.965301026</v>
      </c>
      <c r="T486" s="73">
        <f>SUM(AE486:AM486)-IFERROR(IFS(Projections!$I$17,AN486,Projections!$J$17,AO486),"")</f>
        <v>-9.965301026</v>
      </c>
      <c r="U486" s="73">
        <f t="shared" si="15"/>
        <v>0</v>
      </c>
      <c r="V486" s="73" t="str">
        <f t="array" ref="V486">INDIRECT("Update"&amp;Projections!$AH$17&amp;"!M"&amp;ROW(B467))</f>
        <v/>
      </c>
      <c r="W486" s="73" t="str">
        <f t="array" ref="W486">INDIRECT("Update"&amp;Projections!$AH$17&amp;"!L"&amp;ROW(B467))</f>
        <v/>
      </c>
      <c r="X486" s="73" t="str">
        <f t="array" ref="X486">INDIRECT("Update"&amp;Projections!$AH$17&amp;"!N"&amp;ROW(B467))</f>
        <v/>
      </c>
      <c r="Y486" s="73" t="str">
        <f t="array" ref="Y486">INDIRECT("Update"&amp;Projections!$AH$17&amp;"!O"&amp;ROW(B467))</f>
        <v/>
      </c>
      <c r="Z486" s="73" t="str">
        <f t="array" ref="Z486">INDIRECT("Update"&amp;Projections!$AH$17&amp;"!P"&amp;ROW(B467))</f>
        <v/>
      </c>
      <c r="AA486" s="73" t="str">
        <f t="array" ref="AA486">INDIRECT("Update"&amp;Projections!$AH$17&amp;"!Q"&amp;ROW(B467))</f>
        <v/>
      </c>
      <c r="AB486" s="107" t="str">
        <f t="array" ref="AB486">INDIRECT("Update"&amp;Projections!$AH$17&amp;"!I"&amp;ROW(B467))</f>
        <v/>
      </c>
      <c r="AC486" s="107" t="str">
        <f t="array" ref="AC486">INDIRECT("Update"&amp;Projections!$AH$17&amp;"!K"&amp;ROW(B467))</f>
        <v/>
      </c>
      <c r="AD486" s="73" t="str">
        <f t="array" ref="AD486">INDIRECT("Update"&amp;Projections!$AH$17&amp;"!R"&amp;ROW(B467))</f>
        <v/>
      </c>
      <c r="AE486" s="73">
        <f t="shared" si="16"/>
        <v>-3.155358621</v>
      </c>
      <c r="AF486" s="73">
        <f t="shared" si="17"/>
        <v>-1.740686581</v>
      </c>
      <c r="AG486" s="73">
        <f t="shared" si="18"/>
        <v>-2.380599106</v>
      </c>
      <c r="AH486" s="73">
        <f t="shared" si="19"/>
        <v>-1.79320266</v>
      </c>
      <c r="AI486" s="73">
        <f t="shared" si="20"/>
        <v>-3.240190514</v>
      </c>
      <c r="AJ486" s="73">
        <f t="shared" si="21"/>
        <v>-1.329092151</v>
      </c>
      <c r="AK486" s="73">
        <f t="shared" si="22"/>
        <v>0</v>
      </c>
      <c r="AL486" s="73">
        <f t="shared" si="23"/>
        <v>0</v>
      </c>
      <c r="AM486" s="73">
        <f t="shared" si="24"/>
        <v>0.433638093</v>
      </c>
      <c r="AN486" s="120">
        <f t="shared" si="25"/>
        <v>-3.240190514</v>
      </c>
      <c r="AO486" s="120">
        <f t="shared" si="26"/>
        <v>-6.395549135</v>
      </c>
      <c r="AP486" s="120" t="str">
        <f t="array" ref="AP486">INDIRECT("Update"&amp;Projections!$AH$17&amp;"!S"&amp;ROW(B467))</f>
        <v/>
      </c>
      <c r="AQ486" s="120" t="str">
        <f t="array" ref="AQ486">INDIRECT("Update"&amp;Projections!$AH$17&amp;"!T"&amp;ROW(B467))</f>
        <v/>
      </c>
      <c r="AR486" s="100">
        <f t="shared" si="27"/>
        <v>-9.965301026</v>
      </c>
    </row>
    <row r="487">
      <c r="A487" t="str">
        <f t="shared" si="3"/>
        <v/>
      </c>
      <c r="B487" s="42">
        <f t="shared" si="4"/>
        <v>-3.155358621</v>
      </c>
      <c r="C487" s="43">
        <f t="shared" si="5"/>
        <v>-1.740686581</v>
      </c>
      <c r="D487" s="42">
        <f t="shared" si="6"/>
        <v>-2.380599106</v>
      </c>
      <c r="E487" s="42">
        <f t="shared" si="7"/>
        <v>-1.79320266</v>
      </c>
      <c r="F487" s="42">
        <f t="shared" si="8"/>
        <v>-3.240190514</v>
      </c>
      <c r="G487" s="42">
        <f t="shared" si="9"/>
        <v>-1.329092151</v>
      </c>
      <c r="H487" s="42">
        <f t="shared" si="10"/>
        <v>0</v>
      </c>
      <c r="I487" s="42" t="str">
        <f>UpdateHashtag!S485</f>
        <v/>
      </c>
      <c r="J487" s="47">
        <f t="shared" si="11"/>
        <v>0</v>
      </c>
      <c r="K487" s="48" t="str">
        <f>UpdateHashtag!T485</f>
        <v/>
      </c>
      <c r="L487" s="42">
        <f t="shared" si="12"/>
        <v>-1.734552372</v>
      </c>
      <c r="N487" s="100">
        <f t="shared" si="13"/>
        <v>401</v>
      </c>
      <c r="O487" s="94" t="str">
        <f t="array" ref="O487">INDIRECT("Update"&amp;Projections!$AH$17&amp;"!B"&amp;ROW(B468))</f>
        <v/>
      </c>
      <c r="P487" s="414" t="str">
        <f t="array" ref="P487">INDIRECT("Update"&amp;Projections!$AH$17&amp;"!C"&amp;ROW(B468))</f>
        <v/>
      </c>
      <c r="Q487" s="94" t="str">
        <f>UpdateHashtag!F517</f>
        <v/>
      </c>
      <c r="R487" s="105" t="str">
        <f t="array" ref="R487">INDIRECT("Update"&amp;Projections!$AH$17&amp;"!D"&amp;ROW(B468))</f>
        <v/>
      </c>
      <c r="S487" s="73">
        <f t="shared" si="14"/>
        <v>-9.965301026</v>
      </c>
      <c r="T487" s="73">
        <f>SUM(AE487:AM487)-IFERROR(IFS(Projections!$I$17,AN487,Projections!$J$17,AO487),"")</f>
        <v>-9.965301026</v>
      </c>
      <c r="U487" s="73">
        <f t="shared" si="15"/>
        <v>0</v>
      </c>
      <c r="V487" s="73" t="str">
        <f t="array" ref="V487">INDIRECT("Update"&amp;Projections!$AH$17&amp;"!M"&amp;ROW(B468))</f>
        <v/>
      </c>
      <c r="W487" s="73" t="str">
        <f t="array" ref="W487">INDIRECT("Update"&amp;Projections!$AH$17&amp;"!L"&amp;ROW(B468))</f>
        <v/>
      </c>
      <c r="X487" s="73" t="str">
        <f t="array" ref="X487">INDIRECT("Update"&amp;Projections!$AH$17&amp;"!N"&amp;ROW(B468))</f>
        <v/>
      </c>
      <c r="Y487" s="73" t="str">
        <f t="array" ref="Y487">INDIRECT("Update"&amp;Projections!$AH$17&amp;"!O"&amp;ROW(B468))</f>
        <v/>
      </c>
      <c r="Z487" s="73" t="str">
        <f t="array" ref="Z487">INDIRECT("Update"&amp;Projections!$AH$17&amp;"!P"&amp;ROW(B468))</f>
        <v/>
      </c>
      <c r="AA487" s="73" t="str">
        <f t="array" ref="AA487">INDIRECT("Update"&amp;Projections!$AH$17&amp;"!Q"&amp;ROW(B468))</f>
        <v/>
      </c>
      <c r="AB487" s="107" t="str">
        <f t="array" ref="AB487">INDIRECT("Update"&amp;Projections!$AH$17&amp;"!I"&amp;ROW(B468))</f>
        <v/>
      </c>
      <c r="AC487" s="107" t="str">
        <f t="array" ref="AC487">INDIRECT("Update"&amp;Projections!$AH$17&amp;"!K"&amp;ROW(B468))</f>
        <v/>
      </c>
      <c r="AD487" s="73" t="str">
        <f t="array" ref="AD487">INDIRECT("Update"&amp;Projections!$AH$17&amp;"!R"&amp;ROW(B468))</f>
        <v/>
      </c>
      <c r="AE487" s="73">
        <f t="shared" si="16"/>
        <v>-3.155358621</v>
      </c>
      <c r="AF487" s="73">
        <f t="shared" si="17"/>
        <v>-1.740686581</v>
      </c>
      <c r="AG487" s="73">
        <f t="shared" si="18"/>
        <v>-2.380599106</v>
      </c>
      <c r="AH487" s="73">
        <f t="shared" si="19"/>
        <v>-1.79320266</v>
      </c>
      <c r="AI487" s="73">
        <f t="shared" si="20"/>
        <v>-3.240190514</v>
      </c>
      <c r="AJ487" s="73">
        <f t="shared" si="21"/>
        <v>-1.329092151</v>
      </c>
      <c r="AK487" s="73">
        <f t="shared" si="22"/>
        <v>0</v>
      </c>
      <c r="AL487" s="73">
        <f t="shared" si="23"/>
        <v>0</v>
      </c>
      <c r="AM487" s="73">
        <f t="shared" si="24"/>
        <v>0.433638093</v>
      </c>
      <c r="AN487" s="120">
        <f t="shared" si="25"/>
        <v>-3.240190514</v>
      </c>
      <c r="AO487" s="120">
        <f t="shared" si="26"/>
        <v>-6.395549135</v>
      </c>
      <c r="AP487" s="120" t="str">
        <f t="array" ref="AP487">INDIRECT("Update"&amp;Projections!$AH$17&amp;"!S"&amp;ROW(B468))</f>
        <v/>
      </c>
      <c r="AQ487" s="120" t="str">
        <f t="array" ref="AQ487">INDIRECT("Update"&amp;Projections!$AH$17&amp;"!T"&amp;ROW(B468))</f>
        <v/>
      </c>
      <c r="AR487" s="100">
        <f t="shared" si="27"/>
        <v>-9.965301026</v>
      </c>
    </row>
    <row r="488">
      <c r="A488" t="str">
        <f t="shared" si="3"/>
        <v/>
      </c>
      <c r="B488" s="42">
        <f t="shared" si="4"/>
        <v>-3.155358621</v>
      </c>
      <c r="C488" s="43">
        <f t="shared" si="5"/>
        <v>-1.740686581</v>
      </c>
      <c r="D488" s="42">
        <f t="shared" si="6"/>
        <v>-2.380599106</v>
      </c>
      <c r="E488" s="42">
        <f t="shared" si="7"/>
        <v>-1.79320266</v>
      </c>
      <c r="F488" s="42">
        <f t="shared" si="8"/>
        <v>-3.240190514</v>
      </c>
      <c r="G488" s="42">
        <f t="shared" si="9"/>
        <v>-1.329092151</v>
      </c>
      <c r="H488" s="42">
        <f t="shared" si="10"/>
        <v>0</v>
      </c>
      <c r="I488" s="42" t="str">
        <f>UpdateHashtag!S486</f>
        <v/>
      </c>
      <c r="J488" s="47">
        <f t="shared" si="11"/>
        <v>0</v>
      </c>
      <c r="K488" s="48" t="str">
        <f>UpdateHashtag!T486</f>
        <v/>
      </c>
      <c r="L488" s="42">
        <f t="shared" si="12"/>
        <v>-1.734552372</v>
      </c>
      <c r="N488" s="100">
        <f t="shared" si="13"/>
        <v>401</v>
      </c>
      <c r="O488" s="94" t="str">
        <f t="array" ref="O488">INDIRECT("Update"&amp;Projections!$AH$17&amp;"!B"&amp;ROW(B469))</f>
        <v/>
      </c>
      <c r="P488" s="414" t="str">
        <f t="array" ref="P488">INDIRECT("Update"&amp;Projections!$AH$17&amp;"!C"&amp;ROW(B469))</f>
        <v/>
      </c>
      <c r="Q488" s="94" t="str">
        <f>UpdateHashtag!F518</f>
        <v/>
      </c>
      <c r="R488" s="105" t="str">
        <f t="array" ref="R488">INDIRECT("Update"&amp;Projections!$AH$17&amp;"!D"&amp;ROW(B469))</f>
        <v/>
      </c>
      <c r="S488" s="73">
        <f t="shared" si="14"/>
        <v>-9.965301026</v>
      </c>
      <c r="T488" s="73">
        <f>SUM(AE488:AM488)-IFERROR(IFS(Projections!$I$17,AN488,Projections!$J$17,AO488),"")</f>
        <v>-9.965301026</v>
      </c>
      <c r="U488" s="73">
        <f t="shared" si="15"/>
        <v>0</v>
      </c>
      <c r="V488" s="73" t="str">
        <f t="array" ref="V488">INDIRECT("Update"&amp;Projections!$AH$17&amp;"!M"&amp;ROW(B469))</f>
        <v/>
      </c>
      <c r="W488" s="73" t="str">
        <f t="array" ref="W488">INDIRECT("Update"&amp;Projections!$AH$17&amp;"!L"&amp;ROW(B469))</f>
        <v/>
      </c>
      <c r="X488" s="73" t="str">
        <f t="array" ref="X488">INDIRECT("Update"&amp;Projections!$AH$17&amp;"!N"&amp;ROW(B469))</f>
        <v/>
      </c>
      <c r="Y488" s="73" t="str">
        <f t="array" ref="Y488">INDIRECT("Update"&amp;Projections!$AH$17&amp;"!O"&amp;ROW(B469))</f>
        <v/>
      </c>
      <c r="Z488" s="73" t="str">
        <f t="array" ref="Z488">INDIRECT("Update"&amp;Projections!$AH$17&amp;"!P"&amp;ROW(B469))</f>
        <v/>
      </c>
      <c r="AA488" s="73" t="str">
        <f t="array" ref="AA488">INDIRECT("Update"&amp;Projections!$AH$17&amp;"!Q"&amp;ROW(B469))</f>
        <v/>
      </c>
      <c r="AB488" s="107" t="str">
        <f t="array" ref="AB488">INDIRECT("Update"&amp;Projections!$AH$17&amp;"!I"&amp;ROW(B469))</f>
        <v/>
      </c>
      <c r="AC488" s="107" t="str">
        <f t="array" ref="AC488">INDIRECT("Update"&amp;Projections!$AH$17&amp;"!K"&amp;ROW(B469))</f>
        <v/>
      </c>
      <c r="AD488" s="73" t="str">
        <f t="array" ref="AD488">INDIRECT("Update"&amp;Projections!$AH$17&amp;"!R"&amp;ROW(B469))</f>
        <v/>
      </c>
      <c r="AE488" s="73">
        <f t="shared" si="16"/>
        <v>-3.155358621</v>
      </c>
      <c r="AF488" s="73">
        <f t="shared" si="17"/>
        <v>-1.740686581</v>
      </c>
      <c r="AG488" s="73">
        <f t="shared" si="18"/>
        <v>-2.380599106</v>
      </c>
      <c r="AH488" s="73">
        <f t="shared" si="19"/>
        <v>-1.79320266</v>
      </c>
      <c r="AI488" s="73">
        <f t="shared" si="20"/>
        <v>-3.240190514</v>
      </c>
      <c r="AJ488" s="73">
        <f t="shared" si="21"/>
        <v>-1.329092151</v>
      </c>
      <c r="AK488" s="73">
        <f t="shared" si="22"/>
        <v>0</v>
      </c>
      <c r="AL488" s="73">
        <f t="shared" si="23"/>
        <v>0</v>
      </c>
      <c r="AM488" s="73">
        <f t="shared" si="24"/>
        <v>0.433638093</v>
      </c>
      <c r="AN488" s="120">
        <f t="shared" si="25"/>
        <v>-3.240190514</v>
      </c>
      <c r="AO488" s="120">
        <f t="shared" si="26"/>
        <v>-6.395549135</v>
      </c>
      <c r="AP488" s="120" t="str">
        <f t="array" ref="AP488">INDIRECT("Update"&amp;Projections!$AH$17&amp;"!S"&amp;ROW(B469))</f>
        <v/>
      </c>
      <c r="AQ488" s="120" t="str">
        <f t="array" ref="AQ488">INDIRECT("Update"&amp;Projections!$AH$17&amp;"!T"&amp;ROW(B469))</f>
        <v/>
      </c>
      <c r="AR488" s="100">
        <f t="shared" si="27"/>
        <v>-9.965301026</v>
      </c>
    </row>
    <row r="489">
      <c r="A489" t="str">
        <f t="shared" si="3"/>
        <v/>
      </c>
      <c r="B489" s="42">
        <f t="shared" si="4"/>
        <v>-3.155358621</v>
      </c>
      <c r="C489" s="43">
        <f t="shared" si="5"/>
        <v>-1.740686581</v>
      </c>
      <c r="D489" s="42">
        <f t="shared" si="6"/>
        <v>-2.380599106</v>
      </c>
      <c r="E489" s="42">
        <f t="shared" si="7"/>
        <v>-1.79320266</v>
      </c>
      <c r="F489" s="42">
        <f t="shared" si="8"/>
        <v>-3.240190514</v>
      </c>
      <c r="G489" s="42">
        <f t="shared" si="9"/>
        <v>-1.329092151</v>
      </c>
      <c r="H489" s="42">
        <f t="shared" si="10"/>
        <v>0</v>
      </c>
      <c r="I489" s="42" t="str">
        <f>UpdateHashtag!S487</f>
        <v/>
      </c>
      <c r="J489" s="47">
        <f t="shared" si="11"/>
        <v>0</v>
      </c>
      <c r="K489" s="48" t="str">
        <f>UpdateHashtag!T487</f>
        <v/>
      </c>
      <c r="L489" s="42">
        <f t="shared" si="12"/>
        <v>-1.734552372</v>
      </c>
      <c r="N489" s="100">
        <f t="shared" si="13"/>
        <v>401</v>
      </c>
      <c r="O489" s="94" t="str">
        <f t="array" ref="O489">INDIRECT("Update"&amp;Projections!$AH$17&amp;"!B"&amp;ROW(B470))</f>
        <v/>
      </c>
      <c r="P489" s="414" t="str">
        <f t="array" ref="P489">INDIRECT("Update"&amp;Projections!$AH$17&amp;"!C"&amp;ROW(B470))</f>
        <v/>
      </c>
      <c r="Q489" s="94" t="str">
        <f>UpdateHashtag!F519</f>
        <v/>
      </c>
      <c r="R489" s="105" t="str">
        <f t="array" ref="R489">INDIRECT("Update"&amp;Projections!$AH$17&amp;"!D"&amp;ROW(B470))</f>
        <v/>
      </c>
      <c r="S489" s="73">
        <f t="shared" si="14"/>
        <v>-9.965301026</v>
      </c>
      <c r="T489" s="73">
        <f>SUM(AE489:AM489)-IFERROR(IFS(Projections!$I$17,AN489,Projections!$J$17,AO489),"")</f>
        <v>-9.965301026</v>
      </c>
      <c r="U489" s="73">
        <f t="shared" si="15"/>
        <v>0</v>
      </c>
      <c r="V489" s="73" t="str">
        <f t="array" ref="V489">INDIRECT("Update"&amp;Projections!$AH$17&amp;"!M"&amp;ROW(B470))</f>
        <v/>
      </c>
      <c r="W489" s="73" t="str">
        <f t="array" ref="W489">INDIRECT("Update"&amp;Projections!$AH$17&amp;"!L"&amp;ROW(B470))</f>
        <v/>
      </c>
      <c r="X489" s="73" t="str">
        <f t="array" ref="X489">INDIRECT("Update"&amp;Projections!$AH$17&amp;"!N"&amp;ROW(B470))</f>
        <v/>
      </c>
      <c r="Y489" s="73" t="str">
        <f t="array" ref="Y489">INDIRECT("Update"&amp;Projections!$AH$17&amp;"!O"&amp;ROW(B470))</f>
        <v/>
      </c>
      <c r="Z489" s="73" t="str">
        <f t="array" ref="Z489">INDIRECT("Update"&amp;Projections!$AH$17&amp;"!P"&amp;ROW(B470))</f>
        <v/>
      </c>
      <c r="AA489" s="73" t="str">
        <f t="array" ref="AA489">INDIRECT("Update"&amp;Projections!$AH$17&amp;"!Q"&amp;ROW(B470))</f>
        <v/>
      </c>
      <c r="AB489" s="107" t="str">
        <f t="array" ref="AB489">INDIRECT("Update"&amp;Projections!$AH$17&amp;"!I"&amp;ROW(B470))</f>
        <v/>
      </c>
      <c r="AC489" s="107" t="str">
        <f t="array" ref="AC489">INDIRECT("Update"&amp;Projections!$AH$17&amp;"!K"&amp;ROW(B470))</f>
        <v/>
      </c>
      <c r="AD489" s="73" t="str">
        <f t="array" ref="AD489">INDIRECT("Update"&amp;Projections!$AH$17&amp;"!R"&amp;ROW(B470))</f>
        <v/>
      </c>
      <c r="AE489" s="73">
        <f t="shared" si="16"/>
        <v>-3.155358621</v>
      </c>
      <c r="AF489" s="73">
        <f t="shared" si="17"/>
        <v>-1.740686581</v>
      </c>
      <c r="AG489" s="73">
        <f t="shared" si="18"/>
        <v>-2.380599106</v>
      </c>
      <c r="AH489" s="73">
        <f t="shared" si="19"/>
        <v>-1.79320266</v>
      </c>
      <c r="AI489" s="73">
        <f t="shared" si="20"/>
        <v>-3.240190514</v>
      </c>
      <c r="AJ489" s="73">
        <f t="shared" si="21"/>
        <v>-1.329092151</v>
      </c>
      <c r="AK489" s="73">
        <f t="shared" si="22"/>
        <v>0</v>
      </c>
      <c r="AL489" s="73">
        <f t="shared" si="23"/>
        <v>0</v>
      </c>
      <c r="AM489" s="73">
        <f t="shared" si="24"/>
        <v>0.433638093</v>
      </c>
      <c r="AN489" s="120">
        <f t="shared" si="25"/>
        <v>-3.240190514</v>
      </c>
      <c r="AO489" s="120">
        <f t="shared" si="26"/>
        <v>-6.395549135</v>
      </c>
      <c r="AP489" s="120" t="str">
        <f t="array" ref="AP489">INDIRECT("Update"&amp;Projections!$AH$17&amp;"!S"&amp;ROW(B470))</f>
        <v/>
      </c>
      <c r="AQ489" s="120" t="str">
        <f t="array" ref="AQ489">INDIRECT("Update"&amp;Projections!$AH$17&amp;"!T"&amp;ROW(B470))</f>
        <v/>
      </c>
      <c r="AR489" s="100">
        <f t="shared" si="27"/>
        <v>-9.965301026</v>
      </c>
    </row>
    <row r="490">
      <c r="A490" t="str">
        <f t="shared" si="3"/>
        <v/>
      </c>
      <c r="B490" s="42">
        <f t="shared" si="4"/>
        <v>-3.155358621</v>
      </c>
      <c r="C490" s="43">
        <f t="shared" si="5"/>
        <v>-1.740686581</v>
      </c>
      <c r="D490" s="42">
        <f t="shared" si="6"/>
        <v>-2.380599106</v>
      </c>
      <c r="E490" s="42">
        <f t="shared" si="7"/>
        <v>-1.79320266</v>
      </c>
      <c r="F490" s="42">
        <f t="shared" si="8"/>
        <v>-3.240190514</v>
      </c>
      <c r="G490" s="42">
        <f t="shared" si="9"/>
        <v>-1.329092151</v>
      </c>
      <c r="H490" s="42">
        <f t="shared" si="10"/>
        <v>0</v>
      </c>
      <c r="I490" s="42" t="str">
        <f>UpdateHashtag!S488</f>
        <v/>
      </c>
      <c r="J490" s="47">
        <f t="shared" si="11"/>
        <v>0</v>
      </c>
      <c r="K490" s="48" t="str">
        <f>UpdateHashtag!T488</f>
        <v/>
      </c>
      <c r="L490" s="42">
        <f t="shared" si="12"/>
        <v>-1.734552372</v>
      </c>
      <c r="N490" s="100">
        <f t="shared" si="13"/>
        <v>401</v>
      </c>
      <c r="O490" s="94" t="str">
        <f t="array" ref="O490">INDIRECT("Update"&amp;Projections!$AH$17&amp;"!B"&amp;ROW(B471))</f>
        <v/>
      </c>
      <c r="P490" s="414" t="str">
        <f t="array" ref="P490">INDIRECT("Update"&amp;Projections!$AH$17&amp;"!C"&amp;ROW(B471))</f>
        <v/>
      </c>
      <c r="Q490" s="94" t="str">
        <f>UpdateHashtag!F520</f>
        <v/>
      </c>
      <c r="R490" s="105" t="str">
        <f t="array" ref="R490">INDIRECT("Update"&amp;Projections!$AH$17&amp;"!D"&amp;ROW(B471))</f>
        <v/>
      </c>
      <c r="S490" s="73">
        <f t="shared" si="14"/>
        <v>-9.965301026</v>
      </c>
      <c r="T490" s="73">
        <f>SUM(AE490:AM490)-IFERROR(IFS(Projections!$I$17,AN490,Projections!$J$17,AO490),"")</f>
        <v>-9.965301026</v>
      </c>
      <c r="U490" s="73">
        <f t="shared" si="15"/>
        <v>0</v>
      </c>
      <c r="V490" s="73" t="str">
        <f t="array" ref="V490">INDIRECT("Update"&amp;Projections!$AH$17&amp;"!M"&amp;ROW(B471))</f>
        <v/>
      </c>
      <c r="W490" s="73" t="str">
        <f t="array" ref="W490">INDIRECT("Update"&amp;Projections!$AH$17&amp;"!L"&amp;ROW(B471))</f>
        <v/>
      </c>
      <c r="X490" s="73" t="str">
        <f t="array" ref="X490">INDIRECT("Update"&amp;Projections!$AH$17&amp;"!N"&amp;ROW(B471))</f>
        <v/>
      </c>
      <c r="Y490" s="73" t="str">
        <f t="array" ref="Y490">INDIRECT("Update"&amp;Projections!$AH$17&amp;"!O"&amp;ROW(B471))</f>
        <v/>
      </c>
      <c r="Z490" s="73" t="str">
        <f t="array" ref="Z490">INDIRECT("Update"&amp;Projections!$AH$17&amp;"!P"&amp;ROW(B471))</f>
        <v/>
      </c>
      <c r="AA490" s="73" t="str">
        <f t="array" ref="AA490">INDIRECT("Update"&amp;Projections!$AH$17&amp;"!Q"&amp;ROW(B471))</f>
        <v/>
      </c>
      <c r="AB490" s="107" t="str">
        <f t="array" ref="AB490">INDIRECT("Update"&amp;Projections!$AH$17&amp;"!I"&amp;ROW(B471))</f>
        <v/>
      </c>
      <c r="AC490" s="107" t="str">
        <f t="array" ref="AC490">INDIRECT("Update"&amp;Projections!$AH$17&amp;"!K"&amp;ROW(B471))</f>
        <v/>
      </c>
      <c r="AD490" s="73" t="str">
        <f t="array" ref="AD490">INDIRECT("Update"&amp;Projections!$AH$17&amp;"!R"&amp;ROW(B471))</f>
        <v/>
      </c>
      <c r="AE490" s="73">
        <f t="shared" si="16"/>
        <v>-3.155358621</v>
      </c>
      <c r="AF490" s="73">
        <f t="shared" si="17"/>
        <v>-1.740686581</v>
      </c>
      <c r="AG490" s="73">
        <f t="shared" si="18"/>
        <v>-2.380599106</v>
      </c>
      <c r="AH490" s="73">
        <f t="shared" si="19"/>
        <v>-1.79320266</v>
      </c>
      <c r="AI490" s="73">
        <f t="shared" si="20"/>
        <v>-3.240190514</v>
      </c>
      <c r="AJ490" s="73">
        <f t="shared" si="21"/>
        <v>-1.329092151</v>
      </c>
      <c r="AK490" s="73">
        <f t="shared" si="22"/>
        <v>0</v>
      </c>
      <c r="AL490" s="73">
        <f t="shared" si="23"/>
        <v>0</v>
      </c>
      <c r="AM490" s="73">
        <f t="shared" si="24"/>
        <v>0.433638093</v>
      </c>
      <c r="AN490" s="120">
        <f t="shared" si="25"/>
        <v>-3.240190514</v>
      </c>
      <c r="AO490" s="120">
        <f t="shared" si="26"/>
        <v>-6.395549135</v>
      </c>
      <c r="AP490" s="120" t="str">
        <f t="array" ref="AP490">INDIRECT("Update"&amp;Projections!$AH$17&amp;"!S"&amp;ROW(B471))</f>
        <v/>
      </c>
      <c r="AQ490" s="120" t="str">
        <f t="array" ref="AQ490">INDIRECT("Update"&amp;Projections!$AH$17&amp;"!T"&amp;ROW(B471))</f>
        <v/>
      </c>
      <c r="AR490" s="100">
        <f t="shared" si="27"/>
        <v>-9.965301026</v>
      </c>
    </row>
    <row r="491">
      <c r="A491" t="str">
        <f t="shared" si="3"/>
        <v/>
      </c>
      <c r="B491" s="42">
        <f t="shared" si="4"/>
        <v>-3.155358621</v>
      </c>
      <c r="C491" s="43">
        <f t="shared" si="5"/>
        <v>-1.740686581</v>
      </c>
      <c r="D491" s="42">
        <f t="shared" si="6"/>
        <v>-2.380599106</v>
      </c>
      <c r="E491" s="42">
        <f t="shared" si="7"/>
        <v>-1.79320266</v>
      </c>
      <c r="F491" s="42">
        <f t="shared" si="8"/>
        <v>-3.240190514</v>
      </c>
      <c r="G491" s="42">
        <f t="shared" si="9"/>
        <v>-1.329092151</v>
      </c>
      <c r="H491" s="42">
        <f t="shared" si="10"/>
        <v>0</v>
      </c>
      <c r="I491" s="42" t="str">
        <f>UpdateHashtag!S489</f>
        <v/>
      </c>
      <c r="J491" s="47">
        <f t="shared" si="11"/>
        <v>0</v>
      </c>
      <c r="K491" s="48" t="str">
        <f>UpdateHashtag!T489</f>
        <v/>
      </c>
      <c r="L491" s="42">
        <f t="shared" si="12"/>
        <v>-1.734552372</v>
      </c>
      <c r="N491" s="100">
        <f t="shared" si="13"/>
        <v>401</v>
      </c>
      <c r="O491" s="94" t="str">
        <f t="array" ref="O491">INDIRECT("Update"&amp;Projections!$AH$17&amp;"!B"&amp;ROW(B472))</f>
        <v/>
      </c>
      <c r="P491" s="414" t="str">
        <f t="array" ref="P491">INDIRECT("Update"&amp;Projections!$AH$17&amp;"!C"&amp;ROW(B472))</f>
        <v/>
      </c>
      <c r="Q491" s="94" t="str">
        <f>UpdateHashtag!F521</f>
        <v/>
      </c>
      <c r="R491" s="105" t="str">
        <f t="array" ref="R491">INDIRECT("Update"&amp;Projections!$AH$17&amp;"!D"&amp;ROW(B472))</f>
        <v/>
      </c>
      <c r="S491" s="73">
        <f t="shared" si="14"/>
        <v>-9.965301026</v>
      </c>
      <c r="T491" s="73">
        <f>SUM(AE491:AM491)-IFERROR(IFS(Projections!$I$17,AN491,Projections!$J$17,AO491),"")</f>
        <v>-9.965301026</v>
      </c>
      <c r="U491" s="73">
        <f t="shared" si="15"/>
        <v>0</v>
      </c>
      <c r="V491" s="73" t="str">
        <f t="array" ref="V491">INDIRECT("Update"&amp;Projections!$AH$17&amp;"!M"&amp;ROW(B472))</f>
        <v/>
      </c>
      <c r="W491" s="73" t="str">
        <f t="array" ref="W491">INDIRECT("Update"&amp;Projections!$AH$17&amp;"!L"&amp;ROW(B472))</f>
        <v/>
      </c>
      <c r="X491" s="73" t="str">
        <f t="array" ref="X491">INDIRECT("Update"&amp;Projections!$AH$17&amp;"!N"&amp;ROW(B472))</f>
        <v/>
      </c>
      <c r="Y491" s="73" t="str">
        <f t="array" ref="Y491">INDIRECT("Update"&amp;Projections!$AH$17&amp;"!O"&amp;ROW(B472))</f>
        <v/>
      </c>
      <c r="Z491" s="73" t="str">
        <f t="array" ref="Z491">INDIRECT("Update"&amp;Projections!$AH$17&amp;"!P"&amp;ROW(B472))</f>
        <v/>
      </c>
      <c r="AA491" s="73" t="str">
        <f t="array" ref="AA491">INDIRECT("Update"&amp;Projections!$AH$17&amp;"!Q"&amp;ROW(B472))</f>
        <v/>
      </c>
      <c r="AB491" s="107" t="str">
        <f t="array" ref="AB491">INDIRECT("Update"&amp;Projections!$AH$17&amp;"!I"&amp;ROW(B472))</f>
        <v/>
      </c>
      <c r="AC491" s="107" t="str">
        <f t="array" ref="AC491">INDIRECT("Update"&amp;Projections!$AH$17&amp;"!K"&amp;ROW(B472))</f>
        <v/>
      </c>
      <c r="AD491" s="73" t="str">
        <f t="array" ref="AD491">INDIRECT("Update"&amp;Projections!$AH$17&amp;"!R"&amp;ROW(B472))</f>
        <v/>
      </c>
      <c r="AE491" s="73">
        <f t="shared" si="16"/>
        <v>-3.155358621</v>
      </c>
      <c r="AF491" s="73">
        <f t="shared" si="17"/>
        <v>-1.740686581</v>
      </c>
      <c r="AG491" s="73">
        <f t="shared" si="18"/>
        <v>-2.380599106</v>
      </c>
      <c r="AH491" s="73">
        <f t="shared" si="19"/>
        <v>-1.79320266</v>
      </c>
      <c r="AI491" s="73">
        <f t="shared" si="20"/>
        <v>-3.240190514</v>
      </c>
      <c r="AJ491" s="73">
        <f t="shared" si="21"/>
        <v>-1.329092151</v>
      </c>
      <c r="AK491" s="73">
        <f t="shared" si="22"/>
        <v>0</v>
      </c>
      <c r="AL491" s="73">
        <f t="shared" si="23"/>
        <v>0</v>
      </c>
      <c r="AM491" s="73">
        <f t="shared" si="24"/>
        <v>0.433638093</v>
      </c>
      <c r="AN491" s="120">
        <f t="shared" si="25"/>
        <v>-3.240190514</v>
      </c>
      <c r="AO491" s="120">
        <f t="shared" si="26"/>
        <v>-6.395549135</v>
      </c>
      <c r="AP491" s="120" t="str">
        <f t="array" ref="AP491">INDIRECT("Update"&amp;Projections!$AH$17&amp;"!S"&amp;ROW(B472))</f>
        <v/>
      </c>
      <c r="AQ491" s="120" t="str">
        <f t="array" ref="AQ491">INDIRECT("Update"&amp;Projections!$AH$17&amp;"!T"&amp;ROW(B472))</f>
        <v/>
      </c>
      <c r="AR491" s="100">
        <f t="shared" si="27"/>
        <v>-9.965301026</v>
      </c>
    </row>
    <row r="492">
      <c r="A492" t="str">
        <f t="shared" si="3"/>
        <v/>
      </c>
      <c r="B492" s="42">
        <f t="shared" si="4"/>
        <v>-3.155358621</v>
      </c>
      <c r="C492" s="43">
        <f t="shared" si="5"/>
        <v>-1.740686581</v>
      </c>
      <c r="D492" s="42">
        <f t="shared" si="6"/>
        <v>-2.380599106</v>
      </c>
      <c r="E492" s="42">
        <f t="shared" si="7"/>
        <v>-1.79320266</v>
      </c>
      <c r="F492" s="42">
        <f t="shared" si="8"/>
        <v>-3.240190514</v>
      </c>
      <c r="G492" s="42">
        <f t="shared" si="9"/>
        <v>-1.329092151</v>
      </c>
      <c r="H492" s="42">
        <f t="shared" si="10"/>
        <v>0</v>
      </c>
      <c r="I492" s="42" t="str">
        <f>UpdateHashtag!S490</f>
        <v/>
      </c>
      <c r="J492" s="47">
        <f t="shared" si="11"/>
        <v>0</v>
      </c>
      <c r="K492" s="48" t="str">
        <f>UpdateHashtag!T490</f>
        <v/>
      </c>
      <c r="L492" s="42">
        <f t="shared" si="12"/>
        <v>-1.734552372</v>
      </c>
      <c r="N492" s="100">
        <f t="shared" si="13"/>
        <v>401</v>
      </c>
      <c r="O492" s="94" t="str">
        <f t="array" ref="O492">INDIRECT("Update"&amp;Projections!$AH$17&amp;"!B"&amp;ROW(B473))</f>
        <v/>
      </c>
      <c r="P492" s="414" t="str">
        <f t="array" ref="P492">INDIRECT("Update"&amp;Projections!$AH$17&amp;"!C"&amp;ROW(B473))</f>
        <v/>
      </c>
      <c r="Q492" s="94" t="str">
        <f>UpdateHashtag!F522</f>
        <v/>
      </c>
      <c r="R492" s="105" t="str">
        <f t="array" ref="R492">INDIRECT("Update"&amp;Projections!$AH$17&amp;"!D"&amp;ROW(B473))</f>
        <v/>
      </c>
      <c r="S492" s="73">
        <f t="shared" si="14"/>
        <v>-9.965301026</v>
      </c>
      <c r="T492" s="73">
        <f>SUM(AE492:AM492)-IFERROR(IFS(Projections!$I$17,AN492,Projections!$J$17,AO492),"")</f>
        <v>-9.965301026</v>
      </c>
      <c r="U492" s="73">
        <f t="shared" si="15"/>
        <v>0</v>
      </c>
      <c r="V492" s="73" t="str">
        <f t="array" ref="V492">INDIRECT("Update"&amp;Projections!$AH$17&amp;"!M"&amp;ROW(B473))</f>
        <v/>
      </c>
      <c r="W492" s="73" t="str">
        <f t="array" ref="W492">INDIRECT("Update"&amp;Projections!$AH$17&amp;"!L"&amp;ROW(B473))</f>
        <v/>
      </c>
      <c r="X492" s="73" t="str">
        <f t="array" ref="X492">INDIRECT("Update"&amp;Projections!$AH$17&amp;"!N"&amp;ROW(B473))</f>
        <v/>
      </c>
      <c r="Y492" s="73" t="str">
        <f t="array" ref="Y492">INDIRECT("Update"&amp;Projections!$AH$17&amp;"!O"&amp;ROW(B473))</f>
        <v/>
      </c>
      <c r="Z492" s="73" t="str">
        <f t="array" ref="Z492">INDIRECT("Update"&amp;Projections!$AH$17&amp;"!P"&amp;ROW(B473))</f>
        <v/>
      </c>
      <c r="AA492" s="73" t="str">
        <f t="array" ref="AA492">INDIRECT("Update"&amp;Projections!$AH$17&amp;"!Q"&amp;ROW(B473))</f>
        <v/>
      </c>
      <c r="AB492" s="107" t="str">
        <f t="array" ref="AB492">INDIRECT("Update"&amp;Projections!$AH$17&amp;"!I"&amp;ROW(B473))</f>
        <v/>
      </c>
      <c r="AC492" s="107" t="str">
        <f t="array" ref="AC492">INDIRECT("Update"&amp;Projections!$AH$17&amp;"!K"&amp;ROW(B473))</f>
        <v/>
      </c>
      <c r="AD492" s="73" t="str">
        <f t="array" ref="AD492">INDIRECT("Update"&amp;Projections!$AH$17&amp;"!R"&amp;ROW(B473))</f>
        <v/>
      </c>
      <c r="AE492" s="73">
        <f t="shared" si="16"/>
        <v>-3.155358621</v>
      </c>
      <c r="AF492" s="73">
        <f t="shared" si="17"/>
        <v>-1.740686581</v>
      </c>
      <c r="AG492" s="73">
        <f t="shared" si="18"/>
        <v>-2.380599106</v>
      </c>
      <c r="AH492" s="73">
        <f t="shared" si="19"/>
        <v>-1.79320266</v>
      </c>
      <c r="AI492" s="73">
        <f t="shared" si="20"/>
        <v>-3.240190514</v>
      </c>
      <c r="AJ492" s="73">
        <f t="shared" si="21"/>
        <v>-1.329092151</v>
      </c>
      <c r="AK492" s="73">
        <f t="shared" si="22"/>
        <v>0</v>
      </c>
      <c r="AL492" s="73">
        <f t="shared" si="23"/>
        <v>0</v>
      </c>
      <c r="AM492" s="73">
        <f t="shared" si="24"/>
        <v>0.433638093</v>
      </c>
      <c r="AN492" s="120">
        <f t="shared" si="25"/>
        <v>-3.240190514</v>
      </c>
      <c r="AO492" s="120">
        <f t="shared" si="26"/>
        <v>-6.395549135</v>
      </c>
      <c r="AP492" s="120" t="str">
        <f t="array" ref="AP492">INDIRECT("Update"&amp;Projections!$AH$17&amp;"!S"&amp;ROW(B473))</f>
        <v/>
      </c>
      <c r="AQ492" s="120" t="str">
        <f t="array" ref="AQ492">INDIRECT("Update"&amp;Projections!$AH$17&amp;"!T"&amp;ROW(B473))</f>
        <v/>
      </c>
      <c r="AR492" s="100">
        <f t="shared" si="27"/>
        <v>-9.965301026</v>
      </c>
    </row>
    <row r="493">
      <c r="A493" t="str">
        <f t="shared" si="3"/>
        <v/>
      </c>
      <c r="B493" s="42">
        <f t="shared" si="4"/>
        <v>-3.155358621</v>
      </c>
      <c r="C493" s="43">
        <f t="shared" si="5"/>
        <v>-1.740686581</v>
      </c>
      <c r="D493" s="42">
        <f t="shared" si="6"/>
        <v>-2.380599106</v>
      </c>
      <c r="E493" s="42">
        <f t="shared" si="7"/>
        <v>-1.79320266</v>
      </c>
      <c r="F493" s="42">
        <f t="shared" si="8"/>
        <v>-3.240190514</v>
      </c>
      <c r="G493" s="42">
        <f t="shared" si="9"/>
        <v>-1.329092151</v>
      </c>
      <c r="H493" s="42">
        <f t="shared" si="10"/>
        <v>0</v>
      </c>
      <c r="I493" s="42" t="str">
        <f>UpdateHashtag!S491</f>
        <v/>
      </c>
      <c r="J493" s="47">
        <f t="shared" si="11"/>
        <v>0</v>
      </c>
      <c r="K493" s="48" t="str">
        <f>UpdateHashtag!T491</f>
        <v/>
      </c>
      <c r="L493" s="42">
        <f t="shared" si="12"/>
        <v>-1.734552372</v>
      </c>
      <c r="N493" s="100">
        <f t="shared" si="13"/>
        <v>401</v>
      </c>
      <c r="O493" s="94" t="str">
        <f t="array" ref="O493">INDIRECT("Update"&amp;Projections!$AH$17&amp;"!B"&amp;ROW(B474))</f>
        <v/>
      </c>
      <c r="P493" s="414" t="str">
        <f t="array" ref="P493">INDIRECT("Update"&amp;Projections!$AH$17&amp;"!C"&amp;ROW(B474))</f>
        <v/>
      </c>
      <c r="Q493" s="94" t="str">
        <f>UpdateHashtag!F523</f>
        <v/>
      </c>
      <c r="R493" s="105" t="str">
        <f t="array" ref="R493">INDIRECT("Update"&amp;Projections!$AH$17&amp;"!D"&amp;ROW(B474))</f>
        <v/>
      </c>
      <c r="S493" s="73">
        <f t="shared" si="14"/>
        <v>-9.965301026</v>
      </c>
      <c r="T493" s="73">
        <f>SUM(AE493:AM493)-IFERROR(IFS(Projections!$I$17,AN493,Projections!$J$17,AO493),"")</f>
        <v>-9.965301026</v>
      </c>
      <c r="U493" s="73">
        <f t="shared" si="15"/>
        <v>0</v>
      </c>
      <c r="V493" s="73" t="str">
        <f t="array" ref="V493">INDIRECT("Update"&amp;Projections!$AH$17&amp;"!M"&amp;ROW(B474))</f>
        <v/>
      </c>
      <c r="W493" s="73" t="str">
        <f t="array" ref="W493">INDIRECT("Update"&amp;Projections!$AH$17&amp;"!L"&amp;ROW(B474))</f>
        <v/>
      </c>
      <c r="X493" s="73" t="str">
        <f t="array" ref="X493">INDIRECT("Update"&amp;Projections!$AH$17&amp;"!N"&amp;ROW(B474))</f>
        <v/>
      </c>
      <c r="Y493" s="73" t="str">
        <f t="array" ref="Y493">INDIRECT("Update"&amp;Projections!$AH$17&amp;"!O"&amp;ROW(B474))</f>
        <v/>
      </c>
      <c r="Z493" s="73" t="str">
        <f t="array" ref="Z493">INDIRECT("Update"&amp;Projections!$AH$17&amp;"!P"&amp;ROW(B474))</f>
        <v/>
      </c>
      <c r="AA493" s="73" t="str">
        <f t="array" ref="AA493">INDIRECT("Update"&amp;Projections!$AH$17&amp;"!Q"&amp;ROW(B474))</f>
        <v/>
      </c>
      <c r="AB493" s="107" t="str">
        <f t="array" ref="AB493">INDIRECT("Update"&amp;Projections!$AH$17&amp;"!I"&amp;ROW(B474))</f>
        <v/>
      </c>
      <c r="AC493" s="107" t="str">
        <f t="array" ref="AC493">INDIRECT("Update"&amp;Projections!$AH$17&amp;"!K"&amp;ROW(B474))</f>
        <v/>
      </c>
      <c r="AD493" s="73" t="str">
        <f t="array" ref="AD493">INDIRECT("Update"&amp;Projections!$AH$17&amp;"!R"&amp;ROW(B474))</f>
        <v/>
      </c>
      <c r="AE493" s="73">
        <f t="shared" si="16"/>
        <v>-3.155358621</v>
      </c>
      <c r="AF493" s="73">
        <f t="shared" si="17"/>
        <v>-1.740686581</v>
      </c>
      <c r="AG493" s="73">
        <f t="shared" si="18"/>
        <v>-2.380599106</v>
      </c>
      <c r="AH493" s="73">
        <f t="shared" si="19"/>
        <v>-1.79320266</v>
      </c>
      <c r="AI493" s="73">
        <f t="shared" si="20"/>
        <v>-3.240190514</v>
      </c>
      <c r="AJ493" s="73">
        <f t="shared" si="21"/>
        <v>-1.329092151</v>
      </c>
      <c r="AK493" s="73">
        <f t="shared" si="22"/>
        <v>0</v>
      </c>
      <c r="AL493" s="73">
        <f t="shared" si="23"/>
        <v>0</v>
      </c>
      <c r="AM493" s="73">
        <f t="shared" si="24"/>
        <v>0.433638093</v>
      </c>
      <c r="AN493" s="120">
        <f t="shared" si="25"/>
        <v>-3.240190514</v>
      </c>
      <c r="AO493" s="120">
        <f t="shared" si="26"/>
        <v>-6.395549135</v>
      </c>
      <c r="AP493" s="120" t="str">
        <f t="array" ref="AP493">INDIRECT("Update"&amp;Projections!$AH$17&amp;"!S"&amp;ROW(B474))</f>
        <v/>
      </c>
      <c r="AQ493" s="120" t="str">
        <f t="array" ref="AQ493">INDIRECT("Update"&amp;Projections!$AH$17&amp;"!T"&amp;ROW(B474))</f>
        <v/>
      </c>
      <c r="AR493" s="100">
        <f t="shared" si="27"/>
        <v>-9.965301026</v>
      </c>
    </row>
    <row r="494">
      <c r="A494" t="str">
        <f t="shared" si="3"/>
        <v/>
      </c>
      <c r="B494" s="42">
        <f t="shared" si="4"/>
        <v>-3.155358621</v>
      </c>
      <c r="C494" s="43">
        <f t="shared" si="5"/>
        <v>-1.740686581</v>
      </c>
      <c r="D494" s="42">
        <f t="shared" si="6"/>
        <v>-2.380599106</v>
      </c>
      <c r="E494" s="42">
        <f t="shared" si="7"/>
        <v>-1.79320266</v>
      </c>
      <c r="F494" s="42">
        <f t="shared" si="8"/>
        <v>-3.240190514</v>
      </c>
      <c r="G494" s="42">
        <f t="shared" si="9"/>
        <v>-1.329092151</v>
      </c>
      <c r="H494" s="42">
        <f t="shared" si="10"/>
        <v>0</v>
      </c>
      <c r="I494" s="42" t="str">
        <f>UpdateHashtag!S492</f>
        <v/>
      </c>
      <c r="J494" s="47">
        <f t="shared" si="11"/>
        <v>0</v>
      </c>
      <c r="K494" s="48" t="str">
        <f>UpdateHashtag!T492</f>
        <v/>
      </c>
      <c r="L494" s="42">
        <f t="shared" si="12"/>
        <v>-1.734552372</v>
      </c>
      <c r="N494" s="100">
        <f t="shared" si="13"/>
        <v>401</v>
      </c>
      <c r="O494" s="94" t="str">
        <f t="array" ref="O494">INDIRECT("Update"&amp;Projections!$AH$17&amp;"!B"&amp;ROW(B475))</f>
        <v/>
      </c>
      <c r="P494" s="414" t="str">
        <f t="array" ref="P494">INDIRECT("Update"&amp;Projections!$AH$17&amp;"!C"&amp;ROW(B475))</f>
        <v/>
      </c>
      <c r="Q494" s="94" t="str">
        <f>UpdateHashtag!F524</f>
        <v/>
      </c>
      <c r="R494" s="105" t="str">
        <f t="array" ref="R494">INDIRECT("Update"&amp;Projections!$AH$17&amp;"!D"&amp;ROW(B475))</f>
        <v/>
      </c>
      <c r="S494" s="73">
        <f t="shared" si="14"/>
        <v>-9.965301026</v>
      </c>
      <c r="T494" s="73">
        <f>SUM(AE494:AM494)-IFERROR(IFS(Projections!$I$17,AN494,Projections!$J$17,AO494),"")</f>
        <v>-9.965301026</v>
      </c>
      <c r="U494" s="73">
        <f t="shared" si="15"/>
        <v>0</v>
      </c>
      <c r="V494" s="73" t="str">
        <f t="array" ref="V494">INDIRECT("Update"&amp;Projections!$AH$17&amp;"!M"&amp;ROW(B475))</f>
        <v/>
      </c>
      <c r="W494" s="73" t="str">
        <f t="array" ref="W494">INDIRECT("Update"&amp;Projections!$AH$17&amp;"!L"&amp;ROW(B475))</f>
        <v/>
      </c>
      <c r="X494" s="73" t="str">
        <f t="array" ref="X494">INDIRECT("Update"&amp;Projections!$AH$17&amp;"!N"&amp;ROW(B475))</f>
        <v/>
      </c>
      <c r="Y494" s="73" t="str">
        <f t="array" ref="Y494">INDIRECT("Update"&amp;Projections!$AH$17&amp;"!O"&amp;ROW(B475))</f>
        <v/>
      </c>
      <c r="Z494" s="73" t="str">
        <f t="array" ref="Z494">INDIRECT("Update"&amp;Projections!$AH$17&amp;"!P"&amp;ROW(B475))</f>
        <v/>
      </c>
      <c r="AA494" s="73" t="str">
        <f t="array" ref="AA494">INDIRECT("Update"&amp;Projections!$AH$17&amp;"!Q"&amp;ROW(B475))</f>
        <v/>
      </c>
      <c r="AB494" s="107" t="str">
        <f t="array" ref="AB494">INDIRECT("Update"&amp;Projections!$AH$17&amp;"!I"&amp;ROW(B475))</f>
        <v/>
      </c>
      <c r="AC494" s="107" t="str">
        <f t="array" ref="AC494">INDIRECT("Update"&amp;Projections!$AH$17&amp;"!K"&amp;ROW(B475))</f>
        <v/>
      </c>
      <c r="AD494" s="73" t="str">
        <f t="array" ref="AD494">INDIRECT("Update"&amp;Projections!$AH$17&amp;"!R"&amp;ROW(B475))</f>
        <v/>
      </c>
      <c r="AE494" s="73">
        <f t="shared" si="16"/>
        <v>-3.155358621</v>
      </c>
      <c r="AF494" s="73">
        <f t="shared" si="17"/>
        <v>-1.740686581</v>
      </c>
      <c r="AG494" s="73">
        <f t="shared" si="18"/>
        <v>-2.380599106</v>
      </c>
      <c r="AH494" s="73">
        <f t="shared" si="19"/>
        <v>-1.79320266</v>
      </c>
      <c r="AI494" s="73">
        <f t="shared" si="20"/>
        <v>-3.240190514</v>
      </c>
      <c r="AJ494" s="73">
        <f t="shared" si="21"/>
        <v>-1.329092151</v>
      </c>
      <c r="AK494" s="73">
        <f t="shared" si="22"/>
        <v>0</v>
      </c>
      <c r="AL494" s="73">
        <f t="shared" si="23"/>
        <v>0</v>
      </c>
      <c r="AM494" s="73">
        <f t="shared" si="24"/>
        <v>0.433638093</v>
      </c>
      <c r="AN494" s="120">
        <f t="shared" si="25"/>
        <v>-3.240190514</v>
      </c>
      <c r="AO494" s="120">
        <f t="shared" si="26"/>
        <v>-6.395549135</v>
      </c>
      <c r="AP494" s="120" t="str">
        <f t="array" ref="AP494">INDIRECT("Update"&amp;Projections!$AH$17&amp;"!S"&amp;ROW(B475))</f>
        <v/>
      </c>
      <c r="AQ494" s="120" t="str">
        <f t="array" ref="AQ494">INDIRECT("Update"&amp;Projections!$AH$17&amp;"!T"&amp;ROW(B475))</f>
        <v/>
      </c>
      <c r="AR494" s="100">
        <f t="shared" si="27"/>
        <v>-9.965301026</v>
      </c>
    </row>
    <row r="495">
      <c r="A495" t="str">
        <f t="shared" si="3"/>
        <v/>
      </c>
      <c r="B495" s="42">
        <f t="shared" si="4"/>
        <v>-3.155358621</v>
      </c>
      <c r="C495" s="43">
        <f t="shared" si="5"/>
        <v>-1.740686581</v>
      </c>
      <c r="D495" s="42">
        <f t="shared" si="6"/>
        <v>-2.380599106</v>
      </c>
      <c r="E495" s="42">
        <f t="shared" si="7"/>
        <v>-1.79320266</v>
      </c>
      <c r="F495" s="42">
        <f t="shared" si="8"/>
        <v>-3.240190514</v>
      </c>
      <c r="G495" s="42">
        <f t="shared" si="9"/>
        <v>-1.329092151</v>
      </c>
      <c r="H495" s="42">
        <f t="shared" si="10"/>
        <v>0</v>
      </c>
      <c r="I495" s="42" t="str">
        <f>UpdateHashtag!S493</f>
        <v/>
      </c>
      <c r="J495" s="47">
        <f t="shared" si="11"/>
        <v>0</v>
      </c>
      <c r="K495" s="48" t="str">
        <f>UpdateHashtag!T493</f>
        <v/>
      </c>
      <c r="L495" s="42">
        <f t="shared" si="12"/>
        <v>-1.734552372</v>
      </c>
      <c r="N495" s="100">
        <f t="shared" si="13"/>
        <v>401</v>
      </c>
      <c r="O495" s="94" t="str">
        <f t="array" ref="O495">INDIRECT("Update"&amp;Projections!$AH$17&amp;"!B"&amp;ROW(B476))</f>
        <v/>
      </c>
      <c r="P495" s="414" t="str">
        <f t="array" ref="P495">INDIRECT("Update"&amp;Projections!$AH$17&amp;"!C"&amp;ROW(B476))</f>
        <v/>
      </c>
      <c r="Q495" s="94" t="str">
        <f>UpdateHashtag!F525</f>
        <v/>
      </c>
      <c r="R495" s="105" t="str">
        <f t="array" ref="R495">INDIRECT("Update"&amp;Projections!$AH$17&amp;"!D"&amp;ROW(B476))</f>
        <v/>
      </c>
      <c r="S495" s="73">
        <f t="shared" si="14"/>
        <v>-9.965301026</v>
      </c>
      <c r="T495" s="73">
        <f>SUM(AE495:AM495)-IFERROR(IFS(Projections!$I$17,AN495,Projections!$J$17,AO495),"")</f>
        <v>-9.965301026</v>
      </c>
      <c r="U495" s="73">
        <f t="shared" si="15"/>
        <v>0</v>
      </c>
      <c r="V495" s="73" t="str">
        <f t="array" ref="V495">INDIRECT("Update"&amp;Projections!$AH$17&amp;"!M"&amp;ROW(B476))</f>
        <v/>
      </c>
      <c r="W495" s="73" t="str">
        <f t="array" ref="W495">INDIRECT("Update"&amp;Projections!$AH$17&amp;"!L"&amp;ROW(B476))</f>
        <v/>
      </c>
      <c r="X495" s="73" t="str">
        <f t="array" ref="X495">INDIRECT("Update"&amp;Projections!$AH$17&amp;"!N"&amp;ROW(B476))</f>
        <v/>
      </c>
      <c r="Y495" s="73" t="str">
        <f t="array" ref="Y495">INDIRECT("Update"&amp;Projections!$AH$17&amp;"!O"&amp;ROW(B476))</f>
        <v/>
      </c>
      <c r="Z495" s="73" t="str">
        <f t="array" ref="Z495">INDIRECT("Update"&amp;Projections!$AH$17&amp;"!P"&amp;ROW(B476))</f>
        <v/>
      </c>
      <c r="AA495" s="73" t="str">
        <f t="array" ref="AA495">INDIRECT("Update"&amp;Projections!$AH$17&amp;"!Q"&amp;ROW(B476))</f>
        <v/>
      </c>
      <c r="AB495" s="107" t="str">
        <f t="array" ref="AB495">INDIRECT("Update"&amp;Projections!$AH$17&amp;"!I"&amp;ROW(B476))</f>
        <v/>
      </c>
      <c r="AC495" s="107" t="str">
        <f t="array" ref="AC495">INDIRECT("Update"&amp;Projections!$AH$17&amp;"!K"&amp;ROW(B476))</f>
        <v/>
      </c>
      <c r="AD495" s="73" t="str">
        <f t="array" ref="AD495">INDIRECT("Update"&amp;Projections!$AH$17&amp;"!R"&amp;ROW(B476))</f>
        <v/>
      </c>
      <c r="AE495" s="73">
        <f t="shared" si="16"/>
        <v>-3.155358621</v>
      </c>
      <c r="AF495" s="73">
        <f t="shared" si="17"/>
        <v>-1.740686581</v>
      </c>
      <c r="AG495" s="73">
        <f t="shared" si="18"/>
        <v>-2.380599106</v>
      </c>
      <c r="AH495" s="73">
        <f t="shared" si="19"/>
        <v>-1.79320266</v>
      </c>
      <c r="AI495" s="73">
        <f t="shared" si="20"/>
        <v>-3.240190514</v>
      </c>
      <c r="AJ495" s="73">
        <f t="shared" si="21"/>
        <v>-1.329092151</v>
      </c>
      <c r="AK495" s="73">
        <f t="shared" si="22"/>
        <v>0</v>
      </c>
      <c r="AL495" s="73">
        <f t="shared" si="23"/>
        <v>0</v>
      </c>
      <c r="AM495" s="73">
        <f t="shared" si="24"/>
        <v>0.433638093</v>
      </c>
      <c r="AN495" s="120">
        <f t="shared" si="25"/>
        <v>-3.240190514</v>
      </c>
      <c r="AO495" s="120">
        <f t="shared" si="26"/>
        <v>-6.395549135</v>
      </c>
      <c r="AP495" s="120" t="str">
        <f t="array" ref="AP495">INDIRECT("Update"&amp;Projections!$AH$17&amp;"!S"&amp;ROW(B476))</f>
        <v/>
      </c>
      <c r="AQ495" s="120" t="str">
        <f t="array" ref="AQ495">INDIRECT("Update"&amp;Projections!$AH$17&amp;"!T"&amp;ROW(B476))</f>
        <v/>
      </c>
      <c r="AR495" s="100">
        <f t="shared" si="27"/>
        <v>-9.965301026</v>
      </c>
    </row>
    <row r="496">
      <c r="A496" t="str">
        <f t="shared" si="3"/>
        <v/>
      </c>
      <c r="B496" s="42">
        <f t="shared" si="4"/>
        <v>-3.155358621</v>
      </c>
      <c r="C496" s="43">
        <f t="shared" si="5"/>
        <v>-1.740686581</v>
      </c>
      <c r="D496" s="42">
        <f t="shared" si="6"/>
        <v>-2.380599106</v>
      </c>
      <c r="E496" s="42">
        <f t="shared" si="7"/>
        <v>-1.79320266</v>
      </c>
      <c r="F496" s="42">
        <f t="shared" si="8"/>
        <v>-3.240190514</v>
      </c>
      <c r="G496" s="42">
        <f t="shared" si="9"/>
        <v>-1.329092151</v>
      </c>
      <c r="H496" s="42">
        <f t="shared" si="10"/>
        <v>0</v>
      </c>
      <c r="I496" s="42" t="str">
        <f>UpdateHashtag!S494</f>
        <v/>
      </c>
      <c r="J496" s="47">
        <f t="shared" si="11"/>
        <v>0</v>
      </c>
      <c r="K496" s="48" t="str">
        <f>UpdateHashtag!T494</f>
        <v/>
      </c>
      <c r="L496" s="42">
        <f t="shared" si="12"/>
        <v>-1.734552372</v>
      </c>
      <c r="N496" s="100">
        <f t="shared" si="13"/>
        <v>401</v>
      </c>
      <c r="O496" s="94" t="str">
        <f t="array" ref="O496">INDIRECT("Update"&amp;Projections!$AH$17&amp;"!B"&amp;ROW(B477))</f>
        <v/>
      </c>
      <c r="P496" s="414" t="str">
        <f t="array" ref="P496">INDIRECT("Update"&amp;Projections!$AH$17&amp;"!C"&amp;ROW(B477))</f>
        <v/>
      </c>
      <c r="Q496" s="94" t="str">
        <f>UpdateHashtag!F526</f>
        <v/>
      </c>
      <c r="R496" s="105" t="str">
        <f t="array" ref="R496">INDIRECT("Update"&amp;Projections!$AH$17&amp;"!D"&amp;ROW(B477))</f>
        <v/>
      </c>
      <c r="S496" s="73">
        <f t="shared" si="14"/>
        <v>-9.965301026</v>
      </c>
      <c r="T496" s="73">
        <f>SUM(AE496:AM496)-IFERROR(IFS(Projections!$I$17,AN496,Projections!$J$17,AO496),"")</f>
        <v>-9.965301026</v>
      </c>
      <c r="U496" s="73">
        <f t="shared" si="15"/>
        <v>0</v>
      </c>
      <c r="V496" s="73" t="str">
        <f t="array" ref="V496">INDIRECT("Update"&amp;Projections!$AH$17&amp;"!M"&amp;ROW(B477))</f>
        <v/>
      </c>
      <c r="W496" s="73" t="str">
        <f t="array" ref="W496">INDIRECT("Update"&amp;Projections!$AH$17&amp;"!L"&amp;ROW(B477))</f>
        <v/>
      </c>
      <c r="X496" s="73" t="str">
        <f t="array" ref="X496">INDIRECT("Update"&amp;Projections!$AH$17&amp;"!N"&amp;ROW(B477))</f>
        <v/>
      </c>
      <c r="Y496" s="73" t="str">
        <f t="array" ref="Y496">INDIRECT("Update"&amp;Projections!$AH$17&amp;"!O"&amp;ROW(B477))</f>
        <v/>
      </c>
      <c r="Z496" s="73" t="str">
        <f t="array" ref="Z496">INDIRECT("Update"&amp;Projections!$AH$17&amp;"!P"&amp;ROW(B477))</f>
        <v/>
      </c>
      <c r="AA496" s="73" t="str">
        <f t="array" ref="AA496">INDIRECT("Update"&amp;Projections!$AH$17&amp;"!Q"&amp;ROW(B477))</f>
        <v/>
      </c>
      <c r="AB496" s="107" t="str">
        <f t="array" ref="AB496">INDIRECT("Update"&amp;Projections!$AH$17&amp;"!I"&amp;ROW(B477))</f>
        <v/>
      </c>
      <c r="AC496" s="107" t="str">
        <f t="array" ref="AC496">INDIRECT("Update"&amp;Projections!$AH$17&amp;"!K"&amp;ROW(B477))</f>
        <v/>
      </c>
      <c r="AD496" s="73" t="str">
        <f t="array" ref="AD496">INDIRECT("Update"&amp;Projections!$AH$17&amp;"!R"&amp;ROW(B477))</f>
        <v/>
      </c>
      <c r="AE496" s="73">
        <f t="shared" si="16"/>
        <v>-3.155358621</v>
      </c>
      <c r="AF496" s="73">
        <f t="shared" si="17"/>
        <v>-1.740686581</v>
      </c>
      <c r="AG496" s="73">
        <f t="shared" si="18"/>
        <v>-2.380599106</v>
      </c>
      <c r="AH496" s="73">
        <f t="shared" si="19"/>
        <v>-1.79320266</v>
      </c>
      <c r="AI496" s="73">
        <f t="shared" si="20"/>
        <v>-3.240190514</v>
      </c>
      <c r="AJ496" s="73">
        <f t="shared" si="21"/>
        <v>-1.329092151</v>
      </c>
      <c r="AK496" s="73">
        <f t="shared" si="22"/>
        <v>0</v>
      </c>
      <c r="AL496" s="73">
        <f t="shared" si="23"/>
        <v>0</v>
      </c>
      <c r="AM496" s="73">
        <f t="shared" si="24"/>
        <v>0.433638093</v>
      </c>
      <c r="AN496" s="120">
        <f t="shared" si="25"/>
        <v>-3.240190514</v>
      </c>
      <c r="AO496" s="120">
        <f t="shared" si="26"/>
        <v>-6.395549135</v>
      </c>
      <c r="AP496" s="120" t="str">
        <f t="array" ref="AP496">INDIRECT("Update"&amp;Projections!$AH$17&amp;"!S"&amp;ROW(B477))</f>
        <v/>
      </c>
      <c r="AQ496" s="120" t="str">
        <f t="array" ref="AQ496">INDIRECT("Update"&amp;Projections!$AH$17&amp;"!T"&amp;ROW(B477))</f>
        <v/>
      </c>
      <c r="AR496" s="100">
        <f t="shared" si="27"/>
        <v>-9.965301026</v>
      </c>
    </row>
    <row r="497">
      <c r="A497" t="str">
        <f t="shared" si="3"/>
        <v/>
      </c>
      <c r="B497" s="42">
        <f t="shared" si="4"/>
        <v>-3.155358621</v>
      </c>
      <c r="C497" s="43">
        <f t="shared" si="5"/>
        <v>-1.740686581</v>
      </c>
      <c r="D497" s="42">
        <f t="shared" si="6"/>
        <v>-2.380599106</v>
      </c>
      <c r="E497" s="42">
        <f t="shared" si="7"/>
        <v>-1.79320266</v>
      </c>
      <c r="F497" s="42">
        <f t="shared" si="8"/>
        <v>-3.240190514</v>
      </c>
      <c r="G497" s="42">
        <f t="shared" si="9"/>
        <v>-1.329092151</v>
      </c>
      <c r="H497" s="42">
        <f t="shared" si="10"/>
        <v>0</v>
      </c>
      <c r="I497" s="42" t="str">
        <f>UpdateHashtag!S495</f>
        <v/>
      </c>
      <c r="J497" s="47">
        <f t="shared" si="11"/>
        <v>0</v>
      </c>
      <c r="K497" s="48" t="str">
        <f>UpdateHashtag!T495</f>
        <v/>
      </c>
      <c r="L497" s="42">
        <f t="shared" si="12"/>
        <v>-1.734552372</v>
      </c>
      <c r="N497" s="100">
        <f t="shared" si="13"/>
        <v>401</v>
      </c>
      <c r="O497" s="94" t="str">
        <f t="array" ref="O497">INDIRECT("Update"&amp;Projections!$AH$17&amp;"!B"&amp;ROW(B478))</f>
        <v/>
      </c>
      <c r="P497" s="414" t="str">
        <f t="array" ref="P497">INDIRECT("Update"&amp;Projections!$AH$17&amp;"!C"&amp;ROW(B478))</f>
        <v/>
      </c>
      <c r="Q497" s="94" t="str">
        <f>UpdateHashtag!F527</f>
        <v/>
      </c>
      <c r="R497" s="105" t="str">
        <f t="array" ref="R497">INDIRECT("Update"&amp;Projections!$AH$17&amp;"!D"&amp;ROW(B478))</f>
        <v/>
      </c>
      <c r="S497" s="73">
        <f t="shared" si="14"/>
        <v>-9.965301026</v>
      </c>
      <c r="T497" s="73">
        <f>SUM(AE497:AM497)-IFERROR(IFS(Projections!$I$17,AN497,Projections!$J$17,AO497),"")</f>
        <v>-9.965301026</v>
      </c>
      <c r="U497" s="73">
        <f t="shared" si="15"/>
        <v>0</v>
      </c>
      <c r="V497" s="73" t="str">
        <f t="array" ref="V497">INDIRECT("Update"&amp;Projections!$AH$17&amp;"!M"&amp;ROW(B478))</f>
        <v/>
      </c>
      <c r="W497" s="73" t="str">
        <f t="array" ref="W497">INDIRECT("Update"&amp;Projections!$AH$17&amp;"!L"&amp;ROW(B478))</f>
        <v/>
      </c>
      <c r="X497" s="73" t="str">
        <f t="array" ref="X497">INDIRECT("Update"&amp;Projections!$AH$17&amp;"!N"&amp;ROW(B478))</f>
        <v/>
      </c>
      <c r="Y497" s="73" t="str">
        <f t="array" ref="Y497">INDIRECT("Update"&amp;Projections!$AH$17&amp;"!O"&amp;ROW(B478))</f>
        <v/>
      </c>
      <c r="Z497" s="73" t="str">
        <f t="array" ref="Z497">INDIRECT("Update"&amp;Projections!$AH$17&amp;"!P"&amp;ROW(B478))</f>
        <v/>
      </c>
      <c r="AA497" s="73" t="str">
        <f t="array" ref="AA497">INDIRECT("Update"&amp;Projections!$AH$17&amp;"!Q"&amp;ROW(B478))</f>
        <v/>
      </c>
      <c r="AB497" s="107" t="str">
        <f t="array" ref="AB497">INDIRECT("Update"&amp;Projections!$AH$17&amp;"!I"&amp;ROW(B478))</f>
        <v/>
      </c>
      <c r="AC497" s="107" t="str">
        <f t="array" ref="AC497">INDIRECT("Update"&amp;Projections!$AH$17&amp;"!K"&amp;ROW(B478))</f>
        <v/>
      </c>
      <c r="AD497" s="73" t="str">
        <f t="array" ref="AD497">INDIRECT("Update"&amp;Projections!$AH$17&amp;"!R"&amp;ROW(B478))</f>
        <v/>
      </c>
      <c r="AE497" s="73">
        <f t="shared" si="16"/>
        <v>-3.155358621</v>
      </c>
      <c r="AF497" s="73">
        <f t="shared" si="17"/>
        <v>-1.740686581</v>
      </c>
      <c r="AG497" s="73">
        <f t="shared" si="18"/>
        <v>-2.380599106</v>
      </c>
      <c r="AH497" s="73">
        <f t="shared" si="19"/>
        <v>-1.79320266</v>
      </c>
      <c r="AI497" s="73">
        <f t="shared" si="20"/>
        <v>-3.240190514</v>
      </c>
      <c r="AJ497" s="73">
        <f t="shared" si="21"/>
        <v>-1.329092151</v>
      </c>
      <c r="AK497" s="73">
        <f t="shared" si="22"/>
        <v>0</v>
      </c>
      <c r="AL497" s="73">
        <f t="shared" si="23"/>
        <v>0</v>
      </c>
      <c r="AM497" s="73">
        <f t="shared" si="24"/>
        <v>0.433638093</v>
      </c>
      <c r="AN497" s="120">
        <f t="shared" si="25"/>
        <v>-3.240190514</v>
      </c>
      <c r="AO497" s="120">
        <f t="shared" si="26"/>
        <v>-6.395549135</v>
      </c>
      <c r="AP497" s="120" t="str">
        <f t="array" ref="AP497">INDIRECT("Update"&amp;Projections!$AH$17&amp;"!S"&amp;ROW(B478))</f>
        <v/>
      </c>
      <c r="AQ497" s="120" t="str">
        <f t="array" ref="AQ497">INDIRECT("Update"&amp;Projections!$AH$17&amp;"!T"&amp;ROW(B478))</f>
        <v/>
      </c>
      <c r="AR497" s="100">
        <f t="shared" si="27"/>
        <v>-9.965301026</v>
      </c>
    </row>
    <row r="498">
      <c r="A498" t="str">
        <f t="shared" si="3"/>
        <v/>
      </c>
      <c r="B498" s="42">
        <f t="shared" si="4"/>
        <v>-3.155358621</v>
      </c>
      <c r="C498" s="43">
        <f t="shared" si="5"/>
        <v>-1.740686581</v>
      </c>
      <c r="D498" s="42">
        <f t="shared" si="6"/>
        <v>-2.380599106</v>
      </c>
      <c r="E498" s="42">
        <f t="shared" si="7"/>
        <v>-1.79320266</v>
      </c>
      <c r="F498" s="42">
        <f t="shared" si="8"/>
        <v>-3.240190514</v>
      </c>
      <c r="G498" s="42">
        <f t="shared" si="9"/>
        <v>-1.329092151</v>
      </c>
      <c r="H498" s="42">
        <f t="shared" si="10"/>
        <v>0</v>
      </c>
      <c r="I498" s="42" t="str">
        <f>UpdateHashtag!S496</f>
        <v/>
      </c>
      <c r="J498" s="47">
        <f t="shared" si="11"/>
        <v>0</v>
      </c>
      <c r="K498" s="48" t="str">
        <f>UpdateHashtag!T496</f>
        <v/>
      </c>
      <c r="L498" s="42">
        <f t="shared" si="12"/>
        <v>-1.734552372</v>
      </c>
      <c r="N498" s="100">
        <f t="shared" si="13"/>
        <v>401</v>
      </c>
      <c r="O498" s="94" t="str">
        <f t="array" ref="O498">INDIRECT("Update"&amp;Projections!$AH$17&amp;"!B"&amp;ROW(B479))</f>
        <v/>
      </c>
      <c r="P498" s="414" t="str">
        <f t="array" ref="P498">INDIRECT("Update"&amp;Projections!$AH$17&amp;"!C"&amp;ROW(B479))</f>
        <v/>
      </c>
      <c r="Q498" s="94" t="str">
        <f>UpdateHashtag!F528</f>
        <v/>
      </c>
      <c r="R498" s="105" t="str">
        <f t="array" ref="R498">INDIRECT("Update"&amp;Projections!$AH$17&amp;"!D"&amp;ROW(B479))</f>
        <v/>
      </c>
      <c r="S498" s="73">
        <f t="shared" si="14"/>
        <v>-9.965301026</v>
      </c>
      <c r="T498" s="73">
        <f>SUM(AE498:AM498)-IFERROR(IFS(Projections!$I$17,AN498,Projections!$J$17,AO498),"")</f>
        <v>-9.965301026</v>
      </c>
      <c r="U498" s="73">
        <f t="shared" si="15"/>
        <v>0</v>
      </c>
      <c r="V498" s="73" t="str">
        <f t="array" ref="V498">INDIRECT("Update"&amp;Projections!$AH$17&amp;"!M"&amp;ROW(B479))</f>
        <v/>
      </c>
      <c r="W498" s="73" t="str">
        <f t="array" ref="W498">INDIRECT("Update"&amp;Projections!$AH$17&amp;"!L"&amp;ROW(B479))</f>
        <v/>
      </c>
      <c r="X498" s="73" t="str">
        <f t="array" ref="X498">INDIRECT("Update"&amp;Projections!$AH$17&amp;"!N"&amp;ROW(B479))</f>
        <v/>
      </c>
      <c r="Y498" s="73" t="str">
        <f t="array" ref="Y498">INDIRECT("Update"&amp;Projections!$AH$17&amp;"!O"&amp;ROW(B479))</f>
        <v/>
      </c>
      <c r="Z498" s="73" t="str">
        <f t="array" ref="Z498">INDIRECT("Update"&amp;Projections!$AH$17&amp;"!P"&amp;ROW(B479))</f>
        <v/>
      </c>
      <c r="AA498" s="73" t="str">
        <f t="array" ref="AA498">INDIRECT("Update"&amp;Projections!$AH$17&amp;"!Q"&amp;ROW(B479))</f>
        <v/>
      </c>
      <c r="AB498" s="107" t="str">
        <f t="array" ref="AB498">INDIRECT("Update"&amp;Projections!$AH$17&amp;"!I"&amp;ROW(B479))</f>
        <v/>
      </c>
      <c r="AC498" s="107" t="str">
        <f t="array" ref="AC498">INDIRECT("Update"&amp;Projections!$AH$17&amp;"!K"&amp;ROW(B479))</f>
        <v/>
      </c>
      <c r="AD498" s="73" t="str">
        <f t="array" ref="AD498">INDIRECT("Update"&amp;Projections!$AH$17&amp;"!R"&amp;ROW(B479))</f>
        <v/>
      </c>
      <c r="AE498" s="73">
        <f t="shared" si="16"/>
        <v>-3.155358621</v>
      </c>
      <c r="AF498" s="73">
        <f t="shared" si="17"/>
        <v>-1.740686581</v>
      </c>
      <c r="AG498" s="73">
        <f t="shared" si="18"/>
        <v>-2.380599106</v>
      </c>
      <c r="AH498" s="73">
        <f t="shared" si="19"/>
        <v>-1.79320266</v>
      </c>
      <c r="AI498" s="73">
        <f t="shared" si="20"/>
        <v>-3.240190514</v>
      </c>
      <c r="AJ498" s="73">
        <f t="shared" si="21"/>
        <v>-1.329092151</v>
      </c>
      <c r="AK498" s="73">
        <f t="shared" si="22"/>
        <v>0</v>
      </c>
      <c r="AL498" s="73">
        <f t="shared" si="23"/>
        <v>0</v>
      </c>
      <c r="AM498" s="73">
        <f t="shared" si="24"/>
        <v>0.433638093</v>
      </c>
      <c r="AN498" s="120">
        <f t="shared" si="25"/>
        <v>-3.240190514</v>
      </c>
      <c r="AO498" s="120">
        <f t="shared" si="26"/>
        <v>-6.395549135</v>
      </c>
      <c r="AP498" s="120" t="str">
        <f t="array" ref="AP498">INDIRECT("Update"&amp;Projections!$AH$17&amp;"!S"&amp;ROW(B479))</f>
        <v/>
      </c>
      <c r="AQ498" s="120" t="str">
        <f t="array" ref="AQ498">INDIRECT("Update"&amp;Projections!$AH$17&amp;"!T"&amp;ROW(B479))</f>
        <v/>
      </c>
      <c r="AR498" s="100">
        <f t="shared" si="27"/>
        <v>-9.965301026</v>
      </c>
    </row>
    <row r="499">
      <c r="A499" t="str">
        <f t="shared" si="3"/>
        <v/>
      </c>
      <c r="B499" s="42">
        <f t="shared" si="4"/>
        <v>-3.155358621</v>
      </c>
      <c r="C499" s="43">
        <f t="shared" si="5"/>
        <v>-1.740686581</v>
      </c>
      <c r="D499" s="42">
        <f t="shared" si="6"/>
        <v>-2.380599106</v>
      </c>
      <c r="E499" s="42">
        <f t="shared" si="7"/>
        <v>-1.79320266</v>
      </c>
      <c r="F499" s="42">
        <f t="shared" si="8"/>
        <v>-3.240190514</v>
      </c>
      <c r="G499" s="42">
        <f t="shared" si="9"/>
        <v>-1.329092151</v>
      </c>
      <c r="H499" s="42">
        <f t="shared" si="10"/>
        <v>0</v>
      </c>
      <c r="I499" s="42" t="str">
        <f>UpdateHashtag!S497</f>
        <v/>
      </c>
      <c r="J499" s="47">
        <f t="shared" si="11"/>
        <v>0</v>
      </c>
      <c r="K499" s="48" t="str">
        <f>UpdateHashtag!T497</f>
        <v/>
      </c>
      <c r="L499" s="42">
        <f t="shared" si="12"/>
        <v>-1.734552372</v>
      </c>
      <c r="N499" s="100">
        <f t="shared" si="13"/>
        <v>401</v>
      </c>
      <c r="O499" s="94" t="str">
        <f t="array" ref="O499">INDIRECT("Update"&amp;Projections!$AH$17&amp;"!B"&amp;ROW(B480))</f>
        <v/>
      </c>
      <c r="P499" s="414" t="str">
        <f t="array" ref="P499">INDIRECT("Update"&amp;Projections!$AH$17&amp;"!C"&amp;ROW(B480))</f>
        <v/>
      </c>
      <c r="Q499" s="94" t="str">
        <f>UpdateHashtag!F529</f>
        <v/>
      </c>
      <c r="R499" s="105" t="str">
        <f t="array" ref="R499">INDIRECT("Update"&amp;Projections!$AH$17&amp;"!D"&amp;ROW(B480))</f>
        <v/>
      </c>
      <c r="S499" s="73">
        <f t="shared" si="14"/>
        <v>-9.965301026</v>
      </c>
      <c r="T499" s="73">
        <f>SUM(AE499:AM499)-IFERROR(IFS(Projections!$I$17,AN499,Projections!$J$17,AO499),"")</f>
        <v>-9.965301026</v>
      </c>
      <c r="U499" s="73">
        <f t="shared" si="15"/>
        <v>0</v>
      </c>
      <c r="V499" s="73" t="str">
        <f t="array" ref="V499">INDIRECT("Update"&amp;Projections!$AH$17&amp;"!M"&amp;ROW(B480))</f>
        <v/>
      </c>
      <c r="W499" s="73" t="str">
        <f t="array" ref="W499">INDIRECT("Update"&amp;Projections!$AH$17&amp;"!L"&amp;ROW(B480))</f>
        <v/>
      </c>
      <c r="X499" s="73" t="str">
        <f t="array" ref="X499">INDIRECT("Update"&amp;Projections!$AH$17&amp;"!N"&amp;ROW(B480))</f>
        <v/>
      </c>
      <c r="Y499" s="73" t="str">
        <f t="array" ref="Y499">INDIRECT("Update"&amp;Projections!$AH$17&amp;"!O"&amp;ROW(B480))</f>
        <v/>
      </c>
      <c r="Z499" s="73" t="str">
        <f t="array" ref="Z499">INDIRECT("Update"&amp;Projections!$AH$17&amp;"!P"&amp;ROW(B480))</f>
        <v/>
      </c>
      <c r="AA499" s="73" t="str">
        <f t="array" ref="AA499">INDIRECT("Update"&amp;Projections!$AH$17&amp;"!Q"&amp;ROW(B480))</f>
        <v/>
      </c>
      <c r="AB499" s="107" t="str">
        <f t="array" ref="AB499">INDIRECT("Update"&amp;Projections!$AH$17&amp;"!I"&amp;ROW(B480))</f>
        <v/>
      </c>
      <c r="AC499" s="107" t="str">
        <f t="array" ref="AC499">INDIRECT("Update"&amp;Projections!$AH$17&amp;"!K"&amp;ROW(B480))</f>
        <v/>
      </c>
      <c r="AD499" s="73" t="str">
        <f t="array" ref="AD499">INDIRECT("Update"&amp;Projections!$AH$17&amp;"!R"&amp;ROW(B480))</f>
        <v/>
      </c>
      <c r="AE499" s="73">
        <f t="shared" si="16"/>
        <v>-3.155358621</v>
      </c>
      <c r="AF499" s="73">
        <f t="shared" si="17"/>
        <v>-1.740686581</v>
      </c>
      <c r="AG499" s="73">
        <f t="shared" si="18"/>
        <v>-2.380599106</v>
      </c>
      <c r="AH499" s="73">
        <f t="shared" si="19"/>
        <v>-1.79320266</v>
      </c>
      <c r="AI499" s="73">
        <f t="shared" si="20"/>
        <v>-3.240190514</v>
      </c>
      <c r="AJ499" s="73">
        <f t="shared" si="21"/>
        <v>-1.329092151</v>
      </c>
      <c r="AK499" s="73">
        <f t="shared" si="22"/>
        <v>0</v>
      </c>
      <c r="AL499" s="73">
        <f t="shared" si="23"/>
        <v>0</v>
      </c>
      <c r="AM499" s="73">
        <f t="shared" si="24"/>
        <v>0.433638093</v>
      </c>
      <c r="AN499" s="120">
        <f t="shared" si="25"/>
        <v>-3.240190514</v>
      </c>
      <c r="AO499" s="120">
        <f t="shared" si="26"/>
        <v>-6.395549135</v>
      </c>
      <c r="AP499" s="120" t="str">
        <f t="array" ref="AP499">INDIRECT("Update"&amp;Projections!$AH$17&amp;"!S"&amp;ROW(B480))</f>
        <v/>
      </c>
      <c r="AQ499" s="120" t="str">
        <f t="array" ref="AQ499">INDIRECT("Update"&amp;Projections!$AH$17&amp;"!T"&amp;ROW(B480))</f>
        <v/>
      </c>
      <c r="AR499" s="100">
        <f t="shared" si="27"/>
        <v>-9.965301026</v>
      </c>
    </row>
    <row r="500">
      <c r="A500" t="str">
        <f t="shared" si="3"/>
        <v/>
      </c>
      <c r="B500" s="42">
        <f t="shared" si="4"/>
        <v>-3.155358621</v>
      </c>
      <c r="C500" s="43">
        <f t="shared" si="5"/>
        <v>-1.740686581</v>
      </c>
      <c r="D500" s="42">
        <f t="shared" si="6"/>
        <v>-2.380599106</v>
      </c>
      <c r="E500" s="42">
        <f t="shared" si="7"/>
        <v>-1.79320266</v>
      </c>
      <c r="F500" s="42">
        <f t="shared" si="8"/>
        <v>-3.240190514</v>
      </c>
      <c r="G500" s="42">
        <f t="shared" si="9"/>
        <v>-1.329092151</v>
      </c>
      <c r="H500" s="42">
        <f t="shared" si="10"/>
        <v>0</v>
      </c>
      <c r="I500" s="42" t="str">
        <f>UpdateHashtag!S498</f>
        <v/>
      </c>
      <c r="J500" s="47">
        <f t="shared" si="11"/>
        <v>0</v>
      </c>
      <c r="K500" s="48" t="str">
        <f>UpdateHashtag!T498</f>
        <v/>
      </c>
      <c r="L500" s="42">
        <f t="shared" si="12"/>
        <v>-1.734552372</v>
      </c>
      <c r="N500" s="100">
        <f t="shared" si="13"/>
        <v>401</v>
      </c>
      <c r="O500" s="94" t="str">
        <f t="array" ref="O500">INDIRECT("Update"&amp;Projections!$AH$17&amp;"!B"&amp;ROW(B481))</f>
        <v/>
      </c>
      <c r="P500" s="414" t="str">
        <f t="array" ref="P500">INDIRECT("Update"&amp;Projections!$AH$17&amp;"!C"&amp;ROW(B481))</f>
        <v/>
      </c>
      <c r="Q500" s="94" t="str">
        <f>UpdateHashtag!F530</f>
        <v/>
      </c>
      <c r="R500" s="105" t="str">
        <f t="array" ref="R500">INDIRECT("Update"&amp;Projections!$AH$17&amp;"!D"&amp;ROW(B481))</f>
        <v/>
      </c>
      <c r="S500" s="73">
        <f t="shared" si="14"/>
        <v>-9.965301026</v>
      </c>
      <c r="T500" s="73">
        <f>SUM(AE500:AM500)-IFERROR(IFS(Projections!$I$17,AN500,Projections!$J$17,AO500),"")</f>
        <v>-9.965301026</v>
      </c>
      <c r="U500" s="73">
        <f t="shared" si="15"/>
        <v>0</v>
      </c>
      <c r="V500" s="73" t="str">
        <f t="array" ref="V500">INDIRECT("Update"&amp;Projections!$AH$17&amp;"!M"&amp;ROW(B481))</f>
        <v/>
      </c>
      <c r="W500" s="73" t="str">
        <f t="array" ref="W500">INDIRECT("Update"&amp;Projections!$AH$17&amp;"!L"&amp;ROW(B481))</f>
        <v/>
      </c>
      <c r="X500" s="73" t="str">
        <f t="array" ref="X500">INDIRECT("Update"&amp;Projections!$AH$17&amp;"!N"&amp;ROW(B481))</f>
        <v/>
      </c>
      <c r="Y500" s="73" t="str">
        <f t="array" ref="Y500">INDIRECT("Update"&amp;Projections!$AH$17&amp;"!O"&amp;ROW(B481))</f>
        <v/>
      </c>
      <c r="Z500" s="73" t="str">
        <f t="array" ref="Z500">INDIRECT("Update"&amp;Projections!$AH$17&amp;"!P"&amp;ROW(B481))</f>
        <v/>
      </c>
      <c r="AA500" s="73" t="str">
        <f t="array" ref="AA500">INDIRECT("Update"&amp;Projections!$AH$17&amp;"!Q"&amp;ROW(B481))</f>
        <v/>
      </c>
      <c r="AB500" s="107" t="str">
        <f t="array" ref="AB500">INDIRECT("Update"&amp;Projections!$AH$17&amp;"!I"&amp;ROW(B481))</f>
        <v/>
      </c>
      <c r="AC500" s="107" t="str">
        <f t="array" ref="AC500">INDIRECT("Update"&amp;Projections!$AH$17&amp;"!K"&amp;ROW(B481))</f>
        <v/>
      </c>
      <c r="AD500" s="73" t="str">
        <f t="array" ref="AD500">INDIRECT("Update"&amp;Projections!$AH$17&amp;"!R"&amp;ROW(B481))</f>
        <v/>
      </c>
      <c r="AE500" s="73">
        <f t="shared" si="16"/>
        <v>-3.155358621</v>
      </c>
      <c r="AF500" s="73">
        <f t="shared" si="17"/>
        <v>-1.740686581</v>
      </c>
      <c r="AG500" s="73">
        <f t="shared" si="18"/>
        <v>-2.380599106</v>
      </c>
      <c r="AH500" s="73">
        <f t="shared" si="19"/>
        <v>-1.79320266</v>
      </c>
      <c r="AI500" s="73">
        <f t="shared" si="20"/>
        <v>-3.240190514</v>
      </c>
      <c r="AJ500" s="73">
        <f t="shared" si="21"/>
        <v>-1.329092151</v>
      </c>
      <c r="AK500" s="73">
        <f t="shared" si="22"/>
        <v>0</v>
      </c>
      <c r="AL500" s="73">
        <f t="shared" si="23"/>
        <v>0</v>
      </c>
      <c r="AM500" s="73">
        <f t="shared" si="24"/>
        <v>0.433638093</v>
      </c>
      <c r="AN500" s="120">
        <f t="shared" si="25"/>
        <v>-3.240190514</v>
      </c>
      <c r="AO500" s="120">
        <f t="shared" si="26"/>
        <v>-6.395549135</v>
      </c>
      <c r="AP500" s="120" t="str">
        <f t="array" ref="AP500">INDIRECT("Update"&amp;Projections!$AH$17&amp;"!S"&amp;ROW(B481))</f>
        <v/>
      </c>
      <c r="AQ500" s="120" t="str">
        <f t="array" ref="AQ500">INDIRECT("Update"&amp;Projections!$AH$17&amp;"!T"&amp;ROW(B481))</f>
        <v/>
      </c>
      <c r="AR500" s="100">
        <f t="shared" si="27"/>
        <v>-9.965301026</v>
      </c>
    </row>
    <row r="501">
      <c r="A501" t="str">
        <f t="shared" si="3"/>
        <v/>
      </c>
      <c r="B501" s="42">
        <f t="shared" si="4"/>
        <v>-3.155358621</v>
      </c>
      <c r="C501" s="43">
        <f t="shared" si="5"/>
        <v>-1.740686581</v>
      </c>
      <c r="D501" s="42">
        <f t="shared" si="6"/>
        <v>-2.380599106</v>
      </c>
      <c r="E501" s="42">
        <f t="shared" si="7"/>
        <v>-1.79320266</v>
      </c>
      <c r="F501" s="42">
        <f t="shared" si="8"/>
        <v>-3.240190514</v>
      </c>
      <c r="G501" s="42">
        <f t="shared" si="9"/>
        <v>-1.329092151</v>
      </c>
      <c r="H501" s="42">
        <f t="shared" si="10"/>
        <v>0</v>
      </c>
      <c r="I501" s="42" t="str">
        <f>UpdateHashtag!S499</f>
        <v/>
      </c>
      <c r="J501" s="47">
        <f t="shared" si="11"/>
        <v>0</v>
      </c>
      <c r="K501" s="48" t="str">
        <f>UpdateHashtag!T499</f>
        <v/>
      </c>
      <c r="L501" s="42">
        <f t="shared" si="12"/>
        <v>-1.734552372</v>
      </c>
      <c r="N501" s="100">
        <f t="shared" si="13"/>
        <v>401</v>
      </c>
      <c r="O501" s="94" t="str">
        <f t="array" ref="O501">INDIRECT("Update"&amp;Projections!$AH$17&amp;"!B"&amp;ROW(B482))</f>
        <v/>
      </c>
      <c r="P501" s="414" t="str">
        <f t="array" ref="P501">INDIRECT("Update"&amp;Projections!$AH$17&amp;"!C"&amp;ROW(B482))</f>
        <v/>
      </c>
      <c r="Q501" s="94" t="str">
        <f>UpdateHashtag!F531</f>
        <v/>
      </c>
      <c r="R501" s="105" t="str">
        <f t="array" ref="R501">INDIRECT("Update"&amp;Projections!$AH$17&amp;"!D"&amp;ROW(B482))</f>
        <v/>
      </c>
      <c r="S501" s="73">
        <f t="shared" si="14"/>
        <v>-9.965301026</v>
      </c>
      <c r="T501" s="73">
        <f>SUM(AE501:AM501)-IFERROR(IFS(Projections!$I$17,AN501,Projections!$J$17,AO501),"")</f>
        <v>-9.965301026</v>
      </c>
      <c r="U501" s="73">
        <f t="shared" si="15"/>
        <v>0</v>
      </c>
      <c r="V501" s="73" t="str">
        <f t="array" ref="V501">INDIRECT("Update"&amp;Projections!$AH$17&amp;"!M"&amp;ROW(B482))</f>
        <v/>
      </c>
      <c r="W501" s="73" t="str">
        <f t="array" ref="W501">INDIRECT("Update"&amp;Projections!$AH$17&amp;"!L"&amp;ROW(B482))</f>
        <v/>
      </c>
      <c r="X501" s="73" t="str">
        <f t="array" ref="X501">INDIRECT("Update"&amp;Projections!$AH$17&amp;"!N"&amp;ROW(B482))</f>
        <v/>
      </c>
      <c r="Y501" s="73" t="str">
        <f t="array" ref="Y501">INDIRECT("Update"&amp;Projections!$AH$17&amp;"!O"&amp;ROW(B482))</f>
        <v/>
      </c>
      <c r="Z501" s="73" t="str">
        <f t="array" ref="Z501">INDIRECT("Update"&amp;Projections!$AH$17&amp;"!P"&amp;ROW(B482))</f>
        <v/>
      </c>
      <c r="AA501" s="73" t="str">
        <f t="array" ref="AA501">INDIRECT("Update"&amp;Projections!$AH$17&amp;"!Q"&amp;ROW(B482))</f>
        <v/>
      </c>
      <c r="AB501" s="107" t="str">
        <f t="array" ref="AB501">INDIRECT("Update"&amp;Projections!$AH$17&amp;"!I"&amp;ROW(B482))</f>
        <v/>
      </c>
      <c r="AC501" s="107" t="str">
        <f t="array" ref="AC501">INDIRECT("Update"&amp;Projections!$AH$17&amp;"!K"&amp;ROW(B482))</f>
        <v/>
      </c>
      <c r="AD501" s="73" t="str">
        <f t="array" ref="AD501">INDIRECT("Update"&amp;Projections!$AH$17&amp;"!R"&amp;ROW(B482))</f>
        <v/>
      </c>
      <c r="AE501" s="73">
        <f t="shared" si="16"/>
        <v>-3.155358621</v>
      </c>
      <c r="AF501" s="73">
        <f t="shared" si="17"/>
        <v>-1.740686581</v>
      </c>
      <c r="AG501" s="73">
        <f t="shared" si="18"/>
        <v>-2.380599106</v>
      </c>
      <c r="AH501" s="73">
        <f t="shared" si="19"/>
        <v>-1.79320266</v>
      </c>
      <c r="AI501" s="73">
        <f t="shared" si="20"/>
        <v>-3.240190514</v>
      </c>
      <c r="AJ501" s="73">
        <f t="shared" si="21"/>
        <v>-1.329092151</v>
      </c>
      <c r="AK501" s="73">
        <f t="shared" si="22"/>
        <v>0</v>
      </c>
      <c r="AL501" s="73">
        <f t="shared" si="23"/>
        <v>0</v>
      </c>
      <c r="AM501" s="73">
        <f t="shared" si="24"/>
        <v>0.433638093</v>
      </c>
      <c r="AN501" s="120">
        <f t="shared" si="25"/>
        <v>-3.240190514</v>
      </c>
      <c r="AO501" s="120">
        <f t="shared" si="26"/>
        <v>-6.395549135</v>
      </c>
      <c r="AP501" s="120" t="str">
        <f t="array" ref="AP501">INDIRECT("Update"&amp;Projections!$AH$17&amp;"!S"&amp;ROW(B482))</f>
        <v/>
      </c>
      <c r="AQ501" s="120" t="str">
        <f t="array" ref="AQ501">INDIRECT("Update"&amp;Projections!$AH$17&amp;"!T"&amp;ROW(B482))</f>
        <v/>
      </c>
      <c r="AR501" s="100">
        <f t="shared" si="27"/>
        <v>-9.965301026</v>
      </c>
    </row>
    <row r="502">
      <c r="A502" t="str">
        <f t="shared" si="3"/>
        <v/>
      </c>
      <c r="B502" s="42">
        <f t="shared" si="4"/>
        <v>-3.155358621</v>
      </c>
      <c r="C502" s="43">
        <f t="shared" si="5"/>
        <v>-1.740686581</v>
      </c>
      <c r="D502" s="42">
        <f t="shared" si="6"/>
        <v>-2.380599106</v>
      </c>
      <c r="E502" s="42">
        <f t="shared" si="7"/>
        <v>-1.79320266</v>
      </c>
      <c r="F502" s="42">
        <f t="shared" si="8"/>
        <v>-3.240190514</v>
      </c>
      <c r="G502" s="42">
        <f t="shared" si="9"/>
        <v>-1.329092151</v>
      </c>
      <c r="H502" s="42">
        <f t="shared" si="10"/>
        <v>0</v>
      </c>
      <c r="I502" s="42" t="str">
        <f>UpdateHashtag!S500</f>
        <v/>
      </c>
      <c r="J502" s="47">
        <f t="shared" si="11"/>
        <v>0</v>
      </c>
      <c r="K502" s="48" t="str">
        <f>UpdateHashtag!T500</f>
        <v/>
      </c>
      <c r="L502" s="42">
        <f t="shared" si="12"/>
        <v>-1.734552372</v>
      </c>
      <c r="N502" s="100">
        <f t="shared" si="13"/>
        <v>401</v>
      </c>
      <c r="O502" s="94" t="str">
        <f t="array" ref="O502">INDIRECT("Update"&amp;Projections!$AH$17&amp;"!B"&amp;ROW(B483))</f>
        <v/>
      </c>
      <c r="P502" s="414" t="str">
        <f t="array" ref="P502">INDIRECT("Update"&amp;Projections!$AH$17&amp;"!C"&amp;ROW(B483))</f>
        <v/>
      </c>
      <c r="Q502" s="94" t="str">
        <f>UpdateHashtag!F532</f>
        <v/>
      </c>
      <c r="R502" s="105" t="str">
        <f t="array" ref="R502">INDIRECT("Update"&amp;Projections!$AH$17&amp;"!D"&amp;ROW(B483))</f>
        <v/>
      </c>
      <c r="S502" s="73">
        <f t="shared" si="14"/>
        <v>-9.965301026</v>
      </c>
      <c r="T502" s="73">
        <f>SUM(AE502:AM502)-IFERROR(IFS(Projections!$I$17,AN502,Projections!$J$17,AO502),"")</f>
        <v>-9.965301026</v>
      </c>
      <c r="U502" s="73">
        <f t="shared" si="15"/>
        <v>0</v>
      </c>
      <c r="V502" s="73" t="str">
        <f t="array" ref="V502">INDIRECT("Update"&amp;Projections!$AH$17&amp;"!M"&amp;ROW(B483))</f>
        <v/>
      </c>
      <c r="W502" s="73" t="str">
        <f t="array" ref="W502">INDIRECT("Update"&amp;Projections!$AH$17&amp;"!L"&amp;ROW(B483))</f>
        <v/>
      </c>
      <c r="X502" s="73" t="str">
        <f t="array" ref="X502">INDIRECT("Update"&amp;Projections!$AH$17&amp;"!N"&amp;ROW(B483))</f>
        <v/>
      </c>
      <c r="Y502" s="73" t="str">
        <f t="array" ref="Y502">INDIRECT("Update"&amp;Projections!$AH$17&amp;"!O"&amp;ROW(B483))</f>
        <v/>
      </c>
      <c r="Z502" s="73" t="str">
        <f t="array" ref="Z502">INDIRECT("Update"&amp;Projections!$AH$17&amp;"!P"&amp;ROW(B483))</f>
        <v/>
      </c>
      <c r="AA502" s="73" t="str">
        <f t="array" ref="AA502">INDIRECT("Update"&amp;Projections!$AH$17&amp;"!Q"&amp;ROW(B483))</f>
        <v/>
      </c>
      <c r="AB502" s="107" t="str">
        <f t="array" ref="AB502">INDIRECT("Update"&amp;Projections!$AH$17&amp;"!I"&amp;ROW(B483))</f>
        <v/>
      </c>
      <c r="AC502" s="107" t="str">
        <f t="array" ref="AC502">INDIRECT("Update"&amp;Projections!$AH$17&amp;"!K"&amp;ROW(B483))</f>
        <v/>
      </c>
      <c r="AD502" s="73" t="str">
        <f t="array" ref="AD502">INDIRECT("Update"&amp;Projections!$AH$17&amp;"!R"&amp;ROW(B483))</f>
        <v/>
      </c>
      <c r="AE502" s="73">
        <f t="shared" si="16"/>
        <v>-3.155358621</v>
      </c>
      <c r="AF502" s="73">
        <f t="shared" si="17"/>
        <v>-1.740686581</v>
      </c>
      <c r="AG502" s="73">
        <f t="shared" si="18"/>
        <v>-2.380599106</v>
      </c>
      <c r="AH502" s="73">
        <f t="shared" si="19"/>
        <v>-1.79320266</v>
      </c>
      <c r="AI502" s="73">
        <f t="shared" si="20"/>
        <v>-3.240190514</v>
      </c>
      <c r="AJ502" s="73">
        <f t="shared" si="21"/>
        <v>-1.329092151</v>
      </c>
      <c r="AK502" s="73">
        <f t="shared" si="22"/>
        <v>0</v>
      </c>
      <c r="AL502" s="73">
        <f t="shared" si="23"/>
        <v>0</v>
      </c>
      <c r="AM502" s="73">
        <f t="shared" si="24"/>
        <v>0.433638093</v>
      </c>
      <c r="AN502" s="120">
        <f t="shared" si="25"/>
        <v>-3.240190514</v>
      </c>
      <c r="AO502" s="120">
        <f t="shared" si="26"/>
        <v>-6.395549135</v>
      </c>
      <c r="AP502" s="120" t="str">
        <f t="array" ref="AP502">INDIRECT("Update"&amp;Projections!$AH$17&amp;"!S"&amp;ROW(B483))</f>
        <v/>
      </c>
      <c r="AQ502" s="120" t="str">
        <f t="array" ref="AQ502">INDIRECT("Update"&amp;Projections!$AH$17&amp;"!T"&amp;ROW(B483))</f>
        <v/>
      </c>
      <c r="AR502" s="100">
        <f t="shared" si="27"/>
        <v>-9.965301026</v>
      </c>
    </row>
    <row r="503">
      <c r="A503" t="str">
        <f t="shared" si="3"/>
        <v/>
      </c>
      <c r="B503" s="42">
        <f t="shared" si="4"/>
        <v>-3.155358621</v>
      </c>
      <c r="C503" s="43">
        <f t="shared" si="5"/>
        <v>-1.740686581</v>
      </c>
      <c r="D503" s="42">
        <f t="shared" si="6"/>
        <v>-2.380599106</v>
      </c>
      <c r="E503" s="42">
        <f t="shared" si="7"/>
        <v>-1.79320266</v>
      </c>
      <c r="F503" s="42">
        <f t="shared" si="8"/>
        <v>-3.240190514</v>
      </c>
      <c r="G503" s="42">
        <f t="shared" si="9"/>
        <v>-1.329092151</v>
      </c>
      <c r="H503" s="42">
        <f t="shared" si="10"/>
        <v>0</v>
      </c>
      <c r="I503" s="42" t="str">
        <f>UpdateHashtag!S501</f>
        <v/>
      </c>
      <c r="J503" s="47">
        <f t="shared" si="11"/>
        <v>0</v>
      </c>
      <c r="K503" s="48" t="str">
        <f>UpdateHashtag!T501</f>
        <v/>
      </c>
      <c r="L503" s="42">
        <f t="shared" si="12"/>
        <v>-1.734552372</v>
      </c>
      <c r="N503" s="100">
        <f t="shared" si="13"/>
        <v>401</v>
      </c>
      <c r="O503" s="94" t="str">
        <f t="array" ref="O503">INDIRECT("Update"&amp;Projections!$AH$17&amp;"!B"&amp;ROW(B484))</f>
        <v/>
      </c>
      <c r="P503" s="414" t="str">
        <f t="array" ref="P503">INDIRECT("Update"&amp;Projections!$AH$17&amp;"!C"&amp;ROW(B484))</f>
        <v/>
      </c>
      <c r="Q503" s="94" t="str">
        <f>UpdateHashtag!F533</f>
        <v/>
      </c>
      <c r="R503" s="105" t="str">
        <f t="array" ref="R503">INDIRECT("Update"&amp;Projections!$AH$17&amp;"!D"&amp;ROW(B484))</f>
        <v/>
      </c>
      <c r="S503" s="73">
        <f t="shared" si="14"/>
        <v>-9.965301026</v>
      </c>
      <c r="T503" s="73">
        <f>SUM(AE503:AM503)-IFERROR(IFS(Projections!$I$17,AN503,Projections!$J$17,AO503),"")</f>
        <v>-9.965301026</v>
      </c>
      <c r="U503" s="73">
        <f t="shared" si="15"/>
        <v>0</v>
      </c>
      <c r="V503" s="73" t="str">
        <f t="array" ref="V503">INDIRECT("Update"&amp;Projections!$AH$17&amp;"!M"&amp;ROW(B484))</f>
        <v/>
      </c>
      <c r="W503" s="73" t="str">
        <f t="array" ref="W503">INDIRECT("Update"&amp;Projections!$AH$17&amp;"!L"&amp;ROW(B484))</f>
        <v/>
      </c>
      <c r="X503" s="73" t="str">
        <f t="array" ref="X503">INDIRECT("Update"&amp;Projections!$AH$17&amp;"!N"&amp;ROW(B484))</f>
        <v/>
      </c>
      <c r="Y503" s="73" t="str">
        <f t="array" ref="Y503">INDIRECT("Update"&amp;Projections!$AH$17&amp;"!O"&amp;ROW(B484))</f>
        <v/>
      </c>
      <c r="Z503" s="73" t="str">
        <f t="array" ref="Z503">INDIRECT("Update"&amp;Projections!$AH$17&amp;"!P"&amp;ROW(B484))</f>
        <v/>
      </c>
      <c r="AA503" s="73" t="str">
        <f t="array" ref="AA503">INDIRECT("Update"&amp;Projections!$AH$17&amp;"!Q"&amp;ROW(B484))</f>
        <v/>
      </c>
      <c r="AB503" s="107" t="str">
        <f t="array" ref="AB503">INDIRECT("Update"&amp;Projections!$AH$17&amp;"!I"&amp;ROW(B484))</f>
        <v/>
      </c>
      <c r="AC503" s="107" t="str">
        <f t="array" ref="AC503">INDIRECT("Update"&amp;Projections!$AH$17&amp;"!K"&amp;ROW(B484))</f>
        <v/>
      </c>
      <c r="AD503" s="73" t="str">
        <f t="array" ref="AD503">INDIRECT("Update"&amp;Projections!$AH$17&amp;"!R"&amp;ROW(B484))</f>
        <v/>
      </c>
      <c r="AE503" s="73">
        <f t="shared" si="16"/>
        <v>-3.155358621</v>
      </c>
      <c r="AF503" s="73">
        <f t="shared" si="17"/>
        <v>-1.740686581</v>
      </c>
      <c r="AG503" s="73">
        <f t="shared" si="18"/>
        <v>-2.380599106</v>
      </c>
      <c r="AH503" s="73">
        <f t="shared" si="19"/>
        <v>-1.79320266</v>
      </c>
      <c r="AI503" s="73">
        <f t="shared" si="20"/>
        <v>-3.240190514</v>
      </c>
      <c r="AJ503" s="73">
        <f t="shared" si="21"/>
        <v>-1.329092151</v>
      </c>
      <c r="AK503" s="73">
        <f t="shared" si="22"/>
        <v>0</v>
      </c>
      <c r="AL503" s="73">
        <f t="shared" si="23"/>
        <v>0</v>
      </c>
      <c r="AM503" s="73">
        <f t="shared" si="24"/>
        <v>0.433638093</v>
      </c>
      <c r="AN503" s="120">
        <f t="shared" si="25"/>
        <v>-3.240190514</v>
      </c>
      <c r="AO503" s="120">
        <f t="shared" si="26"/>
        <v>-6.395549135</v>
      </c>
      <c r="AP503" s="120" t="str">
        <f t="array" ref="AP503">INDIRECT("Update"&amp;Projections!$AH$17&amp;"!S"&amp;ROW(B484))</f>
        <v/>
      </c>
      <c r="AQ503" s="120" t="str">
        <f t="array" ref="AQ503">INDIRECT("Update"&amp;Projections!$AH$17&amp;"!T"&amp;ROW(B484))</f>
        <v/>
      </c>
      <c r="AR503" s="100">
        <f t="shared" si="27"/>
        <v>-9.965301026</v>
      </c>
    </row>
    <row r="504">
      <c r="A504" t="str">
        <f t="shared" si="3"/>
        <v/>
      </c>
      <c r="B504" s="42">
        <f t="shared" si="4"/>
        <v>-3.155358621</v>
      </c>
      <c r="C504" s="43">
        <f t="shared" si="5"/>
        <v>-1.740686581</v>
      </c>
      <c r="D504" s="42">
        <f t="shared" si="6"/>
        <v>-2.380599106</v>
      </c>
      <c r="E504" s="42">
        <f t="shared" si="7"/>
        <v>-1.79320266</v>
      </c>
      <c r="F504" s="42">
        <f t="shared" si="8"/>
        <v>-3.240190514</v>
      </c>
      <c r="G504" s="42">
        <f t="shared" si="9"/>
        <v>-1.329092151</v>
      </c>
      <c r="H504" s="42">
        <f t="shared" si="10"/>
        <v>0</v>
      </c>
      <c r="I504" s="42" t="str">
        <f>UpdateHashtag!S502</f>
        <v/>
      </c>
      <c r="J504" s="47">
        <f t="shared" si="11"/>
        <v>0</v>
      </c>
      <c r="K504" s="48" t="str">
        <f>UpdateHashtag!T502</f>
        <v/>
      </c>
      <c r="L504" s="42">
        <f t="shared" si="12"/>
        <v>-1.734552372</v>
      </c>
      <c r="N504" s="100">
        <f t="shared" si="13"/>
        <v>401</v>
      </c>
      <c r="O504" s="94" t="str">
        <f t="array" ref="O504">INDIRECT("Update"&amp;Projections!$AH$17&amp;"!B"&amp;ROW(B485))</f>
        <v/>
      </c>
      <c r="P504" s="414" t="str">
        <f t="array" ref="P504">INDIRECT("Update"&amp;Projections!$AH$17&amp;"!C"&amp;ROW(B485))</f>
        <v/>
      </c>
      <c r="Q504" s="94" t="str">
        <f>UpdateHashtag!F534</f>
        <v/>
      </c>
      <c r="R504" s="105" t="str">
        <f t="array" ref="R504">INDIRECT("Update"&amp;Projections!$AH$17&amp;"!D"&amp;ROW(B485))</f>
        <v/>
      </c>
      <c r="S504" s="73">
        <f t="shared" si="14"/>
        <v>-9.965301026</v>
      </c>
      <c r="T504" s="73">
        <f>SUM(AE504:AM504)-IFERROR(IFS(Projections!$I$17,AN504,Projections!$J$17,AO504),"")</f>
        <v>-9.965301026</v>
      </c>
      <c r="U504" s="73">
        <f t="shared" si="15"/>
        <v>0</v>
      </c>
      <c r="V504" s="73" t="str">
        <f t="array" ref="V504">INDIRECT("Update"&amp;Projections!$AH$17&amp;"!M"&amp;ROW(B485))</f>
        <v/>
      </c>
      <c r="W504" s="73" t="str">
        <f t="array" ref="W504">INDIRECT("Update"&amp;Projections!$AH$17&amp;"!L"&amp;ROW(B485))</f>
        <v/>
      </c>
      <c r="X504" s="73" t="str">
        <f t="array" ref="X504">INDIRECT("Update"&amp;Projections!$AH$17&amp;"!N"&amp;ROW(B485))</f>
        <v/>
      </c>
      <c r="Y504" s="73" t="str">
        <f t="array" ref="Y504">INDIRECT("Update"&amp;Projections!$AH$17&amp;"!O"&amp;ROW(B485))</f>
        <v/>
      </c>
      <c r="Z504" s="73" t="str">
        <f t="array" ref="Z504">INDIRECT("Update"&amp;Projections!$AH$17&amp;"!P"&amp;ROW(B485))</f>
        <v/>
      </c>
      <c r="AA504" s="73" t="str">
        <f t="array" ref="AA504">INDIRECT("Update"&amp;Projections!$AH$17&amp;"!Q"&amp;ROW(B485))</f>
        <v/>
      </c>
      <c r="AB504" s="107" t="str">
        <f t="array" ref="AB504">INDIRECT("Update"&amp;Projections!$AH$17&amp;"!I"&amp;ROW(B485))</f>
        <v/>
      </c>
      <c r="AC504" s="107" t="str">
        <f t="array" ref="AC504">INDIRECT("Update"&amp;Projections!$AH$17&amp;"!K"&amp;ROW(B485))</f>
        <v/>
      </c>
      <c r="AD504" s="73" t="str">
        <f t="array" ref="AD504">INDIRECT("Update"&amp;Projections!$AH$17&amp;"!R"&amp;ROW(B485))</f>
        <v/>
      </c>
      <c r="AE504" s="73">
        <f t="shared" si="16"/>
        <v>-3.155358621</v>
      </c>
      <c r="AF504" s="73">
        <f t="shared" si="17"/>
        <v>-1.740686581</v>
      </c>
      <c r="AG504" s="73">
        <f t="shared" si="18"/>
        <v>-2.380599106</v>
      </c>
      <c r="AH504" s="73">
        <f t="shared" si="19"/>
        <v>-1.79320266</v>
      </c>
      <c r="AI504" s="73">
        <f t="shared" si="20"/>
        <v>-3.240190514</v>
      </c>
      <c r="AJ504" s="73">
        <f t="shared" si="21"/>
        <v>-1.329092151</v>
      </c>
      <c r="AK504" s="73">
        <f t="shared" si="22"/>
        <v>0</v>
      </c>
      <c r="AL504" s="73">
        <f t="shared" si="23"/>
        <v>0</v>
      </c>
      <c r="AM504" s="73">
        <f t="shared" si="24"/>
        <v>0.433638093</v>
      </c>
      <c r="AN504" s="120">
        <f t="shared" si="25"/>
        <v>-3.240190514</v>
      </c>
      <c r="AO504" s="120">
        <f t="shared" si="26"/>
        <v>-6.395549135</v>
      </c>
      <c r="AP504" s="120" t="str">
        <f t="array" ref="AP504">INDIRECT("Update"&amp;Projections!$AH$17&amp;"!S"&amp;ROW(B485))</f>
        <v/>
      </c>
      <c r="AQ504" s="120" t="str">
        <f t="array" ref="AQ504">INDIRECT("Update"&amp;Projections!$AH$17&amp;"!T"&amp;ROW(B485))</f>
        <v/>
      </c>
      <c r="AR504" s="100">
        <f t="shared" si="27"/>
        <v>-9.965301026</v>
      </c>
    </row>
    <row r="505">
      <c r="A505" t="str">
        <f t="shared" si="3"/>
        <v/>
      </c>
      <c r="B505" s="42">
        <f t="shared" si="4"/>
        <v>-3.155358621</v>
      </c>
      <c r="C505" s="43">
        <f t="shared" si="5"/>
        <v>-1.740686581</v>
      </c>
      <c r="D505" s="42">
        <f t="shared" si="6"/>
        <v>-2.380599106</v>
      </c>
      <c r="E505" s="42">
        <f t="shared" si="7"/>
        <v>-1.79320266</v>
      </c>
      <c r="F505" s="42">
        <f t="shared" si="8"/>
        <v>-3.240190514</v>
      </c>
      <c r="G505" s="42">
        <f t="shared" si="9"/>
        <v>-1.329092151</v>
      </c>
      <c r="H505" s="42">
        <f t="shared" si="10"/>
        <v>0</v>
      </c>
      <c r="I505" s="42" t="str">
        <f>UpdateHashtag!S503</f>
        <v/>
      </c>
      <c r="J505" s="47">
        <f t="shared" si="11"/>
        <v>0</v>
      </c>
      <c r="K505" s="48" t="str">
        <f>UpdateHashtag!T503</f>
        <v/>
      </c>
      <c r="L505" s="42">
        <f t="shared" si="12"/>
        <v>-1.734552372</v>
      </c>
      <c r="N505" s="100">
        <f t="shared" si="13"/>
        <v>401</v>
      </c>
      <c r="O505" s="94" t="str">
        <f t="array" ref="O505">INDIRECT("Update"&amp;Projections!$AH$17&amp;"!B"&amp;ROW(B486))</f>
        <v/>
      </c>
      <c r="P505" s="414" t="str">
        <f t="array" ref="P505">INDIRECT("Update"&amp;Projections!$AH$17&amp;"!C"&amp;ROW(B486))</f>
        <v/>
      </c>
      <c r="Q505" s="94" t="str">
        <f>UpdateHashtag!F535</f>
        <v/>
      </c>
      <c r="R505" s="105" t="str">
        <f t="array" ref="R505">INDIRECT("Update"&amp;Projections!$AH$17&amp;"!D"&amp;ROW(B486))</f>
        <v/>
      </c>
      <c r="S505" s="73">
        <f t="shared" si="14"/>
        <v>-9.965301026</v>
      </c>
      <c r="T505" s="73">
        <f>SUM(AE505:AM505)-IFERROR(IFS(Projections!$I$17,AN505,Projections!$J$17,AO505),"")</f>
        <v>-9.965301026</v>
      </c>
      <c r="U505" s="73">
        <f t="shared" si="15"/>
        <v>0</v>
      </c>
      <c r="V505" s="73" t="str">
        <f t="array" ref="V505">INDIRECT("Update"&amp;Projections!$AH$17&amp;"!M"&amp;ROW(B486))</f>
        <v/>
      </c>
      <c r="W505" s="73" t="str">
        <f t="array" ref="W505">INDIRECT("Update"&amp;Projections!$AH$17&amp;"!L"&amp;ROW(B486))</f>
        <v/>
      </c>
      <c r="X505" s="73" t="str">
        <f t="array" ref="X505">INDIRECT("Update"&amp;Projections!$AH$17&amp;"!N"&amp;ROW(B486))</f>
        <v/>
      </c>
      <c r="Y505" s="73" t="str">
        <f t="array" ref="Y505">INDIRECT("Update"&amp;Projections!$AH$17&amp;"!O"&amp;ROW(B486))</f>
        <v/>
      </c>
      <c r="Z505" s="73" t="str">
        <f t="array" ref="Z505">INDIRECT("Update"&amp;Projections!$AH$17&amp;"!P"&amp;ROW(B486))</f>
        <v/>
      </c>
      <c r="AA505" s="73" t="str">
        <f t="array" ref="AA505">INDIRECT("Update"&amp;Projections!$AH$17&amp;"!Q"&amp;ROW(B486))</f>
        <v/>
      </c>
      <c r="AB505" s="107" t="str">
        <f t="array" ref="AB505">INDIRECT("Update"&amp;Projections!$AH$17&amp;"!I"&amp;ROW(B486))</f>
        <v/>
      </c>
      <c r="AC505" s="107" t="str">
        <f t="array" ref="AC505">INDIRECT("Update"&amp;Projections!$AH$17&amp;"!K"&amp;ROW(B486))</f>
        <v/>
      </c>
      <c r="AD505" s="73" t="str">
        <f t="array" ref="AD505">INDIRECT("Update"&amp;Projections!$AH$17&amp;"!R"&amp;ROW(B486))</f>
        <v/>
      </c>
      <c r="AE505" s="73">
        <f t="shared" si="16"/>
        <v>-3.155358621</v>
      </c>
      <c r="AF505" s="73">
        <f t="shared" si="17"/>
        <v>-1.740686581</v>
      </c>
      <c r="AG505" s="73">
        <f t="shared" si="18"/>
        <v>-2.380599106</v>
      </c>
      <c r="AH505" s="73">
        <f t="shared" si="19"/>
        <v>-1.79320266</v>
      </c>
      <c r="AI505" s="73">
        <f t="shared" si="20"/>
        <v>-3.240190514</v>
      </c>
      <c r="AJ505" s="73">
        <f t="shared" si="21"/>
        <v>-1.329092151</v>
      </c>
      <c r="AK505" s="73">
        <f t="shared" si="22"/>
        <v>0</v>
      </c>
      <c r="AL505" s="73">
        <f t="shared" si="23"/>
        <v>0</v>
      </c>
      <c r="AM505" s="73">
        <f t="shared" si="24"/>
        <v>0.433638093</v>
      </c>
      <c r="AN505" s="120">
        <f t="shared" si="25"/>
        <v>-3.240190514</v>
      </c>
      <c r="AO505" s="120">
        <f t="shared" si="26"/>
        <v>-6.395549135</v>
      </c>
      <c r="AP505" s="120" t="str">
        <f t="array" ref="AP505">INDIRECT("Update"&amp;Projections!$AH$17&amp;"!S"&amp;ROW(B486))</f>
        <v/>
      </c>
      <c r="AQ505" s="120" t="str">
        <f t="array" ref="AQ505">INDIRECT("Update"&amp;Projections!$AH$17&amp;"!T"&amp;ROW(B486))</f>
        <v/>
      </c>
      <c r="AR505" s="100">
        <f t="shared" si="27"/>
        <v>-9.965301026</v>
      </c>
    </row>
    <row r="506">
      <c r="A506" t="str">
        <f t="shared" si="3"/>
        <v/>
      </c>
      <c r="B506" s="42">
        <f t="shared" si="4"/>
        <v>-3.155358621</v>
      </c>
      <c r="C506" s="43">
        <f t="shared" si="5"/>
        <v>-1.740686581</v>
      </c>
      <c r="D506" s="42">
        <f t="shared" si="6"/>
        <v>-2.380599106</v>
      </c>
      <c r="E506" s="42">
        <f t="shared" si="7"/>
        <v>-1.79320266</v>
      </c>
      <c r="F506" s="42">
        <f t="shared" si="8"/>
        <v>-3.240190514</v>
      </c>
      <c r="G506" s="42">
        <f t="shared" si="9"/>
        <v>-1.329092151</v>
      </c>
      <c r="H506" s="42">
        <f t="shared" si="10"/>
        <v>0</v>
      </c>
      <c r="I506" s="42" t="str">
        <f>UpdateHashtag!S504</f>
        <v/>
      </c>
      <c r="J506" s="47">
        <f t="shared" si="11"/>
        <v>0</v>
      </c>
      <c r="K506" s="48" t="str">
        <f>UpdateHashtag!T504</f>
        <v/>
      </c>
      <c r="L506" s="42">
        <f t="shared" si="12"/>
        <v>-1.734552372</v>
      </c>
      <c r="N506" s="100">
        <f t="shared" si="13"/>
        <v>401</v>
      </c>
      <c r="O506" s="94" t="str">
        <f t="array" ref="O506">INDIRECT("Update"&amp;Projections!$AH$17&amp;"!B"&amp;ROW(B487))</f>
        <v/>
      </c>
      <c r="P506" s="414" t="str">
        <f t="array" ref="P506">INDIRECT("Update"&amp;Projections!$AH$17&amp;"!C"&amp;ROW(B487))</f>
        <v/>
      </c>
      <c r="Q506" s="94" t="str">
        <f>UpdateHashtag!F536</f>
        <v/>
      </c>
      <c r="R506" s="105" t="str">
        <f t="array" ref="R506">INDIRECT("Update"&amp;Projections!$AH$17&amp;"!D"&amp;ROW(B487))</f>
        <v/>
      </c>
      <c r="S506" s="73">
        <f t="shared" si="14"/>
        <v>-9.965301026</v>
      </c>
      <c r="T506" s="73">
        <f>SUM(AE506:AM506)-IFERROR(IFS(Projections!$I$17,AN506,Projections!$J$17,AO506),"")</f>
        <v>-9.965301026</v>
      </c>
      <c r="U506" s="73">
        <f t="shared" si="15"/>
        <v>0</v>
      </c>
      <c r="V506" s="73" t="str">
        <f t="array" ref="V506">INDIRECT("Update"&amp;Projections!$AH$17&amp;"!M"&amp;ROW(B487))</f>
        <v/>
      </c>
      <c r="W506" s="73" t="str">
        <f t="array" ref="W506">INDIRECT("Update"&amp;Projections!$AH$17&amp;"!L"&amp;ROW(B487))</f>
        <v/>
      </c>
      <c r="X506" s="73" t="str">
        <f t="array" ref="X506">INDIRECT("Update"&amp;Projections!$AH$17&amp;"!N"&amp;ROW(B487))</f>
        <v/>
      </c>
      <c r="Y506" s="73" t="str">
        <f t="array" ref="Y506">INDIRECT("Update"&amp;Projections!$AH$17&amp;"!O"&amp;ROW(B487))</f>
        <v/>
      </c>
      <c r="Z506" s="73" t="str">
        <f t="array" ref="Z506">INDIRECT("Update"&amp;Projections!$AH$17&amp;"!P"&amp;ROW(B487))</f>
        <v/>
      </c>
      <c r="AA506" s="73" t="str">
        <f t="array" ref="AA506">INDIRECT("Update"&amp;Projections!$AH$17&amp;"!Q"&amp;ROW(B487))</f>
        <v/>
      </c>
      <c r="AB506" s="107" t="str">
        <f t="array" ref="AB506">INDIRECT("Update"&amp;Projections!$AH$17&amp;"!I"&amp;ROW(B487))</f>
        <v/>
      </c>
      <c r="AC506" s="107" t="str">
        <f t="array" ref="AC506">INDIRECT("Update"&amp;Projections!$AH$17&amp;"!K"&amp;ROW(B487))</f>
        <v/>
      </c>
      <c r="AD506" s="73" t="str">
        <f t="array" ref="AD506">INDIRECT("Update"&amp;Projections!$AH$17&amp;"!R"&amp;ROW(B487))</f>
        <v/>
      </c>
      <c r="AE506" s="73">
        <f t="shared" si="16"/>
        <v>-3.155358621</v>
      </c>
      <c r="AF506" s="73">
        <f t="shared" si="17"/>
        <v>-1.740686581</v>
      </c>
      <c r="AG506" s="73">
        <f t="shared" si="18"/>
        <v>-2.380599106</v>
      </c>
      <c r="AH506" s="73">
        <f t="shared" si="19"/>
        <v>-1.79320266</v>
      </c>
      <c r="AI506" s="73">
        <f t="shared" si="20"/>
        <v>-3.240190514</v>
      </c>
      <c r="AJ506" s="73">
        <f t="shared" si="21"/>
        <v>-1.329092151</v>
      </c>
      <c r="AK506" s="73">
        <f t="shared" si="22"/>
        <v>0</v>
      </c>
      <c r="AL506" s="73">
        <f t="shared" si="23"/>
        <v>0</v>
      </c>
      <c r="AM506" s="73">
        <f t="shared" si="24"/>
        <v>0.433638093</v>
      </c>
      <c r="AN506" s="120">
        <f t="shared" si="25"/>
        <v>-3.240190514</v>
      </c>
      <c r="AO506" s="120">
        <f t="shared" si="26"/>
        <v>-6.395549135</v>
      </c>
      <c r="AP506" s="120" t="str">
        <f t="array" ref="AP506">INDIRECT("Update"&amp;Projections!$AH$17&amp;"!S"&amp;ROW(B487))</f>
        <v/>
      </c>
      <c r="AQ506" s="120" t="str">
        <f t="array" ref="AQ506">INDIRECT("Update"&amp;Projections!$AH$17&amp;"!T"&amp;ROW(B487))</f>
        <v/>
      </c>
      <c r="AR506" s="100">
        <f t="shared" si="27"/>
        <v>-9.965301026</v>
      </c>
    </row>
    <row r="507">
      <c r="A507" t="str">
        <f t="shared" si="3"/>
        <v/>
      </c>
      <c r="B507" s="42">
        <f t="shared" si="4"/>
        <v>-3.155358621</v>
      </c>
      <c r="C507" s="43">
        <f t="shared" si="5"/>
        <v>-1.740686581</v>
      </c>
      <c r="D507" s="42">
        <f t="shared" si="6"/>
        <v>-2.380599106</v>
      </c>
      <c r="E507" s="42">
        <f t="shared" si="7"/>
        <v>-1.79320266</v>
      </c>
      <c r="F507" s="42">
        <f t="shared" si="8"/>
        <v>-3.240190514</v>
      </c>
      <c r="G507" s="42">
        <f t="shared" si="9"/>
        <v>-1.329092151</v>
      </c>
      <c r="H507" s="42">
        <f t="shared" si="10"/>
        <v>0</v>
      </c>
      <c r="I507" s="42" t="str">
        <f>UpdateHashtag!S505</f>
        <v/>
      </c>
      <c r="J507" s="47">
        <f t="shared" si="11"/>
        <v>0</v>
      </c>
      <c r="K507" s="48" t="str">
        <f>UpdateHashtag!T505</f>
        <v/>
      </c>
      <c r="L507" s="42">
        <f t="shared" si="12"/>
        <v>-1.734552372</v>
      </c>
      <c r="N507" s="100">
        <f t="shared" si="13"/>
        <v>401</v>
      </c>
      <c r="O507" s="94" t="str">
        <f t="array" ref="O507">INDIRECT("Update"&amp;Projections!$AH$17&amp;"!B"&amp;ROW(B488))</f>
        <v/>
      </c>
      <c r="P507" s="414" t="str">
        <f t="array" ref="P507">INDIRECT("Update"&amp;Projections!$AH$17&amp;"!C"&amp;ROW(B488))</f>
        <v/>
      </c>
      <c r="Q507" s="94" t="str">
        <f>UpdateHashtag!F537</f>
        <v/>
      </c>
      <c r="R507" s="105" t="str">
        <f t="array" ref="R507">INDIRECT("Update"&amp;Projections!$AH$17&amp;"!D"&amp;ROW(B488))</f>
        <v/>
      </c>
      <c r="S507" s="73">
        <f t="shared" si="14"/>
        <v>-9.965301026</v>
      </c>
      <c r="T507" s="73">
        <f>SUM(AE507:AM507)-IFERROR(IFS(Projections!$I$17,AN507,Projections!$J$17,AO507),"")</f>
        <v>-9.965301026</v>
      </c>
      <c r="U507" s="73">
        <f t="shared" si="15"/>
        <v>0</v>
      </c>
      <c r="V507" s="73" t="str">
        <f t="array" ref="V507">INDIRECT("Update"&amp;Projections!$AH$17&amp;"!M"&amp;ROW(B488))</f>
        <v/>
      </c>
      <c r="W507" s="73" t="str">
        <f t="array" ref="W507">INDIRECT("Update"&amp;Projections!$AH$17&amp;"!L"&amp;ROW(B488))</f>
        <v/>
      </c>
      <c r="X507" s="73" t="str">
        <f t="array" ref="X507">INDIRECT("Update"&amp;Projections!$AH$17&amp;"!N"&amp;ROW(B488))</f>
        <v/>
      </c>
      <c r="Y507" s="73" t="str">
        <f t="array" ref="Y507">INDIRECT("Update"&amp;Projections!$AH$17&amp;"!O"&amp;ROW(B488))</f>
        <v/>
      </c>
      <c r="Z507" s="73" t="str">
        <f t="array" ref="Z507">INDIRECT("Update"&amp;Projections!$AH$17&amp;"!P"&amp;ROW(B488))</f>
        <v/>
      </c>
      <c r="AA507" s="73" t="str">
        <f t="array" ref="AA507">INDIRECT("Update"&amp;Projections!$AH$17&amp;"!Q"&amp;ROW(B488))</f>
        <v/>
      </c>
      <c r="AB507" s="107" t="str">
        <f t="array" ref="AB507">INDIRECT("Update"&amp;Projections!$AH$17&amp;"!I"&amp;ROW(B488))</f>
        <v/>
      </c>
      <c r="AC507" s="107" t="str">
        <f t="array" ref="AC507">INDIRECT("Update"&amp;Projections!$AH$17&amp;"!K"&amp;ROW(B488))</f>
        <v/>
      </c>
      <c r="AD507" s="73" t="str">
        <f t="array" ref="AD507">INDIRECT("Update"&amp;Projections!$AH$17&amp;"!R"&amp;ROW(B488))</f>
        <v/>
      </c>
      <c r="AE507" s="73">
        <f t="shared" si="16"/>
        <v>-3.155358621</v>
      </c>
      <c r="AF507" s="73">
        <f t="shared" si="17"/>
        <v>-1.740686581</v>
      </c>
      <c r="AG507" s="73">
        <f t="shared" si="18"/>
        <v>-2.380599106</v>
      </c>
      <c r="AH507" s="73">
        <f t="shared" si="19"/>
        <v>-1.79320266</v>
      </c>
      <c r="AI507" s="73">
        <f t="shared" si="20"/>
        <v>-3.240190514</v>
      </c>
      <c r="AJ507" s="73">
        <f t="shared" si="21"/>
        <v>-1.329092151</v>
      </c>
      <c r="AK507" s="73">
        <f t="shared" si="22"/>
        <v>0</v>
      </c>
      <c r="AL507" s="73">
        <f t="shared" si="23"/>
        <v>0</v>
      </c>
      <c r="AM507" s="73">
        <f t="shared" si="24"/>
        <v>0.433638093</v>
      </c>
      <c r="AN507" s="120">
        <f t="shared" si="25"/>
        <v>-3.240190514</v>
      </c>
      <c r="AO507" s="120">
        <f t="shared" si="26"/>
        <v>-6.395549135</v>
      </c>
      <c r="AP507" s="120" t="str">
        <f t="array" ref="AP507">INDIRECT("Update"&amp;Projections!$AH$17&amp;"!S"&amp;ROW(B488))</f>
        <v/>
      </c>
      <c r="AQ507" s="120" t="str">
        <f t="array" ref="AQ507">INDIRECT("Update"&amp;Projections!$AH$17&amp;"!T"&amp;ROW(B488))</f>
        <v/>
      </c>
      <c r="AR507" s="100">
        <f t="shared" si="27"/>
        <v>-9.965301026</v>
      </c>
    </row>
    <row r="508">
      <c r="A508" t="str">
        <f t="shared" si="3"/>
        <v/>
      </c>
      <c r="B508" s="42">
        <f t="shared" si="4"/>
        <v>-3.155358621</v>
      </c>
      <c r="C508" s="43">
        <f t="shared" si="5"/>
        <v>-1.740686581</v>
      </c>
      <c r="D508" s="42">
        <f t="shared" si="6"/>
        <v>-2.380599106</v>
      </c>
      <c r="E508" s="42">
        <f t="shared" si="7"/>
        <v>-1.79320266</v>
      </c>
      <c r="F508" s="42">
        <f t="shared" si="8"/>
        <v>-3.240190514</v>
      </c>
      <c r="G508" s="42">
        <f t="shared" si="9"/>
        <v>-1.329092151</v>
      </c>
      <c r="H508" s="42">
        <f t="shared" si="10"/>
        <v>0</v>
      </c>
      <c r="I508" s="42" t="str">
        <f>UpdateHashtag!S506</f>
        <v/>
      </c>
      <c r="J508" s="47">
        <f t="shared" si="11"/>
        <v>0</v>
      </c>
      <c r="K508" s="48" t="str">
        <f>UpdateHashtag!T506</f>
        <v/>
      </c>
      <c r="L508" s="42">
        <f t="shared" si="12"/>
        <v>-1.734552372</v>
      </c>
      <c r="N508" s="100">
        <f t="shared" si="13"/>
        <v>401</v>
      </c>
      <c r="O508" s="94" t="str">
        <f t="array" ref="O508">INDIRECT("Update"&amp;Projections!$AH$17&amp;"!B"&amp;ROW(B489))</f>
        <v/>
      </c>
      <c r="P508" s="414" t="str">
        <f t="array" ref="P508">INDIRECT("Update"&amp;Projections!$AH$17&amp;"!C"&amp;ROW(B489))</f>
        <v/>
      </c>
      <c r="Q508" s="94" t="str">
        <f>UpdateHashtag!F538</f>
        <v/>
      </c>
      <c r="R508" s="105" t="str">
        <f t="array" ref="R508">INDIRECT("Update"&amp;Projections!$AH$17&amp;"!D"&amp;ROW(B489))</f>
        <v/>
      </c>
      <c r="S508" s="73">
        <f t="shared" si="14"/>
        <v>-9.965301026</v>
      </c>
      <c r="T508" s="73">
        <f>SUM(AE508:AM508)-IFERROR(IFS(Projections!$I$17,AN508,Projections!$J$17,AO508),"")</f>
        <v>-9.965301026</v>
      </c>
      <c r="U508" s="73">
        <f t="shared" si="15"/>
        <v>0</v>
      </c>
      <c r="V508" s="73" t="str">
        <f t="array" ref="V508">INDIRECT("Update"&amp;Projections!$AH$17&amp;"!M"&amp;ROW(B489))</f>
        <v/>
      </c>
      <c r="W508" s="73" t="str">
        <f t="array" ref="W508">INDIRECT("Update"&amp;Projections!$AH$17&amp;"!L"&amp;ROW(B489))</f>
        <v/>
      </c>
      <c r="X508" s="73" t="str">
        <f t="array" ref="X508">INDIRECT("Update"&amp;Projections!$AH$17&amp;"!N"&amp;ROW(B489))</f>
        <v/>
      </c>
      <c r="Y508" s="73" t="str">
        <f t="array" ref="Y508">INDIRECT("Update"&amp;Projections!$AH$17&amp;"!O"&amp;ROW(B489))</f>
        <v/>
      </c>
      <c r="Z508" s="73" t="str">
        <f t="array" ref="Z508">INDIRECT("Update"&amp;Projections!$AH$17&amp;"!P"&amp;ROW(B489))</f>
        <v/>
      </c>
      <c r="AA508" s="73" t="str">
        <f t="array" ref="AA508">INDIRECT("Update"&amp;Projections!$AH$17&amp;"!Q"&amp;ROW(B489))</f>
        <v/>
      </c>
      <c r="AB508" s="107" t="str">
        <f t="array" ref="AB508">INDIRECT("Update"&amp;Projections!$AH$17&amp;"!I"&amp;ROW(B489))</f>
        <v/>
      </c>
      <c r="AC508" s="107" t="str">
        <f t="array" ref="AC508">INDIRECT("Update"&amp;Projections!$AH$17&amp;"!K"&amp;ROW(B489))</f>
        <v/>
      </c>
      <c r="AD508" s="73" t="str">
        <f t="array" ref="AD508">INDIRECT("Update"&amp;Projections!$AH$17&amp;"!R"&amp;ROW(B489))</f>
        <v/>
      </c>
      <c r="AE508" s="73">
        <f t="shared" si="16"/>
        <v>-3.155358621</v>
      </c>
      <c r="AF508" s="73">
        <f t="shared" si="17"/>
        <v>-1.740686581</v>
      </c>
      <c r="AG508" s="73">
        <f t="shared" si="18"/>
        <v>-2.380599106</v>
      </c>
      <c r="AH508" s="73">
        <f t="shared" si="19"/>
        <v>-1.79320266</v>
      </c>
      <c r="AI508" s="73">
        <f t="shared" si="20"/>
        <v>-3.240190514</v>
      </c>
      <c r="AJ508" s="73">
        <f t="shared" si="21"/>
        <v>-1.329092151</v>
      </c>
      <c r="AK508" s="73">
        <f t="shared" si="22"/>
        <v>0</v>
      </c>
      <c r="AL508" s="73">
        <f t="shared" si="23"/>
        <v>0</v>
      </c>
      <c r="AM508" s="73">
        <f t="shared" si="24"/>
        <v>0.433638093</v>
      </c>
      <c r="AN508" s="120">
        <f t="shared" si="25"/>
        <v>-3.240190514</v>
      </c>
      <c r="AO508" s="120">
        <f t="shared" si="26"/>
        <v>-6.395549135</v>
      </c>
      <c r="AP508" s="120" t="str">
        <f t="array" ref="AP508">INDIRECT("Update"&amp;Projections!$AH$17&amp;"!S"&amp;ROW(B489))</f>
        <v/>
      </c>
      <c r="AQ508" s="120" t="str">
        <f t="array" ref="AQ508">INDIRECT("Update"&amp;Projections!$AH$17&amp;"!T"&amp;ROW(B489))</f>
        <v/>
      </c>
      <c r="AR508" s="100">
        <f t="shared" si="27"/>
        <v>-9.965301026</v>
      </c>
    </row>
    <row r="509">
      <c r="A509" t="str">
        <f t="shared" si="3"/>
        <v/>
      </c>
      <c r="B509" s="42">
        <f t="shared" si="4"/>
        <v>-3.155358621</v>
      </c>
      <c r="C509" s="43">
        <f t="shared" si="5"/>
        <v>-1.740686581</v>
      </c>
      <c r="D509" s="42">
        <f t="shared" si="6"/>
        <v>-2.380599106</v>
      </c>
      <c r="E509" s="42">
        <f t="shared" si="7"/>
        <v>-1.79320266</v>
      </c>
      <c r="F509" s="42">
        <f t="shared" si="8"/>
        <v>-3.240190514</v>
      </c>
      <c r="G509" s="42">
        <f t="shared" si="9"/>
        <v>-1.329092151</v>
      </c>
      <c r="H509" s="42">
        <f t="shared" si="10"/>
        <v>0</v>
      </c>
      <c r="I509" s="42" t="str">
        <f>UpdateHashtag!S507</f>
        <v/>
      </c>
      <c r="J509" s="47">
        <f t="shared" si="11"/>
        <v>0</v>
      </c>
      <c r="K509" s="48" t="str">
        <f>UpdateHashtag!T507</f>
        <v/>
      </c>
      <c r="L509" s="42">
        <f t="shared" si="12"/>
        <v>-1.734552372</v>
      </c>
      <c r="N509" s="100">
        <f t="shared" si="13"/>
        <v>401</v>
      </c>
      <c r="O509" s="94" t="str">
        <f t="array" ref="O509">INDIRECT("Update"&amp;Projections!$AH$17&amp;"!B"&amp;ROW(B490))</f>
        <v/>
      </c>
      <c r="P509" s="414" t="str">
        <f t="array" ref="P509">INDIRECT("Update"&amp;Projections!$AH$17&amp;"!C"&amp;ROW(B490))</f>
        <v/>
      </c>
      <c r="Q509" s="94" t="str">
        <f>UpdateHashtag!F539</f>
        <v/>
      </c>
      <c r="R509" s="105" t="str">
        <f t="array" ref="R509">INDIRECT("Update"&amp;Projections!$AH$17&amp;"!D"&amp;ROW(B490))</f>
        <v/>
      </c>
      <c r="S509" s="73">
        <f t="shared" si="14"/>
        <v>-9.965301026</v>
      </c>
      <c r="T509" s="73">
        <f>SUM(AE509:AM509)-IFERROR(IFS(Projections!$I$17,AN509,Projections!$J$17,AO509),"")</f>
        <v>-9.965301026</v>
      </c>
      <c r="U509" s="73">
        <f t="shared" si="15"/>
        <v>0</v>
      </c>
      <c r="V509" s="73" t="str">
        <f t="array" ref="V509">INDIRECT("Update"&amp;Projections!$AH$17&amp;"!M"&amp;ROW(B490))</f>
        <v/>
      </c>
      <c r="W509" s="73" t="str">
        <f t="array" ref="W509">INDIRECT("Update"&amp;Projections!$AH$17&amp;"!L"&amp;ROW(B490))</f>
        <v/>
      </c>
      <c r="X509" s="73" t="str">
        <f t="array" ref="X509">INDIRECT("Update"&amp;Projections!$AH$17&amp;"!N"&amp;ROW(B490))</f>
        <v/>
      </c>
      <c r="Y509" s="73" t="str">
        <f t="array" ref="Y509">INDIRECT("Update"&amp;Projections!$AH$17&amp;"!O"&amp;ROW(B490))</f>
        <v/>
      </c>
      <c r="Z509" s="73" t="str">
        <f t="array" ref="Z509">INDIRECT("Update"&amp;Projections!$AH$17&amp;"!P"&amp;ROW(B490))</f>
        <v/>
      </c>
      <c r="AA509" s="73" t="str">
        <f t="array" ref="AA509">INDIRECT("Update"&amp;Projections!$AH$17&amp;"!Q"&amp;ROW(B490))</f>
        <v/>
      </c>
      <c r="AB509" s="107" t="str">
        <f t="array" ref="AB509">INDIRECT("Update"&amp;Projections!$AH$17&amp;"!I"&amp;ROW(B490))</f>
        <v/>
      </c>
      <c r="AC509" s="107" t="str">
        <f t="array" ref="AC509">INDIRECT("Update"&amp;Projections!$AH$17&amp;"!K"&amp;ROW(B490))</f>
        <v/>
      </c>
      <c r="AD509" s="73" t="str">
        <f t="array" ref="AD509">INDIRECT("Update"&amp;Projections!$AH$17&amp;"!R"&amp;ROW(B490))</f>
        <v/>
      </c>
      <c r="AE509" s="73">
        <f t="shared" si="16"/>
        <v>-3.155358621</v>
      </c>
      <c r="AF509" s="73">
        <f t="shared" si="17"/>
        <v>-1.740686581</v>
      </c>
      <c r="AG509" s="73">
        <f t="shared" si="18"/>
        <v>-2.380599106</v>
      </c>
      <c r="AH509" s="73">
        <f t="shared" si="19"/>
        <v>-1.79320266</v>
      </c>
      <c r="AI509" s="73">
        <f t="shared" si="20"/>
        <v>-3.240190514</v>
      </c>
      <c r="AJ509" s="73">
        <f t="shared" si="21"/>
        <v>-1.329092151</v>
      </c>
      <c r="AK509" s="73">
        <f t="shared" si="22"/>
        <v>0</v>
      </c>
      <c r="AL509" s="73">
        <f t="shared" si="23"/>
        <v>0</v>
      </c>
      <c r="AM509" s="73">
        <f t="shared" si="24"/>
        <v>0.433638093</v>
      </c>
      <c r="AN509" s="120">
        <f t="shared" si="25"/>
        <v>-3.240190514</v>
      </c>
      <c r="AO509" s="120">
        <f t="shared" si="26"/>
        <v>-6.395549135</v>
      </c>
      <c r="AP509" s="120" t="str">
        <f t="array" ref="AP509">INDIRECT("Update"&amp;Projections!$AH$17&amp;"!S"&amp;ROW(B490))</f>
        <v/>
      </c>
      <c r="AQ509" s="120" t="str">
        <f t="array" ref="AQ509">INDIRECT("Update"&amp;Projections!$AH$17&amp;"!T"&amp;ROW(B490))</f>
        <v/>
      </c>
      <c r="AR509" s="100">
        <f t="shared" si="27"/>
        <v>-9.965301026</v>
      </c>
    </row>
    <row r="510">
      <c r="A510" t="str">
        <f t="shared" si="3"/>
        <v/>
      </c>
      <c r="B510" s="42">
        <f t="shared" si="4"/>
        <v>-3.155358621</v>
      </c>
      <c r="C510" s="43">
        <f t="shared" si="5"/>
        <v>-1.740686581</v>
      </c>
      <c r="D510" s="42">
        <f t="shared" si="6"/>
        <v>-2.380599106</v>
      </c>
      <c r="E510" s="42">
        <f t="shared" si="7"/>
        <v>-1.79320266</v>
      </c>
      <c r="F510" s="42">
        <f t="shared" si="8"/>
        <v>-3.240190514</v>
      </c>
      <c r="G510" s="42">
        <f t="shared" si="9"/>
        <v>-1.329092151</v>
      </c>
      <c r="H510" s="42">
        <f t="shared" si="10"/>
        <v>0</v>
      </c>
      <c r="I510" s="42" t="str">
        <f>UpdateHashtag!S508</f>
        <v/>
      </c>
      <c r="J510" s="47">
        <f t="shared" si="11"/>
        <v>0</v>
      </c>
      <c r="K510" s="48" t="str">
        <f>UpdateHashtag!T508</f>
        <v/>
      </c>
      <c r="L510" s="42">
        <f t="shared" si="12"/>
        <v>-1.734552372</v>
      </c>
      <c r="N510" s="100">
        <f t="shared" si="13"/>
        <v>401</v>
      </c>
      <c r="O510" s="94" t="str">
        <f t="array" ref="O510">INDIRECT("Update"&amp;Projections!$AH$17&amp;"!B"&amp;ROW(B491))</f>
        <v/>
      </c>
      <c r="P510" s="414" t="str">
        <f t="array" ref="P510">INDIRECT("Update"&amp;Projections!$AH$17&amp;"!C"&amp;ROW(B491))</f>
        <v/>
      </c>
      <c r="Q510" s="94" t="str">
        <f>UpdateHashtag!F540</f>
        <v/>
      </c>
      <c r="R510" s="105" t="str">
        <f t="array" ref="R510">INDIRECT("Update"&amp;Projections!$AH$17&amp;"!D"&amp;ROW(B491))</f>
        <v/>
      </c>
      <c r="S510" s="73">
        <f t="shared" si="14"/>
        <v>-9.965301026</v>
      </c>
      <c r="T510" s="73">
        <f>SUM(AE510:AM510)-IFERROR(IFS(Projections!$I$17,AN510,Projections!$J$17,AO510),"")</f>
        <v>-9.965301026</v>
      </c>
      <c r="U510" s="73">
        <f t="shared" si="15"/>
        <v>0</v>
      </c>
      <c r="V510" s="73" t="str">
        <f t="array" ref="V510">INDIRECT("Update"&amp;Projections!$AH$17&amp;"!M"&amp;ROW(B491))</f>
        <v/>
      </c>
      <c r="W510" s="73" t="str">
        <f t="array" ref="W510">INDIRECT("Update"&amp;Projections!$AH$17&amp;"!L"&amp;ROW(B491))</f>
        <v/>
      </c>
      <c r="X510" s="73" t="str">
        <f t="array" ref="X510">INDIRECT("Update"&amp;Projections!$AH$17&amp;"!N"&amp;ROW(B491))</f>
        <v/>
      </c>
      <c r="Y510" s="73" t="str">
        <f t="array" ref="Y510">INDIRECT("Update"&amp;Projections!$AH$17&amp;"!O"&amp;ROW(B491))</f>
        <v/>
      </c>
      <c r="Z510" s="73" t="str">
        <f t="array" ref="Z510">INDIRECT("Update"&amp;Projections!$AH$17&amp;"!P"&amp;ROW(B491))</f>
        <v/>
      </c>
      <c r="AA510" s="73" t="str">
        <f t="array" ref="AA510">INDIRECT("Update"&amp;Projections!$AH$17&amp;"!Q"&amp;ROW(B491))</f>
        <v/>
      </c>
      <c r="AB510" s="107" t="str">
        <f t="array" ref="AB510">INDIRECT("Update"&amp;Projections!$AH$17&amp;"!I"&amp;ROW(B491))</f>
        <v/>
      </c>
      <c r="AC510" s="107" t="str">
        <f t="array" ref="AC510">INDIRECT("Update"&amp;Projections!$AH$17&amp;"!K"&amp;ROW(B491))</f>
        <v/>
      </c>
      <c r="AD510" s="73" t="str">
        <f t="array" ref="AD510">INDIRECT("Update"&amp;Projections!$AH$17&amp;"!R"&amp;ROW(B491))</f>
        <v/>
      </c>
      <c r="AE510" s="73">
        <f t="shared" si="16"/>
        <v>-3.155358621</v>
      </c>
      <c r="AF510" s="73">
        <f t="shared" si="17"/>
        <v>-1.740686581</v>
      </c>
      <c r="AG510" s="73">
        <f t="shared" si="18"/>
        <v>-2.380599106</v>
      </c>
      <c r="AH510" s="73">
        <f t="shared" si="19"/>
        <v>-1.79320266</v>
      </c>
      <c r="AI510" s="73">
        <f t="shared" si="20"/>
        <v>-3.240190514</v>
      </c>
      <c r="AJ510" s="73">
        <f t="shared" si="21"/>
        <v>-1.329092151</v>
      </c>
      <c r="AK510" s="73">
        <f t="shared" si="22"/>
        <v>0</v>
      </c>
      <c r="AL510" s="73">
        <f t="shared" si="23"/>
        <v>0</v>
      </c>
      <c r="AM510" s="73">
        <f t="shared" si="24"/>
        <v>0.433638093</v>
      </c>
      <c r="AN510" s="120">
        <f t="shared" si="25"/>
        <v>-3.240190514</v>
      </c>
      <c r="AO510" s="120">
        <f t="shared" si="26"/>
        <v>-6.395549135</v>
      </c>
      <c r="AP510" s="120" t="str">
        <f t="array" ref="AP510">INDIRECT("Update"&amp;Projections!$AH$17&amp;"!S"&amp;ROW(B491))</f>
        <v/>
      </c>
      <c r="AQ510" s="120" t="str">
        <f t="array" ref="AQ510">INDIRECT("Update"&amp;Projections!$AH$17&amp;"!T"&amp;ROW(B491))</f>
        <v/>
      </c>
      <c r="AR510" s="100">
        <f t="shared" si="27"/>
        <v>-9.965301026</v>
      </c>
    </row>
    <row r="511">
      <c r="A511" t="str">
        <f t="shared" si="3"/>
        <v/>
      </c>
      <c r="B511" s="42">
        <f t="shared" si="4"/>
        <v>-3.155358621</v>
      </c>
      <c r="C511" s="43">
        <f t="shared" si="5"/>
        <v>-1.740686581</v>
      </c>
      <c r="D511" s="42">
        <f t="shared" si="6"/>
        <v>-2.380599106</v>
      </c>
      <c r="E511" s="42">
        <f t="shared" si="7"/>
        <v>-1.79320266</v>
      </c>
      <c r="F511" s="42">
        <f t="shared" si="8"/>
        <v>-3.240190514</v>
      </c>
      <c r="G511" s="42">
        <f t="shared" si="9"/>
        <v>-1.329092151</v>
      </c>
      <c r="H511" s="42">
        <f t="shared" si="10"/>
        <v>0</v>
      </c>
      <c r="I511" s="42" t="str">
        <f>UpdateHashtag!S509</f>
        <v/>
      </c>
      <c r="J511" s="47">
        <f t="shared" si="11"/>
        <v>0</v>
      </c>
      <c r="K511" s="48" t="str">
        <f>UpdateHashtag!T509</f>
        <v/>
      </c>
      <c r="L511" s="42">
        <f t="shared" si="12"/>
        <v>-1.734552372</v>
      </c>
      <c r="N511" s="100">
        <f t="shared" si="13"/>
        <v>401</v>
      </c>
      <c r="O511" s="94" t="str">
        <f t="array" ref="O511">INDIRECT("Update"&amp;Projections!$AH$17&amp;"!B"&amp;ROW(B492))</f>
        <v/>
      </c>
      <c r="P511" s="414" t="str">
        <f t="array" ref="P511">INDIRECT("Update"&amp;Projections!$AH$17&amp;"!C"&amp;ROW(B492))</f>
        <v/>
      </c>
      <c r="Q511" s="94" t="str">
        <f>UpdateHashtag!F541</f>
        <v/>
      </c>
      <c r="R511" s="105" t="str">
        <f t="array" ref="R511">INDIRECT("Update"&amp;Projections!$AH$17&amp;"!D"&amp;ROW(B492))</f>
        <v/>
      </c>
      <c r="S511" s="73">
        <f t="shared" si="14"/>
        <v>-9.965301026</v>
      </c>
      <c r="T511" s="73">
        <f>SUM(AE511:AM511)-IFERROR(IFS(Projections!$I$17,AN511,Projections!$J$17,AO511),"")</f>
        <v>-9.965301026</v>
      </c>
      <c r="U511" s="73">
        <f t="shared" si="15"/>
        <v>0</v>
      </c>
      <c r="V511" s="73" t="str">
        <f t="array" ref="V511">INDIRECT("Update"&amp;Projections!$AH$17&amp;"!M"&amp;ROW(B492))</f>
        <v/>
      </c>
      <c r="W511" s="73" t="str">
        <f t="array" ref="W511">INDIRECT("Update"&amp;Projections!$AH$17&amp;"!L"&amp;ROW(B492))</f>
        <v/>
      </c>
      <c r="X511" s="73" t="str">
        <f t="array" ref="X511">INDIRECT("Update"&amp;Projections!$AH$17&amp;"!N"&amp;ROW(B492))</f>
        <v/>
      </c>
      <c r="Y511" s="73" t="str">
        <f t="array" ref="Y511">INDIRECT("Update"&amp;Projections!$AH$17&amp;"!O"&amp;ROW(B492))</f>
        <v/>
      </c>
      <c r="Z511" s="73" t="str">
        <f t="array" ref="Z511">INDIRECT("Update"&amp;Projections!$AH$17&amp;"!P"&amp;ROW(B492))</f>
        <v/>
      </c>
      <c r="AA511" s="73" t="str">
        <f t="array" ref="AA511">INDIRECT("Update"&amp;Projections!$AH$17&amp;"!Q"&amp;ROW(B492))</f>
        <v/>
      </c>
      <c r="AB511" s="107" t="str">
        <f t="array" ref="AB511">INDIRECT("Update"&amp;Projections!$AH$17&amp;"!I"&amp;ROW(B492))</f>
        <v/>
      </c>
      <c r="AC511" s="107" t="str">
        <f t="array" ref="AC511">INDIRECT("Update"&amp;Projections!$AH$17&amp;"!K"&amp;ROW(B492))</f>
        <v/>
      </c>
      <c r="AD511" s="73" t="str">
        <f t="array" ref="AD511">INDIRECT("Update"&amp;Projections!$AH$17&amp;"!R"&amp;ROW(B492))</f>
        <v/>
      </c>
      <c r="AE511" s="73">
        <f t="shared" si="16"/>
        <v>-3.155358621</v>
      </c>
      <c r="AF511" s="73">
        <f t="shared" si="17"/>
        <v>-1.740686581</v>
      </c>
      <c r="AG511" s="73">
        <f t="shared" si="18"/>
        <v>-2.380599106</v>
      </c>
      <c r="AH511" s="73">
        <f t="shared" si="19"/>
        <v>-1.79320266</v>
      </c>
      <c r="AI511" s="73">
        <f t="shared" si="20"/>
        <v>-3.240190514</v>
      </c>
      <c r="AJ511" s="73">
        <f t="shared" si="21"/>
        <v>-1.329092151</v>
      </c>
      <c r="AK511" s="73">
        <f t="shared" si="22"/>
        <v>0</v>
      </c>
      <c r="AL511" s="73">
        <f t="shared" si="23"/>
        <v>0</v>
      </c>
      <c r="AM511" s="73">
        <f t="shared" si="24"/>
        <v>0.433638093</v>
      </c>
      <c r="AN511" s="120">
        <f t="shared" si="25"/>
        <v>-3.240190514</v>
      </c>
      <c r="AO511" s="120">
        <f t="shared" si="26"/>
        <v>-6.395549135</v>
      </c>
      <c r="AP511" s="120" t="str">
        <f t="array" ref="AP511">INDIRECT("Update"&amp;Projections!$AH$17&amp;"!S"&amp;ROW(B492))</f>
        <v/>
      </c>
      <c r="AQ511" s="120" t="str">
        <f t="array" ref="AQ511">INDIRECT("Update"&amp;Projections!$AH$17&amp;"!T"&amp;ROW(B492))</f>
        <v/>
      </c>
      <c r="AR511" s="100">
        <f t="shared" si="27"/>
        <v>-9.965301026</v>
      </c>
    </row>
    <row r="512">
      <c r="A512" t="str">
        <f t="shared" si="3"/>
        <v/>
      </c>
      <c r="B512" s="42">
        <f t="shared" si="4"/>
        <v>-3.155358621</v>
      </c>
      <c r="C512" s="43">
        <f t="shared" si="5"/>
        <v>-1.740686581</v>
      </c>
      <c r="D512" s="42">
        <f t="shared" si="6"/>
        <v>-2.380599106</v>
      </c>
      <c r="E512" s="42">
        <f t="shared" si="7"/>
        <v>-1.79320266</v>
      </c>
      <c r="F512" s="42">
        <f t="shared" si="8"/>
        <v>-3.240190514</v>
      </c>
      <c r="G512" s="42">
        <f t="shared" si="9"/>
        <v>-1.329092151</v>
      </c>
      <c r="H512" s="42">
        <f t="shared" si="10"/>
        <v>0</v>
      </c>
      <c r="I512" s="42" t="str">
        <f>UpdateHashtag!S510</f>
        <v/>
      </c>
      <c r="J512" s="47">
        <f t="shared" si="11"/>
        <v>0</v>
      </c>
      <c r="K512" s="48" t="str">
        <f>UpdateHashtag!T510</f>
        <v/>
      </c>
      <c r="L512" s="42">
        <f t="shared" si="12"/>
        <v>-1.734552372</v>
      </c>
      <c r="N512" s="100">
        <f t="shared" si="13"/>
        <v>401</v>
      </c>
      <c r="O512" s="94" t="str">
        <f t="array" ref="O512">INDIRECT("Update"&amp;Projections!$AH$17&amp;"!B"&amp;ROW(B493))</f>
        <v/>
      </c>
      <c r="P512" s="414" t="str">
        <f t="array" ref="P512">INDIRECT("Update"&amp;Projections!$AH$17&amp;"!C"&amp;ROW(B493))</f>
        <v/>
      </c>
      <c r="Q512" s="94" t="str">
        <f>UpdateHashtag!F542</f>
        <v/>
      </c>
      <c r="R512" s="105" t="str">
        <f t="array" ref="R512">INDIRECT("Update"&amp;Projections!$AH$17&amp;"!D"&amp;ROW(B493))</f>
        <v/>
      </c>
      <c r="S512" s="73">
        <f t="shared" si="14"/>
        <v>-9.965301026</v>
      </c>
      <c r="T512" s="73">
        <f>SUM(AE512:AM512)-IFERROR(IFS(Projections!$I$17,AN512,Projections!$J$17,AO512),"")</f>
        <v>-9.965301026</v>
      </c>
      <c r="U512" s="73">
        <f t="shared" si="15"/>
        <v>0</v>
      </c>
      <c r="V512" s="73" t="str">
        <f t="array" ref="V512">INDIRECT("Update"&amp;Projections!$AH$17&amp;"!M"&amp;ROW(B493))</f>
        <v/>
      </c>
      <c r="W512" s="73" t="str">
        <f t="array" ref="W512">INDIRECT("Update"&amp;Projections!$AH$17&amp;"!L"&amp;ROW(B493))</f>
        <v/>
      </c>
      <c r="X512" s="73" t="str">
        <f t="array" ref="X512">INDIRECT("Update"&amp;Projections!$AH$17&amp;"!N"&amp;ROW(B493))</f>
        <v/>
      </c>
      <c r="Y512" s="73" t="str">
        <f t="array" ref="Y512">INDIRECT("Update"&amp;Projections!$AH$17&amp;"!O"&amp;ROW(B493))</f>
        <v/>
      </c>
      <c r="Z512" s="73" t="str">
        <f t="array" ref="Z512">INDIRECT("Update"&amp;Projections!$AH$17&amp;"!P"&amp;ROW(B493))</f>
        <v/>
      </c>
      <c r="AA512" s="73" t="str">
        <f t="array" ref="AA512">INDIRECT("Update"&amp;Projections!$AH$17&amp;"!Q"&amp;ROW(B493))</f>
        <v/>
      </c>
      <c r="AB512" s="107" t="str">
        <f t="array" ref="AB512">INDIRECT("Update"&amp;Projections!$AH$17&amp;"!I"&amp;ROW(B493))</f>
        <v/>
      </c>
      <c r="AC512" s="107" t="str">
        <f t="array" ref="AC512">INDIRECT("Update"&amp;Projections!$AH$17&amp;"!K"&amp;ROW(B493))</f>
        <v/>
      </c>
      <c r="AD512" s="73" t="str">
        <f t="array" ref="AD512">INDIRECT("Update"&amp;Projections!$AH$17&amp;"!R"&amp;ROW(B493))</f>
        <v/>
      </c>
      <c r="AE512" s="73">
        <f t="shared" si="16"/>
        <v>-3.155358621</v>
      </c>
      <c r="AF512" s="73">
        <f t="shared" si="17"/>
        <v>-1.740686581</v>
      </c>
      <c r="AG512" s="73">
        <f t="shared" si="18"/>
        <v>-2.380599106</v>
      </c>
      <c r="AH512" s="73">
        <f t="shared" si="19"/>
        <v>-1.79320266</v>
      </c>
      <c r="AI512" s="73">
        <f t="shared" si="20"/>
        <v>-3.240190514</v>
      </c>
      <c r="AJ512" s="73">
        <f t="shared" si="21"/>
        <v>-1.329092151</v>
      </c>
      <c r="AK512" s="73">
        <f t="shared" si="22"/>
        <v>0</v>
      </c>
      <c r="AL512" s="73">
        <f t="shared" si="23"/>
        <v>0</v>
      </c>
      <c r="AM512" s="73">
        <f t="shared" si="24"/>
        <v>0.433638093</v>
      </c>
      <c r="AN512" s="120">
        <f t="shared" si="25"/>
        <v>-3.240190514</v>
      </c>
      <c r="AO512" s="120">
        <f t="shared" si="26"/>
        <v>-6.395549135</v>
      </c>
      <c r="AP512" s="120" t="str">
        <f t="array" ref="AP512">INDIRECT("Update"&amp;Projections!$AH$17&amp;"!S"&amp;ROW(B493))</f>
        <v/>
      </c>
      <c r="AQ512" s="120" t="str">
        <f t="array" ref="AQ512">INDIRECT("Update"&amp;Projections!$AH$17&amp;"!T"&amp;ROW(B493))</f>
        <v/>
      </c>
      <c r="AR512" s="100">
        <f t="shared" si="27"/>
        <v>-9.965301026</v>
      </c>
    </row>
    <row r="513">
      <c r="A513" t="str">
        <f t="shared" si="3"/>
        <v/>
      </c>
      <c r="B513" s="42">
        <f t="shared" si="4"/>
        <v>-3.155358621</v>
      </c>
      <c r="C513" s="43">
        <f t="shared" si="5"/>
        <v>-1.740686581</v>
      </c>
      <c r="D513" s="42">
        <f t="shared" si="6"/>
        <v>-2.380599106</v>
      </c>
      <c r="E513" s="42">
        <f t="shared" si="7"/>
        <v>-1.79320266</v>
      </c>
      <c r="F513" s="42">
        <f t="shared" si="8"/>
        <v>-3.240190514</v>
      </c>
      <c r="G513" s="42">
        <f t="shared" si="9"/>
        <v>-1.329092151</v>
      </c>
      <c r="H513" s="42">
        <f t="shared" si="10"/>
        <v>0</v>
      </c>
      <c r="I513" s="42" t="str">
        <f>UpdateHashtag!S511</f>
        <v/>
      </c>
      <c r="J513" s="47">
        <f t="shared" si="11"/>
        <v>0</v>
      </c>
      <c r="K513" s="48" t="str">
        <f>UpdateHashtag!T511</f>
        <v/>
      </c>
      <c r="L513" s="42">
        <f t="shared" si="12"/>
        <v>-1.734552372</v>
      </c>
      <c r="N513" s="100">
        <f t="shared" si="13"/>
        <v>401</v>
      </c>
      <c r="O513" s="94" t="str">
        <f t="array" ref="O513">INDIRECT("Update"&amp;Projections!$AH$17&amp;"!B"&amp;ROW(B494))</f>
        <v/>
      </c>
      <c r="P513" s="414" t="str">
        <f t="array" ref="P513">INDIRECT("Update"&amp;Projections!$AH$17&amp;"!C"&amp;ROW(B494))</f>
        <v/>
      </c>
      <c r="Q513" s="94" t="str">
        <f>UpdateHashtag!F543</f>
        <v/>
      </c>
      <c r="R513" s="105" t="str">
        <f t="array" ref="R513">INDIRECT("Update"&amp;Projections!$AH$17&amp;"!D"&amp;ROW(B494))</f>
        <v/>
      </c>
      <c r="S513" s="73">
        <f t="shared" si="14"/>
        <v>-9.965301026</v>
      </c>
      <c r="T513" s="73">
        <f>SUM(AE513:AM513)-IFERROR(IFS(Projections!$I$17,AN513,Projections!$J$17,AO513),"")</f>
        <v>-9.965301026</v>
      </c>
      <c r="U513" s="73">
        <f t="shared" si="15"/>
        <v>0</v>
      </c>
      <c r="V513" s="73" t="str">
        <f t="array" ref="V513">INDIRECT("Update"&amp;Projections!$AH$17&amp;"!M"&amp;ROW(B494))</f>
        <v/>
      </c>
      <c r="W513" s="73" t="str">
        <f t="array" ref="W513">INDIRECT("Update"&amp;Projections!$AH$17&amp;"!L"&amp;ROW(B494))</f>
        <v/>
      </c>
      <c r="X513" s="73" t="str">
        <f t="array" ref="X513">INDIRECT("Update"&amp;Projections!$AH$17&amp;"!N"&amp;ROW(B494))</f>
        <v/>
      </c>
      <c r="Y513" s="73" t="str">
        <f t="array" ref="Y513">INDIRECT("Update"&amp;Projections!$AH$17&amp;"!O"&amp;ROW(B494))</f>
        <v/>
      </c>
      <c r="Z513" s="73" t="str">
        <f t="array" ref="Z513">INDIRECT("Update"&amp;Projections!$AH$17&amp;"!P"&amp;ROW(B494))</f>
        <v/>
      </c>
      <c r="AA513" s="73" t="str">
        <f t="array" ref="AA513">INDIRECT("Update"&amp;Projections!$AH$17&amp;"!Q"&amp;ROW(B494))</f>
        <v/>
      </c>
      <c r="AB513" s="107" t="str">
        <f t="array" ref="AB513">INDIRECT("Update"&amp;Projections!$AH$17&amp;"!I"&amp;ROW(B494))</f>
        <v/>
      </c>
      <c r="AC513" s="107" t="str">
        <f t="array" ref="AC513">INDIRECT("Update"&amp;Projections!$AH$17&amp;"!K"&amp;ROW(B494))</f>
        <v/>
      </c>
      <c r="AD513" s="73" t="str">
        <f t="array" ref="AD513">INDIRECT("Update"&amp;Projections!$AH$17&amp;"!R"&amp;ROW(B494))</f>
        <v/>
      </c>
      <c r="AE513" s="73">
        <f t="shared" si="16"/>
        <v>-3.155358621</v>
      </c>
      <c r="AF513" s="73">
        <f t="shared" si="17"/>
        <v>-1.740686581</v>
      </c>
      <c r="AG513" s="73">
        <f t="shared" si="18"/>
        <v>-2.380599106</v>
      </c>
      <c r="AH513" s="73">
        <f t="shared" si="19"/>
        <v>-1.79320266</v>
      </c>
      <c r="AI513" s="73">
        <f t="shared" si="20"/>
        <v>-3.240190514</v>
      </c>
      <c r="AJ513" s="73">
        <f t="shared" si="21"/>
        <v>-1.329092151</v>
      </c>
      <c r="AK513" s="73">
        <f t="shared" si="22"/>
        <v>0</v>
      </c>
      <c r="AL513" s="73">
        <f t="shared" si="23"/>
        <v>0</v>
      </c>
      <c r="AM513" s="73">
        <f t="shared" si="24"/>
        <v>0.433638093</v>
      </c>
      <c r="AN513" s="120">
        <f t="shared" si="25"/>
        <v>-3.240190514</v>
      </c>
      <c r="AO513" s="120">
        <f t="shared" si="26"/>
        <v>-6.395549135</v>
      </c>
      <c r="AP513" s="120" t="str">
        <f t="array" ref="AP513">INDIRECT("Update"&amp;Projections!$AH$17&amp;"!S"&amp;ROW(B494))</f>
        <v/>
      </c>
      <c r="AQ513" s="120" t="str">
        <f t="array" ref="AQ513">INDIRECT("Update"&amp;Projections!$AH$17&amp;"!T"&amp;ROW(B494))</f>
        <v/>
      </c>
      <c r="AR513" s="100">
        <f t="shared" si="27"/>
        <v>-9.965301026</v>
      </c>
    </row>
    <row r="514">
      <c r="A514" t="str">
        <f t="shared" si="3"/>
        <v/>
      </c>
      <c r="B514" s="42">
        <f t="shared" si="4"/>
        <v>-3.155358621</v>
      </c>
      <c r="C514" s="43">
        <f t="shared" si="5"/>
        <v>-1.740686581</v>
      </c>
      <c r="D514" s="42">
        <f t="shared" si="6"/>
        <v>-2.380599106</v>
      </c>
      <c r="E514" s="42">
        <f t="shared" si="7"/>
        <v>-1.79320266</v>
      </c>
      <c r="F514" s="42">
        <f t="shared" si="8"/>
        <v>-3.240190514</v>
      </c>
      <c r="G514" s="42">
        <f t="shared" si="9"/>
        <v>-1.329092151</v>
      </c>
      <c r="H514" s="42">
        <f t="shared" si="10"/>
        <v>0</v>
      </c>
      <c r="I514" s="42" t="str">
        <f>UpdateHashtag!S512</f>
        <v/>
      </c>
      <c r="J514" s="47">
        <f t="shared" si="11"/>
        <v>0</v>
      </c>
      <c r="K514" s="48" t="str">
        <f>UpdateHashtag!T512</f>
        <v/>
      </c>
      <c r="L514" s="42">
        <f t="shared" si="12"/>
        <v>-1.734552372</v>
      </c>
      <c r="N514" s="100">
        <f t="shared" si="13"/>
        <v>401</v>
      </c>
      <c r="O514" s="94" t="str">
        <f t="array" ref="O514">INDIRECT("Update"&amp;Projections!$AH$17&amp;"!B"&amp;ROW(B495))</f>
        <v/>
      </c>
      <c r="P514" s="414" t="str">
        <f t="array" ref="P514">INDIRECT("Update"&amp;Projections!$AH$17&amp;"!C"&amp;ROW(B495))</f>
        <v/>
      </c>
      <c r="Q514" s="94" t="str">
        <f>UpdateHashtag!F544</f>
        <v/>
      </c>
      <c r="R514" s="105" t="str">
        <f t="array" ref="R514">INDIRECT("Update"&amp;Projections!$AH$17&amp;"!D"&amp;ROW(B495))</f>
        <v/>
      </c>
      <c r="S514" s="73">
        <f t="shared" si="14"/>
        <v>-9.965301026</v>
      </c>
      <c r="T514" s="73">
        <f>SUM(AE514:AM514)-IFERROR(IFS(Projections!$I$17,AN514,Projections!$J$17,AO514),"")</f>
        <v>-9.965301026</v>
      </c>
      <c r="U514" s="73">
        <f t="shared" si="15"/>
        <v>0</v>
      </c>
      <c r="V514" s="73" t="str">
        <f t="array" ref="V514">INDIRECT("Update"&amp;Projections!$AH$17&amp;"!M"&amp;ROW(B495))</f>
        <v/>
      </c>
      <c r="W514" s="73" t="str">
        <f t="array" ref="W514">INDIRECT("Update"&amp;Projections!$AH$17&amp;"!L"&amp;ROW(B495))</f>
        <v/>
      </c>
      <c r="X514" s="73" t="str">
        <f t="array" ref="X514">INDIRECT("Update"&amp;Projections!$AH$17&amp;"!N"&amp;ROW(B495))</f>
        <v/>
      </c>
      <c r="Y514" s="73" t="str">
        <f t="array" ref="Y514">INDIRECT("Update"&amp;Projections!$AH$17&amp;"!O"&amp;ROW(B495))</f>
        <v/>
      </c>
      <c r="Z514" s="73" t="str">
        <f t="array" ref="Z514">INDIRECT("Update"&amp;Projections!$AH$17&amp;"!P"&amp;ROW(B495))</f>
        <v/>
      </c>
      <c r="AA514" s="73" t="str">
        <f t="array" ref="AA514">INDIRECT("Update"&amp;Projections!$AH$17&amp;"!Q"&amp;ROW(B495))</f>
        <v/>
      </c>
      <c r="AB514" s="107" t="str">
        <f t="array" ref="AB514">INDIRECT("Update"&amp;Projections!$AH$17&amp;"!I"&amp;ROW(B495))</f>
        <v/>
      </c>
      <c r="AC514" s="107" t="str">
        <f t="array" ref="AC514">INDIRECT("Update"&amp;Projections!$AH$17&amp;"!K"&amp;ROW(B495))</f>
        <v/>
      </c>
      <c r="AD514" s="73" t="str">
        <f t="array" ref="AD514">INDIRECT("Update"&amp;Projections!$AH$17&amp;"!R"&amp;ROW(B495))</f>
        <v/>
      </c>
      <c r="AE514" s="73">
        <f t="shared" si="16"/>
        <v>-3.155358621</v>
      </c>
      <c r="AF514" s="73">
        <f t="shared" si="17"/>
        <v>-1.740686581</v>
      </c>
      <c r="AG514" s="73">
        <f t="shared" si="18"/>
        <v>-2.380599106</v>
      </c>
      <c r="AH514" s="73">
        <f t="shared" si="19"/>
        <v>-1.79320266</v>
      </c>
      <c r="AI514" s="73">
        <f t="shared" si="20"/>
        <v>-3.240190514</v>
      </c>
      <c r="AJ514" s="73">
        <f t="shared" si="21"/>
        <v>-1.329092151</v>
      </c>
      <c r="AK514" s="73">
        <f t="shared" si="22"/>
        <v>0</v>
      </c>
      <c r="AL514" s="73">
        <f t="shared" si="23"/>
        <v>0</v>
      </c>
      <c r="AM514" s="73">
        <f t="shared" si="24"/>
        <v>0.433638093</v>
      </c>
      <c r="AN514" s="120">
        <f t="shared" si="25"/>
        <v>-3.240190514</v>
      </c>
      <c r="AO514" s="120">
        <f t="shared" si="26"/>
        <v>-6.395549135</v>
      </c>
      <c r="AP514" s="120" t="str">
        <f t="array" ref="AP514">INDIRECT("Update"&amp;Projections!$AH$17&amp;"!S"&amp;ROW(B495))</f>
        <v/>
      </c>
      <c r="AQ514" s="120" t="str">
        <f t="array" ref="AQ514">INDIRECT("Update"&amp;Projections!$AH$17&amp;"!T"&amp;ROW(B495))</f>
        <v/>
      </c>
      <c r="AR514" s="100">
        <f t="shared" si="27"/>
        <v>-9.965301026</v>
      </c>
    </row>
    <row r="515">
      <c r="A515" t="str">
        <f t="shared" si="3"/>
        <v/>
      </c>
      <c r="B515" s="42">
        <f t="shared" si="4"/>
        <v>-3.155358621</v>
      </c>
      <c r="C515" s="43">
        <f t="shared" si="5"/>
        <v>-1.740686581</v>
      </c>
      <c r="D515" s="42">
        <f t="shared" si="6"/>
        <v>-2.380599106</v>
      </c>
      <c r="E515" s="42">
        <f t="shared" si="7"/>
        <v>-1.79320266</v>
      </c>
      <c r="F515" s="42">
        <f t="shared" si="8"/>
        <v>-3.240190514</v>
      </c>
      <c r="G515" s="42">
        <f t="shared" si="9"/>
        <v>-1.329092151</v>
      </c>
      <c r="H515" s="42">
        <f t="shared" si="10"/>
        <v>0</v>
      </c>
      <c r="I515" s="42" t="str">
        <f>UpdateHashtag!S513</f>
        <v/>
      </c>
      <c r="J515" s="47">
        <f t="shared" si="11"/>
        <v>0</v>
      </c>
      <c r="K515" s="48" t="str">
        <f>UpdateHashtag!T513</f>
        <v/>
      </c>
      <c r="L515" s="42">
        <f t="shared" si="12"/>
        <v>-1.734552372</v>
      </c>
      <c r="N515" s="100">
        <f t="shared" si="13"/>
        <v>401</v>
      </c>
      <c r="O515" s="94" t="str">
        <f t="array" ref="O515">INDIRECT("Update"&amp;Projections!$AH$17&amp;"!B"&amp;ROW(B496))</f>
        <v/>
      </c>
      <c r="P515" s="414" t="str">
        <f t="array" ref="P515">INDIRECT("Update"&amp;Projections!$AH$17&amp;"!C"&amp;ROW(B496))</f>
        <v/>
      </c>
      <c r="Q515" s="94" t="str">
        <f>UpdateHashtag!F545</f>
        <v/>
      </c>
      <c r="R515" s="105" t="str">
        <f t="array" ref="R515">INDIRECT("Update"&amp;Projections!$AH$17&amp;"!D"&amp;ROW(B496))</f>
        <v/>
      </c>
      <c r="S515" s="73">
        <f t="shared" si="14"/>
        <v>-9.965301026</v>
      </c>
      <c r="T515" s="73">
        <f>SUM(AE515:AM515)-IFERROR(IFS(Projections!$I$17,AN515,Projections!$J$17,AO515),"")</f>
        <v>-9.965301026</v>
      </c>
      <c r="U515" s="73">
        <f t="shared" si="15"/>
        <v>0</v>
      </c>
      <c r="V515" s="73" t="str">
        <f t="array" ref="V515">INDIRECT("Update"&amp;Projections!$AH$17&amp;"!M"&amp;ROW(B496))</f>
        <v/>
      </c>
      <c r="W515" s="73" t="str">
        <f t="array" ref="W515">INDIRECT("Update"&amp;Projections!$AH$17&amp;"!L"&amp;ROW(B496))</f>
        <v/>
      </c>
      <c r="X515" s="73" t="str">
        <f t="array" ref="X515">INDIRECT("Update"&amp;Projections!$AH$17&amp;"!N"&amp;ROW(B496))</f>
        <v/>
      </c>
      <c r="Y515" s="73" t="str">
        <f t="array" ref="Y515">INDIRECT("Update"&amp;Projections!$AH$17&amp;"!O"&amp;ROW(B496))</f>
        <v/>
      </c>
      <c r="Z515" s="73" t="str">
        <f t="array" ref="Z515">INDIRECT("Update"&amp;Projections!$AH$17&amp;"!P"&amp;ROW(B496))</f>
        <v/>
      </c>
      <c r="AA515" s="73" t="str">
        <f t="array" ref="AA515">INDIRECT("Update"&amp;Projections!$AH$17&amp;"!Q"&amp;ROW(B496))</f>
        <v/>
      </c>
      <c r="AB515" s="107" t="str">
        <f t="array" ref="AB515">INDIRECT("Update"&amp;Projections!$AH$17&amp;"!I"&amp;ROW(B496))</f>
        <v/>
      </c>
      <c r="AC515" s="107" t="str">
        <f t="array" ref="AC515">INDIRECT("Update"&amp;Projections!$AH$17&amp;"!K"&amp;ROW(B496))</f>
        <v/>
      </c>
      <c r="AD515" s="73" t="str">
        <f t="array" ref="AD515">INDIRECT("Update"&amp;Projections!$AH$17&amp;"!R"&amp;ROW(B496))</f>
        <v/>
      </c>
      <c r="AE515" s="73">
        <f t="shared" si="16"/>
        <v>-3.155358621</v>
      </c>
      <c r="AF515" s="73">
        <f t="shared" si="17"/>
        <v>-1.740686581</v>
      </c>
      <c r="AG515" s="73">
        <f t="shared" si="18"/>
        <v>-2.380599106</v>
      </c>
      <c r="AH515" s="73">
        <f t="shared" si="19"/>
        <v>-1.79320266</v>
      </c>
      <c r="AI515" s="73">
        <f t="shared" si="20"/>
        <v>-3.240190514</v>
      </c>
      <c r="AJ515" s="73">
        <f t="shared" si="21"/>
        <v>-1.329092151</v>
      </c>
      <c r="AK515" s="73">
        <f t="shared" si="22"/>
        <v>0</v>
      </c>
      <c r="AL515" s="73">
        <f t="shared" si="23"/>
        <v>0</v>
      </c>
      <c r="AM515" s="73">
        <f t="shared" si="24"/>
        <v>0.433638093</v>
      </c>
      <c r="AN515" s="120">
        <f t="shared" si="25"/>
        <v>-3.240190514</v>
      </c>
      <c r="AO515" s="120">
        <f t="shared" si="26"/>
        <v>-6.395549135</v>
      </c>
      <c r="AP515" s="120" t="str">
        <f t="array" ref="AP515">INDIRECT("Update"&amp;Projections!$AH$17&amp;"!S"&amp;ROW(B496))</f>
        <v/>
      </c>
      <c r="AQ515" s="120" t="str">
        <f t="array" ref="AQ515">INDIRECT("Update"&amp;Projections!$AH$17&amp;"!T"&amp;ROW(B496))</f>
        <v/>
      </c>
      <c r="AR515" s="100">
        <f t="shared" si="27"/>
        <v>-9.965301026</v>
      </c>
    </row>
    <row r="516">
      <c r="A516" t="str">
        <f t="shared" si="3"/>
        <v/>
      </c>
      <c r="B516" s="42">
        <f t="shared" si="4"/>
        <v>-3.155358621</v>
      </c>
      <c r="C516" s="43">
        <f t="shared" si="5"/>
        <v>-1.740686581</v>
      </c>
      <c r="D516" s="42">
        <f t="shared" si="6"/>
        <v>-2.380599106</v>
      </c>
      <c r="E516" s="42">
        <f t="shared" si="7"/>
        <v>-1.79320266</v>
      </c>
      <c r="F516" s="42">
        <f t="shared" si="8"/>
        <v>-3.240190514</v>
      </c>
      <c r="G516" s="42">
        <f t="shared" si="9"/>
        <v>-1.329092151</v>
      </c>
      <c r="H516" s="42">
        <f t="shared" si="10"/>
        <v>0</v>
      </c>
      <c r="I516" s="42" t="str">
        <f>UpdateHashtag!S514</f>
        <v/>
      </c>
      <c r="J516" s="47">
        <f t="shared" si="11"/>
        <v>0</v>
      </c>
      <c r="K516" s="48" t="str">
        <f>UpdateHashtag!T514</f>
        <v/>
      </c>
      <c r="L516" s="42">
        <f t="shared" si="12"/>
        <v>-1.734552372</v>
      </c>
      <c r="N516" s="100">
        <f t="shared" si="13"/>
        <v>401</v>
      </c>
      <c r="O516" s="94" t="str">
        <f t="array" ref="O516">INDIRECT("Update"&amp;Projections!$AH$17&amp;"!B"&amp;ROW(B497))</f>
        <v/>
      </c>
      <c r="P516" s="414" t="str">
        <f t="array" ref="P516">INDIRECT("Update"&amp;Projections!$AH$17&amp;"!C"&amp;ROW(B497))</f>
        <v/>
      </c>
      <c r="Q516" s="94" t="str">
        <f>UpdateHashtag!F546</f>
        <v/>
      </c>
      <c r="R516" s="105" t="str">
        <f t="array" ref="R516">INDIRECT("Update"&amp;Projections!$AH$17&amp;"!D"&amp;ROW(B497))</f>
        <v/>
      </c>
      <c r="S516" s="73">
        <f t="shared" si="14"/>
        <v>-9.965301026</v>
      </c>
      <c r="T516" s="73">
        <f>SUM(AE516:AM516)-IFERROR(IFS(Projections!$I$17,AN516,Projections!$J$17,AO516),"")</f>
        <v>-9.965301026</v>
      </c>
      <c r="U516" s="73">
        <f t="shared" si="15"/>
        <v>0</v>
      </c>
      <c r="V516" s="73" t="str">
        <f t="array" ref="V516">INDIRECT("Update"&amp;Projections!$AH$17&amp;"!M"&amp;ROW(B497))</f>
        <v/>
      </c>
      <c r="W516" s="73" t="str">
        <f t="array" ref="W516">INDIRECT("Update"&amp;Projections!$AH$17&amp;"!L"&amp;ROW(B497))</f>
        <v/>
      </c>
      <c r="X516" s="73" t="str">
        <f t="array" ref="X516">INDIRECT("Update"&amp;Projections!$AH$17&amp;"!N"&amp;ROW(B497))</f>
        <v/>
      </c>
      <c r="Y516" s="73" t="str">
        <f t="array" ref="Y516">INDIRECT("Update"&amp;Projections!$AH$17&amp;"!O"&amp;ROW(B497))</f>
        <v/>
      </c>
      <c r="Z516" s="73" t="str">
        <f t="array" ref="Z516">INDIRECT("Update"&amp;Projections!$AH$17&amp;"!P"&amp;ROW(B497))</f>
        <v/>
      </c>
      <c r="AA516" s="73" t="str">
        <f t="array" ref="AA516">INDIRECT("Update"&amp;Projections!$AH$17&amp;"!Q"&amp;ROW(B497))</f>
        <v/>
      </c>
      <c r="AB516" s="107" t="str">
        <f t="array" ref="AB516">INDIRECT("Update"&amp;Projections!$AH$17&amp;"!I"&amp;ROW(B497))</f>
        <v/>
      </c>
      <c r="AC516" s="107" t="str">
        <f t="array" ref="AC516">INDIRECT("Update"&amp;Projections!$AH$17&amp;"!K"&amp;ROW(B497))</f>
        <v/>
      </c>
      <c r="AD516" s="73" t="str">
        <f t="array" ref="AD516">INDIRECT("Update"&amp;Projections!$AH$17&amp;"!R"&amp;ROW(B497))</f>
        <v/>
      </c>
      <c r="AE516" s="73">
        <f t="shared" si="16"/>
        <v>-3.155358621</v>
      </c>
      <c r="AF516" s="73">
        <f t="shared" si="17"/>
        <v>-1.740686581</v>
      </c>
      <c r="AG516" s="73">
        <f t="shared" si="18"/>
        <v>-2.380599106</v>
      </c>
      <c r="AH516" s="73">
        <f t="shared" si="19"/>
        <v>-1.79320266</v>
      </c>
      <c r="AI516" s="73">
        <f t="shared" si="20"/>
        <v>-3.240190514</v>
      </c>
      <c r="AJ516" s="73">
        <f t="shared" si="21"/>
        <v>-1.329092151</v>
      </c>
      <c r="AK516" s="73">
        <f t="shared" si="22"/>
        <v>0</v>
      </c>
      <c r="AL516" s="73">
        <f t="shared" si="23"/>
        <v>0</v>
      </c>
      <c r="AM516" s="73">
        <f t="shared" si="24"/>
        <v>0.433638093</v>
      </c>
      <c r="AN516" s="120">
        <f t="shared" si="25"/>
        <v>-3.240190514</v>
      </c>
      <c r="AO516" s="120">
        <f t="shared" si="26"/>
        <v>-6.395549135</v>
      </c>
      <c r="AP516" s="120" t="str">
        <f t="array" ref="AP516">INDIRECT("Update"&amp;Projections!$AH$17&amp;"!S"&amp;ROW(B497))</f>
        <v/>
      </c>
      <c r="AQ516" s="120" t="str">
        <f t="array" ref="AQ516">INDIRECT("Update"&amp;Projections!$AH$17&amp;"!T"&amp;ROW(B497))</f>
        <v/>
      </c>
      <c r="AR516" s="100">
        <f t="shared" si="27"/>
        <v>-9.965301026</v>
      </c>
    </row>
    <row r="517">
      <c r="A517" t="str">
        <f t="shared" si="3"/>
        <v/>
      </c>
      <c r="B517" s="42">
        <f t="shared" si="4"/>
        <v>-3.155358621</v>
      </c>
      <c r="C517" s="43">
        <f t="shared" si="5"/>
        <v>-1.740686581</v>
      </c>
      <c r="D517" s="42">
        <f t="shared" si="6"/>
        <v>-2.380599106</v>
      </c>
      <c r="E517" s="42">
        <f t="shared" si="7"/>
        <v>-1.79320266</v>
      </c>
      <c r="F517" s="42">
        <f t="shared" si="8"/>
        <v>-3.240190514</v>
      </c>
      <c r="G517" s="42">
        <f t="shared" si="9"/>
        <v>-1.329092151</v>
      </c>
      <c r="H517" s="42">
        <f t="shared" si="10"/>
        <v>0</v>
      </c>
      <c r="I517" s="42" t="str">
        <f>UpdateHashtag!S515</f>
        <v/>
      </c>
      <c r="J517" s="47">
        <f t="shared" si="11"/>
        <v>0</v>
      </c>
      <c r="K517" s="48" t="str">
        <f>UpdateHashtag!T515</f>
        <v/>
      </c>
      <c r="L517" s="42">
        <f t="shared" si="12"/>
        <v>-1.734552372</v>
      </c>
      <c r="N517" s="100">
        <f t="shared" si="13"/>
        <v>401</v>
      </c>
      <c r="O517" s="94" t="str">
        <f t="array" ref="O517">INDIRECT("Update"&amp;Projections!$AH$17&amp;"!B"&amp;ROW(B498))</f>
        <v/>
      </c>
      <c r="P517" s="414" t="str">
        <f t="array" ref="P517">INDIRECT("Update"&amp;Projections!$AH$17&amp;"!C"&amp;ROW(B498))</f>
        <v/>
      </c>
      <c r="Q517" s="94" t="str">
        <f>UpdateHashtag!F547</f>
        <v/>
      </c>
      <c r="R517" s="105" t="str">
        <f t="array" ref="R517">INDIRECT("Update"&amp;Projections!$AH$17&amp;"!D"&amp;ROW(B498))</f>
        <v/>
      </c>
      <c r="S517" s="73">
        <f t="shared" si="14"/>
        <v>-9.965301026</v>
      </c>
      <c r="T517" s="73">
        <f>SUM(AE517:AM517)-IFERROR(IFS(Projections!$I$17,AN517,Projections!$J$17,AO517),"")</f>
        <v>-9.965301026</v>
      </c>
      <c r="U517" s="73">
        <f t="shared" si="15"/>
        <v>0</v>
      </c>
      <c r="V517" s="73" t="str">
        <f t="array" ref="V517">INDIRECT("Update"&amp;Projections!$AH$17&amp;"!M"&amp;ROW(B498))</f>
        <v/>
      </c>
      <c r="W517" s="73" t="str">
        <f t="array" ref="W517">INDIRECT("Update"&amp;Projections!$AH$17&amp;"!L"&amp;ROW(B498))</f>
        <v/>
      </c>
      <c r="X517" s="73" t="str">
        <f t="array" ref="X517">INDIRECT("Update"&amp;Projections!$AH$17&amp;"!N"&amp;ROW(B498))</f>
        <v/>
      </c>
      <c r="Y517" s="73" t="str">
        <f t="array" ref="Y517">INDIRECT("Update"&amp;Projections!$AH$17&amp;"!O"&amp;ROW(B498))</f>
        <v/>
      </c>
      <c r="Z517" s="73" t="str">
        <f t="array" ref="Z517">INDIRECT("Update"&amp;Projections!$AH$17&amp;"!P"&amp;ROW(B498))</f>
        <v/>
      </c>
      <c r="AA517" s="73" t="str">
        <f t="array" ref="AA517">INDIRECT("Update"&amp;Projections!$AH$17&amp;"!Q"&amp;ROW(B498))</f>
        <v/>
      </c>
      <c r="AB517" s="107" t="str">
        <f t="array" ref="AB517">INDIRECT("Update"&amp;Projections!$AH$17&amp;"!I"&amp;ROW(B498))</f>
        <v/>
      </c>
      <c r="AC517" s="107" t="str">
        <f t="array" ref="AC517">INDIRECT("Update"&amp;Projections!$AH$17&amp;"!K"&amp;ROW(B498))</f>
        <v/>
      </c>
      <c r="AD517" s="73" t="str">
        <f t="array" ref="AD517">INDIRECT("Update"&amp;Projections!$AH$17&amp;"!R"&amp;ROW(B498))</f>
        <v/>
      </c>
      <c r="AE517" s="73">
        <f t="shared" si="16"/>
        <v>-3.155358621</v>
      </c>
      <c r="AF517" s="73">
        <f t="shared" si="17"/>
        <v>-1.740686581</v>
      </c>
      <c r="AG517" s="73">
        <f t="shared" si="18"/>
        <v>-2.380599106</v>
      </c>
      <c r="AH517" s="73">
        <f t="shared" si="19"/>
        <v>-1.79320266</v>
      </c>
      <c r="AI517" s="73">
        <f t="shared" si="20"/>
        <v>-3.240190514</v>
      </c>
      <c r="AJ517" s="73">
        <f t="shared" si="21"/>
        <v>-1.329092151</v>
      </c>
      <c r="AK517" s="73">
        <f t="shared" si="22"/>
        <v>0</v>
      </c>
      <c r="AL517" s="73">
        <f t="shared" si="23"/>
        <v>0</v>
      </c>
      <c r="AM517" s="73">
        <f t="shared" si="24"/>
        <v>0.433638093</v>
      </c>
      <c r="AN517" s="120">
        <f t="shared" si="25"/>
        <v>-3.240190514</v>
      </c>
      <c r="AO517" s="120">
        <f t="shared" si="26"/>
        <v>-6.395549135</v>
      </c>
      <c r="AP517" s="120" t="str">
        <f t="array" ref="AP517">INDIRECT("Update"&amp;Projections!$AH$17&amp;"!S"&amp;ROW(B498))</f>
        <v/>
      </c>
      <c r="AQ517" s="120" t="str">
        <f t="array" ref="AQ517">INDIRECT("Update"&amp;Projections!$AH$17&amp;"!T"&amp;ROW(B498))</f>
        <v/>
      </c>
      <c r="AR517" s="100">
        <f t="shared" si="27"/>
        <v>-9.965301026</v>
      </c>
    </row>
    <row r="518">
      <c r="A518" t="str">
        <f t="shared" si="3"/>
        <v/>
      </c>
      <c r="B518" s="42">
        <f t="shared" si="4"/>
        <v>-3.155358621</v>
      </c>
      <c r="C518" s="43">
        <f t="shared" si="5"/>
        <v>-1.740686581</v>
      </c>
      <c r="D518" s="42">
        <f t="shared" si="6"/>
        <v>-2.380599106</v>
      </c>
      <c r="E518" s="42">
        <f t="shared" si="7"/>
        <v>-1.79320266</v>
      </c>
      <c r="F518" s="42">
        <f t="shared" si="8"/>
        <v>-3.240190514</v>
      </c>
      <c r="G518" s="42">
        <f t="shared" si="9"/>
        <v>-1.329092151</v>
      </c>
      <c r="H518" s="42">
        <f t="shared" si="10"/>
        <v>0</v>
      </c>
      <c r="I518" s="42" t="str">
        <f>UpdateHashtag!S516</f>
        <v/>
      </c>
      <c r="J518" s="47">
        <f t="shared" si="11"/>
        <v>0</v>
      </c>
      <c r="K518" s="48" t="str">
        <f>UpdateHashtag!T516</f>
        <v/>
      </c>
      <c r="L518" s="42">
        <f t="shared" si="12"/>
        <v>-1.734552372</v>
      </c>
      <c r="N518" s="100">
        <f t="shared" si="13"/>
        <v>401</v>
      </c>
      <c r="O518" s="94" t="str">
        <f t="array" ref="O518">INDIRECT("Update"&amp;Projections!$AH$17&amp;"!B"&amp;ROW(B499))</f>
        <v/>
      </c>
      <c r="P518" s="414" t="str">
        <f t="array" ref="P518">INDIRECT("Update"&amp;Projections!$AH$17&amp;"!C"&amp;ROW(B499))</f>
        <v/>
      </c>
      <c r="Q518" s="94" t="str">
        <f>UpdateHashtag!F548</f>
        <v/>
      </c>
      <c r="R518" s="105" t="str">
        <f t="array" ref="R518">INDIRECT("Update"&amp;Projections!$AH$17&amp;"!D"&amp;ROW(B499))</f>
        <v/>
      </c>
      <c r="S518" s="73">
        <f t="shared" si="14"/>
        <v>-9.965301026</v>
      </c>
      <c r="T518" s="73">
        <f>SUM(AE518:AM518)-IFERROR(IFS(Projections!$I$17,AN518,Projections!$J$17,AO518),"")</f>
        <v>-9.965301026</v>
      </c>
      <c r="U518" s="73">
        <f t="shared" si="15"/>
        <v>0</v>
      </c>
      <c r="V518" s="73" t="str">
        <f t="array" ref="V518">INDIRECT("Update"&amp;Projections!$AH$17&amp;"!M"&amp;ROW(B499))</f>
        <v/>
      </c>
      <c r="W518" s="73" t="str">
        <f t="array" ref="W518">INDIRECT("Update"&amp;Projections!$AH$17&amp;"!L"&amp;ROW(B499))</f>
        <v/>
      </c>
      <c r="X518" s="73" t="str">
        <f t="array" ref="X518">INDIRECT("Update"&amp;Projections!$AH$17&amp;"!N"&amp;ROW(B499))</f>
        <v/>
      </c>
      <c r="Y518" s="73" t="str">
        <f t="array" ref="Y518">INDIRECT("Update"&amp;Projections!$AH$17&amp;"!O"&amp;ROW(B499))</f>
        <v/>
      </c>
      <c r="Z518" s="73" t="str">
        <f t="array" ref="Z518">INDIRECT("Update"&amp;Projections!$AH$17&amp;"!P"&amp;ROW(B499))</f>
        <v/>
      </c>
      <c r="AA518" s="73" t="str">
        <f t="array" ref="AA518">INDIRECT("Update"&amp;Projections!$AH$17&amp;"!Q"&amp;ROW(B499))</f>
        <v/>
      </c>
      <c r="AB518" s="107" t="str">
        <f t="array" ref="AB518">INDIRECT("Update"&amp;Projections!$AH$17&amp;"!I"&amp;ROW(B499))</f>
        <v/>
      </c>
      <c r="AC518" s="107" t="str">
        <f t="array" ref="AC518">INDIRECT("Update"&amp;Projections!$AH$17&amp;"!K"&amp;ROW(B499))</f>
        <v/>
      </c>
      <c r="AD518" s="73" t="str">
        <f t="array" ref="AD518">INDIRECT("Update"&amp;Projections!$AH$17&amp;"!R"&amp;ROW(B499))</f>
        <v/>
      </c>
      <c r="AE518" s="73">
        <f t="shared" si="16"/>
        <v>-3.155358621</v>
      </c>
      <c r="AF518" s="73">
        <f t="shared" si="17"/>
        <v>-1.740686581</v>
      </c>
      <c r="AG518" s="73">
        <f t="shared" si="18"/>
        <v>-2.380599106</v>
      </c>
      <c r="AH518" s="73">
        <f t="shared" si="19"/>
        <v>-1.79320266</v>
      </c>
      <c r="AI518" s="73">
        <f t="shared" si="20"/>
        <v>-3.240190514</v>
      </c>
      <c r="AJ518" s="73">
        <f t="shared" si="21"/>
        <v>-1.329092151</v>
      </c>
      <c r="AK518" s="73">
        <f t="shared" si="22"/>
        <v>0</v>
      </c>
      <c r="AL518" s="73">
        <f t="shared" si="23"/>
        <v>0</v>
      </c>
      <c r="AM518" s="73">
        <f t="shared" si="24"/>
        <v>0.433638093</v>
      </c>
      <c r="AN518" s="120">
        <f t="shared" si="25"/>
        <v>-3.240190514</v>
      </c>
      <c r="AO518" s="120">
        <f t="shared" si="26"/>
        <v>-6.395549135</v>
      </c>
      <c r="AP518" s="120" t="str">
        <f t="array" ref="AP518">INDIRECT("Update"&amp;Projections!$AH$17&amp;"!S"&amp;ROW(B499))</f>
        <v/>
      </c>
      <c r="AQ518" s="120" t="str">
        <f t="array" ref="AQ518">INDIRECT("Update"&amp;Projections!$AH$17&amp;"!T"&amp;ROW(B499))</f>
        <v/>
      </c>
      <c r="AR518" s="100">
        <f t="shared" si="27"/>
        <v>-9.965301026</v>
      </c>
    </row>
    <row r="519">
      <c r="A519" t="str">
        <f t="shared" si="3"/>
        <v/>
      </c>
      <c r="B519" s="42">
        <f t="shared" si="4"/>
        <v>-3.155358621</v>
      </c>
      <c r="C519" s="43">
        <f t="shared" si="5"/>
        <v>-1.740686581</v>
      </c>
      <c r="D519" s="42">
        <f t="shared" si="6"/>
        <v>-2.380599106</v>
      </c>
      <c r="E519" s="42">
        <f t="shared" si="7"/>
        <v>-1.79320266</v>
      </c>
      <c r="F519" s="42">
        <f t="shared" si="8"/>
        <v>-3.240190514</v>
      </c>
      <c r="G519" s="42">
        <f t="shared" si="9"/>
        <v>-1.329092151</v>
      </c>
      <c r="H519" s="42">
        <f t="shared" si="10"/>
        <v>0</v>
      </c>
      <c r="I519" s="42" t="str">
        <f>UpdateHashtag!S517</f>
        <v/>
      </c>
      <c r="J519" s="47">
        <f t="shared" si="11"/>
        <v>0</v>
      </c>
      <c r="K519" s="48" t="str">
        <f>UpdateHashtag!T517</f>
        <v/>
      </c>
      <c r="L519" s="42">
        <f t="shared" si="12"/>
        <v>-1.734552372</v>
      </c>
      <c r="N519" s="100">
        <f t="shared" si="13"/>
        <v>401</v>
      </c>
      <c r="O519" s="94" t="str">
        <f t="array" ref="O519">INDIRECT("Update"&amp;Projections!$AH$17&amp;"!B"&amp;ROW(B500))</f>
        <v/>
      </c>
      <c r="P519" s="414" t="str">
        <f t="array" ref="P519">INDIRECT("Update"&amp;Projections!$AH$17&amp;"!C"&amp;ROW(B500))</f>
        <v/>
      </c>
      <c r="Q519" s="94" t="str">
        <f>UpdateHashtag!F549</f>
        <v/>
      </c>
      <c r="R519" s="105" t="str">
        <f t="array" ref="R519">INDIRECT("Update"&amp;Projections!$AH$17&amp;"!D"&amp;ROW(B500))</f>
        <v/>
      </c>
      <c r="S519" s="73">
        <f t="shared" si="14"/>
        <v>-9.965301026</v>
      </c>
      <c r="T519" s="73">
        <f>SUM(AE519:AM519)-IFERROR(IFS(Projections!$I$17,AN519,Projections!$J$17,AO519),"")</f>
        <v>-9.965301026</v>
      </c>
      <c r="U519" s="73">
        <f t="shared" si="15"/>
        <v>0</v>
      </c>
      <c r="V519" s="73" t="str">
        <f t="array" ref="V519">INDIRECT("Update"&amp;Projections!$AH$17&amp;"!M"&amp;ROW(B500))</f>
        <v/>
      </c>
      <c r="W519" s="73" t="str">
        <f t="array" ref="W519">INDIRECT("Update"&amp;Projections!$AH$17&amp;"!L"&amp;ROW(B500))</f>
        <v/>
      </c>
      <c r="X519" s="73" t="str">
        <f t="array" ref="X519">INDIRECT("Update"&amp;Projections!$AH$17&amp;"!N"&amp;ROW(B500))</f>
        <v/>
      </c>
      <c r="Y519" s="73" t="str">
        <f t="array" ref="Y519">INDIRECT("Update"&amp;Projections!$AH$17&amp;"!O"&amp;ROW(B500))</f>
        <v/>
      </c>
      <c r="Z519" s="73" t="str">
        <f t="array" ref="Z519">INDIRECT("Update"&amp;Projections!$AH$17&amp;"!P"&amp;ROW(B500))</f>
        <v/>
      </c>
      <c r="AA519" s="73" t="str">
        <f t="array" ref="AA519">INDIRECT("Update"&amp;Projections!$AH$17&amp;"!Q"&amp;ROW(B500))</f>
        <v/>
      </c>
      <c r="AB519" s="107" t="str">
        <f t="array" ref="AB519">INDIRECT("Update"&amp;Projections!$AH$17&amp;"!I"&amp;ROW(B500))</f>
        <v/>
      </c>
      <c r="AC519" s="107" t="str">
        <f t="array" ref="AC519">INDIRECT("Update"&amp;Projections!$AH$17&amp;"!K"&amp;ROW(B500))</f>
        <v/>
      </c>
      <c r="AD519" s="73" t="str">
        <f t="array" ref="AD519">INDIRECT("Update"&amp;Projections!$AH$17&amp;"!R"&amp;ROW(B500))</f>
        <v/>
      </c>
      <c r="AE519" s="73">
        <f t="shared" si="16"/>
        <v>-3.155358621</v>
      </c>
      <c r="AF519" s="73">
        <f t="shared" si="17"/>
        <v>-1.740686581</v>
      </c>
      <c r="AG519" s="73">
        <f t="shared" si="18"/>
        <v>-2.380599106</v>
      </c>
      <c r="AH519" s="73">
        <f t="shared" si="19"/>
        <v>-1.79320266</v>
      </c>
      <c r="AI519" s="73">
        <f t="shared" si="20"/>
        <v>-3.240190514</v>
      </c>
      <c r="AJ519" s="73">
        <f t="shared" si="21"/>
        <v>-1.329092151</v>
      </c>
      <c r="AK519" s="73">
        <f t="shared" si="22"/>
        <v>0</v>
      </c>
      <c r="AL519" s="73">
        <f t="shared" si="23"/>
        <v>0</v>
      </c>
      <c r="AM519" s="73">
        <f t="shared" si="24"/>
        <v>0.433638093</v>
      </c>
      <c r="AN519" s="120">
        <f t="shared" si="25"/>
        <v>-3.240190514</v>
      </c>
      <c r="AO519" s="120">
        <f t="shared" si="26"/>
        <v>-6.395549135</v>
      </c>
      <c r="AP519" s="120" t="str">
        <f t="array" ref="AP519">INDIRECT("Update"&amp;Projections!$AH$17&amp;"!S"&amp;ROW(B500))</f>
        <v/>
      </c>
      <c r="AQ519" s="120" t="str">
        <f t="array" ref="AQ519">INDIRECT("Update"&amp;Projections!$AH$17&amp;"!T"&amp;ROW(B500))</f>
        <v/>
      </c>
      <c r="AR519" s="100">
        <f t="shared" si="27"/>
        <v>-9.965301026</v>
      </c>
    </row>
    <row r="520">
      <c r="A520" t="str">
        <f t="shared" si="3"/>
        <v/>
      </c>
      <c r="B520" s="42">
        <f t="shared" si="4"/>
        <v>-3.155358621</v>
      </c>
      <c r="C520" s="43">
        <f t="shared" si="5"/>
        <v>-1.740686581</v>
      </c>
      <c r="D520" s="42">
        <f t="shared" si="6"/>
        <v>-2.380599106</v>
      </c>
      <c r="E520" s="42">
        <f t="shared" si="7"/>
        <v>-1.79320266</v>
      </c>
      <c r="F520" s="42">
        <f t="shared" si="8"/>
        <v>-3.240190514</v>
      </c>
      <c r="G520" s="42">
        <f t="shared" si="9"/>
        <v>-1.329092151</v>
      </c>
      <c r="H520" s="42">
        <f t="shared" si="10"/>
        <v>0</v>
      </c>
      <c r="I520" s="42" t="str">
        <f>UpdateHashtag!S518</f>
        <v/>
      </c>
      <c r="J520" s="47">
        <f t="shared" si="11"/>
        <v>0</v>
      </c>
      <c r="K520" s="48" t="str">
        <f>UpdateHashtag!T518</f>
        <v/>
      </c>
      <c r="L520" s="42">
        <f t="shared" si="12"/>
        <v>-1.734552372</v>
      </c>
      <c r="N520" s="100">
        <f t="shared" si="13"/>
        <v>401</v>
      </c>
      <c r="O520" s="94" t="str">
        <f t="array" ref="O520">INDIRECT("Update"&amp;Projections!$AH$17&amp;"!B"&amp;ROW(B501))</f>
        <v/>
      </c>
      <c r="P520" s="414" t="str">
        <f t="array" ref="P520">INDIRECT("Update"&amp;Projections!$AH$17&amp;"!C"&amp;ROW(B501))</f>
        <v/>
      </c>
      <c r="Q520" s="94" t="str">
        <f>UpdateHashtag!F550</f>
        <v/>
      </c>
      <c r="R520" s="105" t="str">
        <f t="array" ref="R520">INDIRECT("Update"&amp;Projections!$AH$17&amp;"!D"&amp;ROW(B501))</f>
        <v/>
      </c>
      <c r="S520" s="73">
        <f t="shared" si="14"/>
        <v>-9.965301026</v>
      </c>
      <c r="T520" s="73">
        <f>SUM(AE520:AM520)-IFERROR(IFS(Projections!$I$17,AN520,Projections!$J$17,AO520),"")</f>
        <v>-9.965301026</v>
      </c>
      <c r="U520" s="73">
        <f t="shared" si="15"/>
        <v>0</v>
      </c>
      <c r="V520" s="73" t="str">
        <f t="array" ref="V520">INDIRECT("Update"&amp;Projections!$AH$17&amp;"!M"&amp;ROW(B501))</f>
        <v/>
      </c>
      <c r="W520" s="73" t="str">
        <f t="array" ref="W520">INDIRECT("Update"&amp;Projections!$AH$17&amp;"!L"&amp;ROW(B501))</f>
        <v/>
      </c>
      <c r="X520" s="73" t="str">
        <f t="array" ref="X520">INDIRECT("Update"&amp;Projections!$AH$17&amp;"!N"&amp;ROW(B501))</f>
        <v/>
      </c>
      <c r="Y520" s="73" t="str">
        <f t="array" ref="Y520">INDIRECT("Update"&amp;Projections!$AH$17&amp;"!O"&amp;ROW(B501))</f>
        <v/>
      </c>
      <c r="Z520" s="73" t="str">
        <f t="array" ref="Z520">INDIRECT("Update"&amp;Projections!$AH$17&amp;"!P"&amp;ROW(B501))</f>
        <v/>
      </c>
      <c r="AA520" s="73" t="str">
        <f t="array" ref="AA520">INDIRECT("Update"&amp;Projections!$AH$17&amp;"!Q"&amp;ROW(B501))</f>
        <v/>
      </c>
      <c r="AB520" s="107" t="str">
        <f t="array" ref="AB520">INDIRECT("Update"&amp;Projections!$AH$17&amp;"!I"&amp;ROW(B501))</f>
        <v/>
      </c>
      <c r="AC520" s="107" t="str">
        <f t="array" ref="AC520">INDIRECT("Update"&amp;Projections!$AH$17&amp;"!K"&amp;ROW(B501))</f>
        <v/>
      </c>
      <c r="AD520" s="73" t="str">
        <f t="array" ref="AD520">INDIRECT("Update"&amp;Projections!$AH$17&amp;"!R"&amp;ROW(B501))</f>
        <v/>
      </c>
      <c r="AE520" s="73">
        <f t="shared" si="16"/>
        <v>-3.155358621</v>
      </c>
      <c r="AF520" s="73">
        <f t="shared" si="17"/>
        <v>-1.740686581</v>
      </c>
      <c r="AG520" s="73">
        <f t="shared" si="18"/>
        <v>-2.380599106</v>
      </c>
      <c r="AH520" s="73">
        <f t="shared" si="19"/>
        <v>-1.79320266</v>
      </c>
      <c r="AI520" s="73">
        <f t="shared" si="20"/>
        <v>-3.240190514</v>
      </c>
      <c r="AJ520" s="73">
        <f t="shared" si="21"/>
        <v>-1.329092151</v>
      </c>
      <c r="AK520" s="73">
        <f t="shared" si="22"/>
        <v>0</v>
      </c>
      <c r="AL520" s="73">
        <f t="shared" si="23"/>
        <v>0</v>
      </c>
      <c r="AM520" s="73">
        <f t="shared" si="24"/>
        <v>0.433638093</v>
      </c>
      <c r="AN520" s="120">
        <f t="shared" si="25"/>
        <v>-3.240190514</v>
      </c>
      <c r="AO520" s="120">
        <f t="shared" si="26"/>
        <v>-6.395549135</v>
      </c>
      <c r="AP520" s="120" t="str">
        <f t="array" ref="AP520">INDIRECT("Update"&amp;Projections!$AH$17&amp;"!S"&amp;ROW(B501))</f>
        <v/>
      </c>
      <c r="AQ520" s="120" t="str">
        <f t="array" ref="AQ520">INDIRECT("Update"&amp;Projections!$AH$17&amp;"!T"&amp;ROW(B501))</f>
        <v/>
      </c>
      <c r="AR520" s="100">
        <f t="shared" si="27"/>
        <v>-9.965301026</v>
      </c>
    </row>
    <row r="521">
      <c r="A521" t="str">
        <f t="shared" si="3"/>
        <v/>
      </c>
      <c r="B521" s="42">
        <f t="shared" si="4"/>
        <v>-3.155358621</v>
      </c>
      <c r="C521" s="43">
        <f t="shared" si="5"/>
        <v>-1.740686581</v>
      </c>
      <c r="D521" s="42">
        <f t="shared" si="6"/>
        <v>-2.380599106</v>
      </c>
      <c r="E521" s="42">
        <f t="shared" si="7"/>
        <v>-1.79320266</v>
      </c>
      <c r="F521" s="42">
        <f t="shared" si="8"/>
        <v>-3.240190514</v>
      </c>
      <c r="G521" s="42">
        <f t="shared" si="9"/>
        <v>-1.329092151</v>
      </c>
      <c r="H521" s="42">
        <f t="shared" si="10"/>
        <v>0</v>
      </c>
      <c r="I521" s="42" t="str">
        <f>UpdateHashtag!S519</f>
        <v/>
      </c>
      <c r="J521" s="47">
        <f t="shared" si="11"/>
        <v>0</v>
      </c>
      <c r="K521" s="48" t="str">
        <f>UpdateHashtag!T519</f>
        <v/>
      </c>
      <c r="L521" s="42">
        <f t="shared" si="12"/>
        <v>-1.734552372</v>
      </c>
      <c r="N521" s="100">
        <f t="shared" si="13"/>
        <v>401</v>
      </c>
      <c r="O521" s="94" t="str">
        <f t="array" ref="O521">INDIRECT("Update"&amp;Projections!$AH$17&amp;"!B"&amp;ROW(B502))</f>
        <v/>
      </c>
      <c r="P521" s="414" t="str">
        <f t="array" ref="P521">INDIRECT("Update"&amp;Projections!$AH$17&amp;"!C"&amp;ROW(B502))</f>
        <v/>
      </c>
      <c r="Q521" s="94" t="str">
        <f>UpdateHashtag!F551</f>
        <v/>
      </c>
      <c r="R521" s="105" t="str">
        <f t="array" ref="R521">INDIRECT("Update"&amp;Projections!$AH$17&amp;"!D"&amp;ROW(B502))</f>
        <v/>
      </c>
      <c r="S521" s="73">
        <f t="shared" si="14"/>
        <v>-9.965301026</v>
      </c>
      <c r="T521" s="73">
        <f>SUM(AE521:AM521)-IFERROR(IFS(Projections!$I$17,AN521,Projections!$J$17,AO521),"")</f>
        <v>-9.965301026</v>
      </c>
      <c r="U521" s="73">
        <f t="shared" si="15"/>
        <v>0</v>
      </c>
      <c r="V521" s="73" t="str">
        <f t="array" ref="V521">INDIRECT("Update"&amp;Projections!$AH$17&amp;"!M"&amp;ROW(B502))</f>
        <v/>
      </c>
      <c r="W521" s="73" t="str">
        <f t="array" ref="W521">INDIRECT("Update"&amp;Projections!$AH$17&amp;"!L"&amp;ROW(B502))</f>
        <v/>
      </c>
      <c r="X521" s="73" t="str">
        <f t="array" ref="X521">INDIRECT("Update"&amp;Projections!$AH$17&amp;"!N"&amp;ROW(B502))</f>
        <v/>
      </c>
      <c r="Y521" s="73" t="str">
        <f t="array" ref="Y521">INDIRECT("Update"&amp;Projections!$AH$17&amp;"!O"&amp;ROW(B502))</f>
        <v/>
      </c>
      <c r="Z521" s="73" t="str">
        <f t="array" ref="Z521">INDIRECT("Update"&amp;Projections!$AH$17&amp;"!P"&amp;ROW(B502))</f>
        <v/>
      </c>
      <c r="AA521" s="73" t="str">
        <f t="array" ref="AA521">INDIRECT("Update"&amp;Projections!$AH$17&amp;"!Q"&amp;ROW(B502))</f>
        <v/>
      </c>
      <c r="AB521" s="107" t="str">
        <f t="array" ref="AB521">INDIRECT("Update"&amp;Projections!$AH$17&amp;"!I"&amp;ROW(B502))</f>
        <v/>
      </c>
      <c r="AC521" s="107" t="str">
        <f t="array" ref="AC521">INDIRECT("Update"&amp;Projections!$AH$17&amp;"!K"&amp;ROW(B502))</f>
        <v/>
      </c>
      <c r="AD521" s="73" t="str">
        <f t="array" ref="AD521">INDIRECT("Update"&amp;Projections!$AH$17&amp;"!R"&amp;ROW(B502))</f>
        <v/>
      </c>
      <c r="AE521" s="73">
        <f t="shared" si="16"/>
        <v>-3.155358621</v>
      </c>
      <c r="AF521" s="73">
        <f t="shared" si="17"/>
        <v>-1.740686581</v>
      </c>
      <c r="AG521" s="73">
        <f t="shared" si="18"/>
        <v>-2.380599106</v>
      </c>
      <c r="AH521" s="73">
        <f t="shared" si="19"/>
        <v>-1.79320266</v>
      </c>
      <c r="AI521" s="73">
        <f t="shared" si="20"/>
        <v>-3.240190514</v>
      </c>
      <c r="AJ521" s="73">
        <f t="shared" si="21"/>
        <v>-1.329092151</v>
      </c>
      <c r="AK521" s="73">
        <f t="shared" si="22"/>
        <v>0</v>
      </c>
      <c r="AL521" s="73">
        <f t="shared" si="23"/>
        <v>0</v>
      </c>
      <c r="AM521" s="73">
        <f t="shared" si="24"/>
        <v>0.433638093</v>
      </c>
      <c r="AN521" s="120">
        <f t="shared" si="25"/>
        <v>-3.240190514</v>
      </c>
      <c r="AO521" s="120">
        <f t="shared" si="26"/>
        <v>-6.395549135</v>
      </c>
      <c r="AP521" s="120" t="str">
        <f t="array" ref="AP521">INDIRECT("Update"&amp;Projections!$AH$17&amp;"!S"&amp;ROW(B502))</f>
        <v/>
      </c>
      <c r="AQ521" s="120" t="str">
        <f t="array" ref="AQ521">INDIRECT("Update"&amp;Projections!$AH$17&amp;"!T"&amp;ROW(B502))</f>
        <v/>
      </c>
      <c r="AR521" s="100">
        <f t="shared" si="27"/>
        <v>-9.965301026</v>
      </c>
    </row>
    <row r="522">
      <c r="A522" t="str">
        <f t="shared" si="3"/>
        <v/>
      </c>
      <c r="B522" s="42">
        <f t="shared" si="4"/>
        <v>-3.155358621</v>
      </c>
      <c r="C522" s="43">
        <f t="shared" si="5"/>
        <v>-1.740686581</v>
      </c>
      <c r="D522" s="42">
        <f t="shared" si="6"/>
        <v>-2.380599106</v>
      </c>
      <c r="E522" s="42">
        <f t="shared" si="7"/>
        <v>-1.79320266</v>
      </c>
      <c r="F522" s="42">
        <f t="shared" si="8"/>
        <v>-3.240190514</v>
      </c>
      <c r="G522" s="42">
        <f t="shared" si="9"/>
        <v>-1.329092151</v>
      </c>
      <c r="H522" s="42">
        <f t="shared" si="10"/>
        <v>0</v>
      </c>
      <c r="I522" s="42" t="str">
        <f>UpdateHashtag!S520</f>
        <v/>
      </c>
      <c r="J522" s="47">
        <f t="shared" si="11"/>
        <v>0</v>
      </c>
      <c r="K522" s="48" t="str">
        <f>UpdateHashtag!T520</f>
        <v/>
      </c>
      <c r="L522" s="42">
        <f t="shared" si="12"/>
        <v>-1.734552372</v>
      </c>
      <c r="N522" s="100">
        <f t="shared" si="13"/>
        <v>401</v>
      </c>
      <c r="O522" s="94" t="str">
        <f t="array" ref="O522">INDIRECT("Update"&amp;Projections!$AH$17&amp;"!B"&amp;ROW(B503))</f>
        <v/>
      </c>
      <c r="P522" s="414" t="str">
        <f t="array" ref="P522">INDIRECT("Update"&amp;Projections!$AH$17&amp;"!C"&amp;ROW(B503))</f>
        <v/>
      </c>
      <c r="Q522" s="94" t="str">
        <f>UpdateHashtag!F552</f>
        <v/>
      </c>
      <c r="R522" s="105" t="str">
        <f t="array" ref="R522">INDIRECT("Update"&amp;Projections!$AH$17&amp;"!D"&amp;ROW(B503))</f>
        <v/>
      </c>
      <c r="S522" s="73">
        <f t="shared" si="14"/>
        <v>-9.965301026</v>
      </c>
      <c r="T522" s="73">
        <f>SUM(AE522:AM522)-IFERROR(IFS(Projections!$I$17,AN522,Projections!$J$17,AO522),"")</f>
        <v>-9.965301026</v>
      </c>
      <c r="U522" s="73">
        <f t="shared" si="15"/>
        <v>0</v>
      </c>
      <c r="V522" s="73" t="str">
        <f t="array" ref="V522">INDIRECT("Update"&amp;Projections!$AH$17&amp;"!M"&amp;ROW(B503))</f>
        <v/>
      </c>
      <c r="W522" s="73" t="str">
        <f t="array" ref="W522">INDIRECT("Update"&amp;Projections!$AH$17&amp;"!L"&amp;ROW(B503))</f>
        <v/>
      </c>
      <c r="X522" s="73" t="str">
        <f t="array" ref="X522">INDIRECT("Update"&amp;Projections!$AH$17&amp;"!N"&amp;ROW(B503))</f>
        <v/>
      </c>
      <c r="Y522" s="73" t="str">
        <f t="array" ref="Y522">INDIRECT("Update"&amp;Projections!$AH$17&amp;"!O"&amp;ROW(B503))</f>
        <v/>
      </c>
      <c r="Z522" s="73" t="str">
        <f t="array" ref="Z522">INDIRECT("Update"&amp;Projections!$AH$17&amp;"!P"&amp;ROW(B503))</f>
        <v/>
      </c>
      <c r="AA522" s="73" t="str">
        <f t="array" ref="AA522">INDIRECT("Update"&amp;Projections!$AH$17&amp;"!Q"&amp;ROW(B503))</f>
        <v/>
      </c>
      <c r="AB522" s="107" t="str">
        <f t="array" ref="AB522">INDIRECT("Update"&amp;Projections!$AH$17&amp;"!I"&amp;ROW(B503))</f>
        <v/>
      </c>
      <c r="AC522" s="107" t="str">
        <f t="array" ref="AC522">INDIRECT("Update"&amp;Projections!$AH$17&amp;"!K"&amp;ROW(B503))</f>
        <v/>
      </c>
      <c r="AD522" s="73" t="str">
        <f t="array" ref="AD522">INDIRECT("Update"&amp;Projections!$AH$17&amp;"!R"&amp;ROW(B503))</f>
        <v/>
      </c>
      <c r="AE522" s="73">
        <f t="shared" si="16"/>
        <v>-3.155358621</v>
      </c>
      <c r="AF522" s="73">
        <f t="shared" si="17"/>
        <v>-1.740686581</v>
      </c>
      <c r="AG522" s="73">
        <f t="shared" si="18"/>
        <v>-2.380599106</v>
      </c>
      <c r="AH522" s="73">
        <f t="shared" si="19"/>
        <v>-1.79320266</v>
      </c>
      <c r="AI522" s="73">
        <f t="shared" si="20"/>
        <v>-3.240190514</v>
      </c>
      <c r="AJ522" s="73">
        <f t="shared" si="21"/>
        <v>-1.329092151</v>
      </c>
      <c r="AK522" s="73">
        <f t="shared" si="22"/>
        <v>0</v>
      </c>
      <c r="AL522" s="73">
        <f t="shared" si="23"/>
        <v>0</v>
      </c>
      <c r="AM522" s="73">
        <f t="shared" si="24"/>
        <v>0.433638093</v>
      </c>
      <c r="AN522" s="120">
        <f t="shared" si="25"/>
        <v>-3.240190514</v>
      </c>
      <c r="AO522" s="120">
        <f t="shared" si="26"/>
        <v>-6.395549135</v>
      </c>
      <c r="AP522" s="120" t="str">
        <f t="array" ref="AP522">INDIRECT("Update"&amp;Projections!$AH$17&amp;"!S"&amp;ROW(B503))</f>
        <v/>
      </c>
      <c r="AQ522" s="120" t="str">
        <f t="array" ref="AQ522">INDIRECT("Update"&amp;Projections!$AH$17&amp;"!T"&amp;ROW(B503))</f>
        <v/>
      </c>
      <c r="AR522" s="100">
        <f t="shared" si="27"/>
        <v>-9.965301026</v>
      </c>
    </row>
    <row r="523">
      <c r="A523" t="str">
        <f t="shared" si="3"/>
        <v/>
      </c>
      <c r="B523" s="42">
        <f t="shared" si="4"/>
        <v>-3.155358621</v>
      </c>
      <c r="C523" s="43">
        <f t="shared" si="5"/>
        <v>-1.740686581</v>
      </c>
      <c r="D523" s="42">
        <f t="shared" si="6"/>
        <v>-2.380599106</v>
      </c>
      <c r="E523" s="42">
        <f t="shared" si="7"/>
        <v>-1.79320266</v>
      </c>
      <c r="F523" s="42">
        <f t="shared" si="8"/>
        <v>-3.240190514</v>
      </c>
      <c r="G523" s="42">
        <f t="shared" si="9"/>
        <v>-1.329092151</v>
      </c>
      <c r="H523" s="42">
        <f t="shared" si="10"/>
        <v>0</v>
      </c>
      <c r="I523" s="42" t="str">
        <f>UpdateHashtag!S521</f>
        <v/>
      </c>
      <c r="J523" s="47">
        <f t="shared" si="11"/>
        <v>0</v>
      </c>
      <c r="K523" s="48" t="str">
        <f>UpdateHashtag!T521</f>
        <v/>
      </c>
      <c r="L523" s="42">
        <f t="shared" si="12"/>
        <v>-1.734552372</v>
      </c>
      <c r="N523" s="100">
        <f t="shared" si="13"/>
        <v>401</v>
      </c>
      <c r="O523" s="94" t="str">
        <f t="array" ref="O523">INDIRECT("Update"&amp;Projections!$AH$17&amp;"!B"&amp;ROW(B504))</f>
        <v/>
      </c>
      <c r="P523" s="414" t="str">
        <f t="array" ref="P523">INDIRECT("Update"&amp;Projections!$AH$17&amp;"!C"&amp;ROW(B504))</f>
        <v/>
      </c>
      <c r="Q523" s="94" t="str">
        <f>UpdateHashtag!F553</f>
        <v/>
      </c>
      <c r="R523" s="105" t="str">
        <f t="array" ref="R523">INDIRECT("Update"&amp;Projections!$AH$17&amp;"!D"&amp;ROW(B504))</f>
        <v/>
      </c>
      <c r="S523" s="73">
        <f t="shared" si="14"/>
        <v>-9.965301026</v>
      </c>
      <c r="T523" s="73">
        <f>SUM(AE523:AM523)-IFERROR(IFS(Projections!$I$17,AN523,Projections!$J$17,AO523),"")</f>
        <v>-9.965301026</v>
      </c>
      <c r="U523" s="73">
        <f t="shared" si="15"/>
        <v>0</v>
      </c>
      <c r="V523" s="73" t="str">
        <f t="array" ref="V523">INDIRECT("Update"&amp;Projections!$AH$17&amp;"!M"&amp;ROW(B504))</f>
        <v/>
      </c>
      <c r="W523" s="73" t="str">
        <f t="array" ref="W523">INDIRECT("Update"&amp;Projections!$AH$17&amp;"!L"&amp;ROW(B504))</f>
        <v/>
      </c>
      <c r="X523" s="73" t="str">
        <f t="array" ref="X523">INDIRECT("Update"&amp;Projections!$AH$17&amp;"!N"&amp;ROW(B504))</f>
        <v/>
      </c>
      <c r="Y523" s="73" t="str">
        <f t="array" ref="Y523">INDIRECT("Update"&amp;Projections!$AH$17&amp;"!O"&amp;ROW(B504))</f>
        <v/>
      </c>
      <c r="Z523" s="73" t="str">
        <f t="array" ref="Z523">INDIRECT("Update"&amp;Projections!$AH$17&amp;"!P"&amp;ROW(B504))</f>
        <v/>
      </c>
      <c r="AA523" s="73" t="str">
        <f t="array" ref="AA523">INDIRECT("Update"&amp;Projections!$AH$17&amp;"!Q"&amp;ROW(B504))</f>
        <v/>
      </c>
      <c r="AB523" s="107" t="str">
        <f t="array" ref="AB523">INDIRECT("Update"&amp;Projections!$AH$17&amp;"!I"&amp;ROW(B504))</f>
        <v/>
      </c>
      <c r="AC523" s="107" t="str">
        <f t="array" ref="AC523">INDIRECT("Update"&amp;Projections!$AH$17&amp;"!K"&amp;ROW(B504))</f>
        <v/>
      </c>
      <c r="AD523" s="73" t="str">
        <f t="array" ref="AD523">INDIRECT("Update"&amp;Projections!$AH$17&amp;"!R"&amp;ROW(B504))</f>
        <v/>
      </c>
      <c r="AE523" s="73">
        <f t="shared" si="16"/>
        <v>-3.155358621</v>
      </c>
      <c r="AF523" s="73">
        <f t="shared" si="17"/>
        <v>-1.740686581</v>
      </c>
      <c r="AG523" s="73">
        <f t="shared" si="18"/>
        <v>-2.380599106</v>
      </c>
      <c r="AH523" s="73">
        <f t="shared" si="19"/>
        <v>-1.79320266</v>
      </c>
      <c r="AI523" s="73">
        <f t="shared" si="20"/>
        <v>-3.240190514</v>
      </c>
      <c r="AJ523" s="73">
        <f t="shared" si="21"/>
        <v>-1.329092151</v>
      </c>
      <c r="AK523" s="73">
        <f t="shared" si="22"/>
        <v>0</v>
      </c>
      <c r="AL523" s="73">
        <f t="shared" si="23"/>
        <v>0</v>
      </c>
      <c r="AM523" s="73">
        <f t="shared" si="24"/>
        <v>0.433638093</v>
      </c>
      <c r="AN523" s="120">
        <f t="shared" si="25"/>
        <v>-3.240190514</v>
      </c>
      <c r="AO523" s="120">
        <f t="shared" si="26"/>
        <v>-6.395549135</v>
      </c>
      <c r="AP523" s="120" t="str">
        <f t="array" ref="AP523">INDIRECT("Update"&amp;Projections!$AH$17&amp;"!S"&amp;ROW(B504))</f>
        <v/>
      </c>
      <c r="AQ523" s="120" t="str">
        <f t="array" ref="AQ523">INDIRECT("Update"&amp;Projections!$AH$17&amp;"!T"&amp;ROW(B504))</f>
        <v/>
      </c>
      <c r="AR523" s="100">
        <f t="shared" si="27"/>
        <v>-9.965301026</v>
      </c>
    </row>
    <row r="524">
      <c r="A524" t="str">
        <f t="shared" si="3"/>
        <v/>
      </c>
      <c r="B524" s="42">
        <f t="shared" si="4"/>
        <v>-3.155358621</v>
      </c>
      <c r="C524" s="43">
        <f t="shared" si="5"/>
        <v>-1.740686581</v>
      </c>
      <c r="D524" s="42">
        <f t="shared" si="6"/>
        <v>-2.380599106</v>
      </c>
      <c r="E524" s="42">
        <f t="shared" si="7"/>
        <v>-1.79320266</v>
      </c>
      <c r="F524" s="42">
        <f t="shared" si="8"/>
        <v>-3.240190514</v>
      </c>
      <c r="G524" s="42">
        <f t="shared" si="9"/>
        <v>-1.329092151</v>
      </c>
      <c r="H524" s="42">
        <f t="shared" si="10"/>
        <v>0</v>
      </c>
      <c r="I524" s="42" t="str">
        <f>UpdateHashtag!S522</f>
        <v/>
      </c>
      <c r="J524" s="47">
        <f t="shared" si="11"/>
        <v>0</v>
      </c>
      <c r="K524" s="48" t="str">
        <f>UpdateHashtag!T522</f>
        <v/>
      </c>
      <c r="L524" s="42">
        <f t="shared" si="12"/>
        <v>-1.734552372</v>
      </c>
      <c r="N524" s="100">
        <f t="shared" si="13"/>
        <v>401</v>
      </c>
      <c r="O524" s="94" t="str">
        <f t="array" ref="O524">INDIRECT("Update"&amp;Projections!$AH$17&amp;"!B"&amp;ROW(B505))</f>
        <v/>
      </c>
      <c r="P524" s="414" t="str">
        <f t="array" ref="P524">INDIRECT("Update"&amp;Projections!$AH$17&amp;"!C"&amp;ROW(B505))</f>
        <v/>
      </c>
      <c r="Q524" s="94" t="str">
        <f>UpdateHashtag!F554</f>
        <v/>
      </c>
      <c r="R524" s="105" t="str">
        <f t="array" ref="R524">INDIRECT("Update"&amp;Projections!$AH$17&amp;"!D"&amp;ROW(B505))</f>
        <v/>
      </c>
      <c r="S524" s="73">
        <f t="shared" si="14"/>
        <v>-9.965301026</v>
      </c>
      <c r="T524" s="73">
        <f>SUM(AE524:AM524)-IFERROR(IFS(Projections!$I$17,AN524,Projections!$J$17,AO524),"")</f>
        <v>-9.965301026</v>
      </c>
      <c r="U524" s="73">
        <f t="shared" si="15"/>
        <v>0</v>
      </c>
      <c r="V524" s="73" t="str">
        <f t="array" ref="V524">INDIRECT("Update"&amp;Projections!$AH$17&amp;"!M"&amp;ROW(B505))</f>
        <v/>
      </c>
      <c r="W524" s="73" t="str">
        <f t="array" ref="W524">INDIRECT("Update"&amp;Projections!$AH$17&amp;"!L"&amp;ROW(B505))</f>
        <v/>
      </c>
      <c r="X524" s="73" t="str">
        <f t="array" ref="X524">INDIRECT("Update"&amp;Projections!$AH$17&amp;"!N"&amp;ROW(B505))</f>
        <v/>
      </c>
      <c r="Y524" s="73" t="str">
        <f t="array" ref="Y524">INDIRECT("Update"&amp;Projections!$AH$17&amp;"!O"&amp;ROW(B505))</f>
        <v/>
      </c>
      <c r="Z524" s="73" t="str">
        <f t="array" ref="Z524">INDIRECT("Update"&amp;Projections!$AH$17&amp;"!P"&amp;ROW(B505))</f>
        <v/>
      </c>
      <c r="AA524" s="73" t="str">
        <f t="array" ref="AA524">INDIRECT("Update"&amp;Projections!$AH$17&amp;"!Q"&amp;ROW(B505))</f>
        <v/>
      </c>
      <c r="AB524" s="107" t="str">
        <f t="array" ref="AB524">INDIRECT("Update"&amp;Projections!$AH$17&amp;"!I"&amp;ROW(B505))</f>
        <v/>
      </c>
      <c r="AC524" s="107" t="str">
        <f t="array" ref="AC524">INDIRECT("Update"&amp;Projections!$AH$17&amp;"!K"&amp;ROW(B505))</f>
        <v/>
      </c>
      <c r="AD524" s="73" t="str">
        <f t="array" ref="AD524">INDIRECT("Update"&amp;Projections!$AH$17&amp;"!R"&amp;ROW(B505))</f>
        <v/>
      </c>
      <c r="AE524" s="73">
        <f t="shared" si="16"/>
        <v>-3.155358621</v>
      </c>
      <c r="AF524" s="73">
        <f t="shared" si="17"/>
        <v>-1.740686581</v>
      </c>
      <c r="AG524" s="73">
        <f t="shared" si="18"/>
        <v>-2.380599106</v>
      </c>
      <c r="AH524" s="73">
        <f t="shared" si="19"/>
        <v>-1.79320266</v>
      </c>
      <c r="AI524" s="73">
        <f t="shared" si="20"/>
        <v>-3.240190514</v>
      </c>
      <c r="AJ524" s="73">
        <f t="shared" si="21"/>
        <v>-1.329092151</v>
      </c>
      <c r="AK524" s="73">
        <f t="shared" si="22"/>
        <v>0</v>
      </c>
      <c r="AL524" s="73">
        <f t="shared" si="23"/>
        <v>0</v>
      </c>
      <c r="AM524" s="73">
        <f t="shared" si="24"/>
        <v>0.433638093</v>
      </c>
      <c r="AN524" s="120">
        <f t="shared" si="25"/>
        <v>-3.240190514</v>
      </c>
      <c r="AO524" s="120">
        <f t="shared" si="26"/>
        <v>-6.395549135</v>
      </c>
      <c r="AP524" s="120" t="str">
        <f t="array" ref="AP524">INDIRECT("Update"&amp;Projections!$AH$17&amp;"!S"&amp;ROW(B505))</f>
        <v/>
      </c>
      <c r="AQ524" s="120" t="str">
        <f t="array" ref="AQ524">INDIRECT("Update"&amp;Projections!$AH$17&amp;"!T"&amp;ROW(B505))</f>
        <v/>
      </c>
      <c r="AR524" s="100">
        <f t="shared" si="27"/>
        <v>-9.965301026</v>
      </c>
    </row>
    <row r="525">
      <c r="A525" t="str">
        <f t="shared" si="3"/>
        <v/>
      </c>
      <c r="B525" s="42">
        <f t="shared" si="4"/>
        <v>-3.155358621</v>
      </c>
      <c r="C525" s="43">
        <f t="shared" si="5"/>
        <v>-1.740686581</v>
      </c>
      <c r="D525" s="42">
        <f t="shared" si="6"/>
        <v>-2.380599106</v>
      </c>
      <c r="E525" s="42">
        <f t="shared" si="7"/>
        <v>-1.79320266</v>
      </c>
      <c r="F525" s="42">
        <f t="shared" si="8"/>
        <v>-3.240190514</v>
      </c>
      <c r="G525" s="42">
        <f t="shared" si="9"/>
        <v>-1.329092151</v>
      </c>
      <c r="H525" s="42">
        <f t="shared" si="10"/>
        <v>0</v>
      </c>
      <c r="I525" s="42" t="str">
        <f>UpdateHashtag!S523</f>
        <v/>
      </c>
      <c r="J525" s="47">
        <f t="shared" si="11"/>
        <v>0</v>
      </c>
      <c r="K525" s="48" t="str">
        <f>UpdateHashtag!T523</f>
        <v/>
      </c>
      <c r="L525" s="42">
        <f t="shared" si="12"/>
        <v>-1.734552372</v>
      </c>
      <c r="N525" s="100">
        <f t="shared" si="13"/>
        <v>401</v>
      </c>
      <c r="O525" s="94" t="str">
        <f t="array" ref="O525">INDIRECT("Update"&amp;Projections!$AH$17&amp;"!B"&amp;ROW(B506))</f>
        <v/>
      </c>
      <c r="P525" s="414" t="str">
        <f t="array" ref="P525">INDIRECT("Update"&amp;Projections!$AH$17&amp;"!C"&amp;ROW(B506))</f>
        <v/>
      </c>
      <c r="Q525" s="94" t="str">
        <f>UpdateHashtag!F555</f>
        <v/>
      </c>
      <c r="R525" s="105" t="str">
        <f t="array" ref="R525">INDIRECT("Update"&amp;Projections!$AH$17&amp;"!D"&amp;ROW(B506))</f>
        <v/>
      </c>
      <c r="S525" s="73">
        <f t="shared" si="14"/>
        <v>-9.965301026</v>
      </c>
      <c r="T525" s="73">
        <f>SUM(AE525:AM525)-IFERROR(IFS(Projections!$I$17,AN525,Projections!$J$17,AO525),"")</f>
        <v>-9.965301026</v>
      </c>
      <c r="U525" s="73">
        <f t="shared" si="15"/>
        <v>0</v>
      </c>
      <c r="V525" s="73" t="str">
        <f t="array" ref="V525">INDIRECT("Update"&amp;Projections!$AH$17&amp;"!M"&amp;ROW(B506))</f>
        <v/>
      </c>
      <c r="W525" s="73" t="str">
        <f t="array" ref="W525">INDIRECT("Update"&amp;Projections!$AH$17&amp;"!L"&amp;ROW(B506))</f>
        <v/>
      </c>
      <c r="X525" s="73" t="str">
        <f t="array" ref="X525">INDIRECT("Update"&amp;Projections!$AH$17&amp;"!N"&amp;ROW(B506))</f>
        <v/>
      </c>
      <c r="Y525" s="73" t="str">
        <f t="array" ref="Y525">INDIRECT("Update"&amp;Projections!$AH$17&amp;"!O"&amp;ROW(B506))</f>
        <v/>
      </c>
      <c r="Z525" s="73" t="str">
        <f t="array" ref="Z525">INDIRECT("Update"&amp;Projections!$AH$17&amp;"!P"&amp;ROW(B506))</f>
        <v/>
      </c>
      <c r="AA525" s="73" t="str">
        <f t="array" ref="AA525">INDIRECT("Update"&amp;Projections!$AH$17&amp;"!Q"&amp;ROW(B506))</f>
        <v/>
      </c>
      <c r="AB525" s="107" t="str">
        <f t="array" ref="AB525">INDIRECT("Update"&amp;Projections!$AH$17&amp;"!I"&amp;ROW(B506))</f>
        <v/>
      </c>
      <c r="AC525" s="107" t="str">
        <f t="array" ref="AC525">INDIRECT("Update"&amp;Projections!$AH$17&amp;"!K"&amp;ROW(B506))</f>
        <v/>
      </c>
      <c r="AD525" s="73" t="str">
        <f t="array" ref="AD525">INDIRECT("Update"&amp;Projections!$AH$17&amp;"!R"&amp;ROW(B506))</f>
        <v/>
      </c>
      <c r="AE525" s="73">
        <f t="shared" si="16"/>
        <v>-3.155358621</v>
      </c>
      <c r="AF525" s="73">
        <f t="shared" si="17"/>
        <v>-1.740686581</v>
      </c>
      <c r="AG525" s="73">
        <f t="shared" si="18"/>
        <v>-2.380599106</v>
      </c>
      <c r="AH525" s="73">
        <f t="shared" si="19"/>
        <v>-1.79320266</v>
      </c>
      <c r="AI525" s="73">
        <f t="shared" si="20"/>
        <v>-3.240190514</v>
      </c>
      <c r="AJ525" s="73">
        <f t="shared" si="21"/>
        <v>-1.329092151</v>
      </c>
      <c r="AK525" s="73">
        <f t="shared" si="22"/>
        <v>0</v>
      </c>
      <c r="AL525" s="73">
        <f t="shared" si="23"/>
        <v>0</v>
      </c>
      <c r="AM525" s="73">
        <f t="shared" si="24"/>
        <v>0.433638093</v>
      </c>
      <c r="AN525" s="120">
        <f t="shared" si="25"/>
        <v>-3.240190514</v>
      </c>
      <c r="AO525" s="120">
        <f t="shared" si="26"/>
        <v>-6.395549135</v>
      </c>
      <c r="AP525" s="120" t="str">
        <f t="array" ref="AP525">INDIRECT("Update"&amp;Projections!$AH$17&amp;"!S"&amp;ROW(B506))</f>
        <v/>
      </c>
      <c r="AQ525" s="120" t="str">
        <f t="array" ref="AQ525">INDIRECT("Update"&amp;Projections!$AH$17&amp;"!T"&amp;ROW(B506))</f>
        <v/>
      </c>
      <c r="AR525" s="100">
        <f t="shared" si="27"/>
        <v>-9.965301026</v>
      </c>
    </row>
    <row r="526">
      <c r="A526" t="str">
        <f t="shared" si="3"/>
        <v/>
      </c>
      <c r="B526" s="42">
        <f t="shared" si="4"/>
        <v>-3.155358621</v>
      </c>
      <c r="C526" s="43">
        <f t="shared" si="5"/>
        <v>-1.740686581</v>
      </c>
      <c r="D526" s="42">
        <f t="shared" si="6"/>
        <v>-2.380599106</v>
      </c>
      <c r="E526" s="42">
        <f t="shared" si="7"/>
        <v>-1.79320266</v>
      </c>
      <c r="F526" s="42">
        <f t="shared" si="8"/>
        <v>-3.240190514</v>
      </c>
      <c r="G526" s="42">
        <f t="shared" si="9"/>
        <v>-1.329092151</v>
      </c>
      <c r="H526" s="42">
        <f t="shared" si="10"/>
        <v>0</v>
      </c>
      <c r="I526" s="42" t="str">
        <f>UpdateHashtag!S524</f>
        <v/>
      </c>
      <c r="J526" s="47">
        <f t="shared" si="11"/>
        <v>0</v>
      </c>
      <c r="K526" s="48" t="str">
        <f>UpdateHashtag!T524</f>
        <v/>
      </c>
      <c r="L526" s="42">
        <f t="shared" si="12"/>
        <v>-1.734552372</v>
      </c>
      <c r="N526" s="100">
        <f t="shared" si="13"/>
        <v>401</v>
      </c>
      <c r="O526" s="94" t="str">
        <f t="array" ref="O526">INDIRECT("Update"&amp;Projections!$AH$17&amp;"!B"&amp;ROW(B507))</f>
        <v/>
      </c>
      <c r="P526" s="414" t="str">
        <f t="array" ref="P526">INDIRECT("Update"&amp;Projections!$AH$17&amp;"!C"&amp;ROW(B507))</f>
        <v/>
      </c>
      <c r="Q526" s="94" t="str">
        <f>UpdateHashtag!F556</f>
        <v/>
      </c>
      <c r="R526" s="105" t="str">
        <f t="array" ref="R526">INDIRECT("Update"&amp;Projections!$AH$17&amp;"!D"&amp;ROW(B507))</f>
        <v/>
      </c>
      <c r="S526" s="73">
        <f t="shared" si="14"/>
        <v>-9.965301026</v>
      </c>
      <c r="T526" s="73">
        <f>SUM(AE526:AM526)-IFERROR(IFS(Projections!$I$17,AN526,Projections!$J$17,AO526),"")</f>
        <v>-9.965301026</v>
      </c>
      <c r="U526" s="73">
        <f t="shared" si="15"/>
        <v>0</v>
      </c>
      <c r="V526" s="73" t="str">
        <f t="array" ref="V526">INDIRECT("Update"&amp;Projections!$AH$17&amp;"!M"&amp;ROW(B507))</f>
        <v/>
      </c>
      <c r="W526" s="73" t="str">
        <f t="array" ref="W526">INDIRECT("Update"&amp;Projections!$AH$17&amp;"!L"&amp;ROW(B507))</f>
        <v/>
      </c>
      <c r="X526" s="73" t="str">
        <f t="array" ref="X526">INDIRECT("Update"&amp;Projections!$AH$17&amp;"!N"&amp;ROW(B507))</f>
        <v/>
      </c>
      <c r="Y526" s="73" t="str">
        <f t="array" ref="Y526">INDIRECT("Update"&amp;Projections!$AH$17&amp;"!O"&amp;ROW(B507))</f>
        <v/>
      </c>
      <c r="Z526" s="73" t="str">
        <f t="array" ref="Z526">INDIRECT("Update"&amp;Projections!$AH$17&amp;"!P"&amp;ROW(B507))</f>
        <v/>
      </c>
      <c r="AA526" s="73" t="str">
        <f t="array" ref="AA526">INDIRECT("Update"&amp;Projections!$AH$17&amp;"!Q"&amp;ROW(B507))</f>
        <v/>
      </c>
      <c r="AB526" s="107" t="str">
        <f t="array" ref="AB526">INDIRECT("Update"&amp;Projections!$AH$17&amp;"!I"&amp;ROW(B507))</f>
        <v/>
      </c>
      <c r="AC526" s="107" t="str">
        <f t="array" ref="AC526">INDIRECT("Update"&amp;Projections!$AH$17&amp;"!K"&amp;ROW(B507))</f>
        <v/>
      </c>
      <c r="AD526" s="73" t="str">
        <f t="array" ref="AD526">INDIRECT("Update"&amp;Projections!$AH$17&amp;"!R"&amp;ROW(B507))</f>
        <v/>
      </c>
      <c r="AE526" s="73">
        <f t="shared" si="16"/>
        <v>-3.155358621</v>
      </c>
      <c r="AF526" s="73">
        <f t="shared" si="17"/>
        <v>-1.740686581</v>
      </c>
      <c r="AG526" s="73">
        <f t="shared" si="18"/>
        <v>-2.380599106</v>
      </c>
      <c r="AH526" s="73">
        <f t="shared" si="19"/>
        <v>-1.79320266</v>
      </c>
      <c r="AI526" s="73">
        <f t="shared" si="20"/>
        <v>-3.240190514</v>
      </c>
      <c r="AJ526" s="73">
        <f t="shared" si="21"/>
        <v>-1.329092151</v>
      </c>
      <c r="AK526" s="73">
        <f t="shared" si="22"/>
        <v>0</v>
      </c>
      <c r="AL526" s="73">
        <f t="shared" si="23"/>
        <v>0</v>
      </c>
      <c r="AM526" s="73">
        <f t="shared" si="24"/>
        <v>0.433638093</v>
      </c>
      <c r="AN526" s="120">
        <f t="shared" si="25"/>
        <v>-3.240190514</v>
      </c>
      <c r="AO526" s="120">
        <f t="shared" si="26"/>
        <v>-6.395549135</v>
      </c>
      <c r="AP526" s="120" t="str">
        <f t="array" ref="AP526">INDIRECT("Update"&amp;Projections!$AH$17&amp;"!S"&amp;ROW(B507))</f>
        <v/>
      </c>
      <c r="AQ526" s="120" t="str">
        <f t="array" ref="AQ526">INDIRECT("Update"&amp;Projections!$AH$17&amp;"!T"&amp;ROW(B507))</f>
        <v/>
      </c>
      <c r="AR526" s="100">
        <f t="shared" si="27"/>
        <v>-9.965301026</v>
      </c>
    </row>
    <row r="527">
      <c r="A527" t="str">
        <f t="shared" si="3"/>
        <v/>
      </c>
      <c r="B527" s="42">
        <f t="shared" si="4"/>
        <v>-3.155358621</v>
      </c>
      <c r="C527" s="43">
        <f t="shared" si="5"/>
        <v>-1.740686581</v>
      </c>
      <c r="D527" s="42">
        <f t="shared" si="6"/>
        <v>-2.380599106</v>
      </c>
      <c r="E527" s="42">
        <f t="shared" si="7"/>
        <v>-1.79320266</v>
      </c>
      <c r="F527" s="42">
        <f t="shared" si="8"/>
        <v>-3.240190514</v>
      </c>
      <c r="G527" s="42">
        <f t="shared" si="9"/>
        <v>-1.329092151</v>
      </c>
      <c r="H527" s="42">
        <f t="shared" si="10"/>
        <v>0</v>
      </c>
      <c r="I527" s="42" t="str">
        <f>UpdateHashtag!S525</f>
        <v/>
      </c>
      <c r="J527" s="47">
        <f t="shared" si="11"/>
        <v>0</v>
      </c>
      <c r="K527" s="48" t="str">
        <f>UpdateHashtag!T525</f>
        <v/>
      </c>
      <c r="L527" s="42">
        <f t="shared" si="12"/>
        <v>-1.734552372</v>
      </c>
      <c r="N527" s="100">
        <f t="shared" si="13"/>
        <v>401</v>
      </c>
      <c r="O527" s="94" t="str">
        <f t="array" ref="O527">INDIRECT("Update"&amp;Projections!$AH$17&amp;"!B"&amp;ROW(B508))</f>
        <v/>
      </c>
      <c r="P527" s="414" t="str">
        <f t="array" ref="P527">INDIRECT("Update"&amp;Projections!$AH$17&amp;"!C"&amp;ROW(B508))</f>
        <v/>
      </c>
      <c r="Q527" s="94" t="str">
        <f>UpdateHashtag!F557</f>
        <v/>
      </c>
      <c r="R527" s="105" t="str">
        <f t="array" ref="R527">INDIRECT("Update"&amp;Projections!$AH$17&amp;"!D"&amp;ROW(B508))</f>
        <v/>
      </c>
      <c r="S527" s="73">
        <f t="shared" si="14"/>
        <v>-9.965301026</v>
      </c>
      <c r="T527" s="73">
        <f>SUM(AE527:AM527)-IFERROR(IFS(Projections!$I$17,AN527,Projections!$J$17,AO527),"")</f>
        <v>-9.965301026</v>
      </c>
      <c r="U527" s="73">
        <f t="shared" si="15"/>
        <v>0</v>
      </c>
      <c r="V527" s="73" t="str">
        <f t="array" ref="V527">INDIRECT("Update"&amp;Projections!$AH$17&amp;"!M"&amp;ROW(B508))</f>
        <v/>
      </c>
      <c r="W527" s="73" t="str">
        <f t="array" ref="W527">INDIRECT("Update"&amp;Projections!$AH$17&amp;"!L"&amp;ROW(B508))</f>
        <v/>
      </c>
      <c r="X527" s="73" t="str">
        <f t="array" ref="X527">INDIRECT("Update"&amp;Projections!$AH$17&amp;"!N"&amp;ROW(B508))</f>
        <v/>
      </c>
      <c r="Y527" s="73" t="str">
        <f t="array" ref="Y527">INDIRECT("Update"&amp;Projections!$AH$17&amp;"!O"&amp;ROW(B508))</f>
        <v/>
      </c>
      <c r="Z527" s="73" t="str">
        <f t="array" ref="Z527">INDIRECT("Update"&amp;Projections!$AH$17&amp;"!P"&amp;ROW(B508))</f>
        <v/>
      </c>
      <c r="AA527" s="73" t="str">
        <f t="array" ref="AA527">INDIRECT("Update"&amp;Projections!$AH$17&amp;"!Q"&amp;ROW(B508))</f>
        <v/>
      </c>
      <c r="AB527" s="107" t="str">
        <f t="array" ref="AB527">INDIRECT("Update"&amp;Projections!$AH$17&amp;"!I"&amp;ROW(B508))</f>
        <v/>
      </c>
      <c r="AC527" s="107" t="str">
        <f t="array" ref="AC527">INDIRECT("Update"&amp;Projections!$AH$17&amp;"!K"&amp;ROW(B508))</f>
        <v/>
      </c>
      <c r="AD527" s="73" t="str">
        <f t="array" ref="AD527">INDIRECT("Update"&amp;Projections!$AH$17&amp;"!R"&amp;ROW(B508))</f>
        <v/>
      </c>
      <c r="AE527" s="73">
        <f t="shared" si="16"/>
        <v>-3.155358621</v>
      </c>
      <c r="AF527" s="73">
        <f t="shared" si="17"/>
        <v>-1.740686581</v>
      </c>
      <c r="AG527" s="73">
        <f t="shared" si="18"/>
        <v>-2.380599106</v>
      </c>
      <c r="AH527" s="73">
        <f t="shared" si="19"/>
        <v>-1.79320266</v>
      </c>
      <c r="AI527" s="73">
        <f t="shared" si="20"/>
        <v>-3.240190514</v>
      </c>
      <c r="AJ527" s="73">
        <f t="shared" si="21"/>
        <v>-1.329092151</v>
      </c>
      <c r="AK527" s="73">
        <f t="shared" si="22"/>
        <v>0</v>
      </c>
      <c r="AL527" s="73">
        <f t="shared" si="23"/>
        <v>0</v>
      </c>
      <c r="AM527" s="73">
        <f t="shared" si="24"/>
        <v>0.433638093</v>
      </c>
      <c r="AN527" s="120">
        <f t="shared" si="25"/>
        <v>-3.240190514</v>
      </c>
      <c r="AO527" s="120">
        <f t="shared" si="26"/>
        <v>-6.395549135</v>
      </c>
      <c r="AP527" s="120" t="str">
        <f t="array" ref="AP527">INDIRECT("Update"&amp;Projections!$AH$17&amp;"!S"&amp;ROW(B508))</f>
        <v/>
      </c>
      <c r="AQ527" s="120" t="str">
        <f t="array" ref="AQ527">INDIRECT("Update"&amp;Projections!$AH$17&amp;"!T"&amp;ROW(B508))</f>
        <v/>
      </c>
      <c r="AR527" s="100">
        <f t="shared" si="27"/>
        <v>-9.965301026</v>
      </c>
    </row>
    <row r="528">
      <c r="A528" t="str">
        <f t="shared" si="3"/>
        <v/>
      </c>
      <c r="B528" s="42">
        <f t="shared" si="4"/>
        <v>-3.155358621</v>
      </c>
      <c r="C528" s="43">
        <f t="shared" si="5"/>
        <v>-1.740686581</v>
      </c>
      <c r="D528" s="42">
        <f t="shared" si="6"/>
        <v>-2.380599106</v>
      </c>
      <c r="E528" s="42">
        <f t="shared" si="7"/>
        <v>-1.79320266</v>
      </c>
      <c r="F528" s="42">
        <f t="shared" si="8"/>
        <v>-3.240190514</v>
      </c>
      <c r="G528" s="42">
        <f t="shared" si="9"/>
        <v>-1.329092151</v>
      </c>
      <c r="H528" s="42">
        <f t="shared" si="10"/>
        <v>0</v>
      </c>
      <c r="I528" s="42" t="str">
        <f>UpdateHashtag!S526</f>
        <v/>
      </c>
      <c r="J528" s="47">
        <f t="shared" si="11"/>
        <v>0</v>
      </c>
      <c r="K528" s="48" t="str">
        <f>UpdateHashtag!T526</f>
        <v/>
      </c>
      <c r="L528" s="42">
        <f t="shared" si="12"/>
        <v>-1.734552372</v>
      </c>
      <c r="N528" s="100">
        <f t="shared" si="13"/>
        <v>401</v>
      </c>
      <c r="O528" s="94" t="str">
        <f t="array" ref="O528">INDIRECT("Update"&amp;Projections!$AH$17&amp;"!B"&amp;ROW(B509))</f>
        <v/>
      </c>
      <c r="P528" s="414" t="str">
        <f t="array" ref="P528">INDIRECT("Update"&amp;Projections!$AH$17&amp;"!C"&amp;ROW(B509))</f>
        <v/>
      </c>
      <c r="Q528" s="94" t="str">
        <f>UpdateHashtag!F558</f>
        <v/>
      </c>
      <c r="R528" s="105" t="str">
        <f t="array" ref="R528">INDIRECT("Update"&amp;Projections!$AH$17&amp;"!D"&amp;ROW(B509))</f>
        <v/>
      </c>
      <c r="S528" s="73">
        <f t="shared" si="14"/>
        <v>-9.965301026</v>
      </c>
      <c r="T528" s="73">
        <f>SUM(AE528:AM528)-IFERROR(IFS(Projections!$I$17,AN528,Projections!$J$17,AO528),"")</f>
        <v>-9.965301026</v>
      </c>
      <c r="U528" s="73">
        <f t="shared" si="15"/>
        <v>0</v>
      </c>
      <c r="V528" s="73" t="str">
        <f t="array" ref="V528">INDIRECT("Update"&amp;Projections!$AH$17&amp;"!M"&amp;ROW(B509))</f>
        <v/>
      </c>
      <c r="W528" s="73" t="str">
        <f t="array" ref="W528">INDIRECT("Update"&amp;Projections!$AH$17&amp;"!L"&amp;ROW(B509))</f>
        <v/>
      </c>
      <c r="X528" s="73" t="str">
        <f t="array" ref="X528">INDIRECT("Update"&amp;Projections!$AH$17&amp;"!N"&amp;ROW(B509))</f>
        <v/>
      </c>
      <c r="Y528" s="73" t="str">
        <f t="array" ref="Y528">INDIRECT("Update"&amp;Projections!$AH$17&amp;"!O"&amp;ROW(B509))</f>
        <v/>
      </c>
      <c r="Z528" s="73" t="str">
        <f t="array" ref="Z528">INDIRECT("Update"&amp;Projections!$AH$17&amp;"!P"&amp;ROW(B509))</f>
        <v/>
      </c>
      <c r="AA528" s="73" t="str">
        <f t="array" ref="AA528">INDIRECT("Update"&amp;Projections!$AH$17&amp;"!Q"&amp;ROW(B509))</f>
        <v/>
      </c>
      <c r="AB528" s="107" t="str">
        <f t="array" ref="AB528">INDIRECT("Update"&amp;Projections!$AH$17&amp;"!I"&amp;ROW(B509))</f>
        <v/>
      </c>
      <c r="AC528" s="107" t="str">
        <f t="array" ref="AC528">INDIRECT("Update"&amp;Projections!$AH$17&amp;"!K"&amp;ROW(B509))</f>
        <v/>
      </c>
      <c r="AD528" s="73" t="str">
        <f t="array" ref="AD528">INDIRECT("Update"&amp;Projections!$AH$17&amp;"!R"&amp;ROW(B509))</f>
        <v/>
      </c>
      <c r="AE528" s="73">
        <f t="shared" si="16"/>
        <v>-3.155358621</v>
      </c>
      <c r="AF528" s="73">
        <f t="shared" si="17"/>
        <v>-1.740686581</v>
      </c>
      <c r="AG528" s="73">
        <f t="shared" si="18"/>
        <v>-2.380599106</v>
      </c>
      <c r="AH528" s="73">
        <f t="shared" si="19"/>
        <v>-1.79320266</v>
      </c>
      <c r="AI528" s="73">
        <f t="shared" si="20"/>
        <v>-3.240190514</v>
      </c>
      <c r="AJ528" s="73">
        <f t="shared" si="21"/>
        <v>-1.329092151</v>
      </c>
      <c r="AK528" s="73">
        <f t="shared" si="22"/>
        <v>0</v>
      </c>
      <c r="AL528" s="73">
        <f t="shared" si="23"/>
        <v>0</v>
      </c>
      <c r="AM528" s="73">
        <f t="shared" si="24"/>
        <v>0.433638093</v>
      </c>
      <c r="AN528" s="120">
        <f t="shared" si="25"/>
        <v>-3.240190514</v>
      </c>
      <c r="AO528" s="120">
        <f t="shared" si="26"/>
        <v>-6.395549135</v>
      </c>
      <c r="AP528" s="120" t="str">
        <f t="array" ref="AP528">INDIRECT("Update"&amp;Projections!$AH$17&amp;"!S"&amp;ROW(B509))</f>
        <v/>
      </c>
      <c r="AQ528" s="120" t="str">
        <f t="array" ref="AQ528">INDIRECT("Update"&amp;Projections!$AH$17&amp;"!T"&amp;ROW(B509))</f>
        <v/>
      </c>
      <c r="AR528" s="100">
        <f t="shared" si="27"/>
        <v>-9.965301026</v>
      </c>
    </row>
    <row r="529">
      <c r="A529" t="str">
        <f t="shared" si="3"/>
        <v/>
      </c>
      <c r="B529" s="42">
        <f t="shared" si="4"/>
        <v>-3.155358621</v>
      </c>
      <c r="C529" s="43">
        <f t="shared" si="5"/>
        <v>-1.740686581</v>
      </c>
      <c r="D529" s="42">
        <f t="shared" si="6"/>
        <v>-2.380599106</v>
      </c>
      <c r="E529" s="42">
        <f t="shared" si="7"/>
        <v>-1.79320266</v>
      </c>
      <c r="F529" s="42">
        <f t="shared" si="8"/>
        <v>-3.240190514</v>
      </c>
      <c r="G529" s="42">
        <f t="shared" si="9"/>
        <v>-1.329092151</v>
      </c>
      <c r="H529" s="42">
        <f t="shared" si="10"/>
        <v>0</v>
      </c>
      <c r="I529" s="42" t="str">
        <f>UpdateHashtag!S527</f>
        <v/>
      </c>
      <c r="J529" s="47">
        <f t="shared" si="11"/>
        <v>0</v>
      </c>
      <c r="K529" s="48" t="str">
        <f>UpdateHashtag!T527</f>
        <v/>
      </c>
      <c r="L529" s="42">
        <f t="shared" si="12"/>
        <v>-1.734552372</v>
      </c>
      <c r="N529" s="100">
        <f t="shared" si="13"/>
        <v>401</v>
      </c>
      <c r="O529" s="94" t="str">
        <f t="array" ref="O529">INDIRECT("Update"&amp;Projections!$AH$17&amp;"!B"&amp;ROW(B510))</f>
        <v/>
      </c>
      <c r="P529" s="414" t="str">
        <f t="array" ref="P529">INDIRECT("Update"&amp;Projections!$AH$17&amp;"!C"&amp;ROW(B510))</f>
        <v/>
      </c>
      <c r="Q529" s="94" t="str">
        <f>UpdateHashtag!F559</f>
        <v/>
      </c>
      <c r="R529" s="105" t="str">
        <f t="array" ref="R529">INDIRECT("Update"&amp;Projections!$AH$17&amp;"!D"&amp;ROW(B510))</f>
        <v/>
      </c>
      <c r="S529" s="73">
        <f t="shared" si="14"/>
        <v>-9.965301026</v>
      </c>
      <c r="T529" s="73">
        <f>SUM(AE529:AM529)-IFERROR(IFS(Projections!$I$17,AN529,Projections!$J$17,AO529),"")</f>
        <v>-9.965301026</v>
      </c>
      <c r="U529" s="73">
        <f t="shared" si="15"/>
        <v>0</v>
      </c>
      <c r="V529" s="73" t="str">
        <f t="array" ref="V529">INDIRECT("Update"&amp;Projections!$AH$17&amp;"!M"&amp;ROW(B510))</f>
        <v/>
      </c>
      <c r="W529" s="73" t="str">
        <f t="array" ref="W529">INDIRECT("Update"&amp;Projections!$AH$17&amp;"!L"&amp;ROW(B510))</f>
        <v/>
      </c>
      <c r="X529" s="73" t="str">
        <f t="array" ref="X529">INDIRECT("Update"&amp;Projections!$AH$17&amp;"!N"&amp;ROW(B510))</f>
        <v/>
      </c>
      <c r="Y529" s="73" t="str">
        <f t="array" ref="Y529">INDIRECT("Update"&amp;Projections!$AH$17&amp;"!O"&amp;ROW(B510))</f>
        <v/>
      </c>
      <c r="Z529" s="73" t="str">
        <f t="array" ref="Z529">INDIRECT("Update"&amp;Projections!$AH$17&amp;"!P"&amp;ROW(B510))</f>
        <v/>
      </c>
      <c r="AA529" s="73" t="str">
        <f t="array" ref="AA529">INDIRECT("Update"&amp;Projections!$AH$17&amp;"!Q"&amp;ROW(B510))</f>
        <v/>
      </c>
      <c r="AB529" s="107" t="str">
        <f t="array" ref="AB529">INDIRECT("Update"&amp;Projections!$AH$17&amp;"!I"&amp;ROW(B510))</f>
        <v/>
      </c>
      <c r="AC529" s="107" t="str">
        <f t="array" ref="AC529">INDIRECT("Update"&amp;Projections!$AH$17&amp;"!K"&amp;ROW(B510))</f>
        <v/>
      </c>
      <c r="AD529" s="73" t="str">
        <f t="array" ref="AD529">INDIRECT("Update"&amp;Projections!$AH$17&amp;"!R"&amp;ROW(B510))</f>
        <v/>
      </c>
      <c r="AE529" s="73">
        <f t="shared" si="16"/>
        <v>-3.155358621</v>
      </c>
      <c r="AF529" s="73">
        <f t="shared" si="17"/>
        <v>-1.740686581</v>
      </c>
      <c r="AG529" s="73">
        <f t="shared" si="18"/>
        <v>-2.380599106</v>
      </c>
      <c r="AH529" s="73">
        <f t="shared" si="19"/>
        <v>-1.79320266</v>
      </c>
      <c r="AI529" s="73">
        <f t="shared" si="20"/>
        <v>-3.240190514</v>
      </c>
      <c r="AJ529" s="73">
        <f t="shared" si="21"/>
        <v>-1.329092151</v>
      </c>
      <c r="AK529" s="73">
        <f t="shared" si="22"/>
        <v>0</v>
      </c>
      <c r="AL529" s="73">
        <f t="shared" si="23"/>
        <v>0</v>
      </c>
      <c r="AM529" s="73">
        <f t="shared" si="24"/>
        <v>0.433638093</v>
      </c>
      <c r="AN529" s="120">
        <f t="shared" si="25"/>
        <v>-3.240190514</v>
      </c>
      <c r="AO529" s="120">
        <f t="shared" si="26"/>
        <v>-6.395549135</v>
      </c>
      <c r="AP529" s="120" t="str">
        <f t="array" ref="AP529">INDIRECT("Update"&amp;Projections!$AH$17&amp;"!S"&amp;ROW(B510))</f>
        <v/>
      </c>
      <c r="AQ529" s="120" t="str">
        <f t="array" ref="AQ529">INDIRECT("Update"&amp;Projections!$AH$17&amp;"!T"&amp;ROW(B510))</f>
        <v/>
      </c>
      <c r="AR529" s="100">
        <f t="shared" si="27"/>
        <v>-9.965301026</v>
      </c>
    </row>
    <row r="530">
      <c r="A530" t="str">
        <f t="shared" si="3"/>
        <v/>
      </c>
      <c r="B530" s="42">
        <f t="shared" si="4"/>
        <v>-3.155358621</v>
      </c>
      <c r="C530" s="43">
        <f t="shared" si="5"/>
        <v>-1.740686581</v>
      </c>
      <c r="D530" s="42">
        <f t="shared" si="6"/>
        <v>-2.380599106</v>
      </c>
      <c r="E530" s="42">
        <f t="shared" si="7"/>
        <v>-1.79320266</v>
      </c>
      <c r="F530" s="42">
        <f t="shared" si="8"/>
        <v>-3.240190514</v>
      </c>
      <c r="G530" s="42">
        <f t="shared" si="9"/>
        <v>-1.329092151</v>
      </c>
      <c r="H530" s="42">
        <f t="shared" si="10"/>
        <v>0</v>
      </c>
      <c r="I530" s="42" t="str">
        <f>UpdateHashtag!S528</f>
        <v/>
      </c>
      <c r="J530" s="47">
        <f t="shared" si="11"/>
        <v>0</v>
      </c>
      <c r="K530" s="48" t="str">
        <f>UpdateHashtag!T528</f>
        <v/>
      </c>
      <c r="L530" s="42">
        <f t="shared" si="12"/>
        <v>-1.734552372</v>
      </c>
      <c r="N530" s="100">
        <f t="shared" si="13"/>
        <v>401</v>
      </c>
      <c r="O530" s="94" t="str">
        <f t="array" ref="O530">INDIRECT("Update"&amp;Projections!$AH$17&amp;"!B"&amp;ROW(B511))</f>
        <v/>
      </c>
      <c r="P530" s="414" t="str">
        <f t="array" ref="P530">INDIRECT("Update"&amp;Projections!$AH$17&amp;"!C"&amp;ROW(B511))</f>
        <v/>
      </c>
      <c r="Q530" s="94" t="str">
        <f>UpdateHashtag!F560</f>
        <v/>
      </c>
      <c r="R530" s="105" t="str">
        <f t="array" ref="R530">INDIRECT("Update"&amp;Projections!$AH$17&amp;"!D"&amp;ROW(B511))</f>
        <v/>
      </c>
      <c r="S530" s="73">
        <f t="shared" si="14"/>
        <v>-9.965301026</v>
      </c>
      <c r="T530" s="73">
        <f>SUM(AE530:AM530)-IFERROR(IFS(Projections!$I$17,AN530,Projections!$J$17,AO530),"")</f>
        <v>-9.965301026</v>
      </c>
      <c r="U530" s="73">
        <f t="shared" si="15"/>
        <v>0</v>
      </c>
      <c r="V530" s="73" t="str">
        <f t="array" ref="V530">INDIRECT("Update"&amp;Projections!$AH$17&amp;"!M"&amp;ROW(B511))</f>
        <v/>
      </c>
      <c r="W530" s="73" t="str">
        <f t="array" ref="W530">INDIRECT("Update"&amp;Projections!$AH$17&amp;"!L"&amp;ROW(B511))</f>
        <v/>
      </c>
      <c r="X530" s="73" t="str">
        <f t="array" ref="X530">INDIRECT("Update"&amp;Projections!$AH$17&amp;"!N"&amp;ROW(B511))</f>
        <v/>
      </c>
      <c r="Y530" s="73" t="str">
        <f t="array" ref="Y530">INDIRECT("Update"&amp;Projections!$AH$17&amp;"!O"&amp;ROW(B511))</f>
        <v/>
      </c>
      <c r="Z530" s="73" t="str">
        <f t="array" ref="Z530">INDIRECT("Update"&amp;Projections!$AH$17&amp;"!P"&amp;ROW(B511))</f>
        <v/>
      </c>
      <c r="AA530" s="73" t="str">
        <f t="array" ref="AA530">INDIRECT("Update"&amp;Projections!$AH$17&amp;"!Q"&amp;ROW(B511))</f>
        <v/>
      </c>
      <c r="AB530" s="107" t="str">
        <f t="array" ref="AB530">INDIRECT("Update"&amp;Projections!$AH$17&amp;"!I"&amp;ROW(B511))</f>
        <v/>
      </c>
      <c r="AC530" s="107" t="str">
        <f t="array" ref="AC530">INDIRECT("Update"&amp;Projections!$AH$17&amp;"!K"&amp;ROW(B511))</f>
        <v/>
      </c>
      <c r="AD530" s="73" t="str">
        <f t="array" ref="AD530">INDIRECT("Update"&amp;Projections!$AH$17&amp;"!R"&amp;ROW(B511))</f>
        <v/>
      </c>
      <c r="AE530" s="73">
        <f t="shared" si="16"/>
        <v>-3.155358621</v>
      </c>
      <c r="AF530" s="73">
        <f t="shared" si="17"/>
        <v>-1.740686581</v>
      </c>
      <c r="AG530" s="73">
        <f t="shared" si="18"/>
        <v>-2.380599106</v>
      </c>
      <c r="AH530" s="73">
        <f t="shared" si="19"/>
        <v>-1.79320266</v>
      </c>
      <c r="AI530" s="73">
        <f t="shared" si="20"/>
        <v>-3.240190514</v>
      </c>
      <c r="AJ530" s="73">
        <f t="shared" si="21"/>
        <v>-1.329092151</v>
      </c>
      <c r="AK530" s="73">
        <f t="shared" si="22"/>
        <v>0</v>
      </c>
      <c r="AL530" s="73">
        <f t="shared" si="23"/>
        <v>0</v>
      </c>
      <c r="AM530" s="73">
        <f t="shared" si="24"/>
        <v>0.433638093</v>
      </c>
      <c r="AN530" s="120">
        <f t="shared" si="25"/>
        <v>-3.240190514</v>
      </c>
      <c r="AO530" s="120">
        <f t="shared" si="26"/>
        <v>-6.395549135</v>
      </c>
      <c r="AP530" s="120" t="str">
        <f t="array" ref="AP530">INDIRECT("Update"&amp;Projections!$AH$17&amp;"!S"&amp;ROW(B511))</f>
        <v/>
      </c>
      <c r="AQ530" s="120" t="str">
        <f t="array" ref="AQ530">INDIRECT("Update"&amp;Projections!$AH$17&amp;"!T"&amp;ROW(B511))</f>
        <v/>
      </c>
      <c r="AR530" s="100">
        <f t="shared" si="27"/>
        <v>-9.965301026</v>
      </c>
    </row>
    <row r="531">
      <c r="A531" t="str">
        <f t="shared" si="3"/>
        <v/>
      </c>
      <c r="B531" s="42">
        <f t="shared" si="4"/>
        <v>-3.155358621</v>
      </c>
      <c r="C531" s="43">
        <f t="shared" si="5"/>
        <v>-1.740686581</v>
      </c>
      <c r="D531" s="42">
        <f t="shared" si="6"/>
        <v>-2.380599106</v>
      </c>
      <c r="E531" s="42">
        <f t="shared" si="7"/>
        <v>-1.79320266</v>
      </c>
      <c r="F531" s="42">
        <f t="shared" si="8"/>
        <v>-3.240190514</v>
      </c>
      <c r="G531" s="42">
        <f t="shared" si="9"/>
        <v>-1.329092151</v>
      </c>
      <c r="H531" s="42">
        <f t="shared" si="10"/>
        <v>0</v>
      </c>
      <c r="I531" s="42" t="str">
        <f>UpdateHashtag!S529</f>
        <v/>
      </c>
      <c r="J531" s="47">
        <f t="shared" si="11"/>
        <v>0</v>
      </c>
      <c r="K531" s="48" t="str">
        <f>UpdateHashtag!T529</f>
        <v/>
      </c>
      <c r="L531" s="42">
        <f t="shared" si="12"/>
        <v>-1.734552372</v>
      </c>
      <c r="N531" s="100">
        <f t="shared" si="13"/>
        <v>401</v>
      </c>
      <c r="O531" s="94" t="str">
        <f t="array" ref="O531">INDIRECT("Update"&amp;Projections!$AH$17&amp;"!B"&amp;ROW(B512))</f>
        <v/>
      </c>
      <c r="P531" s="414" t="str">
        <f t="array" ref="P531">INDIRECT("Update"&amp;Projections!$AH$17&amp;"!C"&amp;ROW(B512))</f>
        <v/>
      </c>
      <c r="Q531" s="94" t="str">
        <f>UpdateHashtag!F561</f>
        <v/>
      </c>
      <c r="R531" s="105" t="str">
        <f t="array" ref="R531">INDIRECT("Update"&amp;Projections!$AH$17&amp;"!D"&amp;ROW(B512))</f>
        <v/>
      </c>
      <c r="S531" s="73">
        <f t="shared" si="14"/>
        <v>-9.965301026</v>
      </c>
      <c r="T531" s="73">
        <f>SUM(AE531:AM531)-IFERROR(IFS(Projections!$I$17,AN531,Projections!$J$17,AO531),"")</f>
        <v>-9.965301026</v>
      </c>
      <c r="U531" s="73">
        <f t="shared" si="15"/>
        <v>0</v>
      </c>
      <c r="V531" s="73" t="str">
        <f t="array" ref="V531">INDIRECT("Update"&amp;Projections!$AH$17&amp;"!M"&amp;ROW(B512))</f>
        <v/>
      </c>
      <c r="W531" s="73" t="str">
        <f t="array" ref="W531">INDIRECT("Update"&amp;Projections!$AH$17&amp;"!L"&amp;ROW(B512))</f>
        <v/>
      </c>
      <c r="X531" s="73" t="str">
        <f t="array" ref="X531">INDIRECT("Update"&amp;Projections!$AH$17&amp;"!N"&amp;ROW(B512))</f>
        <v/>
      </c>
      <c r="Y531" s="73" t="str">
        <f t="array" ref="Y531">INDIRECT("Update"&amp;Projections!$AH$17&amp;"!O"&amp;ROW(B512))</f>
        <v/>
      </c>
      <c r="Z531" s="73" t="str">
        <f t="array" ref="Z531">INDIRECT("Update"&amp;Projections!$AH$17&amp;"!P"&amp;ROW(B512))</f>
        <v/>
      </c>
      <c r="AA531" s="73" t="str">
        <f t="array" ref="AA531">INDIRECT("Update"&amp;Projections!$AH$17&amp;"!Q"&amp;ROW(B512))</f>
        <v/>
      </c>
      <c r="AB531" s="107" t="str">
        <f t="array" ref="AB531">INDIRECT("Update"&amp;Projections!$AH$17&amp;"!I"&amp;ROW(B512))</f>
        <v/>
      </c>
      <c r="AC531" s="107" t="str">
        <f t="array" ref="AC531">INDIRECT("Update"&amp;Projections!$AH$17&amp;"!K"&amp;ROW(B512))</f>
        <v/>
      </c>
      <c r="AD531" s="73" t="str">
        <f t="array" ref="AD531">INDIRECT("Update"&amp;Projections!$AH$17&amp;"!R"&amp;ROW(B512))</f>
        <v/>
      </c>
      <c r="AE531" s="73">
        <f t="shared" si="16"/>
        <v>-3.155358621</v>
      </c>
      <c r="AF531" s="73">
        <f t="shared" si="17"/>
        <v>-1.740686581</v>
      </c>
      <c r="AG531" s="73">
        <f t="shared" si="18"/>
        <v>-2.380599106</v>
      </c>
      <c r="AH531" s="73">
        <f t="shared" si="19"/>
        <v>-1.79320266</v>
      </c>
      <c r="AI531" s="73">
        <f t="shared" si="20"/>
        <v>-3.240190514</v>
      </c>
      <c r="AJ531" s="73">
        <f t="shared" si="21"/>
        <v>-1.329092151</v>
      </c>
      <c r="AK531" s="73">
        <f t="shared" si="22"/>
        <v>0</v>
      </c>
      <c r="AL531" s="73">
        <f t="shared" si="23"/>
        <v>0</v>
      </c>
      <c r="AM531" s="73">
        <f t="shared" si="24"/>
        <v>0.433638093</v>
      </c>
      <c r="AN531" s="120">
        <f t="shared" si="25"/>
        <v>-3.240190514</v>
      </c>
      <c r="AO531" s="120">
        <f t="shared" si="26"/>
        <v>-6.395549135</v>
      </c>
      <c r="AP531" s="120" t="str">
        <f t="array" ref="AP531">INDIRECT("Update"&amp;Projections!$AH$17&amp;"!S"&amp;ROW(B512))</f>
        <v/>
      </c>
      <c r="AQ531" s="120" t="str">
        <f t="array" ref="AQ531">INDIRECT("Update"&amp;Projections!$AH$17&amp;"!T"&amp;ROW(B512))</f>
        <v/>
      </c>
      <c r="AR531" s="100">
        <f t="shared" si="27"/>
        <v>-9.965301026</v>
      </c>
    </row>
    <row r="532">
      <c r="A532" t="str">
        <f t="shared" si="3"/>
        <v/>
      </c>
      <c r="B532" s="42">
        <f t="shared" si="4"/>
        <v>-3.155358621</v>
      </c>
      <c r="C532" s="43">
        <f t="shared" si="5"/>
        <v>-1.740686581</v>
      </c>
      <c r="D532" s="42">
        <f t="shared" si="6"/>
        <v>-2.380599106</v>
      </c>
      <c r="E532" s="42">
        <f t="shared" si="7"/>
        <v>-1.79320266</v>
      </c>
      <c r="F532" s="42">
        <f t="shared" si="8"/>
        <v>-3.240190514</v>
      </c>
      <c r="G532" s="42">
        <f t="shared" si="9"/>
        <v>-1.329092151</v>
      </c>
      <c r="H532" s="42">
        <f t="shared" si="10"/>
        <v>0</v>
      </c>
      <c r="I532" s="42" t="str">
        <f>UpdateHashtag!S530</f>
        <v/>
      </c>
      <c r="J532" s="47">
        <f t="shared" si="11"/>
        <v>0</v>
      </c>
      <c r="K532" s="48" t="str">
        <f>UpdateHashtag!T530</f>
        <v/>
      </c>
      <c r="L532" s="42">
        <f t="shared" si="12"/>
        <v>-1.734552372</v>
      </c>
      <c r="N532" s="100">
        <f t="shared" si="13"/>
        <v>401</v>
      </c>
      <c r="O532" s="94" t="str">
        <f t="array" ref="O532">INDIRECT("Update"&amp;Projections!$AH$17&amp;"!B"&amp;ROW(B513))</f>
        <v/>
      </c>
      <c r="P532" s="414" t="str">
        <f t="array" ref="P532">INDIRECT("Update"&amp;Projections!$AH$17&amp;"!C"&amp;ROW(B513))</f>
        <v/>
      </c>
      <c r="Q532" s="94" t="str">
        <f>UpdateHashtag!F562</f>
        <v/>
      </c>
      <c r="R532" s="105" t="str">
        <f t="array" ref="R532">INDIRECT("Update"&amp;Projections!$AH$17&amp;"!D"&amp;ROW(B513))</f>
        <v/>
      </c>
      <c r="S532" s="73">
        <f t="shared" si="14"/>
        <v>-9.965301026</v>
      </c>
      <c r="T532" s="73">
        <f>SUM(AE532:AM532)-IFERROR(IFS(Projections!$I$17,AN532,Projections!$J$17,AO532),"")</f>
        <v>-9.965301026</v>
      </c>
      <c r="U532" s="73">
        <f t="shared" si="15"/>
        <v>0</v>
      </c>
      <c r="V532" s="73" t="str">
        <f t="array" ref="V532">INDIRECT("Update"&amp;Projections!$AH$17&amp;"!M"&amp;ROW(B513))</f>
        <v/>
      </c>
      <c r="W532" s="73" t="str">
        <f t="array" ref="W532">INDIRECT("Update"&amp;Projections!$AH$17&amp;"!L"&amp;ROW(B513))</f>
        <v/>
      </c>
      <c r="X532" s="73" t="str">
        <f t="array" ref="X532">INDIRECT("Update"&amp;Projections!$AH$17&amp;"!N"&amp;ROW(B513))</f>
        <v/>
      </c>
      <c r="Y532" s="73" t="str">
        <f t="array" ref="Y532">INDIRECT("Update"&amp;Projections!$AH$17&amp;"!O"&amp;ROW(B513))</f>
        <v/>
      </c>
      <c r="Z532" s="73" t="str">
        <f t="array" ref="Z532">INDIRECT("Update"&amp;Projections!$AH$17&amp;"!P"&amp;ROW(B513))</f>
        <v/>
      </c>
      <c r="AA532" s="73" t="str">
        <f t="array" ref="AA532">INDIRECT("Update"&amp;Projections!$AH$17&amp;"!Q"&amp;ROW(B513))</f>
        <v/>
      </c>
      <c r="AB532" s="107" t="str">
        <f t="array" ref="AB532">INDIRECT("Update"&amp;Projections!$AH$17&amp;"!I"&amp;ROW(B513))</f>
        <v/>
      </c>
      <c r="AC532" s="107" t="str">
        <f t="array" ref="AC532">INDIRECT("Update"&amp;Projections!$AH$17&amp;"!K"&amp;ROW(B513))</f>
        <v/>
      </c>
      <c r="AD532" s="73" t="str">
        <f t="array" ref="AD532">INDIRECT("Update"&amp;Projections!$AH$17&amp;"!R"&amp;ROW(B513))</f>
        <v/>
      </c>
      <c r="AE532" s="73">
        <f t="shared" si="16"/>
        <v>-3.155358621</v>
      </c>
      <c r="AF532" s="73">
        <f t="shared" si="17"/>
        <v>-1.740686581</v>
      </c>
      <c r="AG532" s="73">
        <f t="shared" si="18"/>
        <v>-2.380599106</v>
      </c>
      <c r="AH532" s="73">
        <f t="shared" si="19"/>
        <v>-1.79320266</v>
      </c>
      <c r="AI532" s="73">
        <f t="shared" si="20"/>
        <v>-3.240190514</v>
      </c>
      <c r="AJ532" s="73">
        <f t="shared" si="21"/>
        <v>-1.329092151</v>
      </c>
      <c r="AK532" s="73">
        <f t="shared" si="22"/>
        <v>0</v>
      </c>
      <c r="AL532" s="73">
        <f t="shared" si="23"/>
        <v>0</v>
      </c>
      <c r="AM532" s="73">
        <f t="shared" si="24"/>
        <v>0.433638093</v>
      </c>
      <c r="AN532" s="120">
        <f t="shared" si="25"/>
        <v>-3.240190514</v>
      </c>
      <c r="AO532" s="120">
        <f t="shared" si="26"/>
        <v>-6.395549135</v>
      </c>
      <c r="AP532" s="120" t="str">
        <f t="array" ref="AP532">INDIRECT("Update"&amp;Projections!$AH$17&amp;"!S"&amp;ROW(B513))</f>
        <v/>
      </c>
      <c r="AQ532" s="120" t="str">
        <f t="array" ref="AQ532">INDIRECT("Update"&amp;Projections!$AH$17&amp;"!T"&amp;ROW(B513))</f>
        <v/>
      </c>
      <c r="AR532" s="100">
        <f t="shared" si="27"/>
        <v>-9.965301026</v>
      </c>
    </row>
    <row r="533">
      <c r="A533" t="str">
        <f t="shared" si="3"/>
        <v/>
      </c>
      <c r="B533" s="42">
        <f t="shared" si="4"/>
        <v>-3.155358621</v>
      </c>
      <c r="C533" s="43">
        <f t="shared" si="5"/>
        <v>-1.740686581</v>
      </c>
      <c r="D533" s="42">
        <f t="shared" si="6"/>
        <v>-2.380599106</v>
      </c>
      <c r="E533" s="42">
        <f t="shared" si="7"/>
        <v>-1.79320266</v>
      </c>
      <c r="F533" s="42">
        <f t="shared" si="8"/>
        <v>-3.240190514</v>
      </c>
      <c r="G533" s="42">
        <f t="shared" si="9"/>
        <v>-1.329092151</v>
      </c>
      <c r="H533" s="42">
        <f t="shared" si="10"/>
        <v>0</v>
      </c>
      <c r="I533" s="42" t="str">
        <f>UpdateHashtag!S531</f>
        <v/>
      </c>
      <c r="J533" s="47">
        <f t="shared" si="11"/>
        <v>0</v>
      </c>
      <c r="K533" s="48" t="str">
        <f>UpdateHashtag!T531</f>
        <v/>
      </c>
      <c r="L533" s="42">
        <f t="shared" si="12"/>
        <v>-1.734552372</v>
      </c>
      <c r="N533" s="100">
        <f t="shared" si="13"/>
        <v>401</v>
      </c>
      <c r="O533" s="94" t="str">
        <f t="array" ref="O533">INDIRECT("Update"&amp;Projections!$AH$17&amp;"!B"&amp;ROW(B514))</f>
        <v/>
      </c>
      <c r="P533" s="414" t="str">
        <f t="array" ref="P533">INDIRECT("Update"&amp;Projections!$AH$17&amp;"!C"&amp;ROW(B514))</f>
        <v/>
      </c>
      <c r="Q533" s="94" t="str">
        <f>UpdateHashtag!F563</f>
        <v/>
      </c>
      <c r="R533" s="105" t="str">
        <f t="array" ref="R533">INDIRECT("Update"&amp;Projections!$AH$17&amp;"!D"&amp;ROW(B514))</f>
        <v/>
      </c>
      <c r="S533" s="73">
        <f t="shared" si="14"/>
        <v>-9.965301026</v>
      </c>
      <c r="T533" s="73">
        <f>SUM(AE533:AM533)-IFERROR(IFS(Projections!$I$17,AN533,Projections!$J$17,AO533),"")</f>
        <v>-9.965301026</v>
      </c>
      <c r="U533" s="73">
        <f t="shared" si="15"/>
        <v>0</v>
      </c>
      <c r="V533" s="73" t="str">
        <f t="array" ref="V533">INDIRECT("Update"&amp;Projections!$AH$17&amp;"!M"&amp;ROW(B514))</f>
        <v/>
      </c>
      <c r="W533" s="73" t="str">
        <f t="array" ref="W533">INDIRECT("Update"&amp;Projections!$AH$17&amp;"!L"&amp;ROW(B514))</f>
        <v/>
      </c>
      <c r="X533" s="73" t="str">
        <f t="array" ref="X533">INDIRECT("Update"&amp;Projections!$AH$17&amp;"!N"&amp;ROW(B514))</f>
        <v/>
      </c>
      <c r="Y533" s="73" t="str">
        <f t="array" ref="Y533">INDIRECT("Update"&amp;Projections!$AH$17&amp;"!O"&amp;ROW(B514))</f>
        <v/>
      </c>
      <c r="Z533" s="73" t="str">
        <f t="array" ref="Z533">INDIRECT("Update"&amp;Projections!$AH$17&amp;"!P"&amp;ROW(B514))</f>
        <v/>
      </c>
      <c r="AA533" s="73" t="str">
        <f t="array" ref="AA533">INDIRECT("Update"&amp;Projections!$AH$17&amp;"!Q"&amp;ROW(B514))</f>
        <v/>
      </c>
      <c r="AB533" s="107" t="str">
        <f t="array" ref="AB533">INDIRECT("Update"&amp;Projections!$AH$17&amp;"!I"&amp;ROW(B514))</f>
        <v/>
      </c>
      <c r="AC533" s="107" t="str">
        <f t="array" ref="AC533">INDIRECT("Update"&amp;Projections!$AH$17&amp;"!K"&amp;ROW(B514))</f>
        <v/>
      </c>
      <c r="AD533" s="73" t="str">
        <f t="array" ref="AD533">INDIRECT("Update"&amp;Projections!$AH$17&amp;"!R"&amp;ROW(B514))</f>
        <v/>
      </c>
      <c r="AE533" s="73">
        <f t="shared" si="16"/>
        <v>-3.155358621</v>
      </c>
      <c r="AF533" s="73">
        <f t="shared" si="17"/>
        <v>-1.740686581</v>
      </c>
      <c r="AG533" s="73">
        <f t="shared" si="18"/>
        <v>-2.380599106</v>
      </c>
      <c r="AH533" s="73">
        <f t="shared" si="19"/>
        <v>-1.79320266</v>
      </c>
      <c r="AI533" s="73">
        <f t="shared" si="20"/>
        <v>-3.240190514</v>
      </c>
      <c r="AJ533" s="73">
        <f t="shared" si="21"/>
        <v>-1.329092151</v>
      </c>
      <c r="AK533" s="73">
        <f t="shared" si="22"/>
        <v>0</v>
      </c>
      <c r="AL533" s="73">
        <f t="shared" si="23"/>
        <v>0</v>
      </c>
      <c r="AM533" s="73">
        <f t="shared" si="24"/>
        <v>0.433638093</v>
      </c>
      <c r="AN533" s="120">
        <f t="shared" si="25"/>
        <v>-3.240190514</v>
      </c>
      <c r="AO533" s="120">
        <f t="shared" si="26"/>
        <v>-6.395549135</v>
      </c>
      <c r="AP533" s="120" t="str">
        <f t="array" ref="AP533">INDIRECT("Update"&amp;Projections!$AH$17&amp;"!S"&amp;ROW(B514))</f>
        <v/>
      </c>
      <c r="AQ533" s="120" t="str">
        <f t="array" ref="AQ533">INDIRECT("Update"&amp;Projections!$AH$17&amp;"!T"&amp;ROW(B514))</f>
        <v/>
      </c>
      <c r="AR533" s="100">
        <f t="shared" si="27"/>
        <v>-9.965301026</v>
      </c>
    </row>
    <row r="534">
      <c r="A534" t="str">
        <f t="shared" si="3"/>
        <v/>
      </c>
      <c r="B534" s="42">
        <f t="shared" si="4"/>
        <v>-3.155358621</v>
      </c>
      <c r="C534" s="43">
        <f t="shared" si="5"/>
        <v>-1.740686581</v>
      </c>
      <c r="D534" s="42">
        <f t="shared" si="6"/>
        <v>-2.380599106</v>
      </c>
      <c r="E534" s="42">
        <f t="shared" si="7"/>
        <v>-1.79320266</v>
      </c>
      <c r="F534" s="42">
        <f t="shared" si="8"/>
        <v>-3.240190514</v>
      </c>
      <c r="G534" s="42">
        <f t="shared" si="9"/>
        <v>-1.329092151</v>
      </c>
      <c r="H534" s="42">
        <f t="shared" si="10"/>
        <v>0</v>
      </c>
      <c r="I534" s="42" t="str">
        <f>UpdateHashtag!S532</f>
        <v/>
      </c>
      <c r="J534" s="47">
        <f t="shared" si="11"/>
        <v>0</v>
      </c>
      <c r="K534" s="48" t="str">
        <f>UpdateHashtag!T532</f>
        <v/>
      </c>
      <c r="L534" s="42">
        <f t="shared" si="12"/>
        <v>-1.734552372</v>
      </c>
      <c r="N534" s="100">
        <f t="shared" si="13"/>
        <v>401</v>
      </c>
      <c r="O534" s="94" t="str">
        <f t="array" ref="O534">INDIRECT("Update"&amp;Projections!$AH$17&amp;"!B"&amp;ROW(B515))</f>
        <v/>
      </c>
      <c r="P534" s="414" t="str">
        <f t="array" ref="P534">INDIRECT("Update"&amp;Projections!$AH$17&amp;"!C"&amp;ROW(B515))</f>
        <v/>
      </c>
      <c r="Q534" s="94" t="str">
        <f>UpdateHashtag!F564</f>
        <v/>
      </c>
      <c r="R534" s="105" t="str">
        <f t="array" ref="R534">INDIRECT("Update"&amp;Projections!$AH$17&amp;"!D"&amp;ROW(B515))</f>
        <v/>
      </c>
      <c r="S534" s="73">
        <f t="shared" si="14"/>
        <v>-9.965301026</v>
      </c>
      <c r="T534" s="73">
        <f>SUM(AE534:AM534)-IFERROR(IFS(Projections!$I$17,AN534,Projections!$J$17,AO534),"")</f>
        <v>-9.965301026</v>
      </c>
      <c r="U534" s="73">
        <f t="shared" si="15"/>
        <v>0</v>
      </c>
      <c r="V534" s="73" t="str">
        <f t="array" ref="V534">INDIRECT("Update"&amp;Projections!$AH$17&amp;"!M"&amp;ROW(B515))</f>
        <v/>
      </c>
      <c r="W534" s="73" t="str">
        <f t="array" ref="W534">INDIRECT("Update"&amp;Projections!$AH$17&amp;"!L"&amp;ROW(B515))</f>
        <v/>
      </c>
      <c r="X534" s="73" t="str">
        <f t="array" ref="X534">INDIRECT("Update"&amp;Projections!$AH$17&amp;"!N"&amp;ROW(B515))</f>
        <v/>
      </c>
      <c r="Y534" s="73" t="str">
        <f t="array" ref="Y534">INDIRECT("Update"&amp;Projections!$AH$17&amp;"!O"&amp;ROW(B515))</f>
        <v/>
      </c>
      <c r="Z534" s="73" t="str">
        <f t="array" ref="Z534">INDIRECT("Update"&amp;Projections!$AH$17&amp;"!P"&amp;ROW(B515))</f>
        <v/>
      </c>
      <c r="AA534" s="73" t="str">
        <f t="array" ref="AA534">INDIRECT("Update"&amp;Projections!$AH$17&amp;"!Q"&amp;ROW(B515))</f>
        <v/>
      </c>
      <c r="AB534" s="107" t="str">
        <f t="array" ref="AB534">INDIRECT("Update"&amp;Projections!$AH$17&amp;"!I"&amp;ROW(B515))</f>
        <v/>
      </c>
      <c r="AC534" s="107" t="str">
        <f t="array" ref="AC534">INDIRECT("Update"&amp;Projections!$AH$17&amp;"!K"&amp;ROW(B515))</f>
        <v/>
      </c>
      <c r="AD534" s="73" t="str">
        <f t="array" ref="AD534">INDIRECT("Update"&amp;Projections!$AH$17&amp;"!R"&amp;ROW(B515))</f>
        <v/>
      </c>
      <c r="AE534" s="73">
        <f t="shared" si="16"/>
        <v>-3.155358621</v>
      </c>
      <c r="AF534" s="73">
        <f t="shared" si="17"/>
        <v>-1.740686581</v>
      </c>
      <c r="AG534" s="73">
        <f t="shared" si="18"/>
        <v>-2.380599106</v>
      </c>
      <c r="AH534" s="73">
        <f t="shared" si="19"/>
        <v>-1.79320266</v>
      </c>
      <c r="AI534" s="73">
        <f t="shared" si="20"/>
        <v>-3.240190514</v>
      </c>
      <c r="AJ534" s="73">
        <f t="shared" si="21"/>
        <v>-1.329092151</v>
      </c>
      <c r="AK534" s="73">
        <f t="shared" si="22"/>
        <v>0</v>
      </c>
      <c r="AL534" s="73">
        <f t="shared" si="23"/>
        <v>0</v>
      </c>
      <c r="AM534" s="73">
        <f t="shared" si="24"/>
        <v>0.433638093</v>
      </c>
      <c r="AN534" s="120">
        <f t="shared" si="25"/>
        <v>-3.240190514</v>
      </c>
      <c r="AO534" s="120">
        <f t="shared" si="26"/>
        <v>-6.395549135</v>
      </c>
      <c r="AP534" s="120" t="str">
        <f t="array" ref="AP534">INDIRECT("Update"&amp;Projections!$AH$17&amp;"!S"&amp;ROW(B515))</f>
        <v/>
      </c>
      <c r="AQ534" s="120" t="str">
        <f t="array" ref="AQ534">INDIRECT("Update"&amp;Projections!$AH$17&amp;"!T"&amp;ROW(B515))</f>
        <v/>
      </c>
      <c r="AR534" s="100">
        <f t="shared" si="27"/>
        <v>-9.965301026</v>
      </c>
    </row>
    <row r="535">
      <c r="A535" t="str">
        <f t="shared" si="3"/>
        <v/>
      </c>
      <c r="B535" s="42">
        <f t="shared" si="4"/>
        <v>-3.155358621</v>
      </c>
      <c r="C535" s="43">
        <f t="shared" si="5"/>
        <v>-1.740686581</v>
      </c>
      <c r="D535" s="42">
        <f t="shared" si="6"/>
        <v>-2.380599106</v>
      </c>
      <c r="E535" s="42">
        <f t="shared" si="7"/>
        <v>-1.79320266</v>
      </c>
      <c r="F535" s="42">
        <f t="shared" si="8"/>
        <v>-3.240190514</v>
      </c>
      <c r="G535" s="42">
        <f t="shared" si="9"/>
        <v>-1.329092151</v>
      </c>
      <c r="H535" s="42">
        <f t="shared" si="10"/>
        <v>0</v>
      </c>
      <c r="I535" s="42" t="str">
        <f>UpdateHashtag!S533</f>
        <v/>
      </c>
      <c r="J535" s="47">
        <f t="shared" si="11"/>
        <v>0</v>
      </c>
      <c r="K535" s="48" t="str">
        <f>UpdateHashtag!T533</f>
        <v/>
      </c>
      <c r="L535" s="42">
        <f t="shared" si="12"/>
        <v>-1.734552372</v>
      </c>
      <c r="N535" s="100">
        <f t="shared" si="13"/>
        <v>401</v>
      </c>
      <c r="O535" s="94" t="str">
        <f t="array" ref="O535">INDIRECT("Update"&amp;Projections!$AH$17&amp;"!B"&amp;ROW(B516))</f>
        <v/>
      </c>
      <c r="P535" s="414" t="str">
        <f t="array" ref="P535">INDIRECT("Update"&amp;Projections!$AH$17&amp;"!C"&amp;ROW(B516))</f>
        <v/>
      </c>
      <c r="Q535" s="94" t="str">
        <f>UpdateHashtag!F565</f>
        <v/>
      </c>
      <c r="R535" s="105" t="str">
        <f t="array" ref="R535">INDIRECT("Update"&amp;Projections!$AH$17&amp;"!D"&amp;ROW(B516))</f>
        <v/>
      </c>
      <c r="S535" s="73">
        <f t="shared" si="14"/>
        <v>-9.965301026</v>
      </c>
      <c r="T535" s="73">
        <f>SUM(AE535:AM535)-IFERROR(IFS(Projections!$I$17,AN535,Projections!$J$17,AO535),"")</f>
        <v>-9.965301026</v>
      </c>
      <c r="U535" s="73">
        <f t="shared" si="15"/>
        <v>0</v>
      </c>
      <c r="V535" s="73" t="str">
        <f t="array" ref="V535">INDIRECT("Update"&amp;Projections!$AH$17&amp;"!M"&amp;ROW(B516))</f>
        <v/>
      </c>
      <c r="W535" s="73" t="str">
        <f t="array" ref="W535">INDIRECT("Update"&amp;Projections!$AH$17&amp;"!L"&amp;ROW(B516))</f>
        <v/>
      </c>
      <c r="X535" s="73" t="str">
        <f t="array" ref="X535">INDIRECT("Update"&amp;Projections!$AH$17&amp;"!N"&amp;ROW(B516))</f>
        <v/>
      </c>
      <c r="Y535" s="73" t="str">
        <f t="array" ref="Y535">INDIRECT("Update"&amp;Projections!$AH$17&amp;"!O"&amp;ROW(B516))</f>
        <v/>
      </c>
      <c r="Z535" s="73" t="str">
        <f t="array" ref="Z535">INDIRECT("Update"&amp;Projections!$AH$17&amp;"!P"&amp;ROW(B516))</f>
        <v/>
      </c>
      <c r="AA535" s="73" t="str">
        <f t="array" ref="AA535">INDIRECT("Update"&amp;Projections!$AH$17&amp;"!Q"&amp;ROW(B516))</f>
        <v/>
      </c>
      <c r="AB535" s="107" t="str">
        <f t="array" ref="AB535">INDIRECT("Update"&amp;Projections!$AH$17&amp;"!I"&amp;ROW(B516))</f>
        <v/>
      </c>
      <c r="AC535" s="107" t="str">
        <f t="array" ref="AC535">INDIRECT("Update"&amp;Projections!$AH$17&amp;"!K"&amp;ROW(B516))</f>
        <v/>
      </c>
      <c r="AD535" s="73" t="str">
        <f t="array" ref="AD535">INDIRECT("Update"&amp;Projections!$AH$17&amp;"!R"&amp;ROW(B516))</f>
        <v/>
      </c>
      <c r="AE535" s="73">
        <f t="shared" si="16"/>
        <v>-3.155358621</v>
      </c>
      <c r="AF535" s="73">
        <f t="shared" si="17"/>
        <v>-1.740686581</v>
      </c>
      <c r="AG535" s="73">
        <f t="shared" si="18"/>
        <v>-2.380599106</v>
      </c>
      <c r="AH535" s="73">
        <f t="shared" si="19"/>
        <v>-1.79320266</v>
      </c>
      <c r="AI535" s="73">
        <f t="shared" si="20"/>
        <v>-3.240190514</v>
      </c>
      <c r="AJ535" s="73">
        <f t="shared" si="21"/>
        <v>-1.329092151</v>
      </c>
      <c r="AK535" s="73">
        <f t="shared" si="22"/>
        <v>0</v>
      </c>
      <c r="AL535" s="73">
        <f t="shared" si="23"/>
        <v>0</v>
      </c>
      <c r="AM535" s="73">
        <f t="shared" si="24"/>
        <v>0.433638093</v>
      </c>
      <c r="AN535" s="120">
        <f t="shared" si="25"/>
        <v>-3.240190514</v>
      </c>
      <c r="AO535" s="120">
        <f t="shared" si="26"/>
        <v>-6.395549135</v>
      </c>
      <c r="AP535" s="120" t="str">
        <f t="array" ref="AP535">INDIRECT("Update"&amp;Projections!$AH$17&amp;"!S"&amp;ROW(B516))</f>
        <v/>
      </c>
      <c r="AQ535" s="120" t="str">
        <f t="array" ref="AQ535">INDIRECT("Update"&amp;Projections!$AH$17&amp;"!T"&amp;ROW(B516))</f>
        <v/>
      </c>
      <c r="AR535" s="100">
        <f t="shared" si="27"/>
        <v>-9.965301026</v>
      </c>
    </row>
    <row r="536">
      <c r="A536" t="str">
        <f t="shared" si="3"/>
        <v/>
      </c>
      <c r="B536" s="42">
        <f t="shared" si="4"/>
        <v>-3.155358621</v>
      </c>
      <c r="C536" s="43">
        <f t="shared" si="5"/>
        <v>-1.740686581</v>
      </c>
      <c r="D536" s="42">
        <f t="shared" si="6"/>
        <v>-2.380599106</v>
      </c>
      <c r="E536" s="42">
        <f t="shared" si="7"/>
        <v>-1.79320266</v>
      </c>
      <c r="F536" s="42">
        <f t="shared" si="8"/>
        <v>-3.240190514</v>
      </c>
      <c r="G536" s="42">
        <f t="shared" si="9"/>
        <v>-1.329092151</v>
      </c>
      <c r="H536" s="42">
        <f t="shared" si="10"/>
        <v>0</v>
      </c>
      <c r="I536" s="42" t="str">
        <f>UpdateHashtag!S534</f>
        <v/>
      </c>
      <c r="J536" s="47">
        <f t="shared" si="11"/>
        <v>0</v>
      </c>
      <c r="K536" s="48" t="str">
        <f>UpdateHashtag!T534</f>
        <v/>
      </c>
      <c r="L536" s="42">
        <f t="shared" si="12"/>
        <v>-1.734552372</v>
      </c>
      <c r="N536" s="100">
        <f t="shared" si="13"/>
        <v>401</v>
      </c>
      <c r="O536" s="94" t="str">
        <f t="array" ref="O536">INDIRECT("Update"&amp;Projections!$AH$17&amp;"!B"&amp;ROW(B517))</f>
        <v/>
      </c>
      <c r="P536" s="414" t="str">
        <f t="array" ref="P536">INDIRECT("Update"&amp;Projections!$AH$17&amp;"!C"&amp;ROW(B517))</f>
        <v/>
      </c>
      <c r="Q536" s="94" t="str">
        <f>UpdateHashtag!F566</f>
        <v/>
      </c>
      <c r="R536" s="105" t="str">
        <f t="array" ref="R536">INDIRECT("Update"&amp;Projections!$AH$17&amp;"!D"&amp;ROW(B517))</f>
        <v/>
      </c>
      <c r="S536" s="73">
        <f t="shared" si="14"/>
        <v>-9.965301026</v>
      </c>
      <c r="T536" s="73">
        <f>SUM(AE536:AM536)-IFERROR(IFS(Projections!$I$17,AN536,Projections!$J$17,AO536),"")</f>
        <v>-9.965301026</v>
      </c>
      <c r="U536" s="73">
        <f t="shared" si="15"/>
        <v>0</v>
      </c>
      <c r="V536" s="73" t="str">
        <f t="array" ref="V536">INDIRECT("Update"&amp;Projections!$AH$17&amp;"!M"&amp;ROW(B517))</f>
        <v/>
      </c>
      <c r="W536" s="73" t="str">
        <f t="array" ref="W536">INDIRECT("Update"&amp;Projections!$AH$17&amp;"!L"&amp;ROW(B517))</f>
        <v/>
      </c>
      <c r="X536" s="73" t="str">
        <f t="array" ref="X536">INDIRECT("Update"&amp;Projections!$AH$17&amp;"!N"&amp;ROW(B517))</f>
        <v/>
      </c>
      <c r="Y536" s="73" t="str">
        <f t="array" ref="Y536">INDIRECT("Update"&amp;Projections!$AH$17&amp;"!O"&amp;ROW(B517))</f>
        <v/>
      </c>
      <c r="Z536" s="73" t="str">
        <f t="array" ref="Z536">INDIRECT("Update"&amp;Projections!$AH$17&amp;"!P"&amp;ROW(B517))</f>
        <v/>
      </c>
      <c r="AA536" s="73" t="str">
        <f t="array" ref="AA536">INDIRECT("Update"&amp;Projections!$AH$17&amp;"!Q"&amp;ROW(B517))</f>
        <v/>
      </c>
      <c r="AB536" s="107" t="str">
        <f t="array" ref="AB536">INDIRECT("Update"&amp;Projections!$AH$17&amp;"!I"&amp;ROW(B517))</f>
        <v/>
      </c>
      <c r="AC536" s="107" t="str">
        <f t="array" ref="AC536">INDIRECT("Update"&amp;Projections!$AH$17&amp;"!K"&amp;ROW(B517))</f>
        <v/>
      </c>
      <c r="AD536" s="73" t="str">
        <f t="array" ref="AD536">INDIRECT("Update"&amp;Projections!$AH$17&amp;"!R"&amp;ROW(B517))</f>
        <v/>
      </c>
      <c r="AE536" s="73">
        <f t="shared" si="16"/>
        <v>-3.155358621</v>
      </c>
      <c r="AF536" s="73">
        <f t="shared" si="17"/>
        <v>-1.740686581</v>
      </c>
      <c r="AG536" s="73">
        <f t="shared" si="18"/>
        <v>-2.380599106</v>
      </c>
      <c r="AH536" s="73">
        <f t="shared" si="19"/>
        <v>-1.79320266</v>
      </c>
      <c r="AI536" s="73">
        <f t="shared" si="20"/>
        <v>-3.240190514</v>
      </c>
      <c r="AJ536" s="73">
        <f t="shared" si="21"/>
        <v>-1.329092151</v>
      </c>
      <c r="AK536" s="73">
        <f t="shared" si="22"/>
        <v>0</v>
      </c>
      <c r="AL536" s="73">
        <f t="shared" si="23"/>
        <v>0</v>
      </c>
      <c r="AM536" s="73">
        <f t="shared" si="24"/>
        <v>0.433638093</v>
      </c>
      <c r="AN536" s="120">
        <f t="shared" si="25"/>
        <v>-3.240190514</v>
      </c>
      <c r="AO536" s="120">
        <f t="shared" si="26"/>
        <v>-6.395549135</v>
      </c>
      <c r="AP536" s="120" t="str">
        <f t="array" ref="AP536">INDIRECT("Update"&amp;Projections!$AH$17&amp;"!S"&amp;ROW(B517))</f>
        <v/>
      </c>
      <c r="AQ536" s="120" t="str">
        <f t="array" ref="AQ536">INDIRECT("Update"&amp;Projections!$AH$17&amp;"!T"&amp;ROW(B517))</f>
        <v/>
      </c>
      <c r="AR536" s="100">
        <f t="shared" si="27"/>
        <v>-9.965301026</v>
      </c>
    </row>
    <row r="537">
      <c r="A537" t="str">
        <f t="shared" si="3"/>
        <v/>
      </c>
      <c r="B537" s="42">
        <f t="shared" si="4"/>
        <v>-3.155358621</v>
      </c>
      <c r="C537" s="43">
        <f t="shared" si="5"/>
        <v>-1.740686581</v>
      </c>
      <c r="D537" s="42">
        <f t="shared" si="6"/>
        <v>-2.380599106</v>
      </c>
      <c r="E537" s="42">
        <f t="shared" si="7"/>
        <v>-1.79320266</v>
      </c>
      <c r="F537" s="42">
        <f t="shared" si="8"/>
        <v>-3.240190514</v>
      </c>
      <c r="G537" s="42">
        <f t="shared" si="9"/>
        <v>-1.329092151</v>
      </c>
      <c r="H537" s="42">
        <f t="shared" si="10"/>
        <v>0</v>
      </c>
      <c r="I537" s="42" t="str">
        <f>UpdateHashtag!S535</f>
        <v/>
      </c>
      <c r="J537" s="47">
        <f t="shared" si="11"/>
        <v>0</v>
      </c>
      <c r="K537" s="48" t="str">
        <f>UpdateHashtag!T535</f>
        <v/>
      </c>
      <c r="L537" s="42">
        <f t="shared" si="12"/>
        <v>-1.734552372</v>
      </c>
      <c r="N537" s="100">
        <f t="shared" si="13"/>
        <v>401</v>
      </c>
      <c r="O537" s="94" t="str">
        <f t="array" ref="O537">INDIRECT("Update"&amp;Projections!$AH$17&amp;"!B"&amp;ROW(B518))</f>
        <v/>
      </c>
      <c r="P537" s="414" t="str">
        <f t="array" ref="P537">INDIRECT("Update"&amp;Projections!$AH$17&amp;"!C"&amp;ROW(B518))</f>
        <v/>
      </c>
      <c r="Q537" s="94" t="str">
        <f>UpdateHashtag!F567</f>
        <v/>
      </c>
      <c r="R537" s="105" t="str">
        <f t="array" ref="R537">INDIRECT("Update"&amp;Projections!$AH$17&amp;"!D"&amp;ROW(B518))</f>
        <v/>
      </c>
      <c r="S537" s="73">
        <f t="shared" si="14"/>
        <v>-9.965301026</v>
      </c>
      <c r="T537" s="73">
        <f>SUM(AE537:AM537)-IFERROR(IFS(Projections!$I$17,AN537,Projections!$J$17,AO537),"")</f>
        <v>-9.965301026</v>
      </c>
      <c r="U537" s="73">
        <f t="shared" si="15"/>
        <v>0</v>
      </c>
      <c r="V537" s="73" t="str">
        <f t="array" ref="V537">INDIRECT("Update"&amp;Projections!$AH$17&amp;"!M"&amp;ROW(B518))</f>
        <v/>
      </c>
      <c r="W537" s="73" t="str">
        <f t="array" ref="W537">INDIRECT("Update"&amp;Projections!$AH$17&amp;"!L"&amp;ROW(B518))</f>
        <v/>
      </c>
      <c r="X537" s="73" t="str">
        <f t="array" ref="X537">INDIRECT("Update"&amp;Projections!$AH$17&amp;"!N"&amp;ROW(B518))</f>
        <v/>
      </c>
      <c r="Y537" s="73" t="str">
        <f t="array" ref="Y537">INDIRECT("Update"&amp;Projections!$AH$17&amp;"!O"&amp;ROW(B518))</f>
        <v/>
      </c>
      <c r="Z537" s="73" t="str">
        <f t="array" ref="Z537">INDIRECT("Update"&amp;Projections!$AH$17&amp;"!P"&amp;ROW(B518))</f>
        <v/>
      </c>
      <c r="AA537" s="73" t="str">
        <f t="array" ref="AA537">INDIRECT("Update"&amp;Projections!$AH$17&amp;"!Q"&amp;ROW(B518))</f>
        <v/>
      </c>
      <c r="AB537" s="107" t="str">
        <f t="array" ref="AB537">INDIRECT("Update"&amp;Projections!$AH$17&amp;"!I"&amp;ROW(B518))</f>
        <v/>
      </c>
      <c r="AC537" s="107" t="str">
        <f t="array" ref="AC537">INDIRECT("Update"&amp;Projections!$AH$17&amp;"!K"&amp;ROW(B518))</f>
        <v/>
      </c>
      <c r="AD537" s="73" t="str">
        <f t="array" ref="AD537">INDIRECT("Update"&amp;Projections!$AH$17&amp;"!R"&amp;ROW(B518))</f>
        <v/>
      </c>
      <c r="AE537" s="73">
        <f t="shared" si="16"/>
        <v>-3.155358621</v>
      </c>
      <c r="AF537" s="73">
        <f t="shared" si="17"/>
        <v>-1.740686581</v>
      </c>
      <c r="AG537" s="73">
        <f t="shared" si="18"/>
        <v>-2.380599106</v>
      </c>
      <c r="AH537" s="73">
        <f t="shared" si="19"/>
        <v>-1.79320266</v>
      </c>
      <c r="AI537" s="73">
        <f t="shared" si="20"/>
        <v>-3.240190514</v>
      </c>
      <c r="AJ537" s="73">
        <f t="shared" si="21"/>
        <v>-1.329092151</v>
      </c>
      <c r="AK537" s="73">
        <f t="shared" si="22"/>
        <v>0</v>
      </c>
      <c r="AL537" s="73">
        <f t="shared" si="23"/>
        <v>0</v>
      </c>
      <c r="AM537" s="73">
        <f t="shared" si="24"/>
        <v>0.433638093</v>
      </c>
      <c r="AN537" s="120">
        <f t="shared" si="25"/>
        <v>-3.240190514</v>
      </c>
      <c r="AO537" s="120">
        <f t="shared" si="26"/>
        <v>-6.395549135</v>
      </c>
      <c r="AP537" s="120" t="str">
        <f t="array" ref="AP537">INDIRECT("Update"&amp;Projections!$AH$17&amp;"!S"&amp;ROW(B518))</f>
        <v/>
      </c>
      <c r="AQ537" s="120" t="str">
        <f t="array" ref="AQ537">INDIRECT("Update"&amp;Projections!$AH$17&amp;"!T"&amp;ROW(B518))</f>
        <v/>
      </c>
      <c r="AR537" s="100">
        <f t="shared" si="27"/>
        <v>-9.965301026</v>
      </c>
    </row>
    <row r="538">
      <c r="A538" t="str">
        <f t="shared" si="3"/>
        <v/>
      </c>
      <c r="B538" s="42">
        <f t="shared" si="4"/>
        <v>-3.155358621</v>
      </c>
      <c r="C538" s="43">
        <f t="shared" si="5"/>
        <v>-1.740686581</v>
      </c>
      <c r="D538" s="42">
        <f t="shared" si="6"/>
        <v>-2.380599106</v>
      </c>
      <c r="E538" s="42">
        <f t="shared" si="7"/>
        <v>-1.79320266</v>
      </c>
      <c r="F538" s="42">
        <f t="shared" si="8"/>
        <v>-3.240190514</v>
      </c>
      <c r="G538" s="42">
        <f t="shared" si="9"/>
        <v>-1.329092151</v>
      </c>
      <c r="H538" s="42">
        <f t="shared" si="10"/>
        <v>0</v>
      </c>
      <c r="I538" s="42" t="str">
        <f>UpdateHashtag!S536</f>
        <v/>
      </c>
      <c r="J538" s="47">
        <f t="shared" si="11"/>
        <v>0</v>
      </c>
      <c r="K538" s="48" t="str">
        <f>UpdateHashtag!T536</f>
        <v/>
      </c>
      <c r="L538" s="42">
        <f t="shared" si="12"/>
        <v>-1.734552372</v>
      </c>
      <c r="N538" s="100">
        <f t="shared" si="13"/>
        <v>401</v>
      </c>
      <c r="O538" s="94" t="str">
        <f t="array" ref="O538">INDIRECT("Update"&amp;Projections!$AH$17&amp;"!B"&amp;ROW(B519))</f>
        <v/>
      </c>
      <c r="P538" s="414" t="str">
        <f t="array" ref="P538">INDIRECT("Update"&amp;Projections!$AH$17&amp;"!C"&amp;ROW(B519))</f>
        <v/>
      </c>
      <c r="Q538" s="94" t="str">
        <f>UpdateHashtag!F568</f>
        <v/>
      </c>
      <c r="R538" s="105" t="str">
        <f t="array" ref="R538">INDIRECT("Update"&amp;Projections!$AH$17&amp;"!D"&amp;ROW(B519))</f>
        <v/>
      </c>
      <c r="S538" s="73">
        <f t="shared" si="14"/>
        <v>-9.965301026</v>
      </c>
      <c r="T538" s="73">
        <f>SUM(AE538:AM538)-IFERROR(IFS(Projections!$I$17,AN538,Projections!$J$17,AO538),"")</f>
        <v>-9.965301026</v>
      </c>
      <c r="U538" s="73">
        <f t="shared" si="15"/>
        <v>0</v>
      </c>
      <c r="V538" s="73" t="str">
        <f t="array" ref="V538">INDIRECT("Update"&amp;Projections!$AH$17&amp;"!M"&amp;ROW(B519))</f>
        <v/>
      </c>
      <c r="W538" s="73" t="str">
        <f t="array" ref="W538">INDIRECT("Update"&amp;Projections!$AH$17&amp;"!L"&amp;ROW(B519))</f>
        <v/>
      </c>
      <c r="X538" s="73" t="str">
        <f t="array" ref="X538">INDIRECT("Update"&amp;Projections!$AH$17&amp;"!N"&amp;ROW(B519))</f>
        <v/>
      </c>
      <c r="Y538" s="73" t="str">
        <f t="array" ref="Y538">INDIRECT("Update"&amp;Projections!$AH$17&amp;"!O"&amp;ROW(B519))</f>
        <v/>
      </c>
      <c r="Z538" s="73" t="str">
        <f t="array" ref="Z538">INDIRECT("Update"&amp;Projections!$AH$17&amp;"!P"&amp;ROW(B519))</f>
        <v/>
      </c>
      <c r="AA538" s="73" t="str">
        <f t="array" ref="AA538">INDIRECT("Update"&amp;Projections!$AH$17&amp;"!Q"&amp;ROW(B519))</f>
        <v/>
      </c>
      <c r="AB538" s="107" t="str">
        <f t="array" ref="AB538">INDIRECT("Update"&amp;Projections!$AH$17&amp;"!I"&amp;ROW(B519))</f>
        <v/>
      </c>
      <c r="AC538" s="107" t="str">
        <f t="array" ref="AC538">INDIRECT("Update"&amp;Projections!$AH$17&amp;"!K"&amp;ROW(B519))</f>
        <v/>
      </c>
      <c r="AD538" s="73" t="str">
        <f t="array" ref="AD538">INDIRECT("Update"&amp;Projections!$AH$17&amp;"!R"&amp;ROW(B519))</f>
        <v/>
      </c>
      <c r="AE538" s="73">
        <f t="shared" si="16"/>
        <v>-3.155358621</v>
      </c>
      <c r="AF538" s="73">
        <f t="shared" si="17"/>
        <v>-1.740686581</v>
      </c>
      <c r="AG538" s="73">
        <f t="shared" si="18"/>
        <v>-2.380599106</v>
      </c>
      <c r="AH538" s="73">
        <f t="shared" si="19"/>
        <v>-1.79320266</v>
      </c>
      <c r="AI538" s="73">
        <f t="shared" si="20"/>
        <v>-3.240190514</v>
      </c>
      <c r="AJ538" s="73">
        <f t="shared" si="21"/>
        <v>-1.329092151</v>
      </c>
      <c r="AK538" s="73">
        <f t="shared" si="22"/>
        <v>0</v>
      </c>
      <c r="AL538" s="73">
        <f t="shared" si="23"/>
        <v>0</v>
      </c>
      <c r="AM538" s="73">
        <f t="shared" si="24"/>
        <v>0.433638093</v>
      </c>
      <c r="AN538" s="120">
        <f t="shared" si="25"/>
        <v>-3.240190514</v>
      </c>
      <c r="AO538" s="120">
        <f t="shared" si="26"/>
        <v>-6.395549135</v>
      </c>
      <c r="AP538" s="120" t="str">
        <f t="array" ref="AP538">INDIRECT("Update"&amp;Projections!$AH$17&amp;"!S"&amp;ROW(B519))</f>
        <v/>
      </c>
      <c r="AQ538" s="120" t="str">
        <f t="array" ref="AQ538">INDIRECT("Update"&amp;Projections!$AH$17&amp;"!T"&amp;ROW(B519))</f>
        <v/>
      </c>
      <c r="AR538" s="100">
        <f t="shared" si="27"/>
        <v>-9.965301026</v>
      </c>
    </row>
    <row r="539">
      <c r="A539" t="str">
        <f t="shared" si="3"/>
        <v/>
      </c>
      <c r="B539" s="42">
        <f t="shared" si="4"/>
        <v>-3.155358621</v>
      </c>
      <c r="C539" s="43">
        <f t="shared" si="5"/>
        <v>-1.740686581</v>
      </c>
      <c r="D539" s="42">
        <f t="shared" si="6"/>
        <v>-2.380599106</v>
      </c>
      <c r="E539" s="42">
        <f t="shared" si="7"/>
        <v>-1.79320266</v>
      </c>
      <c r="F539" s="42">
        <f t="shared" si="8"/>
        <v>-3.240190514</v>
      </c>
      <c r="G539" s="42">
        <f t="shared" si="9"/>
        <v>-1.329092151</v>
      </c>
      <c r="H539" s="42">
        <f t="shared" si="10"/>
        <v>0</v>
      </c>
      <c r="I539" s="42" t="str">
        <f>UpdateHashtag!S537</f>
        <v/>
      </c>
      <c r="J539" s="47">
        <f t="shared" si="11"/>
        <v>0</v>
      </c>
      <c r="K539" s="48" t="str">
        <f>UpdateHashtag!T537</f>
        <v/>
      </c>
      <c r="L539" s="42">
        <f t="shared" si="12"/>
        <v>-1.734552372</v>
      </c>
      <c r="N539" s="100">
        <f t="shared" si="13"/>
        <v>401</v>
      </c>
      <c r="O539" s="94" t="str">
        <f t="array" ref="O539">INDIRECT("Update"&amp;Projections!$AH$17&amp;"!B"&amp;ROW(B520))</f>
        <v/>
      </c>
      <c r="P539" s="414" t="str">
        <f t="array" ref="P539">INDIRECT("Update"&amp;Projections!$AH$17&amp;"!C"&amp;ROW(B520))</f>
        <v/>
      </c>
      <c r="Q539" s="94" t="str">
        <f>UpdateHashtag!F569</f>
        <v/>
      </c>
      <c r="R539" s="105" t="str">
        <f t="array" ref="R539">INDIRECT("Update"&amp;Projections!$AH$17&amp;"!D"&amp;ROW(B520))</f>
        <v/>
      </c>
      <c r="S539" s="73">
        <f t="shared" si="14"/>
        <v>-9.965301026</v>
      </c>
      <c r="T539" s="73">
        <f>SUM(AE539:AM539)-IFERROR(IFS(Projections!$I$17,AN539,Projections!$J$17,AO539),"")</f>
        <v>-9.965301026</v>
      </c>
      <c r="U539" s="73">
        <f t="shared" si="15"/>
        <v>0</v>
      </c>
      <c r="V539" s="73" t="str">
        <f t="array" ref="V539">INDIRECT("Update"&amp;Projections!$AH$17&amp;"!M"&amp;ROW(B520))</f>
        <v/>
      </c>
      <c r="W539" s="73" t="str">
        <f t="array" ref="W539">INDIRECT("Update"&amp;Projections!$AH$17&amp;"!L"&amp;ROW(B520))</f>
        <v/>
      </c>
      <c r="X539" s="73" t="str">
        <f t="array" ref="X539">INDIRECT("Update"&amp;Projections!$AH$17&amp;"!N"&amp;ROW(B520))</f>
        <v/>
      </c>
      <c r="Y539" s="73" t="str">
        <f t="array" ref="Y539">INDIRECT("Update"&amp;Projections!$AH$17&amp;"!O"&amp;ROW(B520))</f>
        <v/>
      </c>
      <c r="Z539" s="73" t="str">
        <f t="array" ref="Z539">INDIRECT("Update"&amp;Projections!$AH$17&amp;"!P"&amp;ROW(B520))</f>
        <v/>
      </c>
      <c r="AA539" s="73" t="str">
        <f t="array" ref="AA539">INDIRECT("Update"&amp;Projections!$AH$17&amp;"!Q"&amp;ROW(B520))</f>
        <v/>
      </c>
      <c r="AB539" s="107" t="str">
        <f t="array" ref="AB539">INDIRECT("Update"&amp;Projections!$AH$17&amp;"!I"&amp;ROW(B520))</f>
        <v/>
      </c>
      <c r="AC539" s="107" t="str">
        <f t="array" ref="AC539">INDIRECT("Update"&amp;Projections!$AH$17&amp;"!K"&amp;ROW(B520))</f>
        <v/>
      </c>
      <c r="AD539" s="73" t="str">
        <f t="array" ref="AD539">INDIRECT("Update"&amp;Projections!$AH$17&amp;"!R"&amp;ROW(B520))</f>
        <v/>
      </c>
      <c r="AE539" s="73">
        <f t="shared" si="16"/>
        <v>-3.155358621</v>
      </c>
      <c r="AF539" s="73">
        <f t="shared" si="17"/>
        <v>-1.740686581</v>
      </c>
      <c r="AG539" s="73">
        <f t="shared" si="18"/>
        <v>-2.380599106</v>
      </c>
      <c r="AH539" s="73">
        <f t="shared" si="19"/>
        <v>-1.79320266</v>
      </c>
      <c r="AI539" s="73">
        <f t="shared" si="20"/>
        <v>-3.240190514</v>
      </c>
      <c r="AJ539" s="73">
        <f t="shared" si="21"/>
        <v>-1.329092151</v>
      </c>
      <c r="AK539" s="73">
        <f t="shared" si="22"/>
        <v>0</v>
      </c>
      <c r="AL539" s="73">
        <f t="shared" si="23"/>
        <v>0</v>
      </c>
      <c r="AM539" s="73">
        <f t="shared" si="24"/>
        <v>0.433638093</v>
      </c>
      <c r="AN539" s="120">
        <f t="shared" si="25"/>
        <v>-3.240190514</v>
      </c>
      <c r="AO539" s="120">
        <f t="shared" si="26"/>
        <v>-6.395549135</v>
      </c>
      <c r="AP539" s="120" t="str">
        <f t="array" ref="AP539">INDIRECT("Update"&amp;Projections!$AH$17&amp;"!S"&amp;ROW(B520))</f>
        <v/>
      </c>
      <c r="AQ539" s="120" t="str">
        <f t="array" ref="AQ539">INDIRECT("Update"&amp;Projections!$AH$17&amp;"!T"&amp;ROW(B520))</f>
        <v/>
      </c>
      <c r="AR539" s="100">
        <f t="shared" si="27"/>
        <v>-9.965301026</v>
      </c>
    </row>
    <row r="540">
      <c r="A540" t="str">
        <f t="shared" si="3"/>
        <v/>
      </c>
      <c r="B540" s="42">
        <f t="shared" si="4"/>
        <v>-3.155358621</v>
      </c>
      <c r="C540" s="43">
        <f t="shared" si="5"/>
        <v>-1.740686581</v>
      </c>
      <c r="D540" s="42">
        <f t="shared" si="6"/>
        <v>-2.380599106</v>
      </c>
      <c r="E540" s="42">
        <f t="shared" si="7"/>
        <v>-1.79320266</v>
      </c>
      <c r="F540" s="42">
        <f t="shared" si="8"/>
        <v>-3.240190514</v>
      </c>
      <c r="G540" s="42">
        <f t="shared" si="9"/>
        <v>-1.329092151</v>
      </c>
      <c r="H540" s="42">
        <f t="shared" si="10"/>
        <v>0</v>
      </c>
      <c r="I540" s="42" t="str">
        <f>UpdateHashtag!S538</f>
        <v/>
      </c>
      <c r="J540" s="47">
        <f t="shared" si="11"/>
        <v>0</v>
      </c>
      <c r="K540" s="48" t="str">
        <f>UpdateHashtag!T538</f>
        <v/>
      </c>
      <c r="L540" s="42">
        <f t="shared" si="12"/>
        <v>-1.734552372</v>
      </c>
      <c r="N540" s="100">
        <f t="shared" si="13"/>
        <v>401</v>
      </c>
      <c r="O540" s="94" t="str">
        <f t="array" ref="O540">INDIRECT("Update"&amp;Projections!$AH$17&amp;"!B"&amp;ROW(B521))</f>
        <v/>
      </c>
      <c r="P540" s="414" t="str">
        <f t="array" ref="P540">INDIRECT("Update"&amp;Projections!$AH$17&amp;"!C"&amp;ROW(B521))</f>
        <v/>
      </c>
      <c r="Q540" s="94" t="str">
        <f>UpdateHashtag!F570</f>
        <v/>
      </c>
      <c r="R540" s="105" t="str">
        <f t="array" ref="R540">INDIRECT("Update"&amp;Projections!$AH$17&amp;"!D"&amp;ROW(B521))</f>
        <v/>
      </c>
      <c r="S540" s="73">
        <f t="shared" si="14"/>
        <v>-9.965301026</v>
      </c>
      <c r="T540" s="73">
        <f>SUM(AE540:AM540)-IFERROR(IFS(Projections!$I$17,AN540,Projections!$J$17,AO540),"")</f>
        <v>-9.965301026</v>
      </c>
      <c r="U540" s="73">
        <f t="shared" si="15"/>
        <v>0</v>
      </c>
      <c r="V540" s="73" t="str">
        <f t="array" ref="V540">INDIRECT("Update"&amp;Projections!$AH$17&amp;"!M"&amp;ROW(B521))</f>
        <v/>
      </c>
      <c r="W540" s="73" t="str">
        <f t="array" ref="W540">INDIRECT("Update"&amp;Projections!$AH$17&amp;"!L"&amp;ROW(B521))</f>
        <v/>
      </c>
      <c r="X540" s="73" t="str">
        <f t="array" ref="X540">INDIRECT("Update"&amp;Projections!$AH$17&amp;"!N"&amp;ROW(B521))</f>
        <v/>
      </c>
      <c r="Y540" s="73" t="str">
        <f t="array" ref="Y540">INDIRECT("Update"&amp;Projections!$AH$17&amp;"!O"&amp;ROW(B521))</f>
        <v/>
      </c>
      <c r="Z540" s="73" t="str">
        <f t="array" ref="Z540">INDIRECT("Update"&amp;Projections!$AH$17&amp;"!P"&amp;ROW(B521))</f>
        <v/>
      </c>
      <c r="AA540" s="73" t="str">
        <f t="array" ref="AA540">INDIRECT("Update"&amp;Projections!$AH$17&amp;"!Q"&amp;ROW(B521))</f>
        <v/>
      </c>
      <c r="AB540" s="107" t="str">
        <f t="array" ref="AB540">INDIRECT("Update"&amp;Projections!$AH$17&amp;"!I"&amp;ROW(B521))</f>
        <v/>
      </c>
      <c r="AC540" s="107" t="str">
        <f t="array" ref="AC540">INDIRECT("Update"&amp;Projections!$AH$17&amp;"!K"&amp;ROW(B521))</f>
        <v/>
      </c>
      <c r="AD540" s="73" t="str">
        <f t="array" ref="AD540">INDIRECT("Update"&amp;Projections!$AH$17&amp;"!R"&amp;ROW(B521))</f>
        <v/>
      </c>
      <c r="AE540" s="73">
        <f t="shared" si="16"/>
        <v>-3.155358621</v>
      </c>
      <c r="AF540" s="73">
        <f t="shared" si="17"/>
        <v>-1.740686581</v>
      </c>
      <c r="AG540" s="73">
        <f t="shared" si="18"/>
        <v>-2.380599106</v>
      </c>
      <c r="AH540" s="73">
        <f t="shared" si="19"/>
        <v>-1.79320266</v>
      </c>
      <c r="AI540" s="73">
        <f t="shared" si="20"/>
        <v>-3.240190514</v>
      </c>
      <c r="AJ540" s="73">
        <f t="shared" si="21"/>
        <v>-1.329092151</v>
      </c>
      <c r="AK540" s="73">
        <f t="shared" si="22"/>
        <v>0</v>
      </c>
      <c r="AL540" s="73">
        <f t="shared" si="23"/>
        <v>0</v>
      </c>
      <c r="AM540" s="73">
        <f t="shared" si="24"/>
        <v>0.433638093</v>
      </c>
      <c r="AN540" s="120">
        <f t="shared" si="25"/>
        <v>-3.240190514</v>
      </c>
      <c r="AO540" s="120">
        <f t="shared" si="26"/>
        <v>-6.395549135</v>
      </c>
      <c r="AP540" s="120" t="str">
        <f t="array" ref="AP540">INDIRECT("Update"&amp;Projections!$AH$17&amp;"!S"&amp;ROW(B521))</f>
        <v/>
      </c>
      <c r="AQ540" s="120" t="str">
        <f t="array" ref="AQ540">INDIRECT("Update"&amp;Projections!$AH$17&amp;"!T"&amp;ROW(B521))</f>
        <v/>
      </c>
      <c r="AR540" s="100">
        <f t="shared" si="27"/>
        <v>-9.965301026</v>
      </c>
    </row>
    <row r="541">
      <c r="A541" t="str">
        <f t="shared" si="3"/>
        <v/>
      </c>
      <c r="B541" s="42">
        <f t="shared" si="4"/>
        <v>-3.155358621</v>
      </c>
      <c r="C541" s="43">
        <f t="shared" si="5"/>
        <v>-1.740686581</v>
      </c>
      <c r="D541" s="42">
        <f t="shared" si="6"/>
        <v>-2.380599106</v>
      </c>
      <c r="E541" s="42">
        <f t="shared" si="7"/>
        <v>-1.79320266</v>
      </c>
      <c r="F541" s="42">
        <f t="shared" si="8"/>
        <v>-3.240190514</v>
      </c>
      <c r="G541" s="42">
        <f t="shared" si="9"/>
        <v>-1.329092151</v>
      </c>
      <c r="H541" s="42">
        <f t="shared" si="10"/>
        <v>0</v>
      </c>
      <c r="I541" s="42" t="str">
        <f>UpdateHashtag!S539</f>
        <v/>
      </c>
      <c r="J541" s="47">
        <f t="shared" si="11"/>
        <v>0</v>
      </c>
      <c r="K541" s="48" t="str">
        <f>UpdateHashtag!T539</f>
        <v/>
      </c>
      <c r="L541" s="42">
        <f t="shared" si="12"/>
        <v>-1.734552372</v>
      </c>
      <c r="N541" s="100">
        <f t="shared" si="13"/>
        <v>401</v>
      </c>
      <c r="O541" s="94" t="str">
        <f t="array" ref="O541">INDIRECT("Update"&amp;Projections!$AH$17&amp;"!B"&amp;ROW(B522))</f>
        <v/>
      </c>
      <c r="P541" s="414" t="str">
        <f t="array" ref="P541">INDIRECT("Update"&amp;Projections!$AH$17&amp;"!C"&amp;ROW(B522))</f>
        <v/>
      </c>
      <c r="Q541" s="94" t="str">
        <f>UpdateHashtag!F571</f>
        <v/>
      </c>
      <c r="R541" s="105" t="str">
        <f t="array" ref="R541">INDIRECT("Update"&amp;Projections!$AH$17&amp;"!D"&amp;ROW(B522))</f>
        <v/>
      </c>
      <c r="S541" s="73">
        <f t="shared" si="14"/>
        <v>-9.965301026</v>
      </c>
      <c r="T541" s="73">
        <f>SUM(AE541:AM541)-IFERROR(IFS(Projections!$I$17,AN541,Projections!$J$17,AO541),"")</f>
        <v>-9.965301026</v>
      </c>
      <c r="U541" s="73">
        <f t="shared" si="15"/>
        <v>0</v>
      </c>
      <c r="V541" s="73" t="str">
        <f t="array" ref="V541">INDIRECT("Update"&amp;Projections!$AH$17&amp;"!M"&amp;ROW(B522))</f>
        <v/>
      </c>
      <c r="W541" s="73" t="str">
        <f t="array" ref="W541">INDIRECT("Update"&amp;Projections!$AH$17&amp;"!L"&amp;ROW(B522))</f>
        <v/>
      </c>
      <c r="X541" s="73" t="str">
        <f t="array" ref="X541">INDIRECT("Update"&amp;Projections!$AH$17&amp;"!N"&amp;ROW(B522))</f>
        <v/>
      </c>
      <c r="Y541" s="73" t="str">
        <f t="array" ref="Y541">INDIRECT("Update"&amp;Projections!$AH$17&amp;"!O"&amp;ROW(B522))</f>
        <v/>
      </c>
      <c r="Z541" s="73" t="str">
        <f t="array" ref="Z541">INDIRECT("Update"&amp;Projections!$AH$17&amp;"!P"&amp;ROW(B522))</f>
        <v/>
      </c>
      <c r="AA541" s="73" t="str">
        <f t="array" ref="AA541">INDIRECT("Update"&amp;Projections!$AH$17&amp;"!Q"&amp;ROW(B522))</f>
        <v/>
      </c>
      <c r="AB541" s="107" t="str">
        <f t="array" ref="AB541">INDIRECT("Update"&amp;Projections!$AH$17&amp;"!I"&amp;ROW(B522))</f>
        <v/>
      </c>
      <c r="AC541" s="107" t="str">
        <f t="array" ref="AC541">INDIRECT("Update"&amp;Projections!$AH$17&amp;"!K"&amp;ROW(B522))</f>
        <v/>
      </c>
      <c r="AD541" s="73" t="str">
        <f t="array" ref="AD541">INDIRECT("Update"&amp;Projections!$AH$17&amp;"!R"&amp;ROW(B522))</f>
        <v/>
      </c>
      <c r="AE541" s="73">
        <f t="shared" si="16"/>
        <v>-3.155358621</v>
      </c>
      <c r="AF541" s="73">
        <f t="shared" si="17"/>
        <v>-1.740686581</v>
      </c>
      <c r="AG541" s="73">
        <f t="shared" si="18"/>
        <v>-2.380599106</v>
      </c>
      <c r="AH541" s="73">
        <f t="shared" si="19"/>
        <v>-1.79320266</v>
      </c>
      <c r="AI541" s="73">
        <f t="shared" si="20"/>
        <v>-3.240190514</v>
      </c>
      <c r="AJ541" s="73">
        <f t="shared" si="21"/>
        <v>-1.329092151</v>
      </c>
      <c r="AK541" s="73">
        <f t="shared" si="22"/>
        <v>0</v>
      </c>
      <c r="AL541" s="73">
        <f t="shared" si="23"/>
        <v>0</v>
      </c>
      <c r="AM541" s="73">
        <f t="shared" si="24"/>
        <v>0.433638093</v>
      </c>
      <c r="AN541" s="120">
        <f t="shared" si="25"/>
        <v>-3.240190514</v>
      </c>
      <c r="AO541" s="120">
        <f t="shared" si="26"/>
        <v>-6.395549135</v>
      </c>
      <c r="AP541" s="120" t="str">
        <f t="array" ref="AP541">INDIRECT("Update"&amp;Projections!$AH$17&amp;"!S"&amp;ROW(B522))</f>
        <v/>
      </c>
      <c r="AQ541" s="120" t="str">
        <f t="array" ref="AQ541">INDIRECT("Update"&amp;Projections!$AH$17&amp;"!T"&amp;ROW(B522))</f>
        <v/>
      </c>
      <c r="AR541" s="100">
        <f t="shared" si="27"/>
        <v>-9.965301026</v>
      </c>
    </row>
    <row r="542">
      <c r="A542" t="str">
        <f t="shared" si="3"/>
        <v/>
      </c>
      <c r="B542" s="42">
        <f t="shared" si="4"/>
        <v>-3.155358621</v>
      </c>
      <c r="C542" s="43">
        <f t="shared" si="5"/>
        <v>-1.740686581</v>
      </c>
      <c r="D542" s="42">
        <f t="shared" si="6"/>
        <v>-2.380599106</v>
      </c>
      <c r="E542" s="42">
        <f t="shared" si="7"/>
        <v>-1.79320266</v>
      </c>
      <c r="F542" s="42">
        <f t="shared" si="8"/>
        <v>-3.240190514</v>
      </c>
      <c r="G542" s="42">
        <f t="shared" si="9"/>
        <v>-1.329092151</v>
      </c>
      <c r="H542" s="42">
        <f t="shared" si="10"/>
        <v>0</v>
      </c>
      <c r="I542" s="42" t="str">
        <f>UpdateHashtag!S540</f>
        <v/>
      </c>
      <c r="J542" s="47">
        <f t="shared" si="11"/>
        <v>0</v>
      </c>
      <c r="K542" s="48" t="str">
        <f>UpdateHashtag!T540</f>
        <v/>
      </c>
      <c r="L542" s="42">
        <f t="shared" si="12"/>
        <v>-1.734552372</v>
      </c>
      <c r="N542" s="100">
        <f t="shared" si="13"/>
        <v>401</v>
      </c>
      <c r="O542" s="94" t="str">
        <f t="array" ref="O542">INDIRECT("Update"&amp;Projections!$AH$17&amp;"!B"&amp;ROW(B523))</f>
        <v/>
      </c>
      <c r="P542" s="414" t="str">
        <f t="array" ref="P542">INDIRECT("Update"&amp;Projections!$AH$17&amp;"!C"&amp;ROW(B523))</f>
        <v/>
      </c>
      <c r="Q542" s="94" t="str">
        <f>UpdateHashtag!F572</f>
        <v/>
      </c>
      <c r="R542" s="105" t="str">
        <f t="array" ref="R542">INDIRECT("Update"&amp;Projections!$AH$17&amp;"!D"&amp;ROW(B523))</f>
        <v/>
      </c>
      <c r="S542" s="73">
        <f t="shared" si="14"/>
        <v>-9.965301026</v>
      </c>
      <c r="T542" s="73">
        <f>SUM(AE542:AM542)-IFERROR(IFS(Projections!$I$17,AN542,Projections!$J$17,AO542),"")</f>
        <v>-9.965301026</v>
      </c>
      <c r="U542" s="73">
        <f t="shared" si="15"/>
        <v>0</v>
      </c>
      <c r="V542" s="73" t="str">
        <f t="array" ref="V542">INDIRECT("Update"&amp;Projections!$AH$17&amp;"!M"&amp;ROW(B523))</f>
        <v/>
      </c>
      <c r="W542" s="73" t="str">
        <f t="array" ref="W542">INDIRECT("Update"&amp;Projections!$AH$17&amp;"!L"&amp;ROW(B523))</f>
        <v/>
      </c>
      <c r="X542" s="73" t="str">
        <f t="array" ref="X542">INDIRECT("Update"&amp;Projections!$AH$17&amp;"!N"&amp;ROW(B523))</f>
        <v/>
      </c>
      <c r="Y542" s="73" t="str">
        <f t="array" ref="Y542">INDIRECT("Update"&amp;Projections!$AH$17&amp;"!O"&amp;ROW(B523))</f>
        <v/>
      </c>
      <c r="Z542" s="73" t="str">
        <f t="array" ref="Z542">INDIRECT("Update"&amp;Projections!$AH$17&amp;"!P"&amp;ROW(B523))</f>
        <v/>
      </c>
      <c r="AA542" s="73" t="str">
        <f t="array" ref="AA542">INDIRECT("Update"&amp;Projections!$AH$17&amp;"!Q"&amp;ROW(B523))</f>
        <v/>
      </c>
      <c r="AB542" s="107" t="str">
        <f t="array" ref="AB542">INDIRECT("Update"&amp;Projections!$AH$17&amp;"!I"&amp;ROW(B523))</f>
        <v/>
      </c>
      <c r="AC542" s="107" t="str">
        <f t="array" ref="AC542">INDIRECT("Update"&amp;Projections!$AH$17&amp;"!K"&amp;ROW(B523))</f>
        <v/>
      </c>
      <c r="AD542" s="73" t="str">
        <f t="array" ref="AD542">INDIRECT("Update"&amp;Projections!$AH$17&amp;"!R"&amp;ROW(B523))</f>
        <v/>
      </c>
      <c r="AE542" s="73">
        <f t="shared" si="16"/>
        <v>-3.155358621</v>
      </c>
      <c r="AF542" s="73">
        <f t="shared" si="17"/>
        <v>-1.740686581</v>
      </c>
      <c r="AG542" s="73">
        <f t="shared" si="18"/>
        <v>-2.380599106</v>
      </c>
      <c r="AH542" s="73">
        <f t="shared" si="19"/>
        <v>-1.79320266</v>
      </c>
      <c r="AI542" s="73">
        <f t="shared" si="20"/>
        <v>-3.240190514</v>
      </c>
      <c r="AJ542" s="73">
        <f t="shared" si="21"/>
        <v>-1.329092151</v>
      </c>
      <c r="AK542" s="73">
        <f t="shared" si="22"/>
        <v>0</v>
      </c>
      <c r="AL542" s="73">
        <f t="shared" si="23"/>
        <v>0</v>
      </c>
      <c r="AM542" s="73">
        <f t="shared" si="24"/>
        <v>0.433638093</v>
      </c>
      <c r="AN542" s="120">
        <f t="shared" si="25"/>
        <v>-3.240190514</v>
      </c>
      <c r="AO542" s="120">
        <f t="shared" si="26"/>
        <v>-6.395549135</v>
      </c>
      <c r="AP542" s="120" t="str">
        <f t="array" ref="AP542">INDIRECT("Update"&amp;Projections!$AH$17&amp;"!S"&amp;ROW(B523))</f>
        <v/>
      </c>
      <c r="AQ542" s="120" t="str">
        <f t="array" ref="AQ542">INDIRECT("Update"&amp;Projections!$AH$17&amp;"!T"&amp;ROW(B523))</f>
        <v/>
      </c>
      <c r="AR542" s="100">
        <f t="shared" si="27"/>
        <v>-9.965301026</v>
      </c>
    </row>
    <row r="543">
      <c r="A543" t="str">
        <f t="shared" si="3"/>
        <v/>
      </c>
      <c r="B543" s="42">
        <f t="shared" si="4"/>
        <v>-3.155358621</v>
      </c>
      <c r="C543" s="43">
        <f t="shared" si="5"/>
        <v>-1.740686581</v>
      </c>
      <c r="D543" s="42">
        <f t="shared" si="6"/>
        <v>-2.380599106</v>
      </c>
      <c r="E543" s="42">
        <f t="shared" si="7"/>
        <v>-1.79320266</v>
      </c>
      <c r="F543" s="42">
        <f t="shared" si="8"/>
        <v>-3.240190514</v>
      </c>
      <c r="G543" s="42">
        <f t="shared" si="9"/>
        <v>-1.329092151</v>
      </c>
      <c r="H543" s="42">
        <f t="shared" si="10"/>
        <v>0</v>
      </c>
      <c r="I543" s="42" t="str">
        <f>UpdateHashtag!S541</f>
        <v/>
      </c>
      <c r="J543" s="47">
        <f t="shared" si="11"/>
        <v>0</v>
      </c>
      <c r="K543" s="48" t="str">
        <f>UpdateHashtag!T541</f>
        <v/>
      </c>
      <c r="L543" s="42">
        <f t="shared" si="12"/>
        <v>-1.734552372</v>
      </c>
      <c r="N543" s="100">
        <f t="shared" si="13"/>
        <v>401</v>
      </c>
      <c r="O543" s="94" t="str">
        <f t="array" ref="O543">INDIRECT("Update"&amp;Projections!$AH$17&amp;"!B"&amp;ROW(B524))</f>
        <v/>
      </c>
      <c r="P543" s="414" t="str">
        <f t="array" ref="P543">INDIRECT("Update"&amp;Projections!$AH$17&amp;"!C"&amp;ROW(B524))</f>
        <v/>
      </c>
      <c r="Q543" s="94" t="str">
        <f>UpdateHashtag!F573</f>
        <v/>
      </c>
      <c r="R543" s="105" t="str">
        <f t="array" ref="R543">INDIRECT("Update"&amp;Projections!$AH$17&amp;"!D"&amp;ROW(B524))</f>
        <v/>
      </c>
      <c r="S543" s="73">
        <f t="shared" si="14"/>
        <v>-9.965301026</v>
      </c>
      <c r="T543" s="73">
        <f>SUM(AE543:AM543)-IFERROR(IFS(Projections!$I$17,AN543,Projections!$J$17,AO543),"")</f>
        <v>-9.965301026</v>
      </c>
      <c r="U543" s="73">
        <f t="shared" si="15"/>
        <v>0</v>
      </c>
      <c r="V543" s="73" t="str">
        <f t="array" ref="V543">INDIRECT("Update"&amp;Projections!$AH$17&amp;"!M"&amp;ROW(B524))</f>
        <v/>
      </c>
      <c r="W543" s="73" t="str">
        <f t="array" ref="W543">INDIRECT("Update"&amp;Projections!$AH$17&amp;"!L"&amp;ROW(B524))</f>
        <v/>
      </c>
      <c r="X543" s="73" t="str">
        <f t="array" ref="X543">INDIRECT("Update"&amp;Projections!$AH$17&amp;"!N"&amp;ROW(B524))</f>
        <v/>
      </c>
      <c r="Y543" s="73" t="str">
        <f t="array" ref="Y543">INDIRECT("Update"&amp;Projections!$AH$17&amp;"!O"&amp;ROW(B524))</f>
        <v/>
      </c>
      <c r="Z543" s="73" t="str">
        <f t="array" ref="Z543">INDIRECT("Update"&amp;Projections!$AH$17&amp;"!P"&amp;ROW(B524))</f>
        <v/>
      </c>
      <c r="AA543" s="73" t="str">
        <f t="array" ref="AA543">INDIRECT("Update"&amp;Projections!$AH$17&amp;"!Q"&amp;ROW(B524))</f>
        <v/>
      </c>
      <c r="AB543" s="107" t="str">
        <f t="array" ref="AB543">INDIRECT("Update"&amp;Projections!$AH$17&amp;"!I"&amp;ROW(B524))</f>
        <v/>
      </c>
      <c r="AC543" s="107" t="str">
        <f t="array" ref="AC543">INDIRECT("Update"&amp;Projections!$AH$17&amp;"!K"&amp;ROW(B524))</f>
        <v/>
      </c>
      <c r="AD543" s="73" t="str">
        <f t="array" ref="AD543">INDIRECT("Update"&amp;Projections!$AH$17&amp;"!R"&amp;ROW(B524))</f>
        <v/>
      </c>
      <c r="AE543" s="73">
        <f t="shared" si="16"/>
        <v>-3.155358621</v>
      </c>
      <c r="AF543" s="73">
        <f t="shared" si="17"/>
        <v>-1.740686581</v>
      </c>
      <c r="AG543" s="73">
        <f t="shared" si="18"/>
        <v>-2.380599106</v>
      </c>
      <c r="AH543" s="73">
        <f t="shared" si="19"/>
        <v>-1.79320266</v>
      </c>
      <c r="AI543" s="73">
        <f t="shared" si="20"/>
        <v>-3.240190514</v>
      </c>
      <c r="AJ543" s="73">
        <f t="shared" si="21"/>
        <v>-1.329092151</v>
      </c>
      <c r="AK543" s="73">
        <f t="shared" si="22"/>
        <v>0</v>
      </c>
      <c r="AL543" s="73">
        <f t="shared" si="23"/>
        <v>0</v>
      </c>
      <c r="AM543" s="73">
        <f t="shared" si="24"/>
        <v>0.433638093</v>
      </c>
      <c r="AN543" s="120">
        <f t="shared" si="25"/>
        <v>-3.240190514</v>
      </c>
      <c r="AO543" s="120">
        <f t="shared" si="26"/>
        <v>-6.395549135</v>
      </c>
      <c r="AP543" s="120" t="str">
        <f t="array" ref="AP543">INDIRECT("Update"&amp;Projections!$AH$17&amp;"!S"&amp;ROW(B524))</f>
        <v/>
      </c>
      <c r="AQ543" s="120" t="str">
        <f t="array" ref="AQ543">INDIRECT("Update"&amp;Projections!$AH$17&amp;"!T"&amp;ROW(B524))</f>
        <v/>
      </c>
      <c r="AR543" s="100">
        <f t="shared" si="27"/>
        <v>-9.965301026</v>
      </c>
    </row>
    <row r="544">
      <c r="A544" t="str">
        <f t="shared" si="3"/>
        <v/>
      </c>
      <c r="B544" s="42">
        <f t="shared" si="4"/>
        <v>-3.155358621</v>
      </c>
      <c r="C544" s="43">
        <f t="shared" si="5"/>
        <v>-1.740686581</v>
      </c>
      <c r="D544" s="42">
        <f t="shared" si="6"/>
        <v>-2.380599106</v>
      </c>
      <c r="E544" s="42">
        <f t="shared" si="7"/>
        <v>-1.79320266</v>
      </c>
      <c r="F544" s="42">
        <f t="shared" si="8"/>
        <v>-3.240190514</v>
      </c>
      <c r="G544" s="42">
        <f t="shared" si="9"/>
        <v>-1.329092151</v>
      </c>
      <c r="H544" s="42">
        <f t="shared" si="10"/>
        <v>0</v>
      </c>
      <c r="I544" s="42" t="str">
        <f>UpdateHashtag!S542</f>
        <v/>
      </c>
      <c r="J544" s="47">
        <f t="shared" si="11"/>
        <v>0</v>
      </c>
      <c r="K544" s="48" t="str">
        <f>UpdateHashtag!T542</f>
        <v/>
      </c>
      <c r="L544" s="42">
        <f t="shared" si="12"/>
        <v>-1.734552372</v>
      </c>
      <c r="N544" s="100">
        <f t="shared" si="13"/>
        <v>401</v>
      </c>
      <c r="O544" s="94" t="str">
        <f t="array" ref="O544">INDIRECT("Update"&amp;Projections!$AH$17&amp;"!B"&amp;ROW(B525))</f>
        <v/>
      </c>
      <c r="P544" s="414" t="str">
        <f t="array" ref="P544">INDIRECT("Update"&amp;Projections!$AH$17&amp;"!C"&amp;ROW(B525))</f>
        <v/>
      </c>
      <c r="Q544" s="94" t="str">
        <f>UpdateHashtag!F574</f>
        <v/>
      </c>
      <c r="R544" s="105" t="str">
        <f t="array" ref="R544">INDIRECT("Update"&amp;Projections!$AH$17&amp;"!D"&amp;ROW(B525))</f>
        <v/>
      </c>
      <c r="S544" s="73">
        <f t="shared" si="14"/>
        <v>-9.965301026</v>
      </c>
      <c r="T544" s="73">
        <f>SUM(AE544:AM544)-IFERROR(IFS(Projections!$I$17,AN544,Projections!$J$17,AO544),"")</f>
        <v>-9.965301026</v>
      </c>
      <c r="U544" s="73">
        <f t="shared" si="15"/>
        <v>0</v>
      </c>
      <c r="V544" s="73" t="str">
        <f t="array" ref="V544">INDIRECT("Update"&amp;Projections!$AH$17&amp;"!M"&amp;ROW(B525))</f>
        <v/>
      </c>
      <c r="W544" s="73" t="str">
        <f t="array" ref="W544">INDIRECT("Update"&amp;Projections!$AH$17&amp;"!L"&amp;ROW(B525))</f>
        <v/>
      </c>
      <c r="X544" s="73" t="str">
        <f t="array" ref="X544">INDIRECT("Update"&amp;Projections!$AH$17&amp;"!N"&amp;ROW(B525))</f>
        <v/>
      </c>
      <c r="Y544" s="73" t="str">
        <f t="array" ref="Y544">INDIRECT("Update"&amp;Projections!$AH$17&amp;"!O"&amp;ROW(B525))</f>
        <v/>
      </c>
      <c r="Z544" s="73" t="str">
        <f t="array" ref="Z544">INDIRECT("Update"&amp;Projections!$AH$17&amp;"!P"&amp;ROW(B525))</f>
        <v/>
      </c>
      <c r="AA544" s="73" t="str">
        <f t="array" ref="AA544">INDIRECT("Update"&amp;Projections!$AH$17&amp;"!Q"&amp;ROW(B525))</f>
        <v/>
      </c>
      <c r="AB544" s="107" t="str">
        <f t="array" ref="AB544">INDIRECT("Update"&amp;Projections!$AH$17&amp;"!I"&amp;ROW(B525))</f>
        <v/>
      </c>
      <c r="AC544" s="107" t="str">
        <f t="array" ref="AC544">INDIRECT("Update"&amp;Projections!$AH$17&amp;"!K"&amp;ROW(B525))</f>
        <v/>
      </c>
      <c r="AD544" s="73" t="str">
        <f t="array" ref="AD544">INDIRECT("Update"&amp;Projections!$AH$17&amp;"!R"&amp;ROW(B525))</f>
        <v/>
      </c>
      <c r="AE544" s="73">
        <f t="shared" si="16"/>
        <v>-3.155358621</v>
      </c>
      <c r="AF544" s="73">
        <f t="shared" si="17"/>
        <v>-1.740686581</v>
      </c>
      <c r="AG544" s="73">
        <f t="shared" si="18"/>
        <v>-2.380599106</v>
      </c>
      <c r="AH544" s="73">
        <f t="shared" si="19"/>
        <v>-1.79320266</v>
      </c>
      <c r="AI544" s="73">
        <f t="shared" si="20"/>
        <v>-3.240190514</v>
      </c>
      <c r="AJ544" s="73">
        <f t="shared" si="21"/>
        <v>-1.329092151</v>
      </c>
      <c r="AK544" s="73">
        <f t="shared" si="22"/>
        <v>0</v>
      </c>
      <c r="AL544" s="73">
        <f t="shared" si="23"/>
        <v>0</v>
      </c>
      <c r="AM544" s="73">
        <f t="shared" si="24"/>
        <v>0.433638093</v>
      </c>
      <c r="AN544" s="120">
        <f t="shared" si="25"/>
        <v>-3.240190514</v>
      </c>
      <c r="AO544" s="120">
        <f t="shared" si="26"/>
        <v>-6.395549135</v>
      </c>
      <c r="AP544" s="120" t="str">
        <f t="array" ref="AP544">INDIRECT("Update"&amp;Projections!$AH$17&amp;"!S"&amp;ROW(B525))</f>
        <v/>
      </c>
      <c r="AQ544" s="120" t="str">
        <f t="array" ref="AQ544">INDIRECT("Update"&amp;Projections!$AH$17&amp;"!T"&amp;ROW(B525))</f>
        <v/>
      </c>
      <c r="AR544" s="100">
        <f t="shared" si="27"/>
        <v>-9.965301026</v>
      </c>
    </row>
    <row r="545">
      <c r="A545" t="str">
        <f t="shared" si="3"/>
        <v/>
      </c>
      <c r="B545" s="42">
        <f t="shared" si="4"/>
        <v>-3.155358621</v>
      </c>
      <c r="C545" s="43">
        <f t="shared" si="5"/>
        <v>-1.740686581</v>
      </c>
      <c r="D545" s="42">
        <f t="shared" si="6"/>
        <v>-2.380599106</v>
      </c>
      <c r="E545" s="42">
        <f t="shared" si="7"/>
        <v>-1.79320266</v>
      </c>
      <c r="F545" s="42">
        <f t="shared" si="8"/>
        <v>-3.240190514</v>
      </c>
      <c r="G545" s="42">
        <f t="shared" si="9"/>
        <v>-1.329092151</v>
      </c>
      <c r="H545" s="42">
        <f t="shared" si="10"/>
        <v>0</v>
      </c>
      <c r="I545" s="42" t="str">
        <f>UpdateHashtag!S543</f>
        <v/>
      </c>
      <c r="J545" s="47">
        <f t="shared" si="11"/>
        <v>0</v>
      </c>
      <c r="K545" s="48" t="str">
        <f>UpdateHashtag!T543</f>
        <v/>
      </c>
      <c r="L545" s="42">
        <f t="shared" si="12"/>
        <v>-1.734552372</v>
      </c>
      <c r="N545" s="100">
        <f t="shared" si="13"/>
        <v>401</v>
      </c>
      <c r="O545" s="94" t="str">
        <f t="array" ref="O545">INDIRECT("Update"&amp;Projections!$AH$17&amp;"!B"&amp;ROW(B526))</f>
        <v/>
      </c>
      <c r="P545" s="414" t="str">
        <f t="array" ref="P545">INDIRECT("Update"&amp;Projections!$AH$17&amp;"!C"&amp;ROW(B526))</f>
        <v/>
      </c>
      <c r="Q545" s="94" t="str">
        <f>UpdateHashtag!F575</f>
        <v/>
      </c>
      <c r="R545" s="105" t="str">
        <f t="array" ref="R545">INDIRECT("Update"&amp;Projections!$AH$17&amp;"!D"&amp;ROW(B526))</f>
        <v/>
      </c>
      <c r="S545" s="73">
        <f t="shared" si="14"/>
        <v>-9.965301026</v>
      </c>
      <c r="T545" s="73">
        <f>SUM(AE545:AM545)-IFERROR(IFS(Projections!$I$17,AN545,Projections!$J$17,AO545),"")</f>
        <v>-9.965301026</v>
      </c>
      <c r="U545" s="73">
        <f t="shared" si="15"/>
        <v>0</v>
      </c>
      <c r="V545" s="73" t="str">
        <f t="array" ref="V545">INDIRECT("Update"&amp;Projections!$AH$17&amp;"!M"&amp;ROW(B526))</f>
        <v/>
      </c>
      <c r="W545" s="73" t="str">
        <f t="array" ref="W545">INDIRECT("Update"&amp;Projections!$AH$17&amp;"!L"&amp;ROW(B526))</f>
        <v/>
      </c>
      <c r="X545" s="73" t="str">
        <f t="array" ref="X545">INDIRECT("Update"&amp;Projections!$AH$17&amp;"!N"&amp;ROW(B526))</f>
        <v/>
      </c>
      <c r="Y545" s="73" t="str">
        <f t="array" ref="Y545">INDIRECT("Update"&amp;Projections!$AH$17&amp;"!O"&amp;ROW(B526))</f>
        <v/>
      </c>
      <c r="Z545" s="73" t="str">
        <f t="array" ref="Z545">INDIRECT("Update"&amp;Projections!$AH$17&amp;"!P"&amp;ROW(B526))</f>
        <v/>
      </c>
      <c r="AA545" s="73" t="str">
        <f t="array" ref="AA545">INDIRECT("Update"&amp;Projections!$AH$17&amp;"!Q"&amp;ROW(B526))</f>
        <v/>
      </c>
      <c r="AB545" s="107" t="str">
        <f t="array" ref="AB545">INDIRECT("Update"&amp;Projections!$AH$17&amp;"!I"&amp;ROW(B526))</f>
        <v/>
      </c>
      <c r="AC545" s="107" t="str">
        <f t="array" ref="AC545">INDIRECT("Update"&amp;Projections!$AH$17&amp;"!K"&amp;ROW(B526))</f>
        <v/>
      </c>
      <c r="AD545" s="73" t="str">
        <f t="array" ref="AD545">INDIRECT("Update"&amp;Projections!$AH$17&amp;"!R"&amp;ROW(B526))</f>
        <v/>
      </c>
      <c r="AE545" s="73">
        <f t="shared" si="16"/>
        <v>-3.155358621</v>
      </c>
      <c r="AF545" s="73">
        <f t="shared" si="17"/>
        <v>-1.740686581</v>
      </c>
      <c r="AG545" s="73">
        <f t="shared" si="18"/>
        <v>-2.380599106</v>
      </c>
      <c r="AH545" s="73">
        <f t="shared" si="19"/>
        <v>-1.79320266</v>
      </c>
      <c r="AI545" s="73">
        <f t="shared" si="20"/>
        <v>-3.240190514</v>
      </c>
      <c r="AJ545" s="73">
        <f t="shared" si="21"/>
        <v>-1.329092151</v>
      </c>
      <c r="AK545" s="73">
        <f t="shared" si="22"/>
        <v>0</v>
      </c>
      <c r="AL545" s="73">
        <f t="shared" si="23"/>
        <v>0</v>
      </c>
      <c r="AM545" s="73">
        <f t="shared" si="24"/>
        <v>0.433638093</v>
      </c>
      <c r="AN545" s="120">
        <f t="shared" si="25"/>
        <v>-3.240190514</v>
      </c>
      <c r="AO545" s="120">
        <f t="shared" si="26"/>
        <v>-6.395549135</v>
      </c>
      <c r="AP545" s="120" t="str">
        <f t="array" ref="AP545">INDIRECT("Update"&amp;Projections!$AH$17&amp;"!S"&amp;ROW(B526))</f>
        <v/>
      </c>
      <c r="AQ545" s="120" t="str">
        <f t="array" ref="AQ545">INDIRECT("Update"&amp;Projections!$AH$17&amp;"!T"&amp;ROW(B526))</f>
        <v/>
      </c>
      <c r="AR545" s="100">
        <f t="shared" si="27"/>
        <v>-9.965301026</v>
      </c>
    </row>
    <row r="546">
      <c r="A546" t="str">
        <f t="shared" si="3"/>
        <v/>
      </c>
      <c r="B546" s="42">
        <f t="shared" si="4"/>
        <v>-3.155358621</v>
      </c>
      <c r="C546" s="43">
        <f t="shared" si="5"/>
        <v>-1.740686581</v>
      </c>
      <c r="D546" s="42">
        <f t="shared" si="6"/>
        <v>-2.380599106</v>
      </c>
      <c r="E546" s="42">
        <f t="shared" si="7"/>
        <v>-1.79320266</v>
      </c>
      <c r="F546" s="42">
        <f t="shared" si="8"/>
        <v>-3.240190514</v>
      </c>
      <c r="G546" s="42">
        <f t="shared" si="9"/>
        <v>-1.329092151</v>
      </c>
      <c r="H546" s="42">
        <f t="shared" si="10"/>
        <v>0</v>
      </c>
      <c r="I546" s="42" t="str">
        <f>UpdateHashtag!S544</f>
        <v/>
      </c>
      <c r="J546" s="47">
        <f t="shared" si="11"/>
        <v>0</v>
      </c>
      <c r="K546" s="48" t="str">
        <f>UpdateHashtag!T544</f>
        <v/>
      </c>
      <c r="L546" s="42">
        <f t="shared" si="12"/>
        <v>-1.734552372</v>
      </c>
      <c r="N546" s="100">
        <f t="shared" si="13"/>
        <v>401</v>
      </c>
      <c r="O546" s="94" t="str">
        <f t="array" ref="O546">INDIRECT("Update"&amp;Projections!$AH$17&amp;"!B"&amp;ROW(B527))</f>
        <v/>
      </c>
      <c r="P546" s="414" t="str">
        <f t="array" ref="P546">INDIRECT("Update"&amp;Projections!$AH$17&amp;"!C"&amp;ROW(B527))</f>
        <v/>
      </c>
      <c r="Q546" s="94" t="str">
        <f>UpdateHashtag!F576</f>
        <v/>
      </c>
      <c r="R546" s="105" t="str">
        <f t="array" ref="R546">INDIRECT("Update"&amp;Projections!$AH$17&amp;"!D"&amp;ROW(B527))</f>
        <v/>
      </c>
      <c r="S546" s="73">
        <f t="shared" si="14"/>
        <v>-9.965301026</v>
      </c>
      <c r="T546" s="73">
        <f>SUM(AE546:AM546)-IFERROR(IFS(Projections!$I$17,AN546,Projections!$J$17,AO546),"")</f>
        <v>-9.965301026</v>
      </c>
      <c r="U546" s="73">
        <f t="shared" si="15"/>
        <v>0</v>
      </c>
      <c r="V546" s="73" t="str">
        <f t="array" ref="V546">INDIRECT("Update"&amp;Projections!$AH$17&amp;"!M"&amp;ROW(B527))</f>
        <v/>
      </c>
      <c r="W546" s="73" t="str">
        <f t="array" ref="W546">INDIRECT("Update"&amp;Projections!$AH$17&amp;"!L"&amp;ROW(B527))</f>
        <v/>
      </c>
      <c r="X546" s="73" t="str">
        <f t="array" ref="X546">INDIRECT("Update"&amp;Projections!$AH$17&amp;"!N"&amp;ROW(B527))</f>
        <v/>
      </c>
      <c r="Y546" s="73" t="str">
        <f t="array" ref="Y546">INDIRECT("Update"&amp;Projections!$AH$17&amp;"!O"&amp;ROW(B527))</f>
        <v/>
      </c>
      <c r="Z546" s="73" t="str">
        <f t="array" ref="Z546">INDIRECT("Update"&amp;Projections!$AH$17&amp;"!P"&amp;ROW(B527))</f>
        <v/>
      </c>
      <c r="AA546" s="73" t="str">
        <f t="array" ref="AA546">INDIRECT("Update"&amp;Projections!$AH$17&amp;"!Q"&amp;ROW(B527))</f>
        <v/>
      </c>
      <c r="AB546" s="107" t="str">
        <f t="array" ref="AB546">INDIRECT("Update"&amp;Projections!$AH$17&amp;"!I"&amp;ROW(B527))</f>
        <v/>
      </c>
      <c r="AC546" s="107" t="str">
        <f t="array" ref="AC546">INDIRECT("Update"&amp;Projections!$AH$17&amp;"!K"&amp;ROW(B527))</f>
        <v/>
      </c>
      <c r="AD546" s="73" t="str">
        <f t="array" ref="AD546">INDIRECT("Update"&amp;Projections!$AH$17&amp;"!R"&amp;ROW(B527))</f>
        <v/>
      </c>
      <c r="AE546" s="73">
        <f t="shared" si="16"/>
        <v>-3.155358621</v>
      </c>
      <c r="AF546" s="73">
        <f t="shared" si="17"/>
        <v>-1.740686581</v>
      </c>
      <c r="AG546" s="73">
        <f t="shared" si="18"/>
        <v>-2.380599106</v>
      </c>
      <c r="AH546" s="73">
        <f t="shared" si="19"/>
        <v>-1.79320266</v>
      </c>
      <c r="AI546" s="73">
        <f t="shared" si="20"/>
        <v>-3.240190514</v>
      </c>
      <c r="AJ546" s="73">
        <f t="shared" si="21"/>
        <v>-1.329092151</v>
      </c>
      <c r="AK546" s="73">
        <f t="shared" si="22"/>
        <v>0</v>
      </c>
      <c r="AL546" s="73">
        <f t="shared" si="23"/>
        <v>0</v>
      </c>
      <c r="AM546" s="73">
        <f t="shared" si="24"/>
        <v>0.433638093</v>
      </c>
      <c r="AN546" s="120">
        <f t="shared" si="25"/>
        <v>-3.240190514</v>
      </c>
      <c r="AO546" s="120">
        <f t="shared" si="26"/>
        <v>-6.395549135</v>
      </c>
      <c r="AP546" s="120" t="str">
        <f t="array" ref="AP546">INDIRECT("Update"&amp;Projections!$AH$17&amp;"!S"&amp;ROW(B527))</f>
        <v/>
      </c>
      <c r="AQ546" s="120" t="str">
        <f t="array" ref="AQ546">INDIRECT("Update"&amp;Projections!$AH$17&amp;"!T"&amp;ROW(B527))</f>
        <v/>
      </c>
      <c r="AR546" s="100">
        <f t="shared" si="27"/>
        <v>-9.965301026</v>
      </c>
    </row>
    <row r="547">
      <c r="A547" t="str">
        <f t="shared" si="3"/>
        <v/>
      </c>
      <c r="B547" s="42">
        <f t="shared" si="4"/>
        <v>-3.155358621</v>
      </c>
      <c r="C547" s="43">
        <f t="shared" si="5"/>
        <v>-1.740686581</v>
      </c>
      <c r="D547" s="42">
        <f t="shared" si="6"/>
        <v>-2.380599106</v>
      </c>
      <c r="E547" s="42">
        <f t="shared" si="7"/>
        <v>-1.79320266</v>
      </c>
      <c r="F547" s="42">
        <f t="shared" si="8"/>
        <v>-3.240190514</v>
      </c>
      <c r="G547" s="42">
        <f t="shared" si="9"/>
        <v>-1.329092151</v>
      </c>
      <c r="H547" s="42">
        <f t="shared" si="10"/>
        <v>0</v>
      </c>
      <c r="I547" s="42" t="str">
        <f>UpdateHashtag!S545</f>
        <v/>
      </c>
      <c r="J547" s="47">
        <f t="shared" si="11"/>
        <v>0</v>
      </c>
      <c r="K547" s="48" t="str">
        <f>UpdateHashtag!T545</f>
        <v/>
      </c>
      <c r="L547" s="42">
        <f t="shared" si="12"/>
        <v>-1.734552372</v>
      </c>
      <c r="N547" s="100">
        <f t="shared" si="13"/>
        <v>401</v>
      </c>
      <c r="O547" s="94" t="str">
        <f t="array" ref="O547">INDIRECT("Update"&amp;Projections!$AH$17&amp;"!B"&amp;ROW(B528))</f>
        <v/>
      </c>
      <c r="P547" s="414" t="str">
        <f t="array" ref="P547">INDIRECT("Update"&amp;Projections!$AH$17&amp;"!C"&amp;ROW(B528))</f>
        <v/>
      </c>
      <c r="Q547" s="94" t="str">
        <f>UpdateHashtag!F577</f>
        <v/>
      </c>
      <c r="R547" s="105" t="str">
        <f t="array" ref="R547">INDIRECT("Update"&amp;Projections!$AH$17&amp;"!D"&amp;ROW(B528))</f>
        <v/>
      </c>
      <c r="S547" s="73">
        <f t="shared" si="14"/>
        <v>-9.965301026</v>
      </c>
      <c r="T547" s="73">
        <f>SUM(AE547:AM547)-IFERROR(IFS(Projections!$I$17,AN547,Projections!$J$17,AO547),"")</f>
        <v>-9.965301026</v>
      </c>
      <c r="U547" s="73">
        <f t="shared" si="15"/>
        <v>0</v>
      </c>
      <c r="V547" s="73" t="str">
        <f t="array" ref="V547">INDIRECT("Update"&amp;Projections!$AH$17&amp;"!M"&amp;ROW(B528))</f>
        <v/>
      </c>
      <c r="W547" s="73" t="str">
        <f t="array" ref="W547">INDIRECT("Update"&amp;Projections!$AH$17&amp;"!L"&amp;ROW(B528))</f>
        <v/>
      </c>
      <c r="X547" s="73" t="str">
        <f t="array" ref="X547">INDIRECT("Update"&amp;Projections!$AH$17&amp;"!N"&amp;ROW(B528))</f>
        <v/>
      </c>
      <c r="Y547" s="73" t="str">
        <f t="array" ref="Y547">INDIRECT("Update"&amp;Projections!$AH$17&amp;"!O"&amp;ROW(B528))</f>
        <v/>
      </c>
      <c r="Z547" s="73" t="str">
        <f t="array" ref="Z547">INDIRECT("Update"&amp;Projections!$AH$17&amp;"!P"&amp;ROW(B528))</f>
        <v/>
      </c>
      <c r="AA547" s="73" t="str">
        <f t="array" ref="AA547">INDIRECT("Update"&amp;Projections!$AH$17&amp;"!Q"&amp;ROW(B528))</f>
        <v/>
      </c>
      <c r="AB547" s="107" t="str">
        <f t="array" ref="AB547">INDIRECT("Update"&amp;Projections!$AH$17&amp;"!I"&amp;ROW(B528))</f>
        <v/>
      </c>
      <c r="AC547" s="107" t="str">
        <f t="array" ref="AC547">INDIRECT("Update"&amp;Projections!$AH$17&amp;"!K"&amp;ROW(B528))</f>
        <v/>
      </c>
      <c r="AD547" s="73" t="str">
        <f t="array" ref="AD547">INDIRECT("Update"&amp;Projections!$AH$17&amp;"!R"&amp;ROW(B528))</f>
        <v/>
      </c>
      <c r="AE547" s="73">
        <f t="shared" si="16"/>
        <v>-3.155358621</v>
      </c>
      <c r="AF547" s="73">
        <f t="shared" si="17"/>
        <v>-1.740686581</v>
      </c>
      <c r="AG547" s="73">
        <f t="shared" si="18"/>
        <v>-2.380599106</v>
      </c>
      <c r="AH547" s="73">
        <f t="shared" si="19"/>
        <v>-1.79320266</v>
      </c>
      <c r="AI547" s="73">
        <f t="shared" si="20"/>
        <v>-3.240190514</v>
      </c>
      <c r="AJ547" s="73">
        <f t="shared" si="21"/>
        <v>-1.329092151</v>
      </c>
      <c r="AK547" s="73">
        <f t="shared" si="22"/>
        <v>0</v>
      </c>
      <c r="AL547" s="73">
        <f t="shared" si="23"/>
        <v>0</v>
      </c>
      <c r="AM547" s="73">
        <f t="shared" si="24"/>
        <v>0.433638093</v>
      </c>
      <c r="AN547" s="120">
        <f t="shared" si="25"/>
        <v>-3.240190514</v>
      </c>
      <c r="AO547" s="120">
        <f t="shared" si="26"/>
        <v>-6.395549135</v>
      </c>
      <c r="AP547" s="120" t="str">
        <f t="array" ref="AP547">INDIRECT("Update"&amp;Projections!$AH$17&amp;"!S"&amp;ROW(B528))</f>
        <v/>
      </c>
      <c r="AQ547" s="120" t="str">
        <f t="array" ref="AQ547">INDIRECT("Update"&amp;Projections!$AH$17&amp;"!T"&amp;ROW(B528))</f>
        <v/>
      </c>
      <c r="AR547" s="100">
        <f t="shared" si="27"/>
        <v>-9.965301026</v>
      </c>
    </row>
    <row r="548">
      <c r="A548" t="str">
        <f t="shared" si="3"/>
        <v/>
      </c>
      <c r="B548" s="42">
        <f t="shared" si="4"/>
        <v>-3.155358621</v>
      </c>
      <c r="C548" s="43">
        <f t="shared" si="5"/>
        <v>-1.740686581</v>
      </c>
      <c r="D548" s="42">
        <f t="shared" si="6"/>
        <v>-2.380599106</v>
      </c>
      <c r="E548" s="42">
        <f t="shared" si="7"/>
        <v>-1.79320266</v>
      </c>
      <c r="F548" s="42">
        <f t="shared" si="8"/>
        <v>-3.240190514</v>
      </c>
      <c r="G548" s="42">
        <f t="shared" si="9"/>
        <v>-1.329092151</v>
      </c>
      <c r="H548" s="42">
        <f t="shared" si="10"/>
        <v>0</v>
      </c>
      <c r="I548" s="42" t="str">
        <f>UpdateHashtag!S546</f>
        <v/>
      </c>
      <c r="J548" s="47">
        <f t="shared" si="11"/>
        <v>0</v>
      </c>
      <c r="K548" s="48" t="str">
        <f>UpdateHashtag!T546</f>
        <v/>
      </c>
      <c r="L548" s="42">
        <f t="shared" si="12"/>
        <v>-1.734552372</v>
      </c>
      <c r="N548" s="100">
        <f t="shared" si="13"/>
        <v>401</v>
      </c>
      <c r="O548" s="94" t="str">
        <f t="array" ref="O548">INDIRECT("Update"&amp;Projections!$AH$17&amp;"!B"&amp;ROW(B529))</f>
        <v/>
      </c>
      <c r="P548" s="414" t="str">
        <f t="array" ref="P548">INDIRECT("Update"&amp;Projections!$AH$17&amp;"!C"&amp;ROW(B529))</f>
        <v/>
      </c>
      <c r="Q548" s="94" t="str">
        <f>UpdateHashtag!F578</f>
        <v/>
      </c>
      <c r="R548" s="105" t="str">
        <f t="array" ref="R548">INDIRECT("Update"&amp;Projections!$AH$17&amp;"!D"&amp;ROW(B529))</f>
        <v/>
      </c>
      <c r="S548" s="73">
        <f t="shared" si="14"/>
        <v>-9.965301026</v>
      </c>
      <c r="T548" s="73">
        <f>SUM(AE548:AM548)-IFERROR(IFS(Projections!$I$17,AN548,Projections!$J$17,AO548),"")</f>
        <v>-9.965301026</v>
      </c>
      <c r="U548" s="73">
        <f t="shared" si="15"/>
        <v>0</v>
      </c>
      <c r="V548" s="73" t="str">
        <f t="array" ref="V548">INDIRECT("Update"&amp;Projections!$AH$17&amp;"!M"&amp;ROW(B529))</f>
        <v/>
      </c>
      <c r="W548" s="73" t="str">
        <f t="array" ref="W548">INDIRECT("Update"&amp;Projections!$AH$17&amp;"!L"&amp;ROW(B529))</f>
        <v/>
      </c>
      <c r="X548" s="73" t="str">
        <f t="array" ref="X548">INDIRECT("Update"&amp;Projections!$AH$17&amp;"!N"&amp;ROW(B529))</f>
        <v/>
      </c>
      <c r="Y548" s="73" t="str">
        <f t="array" ref="Y548">INDIRECT("Update"&amp;Projections!$AH$17&amp;"!O"&amp;ROW(B529))</f>
        <v/>
      </c>
      <c r="Z548" s="73" t="str">
        <f t="array" ref="Z548">INDIRECT("Update"&amp;Projections!$AH$17&amp;"!P"&amp;ROW(B529))</f>
        <v/>
      </c>
      <c r="AA548" s="73" t="str">
        <f t="array" ref="AA548">INDIRECT("Update"&amp;Projections!$AH$17&amp;"!Q"&amp;ROW(B529))</f>
        <v/>
      </c>
      <c r="AB548" s="107" t="str">
        <f t="array" ref="AB548">INDIRECT("Update"&amp;Projections!$AH$17&amp;"!I"&amp;ROW(B529))</f>
        <v/>
      </c>
      <c r="AC548" s="107" t="str">
        <f t="array" ref="AC548">INDIRECT("Update"&amp;Projections!$AH$17&amp;"!K"&amp;ROW(B529))</f>
        <v/>
      </c>
      <c r="AD548" s="73" t="str">
        <f t="array" ref="AD548">INDIRECT("Update"&amp;Projections!$AH$17&amp;"!R"&amp;ROW(B529))</f>
        <v/>
      </c>
      <c r="AE548" s="73">
        <f t="shared" si="16"/>
        <v>-3.155358621</v>
      </c>
      <c r="AF548" s="73">
        <f t="shared" si="17"/>
        <v>-1.740686581</v>
      </c>
      <c r="AG548" s="73">
        <f t="shared" si="18"/>
        <v>-2.380599106</v>
      </c>
      <c r="AH548" s="73">
        <f t="shared" si="19"/>
        <v>-1.79320266</v>
      </c>
      <c r="AI548" s="73">
        <f t="shared" si="20"/>
        <v>-3.240190514</v>
      </c>
      <c r="AJ548" s="73">
        <f t="shared" si="21"/>
        <v>-1.329092151</v>
      </c>
      <c r="AK548" s="73">
        <f t="shared" si="22"/>
        <v>0</v>
      </c>
      <c r="AL548" s="73">
        <f t="shared" si="23"/>
        <v>0</v>
      </c>
      <c r="AM548" s="73">
        <f t="shared" si="24"/>
        <v>0.433638093</v>
      </c>
      <c r="AN548" s="120">
        <f t="shared" si="25"/>
        <v>-3.240190514</v>
      </c>
      <c r="AO548" s="120">
        <f t="shared" si="26"/>
        <v>-6.395549135</v>
      </c>
      <c r="AP548" s="120" t="str">
        <f t="array" ref="AP548">INDIRECT("Update"&amp;Projections!$AH$17&amp;"!S"&amp;ROW(B529))</f>
        <v/>
      </c>
      <c r="AQ548" s="120" t="str">
        <f t="array" ref="AQ548">INDIRECT("Update"&amp;Projections!$AH$17&amp;"!T"&amp;ROW(B529))</f>
        <v/>
      </c>
      <c r="AR548" s="100">
        <f t="shared" si="27"/>
        <v>-9.965301026</v>
      </c>
    </row>
    <row r="549">
      <c r="A549" t="str">
        <f t="shared" si="3"/>
        <v/>
      </c>
      <c r="B549" s="42">
        <f t="shared" si="4"/>
        <v>-3.155358621</v>
      </c>
      <c r="C549" s="43">
        <f t="shared" si="5"/>
        <v>-1.740686581</v>
      </c>
      <c r="D549" s="42">
        <f t="shared" si="6"/>
        <v>-2.380599106</v>
      </c>
      <c r="E549" s="42">
        <f t="shared" si="7"/>
        <v>-1.79320266</v>
      </c>
      <c r="F549" s="42">
        <f t="shared" si="8"/>
        <v>-3.240190514</v>
      </c>
      <c r="G549" s="42">
        <f t="shared" si="9"/>
        <v>-1.329092151</v>
      </c>
      <c r="H549" s="42">
        <f t="shared" si="10"/>
        <v>0</v>
      </c>
      <c r="I549" s="42" t="str">
        <f>UpdateHashtag!S547</f>
        <v/>
      </c>
      <c r="J549" s="47">
        <f t="shared" si="11"/>
        <v>0</v>
      </c>
      <c r="K549" s="48" t="str">
        <f>UpdateHashtag!T547</f>
        <v/>
      </c>
      <c r="L549" s="42">
        <f t="shared" si="12"/>
        <v>-1.734552372</v>
      </c>
      <c r="N549" s="100">
        <f t="shared" si="13"/>
        <v>401</v>
      </c>
      <c r="O549" s="94" t="str">
        <f t="array" ref="O549">INDIRECT("Update"&amp;Projections!$AH$17&amp;"!B"&amp;ROW(B530))</f>
        <v/>
      </c>
      <c r="P549" s="414" t="str">
        <f t="array" ref="P549">INDIRECT("Update"&amp;Projections!$AH$17&amp;"!C"&amp;ROW(B530))</f>
        <v/>
      </c>
      <c r="Q549" s="94" t="str">
        <f>UpdateHashtag!F579</f>
        <v/>
      </c>
      <c r="R549" s="105" t="str">
        <f t="array" ref="R549">INDIRECT("Update"&amp;Projections!$AH$17&amp;"!D"&amp;ROW(B530))</f>
        <v/>
      </c>
      <c r="S549" s="73">
        <f t="shared" si="14"/>
        <v>-9.965301026</v>
      </c>
      <c r="T549" s="73">
        <f>SUM(AE549:AM549)-IFERROR(IFS(Projections!$I$17,AN549,Projections!$J$17,AO549),"")</f>
        <v>-9.965301026</v>
      </c>
      <c r="U549" s="73">
        <f t="shared" si="15"/>
        <v>0</v>
      </c>
      <c r="V549" s="73" t="str">
        <f t="array" ref="V549">INDIRECT("Update"&amp;Projections!$AH$17&amp;"!M"&amp;ROW(B530))</f>
        <v/>
      </c>
      <c r="W549" s="73" t="str">
        <f t="array" ref="W549">INDIRECT("Update"&amp;Projections!$AH$17&amp;"!L"&amp;ROW(B530))</f>
        <v/>
      </c>
      <c r="X549" s="73" t="str">
        <f t="array" ref="X549">INDIRECT("Update"&amp;Projections!$AH$17&amp;"!N"&amp;ROW(B530))</f>
        <v/>
      </c>
      <c r="Y549" s="73" t="str">
        <f t="array" ref="Y549">INDIRECT("Update"&amp;Projections!$AH$17&amp;"!O"&amp;ROW(B530))</f>
        <v/>
      </c>
      <c r="Z549" s="73" t="str">
        <f t="array" ref="Z549">INDIRECT("Update"&amp;Projections!$AH$17&amp;"!P"&amp;ROW(B530))</f>
        <v/>
      </c>
      <c r="AA549" s="73" t="str">
        <f t="array" ref="AA549">INDIRECT("Update"&amp;Projections!$AH$17&amp;"!Q"&amp;ROW(B530))</f>
        <v/>
      </c>
      <c r="AB549" s="107" t="str">
        <f t="array" ref="AB549">INDIRECT("Update"&amp;Projections!$AH$17&amp;"!I"&amp;ROW(B530))</f>
        <v/>
      </c>
      <c r="AC549" s="107" t="str">
        <f t="array" ref="AC549">INDIRECT("Update"&amp;Projections!$AH$17&amp;"!K"&amp;ROW(B530))</f>
        <v/>
      </c>
      <c r="AD549" s="73" t="str">
        <f t="array" ref="AD549">INDIRECT("Update"&amp;Projections!$AH$17&amp;"!R"&amp;ROW(B530))</f>
        <v/>
      </c>
      <c r="AE549" s="73">
        <f t="shared" si="16"/>
        <v>-3.155358621</v>
      </c>
      <c r="AF549" s="73">
        <f t="shared" si="17"/>
        <v>-1.740686581</v>
      </c>
      <c r="AG549" s="73">
        <f t="shared" si="18"/>
        <v>-2.380599106</v>
      </c>
      <c r="AH549" s="73">
        <f t="shared" si="19"/>
        <v>-1.79320266</v>
      </c>
      <c r="AI549" s="73">
        <f t="shared" si="20"/>
        <v>-3.240190514</v>
      </c>
      <c r="AJ549" s="73">
        <f t="shared" si="21"/>
        <v>-1.329092151</v>
      </c>
      <c r="AK549" s="73">
        <f t="shared" si="22"/>
        <v>0</v>
      </c>
      <c r="AL549" s="73">
        <f t="shared" si="23"/>
        <v>0</v>
      </c>
      <c r="AM549" s="73">
        <f t="shared" si="24"/>
        <v>0.433638093</v>
      </c>
      <c r="AN549" s="120">
        <f t="shared" si="25"/>
        <v>-3.240190514</v>
      </c>
      <c r="AO549" s="120">
        <f t="shared" si="26"/>
        <v>-6.395549135</v>
      </c>
      <c r="AP549" s="120" t="str">
        <f t="array" ref="AP549">INDIRECT("Update"&amp;Projections!$AH$17&amp;"!S"&amp;ROW(B530))</f>
        <v/>
      </c>
      <c r="AQ549" s="120" t="str">
        <f t="array" ref="AQ549">INDIRECT("Update"&amp;Projections!$AH$17&amp;"!T"&amp;ROW(B530))</f>
        <v/>
      </c>
      <c r="AR549" s="100">
        <f t="shared" si="27"/>
        <v>-9.965301026</v>
      </c>
    </row>
    <row r="550">
      <c r="A550" t="str">
        <f t="shared" si="3"/>
        <v/>
      </c>
      <c r="B550" s="42">
        <f t="shared" si="4"/>
        <v>-3.155358621</v>
      </c>
      <c r="C550" s="43">
        <f t="shared" si="5"/>
        <v>-1.740686581</v>
      </c>
      <c r="D550" s="42">
        <f t="shared" si="6"/>
        <v>-2.380599106</v>
      </c>
      <c r="E550" s="42">
        <f t="shared" si="7"/>
        <v>-1.79320266</v>
      </c>
      <c r="F550" s="42">
        <f t="shared" si="8"/>
        <v>-3.240190514</v>
      </c>
      <c r="G550" s="42">
        <f t="shared" si="9"/>
        <v>-1.329092151</v>
      </c>
      <c r="H550" s="42">
        <f t="shared" si="10"/>
        <v>0</v>
      </c>
      <c r="I550" s="42" t="str">
        <f>UpdateHashtag!S548</f>
        <v/>
      </c>
      <c r="J550" s="47">
        <f t="shared" si="11"/>
        <v>0</v>
      </c>
      <c r="K550" s="48" t="str">
        <f>UpdateHashtag!T548</f>
        <v/>
      </c>
      <c r="L550" s="42">
        <f t="shared" si="12"/>
        <v>-1.734552372</v>
      </c>
      <c r="N550" s="100">
        <f t="shared" si="13"/>
        <v>401</v>
      </c>
      <c r="O550" s="94" t="str">
        <f t="array" ref="O550">INDIRECT("Update"&amp;Projections!$AH$17&amp;"!B"&amp;ROW(B531))</f>
        <v/>
      </c>
      <c r="P550" s="414" t="str">
        <f t="array" ref="P550">INDIRECT("Update"&amp;Projections!$AH$17&amp;"!C"&amp;ROW(B531))</f>
        <v/>
      </c>
      <c r="Q550" s="94" t="str">
        <f>UpdateHashtag!F580</f>
        <v/>
      </c>
      <c r="R550" s="105" t="str">
        <f t="array" ref="R550">INDIRECT("Update"&amp;Projections!$AH$17&amp;"!D"&amp;ROW(B531))</f>
        <v/>
      </c>
      <c r="S550" s="73">
        <f t="shared" si="14"/>
        <v>-9.965301026</v>
      </c>
      <c r="T550" s="73">
        <f>SUM(AE550:AM550)-IFERROR(IFS(Projections!$I$17,AN550,Projections!$J$17,AO550),"")</f>
        <v>-9.965301026</v>
      </c>
      <c r="U550" s="73">
        <f t="shared" si="15"/>
        <v>0</v>
      </c>
      <c r="V550" s="73" t="str">
        <f t="array" ref="V550">INDIRECT("Update"&amp;Projections!$AH$17&amp;"!M"&amp;ROW(B531))</f>
        <v/>
      </c>
      <c r="W550" s="73" t="str">
        <f t="array" ref="W550">INDIRECT("Update"&amp;Projections!$AH$17&amp;"!L"&amp;ROW(B531))</f>
        <v/>
      </c>
      <c r="X550" s="73" t="str">
        <f t="array" ref="X550">INDIRECT("Update"&amp;Projections!$AH$17&amp;"!N"&amp;ROW(B531))</f>
        <v/>
      </c>
      <c r="Y550" s="73" t="str">
        <f t="array" ref="Y550">INDIRECT("Update"&amp;Projections!$AH$17&amp;"!O"&amp;ROW(B531))</f>
        <v/>
      </c>
      <c r="Z550" s="73" t="str">
        <f t="array" ref="Z550">INDIRECT("Update"&amp;Projections!$AH$17&amp;"!P"&amp;ROW(B531))</f>
        <v/>
      </c>
      <c r="AA550" s="73" t="str">
        <f t="array" ref="AA550">INDIRECT("Update"&amp;Projections!$AH$17&amp;"!Q"&amp;ROW(B531))</f>
        <v/>
      </c>
      <c r="AB550" s="107" t="str">
        <f t="array" ref="AB550">INDIRECT("Update"&amp;Projections!$AH$17&amp;"!I"&amp;ROW(B531))</f>
        <v/>
      </c>
      <c r="AC550" s="107" t="str">
        <f t="array" ref="AC550">INDIRECT("Update"&amp;Projections!$AH$17&amp;"!K"&amp;ROW(B531))</f>
        <v/>
      </c>
      <c r="AD550" s="73" t="str">
        <f t="array" ref="AD550">INDIRECT("Update"&amp;Projections!$AH$17&amp;"!R"&amp;ROW(B531))</f>
        <v/>
      </c>
      <c r="AE550" s="73">
        <f t="shared" si="16"/>
        <v>-3.155358621</v>
      </c>
      <c r="AF550" s="73">
        <f t="shared" si="17"/>
        <v>-1.740686581</v>
      </c>
      <c r="AG550" s="73">
        <f t="shared" si="18"/>
        <v>-2.380599106</v>
      </c>
      <c r="AH550" s="73">
        <f t="shared" si="19"/>
        <v>-1.79320266</v>
      </c>
      <c r="AI550" s="73">
        <f t="shared" si="20"/>
        <v>-3.240190514</v>
      </c>
      <c r="AJ550" s="73">
        <f t="shared" si="21"/>
        <v>-1.329092151</v>
      </c>
      <c r="AK550" s="73">
        <f t="shared" si="22"/>
        <v>0</v>
      </c>
      <c r="AL550" s="73">
        <f t="shared" si="23"/>
        <v>0</v>
      </c>
      <c r="AM550" s="73">
        <f t="shared" si="24"/>
        <v>0.433638093</v>
      </c>
      <c r="AN550" s="120">
        <f t="shared" si="25"/>
        <v>-3.240190514</v>
      </c>
      <c r="AO550" s="120">
        <f t="shared" si="26"/>
        <v>-6.395549135</v>
      </c>
      <c r="AP550" s="120" t="str">
        <f t="array" ref="AP550">INDIRECT("Update"&amp;Projections!$AH$17&amp;"!S"&amp;ROW(B531))</f>
        <v/>
      </c>
      <c r="AQ550" s="120" t="str">
        <f t="array" ref="AQ550">INDIRECT("Update"&amp;Projections!$AH$17&amp;"!T"&amp;ROW(B531))</f>
        <v/>
      </c>
      <c r="AR550" s="100">
        <f t="shared" si="27"/>
        <v>-9.965301026</v>
      </c>
    </row>
    <row r="551">
      <c r="A551" t="str">
        <f t="shared" si="3"/>
        <v/>
      </c>
      <c r="B551" s="42">
        <f t="shared" si="4"/>
        <v>-3.155358621</v>
      </c>
      <c r="C551" s="43">
        <f t="shared" si="5"/>
        <v>-1.740686581</v>
      </c>
      <c r="D551" s="42">
        <f t="shared" si="6"/>
        <v>-2.380599106</v>
      </c>
      <c r="E551" s="42">
        <f t="shared" si="7"/>
        <v>-1.79320266</v>
      </c>
      <c r="F551" s="42">
        <f t="shared" si="8"/>
        <v>-3.240190514</v>
      </c>
      <c r="G551" s="42">
        <f t="shared" si="9"/>
        <v>-1.329092151</v>
      </c>
      <c r="H551" s="42">
        <f t="shared" si="10"/>
        <v>0</v>
      </c>
      <c r="I551" s="42" t="str">
        <f>UpdateHashtag!S549</f>
        <v/>
      </c>
      <c r="J551" s="47">
        <f t="shared" si="11"/>
        <v>0</v>
      </c>
      <c r="K551" s="48" t="str">
        <f>UpdateHashtag!T549</f>
        <v/>
      </c>
      <c r="L551" s="42">
        <f t="shared" si="12"/>
        <v>-1.734552372</v>
      </c>
      <c r="N551" s="100">
        <f t="shared" si="13"/>
        <v>401</v>
      </c>
      <c r="O551" s="94" t="str">
        <f t="array" ref="O551">INDIRECT("Update"&amp;Projections!$AH$17&amp;"!B"&amp;ROW(B532))</f>
        <v/>
      </c>
      <c r="P551" s="414" t="str">
        <f t="array" ref="P551">INDIRECT("Update"&amp;Projections!$AH$17&amp;"!C"&amp;ROW(B532))</f>
        <v/>
      </c>
      <c r="Q551" s="94" t="str">
        <f>UpdateHashtag!F581</f>
        <v/>
      </c>
      <c r="R551" s="105" t="str">
        <f t="array" ref="R551">INDIRECT("Update"&amp;Projections!$AH$17&amp;"!D"&amp;ROW(B532))</f>
        <v/>
      </c>
      <c r="S551" s="73">
        <f t="shared" si="14"/>
        <v>-9.965301026</v>
      </c>
      <c r="T551" s="73">
        <f>SUM(AE551:AM551)-IFERROR(IFS(Projections!$I$17,AN551,Projections!$J$17,AO551),"")</f>
        <v>-9.965301026</v>
      </c>
      <c r="U551" s="73">
        <f t="shared" si="15"/>
        <v>0</v>
      </c>
      <c r="V551" s="73" t="str">
        <f t="array" ref="V551">INDIRECT("Update"&amp;Projections!$AH$17&amp;"!M"&amp;ROW(B532))</f>
        <v/>
      </c>
      <c r="W551" s="73" t="str">
        <f t="array" ref="W551">INDIRECT("Update"&amp;Projections!$AH$17&amp;"!L"&amp;ROW(B532))</f>
        <v/>
      </c>
      <c r="X551" s="73" t="str">
        <f t="array" ref="X551">INDIRECT("Update"&amp;Projections!$AH$17&amp;"!N"&amp;ROW(B532))</f>
        <v/>
      </c>
      <c r="Y551" s="73" t="str">
        <f t="array" ref="Y551">INDIRECT("Update"&amp;Projections!$AH$17&amp;"!O"&amp;ROW(B532))</f>
        <v/>
      </c>
      <c r="Z551" s="73" t="str">
        <f t="array" ref="Z551">INDIRECT("Update"&amp;Projections!$AH$17&amp;"!P"&amp;ROW(B532))</f>
        <v/>
      </c>
      <c r="AA551" s="73" t="str">
        <f t="array" ref="AA551">INDIRECT("Update"&amp;Projections!$AH$17&amp;"!Q"&amp;ROW(B532))</f>
        <v/>
      </c>
      <c r="AB551" s="107" t="str">
        <f t="array" ref="AB551">INDIRECT("Update"&amp;Projections!$AH$17&amp;"!I"&amp;ROW(B532))</f>
        <v/>
      </c>
      <c r="AC551" s="107" t="str">
        <f t="array" ref="AC551">INDIRECT("Update"&amp;Projections!$AH$17&amp;"!K"&amp;ROW(B532))</f>
        <v/>
      </c>
      <c r="AD551" s="73" t="str">
        <f t="array" ref="AD551">INDIRECT("Update"&amp;Projections!$AH$17&amp;"!R"&amp;ROW(B532))</f>
        <v/>
      </c>
      <c r="AE551" s="73">
        <f t="shared" si="16"/>
        <v>-3.155358621</v>
      </c>
      <c r="AF551" s="73">
        <f t="shared" si="17"/>
        <v>-1.740686581</v>
      </c>
      <c r="AG551" s="73">
        <f t="shared" si="18"/>
        <v>-2.380599106</v>
      </c>
      <c r="AH551" s="73">
        <f t="shared" si="19"/>
        <v>-1.79320266</v>
      </c>
      <c r="AI551" s="73">
        <f t="shared" si="20"/>
        <v>-3.240190514</v>
      </c>
      <c r="AJ551" s="73">
        <f t="shared" si="21"/>
        <v>-1.329092151</v>
      </c>
      <c r="AK551" s="73">
        <f t="shared" si="22"/>
        <v>0</v>
      </c>
      <c r="AL551" s="73">
        <f t="shared" si="23"/>
        <v>0</v>
      </c>
      <c r="AM551" s="73">
        <f t="shared" si="24"/>
        <v>0.433638093</v>
      </c>
      <c r="AN551" s="120">
        <f t="shared" si="25"/>
        <v>-3.240190514</v>
      </c>
      <c r="AO551" s="120">
        <f t="shared" si="26"/>
        <v>-6.395549135</v>
      </c>
      <c r="AP551" s="120" t="str">
        <f t="array" ref="AP551">INDIRECT("Update"&amp;Projections!$AH$17&amp;"!S"&amp;ROW(B532))</f>
        <v/>
      </c>
      <c r="AQ551" s="120" t="str">
        <f t="array" ref="AQ551">INDIRECT("Update"&amp;Projections!$AH$17&amp;"!T"&amp;ROW(B532))</f>
        <v/>
      </c>
      <c r="AR551" s="100">
        <f t="shared" si="27"/>
        <v>-9.965301026</v>
      </c>
    </row>
    <row r="552">
      <c r="A552" t="str">
        <f t="shared" si="3"/>
        <v/>
      </c>
      <c r="B552" s="42">
        <f t="shared" si="4"/>
        <v>-3.155358621</v>
      </c>
      <c r="C552" s="43">
        <f t="shared" si="5"/>
        <v>-1.740686581</v>
      </c>
      <c r="D552" s="42">
        <f t="shared" si="6"/>
        <v>-2.380599106</v>
      </c>
      <c r="E552" s="42">
        <f t="shared" si="7"/>
        <v>-1.79320266</v>
      </c>
      <c r="F552" s="42">
        <f t="shared" si="8"/>
        <v>-3.240190514</v>
      </c>
      <c r="G552" s="42">
        <f t="shared" si="9"/>
        <v>-1.329092151</v>
      </c>
      <c r="H552" s="42">
        <f t="shared" si="10"/>
        <v>0</v>
      </c>
      <c r="I552" s="42" t="str">
        <f>UpdateHashtag!S550</f>
        <v/>
      </c>
      <c r="J552" s="47">
        <f t="shared" si="11"/>
        <v>0</v>
      </c>
      <c r="K552" s="48" t="str">
        <f>UpdateHashtag!T550</f>
        <v/>
      </c>
      <c r="L552" s="42">
        <f t="shared" si="12"/>
        <v>-1.734552372</v>
      </c>
      <c r="N552" s="100">
        <f t="shared" si="13"/>
        <v>401</v>
      </c>
      <c r="O552" s="94" t="str">
        <f t="array" ref="O552">INDIRECT("Update"&amp;Projections!$AH$17&amp;"!B"&amp;ROW(B533))</f>
        <v/>
      </c>
      <c r="P552" s="414" t="str">
        <f t="array" ref="P552">INDIRECT("Update"&amp;Projections!$AH$17&amp;"!C"&amp;ROW(B533))</f>
        <v/>
      </c>
      <c r="Q552" s="94" t="str">
        <f>UpdateHashtag!F582</f>
        <v/>
      </c>
      <c r="R552" s="105" t="str">
        <f t="array" ref="R552">INDIRECT("Update"&amp;Projections!$AH$17&amp;"!D"&amp;ROW(B533))</f>
        <v/>
      </c>
      <c r="S552" s="73">
        <f t="shared" si="14"/>
        <v>-9.965301026</v>
      </c>
      <c r="T552" s="73">
        <f>SUM(AE552:AM552)-IFERROR(IFS(Projections!$I$17,AN552,Projections!$J$17,AO552),"")</f>
        <v>-9.965301026</v>
      </c>
      <c r="U552" s="73">
        <f t="shared" si="15"/>
        <v>0</v>
      </c>
      <c r="V552" s="73" t="str">
        <f t="array" ref="V552">INDIRECT("Update"&amp;Projections!$AH$17&amp;"!M"&amp;ROW(B533))</f>
        <v/>
      </c>
      <c r="W552" s="73" t="str">
        <f t="array" ref="W552">INDIRECT("Update"&amp;Projections!$AH$17&amp;"!L"&amp;ROW(B533))</f>
        <v/>
      </c>
      <c r="X552" s="73" t="str">
        <f t="array" ref="X552">INDIRECT("Update"&amp;Projections!$AH$17&amp;"!N"&amp;ROW(B533))</f>
        <v/>
      </c>
      <c r="Y552" s="73" t="str">
        <f t="array" ref="Y552">INDIRECT("Update"&amp;Projections!$AH$17&amp;"!O"&amp;ROW(B533))</f>
        <v/>
      </c>
      <c r="Z552" s="73" t="str">
        <f t="array" ref="Z552">INDIRECT("Update"&amp;Projections!$AH$17&amp;"!P"&amp;ROW(B533))</f>
        <v/>
      </c>
      <c r="AA552" s="73" t="str">
        <f t="array" ref="AA552">INDIRECT("Update"&amp;Projections!$AH$17&amp;"!Q"&amp;ROW(B533))</f>
        <v/>
      </c>
      <c r="AB552" s="107" t="str">
        <f t="array" ref="AB552">INDIRECT("Update"&amp;Projections!$AH$17&amp;"!I"&amp;ROW(B533))</f>
        <v/>
      </c>
      <c r="AC552" s="107" t="str">
        <f t="array" ref="AC552">INDIRECT("Update"&amp;Projections!$AH$17&amp;"!K"&amp;ROW(B533))</f>
        <v/>
      </c>
      <c r="AD552" s="73" t="str">
        <f t="array" ref="AD552">INDIRECT("Update"&amp;Projections!$AH$17&amp;"!R"&amp;ROW(B533))</f>
        <v/>
      </c>
      <c r="AE552" s="73">
        <f t="shared" si="16"/>
        <v>-3.155358621</v>
      </c>
      <c r="AF552" s="73">
        <f t="shared" si="17"/>
        <v>-1.740686581</v>
      </c>
      <c r="AG552" s="73">
        <f t="shared" si="18"/>
        <v>-2.380599106</v>
      </c>
      <c r="AH552" s="73">
        <f t="shared" si="19"/>
        <v>-1.79320266</v>
      </c>
      <c r="AI552" s="73">
        <f t="shared" si="20"/>
        <v>-3.240190514</v>
      </c>
      <c r="AJ552" s="73">
        <f t="shared" si="21"/>
        <v>-1.329092151</v>
      </c>
      <c r="AK552" s="73">
        <f t="shared" si="22"/>
        <v>0</v>
      </c>
      <c r="AL552" s="73">
        <f t="shared" si="23"/>
        <v>0</v>
      </c>
      <c r="AM552" s="73">
        <f t="shared" si="24"/>
        <v>0.433638093</v>
      </c>
      <c r="AN552" s="120">
        <f t="shared" si="25"/>
        <v>-3.240190514</v>
      </c>
      <c r="AO552" s="120">
        <f t="shared" si="26"/>
        <v>-6.395549135</v>
      </c>
      <c r="AP552" s="120" t="str">
        <f t="array" ref="AP552">INDIRECT("Update"&amp;Projections!$AH$17&amp;"!S"&amp;ROW(B533))</f>
        <v/>
      </c>
      <c r="AQ552" s="120" t="str">
        <f t="array" ref="AQ552">INDIRECT("Update"&amp;Projections!$AH$17&amp;"!T"&amp;ROW(B533))</f>
        <v/>
      </c>
      <c r="AR552" s="100">
        <f t="shared" si="27"/>
        <v>-9.965301026</v>
      </c>
    </row>
    <row r="553">
      <c r="A553" t="str">
        <f t="shared" si="3"/>
        <v/>
      </c>
      <c r="B553" s="42">
        <f t="shared" si="4"/>
        <v>-3.155358621</v>
      </c>
      <c r="C553" s="43">
        <f t="shared" si="5"/>
        <v>-1.740686581</v>
      </c>
      <c r="D553" s="42">
        <f t="shared" si="6"/>
        <v>-2.380599106</v>
      </c>
      <c r="E553" s="42">
        <f t="shared" si="7"/>
        <v>-1.79320266</v>
      </c>
      <c r="F553" s="42">
        <f t="shared" si="8"/>
        <v>-3.240190514</v>
      </c>
      <c r="G553" s="42">
        <f t="shared" si="9"/>
        <v>-1.329092151</v>
      </c>
      <c r="H553" s="42">
        <f t="shared" si="10"/>
        <v>0</v>
      </c>
      <c r="I553" s="42" t="str">
        <f>UpdateHashtag!S551</f>
        <v/>
      </c>
      <c r="J553" s="47">
        <f t="shared" si="11"/>
        <v>0</v>
      </c>
      <c r="K553" s="48" t="str">
        <f>UpdateHashtag!T551</f>
        <v/>
      </c>
      <c r="L553" s="42">
        <f t="shared" si="12"/>
        <v>-1.734552372</v>
      </c>
      <c r="N553" s="100">
        <f t="shared" si="13"/>
        <v>401</v>
      </c>
      <c r="O553" s="94" t="str">
        <f t="array" ref="O553">INDIRECT("Update"&amp;Projections!$AH$17&amp;"!B"&amp;ROW(B534))</f>
        <v/>
      </c>
      <c r="P553" s="414" t="str">
        <f t="array" ref="P553">INDIRECT("Update"&amp;Projections!$AH$17&amp;"!C"&amp;ROW(B534))</f>
        <v/>
      </c>
      <c r="Q553" s="94" t="str">
        <f>UpdateHashtag!F583</f>
        <v/>
      </c>
      <c r="R553" s="105" t="str">
        <f t="array" ref="R553">INDIRECT("Update"&amp;Projections!$AH$17&amp;"!D"&amp;ROW(B534))</f>
        <v/>
      </c>
      <c r="S553" s="73">
        <f t="shared" si="14"/>
        <v>-9.965301026</v>
      </c>
      <c r="T553" s="73">
        <f>SUM(AE553:AM553)-IFERROR(IFS(Projections!$I$17,AN553,Projections!$J$17,AO553),"")</f>
        <v>-9.965301026</v>
      </c>
      <c r="U553" s="73">
        <f t="shared" si="15"/>
        <v>0</v>
      </c>
      <c r="V553" s="73" t="str">
        <f t="array" ref="V553">INDIRECT("Update"&amp;Projections!$AH$17&amp;"!M"&amp;ROW(B534))</f>
        <v/>
      </c>
      <c r="W553" s="73" t="str">
        <f t="array" ref="W553">INDIRECT("Update"&amp;Projections!$AH$17&amp;"!L"&amp;ROW(B534))</f>
        <v/>
      </c>
      <c r="X553" s="73" t="str">
        <f t="array" ref="X553">INDIRECT("Update"&amp;Projections!$AH$17&amp;"!N"&amp;ROW(B534))</f>
        <v/>
      </c>
      <c r="Y553" s="73" t="str">
        <f t="array" ref="Y553">INDIRECT("Update"&amp;Projections!$AH$17&amp;"!O"&amp;ROW(B534))</f>
        <v/>
      </c>
      <c r="Z553" s="73" t="str">
        <f t="array" ref="Z553">INDIRECT("Update"&amp;Projections!$AH$17&amp;"!P"&amp;ROW(B534))</f>
        <v/>
      </c>
      <c r="AA553" s="73" t="str">
        <f t="array" ref="AA553">INDIRECT("Update"&amp;Projections!$AH$17&amp;"!Q"&amp;ROW(B534))</f>
        <v/>
      </c>
      <c r="AB553" s="107" t="str">
        <f t="array" ref="AB553">INDIRECT("Update"&amp;Projections!$AH$17&amp;"!I"&amp;ROW(B534))</f>
        <v/>
      </c>
      <c r="AC553" s="107" t="str">
        <f t="array" ref="AC553">INDIRECT("Update"&amp;Projections!$AH$17&amp;"!K"&amp;ROW(B534))</f>
        <v/>
      </c>
      <c r="AD553" s="73" t="str">
        <f t="array" ref="AD553">INDIRECT("Update"&amp;Projections!$AH$17&amp;"!R"&amp;ROW(B534))</f>
        <v/>
      </c>
      <c r="AE553" s="73">
        <f t="shared" si="16"/>
        <v>-3.155358621</v>
      </c>
      <c r="AF553" s="73">
        <f t="shared" si="17"/>
        <v>-1.740686581</v>
      </c>
      <c r="AG553" s="73">
        <f t="shared" si="18"/>
        <v>-2.380599106</v>
      </c>
      <c r="AH553" s="73">
        <f t="shared" si="19"/>
        <v>-1.79320266</v>
      </c>
      <c r="AI553" s="73">
        <f t="shared" si="20"/>
        <v>-3.240190514</v>
      </c>
      <c r="AJ553" s="73">
        <f t="shared" si="21"/>
        <v>-1.329092151</v>
      </c>
      <c r="AK553" s="73">
        <f t="shared" si="22"/>
        <v>0</v>
      </c>
      <c r="AL553" s="73">
        <f t="shared" si="23"/>
        <v>0</v>
      </c>
      <c r="AM553" s="73">
        <f t="shared" si="24"/>
        <v>0.433638093</v>
      </c>
      <c r="AN553" s="120">
        <f t="shared" si="25"/>
        <v>-3.240190514</v>
      </c>
      <c r="AO553" s="120">
        <f t="shared" si="26"/>
        <v>-6.395549135</v>
      </c>
      <c r="AP553" s="120" t="str">
        <f t="array" ref="AP553">INDIRECT("Update"&amp;Projections!$AH$17&amp;"!S"&amp;ROW(B534))</f>
        <v/>
      </c>
      <c r="AQ553" s="120" t="str">
        <f t="array" ref="AQ553">INDIRECT("Update"&amp;Projections!$AH$17&amp;"!T"&amp;ROW(B534))</f>
        <v/>
      </c>
      <c r="AR553" s="100">
        <f t="shared" si="27"/>
        <v>-9.965301026</v>
      </c>
    </row>
    <row r="554">
      <c r="A554" t="str">
        <f t="shared" si="3"/>
        <v/>
      </c>
      <c r="B554" s="42">
        <f t="shared" si="4"/>
        <v>-3.155358621</v>
      </c>
      <c r="C554" s="43">
        <f t="shared" si="5"/>
        <v>-1.740686581</v>
      </c>
      <c r="D554" s="42">
        <f t="shared" si="6"/>
        <v>-2.380599106</v>
      </c>
      <c r="E554" s="42">
        <f t="shared" si="7"/>
        <v>-1.79320266</v>
      </c>
      <c r="F554" s="42">
        <f t="shared" si="8"/>
        <v>-3.240190514</v>
      </c>
      <c r="G554" s="42">
        <f t="shared" si="9"/>
        <v>-1.329092151</v>
      </c>
      <c r="H554" s="42">
        <f t="shared" si="10"/>
        <v>0</v>
      </c>
      <c r="I554" s="42" t="str">
        <f>UpdateHashtag!S552</f>
        <v/>
      </c>
      <c r="J554" s="47">
        <f t="shared" si="11"/>
        <v>0</v>
      </c>
      <c r="K554" s="48" t="str">
        <f>UpdateHashtag!T552</f>
        <v/>
      </c>
      <c r="L554" s="42">
        <f t="shared" si="12"/>
        <v>-1.734552372</v>
      </c>
      <c r="N554" s="100">
        <f t="shared" si="13"/>
        <v>401</v>
      </c>
      <c r="O554" s="94" t="str">
        <f t="array" ref="O554">INDIRECT("Update"&amp;Projections!$AH$17&amp;"!B"&amp;ROW(B535))</f>
        <v/>
      </c>
      <c r="P554" s="414" t="str">
        <f t="array" ref="P554">INDIRECT("Update"&amp;Projections!$AH$17&amp;"!C"&amp;ROW(B535))</f>
        <v/>
      </c>
      <c r="Q554" s="94" t="str">
        <f>UpdateHashtag!F584</f>
        <v/>
      </c>
      <c r="R554" s="105" t="str">
        <f t="array" ref="R554">INDIRECT("Update"&amp;Projections!$AH$17&amp;"!D"&amp;ROW(B535))</f>
        <v/>
      </c>
      <c r="S554" s="73">
        <f t="shared" si="14"/>
        <v>-9.965301026</v>
      </c>
      <c r="T554" s="73">
        <f>SUM(AE554:AM554)-IFERROR(IFS(Projections!$I$17,AN554,Projections!$J$17,AO554),"")</f>
        <v>-9.965301026</v>
      </c>
      <c r="U554" s="73">
        <f t="shared" si="15"/>
        <v>0</v>
      </c>
      <c r="V554" s="73" t="str">
        <f t="array" ref="V554">INDIRECT("Update"&amp;Projections!$AH$17&amp;"!M"&amp;ROW(B535))</f>
        <v/>
      </c>
      <c r="W554" s="73" t="str">
        <f t="array" ref="W554">INDIRECT("Update"&amp;Projections!$AH$17&amp;"!L"&amp;ROW(B535))</f>
        <v/>
      </c>
      <c r="X554" s="73" t="str">
        <f t="array" ref="X554">INDIRECT("Update"&amp;Projections!$AH$17&amp;"!N"&amp;ROW(B535))</f>
        <v/>
      </c>
      <c r="Y554" s="73" t="str">
        <f t="array" ref="Y554">INDIRECT("Update"&amp;Projections!$AH$17&amp;"!O"&amp;ROW(B535))</f>
        <v/>
      </c>
      <c r="Z554" s="73" t="str">
        <f t="array" ref="Z554">INDIRECT("Update"&amp;Projections!$AH$17&amp;"!P"&amp;ROW(B535))</f>
        <v/>
      </c>
      <c r="AA554" s="73" t="str">
        <f t="array" ref="AA554">INDIRECT("Update"&amp;Projections!$AH$17&amp;"!Q"&amp;ROW(B535))</f>
        <v/>
      </c>
      <c r="AB554" s="107" t="str">
        <f t="array" ref="AB554">INDIRECT("Update"&amp;Projections!$AH$17&amp;"!I"&amp;ROW(B535))</f>
        <v/>
      </c>
      <c r="AC554" s="107" t="str">
        <f t="array" ref="AC554">INDIRECT("Update"&amp;Projections!$AH$17&amp;"!K"&amp;ROW(B535))</f>
        <v/>
      </c>
      <c r="AD554" s="73" t="str">
        <f t="array" ref="AD554">INDIRECT("Update"&amp;Projections!$AH$17&amp;"!R"&amp;ROW(B535))</f>
        <v/>
      </c>
      <c r="AE554" s="73">
        <f t="shared" si="16"/>
        <v>-3.155358621</v>
      </c>
      <c r="AF554" s="73">
        <f t="shared" si="17"/>
        <v>-1.740686581</v>
      </c>
      <c r="AG554" s="73">
        <f t="shared" si="18"/>
        <v>-2.380599106</v>
      </c>
      <c r="AH554" s="73">
        <f t="shared" si="19"/>
        <v>-1.79320266</v>
      </c>
      <c r="AI554" s="73">
        <f t="shared" si="20"/>
        <v>-3.240190514</v>
      </c>
      <c r="AJ554" s="73">
        <f t="shared" si="21"/>
        <v>-1.329092151</v>
      </c>
      <c r="AK554" s="73">
        <f t="shared" si="22"/>
        <v>0</v>
      </c>
      <c r="AL554" s="73">
        <f t="shared" si="23"/>
        <v>0</v>
      </c>
      <c r="AM554" s="73">
        <f t="shared" si="24"/>
        <v>0.433638093</v>
      </c>
      <c r="AN554" s="120">
        <f t="shared" si="25"/>
        <v>-3.240190514</v>
      </c>
      <c r="AO554" s="120">
        <f t="shared" si="26"/>
        <v>-6.395549135</v>
      </c>
      <c r="AP554" s="120" t="str">
        <f t="array" ref="AP554">INDIRECT("Update"&amp;Projections!$AH$17&amp;"!S"&amp;ROW(B535))</f>
        <v/>
      </c>
      <c r="AQ554" s="120" t="str">
        <f t="array" ref="AQ554">INDIRECT("Update"&amp;Projections!$AH$17&amp;"!T"&amp;ROW(B535))</f>
        <v/>
      </c>
      <c r="AR554" s="100">
        <f t="shared" si="27"/>
        <v>-9.965301026</v>
      </c>
    </row>
    <row r="555">
      <c r="A555" t="str">
        <f t="shared" si="3"/>
        <v/>
      </c>
      <c r="B555" s="42">
        <f t="shared" si="4"/>
        <v>-3.155358621</v>
      </c>
      <c r="C555" s="43">
        <f t="shared" si="5"/>
        <v>-1.740686581</v>
      </c>
      <c r="D555" s="42">
        <f t="shared" si="6"/>
        <v>-2.380599106</v>
      </c>
      <c r="E555" s="42">
        <f t="shared" si="7"/>
        <v>-1.79320266</v>
      </c>
      <c r="F555" s="42">
        <f t="shared" si="8"/>
        <v>-3.240190514</v>
      </c>
      <c r="G555" s="42">
        <f t="shared" si="9"/>
        <v>-1.329092151</v>
      </c>
      <c r="H555" s="42">
        <f t="shared" si="10"/>
        <v>0</v>
      </c>
      <c r="I555" s="42" t="str">
        <f>UpdateHashtag!S553</f>
        <v/>
      </c>
      <c r="J555" s="47">
        <f t="shared" si="11"/>
        <v>0</v>
      </c>
      <c r="K555" s="48" t="str">
        <f>UpdateHashtag!T553</f>
        <v/>
      </c>
      <c r="L555" s="42">
        <f t="shared" si="12"/>
        <v>-1.734552372</v>
      </c>
      <c r="N555" s="100">
        <f t="shared" si="13"/>
        <v>401</v>
      </c>
      <c r="O555" s="94" t="str">
        <f t="array" ref="O555">INDIRECT("Update"&amp;Projections!$AH$17&amp;"!B"&amp;ROW(B536))</f>
        <v/>
      </c>
      <c r="P555" s="414" t="str">
        <f t="array" ref="P555">INDIRECT("Update"&amp;Projections!$AH$17&amp;"!C"&amp;ROW(B536))</f>
        <v/>
      </c>
      <c r="Q555" s="94" t="str">
        <f>UpdateHashtag!F585</f>
        <v/>
      </c>
      <c r="R555" s="105" t="str">
        <f t="array" ref="R555">INDIRECT("Update"&amp;Projections!$AH$17&amp;"!D"&amp;ROW(B536))</f>
        <v/>
      </c>
      <c r="S555" s="73">
        <f t="shared" si="14"/>
        <v>-9.965301026</v>
      </c>
      <c r="T555" s="73">
        <f>SUM(AE555:AM555)-IFERROR(IFS(Projections!$I$17,AN555,Projections!$J$17,AO555),"")</f>
        <v>-9.965301026</v>
      </c>
      <c r="U555" s="73">
        <f t="shared" si="15"/>
        <v>0</v>
      </c>
      <c r="V555" s="73" t="str">
        <f t="array" ref="V555">INDIRECT("Update"&amp;Projections!$AH$17&amp;"!M"&amp;ROW(B536))</f>
        <v/>
      </c>
      <c r="W555" s="73" t="str">
        <f t="array" ref="W555">INDIRECT("Update"&amp;Projections!$AH$17&amp;"!L"&amp;ROW(B536))</f>
        <v/>
      </c>
      <c r="X555" s="73" t="str">
        <f t="array" ref="X555">INDIRECT("Update"&amp;Projections!$AH$17&amp;"!N"&amp;ROW(B536))</f>
        <v/>
      </c>
      <c r="Y555" s="73" t="str">
        <f t="array" ref="Y555">INDIRECT("Update"&amp;Projections!$AH$17&amp;"!O"&amp;ROW(B536))</f>
        <v/>
      </c>
      <c r="Z555" s="73" t="str">
        <f t="array" ref="Z555">INDIRECT("Update"&amp;Projections!$AH$17&amp;"!P"&amp;ROW(B536))</f>
        <v/>
      </c>
      <c r="AA555" s="73" t="str">
        <f t="array" ref="AA555">INDIRECT("Update"&amp;Projections!$AH$17&amp;"!Q"&amp;ROW(B536))</f>
        <v/>
      </c>
      <c r="AB555" s="107" t="str">
        <f t="array" ref="AB555">INDIRECT("Update"&amp;Projections!$AH$17&amp;"!I"&amp;ROW(B536))</f>
        <v/>
      </c>
      <c r="AC555" s="107" t="str">
        <f t="array" ref="AC555">INDIRECT("Update"&amp;Projections!$AH$17&amp;"!K"&amp;ROW(B536))</f>
        <v/>
      </c>
      <c r="AD555" s="73" t="str">
        <f t="array" ref="AD555">INDIRECT("Update"&amp;Projections!$AH$17&amp;"!R"&amp;ROW(B536))</f>
        <v/>
      </c>
      <c r="AE555" s="73">
        <f t="shared" si="16"/>
        <v>-3.155358621</v>
      </c>
      <c r="AF555" s="73">
        <f t="shared" si="17"/>
        <v>-1.740686581</v>
      </c>
      <c r="AG555" s="73">
        <f t="shared" si="18"/>
        <v>-2.380599106</v>
      </c>
      <c r="AH555" s="73">
        <f t="shared" si="19"/>
        <v>-1.79320266</v>
      </c>
      <c r="AI555" s="73">
        <f t="shared" si="20"/>
        <v>-3.240190514</v>
      </c>
      <c r="AJ555" s="73">
        <f t="shared" si="21"/>
        <v>-1.329092151</v>
      </c>
      <c r="AK555" s="73">
        <f t="shared" si="22"/>
        <v>0</v>
      </c>
      <c r="AL555" s="73">
        <f t="shared" si="23"/>
        <v>0</v>
      </c>
      <c r="AM555" s="73">
        <f t="shared" si="24"/>
        <v>0.433638093</v>
      </c>
      <c r="AN555" s="120">
        <f t="shared" si="25"/>
        <v>-3.240190514</v>
      </c>
      <c r="AO555" s="120">
        <f t="shared" si="26"/>
        <v>-6.395549135</v>
      </c>
      <c r="AP555" s="120" t="str">
        <f t="array" ref="AP555">INDIRECT("Update"&amp;Projections!$AH$17&amp;"!S"&amp;ROW(B536))</f>
        <v/>
      </c>
      <c r="AQ555" s="120" t="str">
        <f t="array" ref="AQ555">INDIRECT("Update"&amp;Projections!$AH$17&amp;"!T"&amp;ROW(B536))</f>
        <v/>
      </c>
      <c r="AR555" s="100">
        <f t="shared" si="27"/>
        <v>-9.965301026</v>
      </c>
    </row>
    <row r="556">
      <c r="A556" t="str">
        <f t="shared" si="3"/>
        <v/>
      </c>
      <c r="B556" s="42">
        <f t="shared" si="4"/>
        <v>-3.155358621</v>
      </c>
      <c r="C556" s="43">
        <f t="shared" si="5"/>
        <v>-1.740686581</v>
      </c>
      <c r="D556" s="42">
        <f t="shared" si="6"/>
        <v>-2.380599106</v>
      </c>
      <c r="E556" s="42">
        <f t="shared" si="7"/>
        <v>-1.79320266</v>
      </c>
      <c r="F556" s="42">
        <f t="shared" si="8"/>
        <v>-3.240190514</v>
      </c>
      <c r="G556" s="42">
        <f t="shared" si="9"/>
        <v>-1.329092151</v>
      </c>
      <c r="H556" s="42">
        <f t="shared" si="10"/>
        <v>0</v>
      </c>
      <c r="I556" s="42" t="str">
        <f>UpdateHashtag!S554</f>
        <v/>
      </c>
      <c r="J556" s="47">
        <f t="shared" si="11"/>
        <v>0</v>
      </c>
      <c r="K556" s="48" t="str">
        <f>UpdateHashtag!T554</f>
        <v/>
      </c>
      <c r="L556" s="42">
        <f t="shared" si="12"/>
        <v>-1.734552372</v>
      </c>
      <c r="N556" s="100">
        <f t="shared" si="13"/>
        <v>401</v>
      </c>
      <c r="O556" s="94" t="str">
        <f t="array" ref="O556">INDIRECT("Update"&amp;Projections!$AH$17&amp;"!B"&amp;ROW(B537))</f>
        <v/>
      </c>
      <c r="P556" s="414" t="str">
        <f t="array" ref="P556">INDIRECT("Update"&amp;Projections!$AH$17&amp;"!C"&amp;ROW(B537))</f>
        <v/>
      </c>
      <c r="Q556" s="94" t="str">
        <f>UpdateHashtag!F586</f>
        <v/>
      </c>
      <c r="R556" s="105" t="str">
        <f t="array" ref="R556">INDIRECT("Update"&amp;Projections!$AH$17&amp;"!D"&amp;ROW(B537))</f>
        <v/>
      </c>
      <c r="S556" s="73">
        <f t="shared" si="14"/>
        <v>-9.965301026</v>
      </c>
      <c r="T556" s="73">
        <f>SUM(AE556:AM556)-IFERROR(IFS(Projections!$I$17,AN556,Projections!$J$17,AO556),"")</f>
        <v>-9.965301026</v>
      </c>
      <c r="U556" s="73">
        <f t="shared" si="15"/>
        <v>0</v>
      </c>
      <c r="V556" s="73" t="str">
        <f t="array" ref="V556">INDIRECT("Update"&amp;Projections!$AH$17&amp;"!M"&amp;ROW(B537))</f>
        <v/>
      </c>
      <c r="W556" s="73" t="str">
        <f t="array" ref="W556">INDIRECT("Update"&amp;Projections!$AH$17&amp;"!L"&amp;ROW(B537))</f>
        <v/>
      </c>
      <c r="X556" s="73" t="str">
        <f t="array" ref="X556">INDIRECT("Update"&amp;Projections!$AH$17&amp;"!N"&amp;ROW(B537))</f>
        <v/>
      </c>
      <c r="Y556" s="73" t="str">
        <f t="array" ref="Y556">INDIRECT("Update"&amp;Projections!$AH$17&amp;"!O"&amp;ROW(B537))</f>
        <v/>
      </c>
      <c r="Z556" s="73" t="str">
        <f t="array" ref="Z556">INDIRECT("Update"&amp;Projections!$AH$17&amp;"!P"&amp;ROW(B537))</f>
        <v/>
      </c>
      <c r="AA556" s="73" t="str">
        <f t="array" ref="AA556">INDIRECT("Update"&amp;Projections!$AH$17&amp;"!Q"&amp;ROW(B537))</f>
        <v/>
      </c>
      <c r="AB556" s="107" t="str">
        <f t="array" ref="AB556">INDIRECT("Update"&amp;Projections!$AH$17&amp;"!I"&amp;ROW(B537))</f>
        <v/>
      </c>
      <c r="AC556" s="107" t="str">
        <f t="array" ref="AC556">INDIRECT("Update"&amp;Projections!$AH$17&amp;"!K"&amp;ROW(B537))</f>
        <v/>
      </c>
      <c r="AD556" s="73" t="str">
        <f t="array" ref="AD556">INDIRECT("Update"&amp;Projections!$AH$17&amp;"!R"&amp;ROW(B537))</f>
        <v/>
      </c>
      <c r="AE556" s="73">
        <f t="shared" si="16"/>
        <v>-3.155358621</v>
      </c>
      <c r="AF556" s="73">
        <f t="shared" si="17"/>
        <v>-1.740686581</v>
      </c>
      <c r="AG556" s="73">
        <f t="shared" si="18"/>
        <v>-2.380599106</v>
      </c>
      <c r="AH556" s="73">
        <f t="shared" si="19"/>
        <v>-1.79320266</v>
      </c>
      <c r="AI556" s="73">
        <f t="shared" si="20"/>
        <v>-3.240190514</v>
      </c>
      <c r="AJ556" s="73">
        <f t="shared" si="21"/>
        <v>-1.329092151</v>
      </c>
      <c r="AK556" s="73">
        <f t="shared" si="22"/>
        <v>0</v>
      </c>
      <c r="AL556" s="73">
        <f t="shared" si="23"/>
        <v>0</v>
      </c>
      <c r="AM556" s="73">
        <f t="shared" si="24"/>
        <v>0.433638093</v>
      </c>
      <c r="AN556" s="120">
        <f t="shared" si="25"/>
        <v>-3.240190514</v>
      </c>
      <c r="AO556" s="120">
        <f t="shared" si="26"/>
        <v>-6.395549135</v>
      </c>
      <c r="AP556" s="120" t="str">
        <f t="array" ref="AP556">INDIRECT("Update"&amp;Projections!$AH$17&amp;"!S"&amp;ROW(B537))</f>
        <v/>
      </c>
      <c r="AQ556" s="120" t="str">
        <f t="array" ref="AQ556">INDIRECT("Update"&amp;Projections!$AH$17&amp;"!T"&amp;ROW(B537))</f>
        <v/>
      </c>
      <c r="AR556" s="100">
        <f t="shared" si="27"/>
        <v>-9.965301026</v>
      </c>
    </row>
    <row r="557">
      <c r="A557" t="str">
        <f t="shared" si="3"/>
        <v/>
      </c>
      <c r="B557" s="42">
        <f t="shared" si="4"/>
        <v>-3.155358621</v>
      </c>
      <c r="C557" s="43">
        <f t="shared" si="5"/>
        <v>-1.740686581</v>
      </c>
      <c r="D557" s="42">
        <f t="shared" si="6"/>
        <v>-2.380599106</v>
      </c>
      <c r="E557" s="42">
        <f t="shared" si="7"/>
        <v>-1.79320266</v>
      </c>
      <c r="F557" s="42">
        <f t="shared" si="8"/>
        <v>-3.240190514</v>
      </c>
      <c r="G557" s="42">
        <f t="shared" si="9"/>
        <v>-1.329092151</v>
      </c>
      <c r="H557" s="42">
        <f t="shared" si="10"/>
        <v>0</v>
      </c>
      <c r="I557" s="42" t="str">
        <f>UpdateHashtag!S555</f>
        <v/>
      </c>
      <c r="J557" s="47">
        <f t="shared" si="11"/>
        <v>0</v>
      </c>
      <c r="K557" s="48" t="str">
        <f>UpdateHashtag!T555</f>
        <v/>
      </c>
      <c r="L557" s="42">
        <f t="shared" si="12"/>
        <v>-1.734552372</v>
      </c>
      <c r="N557" s="100">
        <f t="shared" si="13"/>
        <v>401</v>
      </c>
      <c r="O557" s="94" t="str">
        <f t="array" ref="O557">INDIRECT("Update"&amp;Projections!$AH$17&amp;"!B"&amp;ROW(B538))</f>
        <v/>
      </c>
      <c r="P557" s="414" t="str">
        <f t="array" ref="P557">INDIRECT("Update"&amp;Projections!$AH$17&amp;"!C"&amp;ROW(B538))</f>
        <v/>
      </c>
      <c r="Q557" s="94" t="str">
        <f>UpdateHashtag!F587</f>
        <v/>
      </c>
      <c r="R557" s="105" t="str">
        <f t="array" ref="R557">INDIRECT("Update"&amp;Projections!$AH$17&amp;"!D"&amp;ROW(B538))</f>
        <v/>
      </c>
      <c r="S557" s="73">
        <f t="shared" si="14"/>
        <v>-9.965301026</v>
      </c>
      <c r="T557" s="73">
        <f>SUM(AE557:AM557)-IFERROR(IFS(Projections!$I$17,AN557,Projections!$J$17,AO557),"")</f>
        <v>-9.965301026</v>
      </c>
      <c r="U557" s="73">
        <f t="shared" si="15"/>
        <v>0</v>
      </c>
      <c r="V557" s="73" t="str">
        <f t="array" ref="V557">INDIRECT("Update"&amp;Projections!$AH$17&amp;"!M"&amp;ROW(B538))</f>
        <v/>
      </c>
      <c r="W557" s="73" t="str">
        <f t="array" ref="W557">INDIRECT("Update"&amp;Projections!$AH$17&amp;"!L"&amp;ROW(B538))</f>
        <v/>
      </c>
      <c r="X557" s="73" t="str">
        <f t="array" ref="X557">INDIRECT("Update"&amp;Projections!$AH$17&amp;"!N"&amp;ROW(B538))</f>
        <v/>
      </c>
      <c r="Y557" s="73" t="str">
        <f t="array" ref="Y557">INDIRECT("Update"&amp;Projections!$AH$17&amp;"!O"&amp;ROW(B538))</f>
        <v/>
      </c>
      <c r="Z557" s="73" t="str">
        <f t="array" ref="Z557">INDIRECT("Update"&amp;Projections!$AH$17&amp;"!P"&amp;ROW(B538))</f>
        <v/>
      </c>
      <c r="AA557" s="73" t="str">
        <f t="array" ref="AA557">INDIRECT("Update"&amp;Projections!$AH$17&amp;"!Q"&amp;ROW(B538))</f>
        <v/>
      </c>
      <c r="AB557" s="107" t="str">
        <f t="array" ref="AB557">INDIRECT("Update"&amp;Projections!$AH$17&amp;"!I"&amp;ROW(B538))</f>
        <v/>
      </c>
      <c r="AC557" s="107" t="str">
        <f t="array" ref="AC557">INDIRECT("Update"&amp;Projections!$AH$17&amp;"!K"&amp;ROW(B538))</f>
        <v/>
      </c>
      <c r="AD557" s="73" t="str">
        <f t="array" ref="AD557">INDIRECT("Update"&amp;Projections!$AH$17&amp;"!R"&amp;ROW(B538))</f>
        <v/>
      </c>
      <c r="AE557" s="73">
        <f t="shared" si="16"/>
        <v>-3.155358621</v>
      </c>
      <c r="AF557" s="73">
        <f t="shared" si="17"/>
        <v>-1.740686581</v>
      </c>
      <c r="AG557" s="73">
        <f t="shared" si="18"/>
        <v>-2.380599106</v>
      </c>
      <c r="AH557" s="73">
        <f t="shared" si="19"/>
        <v>-1.79320266</v>
      </c>
      <c r="AI557" s="73">
        <f t="shared" si="20"/>
        <v>-3.240190514</v>
      </c>
      <c r="AJ557" s="73">
        <f t="shared" si="21"/>
        <v>-1.329092151</v>
      </c>
      <c r="AK557" s="73">
        <f t="shared" si="22"/>
        <v>0</v>
      </c>
      <c r="AL557" s="73">
        <f t="shared" si="23"/>
        <v>0</v>
      </c>
      <c r="AM557" s="73">
        <f t="shared" si="24"/>
        <v>0.433638093</v>
      </c>
      <c r="AN557" s="120">
        <f t="shared" si="25"/>
        <v>-3.240190514</v>
      </c>
      <c r="AO557" s="120">
        <f t="shared" si="26"/>
        <v>-6.395549135</v>
      </c>
      <c r="AP557" s="120" t="str">
        <f t="array" ref="AP557">INDIRECT("Update"&amp;Projections!$AH$17&amp;"!S"&amp;ROW(B538))</f>
        <v/>
      </c>
      <c r="AQ557" s="120" t="str">
        <f t="array" ref="AQ557">INDIRECT("Update"&amp;Projections!$AH$17&amp;"!T"&amp;ROW(B538))</f>
        <v/>
      </c>
      <c r="AR557" s="100">
        <f t="shared" si="27"/>
        <v>-9.965301026</v>
      </c>
    </row>
    <row r="558">
      <c r="A558" t="str">
        <f t="shared" si="3"/>
        <v/>
      </c>
      <c r="B558" s="42">
        <f t="shared" si="4"/>
        <v>-3.155358621</v>
      </c>
      <c r="C558" s="43">
        <f t="shared" si="5"/>
        <v>-1.740686581</v>
      </c>
      <c r="D558" s="42">
        <f t="shared" si="6"/>
        <v>-2.380599106</v>
      </c>
      <c r="E558" s="42">
        <f t="shared" si="7"/>
        <v>-1.79320266</v>
      </c>
      <c r="F558" s="42">
        <f t="shared" si="8"/>
        <v>-3.240190514</v>
      </c>
      <c r="G558" s="42">
        <f t="shared" si="9"/>
        <v>-1.329092151</v>
      </c>
      <c r="H558" s="42">
        <f t="shared" si="10"/>
        <v>0</v>
      </c>
      <c r="I558" s="42" t="str">
        <f>UpdateHashtag!S556</f>
        <v/>
      </c>
      <c r="J558" s="47">
        <f t="shared" si="11"/>
        <v>0</v>
      </c>
      <c r="K558" s="48" t="str">
        <f>UpdateHashtag!T556</f>
        <v/>
      </c>
      <c r="L558" s="42">
        <f t="shared" si="12"/>
        <v>-1.734552372</v>
      </c>
      <c r="N558" s="100">
        <f t="shared" si="13"/>
        <v>401</v>
      </c>
      <c r="O558" s="94" t="str">
        <f t="array" ref="O558">INDIRECT("Update"&amp;Projections!$AH$17&amp;"!B"&amp;ROW(B539))</f>
        <v/>
      </c>
      <c r="P558" s="414" t="str">
        <f t="array" ref="P558">INDIRECT("Update"&amp;Projections!$AH$17&amp;"!C"&amp;ROW(B539))</f>
        <v/>
      </c>
      <c r="Q558" s="94" t="str">
        <f>UpdateHashtag!F588</f>
        <v/>
      </c>
      <c r="R558" s="105" t="str">
        <f t="array" ref="R558">INDIRECT("Update"&amp;Projections!$AH$17&amp;"!D"&amp;ROW(B539))</f>
        <v/>
      </c>
      <c r="S558" s="73">
        <f t="shared" si="14"/>
        <v>-9.965301026</v>
      </c>
      <c r="T558" s="73">
        <f>SUM(AE558:AM558)-IFERROR(IFS(Projections!$I$17,AN558,Projections!$J$17,AO558),"")</f>
        <v>-9.965301026</v>
      </c>
      <c r="U558" s="73">
        <f t="shared" si="15"/>
        <v>0</v>
      </c>
      <c r="V558" s="73" t="str">
        <f t="array" ref="V558">INDIRECT("Update"&amp;Projections!$AH$17&amp;"!M"&amp;ROW(B539))</f>
        <v/>
      </c>
      <c r="W558" s="73" t="str">
        <f t="array" ref="W558">INDIRECT("Update"&amp;Projections!$AH$17&amp;"!L"&amp;ROW(B539))</f>
        <v/>
      </c>
      <c r="X558" s="73" t="str">
        <f t="array" ref="X558">INDIRECT("Update"&amp;Projections!$AH$17&amp;"!N"&amp;ROW(B539))</f>
        <v/>
      </c>
      <c r="Y558" s="73" t="str">
        <f t="array" ref="Y558">INDIRECT("Update"&amp;Projections!$AH$17&amp;"!O"&amp;ROW(B539))</f>
        <v/>
      </c>
      <c r="Z558" s="73" t="str">
        <f t="array" ref="Z558">INDIRECT("Update"&amp;Projections!$AH$17&amp;"!P"&amp;ROW(B539))</f>
        <v/>
      </c>
      <c r="AA558" s="73" t="str">
        <f t="array" ref="AA558">INDIRECT("Update"&amp;Projections!$AH$17&amp;"!Q"&amp;ROW(B539))</f>
        <v/>
      </c>
      <c r="AB558" s="107" t="str">
        <f t="array" ref="AB558">INDIRECT("Update"&amp;Projections!$AH$17&amp;"!I"&amp;ROW(B539))</f>
        <v/>
      </c>
      <c r="AC558" s="107" t="str">
        <f t="array" ref="AC558">INDIRECT("Update"&amp;Projections!$AH$17&amp;"!K"&amp;ROW(B539))</f>
        <v/>
      </c>
      <c r="AD558" s="73" t="str">
        <f t="array" ref="AD558">INDIRECT("Update"&amp;Projections!$AH$17&amp;"!R"&amp;ROW(B539))</f>
        <v/>
      </c>
      <c r="AE558" s="73">
        <f t="shared" si="16"/>
        <v>-3.155358621</v>
      </c>
      <c r="AF558" s="73">
        <f t="shared" si="17"/>
        <v>-1.740686581</v>
      </c>
      <c r="AG558" s="73">
        <f t="shared" si="18"/>
        <v>-2.380599106</v>
      </c>
      <c r="AH558" s="73">
        <f t="shared" si="19"/>
        <v>-1.79320266</v>
      </c>
      <c r="AI558" s="73">
        <f t="shared" si="20"/>
        <v>-3.240190514</v>
      </c>
      <c r="AJ558" s="73">
        <f t="shared" si="21"/>
        <v>-1.329092151</v>
      </c>
      <c r="AK558" s="73">
        <f t="shared" si="22"/>
        <v>0</v>
      </c>
      <c r="AL558" s="73">
        <f t="shared" si="23"/>
        <v>0</v>
      </c>
      <c r="AM558" s="73">
        <f t="shared" si="24"/>
        <v>0.433638093</v>
      </c>
      <c r="AN558" s="120">
        <f t="shared" si="25"/>
        <v>-3.240190514</v>
      </c>
      <c r="AO558" s="120">
        <f t="shared" si="26"/>
        <v>-6.395549135</v>
      </c>
      <c r="AP558" s="120" t="str">
        <f t="array" ref="AP558">INDIRECT("Update"&amp;Projections!$AH$17&amp;"!S"&amp;ROW(B539))</f>
        <v/>
      </c>
      <c r="AQ558" s="120" t="str">
        <f t="array" ref="AQ558">INDIRECT("Update"&amp;Projections!$AH$17&amp;"!T"&amp;ROW(B539))</f>
        <v/>
      </c>
      <c r="AR558" s="100">
        <f t="shared" si="27"/>
        <v>-9.965301026</v>
      </c>
    </row>
    <row r="559">
      <c r="A559" t="str">
        <f t="shared" si="3"/>
        <v/>
      </c>
      <c r="B559" s="42">
        <f t="shared" si="4"/>
        <v>-3.155358621</v>
      </c>
      <c r="C559" s="43">
        <f t="shared" si="5"/>
        <v>-1.740686581</v>
      </c>
      <c r="D559" s="42">
        <f t="shared" si="6"/>
        <v>-2.380599106</v>
      </c>
      <c r="E559" s="42">
        <f t="shared" si="7"/>
        <v>-1.79320266</v>
      </c>
      <c r="F559" s="42">
        <f t="shared" si="8"/>
        <v>-3.240190514</v>
      </c>
      <c r="G559" s="42">
        <f t="shared" si="9"/>
        <v>-1.329092151</v>
      </c>
      <c r="H559" s="42">
        <f t="shared" si="10"/>
        <v>0</v>
      </c>
      <c r="I559" s="42" t="str">
        <f>UpdateHashtag!S557</f>
        <v/>
      </c>
      <c r="J559" s="47">
        <f t="shared" si="11"/>
        <v>0</v>
      </c>
      <c r="K559" s="48" t="str">
        <f>UpdateHashtag!T557</f>
        <v/>
      </c>
      <c r="L559" s="42">
        <f t="shared" si="12"/>
        <v>-1.734552372</v>
      </c>
      <c r="N559" s="100">
        <f t="shared" si="13"/>
        <v>401</v>
      </c>
      <c r="O559" s="94" t="str">
        <f t="array" ref="O559">INDIRECT("Update"&amp;Projections!$AH$17&amp;"!B"&amp;ROW(B540))</f>
        <v/>
      </c>
      <c r="P559" s="414" t="str">
        <f t="array" ref="P559">INDIRECT("Update"&amp;Projections!$AH$17&amp;"!C"&amp;ROW(B540))</f>
        <v/>
      </c>
      <c r="Q559" s="94" t="str">
        <f>UpdateHashtag!F589</f>
        <v/>
      </c>
      <c r="R559" s="105" t="str">
        <f t="array" ref="R559">INDIRECT("Update"&amp;Projections!$AH$17&amp;"!D"&amp;ROW(B540))</f>
        <v/>
      </c>
      <c r="S559" s="73">
        <f t="shared" si="14"/>
        <v>-9.965301026</v>
      </c>
      <c r="T559" s="73">
        <f>SUM(AE559:AM559)-IFERROR(IFS(Projections!$I$17,AN559,Projections!$J$17,AO559),"")</f>
        <v>-9.965301026</v>
      </c>
      <c r="U559" s="73">
        <f t="shared" si="15"/>
        <v>0</v>
      </c>
      <c r="V559" s="73" t="str">
        <f t="array" ref="V559">INDIRECT("Update"&amp;Projections!$AH$17&amp;"!M"&amp;ROW(B540))</f>
        <v/>
      </c>
      <c r="W559" s="73" t="str">
        <f t="array" ref="W559">INDIRECT("Update"&amp;Projections!$AH$17&amp;"!L"&amp;ROW(B540))</f>
        <v/>
      </c>
      <c r="X559" s="73" t="str">
        <f t="array" ref="X559">INDIRECT("Update"&amp;Projections!$AH$17&amp;"!N"&amp;ROW(B540))</f>
        <v/>
      </c>
      <c r="Y559" s="73" t="str">
        <f t="array" ref="Y559">INDIRECT("Update"&amp;Projections!$AH$17&amp;"!O"&amp;ROW(B540))</f>
        <v/>
      </c>
      <c r="Z559" s="73" t="str">
        <f t="array" ref="Z559">INDIRECT("Update"&amp;Projections!$AH$17&amp;"!P"&amp;ROW(B540))</f>
        <v/>
      </c>
      <c r="AA559" s="73" t="str">
        <f t="array" ref="AA559">INDIRECT("Update"&amp;Projections!$AH$17&amp;"!Q"&amp;ROW(B540))</f>
        <v/>
      </c>
      <c r="AB559" s="107" t="str">
        <f t="array" ref="AB559">INDIRECT("Update"&amp;Projections!$AH$17&amp;"!I"&amp;ROW(B540))</f>
        <v/>
      </c>
      <c r="AC559" s="107" t="str">
        <f t="array" ref="AC559">INDIRECT("Update"&amp;Projections!$AH$17&amp;"!K"&amp;ROW(B540))</f>
        <v/>
      </c>
      <c r="AD559" s="73" t="str">
        <f t="array" ref="AD559">INDIRECT("Update"&amp;Projections!$AH$17&amp;"!R"&amp;ROW(B540))</f>
        <v/>
      </c>
      <c r="AE559" s="73">
        <f t="shared" si="16"/>
        <v>-3.155358621</v>
      </c>
      <c r="AF559" s="73">
        <f t="shared" si="17"/>
        <v>-1.740686581</v>
      </c>
      <c r="AG559" s="73">
        <f t="shared" si="18"/>
        <v>-2.380599106</v>
      </c>
      <c r="AH559" s="73">
        <f t="shared" si="19"/>
        <v>-1.79320266</v>
      </c>
      <c r="AI559" s="73">
        <f t="shared" si="20"/>
        <v>-3.240190514</v>
      </c>
      <c r="AJ559" s="73">
        <f t="shared" si="21"/>
        <v>-1.329092151</v>
      </c>
      <c r="AK559" s="73">
        <f t="shared" si="22"/>
        <v>0</v>
      </c>
      <c r="AL559" s="73">
        <f t="shared" si="23"/>
        <v>0</v>
      </c>
      <c r="AM559" s="73">
        <f t="shared" si="24"/>
        <v>0.433638093</v>
      </c>
      <c r="AN559" s="120">
        <f t="shared" si="25"/>
        <v>-3.240190514</v>
      </c>
      <c r="AO559" s="120">
        <f t="shared" si="26"/>
        <v>-6.395549135</v>
      </c>
      <c r="AP559" s="120" t="str">
        <f t="array" ref="AP559">INDIRECT("Update"&amp;Projections!$AH$17&amp;"!S"&amp;ROW(B540))</f>
        <v/>
      </c>
      <c r="AQ559" s="120" t="str">
        <f t="array" ref="AQ559">INDIRECT("Update"&amp;Projections!$AH$17&amp;"!T"&amp;ROW(B540))</f>
        <v/>
      </c>
      <c r="AR559" s="100">
        <f t="shared" si="27"/>
        <v>-9.965301026</v>
      </c>
    </row>
    <row r="560">
      <c r="A560" t="str">
        <f t="shared" si="3"/>
        <v/>
      </c>
      <c r="B560" s="42">
        <f t="shared" si="4"/>
        <v>-3.155358621</v>
      </c>
      <c r="C560" s="43">
        <f t="shared" si="5"/>
        <v>-1.740686581</v>
      </c>
      <c r="D560" s="42">
        <f t="shared" si="6"/>
        <v>-2.380599106</v>
      </c>
      <c r="E560" s="42">
        <f t="shared" si="7"/>
        <v>-1.79320266</v>
      </c>
      <c r="F560" s="42">
        <f t="shared" si="8"/>
        <v>-3.240190514</v>
      </c>
      <c r="G560" s="42">
        <f t="shared" si="9"/>
        <v>-1.329092151</v>
      </c>
      <c r="H560" s="42">
        <f t="shared" si="10"/>
        <v>0</v>
      </c>
      <c r="I560" s="42" t="str">
        <f>UpdateHashtag!S558</f>
        <v/>
      </c>
      <c r="J560" s="47">
        <f t="shared" si="11"/>
        <v>0</v>
      </c>
      <c r="K560" s="48" t="str">
        <f>UpdateHashtag!T558</f>
        <v/>
      </c>
      <c r="L560" s="42">
        <f t="shared" si="12"/>
        <v>-1.734552372</v>
      </c>
      <c r="N560" s="100">
        <f t="shared" si="13"/>
        <v>401</v>
      </c>
      <c r="O560" s="94" t="str">
        <f t="array" ref="O560">INDIRECT("Update"&amp;Projections!$AH$17&amp;"!B"&amp;ROW(B541))</f>
        <v/>
      </c>
      <c r="P560" s="414" t="str">
        <f t="array" ref="P560">INDIRECT("Update"&amp;Projections!$AH$17&amp;"!C"&amp;ROW(B541))</f>
        <v/>
      </c>
      <c r="Q560" s="94" t="str">
        <f>UpdateHashtag!F590</f>
        <v/>
      </c>
      <c r="R560" s="105" t="str">
        <f t="array" ref="R560">INDIRECT("Update"&amp;Projections!$AH$17&amp;"!D"&amp;ROW(B541))</f>
        <v/>
      </c>
      <c r="S560" s="73">
        <f t="shared" si="14"/>
        <v>-9.965301026</v>
      </c>
      <c r="T560" s="73">
        <f>SUM(AE560:AM560)-IFERROR(IFS(Projections!$I$17,AN560,Projections!$J$17,AO560),"")</f>
        <v>-9.965301026</v>
      </c>
      <c r="U560" s="73">
        <f t="shared" si="15"/>
        <v>0</v>
      </c>
      <c r="V560" s="73" t="str">
        <f t="array" ref="V560">INDIRECT("Update"&amp;Projections!$AH$17&amp;"!M"&amp;ROW(B541))</f>
        <v/>
      </c>
      <c r="W560" s="73" t="str">
        <f t="array" ref="W560">INDIRECT("Update"&amp;Projections!$AH$17&amp;"!L"&amp;ROW(B541))</f>
        <v/>
      </c>
      <c r="X560" s="73" t="str">
        <f t="array" ref="X560">INDIRECT("Update"&amp;Projections!$AH$17&amp;"!N"&amp;ROW(B541))</f>
        <v/>
      </c>
      <c r="Y560" s="73" t="str">
        <f t="array" ref="Y560">INDIRECT("Update"&amp;Projections!$AH$17&amp;"!O"&amp;ROW(B541))</f>
        <v/>
      </c>
      <c r="Z560" s="73" t="str">
        <f t="array" ref="Z560">INDIRECT("Update"&amp;Projections!$AH$17&amp;"!P"&amp;ROW(B541))</f>
        <v/>
      </c>
      <c r="AA560" s="73" t="str">
        <f t="array" ref="AA560">INDIRECT("Update"&amp;Projections!$AH$17&amp;"!Q"&amp;ROW(B541))</f>
        <v/>
      </c>
      <c r="AB560" s="107" t="str">
        <f t="array" ref="AB560">INDIRECT("Update"&amp;Projections!$AH$17&amp;"!I"&amp;ROW(B541))</f>
        <v/>
      </c>
      <c r="AC560" s="107" t="str">
        <f t="array" ref="AC560">INDIRECT("Update"&amp;Projections!$AH$17&amp;"!K"&amp;ROW(B541))</f>
        <v/>
      </c>
      <c r="AD560" s="73" t="str">
        <f t="array" ref="AD560">INDIRECT("Update"&amp;Projections!$AH$17&amp;"!R"&amp;ROW(B541))</f>
        <v/>
      </c>
      <c r="AE560" s="73">
        <f t="shared" si="16"/>
        <v>-3.155358621</v>
      </c>
      <c r="AF560" s="73">
        <f t="shared" si="17"/>
        <v>-1.740686581</v>
      </c>
      <c r="AG560" s="73">
        <f t="shared" si="18"/>
        <v>-2.380599106</v>
      </c>
      <c r="AH560" s="73">
        <f t="shared" si="19"/>
        <v>-1.79320266</v>
      </c>
      <c r="AI560" s="73">
        <f t="shared" si="20"/>
        <v>-3.240190514</v>
      </c>
      <c r="AJ560" s="73">
        <f t="shared" si="21"/>
        <v>-1.329092151</v>
      </c>
      <c r="AK560" s="73">
        <f t="shared" si="22"/>
        <v>0</v>
      </c>
      <c r="AL560" s="73">
        <f t="shared" si="23"/>
        <v>0</v>
      </c>
      <c r="AM560" s="73">
        <f t="shared" si="24"/>
        <v>0.433638093</v>
      </c>
      <c r="AN560" s="120">
        <f t="shared" si="25"/>
        <v>-3.240190514</v>
      </c>
      <c r="AO560" s="120">
        <f t="shared" si="26"/>
        <v>-6.395549135</v>
      </c>
      <c r="AP560" s="120" t="str">
        <f t="array" ref="AP560">INDIRECT("Update"&amp;Projections!$AH$17&amp;"!S"&amp;ROW(B541))</f>
        <v/>
      </c>
      <c r="AQ560" s="120" t="str">
        <f t="array" ref="AQ560">INDIRECT("Update"&amp;Projections!$AH$17&amp;"!T"&amp;ROW(B541))</f>
        <v/>
      </c>
      <c r="AR560" s="100">
        <f t="shared" si="27"/>
        <v>-9.965301026</v>
      </c>
    </row>
    <row r="561">
      <c r="A561" t="str">
        <f t="shared" si="3"/>
        <v/>
      </c>
      <c r="B561" s="42">
        <f t="shared" si="4"/>
        <v>-3.155358621</v>
      </c>
      <c r="C561" s="43">
        <f t="shared" si="5"/>
        <v>-1.740686581</v>
      </c>
      <c r="D561" s="42">
        <f t="shared" si="6"/>
        <v>-2.380599106</v>
      </c>
      <c r="E561" s="42">
        <f t="shared" si="7"/>
        <v>-1.79320266</v>
      </c>
      <c r="F561" s="42">
        <f t="shared" si="8"/>
        <v>-3.240190514</v>
      </c>
      <c r="G561" s="42">
        <f t="shared" si="9"/>
        <v>-1.329092151</v>
      </c>
      <c r="H561" s="42">
        <f t="shared" si="10"/>
        <v>0</v>
      </c>
      <c r="I561" s="42" t="str">
        <f>UpdateHashtag!S559</f>
        <v/>
      </c>
      <c r="J561" s="47">
        <f t="shared" si="11"/>
        <v>0</v>
      </c>
      <c r="K561" s="48" t="str">
        <f>UpdateHashtag!T559</f>
        <v/>
      </c>
      <c r="L561" s="42">
        <f t="shared" si="12"/>
        <v>-1.734552372</v>
      </c>
      <c r="N561" s="100">
        <f t="shared" si="13"/>
        <v>401</v>
      </c>
      <c r="O561" s="94" t="str">
        <f t="array" ref="O561">INDIRECT("Update"&amp;Projections!$AH$17&amp;"!B"&amp;ROW(B542))</f>
        <v/>
      </c>
      <c r="P561" s="414" t="str">
        <f t="array" ref="P561">INDIRECT("Update"&amp;Projections!$AH$17&amp;"!C"&amp;ROW(B542))</f>
        <v/>
      </c>
      <c r="Q561" s="94" t="str">
        <f>UpdateHashtag!F591</f>
        <v/>
      </c>
      <c r="R561" s="105" t="str">
        <f t="array" ref="R561">INDIRECT("Update"&amp;Projections!$AH$17&amp;"!D"&amp;ROW(B542))</f>
        <v/>
      </c>
      <c r="S561" s="73">
        <f t="shared" si="14"/>
        <v>-9.965301026</v>
      </c>
      <c r="T561" s="73">
        <f>SUM(AE561:AM561)-IFERROR(IFS(Projections!$I$17,AN561,Projections!$J$17,AO561),"")</f>
        <v>-9.965301026</v>
      </c>
      <c r="U561" s="73">
        <f t="shared" si="15"/>
        <v>0</v>
      </c>
      <c r="V561" s="73" t="str">
        <f t="array" ref="V561">INDIRECT("Update"&amp;Projections!$AH$17&amp;"!M"&amp;ROW(B542))</f>
        <v/>
      </c>
      <c r="W561" s="73" t="str">
        <f t="array" ref="W561">INDIRECT("Update"&amp;Projections!$AH$17&amp;"!L"&amp;ROW(B542))</f>
        <v/>
      </c>
      <c r="X561" s="73" t="str">
        <f t="array" ref="X561">INDIRECT("Update"&amp;Projections!$AH$17&amp;"!N"&amp;ROW(B542))</f>
        <v/>
      </c>
      <c r="Y561" s="73" t="str">
        <f t="array" ref="Y561">INDIRECT("Update"&amp;Projections!$AH$17&amp;"!O"&amp;ROW(B542))</f>
        <v/>
      </c>
      <c r="Z561" s="73" t="str">
        <f t="array" ref="Z561">INDIRECT("Update"&amp;Projections!$AH$17&amp;"!P"&amp;ROW(B542))</f>
        <v/>
      </c>
      <c r="AA561" s="73" t="str">
        <f t="array" ref="AA561">INDIRECT("Update"&amp;Projections!$AH$17&amp;"!Q"&amp;ROW(B542))</f>
        <v/>
      </c>
      <c r="AB561" s="107" t="str">
        <f t="array" ref="AB561">INDIRECT("Update"&amp;Projections!$AH$17&amp;"!I"&amp;ROW(B542))</f>
        <v/>
      </c>
      <c r="AC561" s="107" t="str">
        <f t="array" ref="AC561">INDIRECT("Update"&amp;Projections!$AH$17&amp;"!K"&amp;ROW(B542))</f>
        <v/>
      </c>
      <c r="AD561" s="73" t="str">
        <f t="array" ref="AD561">INDIRECT("Update"&amp;Projections!$AH$17&amp;"!R"&amp;ROW(B542))</f>
        <v/>
      </c>
      <c r="AE561" s="73">
        <f t="shared" si="16"/>
        <v>-3.155358621</v>
      </c>
      <c r="AF561" s="73">
        <f t="shared" si="17"/>
        <v>-1.740686581</v>
      </c>
      <c r="AG561" s="73">
        <f t="shared" si="18"/>
        <v>-2.380599106</v>
      </c>
      <c r="AH561" s="73">
        <f t="shared" si="19"/>
        <v>-1.79320266</v>
      </c>
      <c r="AI561" s="73">
        <f t="shared" si="20"/>
        <v>-3.240190514</v>
      </c>
      <c r="AJ561" s="73">
        <f t="shared" si="21"/>
        <v>-1.329092151</v>
      </c>
      <c r="AK561" s="73">
        <f t="shared" si="22"/>
        <v>0</v>
      </c>
      <c r="AL561" s="73">
        <f t="shared" si="23"/>
        <v>0</v>
      </c>
      <c r="AM561" s="73">
        <f t="shared" si="24"/>
        <v>0.433638093</v>
      </c>
      <c r="AN561" s="120">
        <f t="shared" si="25"/>
        <v>-3.240190514</v>
      </c>
      <c r="AO561" s="120">
        <f t="shared" si="26"/>
        <v>-6.395549135</v>
      </c>
      <c r="AP561" s="120" t="str">
        <f t="array" ref="AP561">INDIRECT("Update"&amp;Projections!$AH$17&amp;"!S"&amp;ROW(B542))</f>
        <v/>
      </c>
      <c r="AQ561" s="120" t="str">
        <f t="array" ref="AQ561">INDIRECT("Update"&amp;Projections!$AH$17&amp;"!T"&amp;ROW(B542))</f>
        <v/>
      </c>
      <c r="AR561" s="100">
        <f t="shared" si="27"/>
        <v>-9.965301026</v>
      </c>
    </row>
    <row r="562">
      <c r="A562" t="str">
        <f t="shared" si="3"/>
        <v/>
      </c>
      <c r="B562" s="42">
        <f t="shared" si="4"/>
        <v>-3.155358621</v>
      </c>
      <c r="C562" s="43">
        <f t="shared" si="5"/>
        <v>-1.740686581</v>
      </c>
      <c r="D562" s="42">
        <f t="shared" si="6"/>
        <v>-2.380599106</v>
      </c>
      <c r="E562" s="42">
        <f t="shared" si="7"/>
        <v>-1.79320266</v>
      </c>
      <c r="F562" s="42">
        <f t="shared" si="8"/>
        <v>-3.240190514</v>
      </c>
      <c r="G562" s="42">
        <f t="shared" si="9"/>
        <v>-1.329092151</v>
      </c>
      <c r="H562" s="42">
        <f t="shared" si="10"/>
        <v>0</v>
      </c>
      <c r="I562" s="42" t="str">
        <f>UpdateHashtag!S560</f>
        <v/>
      </c>
      <c r="J562" s="47">
        <f t="shared" si="11"/>
        <v>0</v>
      </c>
      <c r="K562" s="48" t="str">
        <f>UpdateHashtag!T560</f>
        <v/>
      </c>
      <c r="L562" s="42">
        <f t="shared" si="12"/>
        <v>-1.734552372</v>
      </c>
      <c r="N562" s="100">
        <f t="shared" si="13"/>
        <v>401</v>
      </c>
      <c r="O562" s="94" t="str">
        <f t="array" ref="O562">INDIRECT("Update"&amp;Projections!$AH$17&amp;"!B"&amp;ROW(B543))</f>
        <v/>
      </c>
      <c r="P562" s="414" t="str">
        <f t="array" ref="P562">INDIRECT("Update"&amp;Projections!$AH$17&amp;"!C"&amp;ROW(B543))</f>
        <v/>
      </c>
      <c r="Q562" s="94" t="str">
        <f>UpdateHashtag!F592</f>
        <v/>
      </c>
      <c r="R562" s="105" t="str">
        <f t="array" ref="R562">INDIRECT("Update"&amp;Projections!$AH$17&amp;"!D"&amp;ROW(B543))</f>
        <v/>
      </c>
      <c r="S562" s="73">
        <f t="shared" si="14"/>
        <v>-9.965301026</v>
      </c>
      <c r="T562" s="73">
        <f>SUM(AE562:AM562)-IFERROR(IFS(Projections!$I$17,AN562,Projections!$J$17,AO562),"")</f>
        <v>-9.965301026</v>
      </c>
      <c r="U562" s="73">
        <f t="shared" si="15"/>
        <v>0</v>
      </c>
      <c r="V562" s="73" t="str">
        <f t="array" ref="V562">INDIRECT("Update"&amp;Projections!$AH$17&amp;"!M"&amp;ROW(B543))</f>
        <v/>
      </c>
      <c r="W562" s="73" t="str">
        <f t="array" ref="W562">INDIRECT("Update"&amp;Projections!$AH$17&amp;"!L"&amp;ROW(B543))</f>
        <v/>
      </c>
      <c r="X562" s="73" t="str">
        <f t="array" ref="X562">INDIRECT("Update"&amp;Projections!$AH$17&amp;"!N"&amp;ROW(B543))</f>
        <v/>
      </c>
      <c r="Y562" s="73" t="str">
        <f t="array" ref="Y562">INDIRECT("Update"&amp;Projections!$AH$17&amp;"!O"&amp;ROW(B543))</f>
        <v/>
      </c>
      <c r="Z562" s="73" t="str">
        <f t="array" ref="Z562">INDIRECT("Update"&amp;Projections!$AH$17&amp;"!P"&amp;ROW(B543))</f>
        <v/>
      </c>
      <c r="AA562" s="73" t="str">
        <f t="array" ref="AA562">INDIRECT("Update"&amp;Projections!$AH$17&amp;"!Q"&amp;ROW(B543))</f>
        <v/>
      </c>
      <c r="AB562" s="107" t="str">
        <f t="array" ref="AB562">INDIRECT("Update"&amp;Projections!$AH$17&amp;"!I"&amp;ROW(B543))</f>
        <v/>
      </c>
      <c r="AC562" s="107" t="str">
        <f t="array" ref="AC562">INDIRECT("Update"&amp;Projections!$AH$17&amp;"!K"&amp;ROW(B543))</f>
        <v/>
      </c>
      <c r="AD562" s="73" t="str">
        <f t="array" ref="AD562">INDIRECT("Update"&amp;Projections!$AH$17&amp;"!R"&amp;ROW(B543))</f>
        <v/>
      </c>
      <c r="AE562" s="73">
        <f t="shared" si="16"/>
        <v>-3.155358621</v>
      </c>
      <c r="AF562" s="73">
        <f t="shared" si="17"/>
        <v>-1.740686581</v>
      </c>
      <c r="AG562" s="73">
        <f t="shared" si="18"/>
        <v>-2.380599106</v>
      </c>
      <c r="AH562" s="73">
        <f t="shared" si="19"/>
        <v>-1.79320266</v>
      </c>
      <c r="AI562" s="73">
        <f t="shared" si="20"/>
        <v>-3.240190514</v>
      </c>
      <c r="AJ562" s="73">
        <f t="shared" si="21"/>
        <v>-1.329092151</v>
      </c>
      <c r="AK562" s="73">
        <f t="shared" si="22"/>
        <v>0</v>
      </c>
      <c r="AL562" s="73">
        <f t="shared" si="23"/>
        <v>0</v>
      </c>
      <c r="AM562" s="73">
        <f t="shared" si="24"/>
        <v>0.433638093</v>
      </c>
      <c r="AN562" s="120">
        <f t="shared" si="25"/>
        <v>-3.240190514</v>
      </c>
      <c r="AO562" s="120">
        <f t="shared" si="26"/>
        <v>-6.395549135</v>
      </c>
      <c r="AP562" s="120" t="str">
        <f t="array" ref="AP562">INDIRECT("Update"&amp;Projections!$AH$17&amp;"!S"&amp;ROW(B543))</f>
        <v/>
      </c>
      <c r="AQ562" s="120" t="str">
        <f t="array" ref="AQ562">INDIRECT("Update"&amp;Projections!$AH$17&amp;"!T"&amp;ROW(B543))</f>
        <v/>
      </c>
      <c r="AR562" s="100">
        <f t="shared" si="27"/>
        <v>-9.965301026</v>
      </c>
    </row>
    <row r="563">
      <c r="A563" t="str">
        <f t="shared" si="3"/>
        <v/>
      </c>
      <c r="B563" s="42">
        <f t="shared" si="4"/>
        <v>-3.155358621</v>
      </c>
      <c r="C563" s="43">
        <f t="shared" si="5"/>
        <v>-1.740686581</v>
      </c>
      <c r="D563" s="42">
        <f t="shared" si="6"/>
        <v>-2.380599106</v>
      </c>
      <c r="E563" s="42">
        <f t="shared" si="7"/>
        <v>-1.79320266</v>
      </c>
      <c r="F563" s="42">
        <f t="shared" si="8"/>
        <v>-3.240190514</v>
      </c>
      <c r="G563" s="42">
        <f t="shared" si="9"/>
        <v>-1.329092151</v>
      </c>
      <c r="H563" s="42">
        <f t="shared" si="10"/>
        <v>0</v>
      </c>
      <c r="I563" s="42" t="str">
        <f>UpdateHashtag!S561</f>
        <v/>
      </c>
      <c r="J563" s="47">
        <f t="shared" si="11"/>
        <v>0</v>
      </c>
      <c r="K563" s="48" t="str">
        <f>UpdateHashtag!T561</f>
        <v/>
      </c>
      <c r="L563" s="42">
        <f t="shared" si="12"/>
        <v>-1.734552372</v>
      </c>
      <c r="N563" s="100">
        <f t="shared" si="13"/>
        <v>401</v>
      </c>
      <c r="O563" s="94" t="str">
        <f t="array" ref="O563">INDIRECT("Update"&amp;Projections!$AH$17&amp;"!B"&amp;ROW(B544))</f>
        <v/>
      </c>
      <c r="P563" s="414" t="str">
        <f t="array" ref="P563">INDIRECT("Update"&amp;Projections!$AH$17&amp;"!C"&amp;ROW(B544))</f>
        <v/>
      </c>
      <c r="Q563" s="94" t="str">
        <f>UpdateHashtag!F593</f>
        <v/>
      </c>
      <c r="R563" s="105" t="str">
        <f t="array" ref="R563">INDIRECT("Update"&amp;Projections!$AH$17&amp;"!D"&amp;ROW(B544))</f>
        <v/>
      </c>
      <c r="S563" s="73">
        <f t="shared" si="14"/>
        <v>-9.965301026</v>
      </c>
      <c r="T563" s="73">
        <f>SUM(AE563:AM563)-IFERROR(IFS(Projections!$I$17,AN563,Projections!$J$17,AO563),"")</f>
        <v>-9.965301026</v>
      </c>
      <c r="U563" s="73">
        <f t="shared" si="15"/>
        <v>0</v>
      </c>
      <c r="V563" s="73" t="str">
        <f t="array" ref="V563">INDIRECT("Update"&amp;Projections!$AH$17&amp;"!M"&amp;ROW(B544))</f>
        <v/>
      </c>
      <c r="W563" s="73" t="str">
        <f t="array" ref="W563">INDIRECT("Update"&amp;Projections!$AH$17&amp;"!L"&amp;ROW(B544))</f>
        <v/>
      </c>
      <c r="X563" s="73" t="str">
        <f t="array" ref="X563">INDIRECT("Update"&amp;Projections!$AH$17&amp;"!N"&amp;ROW(B544))</f>
        <v/>
      </c>
      <c r="Y563" s="73" t="str">
        <f t="array" ref="Y563">INDIRECT("Update"&amp;Projections!$AH$17&amp;"!O"&amp;ROW(B544))</f>
        <v/>
      </c>
      <c r="Z563" s="73" t="str">
        <f t="array" ref="Z563">INDIRECT("Update"&amp;Projections!$AH$17&amp;"!P"&amp;ROW(B544))</f>
        <v/>
      </c>
      <c r="AA563" s="73" t="str">
        <f t="array" ref="AA563">INDIRECT("Update"&amp;Projections!$AH$17&amp;"!Q"&amp;ROW(B544))</f>
        <v/>
      </c>
      <c r="AB563" s="107" t="str">
        <f t="array" ref="AB563">INDIRECT("Update"&amp;Projections!$AH$17&amp;"!I"&amp;ROW(B544))</f>
        <v/>
      </c>
      <c r="AC563" s="107" t="str">
        <f t="array" ref="AC563">INDIRECT("Update"&amp;Projections!$AH$17&amp;"!K"&amp;ROW(B544))</f>
        <v/>
      </c>
      <c r="AD563" s="73" t="str">
        <f t="array" ref="AD563">INDIRECT("Update"&amp;Projections!$AH$17&amp;"!R"&amp;ROW(B544))</f>
        <v/>
      </c>
      <c r="AE563" s="73">
        <f t="shared" si="16"/>
        <v>-3.155358621</v>
      </c>
      <c r="AF563" s="73">
        <f t="shared" si="17"/>
        <v>-1.740686581</v>
      </c>
      <c r="AG563" s="73">
        <f t="shared" si="18"/>
        <v>-2.380599106</v>
      </c>
      <c r="AH563" s="73">
        <f t="shared" si="19"/>
        <v>-1.79320266</v>
      </c>
      <c r="AI563" s="73">
        <f t="shared" si="20"/>
        <v>-3.240190514</v>
      </c>
      <c r="AJ563" s="73">
        <f t="shared" si="21"/>
        <v>-1.329092151</v>
      </c>
      <c r="AK563" s="73">
        <f t="shared" si="22"/>
        <v>0</v>
      </c>
      <c r="AL563" s="73">
        <f t="shared" si="23"/>
        <v>0</v>
      </c>
      <c r="AM563" s="73">
        <f t="shared" si="24"/>
        <v>0.433638093</v>
      </c>
      <c r="AN563" s="120">
        <f t="shared" si="25"/>
        <v>-3.240190514</v>
      </c>
      <c r="AO563" s="120">
        <f t="shared" si="26"/>
        <v>-6.395549135</v>
      </c>
      <c r="AP563" s="120" t="str">
        <f t="array" ref="AP563">INDIRECT("Update"&amp;Projections!$AH$17&amp;"!S"&amp;ROW(B544))</f>
        <v/>
      </c>
      <c r="AQ563" s="120" t="str">
        <f t="array" ref="AQ563">INDIRECT("Update"&amp;Projections!$AH$17&amp;"!T"&amp;ROW(B544))</f>
        <v/>
      </c>
      <c r="AR563" s="100">
        <f t="shared" si="27"/>
        <v>-9.965301026</v>
      </c>
    </row>
    <row r="564">
      <c r="A564" t="str">
        <f t="shared" si="3"/>
        <v/>
      </c>
      <c r="B564" s="42">
        <f t="shared" si="4"/>
        <v>-3.155358621</v>
      </c>
      <c r="C564" s="43">
        <f t="shared" si="5"/>
        <v>-1.740686581</v>
      </c>
      <c r="D564" s="42">
        <f t="shared" si="6"/>
        <v>-2.380599106</v>
      </c>
      <c r="E564" s="42">
        <f t="shared" si="7"/>
        <v>-1.79320266</v>
      </c>
      <c r="F564" s="42">
        <f t="shared" si="8"/>
        <v>-3.240190514</v>
      </c>
      <c r="G564" s="42">
        <f t="shared" si="9"/>
        <v>-1.329092151</v>
      </c>
      <c r="H564" s="42">
        <f t="shared" si="10"/>
        <v>0</v>
      </c>
      <c r="I564" s="42" t="str">
        <f>UpdateHashtag!S562</f>
        <v/>
      </c>
      <c r="J564" s="47">
        <f t="shared" si="11"/>
        <v>0</v>
      </c>
      <c r="K564" s="48" t="str">
        <f>UpdateHashtag!T562</f>
        <v/>
      </c>
      <c r="L564" s="42">
        <f t="shared" si="12"/>
        <v>-1.734552372</v>
      </c>
      <c r="N564" s="100">
        <f t="shared" si="13"/>
        <v>401</v>
      </c>
      <c r="O564" s="94" t="str">
        <f t="array" ref="O564">INDIRECT("Update"&amp;Projections!$AH$17&amp;"!B"&amp;ROW(B545))</f>
        <v/>
      </c>
      <c r="P564" s="414" t="str">
        <f t="array" ref="P564">INDIRECT("Update"&amp;Projections!$AH$17&amp;"!C"&amp;ROW(B545))</f>
        <v/>
      </c>
      <c r="Q564" s="94" t="str">
        <f>UpdateHashtag!F594</f>
        <v/>
      </c>
      <c r="R564" s="105" t="str">
        <f t="array" ref="R564">INDIRECT("Update"&amp;Projections!$AH$17&amp;"!D"&amp;ROW(B545))</f>
        <v/>
      </c>
      <c r="S564" s="73">
        <f t="shared" si="14"/>
        <v>-9.965301026</v>
      </c>
      <c r="T564" s="73">
        <f>SUM(AE564:AM564)-IFERROR(IFS(Projections!$I$17,AN564,Projections!$J$17,AO564),"")</f>
        <v>-9.965301026</v>
      </c>
      <c r="U564" s="73">
        <f t="shared" si="15"/>
        <v>0</v>
      </c>
      <c r="V564" s="73" t="str">
        <f t="array" ref="V564">INDIRECT("Update"&amp;Projections!$AH$17&amp;"!M"&amp;ROW(B545))</f>
        <v/>
      </c>
      <c r="W564" s="73" t="str">
        <f t="array" ref="W564">INDIRECT("Update"&amp;Projections!$AH$17&amp;"!L"&amp;ROW(B545))</f>
        <v/>
      </c>
      <c r="X564" s="73" t="str">
        <f t="array" ref="X564">INDIRECT("Update"&amp;Projections!$AH$17&amp;"!N"&amp;ROW(B545))</f>
        <v/>
      </c>
      <c r="Y564" s="73" t="str">
        <f t="array" ref="Y564">INDIRECT("Update"&amp;Projections!$AH$17&amp;"!O"&amp;ROW(B545))</f>
        <v/>
      </c>
      <c r="Z564" s="73" t="str">
        <f t="array" ref="Z564">INDIRECT("Update"&amp;Projections!$AH$17&amp;"!P"&amp;ROW(B545))</f>
        <v/>
      </c>
      <c r="AA564" s="73" t="str">
        <f t="array" ref="AA564">INDIRECT("Update"&amp;Projections!$AH$17&amp;"!Q"&amp;ROW(B545))</f>
        <v/>
      </c>
      <c r="AB564" s="107" t="str">
        <f t="array" ref="AB564">INDIRECT("Update"&amp;Projections!$AH$17&amp;"!I"&amp;ROW(B545))</f>
        <v/>
      </c>
      <c r="AC564" s="107" t="str">
        <f t="array" ref="AC564">INDIRECT("Update"&amp;Projections!$AH$17&amp;"!K"&amp;ROW(B545))</f>
        <v/>
      </c>
      <c r="AD564" s="73" t="str">
        <f t="array" ref="AD564">INDIRECT("Update"&amp;Projections!$AH$17&amp;"!R"&amp;ROW(B545))</f>
        <v/>
      </c>
      <c r="AE564" s="73">
        <f t="shared" si="16"/>
        <v>-3.155358621</v>
      </c>
      <c r="AF564" s="73">
        <f t="shared" si="17"/>
        <v>-1.740686581</v>
      </c>
      <c r="AG564" s="73">
        <f t="shared" si="18"/>
        <v>-2.380599106</v>
      </c>
      <c r="AH564" s="73">
        <f t="shared" si="19"/>
        <v>-1.79320266</v>
      </c>
      <c r="AI564" s="73">
        <f t="shared" si="20"/>
        <v>-3.240190514</v>
      </c>
      <c r="AJ564" s="73">
        <f t="shared" si="21"/>
        <v>-1.329092151</v>
      </c>
      <c r="AK564" s="73">
        <f t="shared" si="22"/>
        <v>0</v>
      </c>
      <c r="AL564" s="73">
        <f t="shared" si="23"/>
        <v>0</v>
      </c>
      <c r="AM564" s="73">
        <f t="shared" si="24"/>
        <v>0.433638093</v>
      </c>
      <c r="AN564" s="120">
        <f t="shared" si="25"/>
        <v>-3.240190514</v>
      </c>
      <c r="AO564" s="120">
        <f t="shared" si="26"/>
        <v>-6.395549135</v>
      </c>
      <c r="AP564" s="120" t="str">
        <f t="array" ref="AP564">INDIRECT("Update"&amp;Projections!$AH$17&amp;"!S"&amp;ROW(B545))</f>
        <v/>
      </c>
      <c r="AQ564" s="120" t="str">
        <f t="array" ref="AQ564">INDIRECT("Update"&amp;Projections!$AH$17&amp;"!T"&amp;ROW(B545))</f>
        <v/>
      </c>
      <c r="AR564" s="100">
        <f t="shared" si="27"/>
        <v>-9.965301026</v>
      </c>
    </row>
    <row r="565">
      <c r="A565" t="str">
        <f t="shared" si="3"/>
        <v/>
      </c>
      <c r="B565" s="42">
        <f t="shared" si="4"/>
        <v>-3.155358621</v>
      </c>
      <c r="C565" s="43">
        <f t="shared" si="5"/>
        <v>-1.740686581</v>
      </c>
      <c r="D565" s="42">
        <f t="shared" si="6"/>
        <v>-2.380599106</v>
      </c>
      <c r="E565" s="42">
        <f t="shared" si="7"/>
        <v>-1.79320266</v>
      </c>
      <c r="F565" s="42">
        <f t="shared" si="8"/>
        <v>-3.240190514</v>
      </c>
      <c r="G565" s="42">
        <f t="shared" si="9"/>
        <v>-1.329092151</v>
      </c>
      <c r="H565" s="42">
        <f t="shared" si="10"/>
        <v>0</v>
      </c>
      <c r="I565" s="42" t="str">
        <f>UpdateHashtag!S563</f>
        <v/>
      </c>
      <c r="J565" s="47">
        <f t="shared" si="11"/>
        <v>0</v>
      </c>
      <c r="K565" s="48" t="str">
        <f>UpdateHashtag!T563</f>
        <v/>
      </c>
      <c r="L565" s="42">
        <f t="shared" si="12"/>
        <v>-1.734552372</v>
      </c>
      <c r="N565" s="100">
        <f t="shared" si="13"/>
        <v>401</v>
      </c>
      <c r="O565" s="94" t="str">
        <f t="array" ref="O565">INDIRECT("Update"&amp;Projections!$AH$17&amp;"!B"&amp;ROW(B546))</f>
        <v/>
      </c>
      <c r="P565" s="414" t="str">
        <f t="array" ref="P565">INDIRECT("Update"&amp;Projections!$AH$17&amp;"!C"&amp;ROW(B546))</f>
        <v/>
      </c>
      <c r="Q565" s="94" t="str">
        <f>UpdateHashtag!F595</f>
        <v/>
      </c>
      <c r="R565" s="105" t="str">
        <f t="array" ref="R565">INDIRECT("Update"&amp;Projections!$AH$17&amp;"!D"&amp;ROW(B546))</f>
        <v/>
      </c>
      <c r="S565" s="73">
        <f t="shared" si="14"/>
        <v>-9.965301026</v>
      </c>
      <c r="T565" s="73">
        <f>SUM(AE565:AM565)-IFERROR(IFS(Projections!$I$17,AN565,Projections!$J$17,AO565),"")</f>
        <v>-9.965301026</v>
      </c>
      <c r="U565" s="73">
        <f t="shared" si="15"/>
        <v>0</v>
      </c>
      <c r="V565" s="73" t="str">
        <f t="array" ref="V565">INDIRECT("Update"&amp;Projections!$AH$17&amp;"!M"&amp;ROW(B546))</f>
        <v/>
      </c>
      <c r="W565" s="73" t="str">
        <f t="array" ref="W565">INDIRECT("Update"&amp;Projections!$AH$17&amp;"!L"&amp;ROW(B546))</f>
        <v/>
      </c>
      <c r="X565" s="73" t="str">
        <f t="array" ref="X565">INDIRECT("Update"&amp;Projections!$AH$17&amp;"!N"&amp;ROW(B546))</f>
        <v/>
      </c>
      <c r="Y565" s="73" t="str">
        <f t="array" ref="Y565">INDIRECT("Update"&amp;Projections!$AH$17&amp;"!O"&amp;ROW(B546))</f>
        <v/>
      </c>
      <c r="Z565" s="73" t="str">
        <f t="array" ref="Z565">INDIRECT("Update"&amp;Projections!$AH$17&amp;"!P"&amp;ROW(B546))</f>
        <v/>
      </c>
      <c r="AA565" s="73" t="str">
        <f t="array" ref="AA565">INDIRECT("Update"&amp;Projections!$AH$17&amp;"!Q"&amp;ROW(B546))</f>
        <v/>
      </c>
      <c r="AB565" s="107" t="str">
        <f t="array" ref="AB565">INDIRECT("Update"&amp;Projections!$AH$17&amp;"!I"&amp;ROW(B546))</f>
        <v/>
      </c>
      <c r="AC565" s="107" t="str">
        <f t="array" ref="AC565">INDIRECT("Update"&amp;Projections!$AH$17&amp;"!K"&amp;ROW(B546))</f>
        <v/>
      </c>
      <c r="AD565" s="73" t="str">
        <f t="array" ref="AD565">INDIRECT("Update"&amp;Projections!$AH$17&amp;"!R"&amp;ROW(B546))</f>
        <v/>
      </c>
      <c r="AE565" s="73">
        <f t="shared" si="16"/>
        <v>-3.155358621</v>
      </c>
      <c r="AF565" s="73">
        <f t="shared" si="17"/>
        <v>-1.740686581</v>
      </c>
      <c r="AG565" s="73">
        <f t="shared" si="18"/>
        <v>-2.380599106</v>
      </c>
      <c r="AH565" s="73">
        <f t="shared" si="19"/>
        <v>-1.79320266</v>
      </c>
      <c r="AI565" s="73">
        <f t="shared" si="20"/>
        <v>-3.240190514</v>
      </c>
      <c r="AJ565" s="73">
        <f t="shared" si="21"/>
        <v>-1.329092151</v>
      </c>
      <c r="AK565" s="73">
        <f t="shared" si="22"/>
        <v>0</v>
      </c>
      <c r="AL565" s="73">
        <f t="shared" si="23"/>
        <v>0</v>
      </c>
      <c r="AM565" s="73">
        <f t="shared" si="24"/>
        <v>0.433638093</v>
      </c>
      <c r="AN565" s="120">
        <f t="shared" si="25"/>
        <v>-3.240190514</v>
      </c>
      <c r="AO565" s="120">
        <f t="shared" si="26"/>
        <v>-6.395549135</v>
      </c>
      <c r="AP565" s="120" t="str">
        <f t="array" ref="AP565">INDIRECT("Update"&amp;Projections!$AH$17&amp;"!S"&amp;ROW(B546))</f>
        <v/>
      </c>
      <c r="AQ565" s="120" t="str">
        <f t="array" ref="AQ565">INDIRECT("Update"&amp;Projections!$AH$17&amp;"!T"&amp;ROW(B546))</f>
        <v/>
      </c>
      <c r="AR565" s="100">
        <f t="shared" si="27"/>
        <v>-9.965301026</v>
      </c>
    </row>
    <row r="566">
      <c r="A566" t="str">
        <f t="shared" si="3"/>
        <v/>
      </c>
      <c r="B566" s="42">
        <f t="shared" si="4"/>
        <v>-3.155358621</v>
      </c>
      <c r="C566" s="43">
        <f t="shared" si="5"/>
        <v>-1.740686581</v>
      </c>
      <c r="D566" s="42">
        <f t="shared" si="6"/>
        <v>-2.380599106</v>
      </c>
      <c r="E566" s="42">
        <f t="shared" si="7"/>
        <v>-1.79320266</v>
      </c>
      <c r="F566" s="42">
        <f t="shared" si="8"/>
        <v>-3.240190514</v>
      </c>
      <c r="G566" s="42">
        <f t="shared" si="9"/>
        <v>-1.329092151</v>
      </c>
      <c r="H566" s="42">
        <f t="shared" si="10"/>
        <v>0</v>
      </c>
      <c r="I566" s="42" t="str">
        <f>UpdateHashtag!S564</f>
        <v/>
      </c>
      <c r="J566" s="47">
        <f t="shared" si="11"/>
        <v>0</v>
      </c>
      <c r="K566" s="48" t="str">
        <f>UpdateHashtag!T564</f>
        <v/>
      </c>
      <c r="L566" s="42">
        <f t="shared" si="12"/>
        <v>-1.734552372</v>
      </c>
      <c r="N566" s="100">
        <f t="shared" si="13"/>
        <v>401</v>
      </c>
      <c r="O566" s="94" t="str">
        <f t="array" ref="O566">INDIRECT("Update"&amp;Projections!$AH$17&amp;"!B"&amp;ROW(B547))</f>
        <v/>
      </c>
      <c r="P566" s="414" t="str">
        <f t="array" ref="P566">INDIRECT("Update"&amp;Projections!$AH$17&amp;"!C"&amp;ROW(B547))</f>
        <v/>
      </c>
      <c r="Q566" s="94" t="str">
        <f>UpdateHashtag!F596</f>
        <v/>
      </c>
      <c r="R566" s="105" t="str">
        <f t="array" ref="R566">INDIRECT("Update"&amp;Projections!$AH$17&amp;"!D"&amp;ROW(B547))</f>
        <v/>
      </c>
      <c r="S566" s="73">
        <f t="shared" si="14"/>
        <v>-9.965301026</v>
      </c>
      <c r="T566" s="73">
        <f>SUM(AE566:AM566)-IFERROR(IFS(Projections!$I$17,AN566,Projections!$J$17,AO566),"")</f>
        <v>-9.965301026</v>
      </c>
      <c r="U566" s="73">
        <f t="shared" si="15"/>
        <v>0</v>
      </c>
      <c r="V566" s="73" t="str">
        <f t="array" ref="V566">INDIRECT("Update"&amp;Projections!$AH$17&amp;"!M"&amp;ROW(B547))</f>
        <v/>
      </c>
      <c r="W566" s="73" t="str">
        <f t="array" ref="W566">INDIRECT("Update"&amp;Projections!$AH$17&amp;"!L"&amp;ROW(B547))</f>
        <v/>
      </c>
      <c r="X566" s="73" t="str">
        <f t="array" ref="X566">INDIRECT("Update"&amp;Projections!$AH$17&amp;"!N"&amp;ROW(B547))</f>
        <v/>
      </c>
      <c r="Y566" s="73" t="str">
        <f t="array" ref="Y566">INDIRECT("Update"&amp;Projections!$AH$17&amp;"!O"&amp;ROW(B547))</f>
        <v/>
      </c>
      <c r="Z566" s="73" t="str">
        <f t="array" ref="Z566">INDIRECT("Update"&amp;Projections!$AH$17&amp;"!P"&amp;ROW(B547))</f>
        <v/>
      </c>
      <c r="AA566" s="73" t="str">
        <f t="array" ref="AA566">INDIRECT("Update"&amp;Projections!$AH$17&amp;"!Q"&amp;ROW(B547))</f>
        <v/>
      </c>
      <c r="AB566" s="107" t="str">
        <f t="array" ref="AB566">INDIRECT("Update"&amp;Projections!$AH$17&amp;"!I"&amp;ROW(B547))</f>
        <v/>
      </c>
      <c r="AC566" s="107" t="str">
        <f t="array" ref="AC566">INDIRECT("Update"&amp;Projections!$AH$17&amp;"!K"&amp;ROW(B547))</f>
        <v/>
      </c>
      <c r="AD566" s="73" t="str">
        <f t="array" ref="AD566">INDIRECT("Update"&amp;Projections!$AH$17&amp;"!R"&amp;ROW(B547))</f>
        <v/>
      </c>
      <c r="AE566" s="73">
        <f t="shared" si="16"/>
        <v>-3.155358621</v>
      </c>
      <c r="AF566" s="73">
        <f t="shared" si="17"/>
        <v>-1.740686581</v>
      </c>
      <c r="AG566" s="73">
        <f t="shared" si="18"/>
        <v>-2.380599106</v>
      </c>
      <c r="AH566" s="73">
        <f t="shared" si="19"/>
        <v>-1.79320266</v>
      </c>
      <c r="AI566" s="73">
        <f t="shared" si="20"/>
        <v>-3.240190514</v>
      </c>
      <c r="AJ566" s="73">
        <f t="shared" si="21"/>
        <v>-1.329092151</v>
      </c>
      <c r="AK566" s="73">
        <f t="shared" si="22"/>
        <v>0</v>
      </c>
      <c r="AL566" s="73">
        <f t="shared" si="23"/>
        <v>0</v>
      </c>
      <c r="AM566" s="73">
        <f t="shared" si="24"/>
        <v>0.433638093</v>
      </c>
      <c r="AN566" s="120">
        <f t="shared" si="25"/>
        <v>-3.240190514</v>
      </c>
      <c r="AO566" s="120">
        <f t="shared" si="26"/>
        <v>-6.395549135</v>
      </c>
      <c r="AP566" s="120" t="str">
        <f t="array" ref="AP566">INDIRECT("Update"&amp;Projections!$AH$17&amp;"!S"&amp;ROW(B547))</f>
        <v/>
      </c>
      <c r="AQ566" s="120" t="str">
        <f t="array" ref="AQ566">INDIRECT("Update"&amp;Projections!$AH$17&amp;"!T"&amp;ROW(B547))</f>
        <v/>
      </c>
      <c r="AR566" s="100">
        <f t="shared" si="27"/>
        <v>-9.965301026</v>
      </c>
    </row>
    <row r="567">
      <c r="A567" t="str">
        <f t="shared" si="3"/>
        <v/>
      </c>
      <c r="B567" s="42">
        <f t="shared" si="4"/>
        <v>-3.155358621</v>
      </c>
      <c r="C567" s="43">
        <f t="shared" si="5"/>
        <v>-1.740686581</v>
      </c>
      <c r="D567" s="42">
        <f t="shared" si="6"/>
        <v>-2.380599106</v>
      </c>
      <c r="E567" s="42">
        <f t="shared" si="7"/>
        <v>-1.79320266</v>
      </c>
      <c r="F567" s="42">
        <f t="shared" si="8"/>
        <v>-3.240190514</v>
      </c>
      <c r="G567" s="42">
        <f t="shared" si="9"/>
        <v>-1.329092151</v>
      </c>
      <c r="H567" s="42">
        <f t="shared" si="10"/>
        <v>0</v>
      </c>
      <c r="I567" s="42" t="str">
        <f>UpdateHashtag!S565</f>
        <v/>
      </c>
      <c r="J567" s="47">
        <f t="shared" si="11"/>
        <v>0</v>
      </c>
      <c r="K567" s="48" t="str">
        <f>UpdateHashtag!T565</f>
        <v/>
      </c>
      <c r="L567" s="42">
        <f t="shared" si="12"/>
        <v>-1.734552372</v>
      </c>
      <c r="N567" s="100">
        <f t="shared" si="13"/>
        <v>401</v>
      </c>
      <c r="O567" s="94" t="str">
        <f t="array" ref="O567">INDIRECT("Update"&amp;Projections!$AH$17&amp;"!B"&amp;ROW(B548))</f>
        <v/>
      </c>
      <c r="P567" s="414" t="str">
        <f t="array" ref="P567">INDIRECT("Update"&amp;Projections!$AH$17&amp;"!C"&amp;ROW(B548))</f>
        <v/>
      </c>
      <c r="Q567" s="94" t="str">
        <f>UpdateHashtag!F597</f>
        <v/>
      </c>
      <c r="R567" s="105" t="str">
        <f t="array" ref="R567">INDIRECT("Update"&amp;Projections!$AH$17&amp;"!D"&amp;ROW(B548))</f>
        <v/>
      </c>
      <c r="S567" s="73">
        <f t="shared" si="14"/>
        <v>-9.965301026</v>
      </c>
      <c r="T567" s="73">
        <f>SUM(AE567:AM567)-IFERROR(IFS(Projections!$I$17,AN567,Projections!$J$17,AO567),"")</f>
        <v>-9.965301026</v>
      </c>
      <c r="U567" s="73">
        <f t="shared" si="15"/>
        <v>0</v>
      </c>
      <c r="V567" s="73" t="str">
        <f t="array" ref="V567">INDIRECT("Update"&amp;Projections!$AH$17&amp;"!M"&amp;ROW(B548))</f>
        <v/>
      </c>
      <c r="W567" s="73" t="str">
        <f t="array" ref="W567">INDIRECT("Update"&amp;Projections!$AH$17&amp;"!L"&amp;ROW(B548))</f>
        <v/>
      </c>
      <c r="X567" s="73" t="str">
        <f t="array" ref="X567">INDIRECT("Update"&amp;Projections!$AH$17&amp;"!N"&amp;ROW(B548))</f>
        <v/>
      </c>
      <c r="Y567" s="73" t="str">
        <f t="array" ref="Y567">INDIRECT("Update"&amp;Projections!$AH$17&amp;"!O"&amp;ROW(B548))</f>
        <v/>
      </c>
      <c r="Z567" s="73" t="str">
        <f t="array" ref="Z567">INDIRECT("Update"&amp;Projections!$AH$17&amp;"!P"&amp;ROW(B548))</f>
        <v/>
      </c>
      <c r="AA567" s="73" t="str">
        <f t="array" ref="AA567">INDIRECT("Update"&amp;Projections!$AH$17&amp;"!Q"&amp;ROW(B548))</f>
        <v/>
      </c>
      <c r="AB567" s="107" t="str">
        <f t="array" ref="AB567">INDIRECT("Update"&amp;Projections!$AH$17&amp;"!I"&amp;ROW(B548))</f>
        <v/>
      </c>
      <c r="AC567" s="107" t="str">
        <f t="array" ref="AC567">INDIRECT("Update"&amp;Projections!$AH$17&amp;"!K"&amp;ROW(B548))</f>
        <v/>
      </c>
      <c r="AD567" s="73" t="str">
        <f t="array" ref="AD567">INDIRECT("Update"&amp;Projections!$AH$17&amp;"!R"&amp;ROW(B548))</f>
        <v/>
      </c>
      <c r="AE567" s="73">
        <f t="shared" si="16"/>
        <v>-3.155358621</v>
      </c>
      <c r="AF567" s="73">
        <f t="shared" si="17"/>
        <v>-1.740686581</v>
      </c>
      <c r="AG567" s="73">
        <f t="shared" si="18"/>
        <v>-2.380599106</v>
      </c>
      <c r="AH567" s="73">
        <f t="shared" si="19"/>
        <v>-1.79320266</v>
      </c>
      <c r="AI567" s="73">
        <f t="shared" si="20"/>
        <v>-3.240190514</v>
      </c>
      <c r="AJ567" s="73">
        <f t="shared" si="21"/>
        <v>-1.329092151</v>
      </c>
      <c r="AK567" s="73">
        <f t="shared" si="22"/>
        <v>0</v>
      </c>
      <c r="AL567" s="73">
        <f t="shared" si="23"/>
        <v>0</v>
      </c>
      <c r="AM567" s="73">
        <f t="shared" si="24"/>
        <v>0.433638093</v>
      </c>
      <c r="AN567" s="120">
        <f t="shared" si="25"/>
        <v>-3.240190514</v>
      </c>
      <c r="AO567" s="120">
        <f t="shared" si="26"/>
        <v>-6.395549135</v>
      </c>
      <c r="AP567" s="120" t="str">
        <f t="array" ref="AP567">INDIRECT("Update"&amp;Projections!$AH$17&amp;"!S"&amp;ROW(B548))</f>
        <v/>
      </c>
      <c r="AQ567" s="120" t="str">
        <f t="array" ref="AQ567">INDIRECT("Update"&amp;Projections!$AH$17&amp;"!T"&amp;ROW(B548))</f>
        <v/>
      </c>
      <c r="AR567" s="100">
        <f t="shared" si="27"/>
        <v>-9.965301026</v>
      </c>
    </row>
    <row r="568">
      <c r="A568" t="str">
        <f t="shared" si="3"/>
        <v/>
      </c>
      <c r="B568" s="42">
        <f t="shared" si="4"/>
        <v>-3.155358621</v>
      </c>
      <c r="C568" s="43">
        <f t="shared" si="5"/>
        <v>-1.740686581</v>
      </c>
      <c r="D568" s="42">
        <f t="shared" si="6"/>
        <v>-2.380599106</v>
      </c>
      <c r="E568" s="42">
        <f t="shared" si="7"/>
        <v>-1.79320266</v>
      </c>
      <c r="F568" s="42">
        <f t="shared" si="8"/>
        <v>-3.240190514</v>
      </c>
      <c r="G568" s="42">
        <f t="shared" si="9"/>
        <v>-1.329092151</v>
      </c>
      <c r="H568" s="42">
        <f t="shared" si="10"/>
        <v>0</v>
      </c>
      <c r="I568" s="42" t="str">
        <f>UpdateHashtag!S566</f>
        <v/>
      </c>
      <c r="J568" s="47">
        <f t="shared" si="11"/>
        <v>0</v>
      </c>
      <c r="K568" s="48" t="str">
        <f>UpdateHashtag!T566</f>
        <v/>
      </c>
      <c r="L568" s="42">
        <f t="shared" si="12"/>
        <v>-1.734552372</v>
      </c>
      <c r="N568" s="100">
        <f t="shared" si="13"/>
        <v>401</v>
      </c>
      <c r="O568" s="94" t="str">
        <f t="array" ref="O568">INDIRECT("Update"&amp;Projections!$AH$17&amp;"!B"&amp;ROW(B549))</f>
        <v/>
      </c>
      <c r="P568" s="414" t="str">
        <f t="array" ref="P568">INDIRECT("Update"&amp;Projections!$AH$17&amp;"!C"&amp;ROW(B549))</f>
        <v/>
      </c>
      <c r="Q568" s="94" t="str">
        <f>UpdateHashtag!F598</f>
        <v/>
      </c>
      <c r="R568" s="105" t="str">
        <f t="array" ref="R568">INDIRECT("Update"&amp;Projections!$AH$17&amp;"!D"&amp;ROW(B549))</f>
        <v/>
      </c>
      <c r="S568" s="73">
        <f t="shared" si="14"/>
        <v>-9.965301026</v>
      </c>
      <c r="T568" s="73">
        <f>SUM(AE568:AM568)-IFERROR(IFS(Projections!$I$17,AN568,Projections!$J$17,AO568),"")</f>
        <v>-9.965301026</v>
      </c>
      <c r="U568" s="73">
        <f t="shared" si="15"/>
        <v>0</v>
      </c>
      <c r="V568" s="73" t="str">
        <f t="array" ref="V568">INDIRECT("Update"&amp;Projections!$AH$17&amp;"!M"&amp;ROW(B549))</f>
        <v/>
      </c>
      <c r="W568" s="73" t="str">
        <f t="array" ref="W568">INDIRECT("Update"&amp;Projections!$AH$17&amp;"!L"&amp;ROW(B549))</f>
        <v/>
      </c>
      <c r="X568" s="73" t="str">
        <f t="array" ref="X568">INDIRECT("Update"&amp;Projections!$AH$17&amp;"!N"&amp;ROW(B549))</f>
        <v/>
      </c>
      <c r="Y568" s="73" t="str">
        <f t="array" ref="Y568">INDIRECT("Update"&amp;Projections!$AH$17&amp;"!O"&amp;ROW(B549))</f>
        <v/>
      </c>
      <c r="Z568" s="73" t="str">
        <f t="array" ref="Z568">INDIRECT("Update"&amp;Projections!$AH$17&amp;"!P"&amp;ROW(B549))</f>
        <v/>
      </c>
      <c r="AA568" s="73" t="str">
        <f t="array" ref="AA568">INDIRECT("Update"&amp;Projections!$AH$17&amp;"!Q"&amp;ROW(B549))</f>
        <v/>
      </c>
      <c r="AB568" s="107" t="str">
        <f t="array" ref="AB568">INDIRECT("Update"&amp;Projections!$AH$17&amp;"!I"&amp;ROW(B549))</f>
        <v/>
      </c>
      <c r="AC568" s="107" t="str">
        <f t="array" ref="AC568">INDIRECT("Update"&amp;Projections!$AH$17&amp;"!K"&amp;ROW(B549))</f>
        <v/>
      </c>
      <c r="AD568" s="73" t="str">
        <f t="array" ref="AD568">INDIRECT("Update"&amp;Projections!$AH$17&amp;"!R"&amp;ROW(B549))</f>
        <v/>
      </c>
      <c r="AE568" s="73">
        <f t="shared" si="16"/>
        <v>-3.155358621</v>
      </c>
      <c r="AF568" s="73">
        <f t="shared" si="17"/>
        <v>-1.740686581</v>
      </c>
      <c r="AG568" s="73">
        <f t="shared" si="18"/>
        <v>-2.380599106</v>
      </c>
      <c r="AH568" s="73">
        <f t="shared" si="19"/>
        <v>-1.79320266</v>
      </c>
      <c r="AI568" s="73">
        <f t="shared" si="20"/>
        <v>-3.240190514</v>
      </c>
      <c r="AJ568" s="73">
        <f t="shared" si="21"/>
        <v>-1.329092151</v>
      </c>
      <c r="AK568" s="73">
        <f t="shared" si="22"/>
        <v>0</v>
      </c>
      <c r="AL568" s="73">
        <f t="shared" si="23"/>
        <v>0</v>
      </c>
      <c r="AM568" s="73">
        <f t="shared" si="24"/>
        <v>0.433638093</v>
      </c>
      <c r="AN568" s="120">
        <f t="shared" si="25"/>
        <v>-3.240190514</v>
      </c>
      <c r="AO568" s="120">
        <f t="shared" si="26"/>
        <v>-6.395549135</v>
      </c>
      <c r="AP568" s="120" t="str">
        <f t="array" ref="AP568">INDIRECT("Update"&amp;Projections!$AH$17&amp;"!S"&amp;ROW(B549))</f>
        <v/>
      </c>
      <c r="AQ568" s="120" t="str">
        <f t="array" ref="AQ568">INDIRECT("Update"&amp;Projections!$AH$17&amp;"!T"&amp;ROW(B549))</f>
        <v/>
      </c>
      <c r="AR568" s="100">
        <f t="shared" si="27"/>
        <v>-9.965301026</v>
      </c>
    </row>
    <row r="569">
      <c r="A569" t="str">
        <f t="shared" si="3"/>
        <v/>
      </c>
      <c r="B569" s="42">
        <f t="shared" si="4"/>
        <v>-3.155358621</v>
      </c>
      <c r="C569" s="43">
        <f t="shared" si="5"/>
        <v>-1.740686581</v>
      </c>
      <c r="D569" s="42">
        <f t="shared" si="6"/>
        <v>-2.380599106</v>
      </c>
      <c r="E569" s="42">
        <f t="shared" si="7"/>
        <v>-1.79320266</v>
      </c>
      <c r="F569" s="42">
        <f t="shared" si="8"/>
        <v>-3.240190514</v>
      </c>
      <c r="G569" s="42">
        <f t="shared" si="9"/>
        <v>-1.329092151</v>
      </c>
      <c r="H569" s="42">
        <f t="shared" si="10"/>
        <v>0</v>
      </c>
      <c r="I569" s="42" t="str">
        <f>UpdateHashtag!S567</f>
        <v/>
      </c>
      <c r="J569" s="47">
        <f t="shared" si="11"/>
        <v>0</v>
      </c>
      <c r="K569" s="48" t="str">
        <f>UpdateHashtag!T567</f>
        <v/>
      </c>
      <c r="L569" s="42">
        <f t="shared" si="12"/>
        <v>-1.734552372</v>
      </c>
      <c r="N569" s="100">
        <f t="shared" si="13"/>
        <v>401</v>
      </c>
      <c r="O569" s="94" t="str">
        <f t="array" ref="O569">INDIRECT("Update"&amp;Projections!$AH$17&amp;"!B"&amp;ROW(B550))</f>
        <v/>
      </c>
      <c r="P569" s="414" t="str">
        <f t="array" ref="P569">INDIRECT("Update"&amp;Projections!$AH$17&amp;"!C"&amp;ROW(B550))</f>
        <v/>
      </c>
      <c r="Q569" s="94" t="str">
        <f>UpdateHashtag!F599</f>
        <v/>
      </c>
      <c r="R569" s="105" t="str">
        <f t="array" ref="R569">INDIRECT("Update"&amp;Projections!$AH$17&amp;"!D"&amp;ROW(B550))</f>
        <v/>
      </c>
      <c r="S569" s="73">
        <f t="shared" si="14"/>
        <v>-9.965301026</v>
      </c>
      <c r="T569" s="73">
        <f>SUM(AE569:AM569)-IFERROR(IFS(Projections!$I$17,AN569,Projections!$J$17,AO569),"")</f>
        <v>-9.965301026</v>
      </c>
      <c r="U569" s="73">
        <f t="shared" si="15"/>
        <v>0</v>
      </c>
      <c r="V569" s="73" t="str">
        <f t="array" ref="V569">INDIRECT("Update"&amp;Projections!$AH$17&amp;"!M"&amp;ROW(B550))</f>
        <v/>
      </c>
      <c r="W569" s="73" t="str">
        <f t="array" ref="W569">INDIRECT("Update"&amp;Projections!$AH$17&amp;"!L"&amp;ROW(B550))</f>
        <v/>
      </c>
      <c r="X569" s="73" t="str">
        <f t="array" ref="X569">INDIRECT("Update"&amp;Projections!$AH$17&amp;"!N"&amp;ROW(B550))</f>
        <v/>
      </c>
      <c r="Y569" s="73" t="str">
        <f t="array" ref="Y569">INDIRECT("Update"&amp;Projections!$AH$17&amp;"!O"&amp;ROW(B550))</f>
        <v/>
      </c>
      <c r="Z569" s="73" t="str">
        <f t="array" ref="Z569">INDIRECT("Update"&amp;Projections!$AH$17&amp;"!P"&amp;ROW(B550))</f>
        <v/>
      </c>
      <c r="AA569" s="73" t="str">
        <f t="array" ref="AA569">INDIRECT("Update"&amp;Projections!$AH$17&amp;"!Q"&amp;ROW(B550))</f>
        <v/>
      </c>
      <c r="AB569" s="107" t="str">
        <f t="array" ref="AB569">INDIRECT("Update"&amp;Projections!$AH$17&amp;"!I"&amp;ROW(B550))</f>
        <v/>
      </c>
      <c r="AC569" s="107" t="str">
        <f t="array" ref="AC569">INDIRECT("Update"&amp;Projections!$AH$17&amp;"!K"&amp;ROW(B550))</f>
        <v/>
      </c>
      <c r="AD569" s="73" t="str">
        <f t="array" ref="AD569">INDIRECT("Update"&amp;Projections!$AH$17&amp;"!R"&amp;ROW(B550))</f>
        <v/>
      </c>
      <c r="AE569" s="73">
        <f t="shared" si="16"/>
        <v>-3.155358621</v>
      </c>
      <c r="AF569" s="73">
        <f t="shared" si="17"/>
        <v>-1.740686581</v>
      </c>
      <c r="AG569" s="73">
        <f t="shared" si="18"/>
        <v>-2.380599106</v>
      </c>
      <c r="AH569" s="73">
        <f t="shared" si="19"/>
        <v>-1.79320266</v>
      </c>
      <c r="AI569" s="73">
        <f t="shared" si="20"/>
        <v>-3.240190514</v>
      </c>
      <c r="AJ569" s="73">
        <f t="shared" si="21"/>
        <v>-1.329092151</v>
      </c>
      <c r="AK569" s="73">
        <f t="shared" si="22"/>
        <v>0</v>
      </c>
      <c r="AL569" s="73">
        <f t="shared" si="23"/>
        <v>0</v>
      </c>
      <c r="AM569" s="73">
        <f t="shared" si="24"/>
        <v>0.433638093</v>
      </c>
      <c r="AN569" s="120">
        <f t="shared" si="25"/>
        <v>-3.240190514</v>
      </c>
      <c r="AO569" s="120">
        <f t="shared" si="26"/>
        <v>-6.395549135</v>
      </c>
      <c r="AP569" s="120" t="str">
        <f t="array" ref="AP569">INDIRECT("Update"&amp;Projections!$AH$17&amp;"!S"&amp;ROW(B550))</f>
        <v/>
      </c>
      <c r="AQ569" s="120" t="str">
        <f t="array" ref="AQ569">INDIRECT("Update"&amp;Projections!$AH$17&amp;"!T"&amp;ROW(B550))</f>
        <v/>
      </c>
      <c r="AR569" s="100">
        <f t="shared" si="27"/>
        <v>-9.965301026</v>
      </c>
    </row>
    <row r="570">
      <c r="A570" t="str">
        <f t="shared" si="3"/>
        <v/>
      </c>
      <c r="B570" s="42">
        <f t="shared" si="4"/>
        <v>-3.155358621</v>
      </c>
      <c r="C570" s="43">
        <f t="shared" si="5"/>
        <v>-1.740686581</v>
      </c>
      <c r="D570" s="42">
        <f t="shared" si="6"/>
        <v>-2.380599106</v>
      </c>
      <c r="E570" s="42">
        <f t="shared" si="7"/>
        <v>-1.79320266</v>
      </c>
      <c r="F570" s="42">
        <f t="shared" si="8"/>
        <v>-3.240190514</v>
      </c>
      <c r="G570" s="42">
        <f t="shared" si="9"/>
        <v>-1.329092151</v>
      </c>
      <c r="H570" s="42">
        <f t="shared" si="10"/>
        <v>0</v>
      </c>
      <c r="I570" s="42" t="str">
        <f>UpdateHashtag!S568</f>
        <v/>
      </c>
      <c r="J570" s="47">
        <f t="shared" si="11"/>
        <v>0</v>
      </c>
      <c r="K570" s="48" t="str">
        <f>UpdateHashtag!T568</f>
        <v/>
      </c>
      <c r="L570" s="42">
        <f t="shared" si="12"/>
        <v>-1.734552372</v>
      </c>
      <c r="N570" s="100">
        <f t="shared" si="13"/>
        <v>401</v>
      </c>
      <c r="O570" s="94" t="str">
        <f t="array" ref="O570">INDIRECT("Update"&amp;Projections!$AH$17&amp;"!B"&amp;ROW(B551))</f>
        <v/>
      </c>
      <c r="P570" s="414" t="str">
        <f t="array" ref="P570">INDIRECT("Update"&amp;Projections!$AH$17&amp;"!C"&amp;ROW(B551))</f>
        <v/>
      </c>
      <c r="Q570" s="94" t="str">
        <f>UpdateHashtag!F600</f>
        <v/>
      </c>
      <c r="R570" s="105" t="str">
        <f t="array" ref="R570">INDIRECT("Update"&amp;Projections!$AH$17&amp;"!D"&amp;ROW(B551))</f>
        <v/>
      </c>
      <c r="S570" s="73">
        <f t="shared" si="14"/>
        <v>-9.965301026</v>
      </c>
      <c r="T570" s="73">
        <f>SUM(AE570:AM570)-IFERROR(IFS(Projections!$I$17,AN570,Projections!$J$17,AO570),"")</f>
        <v>-9.965301026</v>
      </c>
      <c r="U570" s="73">
        <f t="shared" si="15"/>
        <v>0</v>
      </c>
      <c r="V570" s="73" t="str">
        <f t="array" ref="V570">INDIRECT("Update"&amp;Projections!$AH$17&amp;"!M"&amp;ROW(B551))</f>
        <v/>
      </c>
      <c r="W570" s="73" t="str">
        <f t="array" ref="W570">INDIRECT("Update"&amp;Projections!$AH$17&amp;"!L"&amp;ROW(B551))</f>
        <v/>
      </c>
      <c r="X570" s="73" t="str">
        <f t="array" ref="X570">INDIRECT("Update"&amp;Projections!$AH$17&amp;"!N"&amp;ROW(B551))</f>
        <v/>
      </c>
      <c r="Y570" s="73" t="str">
        <f t="array" ref="Y570">INDIRECT("Update"&amp;Projections!$AH$17&amp;"!O"&amp;ROW(B551))</f>
        <v/>
      </c>
      <c r="Z570" s="73" t="str">
        <f t="array" ref="Z570">INDIRECT("Update"&amp;Projections!$AH$17&amp;"!P"&amp;ROW(B551))</f>
        <v/>
      </c>
      <c r="AA570" s="73" t="str">
        <f t="array" ref="AA570">INDIRECT("Update"&amp;Projections!$AH$17&amp;"!Q"&amp;ROW(B551))</f>
        <v/>
      </c>
      <c r="AB570" s="107" t="str">
        <f t="array" ref="AB570">INDIRECT("Update"&amp;Projections!$AH$17&amp;"!I"&amp;ROW(B551))</f>
        <v/>
      </c>
      <c r="AC570" s="107" t="str">
        <f t="array" ref="AC570">INDIRECT("Update"&amp;Projections!$AH$17&amp;"!K"&amp;ROW(B551))</f>
        <v/>
      </c>
      <c r="AD570" s="73" t="str">
        <f t="array" ref="AD570">INDIRECT("Update"&amp;Projections!$AH$17&amp;"!R"&amp;ROW(B551))</f>
        <v/>
      </c>
      <c r="AE570" s="73">
        <f t="shared" si="16"/>
        <v>-3.155358621</v>
      </c>
      <c r="AF570" s="73">
        <f t="shared" si="17"/>
        <v>-1.740686581</v>
      </c>
      <c r="AG570" s="73">
        <f t="shared" si="18"/>
        <v>-2.380599106</v>
      </c>
      <c r="AH570" s="73">
        <f t="shared" si="19"/>
        <v>-1.79320266</v>
      </c>
      <c r="AI570" s="73">
        <f t="shared" si="20"/>
        <v>-3.240190514</v>
      </c>
      <c r="AJ570" s="73">
        <f t="shared" si="21"/>
        <v>-1.329092151</v>
      </c>
      <c r="AK570" s="73">
        <f t="shared" si="22"/>
        <v>0</v>
      </c>
      <c r="AL570" s="73">
        <f t="shared" si="23"/>
        <v>0</v>
      </c>
      <c r="AM570" s="73">
        <f t="shared" si="24"/>
        <v>0.433638093</v>
      </c>
      <c r="AN570" s="120">
        <f t="shared" si="25"/>
        <v>-3.240190514</v>
      </c>
      <c r="AO570" s="120">
        <f t="shared" si="26"/>
        <v>-6.395549135</v>
      </c>
      <c r="AP570" s="120" t="str">
        <f t="array" ref="AP570">INDIRECT("Update"&amp;Projections!$AH$17&amp;"!S"&amp;ROW(B551))</f>
        <v/>
      </c>
      <c r="AQ570" s="120" t="str">
        <f t="array" ref="AQ570">INDIRECT("Update"&amp;Projections!$AH$17&amp;"!T"&amp;ROW(B551))</f>
        <v/>
      </c>
      <c r="AR570" s="100">
        <f t="shared" si="27"/>
        <v>-9.965301026</v>
      </c>
    </row>
    <row r="571">
      <c r="A571" t="str">
        <f t="shared" si="3"/>
        <v/>
      </c>
      <c r="B571" s="42">
        <f t="shared" si="4"/>
        <v>-3.155358621</v>
      </c>
      <c r="C571" s="43">
        <f t="shared" si="5"/>
        <v>-1.740686581</v>
      </c>
      <c r="D571" s="42">
        <f t="shared" si="6"/>
        <v>-2.380599106</v>
      </c>
      <c r="E571" s="42">
        <f t="shared" si="7"/>
        <v>-1.79320266</v>
      </c>
      <c r="F571" s="42">
        <f t="shared" si="8"/>
        <v>-3.240190514</v>
      </c>
      <c r="G571" s="42">
        <f t="shared" si="9"/>
        <v>-1.329092151</v>
      </c>
      <c r="H571" s="42">
        <f t="shared" si="10"/>
        <v>0</v>
      </c>
      <c r="I571" s="42" t="str">
        <f>UpdateHashtag!S569</f>
        <v/>
      </c>
      <c r="J571" s="47">
        <f t="shared" si="11"/>
        <v>0</v>
      </c>
      <c r="K571" s="48" t="str">
        <f>UpdateHashtag!T569</f>
        <v/>
      </c>
      <c r="L571" s="42">
        <f t="shared" si="12"/>
        <v>-1.734552372</v>
      </c>
      <c r="N571" s="100">
        <f t="shared" si="13"/>
        <v>401</v>
      </c>
      <c r="O571" s="94" t="str">
        <f t="array" ref="O571">INDIRECT("Update"&amp;Projections!$AH$17&amp;"!B"&amp;ROW(B552))</f>
        <v/>
      </c>
      <c r="P571" s="414" t="str">
        <f t="array" ref="P571">INDIRECT("Update"&amp;Projections!$AH$17&amp;"!C"&amp;ROW(B552))</f>
        <v/>
      </c>
      <c r="Q571" s="94" t="str">
        <f>UpdateHashtag!F601</f>
        <v/>
      </c>
      <c r="R571" s="105" t="str">
        <f t="array" ref="R571">INDIRECT("Update"&amp;Projections!$AH$17&amp;"!D"&amp;ROW(B552))</f>
        <v/>
      </c>
      <c r="S571" s="73">
        <f t="shared" si="14"/>
        <v>-9.965301026</v>
      </c>
      <c r="T571" s="73">
        <f>SUM(AE571:AM571)-IFERROR(IFS(Projections!$I$17,AN571,Projections!$J$17,AO571),"")</f>
        <v>-9.965301026</v>
      </c>
      <c r="U571" s="73">
        <f t="shared" si="15"/>
        <v>0</v>
      </c>
      <c r="V571" s="73" t="str">
        <f t="array" ref="V571">INDIRECT("Update"&amp;Projections!$AH$17&amp;"!M"&amp;ROW(B552))</f>
        <v/>
      </c>
      <c r="W571" s="73" t="str">
        <f t="array" ref="W571">INDIRECT("Update"&amp;Projections!$AH$17&amp;"!L"&amp;ROW(B552))</f>
        <v/>
      </c>
      <c r="X571" s="73" t="str">
        <f t="array" ref="X571">INDIRECT("Update"&amp;Projections!$AH$17&amp;"!N"&amp;ROW(B552))</f>
        <v/>
      </c>
      <c r="Y571" s="73" t="str">
        <f t="array" ref="Y571">INDIRECT("Update"&amp;Projections!$AH$17&amp;"!O"&amp;ROW(B552))</f>
        <v/>
      </c>
      <c r="Z571" s="73" t="str">
        <f t="array" ref="Z571">INDIRECT("Update"&amp;Projections!$AH$17&amp;"!P"&amp;ROW(B552))</f>
        <v/>
      </c>
      <c r="AA571" s="73" t="str">
        <f t="array" ref="AA571">INDIRECT("Update"&amp;Projections!$AH$17&amp;"!Q"&amp;ROW(B552))</f>
        <v/>
      </c>
      <c r="AB571" s="107" t="str">
        <f t="array" ref="AB571">INDIRECT("Update"&amp;Projections!$AH$17&amp;"!I"&amp;ROW(B552))</f>
        <v/>
      </c>
      <c r="AC571" s="107" t="str">
        <f t="array" ref="AC571">INDIRECT("Update"&amp;Projections!$AH$17&amp;"!K"&amp;ROW(B552))</f>
        <v/>
      </c>
      <c r="AD571" s="73" t="str">
        <f t="array" ref="AD571">INDIRECT("Update"&amp;Projections!$AH$17&amp;"!R"&amp;ROW(B552))</f>
        <v/>
      </c>
      <c r="AE571" s="73">
        <f t="shared" si="16"/>
        <v>-3.155358621</v>
      </c>
      <c r="AF571" s="73">
        <f t="shared" si="17"/>
        <v>-1.740686581</v>
      </c>
      <c r="AG571" s="73">
        <f t="shared" si="18"/>
        <v>-2.380599106</v>
      </c>
      <c r="AH571" s="73">
        <f t="shared" si="19"/>
        <v>-1.79320266</v>
      </c>
      <c r="AI571" s="73">
        <f t="shared" si="20"/>
        <v>-3.240190514</v>
      </c>
      <c r="AJ571" s="73">
        <f t="shared" si="21"/>
        <v>-1.329092151</v>
      </c>
      <c r="AK571" s="73">
        <f t="shared" si="22"/>
        <v>0</v>
      </c>
      <c r="AL571" s="73">
        <f t="shared" si="23"/>
        <v>0</v>
      </c>
      <c r="AM571" s="73">
        <f t="shared" si="24"/>
        <v>0.433638093</v>
      </c>
      <c r="AN571" s="120">
        <f t="shared" si="25"/>
        <v>-3.240190514</v>
      </c>
      <c r="AO571" s="120">
        <f t="shared" si="26"/>
        <v>-6.395549135</v>
      </c>
      <c r="AP571" s="120" t="str">
        <f t="array" ref="AP571">INDIRECT("Update"&amp;Projections!$AH$17&amp;"!S"&amp;ROW(B552))</f>
        <v/>
      </c>
      <c r="AQ571" s="120" t="str">
        <f t="array" ref="AQ571">INDIRECT("Update"&amp;Projections!$AH$17&amp;"!T"&amp;ROW(B552))</f>
        <v/>
      </c>
      <c r="AR571" s="100">
        <f t="shared" si="27"/>
        <v>-9.965301026</v>
      </c>
    </row>
    <row r="572">
      <c r="A572" t="str">
        <f t="shared" si="3"/>
        <v/>
      </c>
      <c r="B572" s="42">
        <f t="shared" si="4"/>
        <v>-3.155358621</v>
      </c>
      <c r="C572" s="43">
        <f t="shared" si="5"/>
        <v>-1.740686581</v>
      </c>
      <c r="D572" s="42">
        <f t="shared" si="6"/>
        <v>-2.380599106</v>
      </c>
      <c r="E572" s="42">
        <f t="shared" si="7"/>
        <v>-1.79320266</v>
      </c>
      <c r="F572" s="42">
        <f t="shared" si="8"/>
        <v>-3.240190514</v>
      </c>
      <c r="G572" s="42">
        <f t="shared" si="9"/>
        <v>-1.329092151</v>
      </c>
      <c r="H572" s="42">
        <f t="shared" si="10"/>
        <v>0</v>
      </c>
      <c r="I572" s="42" t="str">
        <f>UpdateHashtag!S570</f>
        <v/>
      </c>
      <c r="J572" s="47">
        <f t="shared" si="11"/>
        <v>0</v>
      </c>
      <c r="K572" s="48" t="str">
        <f>UpdateHashtag!T570</f>
        <v/>
      </c>
      <c r="L572" s="42">
        <f t="shared" si="12"/>
        <v>-1.734552372</v>
      </c>
      <c r="N572" s="100">
        <f t="shared" si="13"/>
        <v>401</v>
      </c>
      <c r="O572" s="94" t="str">
        <f t="array" ref="O572">INDIRECT("Update"&amp;Projections!$AH$17&amp;"!B"&amp;ROW(B553))</f>
        <v/>
      </c>
      <c r="P572" s="414" t="str">
        <f t="array" ref="P572">INDIRECT("Update"&amp;Projections!$AH$17&amp;"!C"&amp;ROW(B553))</f>
        <v/>
      </c>
      <c r="Q572" s="94" t="str">
        <f>UpdateHashtag!F602</f>
        <v/>
      </c>
      <c r="R572" s="105" t="str">
        <f t="array" ref="R572">INDIRECT("Update"&amp;Projections!$AH$17&amp;"!D"&amp;ROW(B553))</f>
        <v/>
      </c>
      <c r="S572" s="73">
        <f t="shared" si="14"/>
        <v>-9.965301026</v>
      </c>
      <c r="T572" s="73">
        <f>SUM(AE572:AM572)-IFERROR(IFS(Projections!$I$17,AN572,Projections!$J$17,AO572),"")</f>
        <v>-9.965301026</v>
      </c>
      <c r="U572" s="73">
        <f t="shared" si="15"/>
        <v>0</v>
      </c>
      <c r="V572" s="73" t="str">
        <f t="array" ref="V572">INDIRECT("Update"&amp;Projections!$AH$17&amp;"!M"&amp;ROW(B553))</f>
        <v/>
      </c>
      <c r="W572" s="73" t="str">
        <f t="array" ref="W572">INDIRECT("Update"&amp;Projections!$AH$17&amp;"!L"&amp;ROW(B553))</f>
        <v/>
      </c>
      <c r="X572" s="73" t="str">
        <f t="array" ref="X572">INDIRECT("Update"&amp;Projections!$AH$17&amp;"!N"&amp;ROW(B553))</f>
        <v/>
      </c>
      <c r="Y572" s="73" t="str">
        <f t="array" ref="Y572">INDIRECT("Update"&amp;Projections!$AH$17&amp;"!O"&amp;ROW(B553))</f>
        <v/>
      </c>
      <c r="Z572" s="73" t="str">
        <f t="array" ref="Z572">INDIRECT("Update"&amp;Projections!$AH$17&amp;"!P"&amp;ROW(B553))</f>
        <v/>
      </c>
      <c r="AA572" s="73" t="str">
        <f t="array" ref="AA572">INDIRECT("Update"&amp;Projections!$AH$17&amp;"!Q"&amp;ROW(B553))</f>
        <v/>
      </c>
      <c r="AB572" s="107" t="str">
        <f t="array" ref="AB572">INDIRECT("Update"&amp;Projections!$AH$17&amp;"!I"&amp;ROW(B553))</f>
        <v/>
      </c>
      <c r="AC572" s="107" t="str">
        <f t="array" ref="AC572">INDIRECT("Update"&amp;Projections!$AH$17&amp;"!K"&amp;ROW(B553))</f>
        <v/>
      </c>
      <c r="AD572" s="73" t="str">
        <f t="array" ref="AD572">INDIRECT("Update"&amp;Projections!$AH$17&amp;"!R"&amp;ROW(B553))</f>
        <v/>
      </c>
      <c r="AE572" s="73">
        <f t="shared" si="16"/>
        <v>-3.155358621</v>
      </c>
      <c r="AF572" s="73">
        <f t="shared" si="17"/>
        <v>-1.740686581</v>
      </c>
      <c r="AG572" s="73">
        <f t="shared" si="18"/>
        <v>-2.380599106</v>
      </c>
      <c r="AH572" s="73">
        <f t="shared" si="19"/>
        <v>-1.79320266</v>
      </c>
      <c r="AI572" s="73">
        <f t="shared" si="20"/>
        <v>-3.240190514</v>
      </c>
      <c r="AJ572" s="73">
        <f t="shared" si="21"/>
        <v>-1.329092151</v>
      </c>
      <c r="AK572" s="73">
        <f t="shared" si="22"/>
        <v>0</v>
      </c>
      <c r="AL572" s="73">
        <f t="shared" si="23"/>
        <v>0</v>
      </c>
      <c r="AM572" s="73">
        <f t="shared" si="24"/>
        <v>0.433638093</v>
      </c>
      <c r="AN572" s="120">
        <f t="shared" si="25"/>
        <v>-3.240190514</v>
      </c>
      <c r="AO572" s="120">
        <f t="shared" si="26"/>
        <v>-6.395549135</v>
      </c>
      <c r="AP572" s="120" t="str">
        <f t="array" ref="AP572">INDIRECT("Update"&amp;Projections!$AH$17&amp;"!S"&amp;ROW(B553))</f>
        <v/>
      </c>
      <c r="AQ572" s="120" t="str">
        <f t="array" ref="AQ572">INDIRECT("Update"&amp;Projections!$AH$17&amp;"!T"&amp;ROW(B553))</f>
        <v/>
      </c>
      <c r="AR572" s="100">
        <f t="shared" si="27"/>
        <v>-9.965301026</v>
      </c>
    </row>
    <row r="573">
      <c r="A573" t="str">
        <f t="shared" si="3"/>
        <v/>
      </c>
      <c r="B573" s="42">
        <f t="shared" si="4"/>
        <v>-3.155358621</v>
      </c>
      <c r="C573" s="43">
        <f t="shared" si="5"/>
        <v>-1.740686581</v>
      </c>
      <c r="D573" s="42">
        <f t="shared" si="6"/>
        <v>-2.380599106</v>
      </c>
      <c r="E573" s="42">
        <f t="shared" si="7"/>
        <v>-1.79320266</v>
      </c>
      <c r="F573" s="42">
        <f t="shared" si="8"/>
        <v>-3.240190514</v>
      </c>
      <c r="G573" s="42">
        <f t="shared" si="9"/>
        <v>-1.329092151</v>
      </c>
      <c r="H573" s="42">
        <f t="shared" si="10"/>
        <v>0</v>
      </c>
      <c r="I573" s="42" t="str">
        <f>UpdateHashtag!S571</f>
        <v/>
      </c>
      <c r="J573" s="47">
        <f t="shared" si="11"/>
        <v>0</v>
      </c>
      <c r="K573" s="48" t="str">
        <f>UpdateHashtag!T571</f>
        <v/>
      </c>
      <c r="L573" s="42">
        <f t="shared" si="12"/>
        <v>-1.734552372</v>
      </c>
      <c r="N573" s="100">
        <f t="shared" si="13"/>
        <v>401</v>
      </c>
      <c r="O573" s="94" t="str">
        <f t="array" ref="O573">INDIRECT("Update"&amp;Projections!$AH$17&amp;"!B"&amp;ROW(B554))</f>
        <v/>
      </c>
      <c r="P573" s="414" t="str">
        <f t="array" ref="P573">INDIRECT("Update"&amp;Projections!$AH$17&amp;"!C"&amp;ROW(B554))</f>
        <v/>
      </c>
      <c r="Q573" s="94" t="str">
        <f>UpdateHashtag!F603</f>
        <v/>
      </c>
      <c r="R573" s="105" t="str">
        <f t="array" ref="R573">INDIRECT("Update"&amp;Projections!$AH$17&amp;"!D"&amp;ROW(B554))</f>
        <v/>
      </c>
      <c r="S573" s="73">
        <f t="shared" si="14"/>
        <v>-9.965301026</v>
      </c>
      <c r="T573" s="73">
        <f>SUM(AE573:AM573)-IFERROR(IFS(Projections!$I$17,AN573,Projections!$J$17,AO573),"")</f>
        <v>-9.965301026</v>
      </c>
      <c r="U573" s="73">
        <f t="shared" si="15"/>
        <v>0</v>
      </c>
      <c r="V573" s="73" t="str">
        <f t="array" ref="V573">INDIRECT("Update"&amp;Projections!$AH$17&amp;"!M"&amp;ROW(B554))</f>
        <v/>
      </c>
      <c r="W573" s="73" t="str">
        <f t="array" ref="W573">INDIRECT("Update"&amp;Projections!$AH$17&amp;"!L"&amp;ROW(B554))</f>
        <v/>
      </c>
      <c r="X573" s="73" t="str">
        <f t="array" ref="X573">INDIRECT("Update"&amp;Projections!$AH$17&amp;"!N"&amp;ROW(B554))</f>
        <v/>
      </c>
      <c r="Y573" s="73" t="str">
        <f t="array" ref="Y573">INDIRECT("Update"&amp;Projections!$AH$17&amp;"!O"&amp;ROW(B554))</f>
        <v/>
      </c>
      <c r="Z573" s="73" t="str">
        <f t="array" ref="Z573">INDIRECT("Update"&amp;Projections!$AH$17&amp;"!P"&amp;ROW(B554))</f>
        <v/>
      </c>
      <c r="AA573" s="73" t="str">
        <f t="array" ref="AA573">INDIRECT("Update"&amp;Projections!$AH$17&amp;"!Q"&amp;ROW(B554))</f>
        <v/>
      </c>
      <c r="AB573" s="107" t="str">
        <f t="array" ref="AB573">INDIRECT("Update"&amp;Projections!$AH$17&amp;"!I"&amp;ROW(B554))</f>
        <v/>
      </c>
      <c r="AC573" s="107" t="str">
        <f t="array" ref="AC573">INDIRECT("Update"&amp;Projections!$AH$17&amp;"!K"&amp;ROW(B554))</f>
        <v/>
      </c>
      <c r="AD573" s="73" t="str">
        <f t="array" ref="AD573">INDIRECT("Update"&amp;Projections!$AH$17&amp;"!R"&amp;ROW(B554))</f>
        <v/>
      </c>
      <c r="AE573" s="73">
        <f t="shared" si="16"/>
        <v>-3.155358621</v>
      </c>
      <c r="AF573" s="73">
        <f t="shared" si="17"/>
        <v>-1.740686581</v>
      </c>
      <c r="AG573" s="73">
        <f t="shared" si="18"/>
        <v>-2.380599106</v>
      </c>
      <c r="AH573" s="73">
        <f t="shared" si="19"/>
        <v>-1.79320266</v>
      </c>
      <c r="AI573" s="73">
        <f t="shared" si="20"/>
        <v>-3.240190514</v>
      </c>
      <c r="AJ573" s="73">
        <f t="shared" si="21"/>
        <v>-1.329092151</v>
      </c>
      <c r="AK573" s="73">
        <f t="shared" si="22"/>
        <v>0</v>
      </c>
      <c r="AL573" s="73">
        <f t="shared" si="23"/>
        <v>0</v>
      </c>
      <c r="AM573" s="73">
        <f t="shared" si="24"/>
        <v>0.433638093</v>
      </c>
      <c r="AN573" s="120">
        <f t="shared" si="25"/>
        <v>-3.240190514</v>
      </c>
      <c r="AO573" s="120">
        <f t="shared" si="26"/>
        <v>-6.395549135</v>
      </c>
      <c r="AP573" s="120" t="str">
        <f t="array" ref="AP573">INDIRECT("Update"&amp;Projections!$AH$17&amp;"!S"&amp;ROW(B554))</f>
        <v/>
      </c>
      <c r="AQ573" s="120" t="str">
        <f t="array" ref="AQ573">INDIRECT("Update"&amp;Projections!$AH$17&amp;"!T"&amp;ROW(B554))</f>
        <v/>
      </c>
      <c r="AR573" s="100">
        <f t="shared" si="27"/>
        <v>-9.965301026</v>
      </c>
    </row>
    <row r="574">
      <c r="A574" t="str">
        <f t="shared" si="3"/>
        <v/>
      </c>
      <c r="B574" s="42">
        <f t="shared" si="4"/>
        <v>-3.155358621</v>
      </c>
      <c r="C574" s="43">
        <f t="shared" si="5"/>
        <v>-1.740686581</v>
      </c>
      <c r="D574" s="42">
        <f t="shared" si="6"/>
        <v>-2.380599106</v>
      </c>
      <c r="E574" s="42">
        <f t="shared" si="7"/>
        <v>-1.79320266</v>
      </c>
      <c r="F574" s="42">
        <f t="shared" si="8"/>
        <v>-3.240190514</v>
      </c>
      <c r="G574" s="42">
        <f t="shared" si="9"/>
        <v>-1.329092151</v>
      </c>
      <c r="H574" s="42">
        <f t="shared" si="10"/>
        <v>0</v>
      </c>
      <c r="I574" s="42" t="str">
        <f>UpdateHashtag!S572</f>
        <v/>
      </c>
      <c r="J574" s="47">
        <f t="shared" si="11"/>
        <v>0</v>
      </c>
      <c r="K574" s="48" t="str">
        <f>UpdateHashtag!T572</f>
        <v/>
      </c>
      <c r="L574" s="42">
        <f t="shared" si="12"/>
        <v>-1.734552372</v>
      </c>
      <c r="N574" s="100">
        <f t="shared" si="13"/>
        <v>401</v>
      </c>
      <c r="O574" s="94" t="str">
        <f t="array" ref="O574">INDIRECT("Update"&amp;Projections!$AH$17&amp;"!B"&amp;ROW(B555))</f>
        <v/>
      </c>
      <c r="P574" s="414" t="str">
        <f t="array" ref="P574">INDIRECT("Update"&amp;Projections!$AH$17&amp;"!C"&amp;ROW(B555))</f>
        <v/>
      </c>
      <c r="Q574" s="94" t="str">
        <f>UpdateHashtag!F604</f>
        <v/>
      </c>
      <c r="R574" s="105" t="str">
        <f t="array" ref="R574">INDIRECT("Update"&amp;Projections!$AH$17&amp;"!D"&amp;ROW(B555))</f>
        <v/>
      </c>
      <c r="S574" s="73">
        <f t="shared" si="14"/>
        <v>-9.965301026</v>
      </c>
      <c r="T574" s="73">
        <f>SUM(AE574:AM574)-IFERROR(IFS(Projections!$I$17,AN574,Projections!$J$17,AO574),"")</f>
        <v>-9.965301026</v>
      </c>
      <c r="U574" s="73">
        <f t="shared" si="15"/>
        <v>0</v>
      </c>
      <c r="V574" s="73" t="str">
        <f t="array" ref="V574">INDIRECT("Update"&amp;Projections!$AH$17&amp;"!M"&amp;ROW(B555))</f>
        <v/>
      </c>
      <c r="W574" s="73" t="str">
        <f t="array" ref="W574">INDIRECT("Update"&amp;Projections!$AH$17&amp;"!L"&amp;ROW(B555))</f>
        <v/>
      </c>
      <c r="X574" s="73" t="str">
        <f t="array" ref="X574">INDIRECT("Update"&amp;Projections!$AH$17&amp;"!N"&amp;ROW(B555))</f>
        <v/>
      </c>
      <c r="Y574" s="73" t="str">
        <f t="array" ref="Y574">INDIRECT("Update"&amp;Projections!$AH$17&amp;"!O"&amp;ROW(B555))</f>
        <v/>
      </c>
      <c r="Z574" s="73" t="str">
        <f t="array" ref="Z574">INDIRECT("Update"&amp;Projections!$AH$17&amp;"!P"&amp;ROW(B555))</f>
        <v/>
      </c>
      <c r="AA574" s="73" t="str">
        <f t="array" ref="AA574">INDIRECT("Update"&amp;Projections!$AH$17&amp;"!Q"&amp;ROW(B555))</f>
        <v/>
      </c>
      <c r="AB574" s="107" t="str">
        <f t="array" ref="AB574">INDIRECT("Update"&amp;Projections!$AH$17&amp;"!I"&amp;ROW(B555))</f>
        <v/>
      </c>
      <c r="AC574" s="107" t="str">
        <f t="array" ref="AC574">INDIRECT("Update"&amp;Projections!$AH$17&amp;"!K"&amp;ROW(B555))</f>
        <v/>
      </c>
      <c r="AD574" s="73" t="str">
        <f t="array" ref="AD574">INDIRECT("Update"&amp;Projections!$AH$17&amp;"!R"&amp;ROW(B555))</f>
        <v/>
      </c>
      <c r="AE574" s="73">
        <f t="shared" si="16"/>
        <v>-3.155358621</v>
      </c>
      <c r="AF574" s="73">
        <f t="shared" si="17"/>
        <v>-1.740686581</v>
      </c>
      <c r="AG574" s="73">
        <f t="shared" si="18"/>
        <v>-2.380599106</v>
      </c>
      <c r="AH574" s="73">
        <f t="shared" si="19"/>
        <v>-1.79320266</v>
      </c>
      <c r="AI574" s="73">
        <f t="shared" si="20"/>
        <v>-3.240190514</v>
      </c>
      <c r="AJ574" s="73">
        <f t="shared" si="21"/>
        <v>-1.329092151</v>
      </c>
      <c r="AK574" s="73">
        <f t="shared" si="22"/>
        <v>0</v>
      </c>
      <c r="AL574" s="73">
        <f t="shared" si="23"/>
        <v>0</v>
      </c>
      <c r="AM574" s="73">
        <f t="shared" si="24"/>
        <v>0.433638093</v>
      </c>
      <c r="AN574" s="120">
        <f t="shared" si="25"/>
        <v>-3.240190514</v>
      </c>
      <c r="AO574" s="120">
        <f t="shared" si="26"/>
        <v>-6.395549135</v>
      </c>
      <c r="AP574" s="120" t="str">
        <f t="array" ref="AP574">INDIRECT("Update"&amp;Projections!$AH$17&amp;"!S"&amp;ROW(B555))</f>
        <v/>
      </c>
      <c r="AQ574" s="120" t="str">
        <f t="array" ref="AQ574">INDIRECT("Update"&amp;Projections!$AH$17&amp;"!T"&amp;ROW(B555))</f>
        <v/>
      </c>
      <c r="AR574" s="100">
        <f t="shared" si="27"/>
        <v>-9.965301026</v>
      </c>
    </row>
    <row r="575">
      <c r="A575" t="str">
        <f t="shared" si="3"/>
        <v/>
      </c>
      <c r="B575" s="42">
        <f t="shared" si="4"/>
        <v>-3.155358621</v>
      </c>
      <c r="C575" s="43">
        <f t="shared" si="5"/>
        <v>-1.740686581</v>
      </c>
      <c r="D575" s="42">
        <f t="shared" si="6"/>
        <v>-2.380599106</v>
      </c>
      <c r="E575" s="42">
        <f t="shared" si="7"/>
        <v>-1.79320266</v>
      </c>
      <c r="F575" s="42">
        <f t="shared" si="8"/>
        <v>-3.240190514</v>
      </c>
      <c r="G575" s="42">
        <f t="shared" si="9"/>
        <v>-1.329092151</v>
      </c>
      <c r="H575" s="42">
        <f t="shared" si="10"/>
        <v>0</v>
      </c>
      <c r="I575" s="42" t="str">
        <f>UpdateHashtag!S573</f>
        <v/>
      </c>
      <c r="J575" s="47">
        <f t="shared" si="11"/>
        <v>0</v>
      </c>
      <c r="K575" s="48" t="str">
        <f>UpdateHashtag!T573</f>
        <v/>
      </c>
      <c r="L575" s="42">
        <f t="shared" si="12"/>
        <v>-1.734552372</v>
      </c>
      <c r="N575" s="100">
        <f t="shared" si="13"/>
        <v>401</v>
      </c>
      <c r="O575" s="94" t="str">
        <f t="array" ref="O575">INDIRECT("Update"&amp;Projections!$AH$17&amp;"!B"&amp;ROW(B556))</f>
        <v/>
      </c>
      <c r="P575" s="414" t="str">
        <f t="array" ref="P575">INDIRECT("Update"&amp;Projections!$AH$17&amp;"!C"&amp;ROW(B556))</f>
        <v/>
      </c>
      <c r="Q575" s="94" t="str">
        <f>UpdateHashtag!F605</f>
        <v/>
      </c>
      <c r="R575" s="105" t="str">
        <f t="array" ref="R575">INDIRECT("Update"&amp;Projections!$AH$17&amp;"!D"&amp;ROW(B556))</f>
        <v/>
      </c>
      <c r="S575" s="73">
        <f t="shared" si="14"/>
        <v>-9.965301026</v>
      </c>
      <c r="T575" s="73">
        <f>SUM(AE575:AM575)-IFERROR(IFS(Projections!$I$17,AN575,Projections!$J$17,AO575),"")</f>
        <v>-9.965301026</v>
      </c>
      <c r="U575" s="73">
        <f t="shared" si="15"/>
        <v>0</v>
      </c>
      <c r="V575" s="73" t="str">
        <f t="array" ref="V575">INDIRECT("Update"&amp;Projections!$AH$17&amp;"!M"&amp;ROW(B556))</f>
        <v/>
      </c>
      <c r="W575" s="73" t="str">
        <f t="array" ref="W575">INDIRECT("Update"&amp;Projections!$AH$17&amp;"!L"&amp;ROW(B556))</f>
        <v/>
      </c>
      <c r="X575" s="73" t="str">
        <f t="array" ref="X575">INDIRECT("Update"&amp;Projections!$AH$17&amp;"!N"&amp;ROW(B556))</f>
        <v/>
      </c>
      <c r="Y575" s="73" t="str">
        <f t="array" ref="Y575">INDIRECT("Update"&amp;Projections!$AH$17&amp;"!O"&amp;ROW(B556))</f>
        <v/>
      </c>
      <c r="Z575" s="73" t="str">
        <f t="array" ref="Z575">INDIRECT("Update"&amp;Projections!$AH$17&amp;"!P"&amp;ROW(B556))</f>
        <v/>
      </c>
      <c r="AA575" s="73" t="str">
        <f t="array" ref="AA575">INDIRECT("Update"&amp;Projections!$AH$17&amp;"!Q"&amp;ROW(B556))</f>
        <v/>
      </c>
      <c r="AB575" s="107" t="str">
        <f t="array" ref="AB575">INDIRECT("Update"&amp;Projections!$AH$17&amp;"!I"&amp;ROW(B556))</f>
        <v/>
      </c>
      <c r="AC575" s="107" t="str">
        <f t="array" ref="AC575">INDIRECT("Update"&amp;Projections!$AH$17&amp;"!K"&amp;ROW(B556))</f>
        <v/>
      </c>
      <c r="AD575" s="73" t="str">
        <f t="array" ref="AD575">INDIRECT("Update"&amp;Projections!$AH$17&amp;"!R"&amp;ROW(B556))</f>
        <v/>
      </c>
      <c r="AE575" s="73">
        <f t="shared" si="16"/>
        <v>-3.155358621</v>
      </c>
      <c r="AF575" s="73">
        <f t="shared" si="17"/>
        <v>-1.740686581</v>
      </c>
      <c r="AG575" s="73">
        <f t="shared" si="18"/>
        <v>-2.380599106</v>
      </c>
      <c r="AH575" s="73">
        <f t="shared" si="19"/>
        <v>-1.79320266</v>
      </c>
      <c r="AI575" s="73">
        <f t="shared" si="20"/>
        <v>-3.240190514</v>
      </c>
      <c r="AJ575" s="73">
        <f t="shared" si="21"/>
        <v>-1.329092151</v>
      </c>
      <c r="AK575" s="73">
        <f t="shared" si="22"/>
        <v>0</v>
      </c>
      <c r="AL575" s="73">
        <f t="shared" si="23"/>
        <v>0</v>
      </c>
      <c r="AM575" s="73">
        <f t="shared" si="24"/>
        <v>0.433638093</v>
      </c>
      <c r="AN575" s="120">
        <f t="shared" si="25"/>
        <v>-3.240190514</v>
      </c>
      <c r="AO575" s="120">
        <f t="shared" si="26"/>
        <v>-6.395549135</v>
      </c>
      <c r="AP575" s="120" t="str">
        <f t="array" ref="AP575">INDIRECT("Update"&amp;Projections!$AH$17&amp;"!S"&amp;ROW(B556))</f>
        <v/>
      </c>
      <c r="AQ575" s="120" t="str">
        <f t="array" ref="AQ575">INDIRECT("Update"&amp;Projections!$AH$17&amp;"!T"&amp;ROW(B556))</f>
        <v/>
      </c>
      <c r="AR575" s="100">
        <f t="shared" si="27"/>
        <v>-9.965301026</v>
      </c>
    </row>
    <row r="576">
      <c r="A576" t="str">
        <f t="shared" si="3"/>
        <v/>
      </c>
      <c r="B576" s="42">
        <f t="shared" si="4"/>
        <v>-3.155358621</v>
      </c>
      <c r="C576" s="43">
        <f t="shared" si="5"/>
        <v>-1.740686581</v>
      </c>
      <c r="D576" s="42">
        <f t="shared" si="6"/>
        <v>-2.380599106</v>
      </c>
      <c r="E576" s="42">
        <f t="shared" si="7"/>
        <v>-1.79320266</v>
      </c>
      <c r="F576" s="42">
        <f t="shared" si="8"/>
        <v>-3.240190514</v>
      </c>
      <c r="G576" s="42">
        <f t="shared" si="9"/>
        <v>-1.329092151</v>
      </c>
      <c r="H576" s="42">
        <f t="shared" si="10"/>
        <v>0</v>
      </c>
      <c r="I576" s="42" t="str">
        <f>UpdateHashtag!S574</f>
        <v/>
      </c>
      <c r="J576" s="47">
        <f t="shared" si="11"/>
        <v>0</v>
      </c>
      <c r="K576" s="48" t="str">
        <f>UpdateHashtag!T574</f>
        <v/>
      </c>
      <c r="L576" s="42">
        <f t="shared" si="12"/>
        <v>-1.734552372</v>
      </c>
      <c r="N576" s="100">
        <f t="shared" si="13"/>
        <v>401</v>
      </c>
      <c r="O576" s="94" t="str">
        <f t="array" ref="O576">INDIRECT("Update"&amp;Projections!$AH$17&amp;"!B"&amp;ROW(B557))</f>
        <v/>
      </c>
      <c r="P576" s="414" t="str">
        <f t="array" ref="P576">INDIRECT("Update"&amp;Projections!$AH$17&amp;"!C"&amp;ROW(B557))</f>
        <v/>
      </c>
      <c r="Q576" s="94" t="str">
        <f>UpdateHashtag!F606</f>
        <v/>
      </c>
      <c r="R576" s="105" t="str">
        <f t="array" ref="R576">INDIRECT("Update"&amp;Projections!$AH$17&amp;"!D"&amp;ROW(B557))</f>
        <v/>
      </c>
      <c r="S576" s="73">
        <f t="shared" si="14"/>
        <v>-9.965301026</v>
      </c>
      <c r="T576" s="73">
        <f>SUM(AE576:AM576)-IFERROR(IFS(Projections!$I$17,AN576,Projections!$J$17,AO576),"")</f>
        <v>-9.965301026</v>
      </c>
      <c r="U576" s="73">
        <f t="shared" si="15"/>
        <v>0</v>
      </c>
      <c r="V576" s="73" t="str">
        <f t="array" ref="V576">INDIRECT("Update"&amp;Projections!$AH$17&amp;"!M"&amp;ROW(B557))</f>
        <v/>
      </c>
      <c r="W576" s="73" t="str">
        <f t="array" ref="W576">INDIRECT("Update"&amp;Projections!$AH$17&amp;"!L"&amp;ROW(B557))</f>
        <v/>
      </c>
      <c r="X576" s="73" t="str">
        <f t="array" ref="X576">INDIRECT("Update"&amp;Projections!$AH$17&amp;"!N"&amp;ROW(B557))</f>
        <v/>
      </c>
      <c r="Y576" s="73" t="str">
        <f t="array" ref="Y576">INDIRECT("Update"&amp;Projections!$AH$17&amp;"!O"&amp;ROW(B557))</f>
        <v/>
      </c>
      <c r="Z576" s="73" t="str">
        <f t="array" ref="Z576">INDIRECT("Update"&amp;Projections!$AH$17&amp;"!P"&amp;ROW(B557))</f>
        <v/>
      </c>
      <c r="AA576" s="73" t="str">
        <f t="array" ref="AA576">INDIRECT("Update"&amp;Projections!$AH$17&amp;"!Q"&amp;ROW(B557))</f>
        <v/>
      </c>
      <c r="AB576" s="107" t="str">
        <f t="array" ref="AB576">INDIRECT("Update"&amp;Projections!$AH$17&amp;"!I"&amp;ROW(B557))</f>
        <v/>
      </c>
      <c r="AC576" s="107" t="str">
        <f t="array" ref="AC576">INDIRECT("Update"&amp;Projections!$AH$17&amp;"!K"&amp;ROW(B557))</f>
        <v/>
      </c>
      <c r="AD576" s="73" t="str">
        <f t="array" ref="AD576">INDIRECT("Update"&amp;Projections!$AH$17&amp;"!R"&amp;ROW(B557))</f>
        <v/>
      </c>
      <c r="AE576" s="73">
        <f t="shared" si="16"/>
        <v>-3.155358621</v>
      </c>
      <c r="AF576" s="73">
        <f t="shared" si="17"/>
        <v>-1.740686581</v>
      </c>
      <c r="AG576" s="73">
        <f t="shared" si="18"/>
        <v>-2.380599106</v>
      </c>
      <c r="AH576" s="73">
        <f t="shared" si="19"/>
        <v>-1.79320266</v>
      </c>
      <c r="AI576" s="73">
        <f t="shared" si="20"/>
        <v>-3.240190514</v>
      </c>
      <c r="AJ576" s="73">
        <f t="shared" si="21"/>
        <v>-1.329092151</v>
      </c>
      <c r="AK576" s="73">
        <f t="shared" si="22"/>
        <v>0</v>
      </c>
      <c r="AL576" s="73">
        <f t="shared" si="23"/>
        <v>0</v>
      </c>
      <c r="AM576" s="73">
        <f t="shared" si="24"/>
        <v>0.433638093</v>
      </c>
      <c r="AN576" s="120">
        <f t="shared" si="25"/>
        <v>-3.240190514</v>
      </c>
      <c r="AO576" s="120">
        <f t="shared" si="26"/>
        <v>-6.395549135</v>
      </c>
      <c r="AP576" s="120" t="str">
        <f t="array" ref="AP576">INDIRECT("Update"&amp;Projections!$AH$17&amp;"!S"&amp;ROW(B557))</f>
        <v/>
      </c>
      <c r="AQ576" s="120" t="str">
        <f t="array" ref="AQ576">INDIRECT("Update"&amp;Projections!$AH$17&amp;"!T"&amp;ROW(B557))</f>
        <v/>
      </c>
      <c r="AR576" s="100">
        <f t="shared" si="27"/>
        <v>-9.965301026</v>
      </c>
    </row>
    <row r="577">
      <c r="A577" t="str">
        <f t="shared" si="3"/>
        <v/>
      </c>
      <c r="B577" s="42">
        <f t="shared" si="4"/>
        <v>-3.155358621</v>
      </c>
      <c r="C577" s="43">
        <f t="shared" si="5"/>
        <v>-1.740686581</v>
      </c>
      <c r="D577" s="42">
        <f t="shared" si="6"/>
        <v>-2.380599106</v>
      </c>
      <c r="E577" s="42">
        <f t="shared" si="7"/>
        <v>-1.79320266</v>
      </c>
      <c r="F577" s="42">
        <f t="shared" si="8"/>
        <v>-3.240190514</v>
      </c>
      <c r="G577" s="42">
        <f t="shared" si="9"/>
        <v>-1.329092151</v>
      </c>
      <c r="H577" s="42">
        <f t="shared" si="10"/>
        <v>0</v>
      </c>
      <c r="I577" s="42" t="str">
        <f>UpdateHashtag!S575</f>
        <v/>
      </c>
      <c r="J577" s="47">
        <f t="shared" si="11"/>
        <v>0</v>
      </c>
      <c r="K577" s="48" t="str">
        <f>UpdateHashtag!T575</f>
        <v/>
      </c>
      <c r="L577" s="42">
        <f t="shared" si="12"/>
        <v>-1.734552372</v>
      </c>
      <c r="N577" s="100">
        <f t="shared" si="13"/>
        <v>401</v>
      </c>
      <c r="O577" s="94" t="str">
        <f t="array" ref="O577">INDIRECT("Update"&amp;Projections!$AH$17&amp;"!B"&amp;ROW(B558))</f>
        <v/>
      </c>
      <c r="P577" s="414" t="str">
        <f t="array" ref="P577">INDIRECT("Update"&amp;Projections!$AH$17&amp;"!C"&amp;ROW(B558))</f>
        <v/>
      </c>
      <c r="Q577" s="94" t="str">
        <f>UpdateHashtag!F607</f>
        <v/>
      </c>
      <c r="R577" s="105" t="str">
        <f t="array" ref="R577">INDIRECT("Update"&amp;Projections!$AH$17&amp;"!D"&amp;ROW(B558))</f>
        <v/>
      </c>
      <c r="S577" s="73">
        <f t="shared" si="14"/>
        <v>-9.965301026</v>
      </c>
      <c r="T577" s="73">
        <f>SUM(AE577:AM577)-IFERROR(IFS(Projections!$I$17,AN577,Projections!$J$17,AO577),"")</f>
        <v>-9.965301026</v>
      </c>
      <c r="U577" s="73">
        <f t="shared" si="15"/>
        <v>0</v>
      </c>
      <c r="V577" s="73" t="str">
        <f t="array" ref="V577">INDIRECT("Update"&amp;Projections!$AH$17&amp;"!M"&amp;ROW(B558))</f>
        <v/>
      </c>
      <c r="W577" s="73" t="str">
        <f t="array" ref="W577">INDIRECT("Update"&amp;Projections!$AH$17&amp;"!L"&amp;ROW(B558))</f>
        <v/>
      </c>
      <c r="X577" s="73" t="str">
        <f t="array" ref="X577">INDIRECT("Update"&amp;Projections!$AH$17&amp;"!N"&amp;ROW(B558))</f>
        <v/>
      </c>
      <c r="Y577" s="73" t="str">
        <f t="array" ref="Y577">INDIRECT("Update"&amp;Projections!$AH$17&amp;"!O"&amp;ROW(B558))</f>
        <v/>
      </c>
      <c r="Z577" s="73" t="str">
        <f t="array" ref="Z577">INDIRECT("Update"&amp;Projections!$AH$17&amp;"!P"&amp;ROW(B558))</f>
        <v/>
      </c>
      <c r="AA577" s="73" t="str">
        <f t="array" ref="AA577">INDIRECT("Update"&amp;Projections!$AH$17&amp;"!Q"&amp;ROW(B558))</f>
        <v/>
      </c>
      <c r="AB577" s="107" t="str">
        <f t="array" ref="AB577">INDIRECT("Update"&amp;Projections!$AH$17&amp;"!I"&amp;ROW(B558))</f>
        <v/>
      </c>
      <c r="AC577" s="107" t="str">
        <f t="array" ref="AC577">INDIRECT("Update"&amp;Projections!$AH$17&amp;"!K"&amp;ROW(B558))</f>
        <v/>
      </c>
      <c r="AD577" s="73" t="str">
        <f t="array" ref="AD577">INDIRECT("Update"&amp;Projections!$AH$17&amp;"!R"&amp;ROW(B558))</f>
        <v/>
      </c>
      <c r="AE577" s="73">
        <f t="shared" si="16"/>
        <v>-3.155358621</v>
      </c>
      <c r="AF577" s="73">
        <f t="shared" si="17"/>
        <v>-1.740686581</v>
      </c>
      <c r="AG577" s="73">
        <f t="shared" si="18"/>
        <v>-2.380599106</v>
      </c>
      <c r="AH577" s="73">
        <f t="shared" si="19"/>
        <v>-1.79320266</v>
      </c>
      <c r="AI577" s="73">
        <f t="shared" si="20"/>
        <v>-3.240190514</v>
      </c>
      <c r="AJ577" s="73">
        <f t="shared" si="21"/>
        <v>-1.329092151</v>
      </c>
      <c r="AK577" s="73">
        <f t="shared" si="22"/>
        <v>0</v>
      </c>
      <c r="AL577" s="73">
        <f t="shared" si="23"/>
        <v>0</v>
      </c>
      <c r="AM577" s="73">
        <f t="shared" si="24"/>
        <v>0.433638093</v>
      </c>
      <c r="AN577" s="120">
        <f t="shared" si="25"/>
        <v>-3.240190514</v>
      </c>
      <c r="AO577" s="120">
        <f t="shared" si="26"/>
        <v>-6.395549135</v>
      </c>
      <c r="AP577" s="120" t="str">
        <f t="array" ref="AP577">INDIRECT("Update"&amp;Projections!$AH$17&amp;"!S"&amp;ROW(B558))</f>
        <v/>
      </c>
      <c r="AQ577" s="120" t="str">
        <f t="array" ref="AQ577">INDIRECT("Update"&amp;Projections!$AH$17&amp;"!T"&amp;ROW(B558))</f>
        <v/>
      </c>
      <c r="AR577" s="100">
        <f t="shared" si="27"/>
        <v>-9.965301026</v>
      </c>
    </row>
    <row r="578">
      <c r="A578" t="str">
        <f t="shared" si="3"/>
        <v/>
      </c>
      <c r="B578" s="42">
        <f t="shared" si="4"/>
        <v>-3.155358621</v>
      </c>
      <c r="C578" s="43">
        <f t="shared" si="5"/>
        <v>-1.740686581</v>
      </c>
      <c r="D578" s="42">
        <f t="shared" si="6"/>
        <v>-2.380599106</v>
      </c>
      <c r="E578" s="42">
        <f t="shared" si="7"/>
        <v>-1.79320266</v>
      </c>
      <c r="F578" s="42">
        <f t="shared" si="8"/>
        <v>-3.240190514</v>
      </c>
      <c r="G578" s="42">
        <f t="shared" si="9"/>
        <v>-1.329092151</v>
      </c>
      <c r="H578" s="42">
        <f t="shared" si="10"/>
        <v>0</v>
      </c>
      <c r="I578" s="42" t="str">
        <f>UpdateHashtag!S576</f>
        <v/>
      </c>
      <c r="J578" s="47">
        <f t="shared" si="11"/>
        <v>0</v>
      </c>
      <c r="K578" s="48" t="str">
        <f>UpdateHashtag!T576</f>
        <v/>
      </c>
      <c r="L578" s="42">
        <f t="shared" si="12"/>
        <v>-1.734552372</v>
      </c>
      <c r="N578" s="100">
        <f t="shared" si="13"/>
        <v>401</v>
      </c>
      <c r="O578" s="94" t="str">
        <f t="array" ref="O578">INDIRECT("Update"&amp;Projections!$AH$17&amp;"!B"&amp;ROW(B559))</f>
        <v/>
      </c>
      <c r="P578" s="414" t="str">
        <f t="array" ref="P578">INDIRECT("Update"&amp;Projections!$AH$17&amp;"!C"&amp;ROW(B559))</f>
        <v/>
      </c>
      <c r="Q578" s="94" t="str">
        <f>UpdateHashtag!F608</f>
        <v/>
      </c>
      <c r="R578" s="105" t="str">
        <f t="array" ref="R578">INDIRECT("Update"&amp;Projections!$AH$17&amp;"!D"&amp;ROW(B559))</f>
        <v/>
      </c>
      <c r="S578" s="73">
        <f t="shared" si="14"/>
        <v>-9.965301026</v>
      </c>
      <c r="T578" s="73">
        <f>SUM(AE578:AM578)-IFERROR(IFS(Projections!$I$17,AN578,Projections!$J$17,AO578),"")</f>
        <v>-9.965301026</v>
      </c>
      <c r="U578" s="73">
        <f t="shared" si="15"/>
        <v>0</v>
      </c>
      <c r="V578" s="73" t="str">
        <f t="array" ref="V578">INDIRECT("Update"&amp;Projections!$AH$17&amp;"!M"&amp;ROW(B559))</f>
        <v/>
      </c>
      <c r="W578" s="73" t="str">
        <f t="array" ref="W578">INDIRECT("Update"&amp;Projections!$AH$17&amp;"!L"&amp;ROW(B559))</f>
        <v/>
      </c>
      <c r="X578" s="73" t="str">
        <f t="array" ref="X578">INDIRECT("Update"&amp;Projections!$AH$17&amp;"!N"&amp;ROW(B559))</f>
        <v/>
      </c>
      <c r="Y578" s="73" t="str">
        <f t="array" ref="Y578">INDIRECT("Update"&amp;Projections!$AH$17&amp;"!O"&amp;ROW(B559))</f>
        <v/>
      </c>
      <c r="Z578" s="73" t="str">
        <f t="array" ref="Z578">INDIRECT("Update"&amp;Projections!$AH$17&amp;"!P"&amp;ROW(B559))</f>
        <v/>
      </c>
      <c r="AA578" s="73" t="str">
        <f t="array" ref="AA578">INDIRECT("Update"&amp;Projections!$AH$17&amp;"!Q"&amp;ROW(B559))</f>
        <v/>
      </c>
      <c r="AB578" s="107" t="str">
        <f t="array" ref="AB578">INDIRECT("Update"&amp;Projections!$AH$17&amp;"!I"&amp;ROW(B559))</f>
        <v/>
      </c>
      <c r="AC578" s="107" t="str">
        <f t="array" ref="AC578">INDIRECT("Update"&amp;Projections!$AH$17&amp;"!K"&amp;ROW(B559))</f>
        <v/>
      </c>
      <c r="AD578" s="73" t="str">
        <f t="array" ref="AD578">INDIRECT("Update"&amp;Projections!$AH$17&amp;"!R"&amp;ROW(B559))</f>
        <v/>
      </c>
      <c r="AE578" s="73">
        <f t="shared" si="16"/>
        <v>-3.155358621</v>
      </c>
      <c r="AF578" s="73">
        <f t="shared" si="17"/>
        <v>-1.740686581</v>
      </c>
      <c r="AG578" s="73">
        <f t="shared" si="18"/>
        <v>-2.380599106</v>
      </c>
      <c r="AH578" s="73">
        <f t="shared" si="19"/>
        <v>-1.79320266</v>
      </c>
      <c r="AI578" s="73">
        <f t="shared" si="20"/>
        <v>-3.240190514</v>
      </c>
      <c r="AJ578" s="73">
        <f t="shared" si="21"/>
        <v>-1.329092151</v>
      </c>
      <c r="AK578" s="73">
        <f t="shared" si="22"/>
        <v>0</v>
      </c>
      <c r="AL578" s="73">
        <f t="shared" si="23"/>
        <v>0</v>
      </c>
      <c r="AM578" s="73">
        <f t="shared" si="24"/>
        <v>0.433638093</v>
      </c>
      <c r="AN578" s="120">
        <f t="shared" si="25"/>
        <v>-3.240190514</v>
      </c>
      <c r="AO578" s="120">
        <f t="shared" si="26"/>
        <v>-6.395549135</v>
      </c>
      <c r="AP578" s="120" t="str">
        <f t="array" ref="AP578">INDIRECT("Update"&amp;Projections!$AH$17&amp;"!S"&amp;ROW(B559))</f>
        <v/>
      </c>
      <c r="AQ578" s="120" t="str">
        <f t="array" ref="AQ578">INDIRECT("Update"&amp;Projections!$AH$17&amp;"!T"&amp;ROW(B559))</f>
        <v/>
      </c>
      <c r="AR578" s="100">
        <f t="shared" si="27"/>
        <v>-9.965301026</v>
      </c>
    </row>
    <row r="579">
      <c r="A579" t="str">
        <f t="shared" si="3"/>
        <v/>
      </c>
      <c r="B579" s="42">
        <f t="shared" si="4"/>
        <v>-3.155358621</v>
      </c>
      <c r="C579" s="43">
        <f t="shared" si="5"/>
        <v>-1.740686581</v>
      </c>
      <c r="D579" s="42">
        <f t="shared" si="6"/>
        <v>-2.380599106</v>
      </c>
      <c r="E579" s="42">
        <f t="shared" si="7"/>
        <v>-1.79320266</v>
      </c>
      <c r="F579" s="42">
        <f t="shared" si="8"/>
        <v>-3.240190514</v>
      </c>
      <c r="G579" s="42">
        <f t="shared" si="9"/>
        <v>-1.329092151</v>
      </c>
      <c r="H579" s="42">
        <f t="shared" si="10"/>
        <v>0</v>
      </c>
      <c r="I579" s="42" t="str">
        <f>UpdateHashtag!S577</f>
        <v/>
      </c>
      <c r="J579" s="47">
        <f t="shared" si="11"/>
        <v>0</v>
      </c>
      <c r="K579" s="48" t="str">
        <f>UpdateHashtag!T577</f>
        <v/>
      </c>
      <c r="L579" s="42">
        <f t="shared" si="12"/>
        <v>-1.734552372</v>
      </c>
      <c r="N579" s="100">
        <f t="shared" si="13"/>
        <v>401</v>
      </c>
      <c r="O579" s="94" t="str">
        <f t="array" ref="O579">INDIRECT("Update"&amp;Projections!$AH$17&amp;"!B"&amp;ROW(B560))</f>
        <v/>
      </c>
      <c r="P579" s="414" t="str">
        <f t="array" ref="P579">INDIRECT("Update"&amp;Projections!$AH$17&amp;"!C"&amp;ROW(B560))</f>
        <v/>
      </c>
      <c r="Q579" s="94" t="str">
        <f>UpdateHashtag!F609</f>
        <v/>
      </c>
      <c r="R579" s="105" t="str">
        <f t="array" ref="R579">INDIRECT("Update"&amp;Projections!$AH$17&amp;"!D"&amp;ROW(B560))</f>
        <v/>
      </c>
      <c r="S579" s="73">
        <f t="shared" si="14"/>
        <v>-9.965301026</v>
      </c>
      <c r="T579" s="73">
        <f>SUM(AE579:AM579)-IFERROR(IFS(Projections!$I$17,AN579,Projections!$J$17,AO579),"")</f>
        <v>-9.965301026</v>
      </c>
      <c r="U579" s="73">
        <f t="shared" si="15"/>
        <v>0</v>
      </c>
      <c r="V579" s="73" t="str">
        <f t="array" ref="V579">INDIRECT("Update"&amp;Projections!$AH$17&amp;"!M"&amp;ROW(B560))</f>
        <v/>
      </c>
      <c r="W579" s="73" t="str">
        <f t="array" ref="W579">INDIRECT("Update"&amp;Projections!$AH$17&amp;"!L"&amp;ROW(B560))</f>
        <v/>
      </c>
      <c r="X579" s="73" t="str">
        <f t="array" ref="X579">INDIRECT("Update"&amp;Projections!$AH$17&amp;"!N"&amp;ROW(B560))</f>
        <v/>
      </c>
      <c r="Y579" s="73" t="str">
        <f t="array" ref="Y579">INDIRECT("Update"&amp;Projections!$AH$17&amp;"!O"&amp;ROW(B560))</f>
        <v/>
      </c>
      <c r="Z579" s="73" t="str">
        <f t="array" ref="Z579">INDIRECT("Update"&amp;Projections!$AH$17&amp;"!P"&amp;ROW(B560))</f>
        <v/>
      </c>
      <c r="AA579" s="73" t="str">
        <f t="array" ref="AA579">INDIRECT("Update"&amp;Projections!$AH$17&amp;"!Q"&amp;ROW(B560))</f>
        <v/>
      </c>
      <c r="AB579" s="107" t="str">
        <f t="array" ref="AB579">INDIRECT("Update"&amp;Projections!$AH$17&amp;"!I"&amp;ROW(B560))</f>
        <v/>
      </c>
      <c r="AC579" s="107" t="str">
        <f t="array" ref="AC579">INDIRECT("Update"&amp;Projections!$AH$17&amp;"!K"&amp;ROW(B560))</f>
        <v/>
      </c>
      <c r="AD579" s="73" t="str">
        <f t="array" ref="AD579">INDIRECT("Update"&amp;Projections!$AH$17&amp;"!R"&amp;ROW(B560))</f>
        <v/>
      </c>
      <c r="AE579" s="73">
        <f t="shared" si="16"/>
        <v>-3.155358621</v>
      </c>
      <c r="AF579" s="73">
        <f t="shared" si="17"/>
        <v>-1.740686581</v>
      </c>
      <c r="AG579" s="73">
        <f t="shared" si="18"/>
        <v>-2.380599106</v>
      </c>
      <c r="AH579" s="73">
        <f t="shared" si="19"/>
        <v>-1.79320266</v>
      </c>
      <c r="AI579" s="73">
        <f t="shared" si="20"/>
        <v>-3.240190514</v>
      </c>
      <c r="AJ579" s="73">
        <f t="shared" si="21"/>
        <v>-1.329092151</v>
      </c>
      <c r="AK579" s="73">
        <f t="shared" si="22"/>
        <v>0</v>
      </c>
      <c r="AL579" s="73">
        <f t="shared" si="23"/>
        <v>0</v>
      </c>
      <c r="AM579" s="73">
        <f t="shared" si="24"/>
        <v>0.433638093</v>
      </c>
      <c r="AN579" s="120">
        <f t="shared" si="25"/>
        <v>-3.240190514</v>
      </c>
      <c r="AO579" s="120">
        <f t="shared" si="26"/>
        <v>-6.395549135</v>
      </c>
      <c r="AP579" s="120" t="str">
        <f t="array" ref="AP579">INDIRECT("Update"&amp;Projections!$AH$17&amp;"!S"&amp;ROW(B560))</f>
        <v/>
      </c>
      <c r="AQ579" s="120" t="str">
        <f t="array" ref="AQ579">INDIRECT("Update"&amp;Projections!$AH$17&amp;"!T"&amp;ROW(B560))</f>
        <v/>
      </c>
      <c r="AR579" s="100">
        <f t="shared" si="27"/>
        <v>-9.965301026</v>
      </c>
    </row>
    <row r="580">
      <c r="A580" t="str">
        <f t="shared" si="3"/>
        <v/>
      </c>
      <c r="B580" s="42">
        <f t="shared" si="4"/>
        <v>-3.155358621</v>
      </c>
      <c r="C580" s="43">
        <f t="shared" si="5"/>
        <v>-1.740686581</v>
      </c>
      <c r="D580" s="42">
        <f t="shared" si="6"/>
        <v>-2.380599106</v>
      </c>
      <c r="E580" s="42">
        <f t="shared" si="7"/>
        <v>-1.79320266</v>
      </c>
      <c r="F580" s="42">
        <f t="shared" si="8"/>
        <v>-3.240190514</v>
      </c>
      <c r="G580" s="42">
        <f t="shared" si="9"/>
        <v>-1.329092151</v>
      </c>
      <c r="H580" s="42">
        <f t="shared" si="10"/>
        <v>0</v>
      </c>
      <c r="I580" s="42" t="str">
        <f>UpdateHashtag!S578</f>
        <v/>
      </c>
      <c r="J580" s="47">
        <f t="shared" si="11"/>
        <v>0</v>
      </c>
      <c r="K580" s="48" t="str">
        <f>UpdateHashtag!T578</f>
        <v/>
      </c>
      <c r="L580" s="42">
        <f t="shared" si="12"/>
        <v>-1.734552372</v>
      </c>
      <c r="N580" s="100">
        <f t="shared" si="13"/>
        <v>401</v>
      </c>
      <c r="O580" s="94" t="str">
        <f t="array" ref="O580">INDIRECT("Update"&amp;Projections!$AH$17&amp;"!B"&amp;ROW(B561))</f>
        <v/>
      </c>
      <c r="P580" s="414" t="str">
        <f t="array" ref="P580">INDIRECT("Update"&amp;Projections!$AH$17&amp;"!C"&amp;ROW(B561))</f>
        <v/>
      </c>
      <c r="Q580" s="94" t="str">
        <f>UpdateHashtag!F610</f>
        <v/>
      </c>
      <c r="R580" s="105" t="str">
        <f t="array" ref="R580">INDIRECT("Update"&amp;Projections!$AH$17&amp;"!D"&amp;ROW(B561))</f>
        <v/>
      </c>
      <c r="S580" s="73">
        <f t="shared" si="14"/>
        <v>-9.965301026</v>
      </c>
      <c r="T580" s="73">
        <f>SUM(AE580:AM580)-IFERROR(IFS(Projections!$I$17,AN580,Projections!$J$17,AO580),"")</f>
        <v>-9.965301026</v>
      </c>
      <c r="U580" s="73">
        <f t="shared" si="15"/>
        <v>0</v>
      </c>
      <c r="V580" s="73" t="str">
        <f t="array" ref="V580">INDIRECT("Update"&amp;Projections!$AH$17&amp;"!M"&amp;ROW(B561))</f>
        <v/>
      </c>
      <c r="W580" s="73" t="str">
        <f t="array" ref="W580">INDIRECT("Update"&amp;Projections!$AH$17&amp;"!L"&amp;ROW(B561))</f>
        <v/>
      </c>
      <c r="X580" s="73" t="str">
        <f t="array" ref="X580">INDIRECT("Update"&amp;Projections!$AH$17&amp;"!N"&amp;ROW(B561))</f>
        <v/>
      </c>
      <c r="Y580" s="73" t="str">
        <f t="array" ref="Y580">INDIRECT("Update"&amp;Projections!$AH$17&amp;"!O"&amp;ROW(B561))</f>
        <v/>
      </c>
      <c r="Z580" s="73" t="str">
        <f t="array" ref="Z580">INDIRECT("Update"&amp;Projections!$AH$17&amp;"!P"&amp;ROW(B561))</f>
        <v/>
      </c>
      <c r="AA580" s="73" t="str">
        <f t="array" ref="AA580">INDIRECT("Update"&amp;Projections!$AH$17&amp;"!Q"&amp;ROW(B561))</f>
        <v/>
      </c>
      <c r="AB580" s="107" t="str">
        <f t="array" ref="AB580">INDIRECT("Update"&amp;Projections!$AH$17&amp;"!I"&amp;ROW(B561))</f>
        <v/>
      </c>
      <c r="AC580" s="107" t="str">
        <f t="array" ref="AC580">INDIRECT("Update"&amp;Projections!$AH$17&amp;"!K"&amp;ROW(B561))</f>
        <v/>
      </c>
      <c r="AD580" s="73" t="str">
        <f t="array" ref="AD580">INDIRECT("Update"&amp;Projections!$AH$17&amp;"!R"&amp;ROW(B561))</f>
        <v/>
      </c>
      <c r="AE580" s="73">
        <f t="shared" si="16"/>
        <v>-3.155358621</v>
      </c>
      <c r="AF580" s="73">
        <f t="shared" si="17"/>
        <v>-1.740686581</v>
      </c>
      <c r="AG580" s="73">
        <f t="shared" si="18"/>
        <v>-2.380599106</v>
      </c>
      <c r="AH580" s="73">
        <f t="shared" si="19"/>
        <v>-1.79320266</v>
      </c>
      <c r="AI580" s="73">
        <f t="shared" si="20"/>
        <v>-3.240190514</v>
      </c>
      <c r="AJ580" s="73">
        <f t="shared" si="21"/>
        <v>-1.329092151</v>
      </c>
      <c r="AK580" s="73">
        <f t="shared" si="22"/>
        <v>0</v>
      </c>
      <c r="AL580" s="73">
        <f t="shared" si="23"/>
        <v>0</v>
      </c>
      <c r="AM580" s="73">
        <f t="shared" si="24"/>
        <v>0.433638093</v>
      </c>
      <c r="AN580" s="120">
        <f t="shared" si="25"/>
        <v>-3.240190514</v>
      </c>
      <c r="AO580" s="120">
        <f t="shared" si="26"/>
        <v>-6.395549135</v>
      </c>
      <c r="AP580" s="120" t="str">
        <f t="array" ref="AP580">INDIRECT("Update"&amp;Projections!$AH$17&amp;"!S"&amp;ROW(B561))</f>
        <v/>
      </c>
      <c r="AQ580" s="120" t="str">
        <f t="array" ref="AQ580">INDIRECT("Update"&amp;Projections!$AH$17&amp;"!T"&amp;ROW(B561))</f>
        <v/>
      </c>
      <c r="AR580" s="100">
        <f t="shared" si="27"/>
        <v>-9.965301026</v>
      </c>
    </row>
    <row r="581">
      <c r="A581" t="str">
        <f t="shared" si="3"/>
        <v/>
      </c>
      <c r="B581" s="42">
        <f t="shared" si="4"/>
        <v>-3.155358621</v>
      </c>
      <c r="C581" s="43">
        <f t="shared" si="5"/>
        <v>-1.740686581</v>
      </c>
      <c r="D581" s="42">
        <f t="shared" si="6"/>
        <v>-2.380599106</v>
      </c>
      <c r="E581" s="42">
        <f t="shared" si="7"/>
        <v>-1.79320266</v>
      </c>
      <c r="F581" s="42">
        <f t="shared" si="8"/>
        <v>-3.240190514</v>
      </c>
      <c r="G581" s="42">
        <f t="shared" si="9"/>
        <v>-1.329092151</v>
      </c>
      <c r="H581" s="42">
        <f t="shared" si="10"/>
        <v>0</v>
      </c>
      <c r="I581" s="42" t="str">
        <f>UpdateHashtag!S579</f>
        <v/>
      </c>
      <c r="J581" s="47">
        <f t="shared" si="11"/>
        <v>0</v>
      </c>
      <c r="K581" s="48" t="str">
        <f>UpdateHashtag!T579</f>
        <v/>
      </c>
      <c r="L581" s="42">
        <f t="shared" si="12"/>
        <v>-1.734552372</v>
      </c>
      <c r="N581" s="100">
        <f t="shared" si="13"/>
        <v>401</v>
      </c>
      <c r="O581" s="94" t="str">
        <f t="array" ref="O581">INDIRECT("Update"&amp;Projections!$AH$17&amp;"!B"&amp;ROW(B562))</f>
        <v/>
      </c>
      <c r="P581" s="414" t="str">
        <f t="array" ref="P581">INDIRECT("Update"&amp;Projections!$AH$17&amp;"!C"&amp;ROW(B562))</f>
        <v/>
      </c>
      <c r="Q581" s="94" t="str">
        <f>UpdateHashtag!F611</f>
        <v/>
      </c>
      <c r="R581" s="105" t="str">
        <f t="array" ref="R581">INDIRECT("Update"&amp;Projections!$AH$17&amp;"!D"&amp;ROW(B562))</f>
        <v/>
      </c>
      <c r="S581" s="73">
        <f t="shared" si="14"/>
        <v>-9.965301026</v>
      </c>
      <c r="T581" s="73">
        <f>SUM(AE581:AM581)-IFERROR(IFS(Projections!$I$17,AN581,Projections!$J$17,AO581),"")</f>
        <v>-9.965301026</v>
      </c>
      <c r="U581" s="73">
        <f t="shared" si="15"/>
        <v>0</v>
      </c>
      <c r="V581" s="73" t="str">
        <f t="array" ref="V581">INDIRECT("Update"&amp;Projections!$AH$17&amp;"!M"&amp;ROW(B562))</f>
        <v/>
      </c>
      <c r="W581" s="73" t="str">
        <f t="array" ref="W581">INDIRECT("Update"&amp;Projections!$AH$17&amp;"!L"&amp;ROW(B562))</f>
        <v/>
      </c>
      <c r="X581" s="73" t="str">
        <f t="array" ref="X581">INDIRECT("Update"&amp;Projections!$AH$17&amp;"!N"&amp;ROW(B562))</f>
        <v/>
      </c>
      <c r="Y581" s="73" t="str">
        <f t="array" ref="Y581">INDIRECT("Update"&amp;Projections!$AH$17&amp;"!O"&amp;ROW(B562))</f>
        <v/>
      </c>
      <c r="Z581" s="73" t="str">
        <f t="array" ref="Z581">INDIRECT("Update"&amp;Projections!$AH$17&amp;"!P"&amp;ROW(B562))</f>
        <v/>
      </c>
      <c r="AA581" s="73" t="str">
        <f t="array" ref="AA581">INDIRECT("Update"&amp;Projections!$AH$17&amp;"!Q"&amp;ROW(B562))</f>
        <v/>
      </c>
      <c r="AB581" s="107" t="str">
        <f t="array" ref="AB581">INDIRECT("Update"&amp;Projections!$AH$17&amp;"!I"&amp;ROW(B562))</f>
        <v/>
      </c>
      <c r="AC581" s="107" t="str">
        <f t="array" ref="AC581">INDIRECT("Update"&amp;Projections!$AH$17&amp;"!K"&amp;ROW(B562))</f>
        <v/>
      </c>
      <c r="AD581" s="73" t="str">
        <f t="array" ref="AD581">INDIRECT("Update"&amp;Projections!$AH$17&amp;"!R"&amp;ROW(B562))</f>
        <v/>
      </c>
      <c r="AE581" s="73">
        <f t="shared" si="16"/>
        <v>-3.155358621</v>
      </c>
      <c r="AF581" s="73">
        <f t="shared" si="17"/>
        <v>-1.740686581</v>
      </c>
      <c r="AG581" s="73">
        <f t="shared" si="18"/>
        <v>-2.380599106</v>
      </c>
      <c r="AH581" s="73">
        <f t="shared" si="19"/>
        <v>-1.79320266</v>
      </c>
      <c r="AI581" s="73">
        <f t="shared" si="20"/>
        <v>-3.240190514</v>
      </c>
      <c r="AJ581" s="73">
        <f t="shared" si="21"/>
        <v>-1.329092151</v>
      </c>
      <c r="AK581" s="73">
        <f t="shared" si="22"/>
        <v>0</v>
      </c>
      <c r="AL581" s="73">
        <f t="shared" si="23"/>
        <v>0</v>
      </c>
      <c r="AM581" s="73">
        <f t="shared" si="24"/>
        <v>0.433638093</v>
      </c>
      <c r="AN581" s="120">
        <f t="shared" si="25"/>
        <v>-3.240190514</v>
      </c>
      <c r="AO581" s="120">
        <f t="shared" si="26"/>
        <v>-6.395549135</v>
      </c>
      <c r="AP581" s="120" t="str">
        <f t="array" ref="AP581">INDIRECT("Update"&amp;Projections!$AH$17&amp;"!S"&amp;ROW(B562))</f>
        <v/>
      </c>
      <c r="AQ581" s="120" t="str">
        <f t="array" ref="AQ581">INDIRECT("Update"&amp;Projections!$AH$17&amp;"!T"&amp;ROW(B562))</f>
        <v/>
      </c>
      <c r="AR581" s="100">
        <f t="shared" si="27"/>
        <v>-9.965301026</v>
      </c>
    </row>
    <row r="582">
      <c r="A582" t="str">
        <f t="shared" si="3"/>
        <v/>
      </c>
      <c r="B582" s="42">
        <f t="shared" si="4"/>
        <v>-3.155358621</v>
      </c>
      <c r="C582" s="43">
        <f t="shared" si="5"/>
        <v>-1.740686581</v>
      </c>
      <c r="D582" s="42">
        <f t="shared" si="6"/>
        <v>-2.380599106</v>
      </c>
      <c r="E582" s="42">
        <f t="shared" si="7"/>
        <v>-1.79320266</v>
      </c>
      <c r="F582" s="42">
        <f t="shared" si="8"/>
        <v>-3.240190514</v>
      </c>
      <c r="G582" s="42">
        <f t="shared" si="9"/>
        <v>-1.329092151</v>
      </c>
      <c r="H582" s="42">
        <f t="shared" si="10"/>
        <v>0</v>
      </c>
      <c r="I582" s="42" t="str">
        <f>UpdateHashtag!S580</f>
        <v/>
      </c>
      <c r="J582" s="47">
        <f t="shared" si="11"/>
        <v>0</v>
      </c>
      <c r="K582" s="48" t="str">
        <f>UpdateHashtag!T580</f>
        <v/>
      </c>
      <c r="L582" s="42">
        <f t="shared" si="12"/>
        <v>-1.734552372</v>
      </c>
      <c r="N582" s="100">
        <f t="shared" si="13"/>
        <v>401</v>
      </c>
      <c r="O582" s="94" t="str">
        <f t="array" ref="O582">INDIRECT("Update"&amp;Projections!$AH$17&amp;"!B"&amp;ROW(B563))</f>
        <v/>
      </c>
      <c r="P582" s="414" t="str">
        <f t="array" ref="P582">INDIRECT("Update"&amp;Projections!$AH$17&amp;"!C"&amp;ROW(B563))</f>
        <v/>
      </c>
      <c r="Q582" s="94" t="str">
        <f>UpdateHashtag!F612</f>
        <v/>
      </c>
      <c r="R582" s="105" t="str">
        <f t="array" ref="R582">INDIRECT("Update"&amp;Projections!$AH$17&amp;"!D"&amp;ROW(B563))</f>
        <v/>
      </c>
      <c r="S582" s="73">
        <f t="shared" si="14"/>
        <v>-9.965301026</v>
      </c>
      <c r="T582" s="73">
        <f>SUM(AE582:AM582)-IFERROR(IFS(Projections!$I$17,AN582,Projections!$J$17,AO582),"")</f>
        <v>-9.965301026</v>
      </c>
      <c r="U582" s="73">
        <f t="shared" si="15"/>
        <v>0</v>
      </c>
      <c r="V582" s="73" t="str">
        <f t="array" ref="V582">INDIRECT("Update"&amp;Projections!$AH$17&amp;"!M"&amp;ROW(B563))</f>
        <v/>
      </c>
      <c r="W582" s="73" t="str">
        <f t="array" ref="W582">INDIRECT("Update"&amp;Projections!$AH$17&amp;"!L"&amp;ROW(B563))</f>
        <v/>
      </c>
      <c r="X582" s="73" t="str">
        <f t="array" ref="X582">INDIRECT("Update"&amp;Projections!$AH$17&amp;"!N"&amp;ROW(B563))</f>
        <v/>
      </c>
      <c r="Y582" s="73" t="str">
        <f t="array" ref="Y582">INDIRECT("Update"&amp;Projections!$AH$17&amp;"!O"&amp;ROW(B563))</f>
        <v/>
      </c>
      <c r="Z582" s="73" t="str">
        <f t="array" ref="Z582">INDIRECT("Update"&amp;Projections!$AH$17&amp;"!P"&amp;ROW(B563))</f>
        <v/>
      </c>
      <c r="AA582" s="73" t="str">
        <f t="array" ref="AA582">INDIRECT("Update"&amp;Projections!$AH$17&amp;"!Q"&amp;ROW(B563))</f>
        <v/>
      </c>
      <c r="AB582" s="107" t="str">
        <f t="array" ref="AB582">INDIRECT("Update"&amp;Projections!$AH$17&amp;"!I"&amp;ROW(B563))</f>
        <v/>
      </c>
      <c r="AC582" s="107" t="str">
        <f t="array" ref="AC582">INDIRECT("Update"&amp;Projections!$AH$17&amp;"!K"&amp;ROW(B563))</f>
        <v/>
      </c>
      <c r="AD582" s="73" t="str">
        <f t="array" ref="AD582">INDIRECT("Update"&amp;Projections!$AH$17&amp;"!R"&amp;ROW(B563))</f>
        <v/>
      </c>
      <c r="AE582" s="73">
        <f t="shared" si="16"/>
        <v>-3.155358621</v>
      </c>
      <c r="AF582" s="73">
        <f t="shared" si="17"/>
        <v>-1.740686581</v>
      </c>
      <c r="AG582" s="73">
        <f t="shared" si="18"/>
        <v>-2.380599106</v>
      </c>
      <c r="AH582" s="73">
        <f t="shared" si="19"/>
        <v>-1.79320266</v>
      </c>
      <c r="AI582" s="73">
        <f t="shared" si="20"/>
        <v>-3.240190514</v>
      </c>
      <c r="AJ582" s="73">
        <f t="shared" si="21"/>
        <v>-1.329092151</v>
      </c>
      <c r="AK582" s="73">
        <f t="shared" si="22"/>
        <v>0</v>
      </c>
      <c r="AL582" s="73">
        <f t="shared" si="23"/>
        <v>0</v>
      </c>
      <c r="AM582" s="73">
        <f t="shared" si="24"/>
        <v>0.433638093</v>
      </c>
      <c r="AN582" s="120">
        <f t="shared" si="25"/>
        <v>-3.240190514</v>
      </c>
      <c r="AO582" s="120">
        <f t="shared" si="26"/>
        <v>-6.395549135</v>
      </c>
      <c r="AP582" s="120" t="str">
        <f t="array" ref="AP582">INDIRECT("Update"&amp;Projections!$AH$17&amp;"!S"&amp;ROW(B563))</f>
        <v/>
      </c>
      <c r="AQ582" s="120" t="str">
        <f t="array" ref="AQ582">INDIRECT("Update"&amp;Projections!$AH$17&amp;"!T"&amp;ROW(B563))</f>
        <v/>
      </c>
      <c r="AR582" s="100">
        <f t="shared" si="27"/>
        <v>-9.965301026</v>
      </c>
    </row>
    <row r="583">
      <c r="A583" t="str">
        <f t="shared" si="3"/>
        <v/>
      </c>
      <c r="B583" s="42">
        <f t="shared" si="4"/>
        <v>-3.155358621</v>
      </c>
      <c r="C583" s="43">
        <f t="shared" si="5"/>
        <v>-1.740686581</v>
      </c>
      <c r="D583" s="42">
        <f t="shared" si="6"/>
        <v>-2.380599106</v>
      </c>
      <c r="E583" s="42">
        <f t="shared" si="7"/>
        <v>-1.79320266</v>
      </c>
      <c r="F583" s="42">
        <f t="shared" si="8"/>
        <v>-3.240190514</v>
      </c>
      <c r="G583" s="42">
        <f t="shared" si="9"/>
        <v>-1.329092151</v>
      </c>
      <c r="H583" s="42">
        <f t="shared" si="10"/>
        <v>0</v>
      </c>
      <c r="I583" s="42" t="str">
        <f>UpdateHashtag!S581</f>
        <v/>
      </c>
      <c r="J583" s="47">
        <f t="shared" si="11"/>
        <v>0</v>
      </c>
      <c r="K583" s="48" t="str">
        <f>UpdateHashtag!T581</f>
        <v/>
      </c>
      <c r="L583" s="42">
        <f t="shared" si="12"/>
        <v>-1.734552372</v>
      </c>
      <c r="N583" s="100">
        <f t="shared" si="13"/>
        <v>401</v>
      </c>
      <c r="O583" s="94" t="str">
        <f t="array" ref="O583">INDIRECT("Update"&amp;Projections!$AH$17&amp;"!B"&amp;ROW(B564))</f>
        <v/>
      </c>
      <c r="P583" s="414" t="str">
        <f t="array" ref="P583">INDIRECT("Update"&amp;Projections!$AH$17&amp;"!C"&amp;ROW(B564))</f>
        <v/>
      </c>
      <c r="Q583" s="94" t="str">
        <f>UpdateHashtag!F613</f>
        <v/>
      </c>
      <c r="R583" s="105" t="str">
        <f t="array" ref="R583">INDIRECT("Update"&amp;Projections!$AH$17&amp;"!D"&amp;ROW(B564))</f>
        <v/>
      </c>
      <c r="S583" s="73">
        <f t="shared" si="14"/>
        <v>-9.965301026</v>
      </c>
      <c r="T583" s="73">
        <f>SUM(AE583:AM583)-IFERROR(IFS(Projections!$I$17,AN583,Projections!$J$17,AO583),"")</f>
        <v>-9.965301026</v>
      </c>
      <c r="U583" s="73">
        <f t="shared" si="15"/>
        <v>0</v>
      </c>
      <c r="V583" s="73" t="str">
        <f t="array" ref="V583">INDIRECT("Update"&amp;Projections!$AH$17&amp;"!M"&amp;ROW(B564))</f>
        <v/>
      </c>
      <c r="W583" s="73" t="str">
        <f t="array" ref="W583">INDIRECT("Update"&amp;Projections!$AH$17&amp;"!L"&amp;ROW(B564))</f>
        <v/>
      </c>
      <c r="X583" s="73" t="str">
        <f t="array" ref="X583">INDIRECT("Update"&amp;Projections!$AH$17&amp;"!N"&amp;ROW(B564))</f>
        <v/>
      </c>
      <c r="Y583" s="73" t="str">
        <f t="array" ref="Y583">INDIRECT("Update"&amp;Projections!$AH$17&amp;"!O"&amp;ROW(B564))</f>
        <v/>
      </c>
      <c r="Z583" s="73" t="str">
        <f t="array" ref="Z583">INDIRECT("Update"&amp;Projections!$AH$17&amp;"!P"&amp;ROW(B564))</f>
        <v/>
      </c>
      <c r="AA583" s="73" t="str">
        <f t="array" ref="AA583">INDIRECT("Update"&amp;Projections!$AH$17&amp;"!Q"&amp;ROW(B564))</f>
        <v/>
      </c>
      <c r="AB583" s="107" t="str">
        <f t="array" ref="AB583">INDIRECT("Update"&amp;Projections!$AH$17&amp;"!I"&amp;ROW(B564))</f>
        <v/>
      </c>
      <c r="AC583" s="107" t="str">
        <f t="array" ref="AC583">INDIRECT("Update"&amp;Projections!$AH$17&amp;"!K"&amp;ROW(B564))</f>
        <v/>
      </c>
      <c r="AD583" s="73" t="str">
        <f t="array" ref="AD583">INDIRECT("Update"&amp;Projections!$AH$17&amp;"!R"&amp;ROW(B564))</f>
        <v/>
      </c>
      <c r="AE583" s="73">
        <f t="shared" si="16"/>
        <v>-3.155358621</v>
      </c>
      <c r="AF583" s="73">
        <f t="shared" si="17"/>
        <v>-1.740686581</v>
      </c>
      <c r="AG583" s="73">
        <f t="shared" si="18"/>
        <v>-2.380599106</v>
      </c>
      <c r="AH583" s="73">
        <f t="shared" si="19"/>
        <v>-1.79320266</v>
      </c>
      <c r="AI583" s="73">
        <f t="shared" si="20"/>
        <v>-3.240190514</v>
      </c>
      <c r="AJ583" s="73">
        <f t="shared" si="21"/>
        <v>-1.329092151</v>
      </c>
      <c r="AK583" s="73">
        <f t="shared" si="22"/>
        <v>0</v>
      </c>
      <c r="AL583" s="73">
        <f t="shared" si="23"/>
        <v>0</v>
      </c>
      <c r="AM583" s="73">
        <f t="shared" si="24"/>
        <v>0.433638093</v>
      </c>
      <c r="AN583" s="120">
        <f t="shared" si="25"/>
        <v>-3.240190514</v>
      </c>
      <c r="AO583" s="120">
        <f t="shared" si="26"/>
        <v>-6.395549135</v>
      </c>
      <c r="AP583" s="120" t="str">
        <f t="array" ref="AP583">INDIRECT("Update"&amp;Projections!$AH$17&amp;"!S"&amp;ROW(B564))</f>
        <v/>
      </c>
      <c r="AQ583" s="120" t="str">
        <f t="array" ref="AQ583">INDIRECT("Update"&amp;Projections!$AH$17&amp;"!T"&amp;ROW(B564))</f>
        <v/>
      </c>
      <c r="AR583" s="100">
        <f t="shared" si="27"/>
        <v>-9.965301026</v>
      </c>
    </row>
    <row r="584">
      <c r="A584" t="str">
        <f t="shared" si="3"/>
        <v/>
      </c>
      <c r="B584" s="42">
        <f t="shared" si="4"/>
        <v>-3.155358621</v>
      </c>
      <c r="C584" s="43">
        <f t="shared" si="5"/>
        <v>-1.740686581</v>
      </c>
      <c r="D584" s="42">
        <f t="shared" si="6"/>
        <v>-2.380599106</v>
      </c>
      <c r="E584" s="42">
        <f t="shared" si="7"/>
        <v>-1.79320266</v>
      </c>
      <c r="F584" s="42">
        <f t="shared" si="8"/>
        <v>-3.240190514</v>
      </c>
      <c r="G584" s="42">
        <f t="shared" si="9"/>
        <v>-1.329092151</v>
      </c>
      <c r="H584" s="42">
        <f t="shared" si="10"/>
        <v>0</v>
      </c>
      <c r="I584" s="42" t="str">
        <f>UpdateHashtag!S582</f>
        <v/>
      </c>
      <c r="J584" s="47">
        <f t="shared" si="11"/>
        <v>0</v>
      </c>
      <c r="K584" s="48" t="str">
        <f>UpdateHashtag!T582</f>
        <v/>
      </c>
      <c r="L584" s="42">
        <f t="shared" si="12"/>
        <v>-1.734552372</v>
      </c>
      <c r="N584" s="100">
        <f t="shared" si="13"/>
        <v>401</v>
      </c>
      <c r="O584" s="94" t="str">
        <f t="array" ref="O584">INDIRECT("Update"&amp;Projections!$AH$17&amp;"!B"&amp;ROW(B565))</f>
        <v/>
      </c>
      <c r="P584" s="414" t="str">
        <f t="array" ref="P584">INDIRECT("Update"&amp;Projections!$AH$17&amp;"!C"&amp;ROW(B565))</f>
        <v/>
      </c>
      <c r="Q584" s="94" t="str">
        <f>UpdateHashtag!F614</f>
        <v/>
      </c>
      <c r="R584" s="105" t="str">
        <f t="array" ref="R584">INDIRECT("Update"&amp;Projections!$AH$17&amp;"!D"&amp;ROW(B565))</f>
        <v/>
      </c>
      <c r="S584" s="73">
        <f t="shared" si="14"/>
        <v>-9.965301026</v>
      </c>
      <c r="T584" s="73">
        <f>SUM(AE584:AM584)-IFERROR(IFS(Projections!$I$17,AN584,Projections!$J$17,AO584),"")</f>
        <v>-9.965301026</v>
      </c>
      <c r="U584" s="73">
        <f t="shared" si="15"/>
        <v>0</v>
      </c>
      <c r="V584" s="73" t="str">
        <f t="array" ref="V584">INDIRECT("Update"&amp;Projections!$AH$17&amp;"!M"&amp;ROW(B565))</f>
        <v/>
      </c>
      <c r="W584" s="73" t="str">
        <f t="array" ref="W584">INDIRECT("Update"&amp;Projections!$AH$17&amp;"!L"&amp;ROW(B565))</f>
        <v/>
      </c>
      <c r="X584" s="73" t="str">
        <f t="array" ref="X584">INDIRECT("Update"&amp;Projections!$AH$17&amp;"!N"&amp;ROW(B565))</f>
        <v/>
      </c>
      <c r="Y584" s="73" t="str">
        <f t="array" ref="Y584">INDIRECT("Update"&amp;Projections!$AH$17&amp;"!O"&amp;ROW(B565))</f>
        <v/>
      </c>
      <c r="Z584" s="73" t="str">
        <f t="array" ref="Z584">INDIRECT("Update"&amp;Projections!$AH$17&amp;"!P"&amp;ROW(B565))</f>
        <v/>
      </c>
      <c r="AA584" s="73" t="str">
        <f t="array" ref="AA584">INDIRECT("Update"&amp;Projections!$AH$17&amp;"!Q"&amp;ROW(B565))</f>
        <v/>
      </c>
      <c r="AB584" s="107" t="str">
        <f t="array" ref="AB584">INDIRECT("Update"&amp;Projections!$AH$17&amp;"!I"&amp;ROW(B565))</f>
        <v/>
      </c>
      <c r="AC584" s="107" t="str">
        <f t="array" ref="AC584">INDIRECT("Update"&amp;Projections!$AH$17&amp;"!K"&amp;ROW(B565))</f>
        <v/>
      </c>
      <c r="AD584" s="73" t="str">
        <f t="array" ref="AD584">INDIRECT("Update"&amp;Projections!$AH$17&amp;"!R"&amp;ROW(B565))</f>
        <v/>
      </c>
      <c r="AE584" s="73">
        <f t="shared" si="16"/>
        <v>-3.155358621</v>
      </c>
      <c r="AF584" s="73">
        <f t="shared" si="17"/>
        <v>-1.740686581</v>
      </c>
      <c r="AG584" s="73">
        <f t="shared" si="18"/>
        <v>-2.380599106</v>
      </c>
      <c r="AH584" s="73">
        <f t="shared" si="19"/>
        <v>-1.79320266</v>
      </c>
      <c r="AI584" s="73">
        <f t="shared" si="20"/>
        <v>-3.240190514</v>
      </c>
      <c r="AJ584" s="73">
        <f t="shared" si="21"/>
        <v>-1.329092151</v>
      </c>
      <c r="AK584" s="73">
        <f t="shared" si="22"/>
        <v>0</v>
      </c>
      <c r="AL584" s="73">
        <f t="shared" si="23"/>
        <v>0</v>
      </c>
      <c r="AM584" s="73">
        <f t="shared" si="24"/>
        <v>0.433638093</v>
      </c>
      <c r="AN584" s="120">
        <f t="shared" si="25"/>
        <v>-3.240190514</v>
      </c>
      <c r="AO584" s="120">
        <f t="shared" si="26"/>
        <v>-6.395549135</v>
      </c>
      <c r="AP584" s="120" t="str">
        <f t="array" ref="AP584">INDIRECT("Update"&amp;Projections!$AH$17&amp;"!S"&amp;ROW(B565))</f>
        <v/>
      </c>
      <c r="AQ584" s="120" t="str">
        <f t="array" ref="AQ584">INDIRECT("Update"&amp;Projections!$AH$17&amp;"!T"&amp;ROW(B565))</f>
        <v/>
      </c>
      <c r="AR584" s="100">
        <f t="shared" si="27"/>
        <v>-9.965301026</v>
      </c>
    </row>
    <row r="585">
      <c r="A585" t="str">
        <f t="shared" si="3"/>
        <v/>
      </c>
      <c r="B585" s="42">
        <f t="shared" si="4"/>
        <v>-3.155358621</v>
      </c>
      <c r="C585" s="43">
        <f t="shared" si="5"/>
        <v>-1.740686581</v>
      </c>
      <c r="D585" s="42">
        <f t="shared" si="6"/>
        <v>-2.380599106</v>
      </c>
      <c r="E585" s="42">
        <f t="shared" si="7"/>
        <v>-1.79320266</v>
      </c>
      <c r="F585" s="42">
        <f t="shared" si="8"/>
        <v>-3.240190514</v>
      </c>
      <c r="G585" s="42">
        <f t="shared" si="9"/>
        <v>-1.329092151</v>
      </c>
      <c r="H585" s="42">
        <f t="shared" si="10"/>
        <v>0</v>
      </c>
      <c r="I585" s="42" t="str">
        <f>UpdateHashtag!S583</f>
        <v/>
      </c>
      <c r="J585" s="47">
        <f t="shared" si="11"/>
        <v>0</v>
      </c>
      <c r="K585" s="48" t="str">
        <f>UpdateHashtag!T583</f>
        <v/>
      </c>
      <c r="L585" s="42">
        <f t="shared" si="12"/>
        <v>-1.734552372</v>
      </c>
      <c r="N585" s="100">
        <f t="shared" si="13"/>
        <v>401</v>
      </c>
      <c r="O585" s="94" t="str">
        <f t="array" ref="O585">INDIRECT("Update"&amp;Projections!$AH$17&amp;"!B"&amp;ROW(B566))</f>
        <v/>
      </c>
      <c r="P585" s="414" t="str">
        <f t="array" ref="P585">INDIRECT("Update"&amp;Projections!$AH$17&amp;"!C"&amp;ROW(B566))</f>
        <v/>
      </c>
      <c r="Q585" s="94" t="str">
        <f>UpdateHashtag!F615</f>
        <v/>
      </c>
      <c r="R585" s="105" t="str">
        <f t="array" ref="R585">INDIRECT("Update"&amp;Projections!$AH$17&amp;"!D"&amp;ROW(B566))</f>
        <v/>
      </c>
      <c r="S585" s="73">
        <f t="shared" si="14"/>
        <v>-9.965301026</v>
      </c>
      <c r="T585" s="73">
        <f>SUM(AE585:AM585)-IFERROR(IFS(Projections!$I$17,AN585,Projections!$J$17,AO585),"")</f>
        <v>-9.965301026</v>
      </c>
      <c r="U585" s="73">
        <f t="shared" si="15"/>
        <v>0</v>
      </c>
      <c r="V585" s="73" t="str">
        <f t="array" ref="V585">INDIRECT("Update"&amp;Projections!$AH$17&amp;"!M"&amp;ROW(B566))</f>
        <v/>
      </c>
      <c r="W585" s="73" t="str">
        <f t="array" ref="W585">INDIRECT("Update"&amp;Projections!$AH$17&amp;"!L"&amp;ROW(B566))</f>
        <v/>
      </c>
      <c r="X585" s="73" t="str">
        <f t="array" ref="X585">INDIRECT("Update"&amp;Projections!$AH$17&amp;"!N"&amp;ROW(B566))</f>
        <v/>
      </c>
      <c r="Y585" s="73" t="str">
        <f t="array" ref="Y585">INDIRECT("Update"&amp;Projections!$AH$17&amp;"!O"&amp;ROW(B566))</f>
        <v/>
      </c>
      <c r="Z585" s="73" t="str">
        <f t="array" ref="Z585">INDIRECT("Update"&amp;Projections!$AH$17&amp;"!P"&amp;ROW(B566))</f>
        <v/>
      </c>
      <c r="AA585" s="73" t="str">
        <f t="array" ref="AA585">INDIRECT("Update"&amp;Projections!$AH$17&amp;"!Q"&amp;ROW(B566))</f>
        <v/>
      </c>
      <c r="AB585" s="107" t="str">
        <f t="array" ref="AB585">INDIRECT("Update"&amp;Projections!$AH$17&amp;"!I"&amp;ROW(B566))</f>
        <v/>
      </c>
      <c r="AC585" s="107" t="str">
        <f t="array" ref="AC585">INDIRECT("Update"&amp;Projections!$AH$17&amp;"!K"&amp;ROW(B566))</f>
        <v/>
      </c>
      <c r="AD585" s="73" t="str">
        <f t="array" ref="AD585">INDIRECT("Update"&amp;Projections!$AH$17&amp;"!R"&amp;ROW(B566))</f>
        <v/>
      </c>
      <c r="AE585" s="73">
        <f t="shared" si="16"/>
        <v>-3.155358621</v>
      </c>
      <c r="AF585" s="73">
        <f t="shared" si="17"/>
        <v>-1.740686581</v>
      </c>
      <c r="AG585" s="73">
        <f t="shared" si="18"/>
        <v>-2.380599106</v>
      </c>
      <c r="AH585" s="73">
        <f t="shared" si="19"/>
        <v>-1.79320266</v>
      </c>
      <c r="AI585" s="73">
        <f t="shared" si="20"/>
        <v>-3.240190514</v>
      </c>
      <c r="AJ585" s="73">
        <f t="shared" si="21"/>
        <v>-1.329092151</v>
      </c>
      <c r="AK585" s="73">
        <f t="shared" si="22"/>
        <v>0</v>
      </c>
      <c r="AL585" s="73">
        <f t="shared" si="23"/>
        <v>0</v>
      </c>
      <c r="AM585" s="73">
        <f t="shared" si="24"/>
        <v>0.433638093</v>
      </c>
      <c r="AN585" s="120">
        <f t="shared" si="25"/>
        <v>-3.240190514</v>
      </c>
      <c r="AO585" s="120">
        <f t="shared" si="26"/>
        <v>-6.395549135</v>
      </c>
      <c r="AP585" s="120" t="str">
        <f t="array" ref="AP585">INDIRECT("Update"&amp;Projections!$AH$17&amp;"!S"&amp;ROW(B566))</f>
        <v/>
      </c>
      <c r="AQ585" s="120" t="str">
        <f t="array" ref="AQ585">INDIRECT("Update"&amp;Projections!$AH$17&amp;"!T"&amp;ROW(B566))</f>
        <v/>
      </c>
      <c r="AR585" s="100">
        <f t="shared" si="27"/>
        <v>-9.965301026</v>
      </c>
    </row>
    <row r="586">
      <c r="A586" t="str">
        <f t="shared" si="3"/>
        <v/>
      </c>
      <c r="B586" s="42">
        <f t="shared" si="4"/>
        <v>-3.155358621</v>
      </c>
      <c r="C586" s="43">
        <f t="shared" si="5"/>
        <v>-1.740686581</v>
      </c>
      <c r="D586" s="42">
        <f t="shared" si="6"/>
        <v>-2.380599106</v>
      </c>
      <c r="E586" s="42">
        <f t="shared" si="7"/>
        <v>-1.79320266</v>
      </c>
      <c r="F586" s="42">
        <f t="shared" si="8"/>
        <v>-3.240190514</v>
      </c>
      <c r="G586" s="42">
        <f t="shared" si="9"/>
        <v>-1.329092151</v>
      </c>
      <c r="H586" s="42">
        <f t="shared" si="10"/>
        <v>0</v>
      </c>
      <c r="I586" s="42" t="str">
        <f>UpdateHashtag!S584</f>
        <v/>
      </c>
      <c r="J586" s="47">
        <f t="shared" si="11"/>
        <v>0</v>
      </c>
      <c r="K586" s="48" t="str">
        <f>UpdateHashtag!T584</f>
        <v/>
      </c>
      <c r="L586" s="42">
        <f t="shared" si="12"/>
        <v>-1.734552372</v>
      </c>
      <c r="N586" s="100">
        <f t="shared" si="13"/>
        <v>401</v>
      </c>
      <c r="O586" s="94" t="str">
        <f t="array" ref="O586">INDIRECT("Update"&amp;Projections!$AH$17&amp;"!B"&amp;ROW(B567))</f>
        <v/>
      </c>
      <c r="P586" s="414" t="str">
        <f t="array" ref="P586">INDIRECT("Update"&amp;Projections!$AH$17&amp;"!C"&amp;ROW(B567))</f>
        <v/>
      </c>
      <c r="Q586" s="94" t="str">
        <f>UpdateHashtag!F616</f>
        <v/>
      </c>
      <c r="R586" s="105" t="str">
        <f t="array" ref="R586">INDIRECT("Update"&amp;Projections!$AH$17&amp;"!D"&amp;ROW(B567))</f>
        <v/>
      </c>
      <c r="S586" s="73">
        <f t="shared" si="14"/>
        <v>-9.965301026</v>
      </c>
      <c r="T586" s="73">
        <f>SUM(AE586:AM586)-IFERROR(IFS(Projections!$I$17,AN586,Projections!$J$17,AO586),"")</f>
        <v>-9.965301026</v>
      </c>
      <c r="U586" s="73">
        <f t="shared" si="15"/>
        <v>0</v>
      </c>
      <c r="V586" s="73" t="str">
        <f t="array" ref="V586">INDIRECT("Update"&amp;Projections!$AH$17&amp;"!M"&amp;ROW(B567))</f>
        <v/>
      </c>
      <c r="W586" s="73" t="str">
        <f t="array" ref="W586">INDIRECT("Update"&amp;Projections!$AH$17&amp;"!L"&amp;ROW(B567))</f>
        <v/>
      </c>
      <c r="X586" s="73" t="str">
        <f t="array" ref="X586">INDIRECT("Update"&amp;Projections!$AH$17&amp;"!N"&amp;ROW(B567))</f>
        <v/>
      </c>
      <c r="Y586" s="73" t="str">
        <f t="array" ref="Y586">INDIRECT("Update"&amp;Projections!$AH$17&amp;"!O"&amp;ROW(B567))</f>
        <v/>
      </c>
      <c r="Z586" s="73" t="str">
        <f t="array" ref="Z586">INDIRECT("Update"&amp;Projections!$AH$17&amp;"!P"&amp;ROW(B567))</f>
        <v/>
      </c>
      <c r="AA586" s="73" t="str">
        <f t="array" ref="AA586">INDIRECT("Update"&amp;Projections!$AH$17&amp;"!Q"&amp;ROW(B567))</f>
        <v/>
      </c>
      <c r="AB586" s="107" t="str">
        <f t="array" ref="AB586">INDIRECT("Update"&amp;Projections!$AH$17&amp;"!I"&amp;ROW(B567))</f>
        <v/>
      </c>
      <c r="AC586" s="107" t="str">
        <f t="array" ref="AC586">INDIRECT("Update"&amp;Projections!$AH$17&amp;"!K"&amp;ROW(B567))</f>
        <v/>
      </c>
      <c r="AD586" s="73" t="str">
        <f t="array" ref="AD586">INDIRECT("Update"&amp;Projections!$AH$17&amp;"!R"&amp;ROW(B567))</f>
        <v/>
      </c>
      <c r="AE586" s="73">
        <f t="shared" si="16"/>
        <v>-3.155358621</v>
      </c>
      <c r="AF586" s="73">
        <f t="shared" si="17"/>
        <v>-1.740686581</v>
      </c>
      <c r="AG586" s="73">
        <f t="shared" si="18"/>
        <v>-2.380599106</v>
      </c>
      <c r="AH586" s="73">
        <f t="shared" si="19"/>
        <v>-1.79320266</v>
      </c>
      <c r="AI586" s="73">
        <f t="shared" si="20"/>
        <v>-3.240190514</v>
      </c>
      <c r="AJ586" s="73">
        <f t="shared" si="21"/>
        <v>-1.329092151</v>
      </c>
      <c r="AK586" s="73">
        <f t="shared" si="22"/>
        <v>0</v>
      </c>
      <c r="AL586" s="73">
        <f t="shared" si="23"/>
        <v>0</v>
      </c>
      <c r="AM586" s="73">
        <f t="shared" si="24"/>
        <v>0.433638093</v>
      </c>
      <c r="AN586" s="120">
        <f t="shared" si="25"/>
        <v>-3.240190514</v>
      </c>
      <c r="AO586" s="120">
        <f t="shared" si="26"/>
        <v>-6.395549135</v>
      </c>
      <c r="AP586" s="120" t="str">
        <f t="array" ref="AP586">INDIRECT("Update"&amp;Projections!$AH$17&amp;"!S"&amp;ROW(B567))</f>
        <v/>
      </c>
      <c r="AQ586" s="120" t="str">
        <f t="array" ref="AQ586">INDIRECT("Update"&amp;Projections!$AH$17&amp;"!T"&amp;ROW(B567))</f>
        <v/>
      </c>
      <c r="AR586" s="100">
        <f t="shared" si="27"/>
        <v>-9.965301026</v>
      </c>
    </row>
    <row r="587">
      <c r="A587" t="str">
        <f t="shared" si="3"/>
        <v/>
      </c>
      <c r="B587" s="42">
        <f t="shared" si="4"/>
        <v>-3.155358621</v>
      </c>
      <c r="C587" s="43">
        <f t="shared" si="5"/>
        <v>-1.740686581</v>
      </c>
      <c r="D587" s="42">
        <f t="shared" si="6"/>
        <v>-2.380599106</v>
      </c>
      <c r="E587" s="42">
        <f t="shared" si="7"/>
        <v>-1.79320266</v>
      </c>
      <c r="F587" s="42">
        <f t="shared" si="8"/>
        <v>-3.240190514</v>
      </c>
      <c r="G587" s="42">
        <f t="shared" si="9"/>
        <v>-1.329092151</v>
      </c>
      <c r="H587" s="42">
        <f t="shared" si="10"/>
        <v>0</v>
      </c>
      <c r="I587" s="42" t="str">
        <f>UpdateHashtag!S585</f>
        <v/>
      </c>
      <c r="J587" s="47">
        <f t="shared" si="11"/>
        <v>0</v>
      </c>
      <c r="K587" s="48" t="str">
        <f>UpdateHashtag!T585</f>
        <v/>
      </c>
      <c r="L587" s="42">
        <f t="shared" si="12"/>
        <v>-1.734552372</v>
      </c>
      <c r="N587" s="100">
        <f t="shared" si="13"/>
        <v>401</v>
      </c>
      <c r="O587" s="94" t="str">
        <f t="array" ref="O587">INDIRECT("Update"&amp;Projections!$AH$17&amp;"!B"&amp;ROW(B568))</f>
        <v/>
      </c>
      <c r="P587" s="414" t="str">
        <f t="array" ref="P587">INDIRECT("Update"&amp;Projections!$AH$17&amp;"!C"&amp;ROW(B568))</f>
        <v/>
      </c>
      <c r="Q587" s="94" t="str">
        <f>UpdateHashtag!F617</f>
        <v/>
      </c>
      <c r="R587" s="105" t="str">
        <f t="array" ref="R587">INDIRECT("Update"&amp;Projections!$AH$17&amp;"!D"&amp;ROW(B568))</f>
        <v/>
      </c>
      <c r="S587" s="73">
        <f t="shared" si="14"/>
        <v>-9.965301026</v>
      </c>
      <c r="T587" s="73">
        <f>SUM(AE587:AM587)-IFERROR(IFS(Projections!$I$17,AN587,Projections!$J$17,AO587),"")</f>
        <v>-9.965301026</v>
      </c>
      <c r="U587" s="73">
        <f t="shared" si="15"/>
        <v>0</v>
      </c>
      <c r="V587" s="73" t="str">
        <f t="array" ref="V587">INDIRECT("Update"&amp;Projections!$AH$17&amp;"!M"&amp;ROW(B568))</f>
        <v/>
      </c>
      <c r="W587" s="73" t="str">
        <f t="array" ref="W587">INDIRECT("Update"&amp;Projections!$AH$17&amp;"!L"&amp;ROW(B568))</f>
        <v/>
      </c>
      <c r="X587" s="73" t="str">
        <f t="array" ref="X587">INDIRECT("Update"&amp;Projections!$AH$17&amp;"!N"&amp;ROW(B568))</f>
        <v/>
      </c>
      <c r="Y587" s="73" t="str">
        <f t="array" ref="Y587">INDIRECT("Update"&amp;Projections!$AH$17&amp;"!O"&amp;ROW(B568))</f>
        <v/>
      </c>
      <c r="Z587" s="73" t="str">
        <f t="array" ref="Z587">INDIRECT("Update"&amp;Projections!$AH$17&amp;"!P"&amp;ROW(B568))</f>
        <v/>
      </c>
      <c r="AA587" s="73" t="str">
        <f t="array" ref="AA587">INDIRECT("Update"&amp;Projections!$AH$17&amp;"!Q"&amp;ROW(B568))</f>
        <v/>
      </c>
      <c r="AB587" s="107" t="str">
        <f t="array" ref="AB587">INDIRECT("Update"&amp;Projections!$AH$17&amp;"!I"&amp;ROW(B568))</f>
        <v/>
      </c>
      <c r="AC587" s="107" t="str">
        <f t="array" ref="AC587">INDIRECT("Update"&amp;Projections!$AH$17&amp;"!K"&amp;ROW(B568))</f>
        <v/>
      </c>
      <c r="AD587" s="73" t="str">
        <f t="array" ref="AD587">INDIRECT("Update"&amp;Projections!$AH$17&amp;"!R"&amp;ROW(B568))</f>
        <v/>
      </c>
      <c r="AE587" s="73">
        <f t="shared" si="16"/>
        <v>-3.155358621</v>
      </c>
      <c r="AF587" s="73">
        <f t="shared" si="17"/>
        <v>-1.740686581</v>
      </c>
      <c r="AG587" s="73">
        <f t="shared" si="18"/>
        <v>-2.380599106</v>
      </c>
      <c r="AH587" s="73">
        <f t="shared" si="19"/>
        <v>-1.79320266</v>
      </c>
      <c r="AI587" s="73">
        <f t="shared" si="20"/>
        <v>-3.240190514</v>
      </c>
      <c r="AJ587" s="73">
        <f t="shared" si="21"/>
        <v>-1.329092151</v>
      </c>
      <c r="AK587" s="73">
        <f t="shared" si="22"/>
        <v>0</v>
      </c>
      <c r="AL587" s="73">
        <f t="shared" si="23"/>
        <v>0</v>
      </c>
      <c r="AM587" s="73">
        <f t="shared" si="24"/>
        <v>0.433638093</v>
      </c>
      <c r="AN587" s="120">
        <f t="shared" si="25"/>
        <v>-3.240190514</v>
      </c>
      <c r="AO587" s="120">
        <f t="shared" si="26"/>
        <v>-6.395549135</v>
      </c>
      <c r="AP587" s="120" t="str">
        <f t="array" ref="AP587">INDIRECT("Update"&amp;Projections!$AH$17&amp;"!S"&amp;ROW(B568))</f>
        <v/>
      </c>
      <c r="AQ587" s="120" t="str">
        <f t="array" ref="AQ587">INDIRECT("Update"&amp;Projections!$AH$17&amp;"!T"&amp;ROW(B568))</f>
        <v/>
      </c>
      <c r="AR587" s="100">
        <f t="shared" si="27"/>
        <v>-9.965301026</v>
      </c>
    </row>
    <row r="588">
      <c r="A588" t="str">
        <f t="shared" si="3"/>
        <v/>
      </c>
      <c r="B588" s="42">
        <f t="shared" si="4"/>
        <v>-3.155358621</v>
      </c>
      <c r="C588" s="43">
        <f t="shared" si="5"/>
        <v>-1.740686581</v>
      </c>
      <c r="D588" s="42">
        <f t="shared" si="6"/>
        <v>-2.380599106</v>
      </c>
      <c r="E588" s="42">
        <f t="shared" si="7"/>
        <v>-1.79320266</v>
      </c>
      <c r="F588" s="42">
        <f t="shared" si="8"/>
        <v>-3.240190514</v>
      </c>
      <c r="G588" s="42">
        <f t="shared" si="9"/>
        <v>-1.329092151</v>
      </c>
      <c r="H588" s="42">
        <f t="shared" si="10"/>
        <v>0</v>
      </c>
      <c r="I588" s="42" t="str">
        <f>UpdateHashtag!S586</f>
        <v/>
      </c>
      <c r="J588" s="47">
        <f t="shared" si="11"/>
        <v>0</v>
      </c>
      <c r="K588" s="48" t="str">
        <f>UpdateHashtag!T586</f>
        <v/>
      </c>
      <c r="L588" s="42">
        <f t="shared" si="12"/>
        <v>-1.734552372</v>
      </c>
      <c r="N588" s="100">
        <f t="shared" si="13"/>
        <v>401</v>
      </c>
      <c r="O588" s="94" t="str">
        <f t="array" ref="O588">INDIRECT("Update"&amp;Projections!$AH$17&amp;"!B"&amp;ROW(B569))</f>
        <v/>
      </c>
      <c r="P588" s="414" t="str">
        <f t="array" ref="P588">INDIRECT("Update"&amp;Projections!$AH$17&amp;"!C"&amp;ROW(B569))</f>
        <v/>
      </c>
      <c r="Q588" s="94" t="str">
        <f>UpdateHashtag!F618</f>
        <v/>
      </c>
      <c r="R588" s="105" t="str">
        <f t="array" ref="R588">INDIRECT("Update"&amp;Projections!$AH$17&amp;"!D"&amp;ROW(B569))</f>
        <v/>
      </c>
      <c r="S588" s="73">
        <f t="shared" si="14"/>
        <v>-9.965301026</v>
      </c>
      <c r="T588" s="73">
        <f>SUM(AE588:AM588)-IFERROR(IFS(Projections!$I$17,AN588,Projections!$J$17,AO588),"")</f>
        <v>-9.965301026</v>
      </c>
      <c r="U588" s="73">
        <f t="shared" si="15"/>
        <v>0</v>
      </c>
      <c r="V588" s="73" t="str">
        <f t="array" ref="V588">INDIRECT("Update"&amp;Projections!$AH$17&amp;"!M"&amp;ROW(B569))</f>
        <v/>
      </c>
      <c r="W588" s="73" t="str">
        <f t="array" ref="W588">INDIRECT("Update"&amp;Projections!$AH$17&amp;"!L"&amp;ROW(B569))</f>
        <v/>
      </c>
      <c r="X588" s="73" t="str">
        <f t="array" ref="X588">INDIRECT("Update"&amp;Projections!$AH$17&amp;"!N"&amp;ROW(B569))</f>
        <v/>
      </c>
      <c r="Y588" s="73" t="str">
        <f t="array" ref="Y588">INDIRECT("Update"&amp;Projections!$AH$17&amp;"!O"&amp;ROW(B569))</f>
        <v/>
      </c>
      <c r="Z588" s="73" t="str">
        <f t="array" ref="Z588">INDIRECT("Update"&amp;Projections!$AH$17&amp;"!P"&amp;ROW(B569))</f>
        <v/>
      </c>
      <c r="AA588" s="73" t="str">
        <f t="array" ref="AA588">INDIRECT("Update"&amp;Projections!$AH$17&amp;"!Q"&amp;ROW(B569))</f>
        <v/>
      </c>
      <c r="AB588" s="107" t="str">
        <f t="array" ref="AB588">INDIRECT("Update"&amp;Projections!$AH$17&amp;"!I"&amp;ROW(B569))</f>
        <v/>
      </c>
      <c r="AC588" s="107" t="str">
        <f t="array" ref="AC588">INDIRECT("Update"&amp;Projections!$AH$17&amp;"!K"&amp;ROW(B569))</f>
        <v/>
      </c>
      <c r="AD588" s="73" t="str">
        <f t="array" ref="AD588">INDIRECT("Update"&amp;Projections!$AH$17&amp;"!R"&amp;ROW(B569))</f>
        <v/>
      </c>
      <c r="AE588" s="73">
        <f t="shared" si="16"/>
        <v>-3.155358621</v>
      </c>
      <c r="AF588" s="73">
        <f t="shared" si="17"/>
        <v>-1.740686581</v>
      </c>
      <c r="AG588" s="73">
        <f t="shared" si="18"/>
        <v>-2.380599106</v>
      </c>
      <c r="AH588" s="73">
        <f t="shared" si="19"/>
        <v>-1.79320266</v>
      </c>
      <c r="AI588" s="73">
        <f t="shared" si="20"/>
        <v>-3.240190514</v>
      </c>
      <c r="AJ588" s="73">
        <f t="shared" si="21"/>
        <v>-1.329092151</v>
      </c>
      <c r="AK588" s="73">
        <f t="shared" si="22"/>
        <v>0</v>
      </c>
      <c r="AL588" s="73">
        <f t="shared" si="23"/>
        <v>0</v>
      </c>
      <c r="AM588" s="73">
        <f t="shared" si="24"/>
        <v>0.433638093</v>
      </c>
      <c r="AN588" s="120">
        <f t="shared" si="25"/>
        <v>-3.240190514</v>
      </c>
      <c r="AO588" s="120">
        <f t="shared" si="26"/>
        <v>-6.395549135</v>
      </c>
      <c r="AP588" s="120" t="str">
        <f t="array" ref="AP588">INDIRECT("Update"&amp;Projections!$AH$17&amp;"!S"&amp;ROW(B569))</f>
        <v/>
      </c>
      <c r="AQ588" s="120" t="str">
        <f t="array" ref="AQ588">INDIRECT("Update"&amp;Projections!$AH$17&amp;"!T"&amp;ROW(B569))</f>
        <v/>
      </c>
      <c r="AR588" s="100">
        <f t="shared" si="27"/>
        <v>-9.965301026</v>
      </c>
    </row>
    <row r="589">
      <c r="A589" t="str">
        <f t="shared" si="3"/>
        <v/>
      </c>
      <c r="B589" s="42">
        <f t="shared" si="4"/>
        <v>-3.155358621</v>
      </c>
      <c r="C589" s="43">
        <f t="shared" si="5"/>
        <v>-1.740686581</v>
      </c>
      <c r="D589" s="42">
        <f t="shared" si="6"/>
        <v>-2.380599106</v>
      </c>
      <c r="E589" s="42">
        <f t="shared" si="7"/>
        <v>-1.79320266</v>
      </c>
      <c r="F589" s="42">
        <f t="shared" si="8"/>
        <v>-3.240190514</v>
      </c>
      <c r="G589" s="42">
        <f t="shared" si="9"/>
        <v>-1.329092151</v>
      </c>
      <c r="H589" s="42">
        <f t="shared" si="10"/>
        <v>0</v>
      </c>
      <c r="I589" s="42" t="str">
        <f>UpdateHashtag!S587</f>
        <v/>
      </c>
      <c r="J589" s="47">
        <f t="shared" si="11"/>
        <v>0</v>
      </c>
      <c r="K589" s="48" t="str">
        <f>UpdateHashtag!T587</f>
        <v/>
      </c>
      <c r="L589" s="42">
        <f t="shared" si="12"/>
        <v>-1.734552372</v>
      </c>
      <c r="N589" s="100">
        <f t="shared" si="13"/>
        <v>401</v>
      </c>
      <c r="O589" s="94" t="str">
        <f t="array" ref="O589">INDIRECT("Update"&amp;Projections!$AH$17&amp;"!B"&amp;ROW(B570))</f>
        <v/>
      </c>
      <c r="P589" s="414" t="str">
        <f t="array" ref="P589">INDIRECT("Update"&amp;Projections!$AH$17&amp;"!C"&amp;ROW(B570))</f>
        <v/>
      </c>
      <c r="Q589" s="94" t="str">
        <f>UpdateHashtag!F619</f>
        <v/>
      </c>
      <c r="R589" s="105" t="str">
        <f t="array" ref="R589">INDIRECT("Update"&amp;Projections!$AH$17&amp;"!D"&amp;ROW(B570))</f>
        <v/>
      </c>
      <c r="S589" s="73">
        <f t="shared" si="14"/>
        <v>-9.965301026</v>
      </c>
      <c r="T589" s="73">
        <f>SUM(AE589:AM589)-IFERROR(IFS(Projections!$I$17,AN589,Projections!$J$17,AO589),"")</f>
        <v>-9.965301026</v>
      </c>
      <c r="U589" s="73">
        <f t="shared" si="15"/>
        <v>0</v>
      </c>
      <c r="V589" s="73" t="str">
        <f t="array" ref="V589">INDIRECT("Update"&amp;Projections!$AH$17&amp;"!M"&amp;ROW(B570))</f>
        <v/>
      </c>
      <c r="W589" s="73" t="str">
        <f t="array" ref="W589">INDIRECT("Update"&amp;Projections!$AH$17&amp;"!L"&amp;ROW(B570))</f>
        <v/>
      </c>
      <c r="X589" s="73" t="str">
        <f t="array" ref="X589">INDIRECT("Update"&amp;Projections!$AH$17&amp;"!N"&amp;ROW(B570))</f>
        <v/>
      </c>
      <c r="Y589" s="73" t="str">
        <f t="array" ref="Y589">INDIRECT("Update"&amp;Projections!$AH$17&amp;"!O"&amp;ROW(B570))</f>
        <v/>
      </c>
      <c r="Z589" s="73" t="str">
        <f t="array" ref="Z589">INDIRECT("Update"&amp;Projections!$AH$17&amp;"!P"&amp;ROW(B570))</f>
        <v/>
      </c>
      <c r="AA589" s="73" t="str">
        <f t="array" ref="AA589">INDIRECT("Update"&amp;Projections!$AH$17&amp;"!Q"&amp;ROW(B570))</f>
        <v/>
      </c>
      <c r="AB589" s="107" t="str">
        <f t="array" ref="AB589">INDIRECT("Update"&amp;Projections!$AH$17&amp;"!I"&amp;ROW(B570))</f>
        <v/>
      </c>
      <c r="AC589" s="107" t="str">
        <f t="array" ref="AC589">INDIRECT("Update"&amp;Projections!$AH$17&amp;"!K"&amp;ROW(B570))</f>
        <v/>
      </c>
      <c r="AD589" s="73" t="str">
        <f t="array" ref="AD589">INDIRECT("Update"&amp;Projections!$AH$17&amp;"!R"&amp;ROW(B570))</f>
        <v/>
      </c>
      <c r="AE589" s="73">
        <f t="shared" si="16"/>
        <v>-3.155358621</v>
      </c>
      <c r="AF589" s="73">
        <f t="shared" si="17"/>
        <v>-1.740686581</v>
      </c>
      <c r="AG589" s="73">
        <f t="shared" si="18"/>
        <v>-2.380599106</v>
      </c>
      <c r="AH589" s="73">
        <f t="shared" si="19"/>
        <v>-1.79320266</v>
      </c>
      <c r="AI589" s="73">
        <f t="shared" si="20"/>
        <v>-3.240190514</v>
      </c>
      <c r="AJ589" s="73">
        <f t="shared" si="21"/>
        <v>-1.329092151</v>
      </c>
      <c r="AK589" s="73">
        <f t="shared" si="22"/>
        <v>0</v>
      </c>
      <c r="AL589" s="73">
        <f t="shared" si="23"/>
        <v>0</v>
      </c>
      <c r="AM589" s="73">
        <f t="shared" si="24"/>
        <v>0.433638093</v>
      </c>
      <c r="AN589" s="120">
        <f t="shared" si="25"/>
        <v>-3.240190514</v>
      </c>
      <c r="AO589" s="120">
        <f t="shared" si="26"/>
        <v>-6.395549135</v>
      </c>
      <c r="AP589" s="120" t="str">
        <f t="array" ref="AP589">INDIRECT("Update"&amp;Projections!$AH$17&amp;"!S"&amp;ROW(B570))</f>
        <v/>
      </c>
      <c r="AQ589" s="120" t="str">
        <f t="array" ref="AQ589">INDIRECT("Update"&amp;Projections!$AH$17&amp;"!T"&amp;ROW(B570))</f>
        <v/>
      </c>
      <c r="AR589" s="100">
        <f t="shared" si="27"/>
        <v>-9.965301026</v>
      </c>
    </row>
    <row r="590">
      <c r="A590" t="str">
        <f t="shared" si="3"/>
        <v/>
      </c>
      <c r="B590" s="42">
        <f t="shared" si="4"/>
        <v>-3.155358621</v>
      </c>
      <c r="C590" s="43">
        <f t="shared" si="5"/>
        <v>-1.740686581</v>
      </c>
      <c r="D590" s="42">
        <f t="shared" si="6"/>
        <v>-2.380599106</v>
      </c>
      <c r="E590" s="42">
        <f t="shared" si="7"/>
        <v>-1.79320266</v>
      </c>
      <c r="F590" s="42">
        <f t="shared" si="8"/>
        <v>-3.240190514</v>
      </c>
      <c r="G590" s="42">
        <f t="shared" si="9"/>
        <v>-1.329092151</v>
      </c>
      <c r="H590" s="42">
        <f t="shared" si="10"/>
        <v>0</v>
      </c>
      <c r="I590" s="42" t="str">
        <f>UpdateHashtag!S588</f>
        <v/>
      </c>
      <c r="J590" s="47">
        <f t="shared" si="11"/>
        <v>0</v>
      </c>
      <c r="K590" s="48" t="str">
        <f>UpdateHashtag!T588</f>
        <v/>
      </c>
      <c r="L590" s="42">
        <f t="shared" si="12"/>
        <v>-1.734552372</v>
      </c>
      <c r="N590" s="100">
        <f t="shared" si="13"/>
        <v>401</v>
      </c>
      <c r="O590" s="94" t="str">
        <f t="array" ref="O590">INDIRECT("Update"&amp;Projections!$AH$17&amp;"!B"&amp;ROW(B571))</f>
        <v/>
      </c>
      <c r="P590" s="414" t="str">
        <f t="array" ref="P590">INDIRECT("Update"&amp;Projections!$AH$17&amp;"!C"&amp;ROW(B571))</f>
        <v/>
      </c>
      <c r="Q590" s="94" t="str">
        <f>UpdateHashtag!F620</f>
        <v/>
      </c>
      <c r="R590" s="105" t="str">
        <f t="array" ref="R590">INDIRECT("Update"&amp;Projections!$AH$17&amp;"!D"&amp;ROW(B571))</f>
        <v/>
      </c>
      <c r="S590" s="73">
        <f t="shared" si="14"/>
        <v>-9.965301026</v>
      </c>
      <c r="T590" s="73">
        <f>SUM(AE590:AM590)-IFERROR(IFS(Projections!$I$17,AN590,Projections!$J$17,AO590),"")</f>
        <v>-9.965301026</v>
      </c>
      <c r="U590" s="73">
        <f t="shared" si="15"/>
        <v>0</v>
      </c>
      <c r="V590" s="73" t="str">
        <f t="array" ref="V590">INDIRECT("Update"&amp;Projections!$AH$17&amp;"!M"&amp;ROW(B571))</f>
        <v/>
      </c>
      <c r="W590" s="73" t="str">
        <f t="array" ref="W590">INDIRECT("Update"&amp;Projections!$AH$17&amp;"!L"&amp;ROW(B571))</f>
        <v/>
      </c>
      <c r="X590" s="73" t="str">
        <f t="array" ref="X590">INDIRECT("Update"&amp;Projections!$AH$17&amp;"!N"&amp;ROW(B571))</f>
        <v/>
      </c>
      <c r="Y590" s="73" t="str">
        <f t="array" ref="Y590">INDIRECT("Update"&amp;Projections!$AH$17&amp;"!O"&amp;ROW(B571))</f>
        <v/>
      </c>
      <c r="Z590" s="73" t="str">
        <f t="array" ref="Z590">INDIRECT("Update"&amp;Projections!$AH$17&amp;"!P"&amp;ROW(B571))</f>
        <v/>
      </c>
      <c r="AA590" s="73" t="str">
        <f t="array" ref="AA590">INDIRECT("Update"&amp;Projections!$AH$17&amp;"!Q"&amp;ROW(B571))</f>
        <v/>
      </c>
      <c r="AB590" s="107" t="str">
        <f t="array" ref="AB590">INDIRECT("Update"&amp;Projections!$AH$17&amp;"!I"&amp;ROW(B571))</f>
        <v/>
      </c>
      <c r="AC590" s="107" t="str">
        <f t="array" ref="AC590">INDIRECT("Update"&amp;Projections!$AH$17&amp;"!K"&amp;ROW(B571))</f>
        <v/>
      </c>
      <c r="AD590" s="73" t="str">
        <f t="array" ref="AD590">INDIRECT("Update"&amp;Projections!$AH$17&amp;"!R"&amp;ROW(B571))</f>
        <v/>
      </c>
      <c r="AE590" s="73">
        <f t="shared" si="16"/>
        <v>-3.155358621</v>
      </c>
      <c r="AF590" s="73">
        <f t="shared" si="17"/>
        <v>-1.740686581</v>
      </c>
      <c r="AG590" s="73">
        <f t="shared" si="18"/>
        <v>-2.380599106</v>
      </c>
      <c r="AH590" s="73">
        <f t="shared" si="19"/>
        <v>-1.79320266</v>
      </c>
      <c r="AI590" s="73">
        <f t="shared" si="20"/>
        <v>-3.240190514</v>
      </c>
      <c r="AJ590" s="73">
        <f t="shared" si="21"/>
        <v>-1.329092151</v>
      </c>
      <c r="AK590" s="73">
        <f t="shared" si="22"/>
        <v>0</v>
      </c>
      <c r="AL590" s="73">
        <f t="shared" si="23"/>
        <v>0</v>
      </c>
      <c r="AM590" s="73">
        <f t="shared" si="24"/>
        <v>0.433638093</v>
      </c>
      <c r="AN590" s="120">
        <f t="shared" si="25"/>
        <v>-3.240190514</v>
      </c>
      <c r="AO590" s="120">
        <f t="shared" si="26"/>
        <v>-6.395549135</v>
      </c>
      <c r="AP590" s="120" t="str">
        <f t="array" ref="AP590">INDIRECT("Update"&amp;Projections!$AH$17&amp;"!S"&amp;ROW(B571))</f>
        <v/>
      </c>
      <c r="AQ590" s="120" t="str">
        <f t="array" ref="AQ590">INDIRECT("Update"&amp;Projections!$AH$17&amp;"!T"&amp;ROW(B571))</f>
        <v/>
      </c>
      <c r="AR590" s="100">
        <f t="shared" si="27"/>
        <v>-9.965301026</v>
      </c>
    </row>
    <row r="591">
      <c r="A591" t="str">
        <f t="shared" si="3"/>
        <v/>
      </c>
      <c r="B591" s="42">
        <f t="shared" si="4"/>
        <v>-3.155358621</v>
      </c>
      <c r="C591" s="43">
        <f t="shared" si="5"/>
        <v>-1.740686581</v>
      </c>
      <c r="D591" s="42">
        <f t="shared" si="6"/>
        <v>-2.380599106</v>
      </c>
      <c r="E591" s="42">
        <f t="shared" si="7"/>
        <v>-1.79320266</v>
      </c>
      <c r="F591" s="42">
        <f t="shared" si="8"/>
        <v>-3.240190514</v>
      </c>
      <c r="G591" s="42">
        <f t="shared" si="9"/>
        <v>-1.329092151</v>
      </c>
      <c r="H591" s="42">
        <f t="shared" si="10"/>
        <v>0</v>
      </c>
      <c r="I591" s="42" t="str">
        <f>UpdateHashtag!S589</f>
        <v/>
      </c>
      <c r="J591" s="47">
        <f t="shared" si="11"/>
        <v>0</v>
      </c>
      <c r="K591" s="48" t="str">
        <f>UpdateHashtag!T589</f>
        <v/>
      </c>
      <c r="L591" s="42">
        <f t="shared" si="12"/>
        <v>-1.734552372</v>
      </c>
      <c r="N591" s="100">
        <f t="shared" si="13"/>
        <v>401</v>
      </c>
      <c r="O591" s="94" t="str">
        <f t="array" ref="O591">INDIRECT("Update"&amp;Projections!$AH$17&amp;"!B"&amp;ROW(B572))</f>
        <v/>
      </c>
      <c r="P591" s="414" t="str">
        <f t="array" ref="P591">INDIRECT("Update"&amp;Projections!$AH$17&amp;"!C"&amp;ROW(B572))</f>
        <v/>
      </c>
      <c r="Q591" s="94" t="str">
        <f>UpdateHashtag!F621</f>
        <v/>
      </c>
      <c r="R591" s="105" t="str">
        <f t="array" ref="R591">INDIRECT("Update"&amp;Projections!$AH$17&amp;"!D"&amp;ROW(B572))</f>
        <v/>
      </c>
      <c r="S591" s="73">
        <f t="shared" si="14"/>
        <v>-9.965301026</v>
      </c>
      <c r="T591" s="73">
        <f>SUM(AE591:AM591)-IFERROR(IFS(Projections!$I$17,AN591,Projections!$J$17,AO591),"")</f>
        <v>-9.965301026</v>
      </c>
      <c r="U591" s="73">
        <f t="shared" si="15"/>
        <v>0</v>
      </c>
      <c r="V591" s="73" t="str">
        <f t="array" ref="V591">INDIRECT("Update"&amp;Projections!$AH$17&amp;"!M"&amp;ROW(B572))</f>
        <v/>
      </c>
      <c r="W591" s="73" t="str">
        <f t="array" ref="W591">INDIRECT("Update"&amp;Projections!$AH$17&amp;"!L"&amp;ROW(B572))</f>
        <v/>
      </c>
      <c r="X591" s="73" t="str">
        <f t="array" ref="X591">INDIRECT("Update"&amp;Projections!$AH$17&amp;"!N"&amp;ROW(B572))</f>
        <v/>
      </c>
      <c r="Y591" s="73" t="str">
        <f t="array" ref="Y591">INDIRECT("Update"&amp;Projections!$AH$17&amp;"!O"&amp;ROW(B572))</f>
        <v/>
      </c>
      <c r="Z591" s="73" t="str">
        <f t="array" ref="Z591">INDIRECT("Update"&amp;Projections!$AH$17&amp;"!P"&amp;ROW(B572))</f>
        <v/>
      </c>
      <c r="AA591" s="73" t="str">
        <f t="array" ref="AA591">INDIRECT("Update"&amp;Projections!$AH$17&amp;"!Q"&amp;ROW(B572))</f>
        <v/>
      </c>
      <c r="AB591" s="107" t="str">
        <f t="array" ref="AB591">INDIRECT("Update"&amp;Projections!$AH$17&amp;"!I"&amp;ROW(B572))</f>
        <v/>
      </c>
      <c r="AC591" s="107" t="str">
        <f t="array" ref="AC591">INDIRECT("Update"&amp;Projections!$AH$17&amp;"!K"&amp;ROW(B572))</f>
        <v/>
      </c>
      <c r="AD591" s="73" t="str">
        <f t="array" ref="AD591">INDIRECT("Update"&amp;Projections!$AH$17&amp;"!R"&amp;ROW(B572))</f>
        <v/>
      </c>
      <c r="AE591" s="73">
        <f t="shared" si="16"/>
        <v>-3.155358621</v>
      </c>
      <c r="AF591" s="73">
        <f t="shared" si="17"/>
        <v>-1.740686581</v>
      </c>
      <c r="AG591" s="73">
        <f t="shared" si="18"/>
        <v>-2.380599106</v>
      </c>
      <c r="AH591" s="73">
        <f t="shared" si="19"/>
        <v>-1.79320266</v>
      </c>
      <c r="AI591" s="73">
        <f t="shared" si="20"/>
        <v>-3.240190514</v>
      </c>
      <c r="AJ591" s="73">
        <f t="shared" si="21"/>
        <v>-1.329092151</v>
      </c>
      <c r="AK591" s="73">
        <f t="shared" si="22"/>
        <v>0</v>
      </c>
      <c r="AL591" s="73">
        <f t="shared" si="23"/>
        <v>0</v>
      </c>
      <c r="AM591" s="73">
        <f t="shared" si="24"/>
        <v>0.433638093</v>
      </c>
      <c r="AN591" s="120">
        <f t="shared" si="25"/>
        <v>-3.240190514</v>
      </c>
      <c r="AO591" s="120">
        <f t="shared" si="26"/>
        <v>-6.395549135</v>
      </c>
      <c r="AP591" s="120" t="str">
        <f t="array" ref="AP591">INDIRECT("Update"&amp;Projections!$AH$17&amp;"!S"&amp;ROW(B572))</f>
        <v/>
      </c>
      <c r="AQ591" s="120" t="str">
        <f t="array" ref="AQ591">INDIRECT("Update"&amp;Projections!$AH$17&amp;"!T"&amp;ROW(B572))</f>
        <v/>
      </c>
      <c r="AR591" s="100">
        <f t="shared" si="27"/>
        <v>-9.965301026</v>
      </c>
    </row>
    <row r="592">
      <c r="A592" t="str">
        <f t="shared" si="3"/>
        <v/>
      </c>
      <c r="B592" s="42">
        <f t="shared" si="4"/>
        <v>-3.155358621</v>
      </c>
      <c r="C592" s="43">
        <f t="shared" si="5"/>
        <v>-1.740686581</v>
      </c>
      <c r="D592" s="42">
        <f t="shared" si="6"/>
        <v>-2.380599106</v>
      </c>
      <c r="E592" s="42">
        <f t="shared" si="7"/>
        <v>-1.79320266</v>
      </c>
      <c r="F592" s="42">
        <f t="shared" si="8"/>
        <v>-3.240190514</v>
      </c>
      <c r="G592" s="42">
        <f t="shared" si="9"/>
        <v>-1.329092151</v>
      </c>
      <c r="H592" s="42">
        <f t="shared" si="10"/>
        <v>0</v>
      </c>
      <c r="I592" s="42" t="str">
        <f>UpdateHashtag!S590</f>
        <v/>
      </c>
      <c r="J592" s="47">
        <f t="shared" si="11"/>
        <v>0</v>
      </c>
      <c r="K592" s="48" t="str">
        <f>UpdateHashtag!T590</f>
        <v/>
      </c>
      <c r="L592" s="42">
        <f t="shared" si="12"/>
        <v>-1.734552372</v>
      </c>
      <c r="N592" s="100">
        <f t="shared" si="13"/>
        <v>401</v>
      </c>
      <c r="O592" s="94" t="str">
        <f t="array" ref="O592">INDIRECT("Update"&amp;Projections!$AH$17&amp;"!B"&amp;ROW(B573))</f>
        <v/>
      </c>
      <c r="P592" s="414" t="str">
        <f t="array" ref="P592">INDIRECT("Update"&amp;Projections!$AH$17&amp;"!C"&amp;ROW(B573))</f>
        <v/>
      </c>
      <c r="Q592" s="94" t="str">
        <f>UpdateHashtag!F622</f>
        <v/>
      </c>
      <c r="R592" s="105" t="str">
        <f t="array" ref="R592">INDIRECT("Update"&amp;Projections!$AH$17&amp;"!D"&amp;ROW(B573))</f>
        <v/>
      </c>
      <c r="S592" s="73">
        <f t="shared" si="14"/>
        <v>-9.965301026</v>
      </c>
      <c r="T592" s="73">
        <f>SUM(AE592:AM592)-IFERROR(IFS(Projections!$I$17,AN592,Projections!$J$17,AO592),"")</f>
        <v>-9.965301026</v>
      </c>
      <c r="U592" s="73">
        <f t="shared" si="15"/>
        <v>0</v>
      </c>
      <c r="V592" s="73" t="str">
        <f t="array" ref="V592">INDIRECT("Update"&amp;Projections!$AH$17&amp;"!M"&amp;ROW(B573))</f>
        <v/>
      </c>
      <c r="W592" s="73" t="str">
        <f t="array" ref="W592">INDIRECT("Update"&amp;Projections!$AH$17&amp;"!L"&amp;ROW(B573))</f>
        <v/>
      </c>
      <c r="X592" s="73" t="str">
        <f t="array" ref="X592">INDIRECT("Update"&amp;Projections!$AH$17&amp;"!N"&amp;ROW(B573))</f>
        <v/>
      </c>
      <c r="Y592" s="73" t="str">
        <f t="array" ref="Y592">INDIRECT("Update"&amp;Projections!$AH$17&amp;"!O"&amp;ROW(B573))</f>
        <v/>
      </c>
      <c r="Z592" s="73" t="str">
        <f t="array" ref="Z592">INDIRECT("Update"&amp;Projections!$AH$17&amp;"!P"&amp;ROW(B573))</f>
        <v/>
      </c>
      <c r="AA592" s="73" t="str">
        <f t="array" ref="AA592">INDIRECT("Update"&amp;Projections!$AH$17&amp;"!Q"&amp;ROW(B573))</f>
        <v/>
      </c>
      <c r="AB592" s="107" t="str">
        <f t="array" ref="AB592">INDIRECT("Update"&amp;Projections!$AH$17&amp;"!I"&amp;ROW(B573))</f>
        <v/>
      </c>
      <c r="AC592" s="107" t="str">
        <f t="array" ref="AC592">INDIRECT("Update"&amp;Projections!$AH$17&amp;"!K"&amp;ROW(B573))</f>
        <v/>
      </c>
      <c r="AD592" s="73" t="str">
        <f t="array" ref="AD592">INDIRECT("Update"&amp;Projections!$AH$17&amp;"!R"&amp;ROW(B573))</f>
        <v/>
      </c>
      <c r="AE592" s="73">
        <f t="shared" si="16"/>
        <v>-3.155358621</v>
      </c>
      <c r="AF592" s="73">
        <f t="shared" si="17"/>
        <v>-1.740686581</v>
      </c>
      <c r="AG592" s="73">
        <f t="shared" si="18"/>
        <v>-2.380599106</v>
      </c>
      <c r="AH592" s="73">
        <f t="shared" si="19"/>
        <v>-1.79320266</v>
      </c>
      <c r="AI592" s="73">
        <f t="shared" si="20"/>
        <v>-3.240190514</v>
      </c>
      <c r="AJ592" s="73">
        <f t="shared" si="21"/>
        <v>-1.329092151</v>
      </c>
      <c r="AK592" s="73">
        <f t="shared" si="22"/>
        <v>0</v>
      </c>
      <c r="AL592" s="73">
        <f t="shared" si="23"/>
        <v>0</v>
      </c>
      <c r="AM592" s="73">
        <f t="shared" si="24"/>
        <v>0.433638093</v>
      </c>
      <c r="AN592" s="120">
        <f t="shared" si="25"/>
        <v>-3.240190514</v>
      </c>
      <c r="AO592" s="120">
        <f t="shared" si="26"/>
        <v>-6.395549135</v>
      </c>
      <c r="AP592" s="120" t="str">
        <f t="array" ref="AP592">INDIRECT("Update"&amp;Projections!$AH$17&amp;"!S"&amp;ROW(B573))</f>
        <v/>
      </c>
      <c r="AQ592" s="120" t="str">
        <f t="array" ref="AQ592">INDIRECT("Update"&amp;Projections!$AH$17&amp;"!T"&amp;ROW(B573))</f>
        <v/>
      </c>
      <c r="AR592" s="100">
        <f t="shared" si="27"/>
        <v>-9.965301026</v>
      </c>
    </row>
    <row r="593">
      <c r="A593" t="str">
        <f t="shared" si="3"/>
        <v/>
      </c>
      <c r="B593" s="42">
        <f t="shared" si="4"/>
        <v>-3.155358621</v>
      </c>
      <c r="C593" s="43">
        <f t="shared" si="5"/>
        <v>-1.740686581</v>
      </c>
      <c r="D593" s="42">
        <f t="shared" si="6"/>
        <v>-2.380599106</v>
      </c>
      <c r="E593" s="42">
        <f t="shared" si="7"/>
        <v>-1.79320266</v>
      </c>
      <c r="F593" s="42">
        <f t="shared" si="8"/>
        <v>-3.240190514</v>
      </c>
      <c r="G593" s="42">
        <f t="shared" si="9"/>
        <v>-1.329092151</v>
      </c>
      <c r="H593" s="42">
        <f t="shared" si="10"/>
        <v>0</v>
      </c>
      <c r="I593" s="42" t="str">
        <f>UpdateHashtag!S591</f>
        <v/>
      </c>
      <c r="J593" s="47">
        <f t="shared" si="11"/>
        <v>0</v>
      </c>
      <c r="K593" s="48" t="str">
        <f>UpdateHashtag!T591</f>
        <v/>
      </c>
      <c r="L593" s="42">
        <f t="shared" si="12"/>
        <v>-1.734552372</v>
      </c>
      <c r="N593" s="100">
        <f t="shared" si="13"/>
        <v>401</v>
      </c>
      <c r="O593" s="94" t="str">
        <f t="array" ref="O593">INDIRECT("Update"&amp;Projections!$AH$17&amp;"!B"&amp;ROW(B574))</f>
        <v/>
      </c>
      <c r="P593" s="414" t="str">
        <f t="array" ref="P593">INDIRECT("Update"&amp;Projections!$AH$17&amp;"!C"&amp;ROW(B574))</f>
        <v/>
      </c>
      <c r="Q593" s="94" t="str">
        <f>UpdateHashtag!F623</f>
        <v/>
      </c>
      <c r="R593" s="105" t="str">
        <f t="array" ref="R593">INDIRECT("Update"&amp;Projections!$AH$17&amp;"!D"&amp;ROW(B574))</f>
        <v/>
      </c>
      <c r="S593" s="73">
        <f t="shared" si="14"/>
        <v>-9.965301026</v>
      </c>
      <c r="T593" s="73">
        <f>SUM(AE593:AM593)-IFERROR(IFS(Projections!$I$17,AN593,Projections!$J$17,AO593),"")</f>
        <v>-9.965301026</v>
      </c>
      <c r="U593" s="73">
        <f t="shared" si="15"/>
        <v>0</v>
      </c>
      <c r="V593" s="73" t="str">
        <f t="array" ref="V593">INDIRECT("Update"&amp;Projections!$AH$17&amp;"!M"&amp;ROW(B574))</f>
        <v/>
      </c>
      <c r="W593" s="73" t="str">
        <f t="array" ref="W593">INDIRECT("Update"&amp;Projections!$AH$17&amp;"!L"&amp;ROW(B574))</f>
        <v/>
      </c>
      <c r="X593" s="73" t="str">
        <f t="array" ref="X593">INDIRECT("Update"&amp;Projections!$AH$17&amp;"!N"&amp;ROW(B574))</f>
        <v/>
      </c>
      <c r="Y593" s="73" t="str">
        <f t="array" ref="Y593">INDIRECT("Update"&amp;Projections!$AH$17&amp;"!O"&amp;ROW(B574))</f>
        <v/>
      </c>
      <c r="Z593" s="73" t="str">
        <f t="array" ref="Z593">INDIRECT("Update"&amp;Projections!$AH$17&amp;"!P"&amp;ROW(B574))</f>
        <v/>
      </c>
      <c r="AA593" s="73" t="str">
        <f t="array" ref="AA593">INDIRECT("Update"&amp;Projections!$AH$17&amp;"!Q"&amp;ROW(B574))</f>
        <v/>
      </c>
      <c r="AB593" s="107" t="str">
        <f t="array" ref="AB593">INDIRECT("Update"&amp;Projections!$AH$17&amp;"!I"&amp;ROW(B574))</f>
        <v/>
      </c>
      <c r="AC593" s="107" t="str">
        <f t="array" ref="AC593">INDIRECT("Update"&amp;Projections!$AH$17&amp;"!K"&amp;ROW(B574))</f>
        <v/>
      </c>
      <c r="AD593" s="73" t="str">
        <f t="array" ref="AD593">INDIRECT("Update"&amp;Projections!$AH$17&amp;"!R"&amp;ROW(B574))</f>
        <v/>
      </c>
      <c r="AE593" s="73">
        <f t="shared" si="16"/>
        <v>-3.155358621</v>
      </c>
      <c r="AF593" s="73">
        <f t="shared" si="17"/>
        <v>-1.740686581</v>
      </c>
      <c r="AG593" s="73">
        <f t="shared" si="18"/>
        <v>-2.380599106</v>
      </c>
      <c r="AH593" s="73">
        <f t="shared" si="19"/>
        <v>-1.79320266</v>
      </c>
      <c r="AI593" s="73">
        <f t="shared" si="20"/>
        <v>-3.240190514</v>
      </c>
      <c r="AJ593" s="73">
        <f t="shared" si="21"/>
        <v>-1.329092151</v>
      </c>
      <c r="AK593" s="73">
        <f t="shared" si="22"/>
        <v>0</v>
      </c>
      <c r="AL593" s="73">
        <f t="shared" si="23"/>
        <v>0</v>
      </c>
      <c r="AM593" s="73">
        <f t="shared" si="24"/>
        <v>0.433638093</v>
      </c>
      <c r="AN593" s="120">
        <f t="shared" si="25"/>
        <v>-3.240190514</v>
      </c>
      <c r="AO593" s="120">
        <f t="shared" si="26"/>
        <v>-6.395549135</v>
      </c>
      <c r="AP593" s="120" t="str">
        <f t="array" ref="AP593">INDIRECT("Update"&amp;Projections!$AH$17&amp;"!S"&amp;ROW(B574))</f>
        <v/>
      </c>
      <c r="AQ593" s="120" t="str">
        <f t="array" ref="AQ593">INDIRECT("Update"&amp;Projections!$AH$17&amp;"!T"&amp;ROW(B574))</f>
        <v/>
      </c>
      <c r="AR593" s="100">
        <f t="shared" si="27"/>
        <v>-9.965301026</v>
      </c>
    </row>
    <row r="594">
      <c r="A594" t="str">
        <f t="shared" si="3"/>
        <v/>
      </c>
      <c r="B594" s="42">
        <f t="shared" si="4"/>
        <v>-3.155358621</v>
      </c>
      <c r="C594" s="43">
        <f t="shared" si="5"/>
        <v>-1.740686581</v>
      </c>
      <c r="D594" s="42">
        <f t="shared" si="6"/>
        <v>-2.380599106</v>
      </c>
      <c r="E594" s="42">
        <f t="shared" si="7"/>
        <v>-1.79320266</v>
      </c>
      <c r="F594" s="42">
        <f t="shared" si="8"/>
        <v>-3.240190514</v>
      </c>
      <c r="G594" s="42">
        <f t="shared" si="9"/>
        <v>-1.329092151</v>
      </c>
      <c r="H594" s="42">
        <f t="shared" si="10"/>
        <v>0</v>
      </c>
      <c r="I594" s="42" t="str">
        <f>UpdateHashtag!S592</f>
        <v/>
      </c>
      <c r="J594" s="47">
        <f t="shared" si="11"/>
        <v>0</v>
      </c>
      <c r="K594" s="48" t="str">
        <f>UpdateHashtag!T592</f>
        <v/>
      </c>
      <c r="L594" s="42">
        <f t="shared" si="12"/>
        <v>-1.734552372</v>
      </c>
      <c r="N594" s="100">
        <f t="shared" si="13"/>
        <v>401</v>
      </c>
      <c r="O594" s="94" t="str">
        <f t="array" ref="O594">INDIRECT("Update"&amp;Projections!$AH$17&amp;"!B"&amp;ROW(B575))</f>
        <v/>
      </c>
      <c r="P594" s="414" t="str">
        <f t="array" ref="P594">INDIRECT("Update"&amp;Projections!$AH$17&amp;"!C"&amp;ROW(B575))</f>
        <v/>
      </c>
      <c r="Q594" s="94" t="str">
        <f>UpdateHashtag!F624</f>
        <v/>
      </c>
      <c r="R594" s="105" t="str">
        <f t="array" ref="R594">INDIRECT("Update"&amp;Projections!$AH$17&amp;"!D"&amp;ROW(B575))</f>
        <v/>
      </c>
      <c r="S594" s="73">
        <f t="shared" si="14"/>
        <v>-9.965301026</v>
      </c>
      <c r="T594" s="73">
        <f>SUM(AE594:AM594)-IFERROR(IFS(Projections!$I$17,AN594,Projections!$J$17,AO594),"")</f>
        <v>-9.965301026</v>
      </c>
      <c r="U594" s="73">
        <f t="shared" si="15"/>
        <v>0</v>
      </c>
      <c r="V594" s="73" t="str">
        <f t="array" ref="V594">INDIRECT("Update"&amp;Projections!$AH$17&amp;"!M"&amp;ROW(B575))</f>
        <v/>
      </c>
      <c r="W594" s="73" t="str">
        <f t="array" ref="W594">INDIRECT("Update"&amp;Projections!$AH$17&amp;"!L"&amp;ROW(B575))</f>
        <v/>
      </c>
      <c r="X594" s="73" t="str">
        <f t="array" ref="X594">INDIRECT("Update"&amp;Projections!$AH$17&amp;"!N"&amp;ROW(B575))</f>
        <v/>
      </c>
      <c r="Y594" s="73" t="str">
        <f t="array" ref="Y594">INDIRECT("Update"&amp;Projections!$AH$17&amp;"!O"&amp;ROW(B575))</f>
        <v/>
      </c>
      <c r="Z594" s="73" t="str">
        <f t="array" ref="Z594">INDIRECT("Update"&amp;Projections!$AH$17&amp;"!P"&amp;ROW(B575))</f>
        <v/>
      </c>
      <c r="AA594" s="73" t="str">
        <f t="array" ref="AA594">INDIRECT("Update"&amp;Projections!$AH$17&amp;"!Q"&amp;ROW(B575))</f>
        <v/>
      </c>
      <c r="AB594" s="107" t="str">
        <f t="array" ref="AB594">INDIRECT("Update"&amp;Projections!$AH$17&amp;"!I"&amp;ROW(B575))</f>
        <v/>
      </c>
      <c r="AC594" s="107" t="str">
        <f t="array" ref="AC594">INDIRECT("Update"&amp;Projections!$AH$17&amp;"!K"&amp;ROW(B575))</f>
        <v/>
      </c>
      <c r="AD594" s="73" t="str">
        <f t="array" ref="AD594">INDIRECT("Update"&amp;Projections!$AH$17&amp;"!R"&amp;ROW(B575))</f>
        <v/>
      </c>
      <c r="AE594" s="73">
        <f t="shared" si="16"/>
        <v>-3.155358621</v>
      </c>
      <c r="AF594" s="73">
        <f t="shared" si="17"/>
        <v>-1.740686581</v>
      </c>
      <c r="AG594" s="73">
        <f t="shared" si="18"/>
        <v>-2.380599106</v>
      </c>
      <c r="AH594" s="73">
        <f t="shared" si="19"/>
        <v>-1.79320266</v>
      </c>
      <c r="AI594" s="73">
        <f t="shared" si="20"/>
        <v>-3.240190514</v>
      </c>
      <c r="AJ594" s="73">
        <f t="shared" si="21"/>
        <v>-1.329092151</v>
      </c>
      <c r="AK594" s="73">
        <f t="shared" si="22"/>
        <v>0</v>
      </c>
      <c r="AL594" s="73">
        <f t="shared" si="23"/>
        <v>0</v>
      </c>
      <c r="AM594" s="73">
        <f t="shared" si="24"/>
        <v>0.433638093</v>
      </c>
      <c r="AN594" s="120">
        <f t="shared" si="25"/>
        <v>-3.240190514</v>
      </c>
      <c r="AO594" s="120">
        <f t="shared" si="26"/>
        <v>-6.395549135</v>
      </c>
      <c r="AP594" s="120" t="str">
        <f t="array" ref="AP594">INDIRECT("Update"&amp;Projections!$AH$17&amp;"!S"&amp;ROW(B575))</f>
        <v/>
      </c>
      <c r="AQ594" s="120" t="str">
        <f t="array" ref="AQ594">INDIRECT("Update"&amp;Projections!$AH$17&amp;"!T"&amp;ROW(B575))</f>
        <v/>
      </c>
      <c r="AR594" s="100">
        <f t="shared" si="27"/>
        <v>-9.965301026</v>
      </c>
    </row>
    <row r="595">
      <c r="A595" t="str">
        <f t="shared" si="3"/>
        <v/>
      </c>
      <c r="B595" s="42">
        <f t="shared" si="4"/>
        <v>-3.155358621</v>
      </c>
      <c r="C595" s="43">
        <f t="shared" si="5"/>
        <v>-1.740686581</v>
      </c>
      <c r="D595" s="42">
        <f t="shared" si="6"/>
        <v>-2.380599106</v>
      </c>
      <c r="E595" s="42">
        <f t="shared" si="7"/>
        <v>-1.79320266</v>
      </c>
      <c r="F595" s="42">
        <f t="shared" si="8"/>
        <v>-3.240190514</v>
      </c>
      <c r="G595" s="42">
        <f t="shared" si="9"/>
        <v>-1.329092151</v>
      </c>
      <c r="H595" s="42">
        <f t="shared" si="10"/>
        <v>0</v>
      </c>
      <c r="I595" s="42" t="str">
        <f>UpdateHashtag!S593</f>
        <v/>
      </c>
      <c r="J595" s="47">
        <f t="shared" si="11"/>
        <v>0</v>
      </c>
      <c r="K595" s="48" t="str">
        <f>UpdateHashtag!T593</f>
        <v/>
      </c>
      <c r="L595" s="42">
        <f t="shared" si="12"/>
        <v>-1.734552372</v>
      </c>
      <c r="N595" s="100">
        <f t="shared" si="13"/>
        <v>401</v>
      </c>
      <c r="O595" s="94" t="str">
        <f t="array" ref="O595">INDIRECT("Update"&amp;Projections!$AH$17&amp;"!B"&amp;ROW(B576))</f>
        <v/>
      </c>
      <c r="P595" s="414" t="str">
        <f t="array" ref="P595">INDIRECT("Update"&amp;Projections!$AH$17&amp;"!C"&amp;ROW(B576))</f>
        <v/>
      </c>
      <c r="Q595" s="94" t="str">
        <f>UpdateHashtag!F625</f>
        <v/>
      </c>
      <c r="R595" s="105" t="str">
        <f t="array" ref="R595">INDIRECT("Update"&amp;Projections!$AH$17&amp;"!D"&amp;ROW(B576))</f>
        <v/>
      </c>
      <c r="S595" s="73">
        <f t="shared" si="14"/>
        <v>-9.965301026</v>
      </c>
      <c r="T595" s="73">
        <f>SUM(AE595:AM595)-IFERROR(IFS(Projections!$I$17,AN595,Projections!$J$17,AO595),"")</f>
        <v>-9.965301026</v>
      </c>
      <c r="U595" s="73">
        <f t="shared" si="15"/>
        <v>0</v>
      </c>
      <c r="V595" s="73" t="str">
        <f t="array" ref="V595">INDIRECT("Update"&amp;Projections!$AH$17&amp;"!M"&amp;ROW(B576))</f>
        <v/>
      </c>
      <c r="W595" s="73" t="str">
        <f t="array" ref="W595">INDIRECT("Update"&amp;Projections!$AH$17&amp;"!L"&amp;ROW(B576))</f>
        <v/>
      </c>
      <c r="X595" s="73" t="str">
        <f t="array" ref="X595">INDIRECT("Update"&amp;Projections!$AH$17&amp;"!N"&amp;ROW(B576))</f>
        <v/>
      </c>
      <c r="Y595" s="73" t="str">
        <f t="array" ref="Y595">INDIRECT("Update"&amp;Projections!$AH$17&amp;"!O"&amp;ROW(B576))</f>
        <v/>
      </c>
      <c r="Z595" s="73" t="str">
        <f t="array" ref="Z595">INDIRECT("Update"&amp;Projections!$AH$17&amp;"!P"&amp;ROW(B576))</f>
        <v/>
      </c>
      <c r="AA595" s="73" t="str">
        <f t="array" ref="AA595">INDIRECT("Update"&amp;Projections!$AH$17&amp;"!Q"&amp;ROW(B576))</f>
        <v/>
      </c>
      <c r="AB595" s="107" t="str">
        <f t="array" ref="AB595">INDIRECT("Update"&amp;Projections!$AH$17&amp;"!I"&amp;ROW(B576))</f>
        <v/>
      </c>
      <c r="AC595" s="107" t="str">
        <f t="array" ref="AC595">INDIRECT("Update"&amp;Projections!$AH$17&amp;"!K"&amp;ROW(B576))</f>
        <v/>
      </c>
      <c r="AD595" s="73" t="str">
        <f t="array" ref="AD595">INDIRECT("Update"&amp;Projections!$AH$17&amp;"!R"&amp;ROW(B576))</f>
        <v/>
      </c>
      <c r="AE595" s="73">
        <f t="shared" si="16"/>
        <v>-3.155358621</v>
      </c>
      <c r="AF595" s="73">
        <f t="shared" si="17"/>
        <v>-1.740686581</v>
      </c>
      <c r="AG595" s="73">
        <f t="shared" si="18"/>
        <v>-2.380599106</v>
      </c>
      <c r="AH595" s="73">
        <f t="shared" si="19"/>
        <v>-1.79320266</v>
      </c>
      <c r="AI595" s="73">
        <f t="shared" si="20"/>
        <v>-3.240190514</v>
      </c>
      <c r="AJ595" s="73">
        <f t="shared" si="21"/>
        <v>-1.329092151</v>
      </c>
      <c r="AK595" s="73">
        <f t="shared" si="22"/>
        <v>0</v>
      </c>
      <c r="AL595" s="73">
        <f t="shared" si="23"/>
        <v>0</v>
      </c>
      <c r="AM595" s="73">
        <f t="shared" si="24"/>
        <v>0.433638093</v>
      </c>
      <c r="AN595" s="120">
        <f t="shared" si="25"/>
        <v>-3.240190514</v>
      </c>
      <c r="AO595" s="120">
        <f t="shared" si="26"/>
        <v>-6.395549135</v>
      </c>
      <c r="AP595" s="120" t="str">
        <f t="array" ref="AP595">INDIRECT("Update"&amp;Projections!$AH$17&amp;"!S"&amp;ROW(B576))</f>
        <v/>
      </c>
      <c r="AQ595" s="120" t="str">
        <f t="array" ref="AQ595">INDIRECT("Update"&amp;Projections!$AH$17&amp;"!T"&amp;ROW(B576))</f>
        <v/>
      </c>
      <c r="AR595" s="100">
        <f t="shared" si="27"/>
        <v>-9.965301026</v>
      </c>
    </row>
    <row r="596">
      <c r="A596" t="str">
        <f t="shared" si="3"/>
        <v/>
      </c>
      <c r="B596" s="42">
        <f t="shared" si="4"/>
        <v>-3.155358621</v>
      </c>
      <c r="C596" s="43">
        <f t="shared" si="5"/>
        <v>-1.740686581</v>
      </c>
      <c r="D596" s="42">
        <f t="shared" si="6"/>
        <v>-2.380599106</v>
      </c>
      <c r="E596" s="42">
        <f t="shared" si="7"/>
        <v>-1.79320266</v>
      </c>
      <c r="F596" s="42">
        <f t="shared" si="8"/>
        <v>-3.240190514</v>
      </c>
      <c r="G596" s="42">
        <f t="shared" si="9"/>
        <v>-1.329092151</v>
      </c>
      <c r="H596" s="42">
        <f t="shared" si="10"/>
        <v>0</v>
      </c>
      <c r="I596" s="42" t="str">
        <f>UpdateHashtag!S594</f>
        <v/>
      </c>
      <c r="J596" s="47">
        <f t="shared" si="11"/>
        <v>0</v>
      </c>
      <c r="K596" s="48" t="str">
        <f>UpdateHashtag!T594</f>
        <v/>
      </c>
      <c r="L596" s="42">
        <f t="shared" si="12"/>
        <v>-1.734552372</v>
      </c>
      <c r="N596" s="100">
        <f t="shared" si="13"/>
        <v>401</v>
      </c>
      <c r="O596" s="94" t="str">
        <f t="array" ref="O596">INDIRECT("Update"&amp;Projections!$AH$17&amp;"!B"&amp;ROW(B577))</f>
        <v/>
      </c>
      <c r="P596" s="414" t="str">
        <f t="array" ref="P596">INDIRECT("Update"&amp;Projections!$AH$17&amp;"!C"&amp;ROW(B577))</f>
        <v/>
      </c>
      <c r="Q596" s="94" t="str">
        <f>UpdateHashtag!F626</f>
        <v/>
      </c>
      <c r="R596" s="105" t="str">
        <f t="array" ref="R596">INDIRECT("Update"&amp;Projections!$AH$17&amp;"!D"&amp;ROW(B577))</f>
        <v/>
      </c>
      <c r="S596" s="73">
        <f t="shared" si="14"/>
        <v>-9.965301026</v>
      </c>
      <c r="T596" s="73">
        <f>SUM(AE596:AM596)-IFERROR(IFS(Projections!$I$17,AN596,Projections!$J$17,AO596),"")</f>
        <v>-9.965301026</v>
      </c>
      <c r="U596" s="73">
        <f t="shared" si="15"/>
        <v>0</v>
      </c>
      <c r="V596" s="73" t="str">
        <f t="array" ref="V596">INDIRECT("Update"&amp;Projections!$AH$17&amp;"!M"&amp;ROW(B577))</f>
        <v/>
      </c>
      <c r="W596" s="73" t="str">
        <f t="array" ref="W596">INDIRECT("Update"&amp;Projections!$AH$17&amp;"!L"&amp;ROW(B577))</f>
        <v/>
      </c>
      <c r="X596" s="73" t="str">
        <f t="array" ref="X596">INDIRECT("Update"&amp;Projections!$AH$17&amp;"!N"&amp;ROW(B577))</f>
        <v/>
      </c>
      <c r="Y596" s="73" t="str">
        <f t="array" ref="Y596">INDIRECT("Update"&amp;Projections!$AH$17&amp;"!O"&amp;ROW(B577))</f>
        <v/>
      </c>
      <c r="Z596" s="73" t="str">
        <f t="array" ref="Z596">INDIRECT("Update"&amp;Projections!$AH$17&amp;"!P"&amp;ROW(B577))</f>
        <v/>
      </c>
      <c r="AA596" s="73" t="str">
        <f t="array" ref="AA596">INDIRECT("Update"&amp;Projections!$AH$17&amp;"!Q"&amp;ROW(B577))</f>
        <v/>
      </c>
      <c r="AB596" s="107" t="str">
        <f t="array" ref="AB596">INDIRECT("Update"&amp;Projections!$AH$17&amp;"!I"&amp;ROW(B577))</f>
        <v/>
      </c>
      <c r="AC596" s="107" t="str">
        <f t="array" ref="AC596">INDIRECT("Update"&amp;Projections!$AH$17&amp;"!K"&amp;ROW(B577))</f>
        <v/>
      </c>
      <c r="AD596" s="73" t="str">
        <f t="array" ref="AD596">INDIRECT("Update"&amp;Projections!$AH$17&amp;"!R"&amp;ROW(B577))</f>
        <v/>
      </c>
      <c r="AE596" s="73">
        <f t="shared" si="16"/>
        <v>-3.155358621</v>
      </c>
      <c r="AF596" s="73">
        <f t="shared" si="17"/>
        <v>-1.740686581</v>
      </c>
      <c r="AG596" s="73">
        <f t="shared" si="18"/>
        <v>-2.380599106</v>
      </c>
      <c r="AH596" s="73">
        <f t="shared" si="19"/>
        <v>-1.79320266</v>
      </c>
      <c r="AI596" s="73">
        <f t="shared" si="20"/>
        <v>-3.240190514</v>
      </c>
      <c r="AJ596" s="73">
        <f t="shared" si="21"/>
        <v>-1.329092151</v>
      </c>
      <c r="AK596" s="73">
        <f t="shared" si="22"/>
        <v>0</v>
      </c>
      <c r="AL596" s="73">
        <f t="shared" si="23"/>
        <v>0</v>
      </c>
      <c r="AM596" s="73">
        <f t="shared" si="24"/>
        <v>0.433638093</v>
      </c>
      <c r="AN596" s="120">
        <f t="shared" si="25"/>
        <v>-3.240190514</v>
      </c>
      <c r="AO596" s="120">
        <f t="shared" si="26"/>
        <v>-6.395549135</v>
      </c>
      <c r="AP596" s="120" t="str">
        <f t="array" ref="AP596">INDIRECT("Update"&amp;Projections!$AH$17&amp;"!S"&amp;ROW(B577))</f>
        <v/>
      </c>
      <c r="AQ596" s="120" t="str">
        <f t="array" ref="AQ596">INDIRECT("Update"&amp;Projections!$AH$17&amp;"!T"&amp;ROW(B577))</f>
        <v/>
      </c>
      <c r="AR596" s="100">
        <f t="shared" si="27"/>
        <v>-9.965301026</v>
      </c>
    </row>
    <row r="597">
      <c r="A597" t="str">
        <f t="shared" si="3"/>
        <v/>
      </c>
      <c r="B597" s="42">
        <f t="shared" si="4"/>
        <v>-3.155358621</v>
      </c>
      <c r="C597" s="43">
        <f t="shared" si="5"/>
        <v>-1.740686581</v>
      </c>
      <c r="D597" s="42">
        <f t="shared" si="6"/>
        <v>-2.380599106</v>
      </c>
      <c r="E597" s="42">
        <f t="shared" si="7"/>
        <v>-1.79320266</v>
      </c>
      <c r="F597" s="42">
        <f t="shared" si="8"/>
        <v>-3.240190514</v>
      </c>
      <c r="G597" s="42">
        <f t="shared" si="9"/>
        <v>-1.329092151</v>
      </c>
      <c r="H597" s="42">
        <f t="shared" si="10"/>
        <v>0</v>
      </c>
      <c r="I597" s="42" t="str">
        <f>UpdateHashtag!S595</f>
        <v/>
      </c>
      <c r="J597" s="47">
        <f t="shared" si="11"/>
        <v>0</v>
      </c>
      <c r="K597" s="48" t="str">
        <f>UpdateHashtag!T595</f>
        <v/>
      </c>
      <c r="L597" s="42">
        <f t="shared" si="12"/>
        <v>-1.734552372</v>
      </c>
      <c r="N597" s="100">
        <f t="shared" si="13"/>
        <v>401</v>
      </c>
      <c r="O597" s="94" t="str">
        <f t="array" ref="O597">INDIRECT("Update"&amp;Projections!$AH$17&amp;"!B"&amp;ROW(B578))</f>
        <v/>
      </c>
      <c r="P597" s="414" t="str">
        <f t="array" ref="P597">INDIRECT("Update"&amp;Projections!$AH$17&amp;"!C"&amp;ROW(B578))</f>
        <v/>
      </c>
      <c r="Q597" s="94" t="str">
        <f>UpdateHashtag!F627</f>
        <v/>
      </c>
      <c r="R597" s="105" t="str">
        <f t="array" ref="R597">INDIRECT("Update"&amp;Projections!$AH$17&amp;"!D"&amp;ROW(B578))</f>
        <v/>
      </c>
      <c r="S597" s="73">
        <f t="shared" si="14"/>
        <v>-9.965301026</v>
      </c>
      <c r="T597" s="73">
        <f>SUM(AE597:AM597)-IFERROR(IFS(Projections!$I$17,AN597,Projections!$J$17,AO597),"")</f>
        <v>-9.965301026</v>
      </c>
      <c r="U597" s="73">
        <f t="shared" si="15"/>
        <v>0</v>
      </c>
      <c r="V597" s="73" t="str">
        <f t="array" ref="V597">INDIRECT("Update"&amp;Projections!$AH$17&amp;"!M"&amp;ROW(B578))</f>
        <v/>
      </c>
      <c r="W597" s="73" t="str">
        <f t="array" ref="W597">INDIRECT("Update"&amp;Projections!$AH$17&amp;"!L"&amp;ROW(B578))</f>
        <v/>
      </c>
      <c r="X597" s="73" t="str">
        <f t="array" ref="X597">INDIRECT("Update"&amp;Projections!$AH$17&amp;"!N"&amp;ROW(B578))</f>
        <v/>
      </c>
      <c r="Y597" s="73" t="str">
        <f t="array" ref="Y597">INDIRECT("Update"&amp;Projections!$AH$17&amp;"!O"&amp;ROW(B578))</f>
        <v/>
      </c>
      <c r="Z597" s="73" t="str">
        <f t="array" ref="Z597">INDIRECT("Update"&amp;Projections!$AH$17&amp;"!P"&amp;ROW(B578))</f>
        <v/>
      </c>
      <c r="AA597" s="73" t="str">
        <f t="array" ref="AA597">INDIRECT("Update"&amp;Projections!$AH$17&amp;"!Q"&amp;ROW(B578))</f>
        <v/>
      </c>
      <c r="AB597" s="107" t="str">
        <f t="array" ref="AB597">INDIRECT("Update"&amp;Projections!$AH$17&amp;"!I"&amp;ROW(B578))</f>
        <v/>
      </c>
      <c r="AC597" s="107" t="str">
        <f t="array" ref="AC597">INDIRECT("Update"&amp;Projections!$AH$17&amp;"!K"&amp;ROW(B578))</f>
        <v/>
      </c>
      <c r="AD597" s="73" t="str">
        <f t="array" ref="AD597">INDIRECT("Update"&amp;Projections!$AH$17&amp;"!R"&amp;ROW(B578))</f>
        <v/>
      </c>
      <c r="AE597" s="73">
        <f t="shared" si="16"/>
        <v>-3.155358621</v>
      </c>
      <c r="AF597" s="73">
        <f t="shared" si="17"/>
        <v>-1.740686581</v>
      </c>
      <c r="AG597" s="73">
        <f t="shared" si="18"/>
        <v>-2.380599106</v>
      </c>
      <c r="AH597" s="73">
        <f t="shared" si="19"/>
        <v>-1.79320266</v>
      </c>
      <c r="AI597" s="73">
        <f t="shared" si="20"/>
        <v>-3.240190514</v>
      </c>
      <c r="AJ597" s="73">
        <f t="shared" si="21"/>
        <v>-1.329092151</v>
      </c>
      <c r="AK597" s="73">
        <f t="shared" si="22"/>
        <v>0</v>
      </c>
      <c r="AL597" s="73">
        <f t="shared" si="23"/>
        <v>0</v>
      </c>
      <c r="AM597" s="73">
        <f t="shared" si="24"/>
        <v>0.433638093</v>
      </c>
      <c r="AN597" s="120">
        <f t="shared" si="25"/>
        <v>-3.240190514</v>
      </c>
      <c r="AO597" s="120">
        <f t="shared" si="26"/>
        <v>-6.395549135</v>
      </c>
      <c r="AP597" s="120" t="str">
        <f t="array" ref="AP597">INDIRECT("Update"&amp;Projections!$AH$17&amp;"!S"&amp;ROW(B578))</f>
        <v/>
      </c>
      <c r="AQ597" s="120" t="str">
        <f t="array" ref="AQ597">INDIRECT("Update"&amp;Projections!$AH$17&amp;"!T"&amp;ROW(B578))</f>
        <v/>
      </c>
      <c r="AR597" s="100">
        <f t="shared" si="27"/>
        <v>-9.965301026</v>
      </c>
    </row>
    <row r="598">
      <c r="A598" t="str">
        <f t="shared" si="3"/>
        <v/>
      </c>
      <c r="B598" s="42">
        <f t="shared" si="4"/>
        <v>-3.155358621</v>
      </c>
      <c r="C598" s="43">
        <f t="shared" si="5"/>
        <v>-1.740686581</v>
      </c>
      <c r="D598" s="42">
        <f t="shared" si="6"/>
        <v>-2.380599106</v>
      </c>
      <c r="E598" s="42">
        <f t="shared" si="7"/>
        <v>-1.79320266</v>
      </c>
      <c r="F598" s="42">
        <f t="shared" si="8"/>
        <v>-3.240190514</v>
      </c>
      <c r="G598" s="42">
        <f t="shared" si="9"/>
        <v>-1.329092151</v>
      </c>
      <c r="H598" s="42">
        <f t="shared" si="10"/>
        <v>0</v>
      </c>
      <c r="I598" s="42" t="str">
        <f>UpdateHashtag!S596</f>
        <v/>
      </c>
      <c r="J598" s="47">
        <f t="shared" si="11"/>
        <v>0</v>
      </c>
      <c r="K598" s="48" t="str">
        <f>UpdateHashtag!T596</f>
        <v/>
      </c>
      <c r="L598" s="42">
        <f t="shared" si="12"/>
        <v>-1.734552372</v>
      </c>
      <c r="N598" s="100">
        <f t="shared" si="13"/>
        <v>401</v>
      </c>
      <c r="O598" s="94" t="str">
        <f t="array" ref="O598">INDIRECT("Update"&amp;Projections!$AH$17&amp;"!B"&amp;ROW(B579))</f>
        <v/>
      </c>
      <c r="P598" s="414" t="str">
        <f t="array" ref="P598">INDIRECT("Update"&amp;Projections!$AH$17&amp;"!C"&amp;ROW(B579))</f>
        <v/>
      </c>
      <c r="Q598" s="94" t="str">
        <f>UpdateHashtag!F628</f>
        <v/>
      </c>
      <c r="R598" s="105" t="str">
        <f t="array" ref="R598">INDIRECT("Update"&amp;Projections!$AH$17&amp;"!D"&amp;ROW(B579))</f>
        <v/>
      </c>
      <c r="S598" s="73">
        <f t="shared" si="14"/>
        <v>-9.965301026</v>
      </c>
      <c r="T598" s="73">
        <f>SUM(AE598:AM598)-IFERROR(IFS(Projections!$I$17,AN598,Projections!$J$17,AO598),"")</f>
        <v>-9.965301026</v>
      </c>
      <c r="U598" s="73">
        <f t="shared" si="15"/>
        <v>0</v>
      </c>
      <c r="V598" s="73" t="str">
        <f t="array" ref="V598">INDIRECT("Update"&amp;Projections!$AH$17&amp;"!M"&amp;ROW(B579))</f>
        <v/>
      </c>
      <c r="W598" s="73" t="str">
        <f t="array" ref="W598">INDIRECT("Update"&amp;Projections!$AH$17&amp;"!L"&amp;ROW(B579))</f>
        <v/>
      </c>
      <c r="X598" s="73" t="str">
        <f t="array" ref="X598">INDIRECT("Update"&amp;Projections!$AH$17&amp;"!N"&amp;ROW(B579))</f>
        <v/>
      </c>
      <c r="Y598" s="73" t="str">
        <f t="array" ref="Y598">INDIRECT("Update"&amp;Projections!$AH$17&amp;"!O"&amp;ROW(B579))</f>
        <v/>
      </c>
      <c r="Z598" s="73" t="str">
        <f t="array" ref="Z598">INDIRECT("Update"&amp;Projections!$AH$17&amp;"!P"&amp;ROW(B579))</f>
        <v/>
      </c>
      <c r="AA598" s="73" t="str">
        <f t="array" ref="AA598">INDIRECT("Update"&amp;Projections!$AH$17&amp;"!Q"&amp;ROW(B579))</f>
        <v/>
      </c>
      <c r="AB598" s="107" t="str">
        <f t="array" ref="AB598">INDIRECT("Update"&amp;Projections!$AH$17&amp;"!I"&amp;ROW(B579))</f>
        <v/>
      </c>
      <c r="AC598" s="107" t="str">
        <f t="array" ref="AC598">INDIRECT("Update"&amp;Projections!$AH$17&amp;"!K"&amp;ROW(B579))</f>
        <v/>
      </c>
      <c r="AD598" s="73" t="str">
        <f t="array" ref="AD598">INDIRECT("Update"&amp;Projections!$AH$17&amp;"!R"&amp;ROW(B579))</f>
        <v/>
      </c>
      <c r="AE598" s="73">
        <f t="shared" si="16"/>
        <v>-3.155358621</v>
      </c>
      <c r="AF598" s="73">
        <f t="shared" si="17"/>
        <v>-1.740686581</v>
      </c>
      <c r="AG598" s="73">
        <f t="shared" si="18"/>
        <v>-2.380599106</v>
      </c>
      <c r="AH598" s="73">
        <f t="shared" si="19"/>
        <v>-1.79320266</v>
      </c>
      <c r="AI598" s="73">
        <f t="shared" si="20"/>
        <v>-3.240190514</v>
      </c>
      <c r="AJ598" s="73">
        <f t="shared" si="21"/>
        <v>-1.329092151</v>
      </c>
      <c r="AK598" s="73">
        <f t="shared" si="22"/>
        <v>0</v>
      </c>
      <c r="AL598" s="73">
        <f t="shared" si="23"/>
        <v>0</v>
      </c>
      <c r="AM598" s="73">
        <f t="shared" si="24"/>
        <v>0.433638093</v>
      </c>
      <c r="AN598" s="120">
        <f t="shared" si="25"/>
        <v>-3.240190514</v>
      </c>
      <c r="AO598" s="120">
        <f t="shared" si="26"/>
        <v>-6.395549135</v>
      </c>
      <c r="AP598" s="120" t="str">
        <f t="array" ref="AP598">INDIRECT("Update"&amp;Projections!$AH$17&amp;"!S"&amp;ROW(B579))</f>
        <v/>
      </c>
      <c r="AQ598" s="120" t="str">
        <f t="array" ref="AQ598">INDIRECT("Update"&amp;Projections!$AH$17&amp;"!T"&amp;ROW(B579))</f>
        <v/>
      </c>
      <c r="AR598" s="100">
        <f t="shared" si="27"/>
        <v>-9.965301026</v>
      </c>
    </row>
    <row r="599">
      <c r="A599" t="str">
        <f t="shared" si="3"/>
        <v/>
      </c>
      <c r="B599" s="42">
        <f t="shared" si="4"/>
        <v>-3.155358621</v>
      </c>
      <c r="C599" s="43">
        <f t="shared" si="5"/>
        <v>-1.740686581</v>
      </c>
      <c r="D599" s="42">
        <f t="shared" si="6"/>
        <v>-2.380599106</v>
      </c>
      <c r="E599" s="42">
        <f t="shared" si="7"/>
        <v>-1.79320266</v>
      </c>
      <c r="F599" s="42">
        <f t="shared" si="8"/>
        <v>-3.240190514</v>
      </c>
      <c r="G599" s="42">
        <f t="shared" si="9"/>
        <v>-1.329092151</v>
      </c>
      <c r="H599" s="42">
        <f t="shared" si="10"/>
        <v>0</v>
      </c>
      <c r="I599" s="42" t="str">
        <f>UpdateHashtag!S597</f>
        <v/>
      </c>
      <c r="J599" s="47">
        <f t="shared" si="11"/>
        <v>0</v>
      </c>
      <c r="K599" s="48" t="str">
        <f>UpdateHashtag!T597</f>
        <v/>
      </c>
      <c r="L599" s="42">
        <f t="shared" si="12"/>
        <v>-1.734552372</v>
      </c>
      <c r="N599" s="100">
        <f t="shared" si="13"/>
        <v>401</v>
      </c>
      <c r="O599" s="94" t="str">
        <f t="array" ref="O599">INDIRECT("Update"&amp;Projections!$AH$17&amp;"!B"&amp;ROW(B580))</f>
        <v/>
      </c>
      <c r="P599" s="414" t="str">
        <f t="array" ref="P599">INDIRECT("Update"&amp;Projections!$AH$17&amp;"!C"&amp;ROW(B580))</f>
        <v/>
      </c>
      <c r="Q599" s="94" t="str">
        <f>UpdateHashtag!F629</f>
        <v/>
      </c>
      <c r="R599" s="105" t="str">
        <f t="array" ref="R599">INDIRECT("Update"&amp;Projections!$AH$17&amp;"!D"&amp;ROW(B580))</f>
        <v/>
      </c>
      <c r="S599" s="73">
        <f t="shared" si="14"/>
        <v>-9.965301026</v>
      </c>
      <c r="T599" s="73">
        <f>SUM(AE599:AM599)-IFERROR(IFS(Projections!$I$17,AN599,Projections!$J$17,AO599),"")</f>
        <v>-9.965301026</v>
      </c>
      <c r="U599" s="73">
        <f t="shared" si="15"/>
        <v>0</v>
      </c>
      <c r="V599" s="73" t="str">
        <f t="array" ref="V599">INDIRECT("Update"&amp;Projections!$AH$17&amp;"!M"&amp;ROW(B580))</f>
        <v/>
      </c>
      <c r="W599" s="73" t="str">
        <f t="array" ref="W599">INDIRECT("Update"&amp;Projections!$AH$17&amp;"!L"&amp;ROW(B580))</f>
        <v/>
      </c>
      <c r="X599" s="73" t="str">
        <f t="array" ref="X599">INDIRECT("Update"&amp;Projections!$AH$17&amp;"!N"&amp;ROW(B580))</f>
        <v/>
      </c>
      <c r="Y599" s="73" t="str">
        <f t="array" ref="Y599">INDIRECT("Update"&amp;Projections!$AH$17&amp;"!O"&amp;ROW(B580))</f>
        <v/>
      </c>
      <c r="Z599" s="73" t="str">
        <f t="array" ref="Z599">INDIRECT("Update"&amp;Projections!$AH$17&amp;"!P"&amp;ROW(B580))</f>
        <v/>
      </c>
      <c r="AA599" s="73" t="str">
        <f t="array" ref="AA599">INDIRECT("Update"&amp;Projections!$AH$17&amp;"!Q"&amp;ROW(B580))</f>
        <v/>
      </c>
      <c r="AB599" s="107" t="str">
        <f t="array" ref="AB599">INDIRECT("Update"&amp;Projections!$AH$17&amp;"!I"&amp;ROW(B580))</f>
        <v/>
      </c>
      <c r="AC599" s="107" t="str">
        <f t="array" ref="AC599">INDIRECT("Update"&amp;Projections!$AH$17&amp;"!K"&amp;ROW(B580))</f>
        <v/>
      </c>
      <c r="AD599" s="73" t="str">
        <f t="array" ref="AD599">INDIRECT("Update"&amp;Projections!$AH$17&amp;"!R"&amp;ROW(B580))</f>
        <v/>
      </c>
      <c r="AE599" s="73">
        <f t="shared" si="16"/>
        <v>-3.155358621</v>
      </c>
      <c r="AF599" s="73">
        <f t="shared" si="17"/>
        <v>-1.740686581</v>
      </c>
      <c r="AG599" s="73">
        <f t="shared" si="18"/>
        <v>-2.380599106</v>
      </c>
      <c r="AH599" s="73">
        <f t="shared" si="19"/>
        <v>-1.79320266</v>
      </c>
      <c r="AI599" s="73">
        <f t="shared" si="20"/>
        <v>-3.240190514</v>
      </c>
      <c r="AJ599" s="73">
        <f t="shared" si="21"/>
        <v>-1.329092151</v>
      </c>
      <c r="AK599" s="73">
        <f t="shared" si="22"/>
        <v>0</v>
      </c>
      <c r="AL599" s="73">
        <f t="shared" si="23"/>
        <v>0</v>
      </c>
      <c r="AM599" s="73">
        <f t="shared" si="24"/>
        <v>0.433638093</v>
      </c>
      <c r="AN599" s="120">
        <f t="shared" si="25"/>
        <v>-3.240190514</v>
      </c>
      <c r="AO599" s="120">
        <f t="shared" si="26"/>
        <v>-6.395549135</v>
      </c>
      <c r="AP599" s="120" t="str">
        <f t="array" ref="AP599">INDIRECT("Update"&amp;Projections!$AH$17&amp;"!S"&amp;ROW(B580))</f>
        <v/>
      </c>
      <c r="AQ599" s="120" t="str">
        <f t="array" ref="AQ599">INDIRECT("Update"&amp;Projections!$AH$17&amp;"!T"&amp;ROW(B580))</f>
        <v/>
      </c>
      <c r="AR599" s="100">
        <f t="shared" si="27"/>
        <v>-9.965301026</v>
      </c>
    </row>
    <row r="600">
      <c r="A600" t="str">
        <f t="shared" si="3"/>
        <v/>
      </c>
      <c r="B600" s="42">
        <f t="shared" si="4"/>
        <v>-3.155358621</v>
      </c>
      <c r="C600" s="43">
        <f t="shared" si="5"/>
        <v>-1.740686581</v>
      </c>
      <c r="D600" s="42">
        <f t="shared" si="6"/>
        <v>-2.380599106</v>
      </c>
      <c r="E600" s="42">
        <f t="shared" si="7"/>
        <v>-1.79320266</v>
      </c>
      <c r="F600" s="42">
        <f t="shared" si="8"/>
        <v>-3.240190514</v>
      </c>
      <c r="G600" s="42">
        <f t="shared" si="9"/>
        <v>-1.329092151</v>
      </c>
      <c r="H600" s="42">
        <f t="shared" si="10"/>
        <v>0</v>
      </c>
      <c r="I600" s="42" t="str">
        <f>UpdateHashtag!S598</f>
        <v/>
      </c>
      <c r="J600" s="47">
        <f t="shared" si="11"/>
        <v>0</v>
      </c>
      <c r="K600" s="48" t="str">
        <f>UpdateHashtag!T598</f>
        <v/>
      </c>
      <c r="L600" s="42">
        <f t="shared" si="12"/>
        <v>-1.734552372</v>
      </c>
      <c r="N600" s="100">
        <f t="shared" si="13"/>
        <v>401</v>
      </c>
      <c r="O600" s="94" t="str">
        <f t="array" ref="O600">INDIRECT("Update"&amp;Projections!$AH$17&amp;"!B"&amp;ROW(B581))</f>
        <v/>
      </c>
      <c r="P600" s="414" t="str">
        <f t="array" ref="P600">INDIRECT("Update"&amp;Projections!$AH$17&amp;"!C"&amp;ROW(B581))</f>
        <v/>
      </c>
      <c r="Q600" s="94" t="str">
        <f>UpdateHashtag!F630</f>
        <v/>
      </c>
      <c r="R600" s="105" t="str">
        <f t="array" ref="R600">INDIRECT("Update"&amp;Projections!$AH$17&amp;"!D"&amp;ROW(B581))</f>
        <v/>
      </c>
      <c r="S600" s="73">
        <f t="shared" si="14"/>
        <v>-9.965301026</v>
      </c>
      <c r="T600" s="73">
        <f>SUM(AE600:AM600)-IFERROR(IFS(Projections!$I$17,AN600,Projections!$J$17,AO600),"")</f>
        <v>-9.965301026</v>
      </c>
      <c r="U600" s="73">
        <f t="shared" si="15"/>
        <v>0</v>
      </c>
      <c r="V600" s="73" t="str">
        <f t="array" ref="V600">INDIRECT("Update"&amp;Projections!$AH$17&amp;"!M"&amp;ROW(B581))</f>
        <v/>
      </c>
      <c r="W600" s="73" t="str">
        <f t="array" ref="W600">INDIRECT("Update"&amp;Projections!$AH$17&amp;"!L"&amp;ROW(B581))</f>
        <v/>
      </c>
      <c r="X600" s="73" t="str">
        <f t="array" ref="X600">INDIRECT("Update"&amp;Projections!$AH$17&amp;"!N"&amp;ROW(B581))</f>
        <v/>
      </c>
      <c r="Y600" s="73" t="str">
        <f t="array" ref="Y600">INDIRECT("Update"&amp;Projections!$AH$17&amp;"!O"&amp;ROW(B581))</f>
        <v/>
      </c>
      <c r="Z600" s="73" t="str">
        <f t="array" ref="Z600">INDIRECT("Update"&amp;Projections!$AH$17&amp;"!P"&amp;ROW(B581))</f>
        <v/>
      </c>
      <c r="AA600" s="73" t="str">
        <f t="array" ref="AA600">INDIRECT("Update"&amp;Projections!$AH$17&amp;"!Q"&amp;ROW(B581))</f>
        <v/>
      </c>
      <c r="AB600" s="107" t="str">
        <f t="array" ref="AB600">INDIRECT("Update"&amp;Projections!$AH$17&amp;"!I"&amp;ROW(B581))</f>
        <v/>
      </c>
      <c r="AC600" s="107" t="str">
        <f t="array" ref="AC600">INDIRECT("Update"&amp;Projections!$AH$17&amp;"!K"&amp;ROW(B581))</f>
        <v/>
      </c>
      <c r="AD600" s="73" t="str">
        <f t="array" ref="AD600">INDIRECT("Update"&amp;Projections!$AH$17&amp;"!R"&amp;ROW(B581))</f>
        <v/>
      </c>
      <c r="AE600" s="73">
        <f t="shared" si="16"/>
        <v>-3.155358621</v>
      </c>
      <c r="AF600" s="73">
        <f t="shared" si="17"/>
        <v>-1.740686581</v>
      </c>
      <c r="AG600" s="73">
        <f t="shared" si="18"/>
        <v>-2.380599106</v>
      </c>
      <c r="AH600" s="73">
        <f t="shared" si="19"/>
        <v>-1.79320266</v>
      </c>
      <c r="AI600" s="73">
        <f t="shared" si="20"/>
        <v>-3.240190514</v>
      </c>
      <c r="AJ600" s="73">
        <f t="shared" si="21"/>
        <v>-1.329092151</v>
      </c>
      <c r="AK600" s="73">
        <f t="shared" si="22"/>
        <v>0</v>
      </c>
      <c r="AL600" s="73">
        <f t="shared" si="23"/>
        <v>0</v>
      </c>
      <c r="AM600" s="73">
        <f t="shared" si="24"/>
        <v>0.433638093</v>
      </c>
      <c r="AN600" s="120">
        <f t="shared" si="25"/>
        <v>-3.240190514</v>
      </c>
      <c r="AO600" s="120">
        <f t="shared" si="26"/>
        <v>-6.395549135</v>
      </c>
      <c r="AP600" s="120" t="str">
        <f t="array" ref="AP600">INDIRECT("Update"&amp;Projections!$AH$17&amp;"!S"&amp;ROW(B581))</f>
        <v/>
      </c>
      <c r="AQ600" s="120" t="str">
        <f t="array" ref="AQ600">INDIRECT("Update"&amp;Projections!$AH$17&amp;"!T"&amp;ROW(B581))</f>
        <v/>
      </c>
      <c r="AR600" s="100">
        <f t="shared" si="27"/>
        <v>-9.965301026</v>
      </c>
    </row>
    <row r="601">
      <c r="A601" t="str">
        <f t="shared" si="3"/>
        <v/>
      </c>
      <c r="B601" s="42">
        <f t="shared" si="4"/>
        <v>-3.155358621</v>
      </c>
      <c r="C601" s="43">
        <f t="shared" si="5"/>
        <v>-1.740686581</v>
      </c>
      <c r="D601" s="42">
        <f t="shared" si="6"/>
        <v>-2.380599106</v>
      </c>
      <c r="E601" s="42">
        <f t="shared" si="7"/>
        <v>-1.79320266</v>
      </c>
      <c r="F601" s="42">
        <f t="shared" si="8"/>
        <v>-3.240190514</v>
      </c>
      <c r="G601" s="42">
        <f t="shared" si="9"/>
        <v>-1.329092151</v>
      </c>
      <c r="H601" s="42">
        <f t="shared" si="10"/>
        <v>0</v>
      </c>
      <c r="I601" s="42" t="str">
        <f>UpdateHashtag!S599</f>
        <v/>
      </c>
      <c r="J601" s="47">
        <f t="shared" si="11"/>
        <v>0</v>
      </c>
      <c r="K601" s="48" t="str">
        <f>UpdateHashtag!T599</f>
        <v/>
      </c>
      <c r="L601" s="42">
        <f t="shared" si="12"/>
        <v>-1.734552372</v>
      </c>
      <c r="N601" s="100">
        <f t="shared" si="13"/>
        <v>401</v>
      </c>
      <c r="O601" s="94" t="str">
        <f t="array" ref="O601">INDIRECT("Update"&amp;Projections!$AH$17&amp;"!B"&amp;ROW(B582))</f>
        <v/>
      </c>
      <c r="P601" s="414" t="str">
        <f t="array" ref="P601">INDIRECT("Update"&amp;Projections!$AH$17&amp;"!C"&amp;ROW(B582))</f>
        <v/>
      </c>
      <c r="Q601" s="94" t="str">
        <f>UpdateHashtag!F631</f>
        <v/>
      </c>
      <c r="R601" s="105" t="str">
        <f t="array" ref="R601">INDIRECT("Update"&amp;Projections!$AH$17&amp;"!D"&amp;ROW(B582))</f>
        <v/>
      </c>
      <c r="S601" s="73">
        <f t="shared" si="14"/>
        <v>-9.965301026</v>
      </c>
      <c r="T601" s="73">
        <f>SUM(AE601:AM601)-IFERROR(IFS(Projections!$I$17,AN601,Projections!$J$17,AO601),"")</f>
        <v>-9.965301026</v>
      </c>
      <c r="U601" s="73">
        <f t="shared" si="15"/>
        <v>0</v>
      </c>
      <c r="V601" s="73" t="str">
        <f t="array" ref="V601">INDIRECT("Update"&amp;Projections!$AH$17&amp;"!M"&amp;ROW(B582))</f>
        <v/>
      </c>
      <c r="W601" s="73" t="str">
        <f t="array" ref="W601">INDIRECT("Update"&amp;Projections!$AH$17&amp;"!L"&amp;ROW(B582))</f>
        <v/>
      </c>
      <c r="X601" s="73" t="str">
        <f t="array" ref="X601">INDIRECT("Update"&amp;Projections!$AH$17&amp;"!N"&amp;ROW(B582))</f>
        <v/>
      </c>
      <c r="Y601" s="73" t="str">
        <f t="array" ref="Y601">INDIRECT("Update"&amp;Projections!$AH$17&amp;"!O"&amp;ROW(B582))</f>
        <v/>
      </c>
      <c r="Z601" s="73" t="str">
        <f t="array" ref="Z601">INDIRECT("Update"&amp;Projections!$AH$17&amp;"!P"&amp;ROW(B582))</f>
        <v/>
      </c>
      <c r="AA601" s="73" t="str">
        <f t="array" ref="AA601">INDIRECT("Update"&amp;Projections!$AH$17&amp;"!Q"&amp;ROW(B582))</f>
        <v/>
      </c>
      <c r="AB601" s="107" t="str">
        <f t="array" ref="AB601">INDIRECT("Update"&amp;Projections!$AH$17&amp;"!I"&amp;ROW(B582))</f>
        <v/>
      </c>
      <c r="AC601" s="107" t="str">
        <f t="array" ref="AC601">INDIRECT("Update"&amp;Projections!$AH$17&amp;"!K"&amp;ROW(B582))</f>
        <v/>
      </c>
      <c r="AD601" s="73" t="str">
        <f t="array" ref="AD601">INDIRECT("Update"&amp;Projections!$AH$17&amp;"!R"&amp;ROW(B582))</f>
        <v/>
      </c>
      <c r="AE601" s="73">
        <f t="shared" si="16"/>
        <v>-3.155358621</v>
      </c>
      <c r="AF601" s="73">
        <f t="shared" si="17"/>
        <v>-1.740686581</v>
      </c>
      <c r="AG601" s="73">
        <f t="shared" si="18"/>
        <v>-2.380599106</v>
      </c>
      <c r="AH601" s="73">
        <f t="shared" si="19"/>
        <v>-1.79320266</v>
      </c>
      <c r="AI601" s="73">
        <f t="shared" si="20"/>
        <v>-3.240190514</v>
      </c>
      <c r="AJ601" s="73">
        <f t="shared" si="21"/>
        <v>-1.329092151</v>
      </c>
      <c r="AK601" s="73">
        <f t="shared" si="22"/>
        <v>0</v>
      </c>
      <c r="AL601" s="73">
        <f t="shared" si="23"/>
        <v>0</v>
      </c>
      <c r="AM601" s="73">
        <f t="shared" si="24"/>
        <v>0.433638093</v>
      </c>
      <c r="AN601" s="120">
        <f t="shared" si="25"/>
        <v>-3.240190514</v>
      </c>
      <c r="AO601" s="120">
        <f t="shared" si="26"/>
        <v>-6.395549135</v>
      </c>
      <c r="AP601" s="120" t="str">
        <f t="array" ref="AP601">INDIRECT("Update"&amp;Projections!$AH$17&amp;"!S"&amp;ROW(B582))</f>
        <v/>
      </c>
      <c r="AQ601" s="120" t="str">
        <f t="array" ref="AQ601">INDIRECT("Update"&amp;Projections!$AH$17&amp;"!T"&amp;ROW(B582))</f>
        <v/>
      </c>
      <c r="AR601" s="100">
        <f t="shared" si="27"/>
        <v>-9.965301026</v>
      </c>
    </row>
    <row r="602">
      <c r="A602" t="str">
        <f t="shared" si="3"/>
        <v/>
      </c>
      <c r="B602" s="42">
        <f t="shared" si="4"/>
        <v>-3.155358621</v>
      </c>
      <c r="C602" s="43">
        <f t="shared" si="5"/>
        <v>-1.740686581</v>
      </c>
      <c r="D602" s="42">
        <f t="shared" si="6"/>
        <v>-2.380599106</v>
      </c>
      <c r="E602" s="42">
        <f t="shared" si="7"/>
        <v>-1.79320266</v>
      </c>
      <c r="F602" s="42">
        <f t="shared" si="8"/>
        <v>-3.240190514</v>
      </c>
      <c r="G602" s="42">
        <f t="shared" si="9"/>
        <v>-1.329092151</v>
      </c>
      <c r="H602" s="42">
        <f t="shared" si="10"/>
        <v>0</v>
      </c>
      <c r="I602" s="42" t="str">
        <f>UpdateHashtag!S600</f>
        <v/>
      </c>
      <c r="J602" s="47">
        <f t="shared" si="11"/>
        <v>0</v>
      </c>
      <c r="K602" s="48" t="str">
        <f>UpdateHashtag!T600</f>
        <v/>
      </c>
      <c r="L602" s="42">
        <f t="shared" si="12"/>
        <v>-1.734552372</v>
      </c>
      <c r="N602" s="100">
        <f t="shared" si="13"/>
        <v>401</v>
      </c>
      <c r="O602" s="94" t="str">
        <f t="array" ref="O602">INDIRECT("Update"&amp;Projections!$AH$17&amp;"!B"&amp;ROW(B583))</f>
        <v/>
      </c>
      <c r="P602" s="414" t="str">
        <f t="array" ref="P602">INDIRECT("Update"&amp;Projections!$AH$17&amp;"!C"&amp;ROW(B583))</f>
        <v/>
      </c>
      <c r="Q602" s="94" t="str">
        <f>UpdateHashtag!F632</f>
        <v/>
      </c>
      <c r="R602" s="105" t="str">
        <f t="array" ref="R602">INDIRECT("Update"&amp;Projections!$AH$17&amp;"!D"&amp;ROW(B583))</f>
        <v/>
      </c>
      <c r="S602" s="73">
        <f t="shared" si="14"/>
        <v>-9.965301026</v>
      </c>
      <c r="T602" s="73">
        <f>SUM(AE602:AM602)-IFERROR(IFS(Projections!$I$17,AN602,Projections!$J$17,AO602),"")</f>
        <v>-9.965301026</v>
      </c>
      <c r="U602" s="73">
        <f t="shared" si="15"/>
        <v>0</v>
      </c>
      <c r="V602" s="73" t="str">
        <f t="array" ref="V602">INDIRECT("Update"&amp;Projections!$AH$17&amp;"!M"&amp;ROW(B583))</f>
        <v/>
      </c>
      <c r="W602" s="73" t="str">
        <f t="array" ref="W602">INDIRECT("Update"&amp;Projections!$AH$17&amp;"!L"&amp;ROW(B583))</f>
        <v/>
      </c>
      <c r="X602" s="73" t="str">
        <f t="array" ref="X602">INDIRECT("Update"&amp;Projections!$AH$17&amp;"!N"&amp;ROW(B583))</f>
        <v/>
      </c>
      <c r="Y602" s="73" t="str">
        <f t="array" ref="Y602">INDIRECT("Update"&amp;Projections!$AH$17&amp;"!O"&amp;ROW(B583))</f>
        <v/>
      </c>
      <c r="Z602" s="73" t="str">
        <f t="array" ref="Z602">INDIRECT("Update"&amp;Projections!$AH$17&amp;"!P"&amp;ROW(B583))</f>
        <v/>
      </c>
      <c r="AA602" s="73" t="str">
        <f t="array" ref="AA602">INDIRECT("Update"&amp;Projections!$AH$17&amp;"!Q"&amp;ROW(B583))</f>
        <v/>
      </c>
      <c r="AB602" s="107" t="str">
        <f t="array" ref="AB602">INDIRECT("Update"&amp;Projections!$AH$17&amp;"!I"&amp;ROW(B583))</f>
        <v/>
      </c>
      <c r="AC602" s="107" t="str">
        <f t="array" ref="AC602">INDIRECT("Update"&amp;Projections!$AH$17&amp;"!K"&amp;ROW(B583))</f>
        <v/>
      </c>
      <c r="AD602" s="73" t="str">
        <f t="array" ref="AD602">INDIRECT("Update"&amp;Projections!$AH$17&amp;"!R"&amp;ROW(B583))</f>
        <v/>
      </c>
      <c r="AE602" s="73">
        <f t="shared" si="16"/>
        <v>-3.155358621</v>
      </c>
      <c r="AF602" s="73">
        <f t="shared" si="17"/>
        <v>-1.740686581</v>
      </c>
      <c r="AG602" s="73">
        <f t="shared" si="18"/>
        <v>-2.380599106</v>
      </c>
      <c r="AH602" s="73">
        <f t="shared" si="19"/>
        <v>-1.79320266</v>
      </c>
      <c r="AI602" s="73">
        <f t="shared" si="20"/>
        <v>-3.240190514</v>
      </c>
      <c r="AJ602" s="73">
        <f t="shared" si="21"/>
        <v>-1.329092151</v>
      </c>
      <c r="AK602" s="73">
        <f t="shared" si="22"/>
        <v>0</v>
      </c>
      <c r="AL602" s="73">
        <f t="shared" si="23"/>
        <v>0</v>
      </c>
      <c r="AM602" s="73">
        <f t="shared" si="24"/>
        <v>0.433638093</v>
      </c>
      <c r="AN602" s="120">
        <f t="shared" si="25"/>
        <v>-3.240190514</v>
      </c>
      <c r="AO602" s="120">
        <f t="shared" si="26"/>
        <v>-6.395549135</v>
      </c>
      <c r="AP602" s="120" t="str">
        <f t="array" ref="AP602">INDIRECT("Update"&amp;Projections!$AH$17&amp;"!S"&amp;ROW(B583))</f>
        <v/>
      </c>
      <c r="AQ602" s="120" t="str">
        <f t="array" ref="AQ602">INDIRECT("Update"&amp;Projections!$AH$17&amp;"!T"&amp;ROW(B583))</f>
        <v/>
      </c>
      <c r="AR602" s="100">
        <f t="shared" si="27"/>
        <v>-9.965301026</v>
      </c>
    </row>
    <row r="603">
      <c r="A603" t="str">
        <f t="shared" si="3"/>
        <v/>
      </c>
      <c r="B603" s="42">
        <f t="shared" si="4"/>
        <v>-3.155358621</v>
      </c>
      <c r="C603" s="43">
        <f t="shared" si="5"/>
        <v>-1.740686581</v>
      </c>
      <c r="D603" s="42">
        <f t="shared" si="6"/>
        <v>-2.380599106</v>
      </c>
      <c r="E603" s="42">
        <f t="shared" si="7"/>
        <v>-1.79320266</v>
      </c>
      <c r="F603" s="42">
        <f t="shared" si="8"/>
        <v>-3.240190514</v>
      </c>
      <c r="G603" s="42">
        <f t="shared" si="9"/>
        <v>-1.329092151</v>
      </c>
      <c r="H603" s="42">
        <f t="shared" si="10"/>
        <v>0</v>
      </c>
      <c r="I603" s="42" t="str">
        <f>UpdateHashtag!S601</f>
        <v/>
      </c>
      <c r="J603" s="47">
        <f t="shared" si="11"/>
        <v>0</v>
      </c>
      <c r="K603" s="48" t="str">
        <f>UpdateHashtag!T601</f>
        <v/>
      </c>
      <c r="L603" s="42">
        <f t="shared" si="12"/>
        <v>-1.734552372</v>
      </c>
      <c r="N603" s="100">
        <f t="shared" si="13"/>
        <v>401</v>
      </c>
      <c r="O603" s="94" t="str">
        <f t="array" ref="O603">INDIRECT("Update"&amp;Projections!$AH$17&amp;"!B"&amp;ROW(B584))</f>
        <v/>
      </c>
      <c r="P603" s="414" t="str">
        <f t="array" ref="P603">INDIRECT("Update"&amp;Projections!$AH$17&amp;"!C"&amp;ROW(B584))</f>
        <v/>
      </c>
      <c r="Q603" s="94" t="str">
        <f>UpdateHashtag!F633</f>
        <v/>
      </c>
      <c r="R603" s="105" t="str">
        <f t="array" ref="R603">INDIRECT("Update"&amp;Projections!$AH$17&amp;"!D"&amp;ROW(B584))</f>
        <v/>
      </c>
      <c r="S603" s="73">
        <f t="shared" si="14"/>
        <v>-9.965301026</v>
      </c>
      <c r="T603" s="73">
        <f>SUM(AE603:AM603)-IFERROR(IFS(Projections!$I$17,AN603,Projections!$J$17,AO603),"")</f>
        <v>-9.965301026</v>
      </c>
      <c r="U603" s="73">
        <f t="shared" si="15"/>
        <v>0</v>
      </c>
      <c r="V603" s="73" t="str">
        <f t="array" ref="V603">INDIRECT("Update"&amp;Projections!$AH$17&amp;"!M"&amp;ROW(B584))</f>
        <v/>
      </c>
      <c r="W603" s="73" t="str">
        <f t="array" ref="W603">INDIRECT("Update"&amp;Projections!$AH$17&amp;"!L"&amp;ROW(B584))</f>
        <v/>
      </c>
      <c r="X603" s="73" t="str">
        <f t="array" ref="X603">INDIRECT("Update"&amp;Projections!$AH$17&amp;"!N"&amp;ROW(B584))</f>
        <v/>
      </c>
      <c r="Y603" s="73" t="str">
        <f t="array" ref="Y603">INDIRECT("Update"&amp;Projections!$AH$17&amp;"!O"&amp;ROW(B584))</f>
        <v/>
      </c>
      <c r="Z603" s="73" t="str">
        <f t="array" ref="Z603">INDIRECT("Update"&amp;Projections!$AH$17&amp;"!P"&amp;ROW(B584))</f>
        <v/>
      </c>
      <c r="AA603" s="73" t="str">
        <f t="array" ref="AA603">INDIRECT("Update"&amp;Projections!$AH$17&amp;"!Q"&amp;ROW(B584))</f>
        <v/>
      </c>
      <c r="AB603" s="107" t="str">
        <f t="array" ref="AB603">INDIRECT("Update"&amp;Projections!$AH$17&amp;"!I"&amp;ROW(B584))</f>
        <v/>
      </c>
      <c r="AC603" s="107" t="str">
        <f t="array" ref="AC603">INDIRECT("Update"&amp;Projections!$AH$17&amp;"!K"&amp;ROW(B584))</f>
        <v/>
      </c>
      <c r="AD603" s="73" t="str">
        <f t="array" ref="AD603">INDIRECT("Update"&amp;Projections!$AH$17&amp;"!R"&amp;ROW(B584))</f>
        <v/>
      </c>
      <c r="AE603" s="73">
        <f t="shared" si="16"/>
        <v>-3.155358621</v>
      </c>
      <c r="AF603" s="73">
        <f t="shared" si="17"/>
        <v>-1.740686581</v>
      </c>
      <c r="AG603" s="73">
        <f t="shared" si="18"/>
        <v>-2.380599106</v>
      </c>
      <c r="AH603" s="73">
        <f t="shared" si="19"/>
        <v>-1.79320266</v>
      </c>
      <c r="AI603" s="73">
        <f t="shared" si="20"/>
        <v>-3.240190514</v>
      </c>
      <c r="AJ603" s="73">
        <f t="shared" si="21"/>
        <v>-1.329092151</v>
      </c>
      <c r="AK603" s="73">
        <f t="shared" si="22"/>
        <v>0</v>
      </c>
      <c r="AL603" s="73">
        <f t="shared" si="23"/>
        <v>0</v>
      </c>
      <c r="AM603" s="73">
        <f t="shared" si="24"/>
        <v>0.433638093</v>
      </c>
      <c r="AN603" s="120">
        <f t="shared" si="25"/>
        <v>-3.240190514</v>
      </c>
      <c r="AO603" s="120">
        <f t="shared" si="26"/>
        <v>-6.395549135</v>
      </c>
      <c r="AP603" s="120" t="str">
        <f t="array" ref="AP603">INDIRECT("Update"&amp;Projections!$AH$17&amp;"!S"&amp;ROW(B584))</f>
        <v/>
      </c>
      <c r="AQ603" s="120" t="str">
        <f t="array" ref="AQ603">INDIRECT("Update"&amp;Projections!$AH$17&amp;"!T"&amp;ROW(B584))</f>
        <v/>
      </c>
      <c r="AR603" s="100">
        <f t="shared" si="27"/>
        <v>-9.965301026</v>
      </c>
    </row>
    <row r="604">
      <c r="A604" t="str">
        <f t="shared" si="3"/>
        <v/>
      </c>
      <c r="B604" s="42">
        <f t="shared" si="4"/>
        <v>-3.155358621</v>
      </c>
      <c r="C604" s="43">
        <f t="shared" si="5"/>
        <v>-1.740686581</v>
      </c>
      <c r="D604" s="42">
        <f t="shared" si="6"/>
        <v>-2.380599106</v>
      </c>
      <c r="E604" s="42">
        <f t="shared" si="7"/>
        <v>-1.79320266</v>
      </c>
      <c r="F604" s="42">
        <f t="shared" si="8"/>
        <v>-3.240190514</v>
      </c>
      <c r="G604" s="42">
        <f t="shared" si="9"/>
        <v>-1.329092151</v>
      </c>
      <c r="H604" s="42">
        <f t="shared" si="10"/>
        <v>0</v>
      </c>
      <c r="I604" s="42" t="str">
        <f>UpdateHashtag!S602</f>
        <v/>
      </c>
      <c r="J604" s="47">
        <f t="shared" si="11"/>
        <v>0</v>
      </c>
      <c r="K604" s="48" t="str">
        <f>UpdateHashtag!T602</f>
        <v/>
      </c>
      <c r="L604" s="42">
        <f t="shared" si="12"/>
        <v>-1.734552372</v>
      </c>
      <c r="N604" s="100">
        <f t="shared" si="13"/>
        <v>401</v>
      </c>
      <c r="O604" s="94" t="str">
        <f t="array" ref="O604">INDIRECT("Update"&amp;Projections!$AH$17&amp;"!B"&amp;ROW(B585))</f>
        <v/>
      </c>
      <c r="P604" s="414" t="str">
        <f t="array" ref="P604">INDIRECT("Update"&amp;Projections!$AH$17&amp;"!C"&amp;ROW(B585))</f>
        <v/>
      </c>
      <c r="Q604" s="94" t="str">
        <f>UpdateHashtag!F634</f>
        <v/>
      </c>
      <c r="R604" s="105" t="str">
        <f t="array" ref="R604">INDIRECT("Update"&amp;Projections!$AH$17&amp;"!D"&amp;ROW(B585))</f>
        <v/>
      </c>
      <c r="S604" s="73">
        <f t="shared" si="14"/>
        <v>-9.965301026</v>
      </c>
      <c r="T604" s="73">
        <f>SUM(AE604:AM604)-IFERROR(IFS(Projections!$I$17,AN604,Projections!$J$17,AO604),"")</f>
        <v>-9.965301026</v>
      </c>
      <c r="U604" s="73">
        <f t="shared" si="15"/>
        <v>0</v>
      </c>
      <c r="V604" s="73" t="str">
        <f t="array" ref="V604">INDIRECT("Update"&amp;Projections!$AH$17&amp;"!M"&amp;ROW(B585))</f>
        <v/>
      </c>
      <c r="W604" s="73" t="str">
        <f t="array" ref="W604">INDIRECT("Update"&amp;Projections!$AH$17&amp;"!L"&amp;ROW(B585))</f>
        <v/>
      </c>
      <c r="X604" s="73" t="str">
        <f t="array" ref="X604">INDIRECT("Update"&amp;Projections!$AH$17&amp;"!N"&amp;ROW(B585))</f>
        <v/>
      </c>
      <c r="Y604" s="73" t="str">
        <f t="array" ref="Y604">INDIRECT("Update"&amp;Projections!$AH$17&amp;"!O"&amp;ROW(B585))</f>
        <v/>
      </c>
      <c r="Z604" s="73" t="str">
        <f t="array" ref="Z604">INDIRECT("Update"&amp;Projections!$AH$17&amp;"!P"&amp;ROW(B585))</f>
        <v/>
      </c>
      <c r="AA604" s="73" t="str">
        <f t="array" ref="AA604">INDIRECT("Update"&amp;Projections!$AH$17&amp;"!Q"&amp;ROW(B585))</f>
        <v/>
      </c>
      <c r="AB604" s="107" t="str">
        <f t="array" ref="AB604">INDIRECT("Update"&amp;Projections!$AH$17&amp;"!I"&amp;ROW(B585))</f>
        <v/>
      </c>
      <c r="AC604" s="107" t="str">
        <f t="array" ref="AC604">INDIRECT("Update"&amp;Projections!$AH$17&amp;"!K"&amp;ROW(B585))</f>
        <v/>
      </c>
      <c r="AD604" s="73" t="str">
        <f t="array" ref="AD604">INDIRECT("Update"&amp;Projections!$AH$17&amp;"!R"&amp;ROW(B585))</f>
        <v/>
      </c>
      <c r="AE604" s="73">
        <f t="shared" si="16"/>
        <v>-3.155358621</v>
      </c>
      <c r="AF604" s="73">
        <f t="shared" si="17"/>
        <v>-1.740686581</v>
      </c>
      <c r="AG604" s="73">
        <f t="shared" si="18"/>
        <v>-2.380599106</v>
      </c>
      <c r="AH604" s="73">
        <f t="shared" si="19"/>
        <v>-1.79320266</v>
      </c>
      <c r="AI604" s="73">
        <f t="shared" si="20"/>
        <v>-3.240190514</v>
      </c>
      <c r="AJ604" s="73">
        <f t="shared" si="21"/>
        <v>-1.329092151</v>
      </c>
      <c r="AK604" s="73">
        <f t="shared" si="22"/>
        <v>0</v>
      </c>
      <c r="AL604" s="73">
        <f t="shared" si="23"/>
        <v>0</v>
      </c>
      <c r="AM604" s="73">
        <f t="shared" si="24"/>
        <v>0.433638093</v>
      </c>
      <c r="AN604" s="120">
        <f t="shared" si="25"/>
        <v>-3.240190514</v>
      </c>
      <c r="AO604" s="120">
        <f t="shared" si="26"/>
        <v>-6.395549135</v>
      </c>
      <c r="AP604" s="120" t="str">
        <f t="array" ref="AP604">INDIRECT("Update"&amp;Projections!$AH$17&amp;"!S"&amp;ROW(B585))</f>
        <v/>
      </c>
      <c r="AQ604" s="120" t="str">
        <f t="array" ref="AQ604">INDIRECT("Update"&amp;Projections!$AH$17&amp;"!T"&amp;ROW(B585))</f>
        <v/>
      </c>
      <c r="AR604" s="100">
        <f t="shared" si="27"/>
        <v>-9.965301026</v>
      </c>
    </row>
    <row r="605">
      <c r="A605" t="str">
        <f t="shared" si="3"/>
        <v/>
      </c>
      <c r="B605" s="42">
        <f t="shared" si="4"/>
        <v>-3.155358621</v>
      </c>
      <c r="C605" s="43">
        <f t="shared" si="5"/>
        <v>-1.740686581</v>
      </c>
      <c r="D605" s="42">
        <f t="shared" si="6"/>
        <v>-2.380599106</v>
      </c>
      <c r="E605" s="42">
        <f t="shared" si="7"/>
        <v>-1.79320266</v>
      </c>
      <c r="F605" s="42">
        <f t="shared" si="8"/>
        <v>-3.240190514</v>
      </c>
      <c r="G605" s="42">
        <f t="shared" si="9"/>
        <v>-1.329092151</v>
      </c>
      <c r="H605" s="42">
        <f t="shared" si="10"/>
        <v>0</v>
      </c>
      <c r="I605" s="42" t="str">
        <f>UpdateHashtag!S603</f>
        <v/>
      </c>
      <c r="J605" s="47">
        <f t="shared" si="11"/>
        <v>0</v>
      </c>
      <c r="K605" s="48" t="str">
        <f>UpdateHashtag!T603</f>
        <v/>
      </c>
      <c r="L605" s="42">
        <f t="shared" si="12"/>
        <v>-1.734552372</v>
      </c>
      <c r="N605" s="100">
        <f t="shared" si="13"/>
        <v>401</v>
      </c>
      <c r="O605" s="94" t="str">
        <f t="array" ref="O605">INDIRECT("Update"&amp;Projections!$AH$17&amp;"!B"&amp;ROW(B586))</f>
        <v/>
      </c>
      <c r="P605" s="414" t="str">
        <f t="array" ref="P605">INDIRECT("Update"&amp;Projections!$AH$17&amp;"!C"&amp;ROW(B586))</f>
        <v/>
      </c>
      <c r="Q605" s="94" t="str">
        <f>UpdateHashtag!F635</f>
        <v/>
      </c>
      <c r="R605" s="105" t="str">
        <f t="array" ref="R605">INDIRECT("Update"&amp;Projections!$AH$17&amp;"!D"&amp;ROW(B586))</f>
        <v/>
      </c>
      <c r="S605" s="73">
        <f t="shared" si="14"/>
        <v>-9.965301026</v>
      </c>
      <c r="T605" s="73">
        <f>SUM(AE605:AM605)-IFERROR(IFS(Projections!$I$17,AN605,Projections!$J$17,AO605),"")</f>
        <v>-9.965301026</v>
      </c>
      <c r="U605" s="73">
        <f t="shared" si="15"/>
        <v>0</v>
      </c>
      <c r="V605" s="73" t="str">
        <f t="array" ref="V605">INDIRECT("Update"&amp;Projections!$AH$17&amp;"!M"&amp;ROW(B586))</f>
        <v/>
      </c>
      <c r="W605" s="73" t="str">
        <f t="array" ref="W605">INDIRECT("Update"&amp;Projections!$AH$17&amp;"!L"&amp;ROW(B586))</f>
        <v/>
      </c>
      <c r="X605" s="73" t="str">
        <f t="array" ref="X605">INDIRECT("Update"&amp;Projections!$AH$17&amp;"!N"&amp;ROW(B586))</f>
        <v/>
      </c>
      <c r="Y605" s="73" t="str">
        <f t="array" ref="Y605">INDIRECT("Update"&amp;Projections!$AH$17&amp;"!O"&amp;ROW(B586))</f>
        <v/>
      </c>
      <c r="Z605" s="73" t="str">
        <f t="array" ref="Z605">INDIRECT("Update"&amp;Projections!$AH$17&amp;"!P"&amp;ROW(B586))</f>
        <v/>
      </c>
      <c r="AA605" s="73" t="str">
        <f t="array" ref="AA605">INDIRECT("Update"&amp;Projections!$AH$17&amp;"!Q"&amp;ROW(B586))</f>
        <v/>
      </c>
      <c r="AB605" s="107" t="str">
        <f t="array" ref="AB605">INDIRECT("Update"&amp;Projections!$AH$17&amp;"!I"&amp;ROW(B586))</f>
        <v/>
      </c>
      <c r="AC605" s="107" t="str">
        <f t="array" ref="AC605">INDIRECT("Update"&amp;Projections!$AH$17&amp;"!K"&amp;ROW(B586))</f>
        <v/>
      </c>
      <c r="AD605" s="73" t="str">
        <f t="array" ref="AD605">INDIRECT("Update"&amp;Projections!$AH$17&amp;"!R"&amp;ROW(B586))</f>
        <v/>
      </c>
      <c r="AE605" s="73">
        <f t="shared" si="16"/>
        <v>-3.155358621</v>
      </c>
      <c r="AF605" s="73">
        <f t="shared" si="17"/>
        <v>-1.740686581</v>
      </c>
      <c r="AG605" s="73">
        <f t="shared" si="18"/>
        <v>-2.380599106</v>
      </c>
      <c r="AH605" s="73">
        <f t="shared" si="19"/>
        <v>-1.79320266</v>
      </c>
      <c r="AI605" s="73">
        <f t="shared" si="20"/>
        <v>-3.240190514</v>
      </c>
      <c r="AJ605" s="73">
        <f t="shared" si="21"/>
        <v>-1.329092151</v>
      </c>
      <c r="AK605" s="73">
        <f t="shared" si="22"/>
        <v>0</v>
      </c>
      <c r="AL605" s="73">
        <f t="shared" si="23"/>
        <v>0</v>
      </c>
      <c r="AM605" s="73">
        <f t="shared" si="24"/>
        <v>0.433638093</v>
      </c>
      <c r="AN605" s="120">
        <f t="shared" si="25"/>
        <v>-3.240190514</v>
      </c>
      <c r="AO605" s="120">
        <f t="shared" si="26"/>
        <v>-6.395549135</v>
      </c>
      <c r="AP605" s="120" t="str">
        <f t="array" ref="AP605">INDIRECT("Update"&amp;Projections!$AH$17&amp;"!S"&amp;ROW(B586))</f>
        <v/>
      </c>
      <c r="AQ605" s="120" t="str">
        <f t="array" ref="AQ605">INDIRECT("Update"&amp;Projections!$AH$17&amp;"!T"&amp;ROW(B586))</f>
        <v/>
      </c>
      <c r="AR605" s="100">
        <f t="shared" si="27"/>
        <v>-9.965301026</v>
      </c>
    </row>
    <row r="606">
      <c r="A606" t="str">
        <f t="shared" si="3"/>
        <v/>
      </c>
      <c r="B606" s="42">
        <f t="shared" si="4"/>
        <v>-3.155358621</v>
      </c>
      <c r="C606" s="43">
        <f t="shared" si="5"/>
        <v>-1.740686581</v>
      </c>
      <c r="D606" s="42">
        <f t="shared" si="6"/>
        <v>-2.380599106</v>
      </c>
      <c r="E606" s="42">
        <f t="shared" si="7"/>
        <v>-1.79320266</v>
      </c>
      <c r="F606" s="42">
        <f t="shared" si="8"/>
        <v>-3.240190514</v>
      </c>
      <c r="G606" s="42">
        <f t="shared" si="9"/>
        <v>-1.329092151</v>
      </c>
      <c r="H606" s="42">
        <f t="shared" si="10"/>
        <v>0</v>
      </c>
      <c r="I606" s="42" t="str">
        <f>UpdateHashtag!S604</f>
        <v/>
      </c>
      <c r="J606" s="47">
        <f t="shared" si="11"/>
        <v>0</v>
      </c>
      <c r="K606" s="48" t="str">
        <f>UpdateHashtag!T604</f>
        <v/>
      </c>
      <c r="L606" s="42">
        <f t="shared" si="12"/>
        <v>-1.734552372</v>
      </c>
      <c r="N606" s="100">
        <f t="shared" si="13"/>
        <v>401</v>
      </c>
      <c r="O606" s="94" t="str">
        <f t="array" ref="O606">INDIRECT("Update"&amp;Projections!$AH$17&amp;"!B"&amp;ROW(B587))</f>
        <v/>
      </c>
      <c r="P606" s="414" t="str">
        <f t="array" ref="P606">INDIRECT("Update"&amp;Projections!$AH$17&amp;"!C"&amp;ROW(B587))</f>
        <v/>
      </c>
      <c r="Q606" s="94" t="str">
        <f>UpdateHashtag!F636</f>
        <v/>
      </c>
      <c r="R606" s="105" t="str">
        <f t="array" ref="R606">INDIRECT("Update"&amp;Projections!$AH$17&amp;"!D"&amp;ROW(B587))</f>
        <v/>
      </c>
      <c r="S606" s="73">
        <f t="shared" si="14"/>
        <v>-9.965301026</v>
      </c>
      <c r="T606" s="73">
        <f>SUM(AE606:AM606)-IFERROR(IFS(Projections!$I$17,AN606,Projections!$J$17,AO606),"")</f>
        <v>-9.965301026</v>
      </c>
      <c r="U606" s="73">
        <f t="shared" si="15"/>
        <v>0</v>
      </c>
      <c r="V606" s="73" t="str">
        <f t="array" ref="V606">INDIRECT("Update"&amp;Projections!$AH$17&amp;"!M"&amp;ROW(B587))</f>
        <v/>
      </c>
      <c r="W606" s="73" t="str">
        <f t="array" ref="W606">INDIRECT("Update"&amp;Projections!$AH$17&amp;"!L"&amp;ROW(B587))</f>
        <v/>
      </c>
      <c r="X606" s="73" t="str">
        <f t="array" ref="X606">INDIRECT("Update"&amp;Projections!$AH$17&amp;"!N"&amp;ROW(B587))</f>
        <v/>
      </c>
      <c r="Y606" s="73" t="str">
        <f t="array" ref="Y606">INDIRECT("Update"&amp;Projections!$AH$17&amp;"!O"&amp;ROW(B587))</f>
        <v/>
      </c>
      <c r="Z606" s="73" t="str">
        <f t="array" ref="Z606">INDIRECT("Update"&amp;Projections!$AH$17&amp;"!P"&amp;ROW(B587))</f>
        <v/>
      </c>
      <c r="AA606" s="73" t="str">
        <f t="array" ref="AA606">INDIRECT("Update"&amp;Projections!$AH$17&amp;"!Q"&amp;ROW(B587))</f>
        <v/>
      </c>
      <c r="AB606" s="107" t="str">
        <f t="array" ref="AB606">INDIRECT("Update"&amp;Projections!$AH$17&amp;"!I"&amp;ROW(B587))</f>
        <v/>
      </c>
      <c r="AC606" s="107" t="str">
        <f t="array" ref="AC606">INDIRECT("Update"&amp;Projections!$AH$17&amp;"!K"&amp;ROW(B587))</f>
        <v/>
      </c>
      <c r="AD606" s="73" t="str">
        <f t="array" ref="AD606">INDIRECT("Update"&amp;Projections!$AH$17&amp;"!R"&amp;ROW(B587))</f>
        <v/>
      </c>
      <c r="AE606" s="73">
        <f t="shared" si="16"/>
        <v>-3.155358621</v>
      </c>
      <c r="AF606" s="73">
        <f t="shared" si="17"/>
        <v>-1.740686581</v>
      </c>
      <c r="AG606" s="73">
        <f t="shared" si="18"/>
        <v>-2.380599106</v>
      </c>
      <c r="AH606" s="73">
        <f t="shared" si="19"/>
        <v>-1.79320266</v>
      </c>
      <c r="AI606" s="73">
        <f t="shared" si="20"/>
        <v>-3.240190514</v>
      </c>
      <c r="AJ606" s="73">
        <f t="shared" si="21"/>
        <v>-1.329092151</v>
      </c>
      <c r="AK606" s="73">
        <f t="shared" si="22"/>
        <v>0</v>
      </c>
      <c r="AL606" s="73">
        <f t="shared" si="23"/>
        <v>0</v>
      </c>
      <c r="AM606" s="73">
        <f t="shared" si="24"/>
        <v>0.433638093</v>
      </c>
      <c r="AN606" s="120">
        <f t="shared" si="25"/>
        <v>-3.240190514</v>
      </c>
      <c r="AO606" s="120">
        <f t="shared" si="26"/>
        <v>-6.395549135</v>
      </c>
      <c r="AP606" s="120" t="str">
        <f t="array" ref="AP606">INDIRECT("Update"&amp;Projections!$AH$17&amp;"!S"&amp;ROW(B587))</f>
        <v/>
      </c>
      <c r="AQ606" s="120" t="str">
        <f t="array" ref="AQ606">INDIRECT("Update"&amp;Projections!$AH$17&amp;"!T"&amp;ROW(B587))</f>
        <v/>
      </c>
      <c r="AR606" s="100">
        <f t="shared" si="27"/>
        <v>-9.965301026</v>
      </c>
    </row>
    <row r="607">
      <c r="A607" t="str">
        <f t="shared" si="3"/>
        <v/>
      </c>
      <c r="B607" s="42">
        <f t="shared" si="4"/>
        <v>-3.155358621</v>
      </c>
      <c r="C607" s="43">
        <f t="shared" si="5"/>
        <v>-1.740686581</v>
      </c>
      <c r="D607" s="42">
        <f t="shared" si="6"/>
        <v>-2.380599106</v>
      </c>
      <c r="E607" s="42">
        <f t="shared" si="7"/>
        <v>-1.79320266</v>
      </c>
      <c r="F607" s="42">
        <f t="shared" si="8"/>
        <v>-3.240190514</v>
      </c>
      <c r="G607" s="42">
        <f t="shared" si="9"/>
        <v>-1.329092151</v>
      </c>
      <c r="H607" s="42">
        <f t="shared" si="10"/>
        <v>0</v>
      </c>
      <c r="I607" s="42" t="str">
        <f>UpdateHashtag!S605</f>
        <v/>
      </c>
      <c r="J607" s="47">
        <f t="shared" si="11"/>
        <v>0</v>
      </c>
      <c r="K607" s="48" t="str">
        <f>UpdateHashtag!T605</f>
        <v/>
      </c>
      <c r="L607" s="42">
        <f t="shared" si="12"/>
        <v>-1.734552372</v>
      </c>
      <c r="N607" s="100">
        <f t="shared" si="13"/>
        <v>401</v>
      </c>
      <c r="O607" s="94" t="str">
        <f t="array" ref="O607">INDIRECT("Update"&amp;Projections!$AH$17&amp;"!B"&amp;ROW(B588))</f>
        <v/>
      </c>
      <c r="P607" s="414" t="str">
        <f t="array" ref="P607">INDIRECT("Update"&amp;Projections!$AH$17&amp;"!C"&amp;ROW(B588))</f>
        <v/>
      </c>
      <c r="Q607" s="94" t="str">
        <f>UpdateHashtag!F637</f>
        <v/>
      </c>
      <c r="R607" s="105" t="str">
        <f t="array" ref="R607">INDIRECT("Update"&amp;Projections!$AH$17&amp;"!D"&amp;ROW(B588))</f>
        <v/>
      </c>
      <c r="S607" s="73">
        <f t="shared" si="14"/>
        <v>-9.965301026</v>
      </c>
      <c r="T607" s="73">
        <f>SUM(AE607:AM607)-IFERROR(IFS(Projections!$I$17,AN607,Projections!$J$17,AO607),"")</f>
        <v>-9.965301026</v>
      </c>
      <c r="U607" s="73">
        <f t="shared" si="15"/>
        <v>0</v>
      </c>
      <c r="V607" s="73" t="str">
        <f t="array" ref="V607">INDIRECT("Update"&amp;Projections!$AH$17&amp;"!M"&amp;ROW(B588))</f>
        <v/>
      </c>
      <c r="W607" s="73" t="str">
        <f t="array" ref="W607">INDIRECT("Update"&amp;Projections!$AH$17&amp;"!L"&amp;ROW(B588))</f>
        <v/>
      </c>
      <c r="X607" s="73" t="str">
        <f t="array" ref="X607">INDIRECT("Update"&amp;Projections!$AH$17&amp;"!N"&amp;ROW(B588))</f>
        <v/>
      </c>
      <c r="Y607" s="73" t="str">
        <f t="array" ref="Y607">INDIRECT("Update"&amp;Projections!$AH$17&amp;"!O"&amp;ROW(B588))</f>
        <v/>
      </c>
      <c r="Z607" s="73" t="str">
        <f t="array" ref="Z607">INDIRECT("Update"&amp;Projections!$AH$17&amp;"!P"&amp;ROW(B588))</f>
        <v/>
      </c>
      <c r="AA607" s="73" t="str">
        <f t="array" ref="AA607">INDIRECT("Update"&amp;Projections!$AH$17&amp;"!Q"&amp;ROW(B588))</f>
        <v/>
      </c>
      <c r="AB607" s="107" t="str">
        <f t="array" ref="AB607">INDIRECT("Update"&amp;Projections!$AH$17&amp;"!I"&amp;ROW(B588))</f>
        <v/>
      </c>
      <c r="AC607" s="107" t="str">
        <f t="array" ref="AC607">INDIRECT("Update"&amp;Projections!$AH$17&amp;"!K"&amp;ROW(B588))</f>
        <v/>
      </c>
      <c r="AD607" s="73" t="str">
        <f t="array" ref="AD607">INDIRECT("Update"&amp;Projections!$AH$17&amp;"!R"&amp;ROW(B588))</f>
        <v/>
      </c>
      <c r="AE607" s="73">
        <f t="shared" si="16"/>
        <v>-3.155358621</v>
      </c>
      <c r="AF607" s="73">
        <f t="shared" si="17"/>
        <v>-1.740686581</v>
      </c>
      <c r="AG607" s="73">
        <f t="shared" si="18"/>
        <v>-2.380599106</v>
      </c>
      <c r="AH607" s="73">
        <f t="shared" si="19"/>
        <v>-1.79320266</v>
      </c>
      <c r="AI607" s="73">
        <f t="shared" si="20"/>
        <v>-3.240190514</v>
      </c>
      <c r="AJ607" s="73">
        <f t="shared" si="21"/>
        <v>-1.329092151</v>
      </c>
      <c r="AK607" s="73">
        <f t="shared" si="22"/>
        <v>0</v>
      </c>
      <c r="AL607" s="73">
        <f t="shared" si="23"/>
        <v>0</v>
      </c>
      <c r="AM607" s="73">
        <f t="shared" si="24"/>
        <v>0.433638093</v>
      </c>
      <c r="AN607" s="120">
        <f t="shared" si="25"/>
        <v>-3.240190514</v>
      </c>
      <c r="AO607" s="120">
        <f t="shared" si="26"/>
        <v>-6.395549135</v>
      </c>
      <c r="AP607" s="120" t="str">
        <f t="array" ref="AP607">INDIRECT("Update"&amp;Projections!$AH$17&amp;"!S"&amp;ROW(B588))</f>
        <v/>
      </c>
      <c r="AQ607" s="120" t="str">
        <f t="array" ref="AQ607">INDIRECT("Update"&amp;Projections!$AH$17&amp;"!T"&amp;ROW(B588))</f>
        <v/>
      </c>
      <c r="AR607" s="100">
        <f t="shared" si="27"/>
        <v>-9.965301026</v>
      </c>
    </row>
    <row r="608">
      <c r="A608" t="str">
        <f t="shared" si="3"/>
        <v/>
      </c>
      <c r="B608" s="42">
        <f t="shared" si="4"/>
        <v>-3.155358621</v>
      </c>
      <c r="C608" s="43">
        <f t="shared" si="5"/>
        <v>-1.740686581</v>
      </c>
      <c r="D608" s="42">
        <f t="shared" si="6"/>
        <v>-2.380599106</v>
      </c>
      <c r="E608" s="42">
        <f t="shared" si="7"/>
        <v>-1.79320266</v>
      </c>
      <c r="F608" s="42">
        <f t="shared" si="8"/>
        <v>-3.240190514</v>
      </c>
      <c r="G608" s="42">
        <f t="shared" si="9"/>
        <v>-1.329092151</v>
      </c>
      <c r="H608" s="42">
        <f t="shared" si="10"/>
        <v>0</v>
      </c>
      <c r="I608" s="42" t="str">
        <f>UpdateHashtag!S606</f>
        <v/>
      </c>
      <c r="J608" s="47">
        <f t="shared" si="11"/>
        <v>0</v>
      </c>
      <c r="K608" s="48" t="str">
        <f>UpdateHashtag!T606</f>
        <v/>
      </c>
      <c r="L608" s="42">
        <f t="shared" si="12"/>
        <v>-1.734552372</v>
      </c>
      <c r="N608" s="100">
        <f t="shared" si="13"/>
        <v>401</v>
      </c>
      <c r="O608" s="94" t="str">
        <f t="array" ref="O608">INDIRECT("Update"&amp;Projections!$AH$17&amp;"!B"&amp;ROW(B589))</f>
        <v/>
      </c>
      <c r="P608" s="414" t="str">
        <f t="array" ref="P608">INDIRECT("Update"&amp;Projections!$AH$17&amp;"!C"&amp;ROW(B589))</f>
        <v/>
      </c>
      <c r="Q608" s="94" t="str">
        <f>UpdateHashtag!F638</f>
        <v/>
      </c>
      <c r="R608" s="105" t="str">
        <f t="array" ref="R608">INDIRECT("Update"&amp;Projections!$AH$17&amp;"!D"&amp;ROW(B589))</f>
        <v/>
      </c>
      <c r="S608" s="73">
        <f t="shared" si="14"/>
        <v>-9.965301026</v>
      </c>
      <c r="T608" s="73">
        <f>SUM(AE608:AM608)-IFERROR(IFS(Projections!$I$17,AN608,Projections!$J$17,AO608),"")</f>
        <v>-9.965301026</v>
      </c>
      <c r="U608" s="73">
        <f t="shared" si="15"/>
        <v>0</v>
      </c>
      <c r="V608" s="73" t="str">
        <f t="array" ref="V608">INDIRECT("Update"&amp;Projections!$AH$17&amp;"!M"&amp;ROW(B589))</f>
        <v/>
      </c>
      <c r="W608" s="73" t="str">
        <f t="array" ref="W608">INDIRECT("Update"&amp;Projections!$AH$17&amp;"!L"&amp;ROW(B589))</f>
        <v/>
      </c>
      <c r="X608" s="73" t="str">
        <f t="array" ref="X608">INDIRECT("Update"&amp;Projections!$AH$17&amp;"!N"&amp;ROW(B589))</f>
        <v/>
      </c>
      <c r="Y608" s="73" t="str">
        <f t="array" ref="Y608">INDIRECT("Update"&amp;Projections!$AH$17&amp;"!O"&amp;ROW(B589))</f>
        <v/>
      </c>
      <c r="Z608" s="73" t="str">
        <f t="array" ref="Z608">INDIRECT("Update"&amp;Projections!$AH$17&amp;"!P"&amp;ROW(B589))</f>
        <v/>
      </c>
      <c r="AA608" s="73" t="str">
        <f t="array" ref="AA608">INDIRECT("Update"&amp;Projections!$AH$17&amp;"!Q"&amp;ROW(B589))</f>
        <v/>
      </c>
      <c r="AB608" s="107" t="str">
        <f t="array" ref="AB608">INDIRECT("Update"&amp;Projections!$AH$17&amp;"!I"&amp;ROW(B589))</f>
        <v/>
      </c>
      <c r="AC608" s="107" t="str">
        <f t="array" ref="AC608">INDIRECT("Update"&amp;Projections!$AH$17&amp;"!K"&amp;ROW(B589))</f>
        <v/>
      </c>
      <c r="AD608" s="73" t="str">
        <f t="array" ref="AD608">INDIRECT("Update"&amp;Projections!$AH$17&amp;"!R"&amp;ROW(B589))</f>
        <v/>
      </c>
      <c r="AE608" s="73">
        <f t="shared" si="16"/>
        <v>-3.155358621</v>
      </c>
      <c r="AF608" s="73">
        <f t="shared" si="17"/>
        <v>-1.740686581</v>
      </c>
      <c r="AG608" s="73">
        <f t="shared" si="18"/>
        <v>-2.380599106</v>
      </c>
      <c r="AH608" s="73">
        <f t="shared" si="19"/>
        <v>-1.79320266</v>
      </c>
      <c r="AI608" s="73">
        <f t="shared" si="20"/>
        <v>-3.240190514</v>
      </c>
      <c r="AJ608" s="73">
        <f t="shared" si="21"/>
        <v>-1.329092151</v>
      </c>
      <c r="AK608" s="73">
        <f t="shared" si="22"/>
        <v>0</v>
      </c>
      <c r="AL608" s="73">
        <f t="shared" si="23"/>
        <v>0</v>
      </c>
      <c r="AM608" s="73">
        <f t="shared" si="24"/>
        <v>0.433638093</v>
      </c>
      <c r="AN608" s="120">
        <f t="shared" si="25"/>
        <v>-3.240190514</v>
      </c>
      <c r="AO608" s="120">
        <f t="shared" si="26"/>
        <v>-6.395549135</v>
      </c>
      <c r="AP608" s="120" t="str">
        <f t="array" ref="AP608">INDIRECT("Update"&amp;Projections!$AH$17&amp;"!S"&amp;ROW(B589))</f>
        <v/>
      </c>
      <c r="AQ608" s="120" t="str">
        <f t="array" ref="AQ608">INDIRECT("Update"&amp;Projections!$AH$17&amp;"!T"&amp;ROW(B589))</f>
        <v/>
      </c>
      <c r="AR608" s="100">
        <f t="shared" si="27"/>
        <v>-9.965301026</v>
      </c>
    </row>
    <row r="609">
      <c r="A609" t="str">
        <f t="shared" si="3"/>
        <v/>
      </c>
      <c r="B609" s="42">
        <f t="shared" si="4"/>
        <v>-3.155358621</v>
      </c>
      <c r="C609" s="43">
        <f t="shared" si="5"/>
        <v>-1.740686581</v>
      </c>
      <c r="D609" s="42">
        <f t="shared" si="6"/>
        <v>-2.380599106</v>
      </c>
      <c r="E609" s="42">
        <f t="shared" si="7"/>
        <v>-1.79320266</v>
      </c>
      <c r="F609" s="42">
        <f t="shared" si="8"/>
        <v>-3.240190514</v>
      </c>
      <c r="G609" s="42">
        <f t="shared" si="9"/>
        <v>-1.329092151</v>
      </c>
      <c r="H609" s="42">
        <f t="shared" si="10"/>
        <v>0</v>
      </c>
      <c r="I609" s="42" t="str">
        <f>UpdateHashtag!S607</f>
        <v/>
      </c>
      <c r="J609" s="47">
        <f t="shared" si="11"/>
        <v>0</v>
      </c>
      <c r="K609" s="48" t="str">
        <f>UpdateHashtag!T607</f>
        <v/>
      </c>
      <c r="L609" s="42">
        <f t="shared" si="12"/>
        <v>-1.734552372</v>
      </c>
      <c r="N609" s="100">
        <f t="shared" si="13"/>
        <v>401</v>
      </c>
      <c r="O609" s="94" t="str">
        <f t="array" ref="O609">INDIRECT("Update"&amp;Projections!$AH$17&amp;"!B"&amp;ROW(B590))</f>
        <v/>
      </c>
      <c r="P609" s="414" t="str">
        <f t="array" ref="P609">INDIRECT("Update"&amp;Projections!$AH$17&amp;"!C"&amp;ROW(B590))</f>
        <v/>
      </c>
      <c r="Q609" s="94" t="str">
        <f>UpdateHashtag!F639</f>
        <v/>
      </c>
      <c r="R609" s="105" t="str">
        <f t="array" ref="R609">INDIRECT("Update"&amp;Projections!$AH$17&amp;"!D"&amp;ROW(B590))</f>
        <v/>
      </c>
      <c r="S609" s="73">
        <f t="shared" si="14"/>
        <v>-9.965301026</v>
      </c>
      <c r="T609" s="73">
        <f>SUM(AE609:AM609)-IFERROR(IFS(Projections!$I$17,AN609,Projections!$J$17,AO609),"")</f>
        <v>-9.965301026</v>
      </c>
      <c r="U609" s="73">
        <f t="shared" si="15"/>
        <v>0</v>
      </c>
      <c r="V609" s="73" t="str">
        <f t="array" ref="V609">INDIRECT("Update"&amp;Projections!$AH$17&amp;"!M"&amp;ROW(B590))</f>
        <v/>
      </c>
      <c r="W609" s="73" t="str">
        <f t="array" ref="W609">INDIRECT("Update"&amp;Projections!$AH$17&amp;"!L"&amp;ROW(B590))</f>
        <v/>
      </c>
      <c r="X609" s="73" t="str">
        <f t="array" ref="X609">INDIRECT("Update"&amp;Projections!$AH$17&amp;"!N"&amp;ROW(B590))</f>
        <v/>
      </c>
      <c r="Y609" s="73" t="str">
        <f t="array" ref="Y609">INDIRECT("Update"&amp;Projections!$AH$17&amp;"!O"&amp;ROW(B590))</f>
        <v/>
      </c>
      <c r="Z609" s="73" t="str">
        <f t="array" ref="Z609">INDIRECT("Update"&amp;Projections!$AH$17&amp;"!P"&amp;ROW(B590))</f>
        <v/>
      </c>
      <c r="AA609" s="73" t="str">
        <f t="array" ref="AA609">INDIRECT("Update"&amp;Projections!$AH$17&amp;"!Q"&amp;ROW(B590))</f>
        <v/>
      </c>
      <c r="AB609" s="107" t="str">
        <f t="array" ref="AB609">INDIRECT("Update"&amp;Projections!$AH$17&amp;"!I"&amp;ROW(B590))</f>
        <v/>
      </c>
      <c r="AC609" s="107" t="str">
        <f t="array" ref="AC609">INDIRECT("Update"&amp;Projections!$AH$17&amp;"!K"&amp;ROW(B590))</f>
        <v/>
      </c>
      <c r="AD609" s="73" t="str">
        <f t="array" ref="AD609">INDIRECT("Update"&amp;Projections!$AH$17&amp;"!R"&amp;ROW(B590))</f>
        <v/>
      </c>
      <c r="AE609" s="73">
        <f t="shared" si="16"/>
        <v>-3.155358621</v>
      </c>
      <c r="AF609" s="73">
        <f t="shared" si="17"/>
        <v>-1.740686581</v>
      </c>
      <c r="AG609" s="73">
        <f t="shared" si="18"/>
        <v>-2.380599106</v>
      </c>
      <c r="AH609" s="73">
        <f t="shared" si="19"/>
        <v>-1.79320266</v>
      </c>
      <c r="AI609" s="73">
        <f t="shared" si="20"/>
        <v>-3.240190514</v>
      </c>
      <c r="AJ609" s="73">
        <f t="shared" si="21"/>
        <v>-1.329092151</v>
      </c>
      <c r="AK609" s="73">
        <f t="shared" si="22"/>
        <v>0</v>
      </c>
      <c r="AL609" s="73">
        <f t="shared" si="23"/>
        <v>0</v>
      </c>
      <c r="AM609" s="73">
        <f t="shared" si="24"/>
        <v>0.433638093</v>
      </c>
      <c r="AN609" s="120">
        <f t="shared" si="25"/>
        <v>-3.240190514</v>
      </c>
      <c r="AO609" s="120">
        <f t="shared" si="26"/>
        <v>-6.395549135</v>
      </c>
      <c r="AP609" s="120" t="str">
        <f t="array" ref="AP609">INDIRECT("Update"&amp;Projections!$AH$17&amp;"!S"&amp;ROW(B590))</f>
        <v/>
      </c>
      <c r="AQ609" s="120" t="str">
        <f t="array" ref="AQ609">INDIRECT("Update"&amp;Projections!$AH$17&amp;"!T"&amp;ROW(B590))</f>
        <v/>
      </c>
      <c r="AR609" s="100">
        <f t="shared" si="27"/>
        <v>-9.965301026</v>
      </c>
    </row>
    <row r="610">
      <c r="A610" t="str">
        <f t="shared" si="3"/>
        <v/>
      </c>
      <c r="B610" s="42">
        <f t="shared" si="4"/>
        <v>-3.155358621</v>
      </c>
      <c r="C610" s="43">
        <f t="shared" si="5"/>
        <v>-1.740686581</v>
      </c>
      <c r="D610" s="42">
        <f t="shared" si="6"/>
        <v>-2.380599106</v>
      </c>
      <c r="E610" s="42">
        <f t="shared" si="7"/>
        <v>-1.79320266</v>
      </c>
      <c r="F610" s="42">
        <f t="shared" si="8"/>
        <v>-3.240190514</v>
      </c>
      <c r="G610" s="42">
        <f t="shared" si="9"/>
        <v>-1.329092151</v>
      </c>
      <c r="H610" s="42">
        <f t="shared" si="10"/>
        <v>0</v>
      </c>
      <c r="I610" s="42" t="str">
        <f>UpdateHashtag!S608</f>
        <v/>
      </c>
      <c r="J610" s="47">
        <f t="shared" si="11"/>
        <v>0</v>
      </c>
      <c r="K610" s="48" t="str">
        <f>UpdateHashtag!T608</f>
        <v/>
      </c>
      <c r="L610" s="42">
        <f t="shared" si="12"/>
        <v>-1.734552372</v>
      </c>
      <c r="N610" s="100">
        <f t="shared" si="13"/>
        <v>401</v>
      </c>
      <c r="O610" s="94" t="str">
        <f t="array" ref="O610">INDIRECT("Update"&amp;Projections!$AH$17&amp;"!B"&amp;ROW(B591))</f>
        <v/>
      </c>
      <c r="P610" s="414" t="str">
        <f t="array" ref="P610">INDIRECT("Update"&amp;Projections!$AH$17&amp;"!C"&amp;ROW(B591))</f>
        <v/>
      </c>
      <c r="Q610" s="94" t="str">
        <f>UpdateHashtag!F640</f>
        <v/>
      </c>
      <c r="R610" s="105" t="str">
        <f t="array" ref="R610">INDIRECT("Update"&amp;Projections!$AH$17&amp;"!D"&amp;ROW(B591))</f>
        <v/>
      </c>
      <c r="S610" s="73">
        <f t="shared" si="14"/>
        <v>-9.965301026</v>
      </c>
      <c r="T610" s="73">
        <f>SUM(AE610:AM610)-IFERROR(IFS(Projections!$I$17,AN610,Projections!$J$17,AO610),"")</f>
        <v>-9.965301026</v>
      </c>
      <c r="U610" s="73">
        <f t="shared" si="15"/>
        <v>0</v>
      </c>
      <c r="V610" s="73" t="str">
        <f t="array" ref="V610">INDIRECT("Update"&amp;Projections!$AH$17&amp;"!M"&amp;ROW(B591))</f>
        <v/>
      </c>
      <c r="W610" s="73" t="str">
        <f t="array" ref="W610">INDIRECT("Update"&amp;Projections!$AH$17&amp;"!L"&amp;ROW(B591))</f>
        <v/>
      </c>
      <c r="X610" s="73" t="str">
        <f t="array" ref="X610">INDIRECT("Update"&amp;Projections!$AH$17&amp;"!N"&amp;ROW(B591))</f>
        <v/>
      </c>
      <c r="Y610" s="73" t="str">
        <f t="array" ref="Y610">INDIRECT("Update"&amp;Projections!$AH$17&amp;"!O"&amp;ROW(B591))</f>
        <v/>
      </c>
      <c r="Z610" s="73" t="str">
        <f t="array" ref="Z610">INDIRECT("Update"&amp;Projections!$AH$17&amp;"!P"&amp;ROW(B591))</f>
        <v/>
      </c>
      <c r="AA610" s="73" t="str">
        <f t="array" ref="AA610">INDIRECT("Update"&amp;Projections!$AH$17&amp;"!Q"&amp;ROW(B591))</f>
        <v/>
      </c>
      <c r="AB610" s="107" t="str">
        <f t="array" ref="AB610">INDIRECT("Update"&amp;Projections!$AH$17&amp;"!I"&amp;ROW(B591))</f>
        <v/>
      </c>
      <c r="AC610" s="107" t="str">
        <f t="array" ref="AC610">INDIRECT("Update"&amp;Projections!$AH$17&amp;"!K"&amp;ROW(B591))</f>
        <v/>
      </c>
      <c r="AD610" s="73" t="str">
        <f t="array" ref="AD610">INDIRECT("Update"&amp;Projections!$AH$17&amp;"!R"&amp;ROW(B591))</f>
        <v/>
      </c>
      <c r="AE610" s="73">
        <f t="shared" si="16"/>
        <v>-3.155358621</v>
      </c>
      <c r="AF610" s="73">
        <f t="shared" si="17"/>
        <v>-1.740686581</v>
      </c>
      <c r="AG610" s="73">
        <f t="shared" si="18"/>
        <v>-2.380599106</v>
      </c>
      <c r="AH610" s="73">
        <f t="shared" si="19"/>
        <v>-1.79320266</v>
      </c>
      <c r="AI610" s="73">
        <f t="shared" si="20"/>
        <v>-3.240190514</v>
      </c>
      <c r="AJ610" s="73">
        <f t="shared" si="21"/>
        <v>-1.329092151</v>
      </c>
      <c r="AK610" s="73">
        <f t="shared" si="22"/>
        <v>0</v>
      </c>
      <c r="AL610" s="73">
        <f t="shared" si="23"/>
        <v>0</v>
      </c>
      <c r="AM610" s="73">
        <f t="shared" si="24"/>
        <v>0.433638093</v>
      </c>
      <c r="AN610" s="120">
        <f t="shared" si="25"/>
        <v>-3.240190514</v>
      </c>
      <c r="AO610" s="120">
        <f t="shared" si="26"/>
        <v>-6.395549135</v>
      </c>
      <c r="AP610" s="120" t="str">
        <f t="array" ref="AP610">INDIRECT("Update"&amp;Projections!$AH$17&amp;"!S"&amp;ROW(B591))</f>
        <v/>
      </c>
      <c r="AQ610" s="120" t="str">
        <f t="array" ref="AQ610">INDIRECT("Update"&amp;Projections!$AH$17&amp;"!T"&amp;ROW(B591))</f>
        <v/>
      </c>
      <c r="AR610" s="100">
        <f t="shared" si="27"/>
        <v>-9.965301026</v>
      </c>
    </row>
    <row r="611">
      <c r="A611" t="str">
        <f t="shared" si="3"/>
        <v/>
      </c>
      <c r="B611" s="42">
        <f t="shared" si="4"/>
        <v>-3.155358621</v>
      </c>
      <c r="C611" s="43">
        <f t="shared" si="5"/>
        <v>-1.740686581</v>
      </c>
      <c r="D611" s="42">
        <f t="shared" si="6"/>
        <v>-2.380599106</v>
      </c>
      <c r="E611" s="42">
        <f t="shared" si="7"/>
        <v>-1.79320266</v>
      </c>
      <c r="F611" s="42">
        <f t="shared" si="8"/>
        <v>-3.240190514</v>
      </c>
      <c r="G611" s="42">
        <f t="shared" si="9"/>
        <v>-1.329092151</v>
      </c>
      <c r="H611" s="42">
        <f t="shared" si="10"/>
        <v>0</v>
      </c>
      <c r="I611" s="42" t="str">
        <f>UpdateHashtag!S609</f>
        <v/>
      </c>
      <c r="J611" s="47">
        <f t="shared" si="11"/>
        <v>0</v>
      </c>
      <c r="K611" s="48" t="str">
        <f>UpdateHashtag!T609</f>
        <v/>
      </c>
      <c r="L611" s="42">
        <f t="shared" si="12"/>
        <v>-1.734552372</v>
      </c>
      <c r="N611" s="100">
        <f t="shared" si="13"/>
        <v>401</v>
      </c>
      <c r="O611" s="94" t="str">
        <f t="array" ref="O611">INDIRECT("Update"&amp;Projections!$AH$17&amp;"!B"&amp;ROW(B592))</f>
        <v/>
      </c>
      <c r="P611" s="414" t="str">
        <f t="array" ref="P611">INDIRECT("Update"&amp;Projections!$AH$17&amp;"!C"&amp;ROW(B592))</f>
        <v/>
      </c>
      <c r="Q611" s="94" t="str">
        <f>UpdateHashtag!F641</f>
        <v/>
      </c>
      <c r="R611" s="105" t="str">
        <f t="array" ref="R611">INDIRECT("Update"&amp;Projections!$AH$17&amp;"!D"&amp;ROW(B592))</f>
        <v/>
      </c>
      <c r="S611" s="73">
        <f t="shared" si="14"/>
        <v>-9.965301026</v>
      </c>
      <c r="T611" s="73">
        <f>SUM(AE611:AM611)-IFERROR(IFS(Projections!$I$17,AN611,Projections!$J$17,AO611),"")</f>
        <v>-9.965301026</v>
      </c>
      <c r="U611" s="73">
        <f t="shared" si="15"/>
        <v>0</v>
      </c>
      <c r="V611" s="73" t="str">
        <f t="array" ref="V611">INDIRECT("Update"&amp;Projections!$AH$17&amp;"!M"&amp;ROW(B592))</f>
        <v/>
      </c>
      <c r="W611" s="73" t="str">
        <f t="array" ref="W611">INDIRECT("Update"&amp;Projections!$AH$17&amp;"!L"&amp;ROW(B592))</f>
        <v/>
      </c>
      <c r="X611" s="73" t="str">
        <f t="array" ref="X611">INDIRECT("Update"&amp;Projections!$AH$17&amp;"!N"&amp;ROW(B592))</f>
        <v/>
      </c>
      <c r="Y611" s="73" t="str">
        <f t="array" ref="Y611">INDIRECT("Update"&amp;Projections!$AH$17&amp;"!O"&amp;ROW(B592))</f>
        <v/>
      </c>
      <c r="Z611" s="73" t="str">
        <f t="array" ref="Z611">INDIRECT("Update"&amp;Projections!$AH$17&amp;"!P"&amp;ROW(B592))</f>
        <v/>
      </c>
      <c r="AA611" s="73" t="str">
        <f t="array" ref="AA611">INDIRECT("Update"&amp;Projections!$AH$17&amp;"!Q"&amp;ROW(B592))</f>
        <v/>
      </c>
      <c r="AB611" s="107" t="str">
        <f t="array" ref="AB611">INDIRECT("Update"&amp;Projections!$AH$17&amp;"!I"&amp;ROW(B592))</f>
        <v/>
      </c>
      <c r="AC611" s="107" t="str">
        <f t="array" ref="AC611">INDIRECT("Update"&amp;Projections!$AH$17&amp;"!K"&amp;ROW(B592))</f>
        <v/>
      </c>
      <c r="AD611" s="73" t="str">
        <f t="array" ref="AD611">INDIRECT("Update"&amp;Projections!$AH$17&amp;"!R"&amp;ROW(B592))</f>
        <v/>
      </c>
      <c r="AE611" s="73">
        <f t="shared" si="16"/>
        <v>-3.155358621</v>
      </c>
      <c r="AF611" s="73">
        <f t="shared" si="17"/>
        <v>-1.740686581</v>
      </c>
      <c r="AG611" s="73">
        <f t="shared" si="18"/>
        <v>-2.380599106</v>
      </c>
      <c r="AH611" s="73">
        <f t="shared" si="19"/>
        <v>-1.79320266</v>
      </c>
      <c r="AI611" s="73">
        <f t="shared" si="20"/>
        <v>-3.240190514</v>
      </c>
      <c r="AJ611" s="73">
        <f t="shared" si="21"/>
        <v>-1.329092151</v>
      </c>
      <c r="AK611" s="73">
        <f t="shared" si="22"/>
        <v>0</v>
      </c>
      <c r="AL611" s="73">
        <f t="shared" si="23"/>
        <v>0</v>
      </c>
      <c r="AM611" s="73">
        <f t="shared" si="24"/>
        <v>0.433638093</v>
      </c>
      <c r="AN611" s="120">
        <f t="shared" si="25"/>
        <v>-3.240190514</v>
      </c>
      <c r="AO611" s="120">
        <f t="shared" si="26"/>
        <v>-6.395549135</v>
      </c>
      <c r="AP611" s="120" t="str">
        <f t="array" ref="AP611">INDIRECT("Update"&amp;Projections!$AH$17&amp;"!S"&amp;ROW(B592))</f>
        <v/>
      </c>
      <c r="AQ611" s="120" t="str">
        <f t="array" ref="AQ611">INDIRECT("Update"&amp;Projections!$AH$17&amp;"!T"&amp;ROW(B592))</f>
        <v/>
      </c>
      <c r="AR611" s="100">
        <f t="shared" si="27"/>
        <v>-9.965301026</v>
      </c>
    </row>
    <row r="612">
      <c r="A612" t="str">
        <f t="shared" si="3"/>
        <v/>
      </c>
      <c r="B612" s="42">
        <f t="shared" si="4"/>
        <v>-3.155358621</v>
      </c>
      <c r="C612" s="43">
        <f t="shared" si="5"/>
        <v>-1.740686581</v>
      </c>
      <c r="D612" s="42">
        <f t="shared" si="6"/>
        <v>-2.380599106</v>
      </c>
      <c r="E612" s="42">
        <f t="shared" si="7"/>
        <v>-1.79320266</v>
      </c>
      <c r="F612" s="42">
        <f t="shared" si="8"/>
        <v>-3.240190514</v>
      </c>
      <c r="G612" s="42">
        <f t="shared" si="9"/>
        <v>-1.329092151</v>
      </c>
      <c r="H612" s="42">
        <f t="shared" si="10"/>
        <v>0</v>
      </c>
      <c r="I612" s="42" t="str">
        <f>UpdateHashtag!S610</f>
        <v/>
      </c>
      <c r="J612" s="47">
        <f t="shared" si="11"/>
        <v>0</v>
      </c>
      <c r="K612" s="48" t="str">
        <f>UpdateHashtag!T610</f>
        <v/>
      </c>
      <c r="L612" s="42">
        <f t="shared" si="12"/>
        <v>-1.734552372</v>
      </c>
      <c r="N612" s="100">
        <f t="shared" si="13"/>
        <v>401</v>
      </c>
      <c r="O612" s="94" t="str">
        <f t="array" ref="O612">INDIRECT("Update"&amp;Projections!$AH$17&amp;"!B"&amp;ROW(B593))</f>
        <v/>
      </c>
      <c r="P612" s="414" t="str">
        <f t="array" ref="P612">INDIRECT("Update"&amp;Projections!$AH$17&amp;"!C"&amp;ROW(B593))</f>
        <v/>
      </c>
      <c r="Q612" s="94" t="str">
        <f>UpdateHashtag!F642</f>
        <v/>
      </c>
      <c r="R612" s="105" t="str">
        <f t="array" ref="R612">INDIRECT("Update"&amp;Projections!$AH$17&amp;"!D"&amp;ROW(B593))</f>
        <v/>
      </c>
      <c r="S612" s="73">
        <f t="shared" si="14"/>
        <v>-9.965301026</v>
      </c>
      <c r="T612" s="73">
        <f>SUM(AE612:AM612)-IFERROR(IFS(Projections!$I$17,AN612,Projections!$J$17,AO612),"")</f>
        <v>-9.965301026</v>
      </c>
      <c r="U612" s="73">
        <f t="shared" si="15"/>
        <v>0</v>
      </c>
      <c r="V612" s="73" t="str">
        <f t="array" ref="V612">INDIRECT("Update"&amp;Projections!$AH$17&amp;"!M"&amp;ROW(B593))</f>
        <v/>
      </c>
      <c r="W612" s="73" t="str">
        <f t="array" ref="W612">INDIRECT("Update"&amp;Projections!$AH$17&amp;"!L"&amp;ROW(B593))</f>
        <v/>
      </c>
      <c r="X612" s="73" t="str">
        <f t="array" ref="X612">INDIRECT("Update"&amp;Projections!$AH$17&amp;"!N"&amp;ROW(B593))</f>
        <v/>
      </c>
      <c r="Y612" s="73" t="str">
        <f t="array" ref="Y612">INDIRECT("Update"&amp;Projections!$AH$17&amp;"!O"&amp;ROW(B593))</f>
        <v/>
      </c>
      <c r="Z612" s="73" t="str">
        <f t="array" ref="Z612">INDIRECT("Update"&amp;Projections!$AH$17&amp;"!P"&amp;ROW(B593))</f>
        <v/>
      </c>
      <c r="AA612" s="73" t="str">
        <f t="array" ref="AA612">INDIRECT("Update"&amp;Projections!$AH$17&amp;"!Q"&amp;ROW(B593))</f>
        <v/>
      </c>
      <c r="AB612" s="107" t="str">
        <f t="array" ref="AB612">INDIRECT("Update"&amp;Projections!$AH$17&amp;"!I"&amp;ROW(B593))</f>
        <v/>
      </c>
      <c r="AC612" s="107" t="str">
        <f t="array" ref="AC612">INDIRECT("Update"&amp;Projections!$AH$17&amp;"!K"&amp;ROW(B593))</f>
        <v/>
      </c>
      <c r="AD612" s="73" t="str">
        <f t="array" ref="AD612">INDIRECT("Update"&amp;Projections!$AH$17&amp;"!R"&amp;ROW(B593))</f>
        <v/>
      </c>
      <c r="AE612" s="73">
        <f t="shared" si="16"/>
        <v>-3.155358621</v>
      </c>
      <c r="AF612" s="73">
        <f t="shared" si="17"/>
        <v>-1.740686581</v>
      </c>
      <c r="AG612" s="73">
        <f t="shared" si="18"/>
        <v>-2.380599106</v>
      </c>
      <c r="AH612" s="73">
        <f t="shared" si="19"/>
        <v>-1.79320266</v>
      </c>
      <c r="AI612" s="73">
        <f t="shared" si="20"/>
        <v>-3.240190514</v>
      </c>
      <c r="AJ612" s="73">
        <f t="shared" si="21"/>
        <v>-1.329092151</v>
      </c>
      <c r="AK612" s="73">
        <f t="shared" si="22"/>
        <v>0</v>
      </c>
      <c r="AL612" s="73">
        <f t="shared" si="23"/>
        <v>0</v>
      </c>
      <c r="AM612" s="73">
        <f t="shared" si="24"/>
        <v>0.433638093</v>
      </c>
      <c r="AN612" s="120">
        <f t="shared" si="25"/>
        <v>-3.240190514</v>
      </c>
      <c r="AO612" s="120">
        <f t="shared" si="26"/>
        <v>-6.395549135</v>
      </c>
      <c r="AP612" s="120" t="str">
        <f t="array" ref="AP612">INDIRECT("Update"&amp;Projections!$AH$17&amp;"!S"&amp;ROW(B593))</f>
        <v/>
      </c>
      <c r="AQ612" s="120" t="str">
        <f t="array" ref="AQ612">INDIRECT("Update"&amp;Projections!$AH$17&amp;"!T"&amp;ROW(B593))</f>
        <v/>
      </c>
      <c r="AR612" s="100">
        <f t="shared" si="27"/>
        <v>-9.965301026</v>
      </c>
    </row>
    <row r="613">
      <c r="A613" t="str">
        <f t="shared" si="3"/>
        <v/>
      </c>
      <c r="B613" s="42">
        <f t="shared" si="4"/>
        <v>-3.155358621</v>
      </c>
      <c r="C613" s="43">
        <f t="shared" si="5"/>
        <v>-1.740686581</v>
      </c>
      <c r="D613" s="42">
        <f t="shared" si="6"/>
        <v>-2.380599106</v>
      </c>
      <c r="E613" s="42">
        <f t="shared" si="7"/>
        <v>-1.79320266</v>
      </c>
      <c r="F613" s="42">
        <f t="shared" si="8"/>
        <v>-3.240190514</v>
      </c>
      <c r="G613" s="42">
        <f t="shared" si="9"/>
        <v>-1.329092151</v>
      </c>
      <c r="H613" s="42">
        <f t="shared" si="10"/>
        <v>0</v>
      </c>
      <c r="I613" s="42" t="str">
        <f>UpdateHashtag!S611</f>
        <v/>
      </c>
      <c r="J613" s="47">
        <f t="shared" si="11"/>
        <v>0</v>
      </c>
      <c r="K613" s="48" t="str">
        <f>UpdateHashtag!T611</f>
        <v/>
      </c>
      <c r="L613" s="42">
        <f t="shared" si="12"/>
        <v>-1.734552372</v>
      </c>
      <c r="N613" s="100">
        <f t="shared" si="13"/>
        <v>401</v>
      </c>
      <c r="O613" s="94" t="str">
        <f t="array" ref="O613">INDIRECT("Update"&amp;Projections!$AH$17&amp;"!B"&amp;ROW(B594))</f>
        <v/>
      </c>
      <c r="P613" s="414" t="str">
        <f t="array" ref="P613">INDIRECT("Update"&amp;Projections!$AH$17&amp;"!C"&amp;ROW(B594))</f>
        <v/>
      </c>
      <c r="Q613" s="94" t="str">
        <f>UpdateHashtag!F643</f>
        <v/>
      </c>
      <c r="R613" s="105" t="str">
        <f t="array" ref="R613">INDIRECT("Update"&amp;Projections!$AH$17&amp;"!D"&amp;ROW(B594))</f>
        <v/>
      </c>
      <c r="S613" s="73">
        <f t="shared" si="14"/>
        <v>-9.965301026</v>
      </c>
      <c r="T613" s="73">
        <f>SUM(AE613:AM613)-IFERROR(IFS(Projections!$I$17,AN613,Projections!$J$17,AO613),"")</f>
        <v>-9.965301026</v>
      </c>
      <c r="U613" s="73">
        <f t="shared" si="15"/>
        <v>0</v>
      </c>
      <c r="V613" s="73" t="str">
        <f t="array" ref="V613">INDIRECT("Update"&amp;Projections!$AH$17&amp;"!M"&amp;ROW(B594))</f>
        <v/>
      </c>
      <c r="W613" s="73" t="str">
        <f t="array" ref="W613">INDIRECT("Update"&amp;Projections!$AH$17&amp;"!L"&amp;ROW(B594))</f>
        <v/>
      </c>
      <c r="X613" s="73" t="str">
        <f t="array" ref="X613">INDIRECT("Update"&amp;Projections!$AH$17&amp;"!N"&amp;ROW(B594))</f>
        <v/>
      </c>
      <c r="Y613" s="73" t="str">
        <f t="array" ref="Y613">INDIRECT("Update"&amp;Projections!$AH$17&amp;"!O"&amp;ROW(B594))</f>
        <v/>
      </c>
      <c r="Z613" s="73" t="str">
        <f t="array" ref="Z613">INDIRECT("Update"&amp;Projections!$AH$17&amp;"!P"&amp;ROW(B594))</f>
        <v/>
      </c>
      <c r="AA613" s="73" t="str">
        <f t="array" ref="AA613">INDIRECT("Update"&amp;Projections!$AH$17&amp;"!Q"&amp;ROW(B594))</f>
        <v/>
      </c>
      <c r="AB613" s="107" t="str">
        <f t="array" ref="AB613">INDIRECT("Update"&amp;Projections!$AH$17&amp;"!I"&amp;ROW(B594))</f>
        <v/>
      </c>
      <c r="AC613" s="107" t="str">
        <f t="array" ref="AC613">INDIRECT("Update"&amp;Projections!$AH$17&amp;"!K"&amp;ROW(B594))</f>
        <v/>
      </c>
      <c r="AD613" s="73" t="str">
        <f t="array" ref="AD613">INDIRECT("Update"&amp;Projections!$AH$17&amp;"!R"&amp;ROW(B594))</f>
        <v/>
      </c>
      <c r="AE613" s="73">
        <f t="shared" si="16"/>
        <v>-3.155358621</v>
      </c>
      <c r="AF613" s="73">
        <f t="shared" si="17"/>
        <v>-1.740686581</v>
      </c>
      <c r="AG613" s="73">
        <f t="shared" si="18"/>
        <v>-2.380599106</v>
      </c>
      <c r="AH613" s="73">
        <f t="shared" si="19"/>
        <v>-1.79320266</v>
      </c>
      <c r="AI613" s="73">
        <f t="shared" si="20"/>
        <v>-3.240190514</v>
      </c>
      <c r="AJ613" s="73">
        <f t="shared" si="21"/>
        <v>-1.329092151</v>
      </c>
      <c r="AK613" s="73">
        <f t="shared" si="22"/>
        <v>0</v>
      </c>
      <c r="AL613" s="73">
        <f t="shared" si="23"/>
        <v>0</v>
      </c>
      <c r="AM613" s="73">
        <f t="shared" si="24"/>
        <v>0.433638093</v>
      </c>
      <c r="AN613" s="120">
        <f t="shared" si="25"/>
        <v>-3.240190514</v>
      </c>
      <c r="AO613" s="120">
        <f t="shared" si="26"/>
        <v>-6.395549135</v>
      </c>
      <c r="AP613" s="120" t="str">
        <f t="array" ref="AP613">INDIRECT("Update"&amp;Projections!$AH$17&amp;"!S"&amp;ROW(B594))</f>
        <v/>
      </c>
      <c r="AQ613" s="120" t="str">
        <f t="array" ref="AQ613">INDIRECT("Update"&amp;Projections!$AH$17&amp;"!T"&amp;ROW(B594))</f>
        <v/>
      </c>
      <c r="AR613" s="100">
        <f t="shared" si="27"/>
        <v>-9.965301026</v>
      </c>
    </row>
    <row r="614">
      <c r="A614" t="str">
        <f t="shared" si="3"/>
        <v/>
      </c>
      <c r="B614" s="42">
        <f t="shared" si="4"/>
        <v>-3.155358621</v>
      </c>
      <c r="C614" s="43">
        <f t="shared" si="5"/>
        <v>-1.740686581</v>
      </c>
      <c r="D614" s="42">
        <f t="shared" si="6"/>
        <v>-2.380599106</v>
      </c>
      <c r="E614" s="42">
        <f t="shared" si="7"/>
        <v>-1.79320266</v>
      </c>
      <c r="F614" s="42">
        <f t="shared" si="8"/>
        <v>-3.240190514</v>
      </c>
      <c r="G614" s="42">
        <f t="shared" si="9"/>
        <v>-1.329092151</v>
      </c>
      <c r="H614" s="42">
        <f t="shared" si="10"/>
        <v>0</v>
      </c>
      <c r="I614" s="42" t="str">
        <f>UpdateHashtag!S612</f>
        <v/>
      </c>
      <c r="J614" s="47">
        <f t="shared" si="11"/>
        <v>0</v>
      </c>
      <c r="K614" s="48" t="str">
        <f>UpdateHashtag!T612</f>
        <v/>
      </c>
      <c r="L614" s="42">
        <f t="shared" si="12"/>
        <v>-1.734552372</v>
      </c>
      <c r="N614" s="100">
        <f t="shared" si="13"/>
        <v>401</v>
      </c>
      <c r="O614" s="94" t="str">
        <f t="array" ref="O614">INDIRECT("Update"&amp;Projections!$AH$17&amp;"!B"&amp;ROW(B595))</f>
        <v/>
      </c>
      <c r="P614" s="414" t="str">
        <f t="array" ref="P614">INDIRECT("Update"&amp;Projections!$AH$17&amp;"!C"&amp;ROW(B595))</f>
        <v/>
      </c>
      <c r="Q614" s="94" t="str">
        <f>UpdateHashtag!F644</f>
        <v/>
      </c>
      <c r="R614" s="105" t="str">
        <f t="array" ref="R614">INDIRECT("Update"&amp;Projections!$AH$17&amp;"!D"&amp;ROW(B595))</f>
        <v/>
      </c>
      <c r="S614" s="73">
        <f t="shared" si="14"/>
        <v>-9.965301026</v>
      </c>
      <c r="T614" s="73">
        <f>SUM(AE614:AM614)-IFERROR(IFS(Projections!$I$17,AN614,Projections!$J$17,AO614),"")</f>
        <v>-9.965301026</v>
      </c>
      <c r="U614" s="73">
        <f t="shared" si="15"/>
        <v>0</v>
      </c>
      <c r="V614" s="73" t="str">
        <f t="array" ref="V614">INDIRECT("Update"&amp;Projections!$AH$17&amp;"!M"&amp;ROW(B595))</f>
        <v/>
      </c>
      <c r="W614" s="73" t="str">
        <f t="array" ref="W614">INDIRECT("Update"&amp;Projections!$AH$17&amp;"!L"&amp;ROW(B595))</f>
        <v/>
      </c>
      <c r="X614" s="73" t="str">
        <f t="array" ref="X614">INDIRECT("Update"&amp;Projections!$AH$17&amp;"!N"&amp;ROW(B595))</f>
        <v/>
      </c>
      <c r="Y614" s="73" t="str">
        <f t="array" ref="Y614">INDIRECT("Update"&amp;Projections!$AH$17&amp;"!O"&amp;ROW(B595))</f>
        <v/>
      </c>
      <c r="Z614" s="73" t="str">
        <f t="array" ref="Z614">INDIRECT("Update"&amp;Projections!$AH$17&amp;"!P"&amp;ROW(B595))</f>
        <v/>
      </c>
      <c r="AA614" s="73" t="str">
        <f t="array" ref="AA614">INDIRECT("Update"&amp;Projections!$AH$17&amp;"!Q"&amp;ROW(B595))</f>
        <v/>
      </c>
      <c r="AB614" s="107" t="str">
        <f t="array" ref="AB614">INDIRECT("Update"&amp;Projections!$AH$17&amp;"!I"&amp;ROW(B595))</f>
        <v/>
      </c>
      <c r="AC614" s="107" t="str">
        <f t="array" ref="AC614">INDIRECT("Update"&amp;Projections!$AH$17&amp;"!K"&amp;ROW(B595))</f>
        <v/>
      </c>
      <c r="AD614" s="73" t="str">
        <f t="array" ref="AD614">INDIRECT("Update"&amp;Projections!$AH$17&amp;"!R"&amp;ROW(B595))</f>
        <v/>
      </c>
      <c r="AE614" s="73">
        <f t="shared" si="16"/>
        <v>-3.155358621</v>
      </c>
      <c r="AF614" s="73">
        <f t="shared" si="17"/>
        <v>-1.740686581</v>
      </c>
      <c r="AG614" s="73">
        <f t="shared" si="18"/>
        <v>-2.380599106</v>
      </c>
      <c r="AH614" s="73">
        <f t="shared" si="19"/>
        <v>-1.79320266</v>
      </c>
      <c r="AI614" s="73">
        <f t="shared" si="20"/>
        <v>-3.240190514</v>
      </c>
      <c r="AJ614" s="73">
        <f t="shared" si="21"/>
        <v>-1.329092151</v>
      </c>
      <c r="AK614" s="73">
        <f t="shared" si="22"/>
        <v>0</v>
      </c>
      <c r="AL614" s="73">
        <f t="shared" si="23"/>
        <v>0</v>
      </c>
      <c r="AM614" s="73">
        <f t="shared" si="24"/>
        <v>0.433638093</v>
      </c>
      <c r="AN614" s="120">
        <f t="shared" si="25"/>
        <v>-3.240190514</v>
      </c>
      <c r="AO614" s="120">
        <f t="shared" si="26"/>
        <v>-6.395549135</v>
      </c>
      <c r="AP614" s="120" t="str">
        <f t="array" ref="AP614">INDIRECT("Update"&amp;Projections!$AH$17&amp;"!S"&amp;ROW(B595))</f>
        <v/>
      </c>
      <c r="AQ614" s="120" t="str">
        <f t="array" ref="AQ614">INDIRECT("Update"&amp;Projections!$AH$17&amp;"!T"&amp;ROW(B595))</f>
        <v/>
      </c>
      <c r="AR614" s="100">
        <f t="shared" si="27"/>
        <v>-9.965301026</v>
      </c>
    </row>
    <row r="615">
      <c r="A615" t="str">
        <f t="shared" si="3"/>
        <v/>
      </c>
      <c r="B615" s="42">
        <f t="shared" si="4"/>
        <v>-3.155358621</v>
      </c>
      <c r="C615" s="43">
        <f t="shared" si="5"/>
        <v>-1.740686581</v>
      </c>
      <c r="D615" s="42">
        <f t="shared" si="6"/>
        <v>-2.380599106</v>
      </c>
      <c r="E615" s="42">
        <f t="shared" si="7"/>
        <v>-1.79320266</v>
      </c>
      <c r="F615" s="42">
        <f t="shared" si="8"/>
        <v>-3.240190514</v>
      </c>
      <c r="G615" s="42">
        <f t="shared" si="9"/>
        <v>-1.329092151</v>
      </c>
      <c r="H615" s="42">
        <f t="shared" si="10"/>
        <v>0</v>
      </c>
      <c r="I615" s="42" t="str">
        <f>UpdateHashtag!S613</f>
        <v/>
      </c>
      <c r="J615" s="47">
        <f t="shared" si="11"/>
        <v>0</v>
      </c>
      <c r="K615" s="48" t="str">
        <f>UpdateHashtag!T613</f>
        <v/>
      </c>
      <c r="L615" s="42">
        <f t="shared" si="12"/>
        <v>-1.734552372</v>
      </c>
      <c r="N615" s="100">
        <f t="shared" si="13"/>
        <v>401</v>
      </c>
      <c r="O615" s="94" t="str">
        <f t="array" ref="O615">INDIRECT("Update"&amp;Projections!$AH$17&amp;"!B"&amp;ROW(B596))</f>
        <v/>
      </c>
      <c r="P615" s="414" t="str">
        <f t="array" ref="P615">INDIRECT("Update"&amp;Projections!$AH$17&amp;"!C"&amp;ROW(B596))</f>
        <v/>
      </c>
      <c r="Q615" s="94" t="str">
        <f>UpdateHashtag!F645</f>
        <v/>
      </c>
      <c r="R615" s="105" t="str">
        <f t="array" ref="R615">INDIRECT("Update"&amp;Projections!$AH$17&amp;"!D"&amp;ROW(B596))</f>
        <v/>
      </c>
      <c r="S615" s="73">
        <f t="shared" si="14"/>
        <v>-9.965301026</v>
      </c>
      <c r="T615" s="73">
        <f>SUM(AE615:AM615)-IFERROR(IFS(Projections!$I$17,AN615,Projections!$J$17,AO615),"")</f>
        <v>-9.965301026</v>
      </c>
      <c r="U615" s="73">
        <f t="shared" si="15"/>
        <v>0</v>
      </c>
      <c r="V615" s="73" t="str">
        <f t="array" ref="V615">INDIRECT("Update"&amp;Projections!$AH$17&amp;"!M"&amp;ROW(B596))</f>
        <v/>
      </c>
      <c r="W615" s="73" t="str">
        <f t="array" ref="W615">INDIRECT("Update"&amp;Projections!$AH$17&amp;"!L"&amp;ROW(B596))</f>
        <v/>
      </c>
      <c r="X615" s="73" t="str">
        <f t="array" ref="X615">INDIRECT("Update"&amp;Projections!$AH$17&amp;"!N"&amp;ROW(B596))</f>
        <v/>
      </c>
      <c r="Y615" s="73" t="str">
        <f t="array" ref="Y615">INDIRECT("Update"&amp;Projections!$AH$17&amp;"!O"&amp;ROW(B596))</f>
        <v/>
      </c>
      <c r="Z615" s="73" t="str">
        <f t="array" ref="Z615">INDIRECT("Update"&amp;Projections!$AH$17&amp;"!P"&amp;ROW(B596))</f>
        <v/>
      </c>
      <c r="AA615" s="73" t="str">
        <f t="array" ref="AA615">INDIRECT("Update"&amp;Projections!$AH$17&amp;"!Q"&amp;ROW(B596))</f>
        <v/>
      </c>
      <c r="AB615" s="107" t="str">
        <f t="array" ref="AB615">INDIRECT("Update"&amp;Projections!$AH$17&amp;"!I"&amp;ROW(B596))</f>
        <v/>
      </c>
      <c r="AC615" s="107" t="str">
        <f t="array" ref="AC615">INDIRECT("Update"&amp;Projections!$AH$17&amp;"!K"&amp;ROW(B596))</f>
        <v/>
      </c>
      <c r="AD615" s="73" t="str">
        <f t="array" ref="AD615">INDIRECT("Update"&amp;Projections!$AH$17&amp;"!R"&amp;ROW(B596))</f>
        <v/>
      </c>
      <c r="AE615" s="73">
        <f t="shared" si="16"/>
        <v>-3.155358621</v>
      </c>
      <c r="AF615" s="73">
        <f t="shared" si="17"/>
        <v>-1.740686581</v>
      </c>
      <c r="AG615" s="73">
        <f t="shared" si="18"/>
        <v>-2.380599106</v>
      </c>
      <c r="AH615" s="73">
        <f t="shared" si="19"/>
        <v>-1.79320266</v>
      </c>
      <c r="AI615" s="73">
        <f t="shared" si="20"/>
        <v>-3.240190514</v>
      </c>
      <c r="AJ615" s="73">
        <f t="shared" si="21"/>
        <v>-1.329092151</v>
      </c>
      <c r="AK615" s="73">
        <f t="shared" si="22"/>
        <v>0</v>
      </c>
      <c r="AL615" s="73">
        <f t="shared" si="23"/>
        <v>0</v>
      </c>
      <c r="AM615" s="73">
        <f t="shared" si="24"/>
        <v>0.433638093</v>
      </c>
      <c r="AN615" s="120">
        <f t="shared" si="25"/>
        <v>-3.240190514</v>
      </c>
      <c r="AO615" s="120">
        <f t="shared" si="26"/>
        <v>-6.395549135</v>
      </c>
      <c r="AP615" s="120" t="str">
        <f t="array" ref="AP615">INDIRECT("Update"&amp;Projections!$AH$17&amp;"!S"&amp;ROW(B596))</f>
        <v/>
      </c>
      <c r="AQ615" s="120" t="str">
        <f t="array" ref="AQ615">INDIRECT("Update"&amp;Projections!$AH$17&amp;"!T"&amp;ROW(B596))</f>
        <v/>
      </c>
      <c r="AR615" s="100">
        <f t="shared" si="27"/>
        <v>-9.965301026</v>
      </c>
    </row>
    <row r="616">
      <c r="A616" t="str">
        <f t="shared" si="3"/>
        <v/>
      </c>
      <c r="B616" s="42">
        <f t="shared" si="4"/>
        <v>-3.155358621</v>
      </c>
      <c r="C616" s="43">
        <f t="shared" si="5"/>
        <v>-1.740686581</v>
      </c>
      <c r="D616" s="42">
        <f t="shared" si="6"/>
        <v>-2.380599106</v>
      </c>
      <c r="E616" s="42">
        <f t="shared" si="7"/>
        <v>-1.79320266</v>
      </c>
      <c r="F616" s="42">
        <f t="shared" si="8"/>
        <v>-3.240190514</v>
      </c>
      <c r="G616" s="42">
        <f t="shared" si="9"/>
        <v>-1.329092151</v>
      </c>
      <c r="H616" s="42">
        <f t="shared" si="10"/>
        <v>0</v>
      </c>
      <c r="I616" s="42" t="str">
        <f>UpdateHashtag!S614</f>
        <v/>
      </c>
      <c r="J616" s="47">
        <f t="shared" si="11"/>
        <v>0</v>
      </c>
      <c r="K616" s="48" t="str">
        <f>UpdateHashtag!T614</f>
        <v/>
      </c>
      <c r="L616" s="42">
        <f t="shared" si="12"/>
        <v>-1.734552372</v>
      </c>
      <c r="N616" s="100">
        <f t="shared" si="13"/>
        <v>401</v>
      </c>
      <c r="O616" s="94" t="str">
        <f t="array" ref="O616">INDIRECT("Update"&amp;Projections!$AH$17&amp;"!B"&amp;ROW(B597))</f>
        <v/>
      </c>
      <c r="P616" s="414" t="str">
        <f t="array" ref="P616">INDIRECT("Update"&amp;Projections!$AH$17&amp;"!C"&amp;ROW(B597))</f>
        <v/>
      </c>
      <c r="Q616" s="94" t="str">
        <f>UpdateHashtag!F646</f>
        <v/>
      </c>
      <c r="R616" s="105" t="str">
        <f t="array" ref="R616">INDIRECT("Update"&amp;Projections!$AH$17&amp;"!D"&amp;ROW(B597))</f>
        <v/>
      </c>
      <c r="S616" s="73">
        <f t="shared" si="14"/>
        <v>-9.965301026</v>
      </c>
      <c r="T616" s="73">
        <f>SUM(AE616:AM616)-IFERROR(IFS(Projections!$I$17,AN616,Projections!$J$17,AO616),"")</f>
        <v>-9.965301026</v>
      </c>
      <c r="U616" s="73">
        <f t="shared" si="15"/>
        <v>0</v>
      </c>
      <c r="V616" s="73" t="str">
        <f t="array" ref="V616">INDIRECT("Update"&amp;Projections!$AH$17&amp;"!M"&amp;ROW(B597))</f>
        <v/>
      </c>
      <c r="W616" s="73" t="str">
        <f t="array" ref="W616">INDIRECT("Update"&amp;Projections!$AH$17&amp;"!L"&amp;ROW(B597))</f>
        <v/>
      </c>
      <c r="X616" s="73" t="str">
        <f t="array" ref="X616">INDIRECT("Update"&amp;Projections!$AH$17&amp;"!N"&amp;ROW(B597))</f>
        <v/>
      </c>
      <c r="Y616" s="73" t="str">
        <f t="array" ref="Y616">INDIRECT("Update"&amp;Projections!$AH$17&amp;"!O"&amp;ROW(B597))</f>
        <v/>
      </c>
      <c r="Z616" s="73" t="str">
        <f t="array" ref="Z616">INDIRECT("Update"&amp;Projections!$AH$17&amp;"!P"&amp;ROW(B597))</f>
        <v/>
      </c>
      <c r="AA616" s="73" t="str">
        <f t="array" ref="AA616">INDIRECT("Update"&amp;Projections!$AH$17&amp;"!Q"&amp;ROW(B597))</f>
        <v/>
      </c>
      <c r="AB616" s="107" t="str">
        <f t="array" ref="AB616">INDIRECT("Update"&amp;Projections!$AH$17&amp;"!I"&amp;ROW(B597))</f>
        <v/>
      </c>
      <c r="AC616" s="107" t="str">
        <f t="array" ref="AC616">INDIRECT("Update"&amp;Projections!$AH$17&amp;"!K"&amp;ROW(B597))</f>
        <v/>
      </c>
      <c r="AD616" s="73" t="str">
        <f t="array" ref="AD616">INDIRECT("Update"&amp;Projections!$AH$17&amp;"!R"&amp;ROW(B597))</f>
        <v/>
      </c>
      <c r="AE616" s="73">
        <f t="shared" si="16"/>
        <v>-3.155358621</v>
      </c>
      <c r="AF616" s="73">
        <f t="shared" si="17"/>
        <v>-1.740686581</v>
      </c>
      <c r="AG616" s="73">
        <f t="shared" si="18"/>
        <v>-2.380599106</v>
      </c>
      <c r="AH616" s="73">
        <f t="shared" si="19"/>
        <v>-1.79320266</v>
      </c>
      <c r="AI616" s="73">
        <f t="shared" si="20"/>
        <v>-3.240190514</v>
      </c>
      <c r="AJ616" s="73">
        <f t="shared" si="21"/>
        <v>-1.329092151</v>
      </c>
      <c r="AK616" s="73">
        <f t="shared" si="22"/>
        <v>0</v>
      </c>
      <c r="AL616" s="73">
        <f t="shared" si="23"/>
        <v>0</v>
      </c>
      <c r="AM616" s="73">
        <f t="shared" si="24"/>
        <v>0.433638093</v>
      </c>
      <c r="AN616" s="120">
        <f t="shared" si="25"/>
        <v>-3.240190514</v>
      </c>
      <c r="AO616" s="120">
        <f t="shared" si="26"/>
        <v>-6.395549135</v>
      </c>
      <c r="AP616" s="120" t="str">
        <f t="array" ref="AP616">INDIRECT("Update"&amp;Projections!$AH$17&amp;"!S"&amp;ROW(B597))</f>
        <v/>
      </c>
      <c r="AQ616" s="120" t="str">
        <f t="array" ref="AQ616">INDIRECT("Update"&amp;Projections!$AH$17&amp;"!T"&amp;ROW(B597))</f>
        <v/>
      </c>
      <c r="AR616" s="100">
        <f t="shared" si="27"/>
        <v>-9.965301026</v>
      </c>
    </row>
    <row r="617">
      <c r="A617" t="str">
        <f t="shared" si="3"/>
        <v/>
      </c>
      <c r="B617" s="42">
        <f t="shared" si="4"/>
        <v>-3.155358621</v>
      </c>
      <c r="C617" s="43">
        <f t="shared" si="5"/>
        <v>-1.740686581</v>
      </c>
      <c r="D617" s="42">
        <f t="shared" si="6"/>
        <v>-2.380599106</v>
      </c>
      <c r="E617" s="42">
        <f t="shared" si="7"/>
        <v>-1.79320266</v>
      </c>
      <c r="F617" s="42">
        <f t="shared" si="8"/>
        <v>-3.240190514</v>
      </c>
      <c r="G617" s="42">
        <f t="shared" si="9"/>
        <v>-1.329092151</v>
      </c>
      <c r="H617" s="42">
        <f t="shared" si="10"/>
        <v>0</v>
      </c>
      <c r="I617" s="42" t="str">
        <f>UpdateHashtag!S615</f>
        <v/>
      </c>
      <c r="J617" s="47">
        <f t="shared" si="11"/>
        <v>0</v>
      </c>
      <c r="K617" s="48" t="str">
        <f>UpdateHashtag!T615</f>
        <v/>
      </c>
      <c r="L617" s="42">
        <f t="shared" si="12"/>
        <v>-1.734552372</v>
      </c>
      <c r="N617" s="100">
        <f t="shared" si="13"/>
        <v>401</v>
      </c>
      <c r="O617" s="94" t="str">
        <f t="array" ref="O617">INDIRECT("Update"&amp;Projections!$AH$17&amp;"!B"&amp;ROW(B598))</f>
        <v/>
      </c>
      <c r="P617" s="414" t="str">
        <f t="array" ref="P617">INDIRECT("Update"&amp;Projections!$AH$17&amp;"!C"&amp;ROW(B598))</f>
        <v/>
      </c>
      <c r="Q617" s="94" t="str">
        <f>UpdateHashtag!F647</f>
        <v/>
      </c>
      <c r="R617" s="105" t="str">
        <f t="array" ref="R617">INDIRECT("Update"&amp;Projections!$AH$17&amp;"!D"&amp;ROW(B598))</f>
        <v/>
      </c>
      <c r="S617" s="73">
        <f t="shared" si="14"/>
        <v>-9.965301026</v>
      </c>
      <c r="T617" s="73">
        <f>SUM(AE617:AM617)-IFERROR(IFS(Projections!$I$17,AN617,Projections!$J$17,AO617),"")</f>
        <v>-9.965301026</v>
      </c>
      <c r="U617" s="73">
        <f t="shared" si="15"/>
        <v>0</v>
      </c>
      <c r="V617" s="73" t="str">
        <f t="array" ref="V617">INDIRECT("Update"&amp;Projections!$AH$17&amp;"!M"&amp;ROW(B598))</f>
        <v/>
      </c>
      <c r="W617" s="73" t="str">
        <f t="array" ref="W617">INDIRECT("Update"&amp;Projections!$AH$17&amp;"!L"&amp;ROW(B598))</f>
        <v/>
      </c>
      <c r="X617" s="73" t="str">
        <f t="array" ref="X617">INDIRECT("Update"&amp;Projections!$AH$17&amp;"!N"&amp;ROW(B598))</f>
        <v/>
      </c>
      <c r="Y617" s="73" t="str">
        <f t="array" ref="Y617">INDIRECT("Update"&amp;Projections!$AH$17&amp;"!O"&amp;ROW(B598))</f>
        <v/>
      </c>
      <c r="Z617" s="73" t="str">
        <f t="array" ref="Z617">INDIRECT("Update"&amp;Projections!$AH$17&amp;"!P"&amp;ROW(B598))</f>
        <v/>
      </c>
      <c r="AA617" s="73" t="str">
        <f t="array" ref="AA617">INDIRECT("Update"&amp;Projections!$AH$17&amp;"!Q"&amp;ROW(B598))</f>
        <v/>
      </c>
      <c r="AB617" s="107" t="str">
        <f t="array" ref="AB617">INDIRECT("Update"&amp;Projections!$AH$17&amp;"!I"&amp;ROW(B598))</f>
        <v/>
      </c>
      <c r="AC617" s="107" t="str">
        <f t="array" ref="AC617">INDIRECT("Update"&amp;Projections!$AH$17&amp;"!K"&amp;ROW(B598))</f>
        <v/>
      </c>
      <c r="AD617" s="73" t="str">
        <f t="array" ref="AD617">INDIRECT("Update"&amp;Projections!$AH$17&amp;"!R"&amp;ROW(B598))</f>
        <v/>
      </c>
      <c r="AE617" s="73">
        <f t="shared" si="16"/>
        <v>-3.155358621</v>
      </c>
      <c r="AF617" s="73">
        <f t="shared" si="17"/>
        <v>-1.740686581</v>
      </c>
      <c r="AG617" s="73">
        <f t="shared" si="18"/>
        <v>-2.380599106</v>
      </c>
      <c r="AH617" s="73">
        <f t="shared" si="19"/>
        <v>-1.79320266</v>
      </c>
      <c r="AI617" s="73">
        <f t="shared" si="20"/>
        <v>-3.240190514</v>
      </c>
      <c r="AJ617" s="73">
        <f t="shared" si="21"/>
        <v>-1.329092151</v>
      </c>
      <c r="AK617" s="73">
        <f t="shared" si="22"/>
        <v>0</v>
      </c>
      <c r="AL617" s="73">
        <f t="shared" si="23"/>
        <v>0</v>
      </c>
      <c r="AM617" s="73">
        <f t="shared" si="24"/>
        <v>0.433638093</v>
      </c>
      <c r="AN617" s="120">
        <f t="shared" si="25"/>
        <v>-3.240190514</v>
      </c>
      <c r="AO617" s="120">
        <f t="shared" si="26"/>
        <v>-6.395549135</v>
      </c>
      <c r="AP617" s="120" t="str">
        <f t="array" ref="AP617">INDIRECT("Update"&amp;Projections!$AH$17&amp;"!S"&amp;ROW(B598))</f>
        <v/>
      </c>
      <c r="AQ617" s="120" t="str">
        <f t="array" ref="AQ617">INDIRECT("Update"&amp;Projections!$AH$17&amp;"!T"&amp;ROW(B598))</f>
        <v/>
      </c>
      <c r="AR617" s="100">
        <f t="shared" si="27"/>
        <v>-9.965301026</v>
      </c>
    </row>
    <row r="618">
      <c r="A618" t="str">
        <f t="shared" si="3"/>
        <v/>
      </c>
      <c r="B618" s="42">
        <f t="shared" si="4"/>
        <v>-3.155358621</v>
      </c>
      <c r="C618" s="43">
        <f t="shared" si="5"/>
        <v>-1.740686581</v>
      </c>
      <c r="D618" s="42">
        <f t="shared" si="6"/>
        <v>-2.380599106</v>
      </c>
      <c r="E618" s="42">
        <f t="shared" si="7"/>
        <v>-1.79320266</v>
      </c>
      <c r="F618" s="42">
        <f t="shared" si="8"/>
        <v>-3.240190514</v>
      </c>
      <c r="G618" s="42">
        <f t="shared" si="9"/>
        <v>-1.329092151</v>
      </c>
      <c r="H618" s="42">
        <f t="shared" si="10"/>
        <v>0</v>
      </c>
      <c r="I618" s="42" t="str">
        <f>UpdateHashtag!S616</f>
        <v/>
      </c>
      <c r="J618" s="47">
        <f t="shared" si="11"/>
        <v>0</v>
      </c>
      <c r="K618" s="48" t="str">
        <f>UpdateHashtag!T616</f>
        <v/>
      </c>
      <c r="L618" s="42">
        <f t="shared" si="12"/>
        <v>-1.734552372</v>
      </c>
      <c r="N618" s="100">
        <f t="shared" si="13"/>
        <v>401</v>
      </c>
      <c r="O618" s="94" t="str">
        <f t="array" ref="O618">INDIRECT("Update"&amp;Projections!$AH$17&amp;"!B"&amp;ROW(B599))</f>
        <v/>
      </c>
      <c r="P618" s="414" t="str">
        <f t="array" ref="P618">INDIRECT("Update"&amp;Projections!$AH$17&amp;"!C"&amp;ROW(B599))</f>
        <v/>
      </c>
      <c r="Q618" s="94" t="str">
        <f>UpdateHashtag!F648</f>
        <v/>
      </c>
      <c r="R618" s="105" t="str">
        <f t="array" ref="R618">INDIRECT("Update"&amp;Projections!$AH$17&amp;"!D"&amp;ROW(B599))</f>
        <v/>
      </c>
      <c r="S618" s="73">
        <f t="shared" si="14"/>
        <v>-9.965301026</v>
      </c>
      <c r="T618" s="73">
        <f>SUM(AE618:AM618)-IFERROR(IFS(Projections!$I$17,AN618,Projections!$J$17,AO618),"")</f>
        <v>-9.965301026</v>
      </c>
      <c r="U618" s="73">
        <f t="shared" si="15"/>
        <v>0</v>
      </c>
      <c r="V618" s="73" t="str">
        <f t="array" ref="V618">INDIRECT("Update"&amp;Projections!$AH$17&amp;"!M"&amp;ROW(B599))</f>
        <v/>
      </c>
      <c r="W618" s="73" t="str">
        <f t="array" ref="W618">INDIRECT("Update"&amp;Projections!$AH$17&amp;"!L"&amp;ROW(B599))</f>
        <v/>
      </c>
      <c r="X618" s="73" t="str">
        <f t="array" ref="X618">INDIRECT("Update"&amp;Projections!$AH$17&amp;"!N"&amp;ROW(B599))</f>
        <v/>
      </c>
      <c r="Y618" s="73" t="str">
        <f t="array" ref="Y618">INDIRECT("Update"&amp;Projections!$AH$17&amp;"!O"&amp;ROW(B599))</f>
        <v/>
      </c>
      <c r="Z618" s="73" t="str">
        <f t="array" ref="Z618">INDIRECT("Update"&amp;Projections!$AH$17&amp;"!P"&amp;ROW(B599))</f>
        <v/>
      </c>
      <c r="AA618" s="73" t="str">
        <f t="array" ref="AA618">INDIRECT("Update"&amp;Projections!$AH$17&amp;"!Q"&amp;ROW(B599))</f>
        <v/>
      </c>
      <c r="AB618" s="107" t="str">
        <f t="array" ref="AB618">INDIRECT("Update"&amp;Projections!$AH$17&amp;"!I"&amp;ROW(B599))</f>
        <v/>
      </c>
      <c r="AC618" s="107" t="str">
        <f t="array" ref="AC618">INDIRECT("Update"&amp;Projections!$AH$17&amp;"!K"&amp;ROW(B599))</f>
        <v/>
      </c>
      <c r="AD618" s="73" t="str">
        <f t="array" ref="AD618">INDIRECT("Update"&amp;Projections!$AH$17&amp;"!R"&amp;ROW(B599))</f>
        <v/>
      </c>
      <c r="AE618" s="73">
        <f t="shared" si="16"/>
        <v>-3.155358621</v>
      </c>
      <c r="AF618" s="73">
        <f t="shared" si="17"/>
        <v>-1.740686581</v>
      </c>
      <c r="AG618" s="73">
        <f t="shared" si="18"/>
        <v>-2.380599106</v>
      </c>
      <c r="AH618" s="73">
        <f t="shared" si="19"/>
        <v>-1.79320266</v>
      </c>
      <c r="AI618" s="73">
        <f t="shared" si="20"/>
        <v>-3.240190514</v>
      </c>
      <c r="AJ618" s="73">
        <f t="shared" si="21"/>
        <v>-1.329092151</v>
      </c>
      <c r="AK618" s="73">
        <f t="shared" si="22"/>
        <v>0</v>
      </c>
      <c r="AL618" s="73">
        <f t="shared" si="23"/>
        <v>0</v>
      </c>
      <c r="AM618" s="73">
        <f t="shared" si="24"/>
        <v>0.433638093</v>
      </c>
      <c r="AN618" s="120">
        <f t="shared" si="25"/>
        <v>-3.240190514</v>
      </c>
      <c r="AO618" s="120">
        <f t="shared" si="26"/>
        <v>-6.395549135</v>
      </c>
      <c r="AP618" s="120" t="str">
        <f t="array" ref="AP618">INDIRECT("Update"&amp;Projections!$AH$17&amp;"!S"&amp;ROW(B599))</f>
        <v/>
      </c>
      <c r="AQ618" s="120" t="str">
        <f t="array" ref="AQ618">INDIRECT("Update"&amp;Projections!$AH$17&amp;"!T"&amp;ROW(B599))</f>
        <v/>
      </c>
      <c r="AR618" s="100">
        <f t="shared" si="27"/>
        <v>-9.965301026</v>
      </c>
    </row>
    <row r="619">
      <c r="A619" t="str">
        <f t="shared" si="3"/>
        <v/>
      </c>
      <c r="B619" s="42">
        <f t="shared" si="4"/>
        <v>-3.155358621</v>
      </c>
      <c r="C619" s="43">
        <f t="shared" si="5"/>
        <v>-1.740686581</v>
      </c>
      <c r="D619" s="42">
        <f t="shared" si="6"/>
        <v>-2.380599106</v>
      </c>
      <c r="E619" s="42">
        <f t="shared" si="7"/>
        <v>-1.79320266</v>
      </c>
      <c r="F619" s="42">
        <f t="shared" si="8"/>
        <v>-3.240190514</v>
      </c>
      <c r="G619" s="42">
        <f t="shared" si="9"/>
        <v>-1.329092151</v>
      </c>
      <c r="H619" s="42">
        <f t="shared" si="10"/>
        <v>0</v>
      </c>
      <c r="I619" s="42" t="str">
        <f>UpdateHashtag!S617</f>
        <v/>
      </c>
      <c r="J619" s="47">
        <f t="shared" si="11"/>
        <v>0</v>
      </c>
      <c r="K619" s="48" t="str">
        <f>UpdateHashtag!T617</f>
        <v/>
      </c>
      <c r="L619" s="42">
        <f t="shared" si="12"/>
        <v>-1.734552372</v>
      </c>
      <c r="N619" s="100">
        <f t="shared" si="13"/>
        <v>401</v>
      </c>
      <c r="O619" s="94" t="str">
        <f t="array" ref="O619">INDIRECT("Update"&amp;Projections!$AH$17&amp;"!B"&amp;ROW(B600))</f>
        <v/>
      </c>
      <c r="P619" s="414" t="str">
        <f t="array" ref="P619">INDIRECT("Update"&amp;Projections!$AH$17&amp;"!C"&amp;ROW(B600))</f>
        <v/>
      </c>
      <c r="Q619" s="94" t="str">
        <f>UpdateHashtag!F649</f>
        <v/>
      </c>
      <c r="R619" s="105" t="str">
        <f t="array" ref="R619">INDIRECT("Update"&amp;Projections!$AH$17&amp;"!D"&amp;ROW(B600))</f>
        <v/>
      </c>
      <c r="S619" s="73">
        <f t="shared" si="14"/>
        <v>-9.965301026</v>
      </c>
      <c r="T619" s="73">
        <f>SUM(AE619:AM619)-IFERROR(IFS(Projections!$I$17,AN619,Projections!$J$17,AO619),"")</f>
        <v>-9.965301026</v>
      </c>
      <c r="U619" s="73">
        <f t="shared" si="15"/>
        <v>0</v>
      </c>
      <c r="V619" s="73" t="str">
        <f t="array" ref="V619">INDIRECT("Update"&amp;Projections!$AH$17&amp;"!M"&amp;ROW(B600))</f>
        <v/>
      </c>
      <c r="W619" s="73" t="str">
        <f t="array" ref="W619">INDIRECT("Update"&amp;Projections!$AH$17&amp;"!L"&amp;ROW(B600))</f>
        <v/>
      </c>
      <c r="X619" s="73" t="str">
        <f t="array" ref="X619">INDIRECT("Update"&amp;Projections!$AH$17&amp;"!N"&amp;ROW(B600))</f>
        <v/>
      </c>
      <c r="Y619" s="73" t="str">
        <f t="array" ref="Y619">INDIRECT("Update"&amp;Projections!$AH$17&amp;"!O"&amp;ROW(B600))</f>
        <v/>
      </c>
      <c r="Z619" s="73" t="str">
        <f t="array" ref="Z619">INDIRECT("Update"&amp;Projections!$AH$17&amp;"!P"&amp;ROW(B600))</f>
        <v/>
      </c>
      <c r="AA619" s="73" t="str">
        <f t="array" ref="AA619">INDIRECT("Update"&amp;Projections!$AH$17&amp;"!Q"&amp;ROW(B600))</f>
        <v/>
      </c>
      <c r="AB619" s="107" t="str">
        <f t="array" ref="AB619">INDIRECT("Update"&amp;Projections!$AH$17&amp;"!I"&amp;ROW(B600))</f>
        <v/>
      </c>
      <c r="AC619" s="107" t="str">
        <f t="array" ref="AC619">INDIRECT("Update"&amp;Projections!$AH$17&amp;"!K"&amp;ROW(B600))</f>
        <v/>
      </c>
      <c r="AD619" s="73" t="str">
        <f t="array" ref="AD619">INDIRECT("Update"&amp;Projections!$AH$17&amp;"!R"&amp;ROW(B600))</f>
        <v/>
      </c>
      <c r="AE619" s="73">
        <f t="shared" si="16"/>
        <v>-3.155358621</v>
      </c>
      <c r="AF619" s="73">
        <f t="shared" si="17"/>
        <v>-1.740686581</v>
      </c>
      <c r="AG619" s="73">
        <f t="shared" si="18"/>
        <v>-2.380599106</v>
      </c>
      <c r="AH619" s="73">
        <f t="shared" si="19"/>
        <v>-1.79320266</v>
      </c>
      <c r="AI619" s="73">
        <f t="shared" si="20"/>
        <v>-3.240190514</v>
      </c>
      <c r="AJ619" s="73">
        <f t="shared" si="21"/>
        <v>-1.329092151</v>
      </c>
      <c r="AK619" s="73">
        <f t="shared" si="22"/>
        <v>0</v>
      </c>
      <c r="AL619" s="73">
        <f t="shared" si="23"/>
        <v>0</v>
      </c>
      <c r="AM619" s="73">
        <f t="shared" si="24"/>
        <v>0.433638093</v>
      </c>
      <c r="AN619" s="120">
        <f t="shared" si="25"/>
        <v>-3.240190514</v>
      </c>
      <c r="AO619" s="120">
        <f t="shared" si="26"/>
        <v>-6.395549135</v>
      </c>
      <c r="AP619" s="120" t="str">
        <f t="array" ref="AP619">INDIRECT("Update"&amp;Projections!$AH$17&amp;"!S"&amp;ROW(B600))</f>
        <v/>
      </c>
      <c r="AQ619" s="120" t="str">
        <f t="array" ref="AQ619">INDIRECT("Update"&amp;Projections!$AH$17&amp;"!T"&amp;ROW(B600))</f>
        <v/>
      </c>
      <c r="AR619" s="100">
        <f t="shared" si="27"/>
        <v>-9.965301026</v>
      </c>
    </row>
    <row r="620">
      <c r="A620" t="str">
        <f t="shared" si="3"/>
        <v/>
      </c>
      <c r="B620" s="42">
        <f t="shared" si="4"/>
        <v>-3.155358621</v>
      </c>
      <c r="C620" s="43">
        <f t="shared" si="5"/>
        <v>-1.740686581</v>
      </c>
      <c r="D620" s="42">
        <f t="shared" si="6"/>
        <v>-2.380599106</v>
      </c>
      <c r="E620" s="42">
        <f t="shared" si="7"/>
        <v>-1.79320266</v>
      </c>
      <c r="F620" s="42">
        <f t="shared" si="8"/>
        <v>-3.240190514</v>
      </c>
      <c r="G620" s="42">
        <f t="shared" si="9"/>
        <v>-1.329092151</v>
      </c>
      <c r="H620" s="42">
        <f t="shared" si="10"/>
        <v>0</v>
      </c>
      <c r="I620" s="42" t="str">
        <f>UpdateHashtag!S618</f>
        <v/>
      </c>
      <c r="J620" s="47">
        <f t="shared" si="11"/>
        <v>0</v>
      </c>
      <c r="K620" s="48" t="str">
        <f>UpdateHashtag!T618</f>
        <v/>
      </c>
      <c r="L620" s="42">
        <f t="shared" si="12"/>
        <v>-1.734552372</v>
      </c>
      <c r="N620" s="100">
        <f t="shared" si="13"/>
        <v>401</v>
      </c>
      <c r="O620" s="94" t="str">
        <f t="array" ref="O620">INDIRECT("Update"&amp;Projections!$AH$17&amp;"!B"&amp;ROW(B601))</f>
        <v/>
      </c>
      <c r="P620" s="414" t="str">
        <f t="array" ref="P620">INDIRECT("Update"&amp;Projections!$AH$17&amp;"!C"&amp;ROW(B601))</f>
        <v/>
      </c>
      <c r="Q620" s="94" t="str">
        <f>UpdateHashtag!F650</f>
        <v/>
      </c>
      <c r="R620" s="105" t="str">
        <f t="array" ref="R620">INDIRECT("Update"&amp;Projections!$AH$17&amp;"!D"&amp;ROW(B601))</f>
        <v/>
      </c>
      <c r="S620" s="73">
        <f t="shared" si="14"/>
        <v>-9.965301026</v>
      </c>
      <c r="T620" s="73">
        <f>SUM(AE620:AM620)-IFERROR(IFS(Projections!$I$17,AN620,Projections!$J$17,AO620),"")</f>
        <v>-9.965301026</v>
      </c>
      <c r="U620" s="73">
        <f t="shared" si="15"/>
        <v>0</v>
      </c>
      <c r="V620" s="73" t="str">
        <f t="array" ref="V620">INDIRECT("Update"&amp;Projections!$AH$17&amp;"!M"&amp;ROW(B601))</f>
        <v/>
      </c>
      <c r="W620" s="73" t="str">
        <f t="array" ref="W620">INDIRECT("Update"&amp;Projections!$AH$17&amp;"!L"&amp;ROW(B601))</f>
        <v/>
      </c>
      <c r="X620" s="73" t="str">
        <f t="array" ref="X620">INDIRECT("Update"&amp;Projections!$AH$17&amp;"!N"&amp;ROW(B601))</f>
        <v/>
      </c>
      <c r="Y620" s="73" t="str">
        <f t="array" ref="Y620">INDIRECT("Update"&amp;Projections!$AH$17&amp;"!O"&amp;ROW(B601))</f>
        <v/>
      </c>
      <c r="Z620" s="73" t="str">
        <f t="array" ref="Z620">INDIRECT("Update"&amp;Projections!$AH$17&amp;"!P"&amp;ROW(B601))</f>
        <v/>
      </c>
      <c r="AA620" s="73" t="str">
        <f t="array" ref="AA620">INDIRECT("Update"&amp;Projections!$AH$17&amp;"!Q"&amp;ROW(B601))</f>
        <v/>
      </c>
      <c r="AB620" s="107" t="str">
        <f t="array" ref="AB620">INDIRECT("Update"&amp;Projections!$AH$17&amp;"!I"&amp;ROW(B601))</f>
        <v/>
      </c>
      <c r="AC620" s="107" t="str">
        <f t="array" ref="AC620">INDIRECT("Update"&amp;Projections!$AH$17&amp;"!K"&amp;ROW(B601))</f>
        <v/>
      </c>
      <c r="AD620" s="73" t="str">
        <f t="array" ref="AD620">INDIRECT("Update"&amp;Projections!$AH$17&amp;"!R"&amp;ROW(B601))</f>
        <v/>
      </c>
      <c r="AE620" s="73">
        <f t="shared" si="16"/>
        <v>-3.155358621</v>
      </c>
      <c r="AF620" s="73">
        <f t="shared" si="17"/>
        <v>-1.740686581</v>
      </c>
      <c r="AG620" s="73">
        <f t="shared" si="18"/>
        <v>-2.380599106</v>
      </c>
      <c r="AH620" s="73">
        <f t="shared" si="19"/>
        <v>-1.79320266</v>
      </c>
      <c r="AI620" s="73">
        <f t="shared" si="20"/>
        <v>-3.240190514</v>
      </c>
      <c r="AJ620" s="73">
        <f t="shared" si="21"/>
        <v>-1.329092151</v>
      </c>
      <c r="AK620" s="73">
        <f t="shared" si="22"/>
        <v>0</v>
      </c>
      <c r="AL620" s="73">
        <f t="shared" si="23"/>
        <v>0</v>
      </c>
      <c r="AM620" s="73">
        <f t="shared" si="24"/>
        <v>0.433638093</v>
      </c>
      <c r="AN620" s="120">
        <f t="shared" si="25"/>
        <v>-3.240190514</v>
      </c>
      <c r="AO620" s="120">
        <f t="shared" si="26"/>
        <v>-6.395549135</v>
      </c>
      <c r="AP620" s="120" t="str">
        <f t="array" ref="AP620">INDIRECT("Update"&amp;Projections!$AH$17&amp;"!S"&amp;ROW(B601))</f>
        <v/>
      </c>
      <c r="AQ620" s="120" t="str">
        <f t="array" ref="AQ620">INDIRECT("Update"&amp;Projections!$AH$17&amp;"!T"&amp;ROW(B601))</f>
        <v/>
      </c>
      <c r="AR620" s="100">
        <f t="shared" si="27"/>
        <v>-9.965301026</v>
      </c>
    </row>
    <row r="621">
      <c r="A621" t="str">
        <f t="shared" si="3"/>
        <v/>
      </c>
      <c r="B621" s="42">
        <f t="shared" si="4"/>
        <v>-3.155358621</v>
      </c>
      <c r="C621" s="43">
        <f t="shared" si="5"/>
        <v>-1.740686581</v>
      </c>
      <c r="D621" s="42">
        <f t="shared" si="6"/>
        <v>-2.380599106</v>
      </c>
      <c r="E621" s="42">
        <f t="shared" si="7"/>
        <v>-1.79320266</v>
      </c>
      <c r="F621" s="42">
        <f t="shared" si="8"/>
        <v>-3.240190514</v>
      </c>
      <c r="G621" s="42">
        <f t="shared" si="9"/>
        <v>-1.329092151</v>
      </c>
      <c r="H621" s="42">
        <f t="shared" si="10"/>
        <v>0</v>
      </c>
      <c r="I621" s="42" t="str">
        <f>UpdateHashtag!S619</f>
        <v/>
      </c>
      <c r="J621" s="47">
        <f t="shared" si="11"/>
        <v>0</v>
      </c>
      <c r="K621" s="48" t="str">
        <f>UpdateHashtag!T619</f>
        <v/>
      </c>
      <c r="L621" s="42">
        <f t="shared" si="12"/>
        <v>-1.734552372</v>
      </c>
      <c r="N621" s="100">
        <f t="shared" si="13"/>
        <v>401</v>
      </c>
      <c r="O621" s="94" t="str">
        <f t="array" ref="O621">INDIRECT("Update"&amp;Projections!$AH$17&amp;"!B"&amp;ROW(B602))</f>
        <v/>
      </c>
      <c r="P621" s="414" t="str">
        <f t="array" ref="P621">INDIRECT("Update"&amp;Projections!$AH$17&amp;"!C"&amp;ROW(B602))</f>
        <v/>
      </c>
      <c r="Q621" s="94" t="str">
        <f>UpdateHashtag!F651</f>
        <v/>
      </c>
      <c r="R621" s="105" t="str">
        <f t="array" ref="R621">INDIRECT("Update"&amp;Projections!$AH$17&amp;"!D"&amp;ROW(B602))</f>
        <v/>
      </c>
      <c r="S621" s="73">
        <f t="shared" si="14"/>
        <v>-9.965301026</v>
      </c>
      <c r="T621" s="73">
        <f>SUM(AE621:AM621)-IFERROR(IFS(Projections!$I$17,AN621,Projections!$J$17,AO621),"")</f>
        <v>-9.965301026</v>
      </c>
      <c r="U621" s="73">
        <f t="shared" si="15"/>
        <v>0</v>
      </c>
      <c r="V621" s="73" t="str">
        <f t="array" ref="V621">INDIRECT("Update"&amp;Projections!$AH$17&amp;"!M"&amp;ROW(B602))</f>
        <v/>
      </c>
      <c r="W621" s="73" t="str">
        <f t="array" ref="W621">INDIRECT("Update"&amp;Projections!$AH$17&amp;"!L"&amp;ROW(B602))</f>
        <v/>
      </c>
      <c r="X621" s="73" t="str">
        <f t="array" ref="X621">INDIRECT("Update"&amp;Projections!$AH$17&amp;"!N"&amp;ROW(B602))</f>
        <v/>
      </c>
      <c r="Y621" s="73" t="str">
        <f t="array" ref="Y621">INDIRECT("Update"&amp;Projections!$AH$17&amp;"!O"&amp;ROW(B602))</f>
        <v/>
      </c>
      <c r="Z621" s="73" t="str">
        <f t="array" ref="Z621">INDIRECT("Update"&amp;Projections!$AH$17&amp;"!P"&amp;ROW(B602))</f>
        <v/>
      </c>
      <c r="AA621" s="73" t="str">
        <f t="array" ref="AA621">INDIRECT("Update"&amp;Projections!$AH$17&amp;"!Q"&amp;ROW(B602))</f>
        <v/>
      </c>
      <c r="AB621" s="107" t="str">
        <f t="array" ref="AB621">INDIRECT("Update"&amp;Projections!$AH$17&amp;"!I"&amp;ROW(B602))</f>
        <v/>
      </c>
      <c r="AC621" s="107" t="str">
        <f t="array" ref="AC621">INDIRECT("Update"&amp;Projections!$AH$17&amp;"!K"&amp;ROW(B602))</f>
        <v/>
      </c>
      <c r="AD621" s="73" t="str">
        <f t="array" ref="AD621">INDIRECT("Update"&amp;Projections!$AH$17&amp;"!R"&amp;ROW(B602))</f>
        <v/>
      </c>
      <c r="AE621" s="73">
        <f t="shared" si="16"/>
        <v>-3.155358621</v>
      </c>
      <c r="AF621" s="73">
        <f t="shared" si="17"/>
        <v>-1.740686581</v>
      </c>
      <c r="AG621" s="73">
        <f t="shared" si="18"/>
        <v>-2.380599106</v>
      </c>
      <c r="AH621" s="73">
        <f t="shared" si="19"/>
        <v>-1.79320266</v>
      </c>
      <c r="AI621" s="73">
        <f t="shared" si="20"/>
        <v>-3.240190514</v>
      </c>
      <c r="AJ621" s="73">
        <f t="shared" si="21"/>
        <v>-1.329092151</v>
      </c>
      <c r="AK621" s="73">
        <f t="shared" si="22"/>
        <v>0</v>
      </c>
      <c r="AL621" s="73">
        <f t="shared" si="23"/>
        <v>0</v>
      </c>
      <c r="AM621" s="73">
        <f t="shared" si="24"/>
        <v>0.433638093</v>
      </c>
      <c r="AN621" s="120">
        <f t="shared" si="25"/>
        <v>-3.240190514</v>
      </c>
      <c r="AO621" s="120">
        <f t="shared" si="26"/>
        <v>-6.395549135</v>
      </c>
      <c r="AP621" s="120" t="str">
        <f t="array" ref="AP621">INDIRECT("Update"&amp;Projections!$AH$17&amp;"!S"&amp;ROW(B602))</f>
        <v/>
      </c>
      <c r="AQ621" s="120" t="str">
        <f t="array" ref="AQ621">INDIRECT("Update"&amp;Projections!$AH$17&amp;"!T"&amp;ROW(B602))</f>
        <v/>
      </c>
      <c r="AR621" s="100">
        <f t="shared" si="27"/>
        <v>-9.965301026</v>
      </c>
    </row>
    <row r="622">
      <c r="A622" t="str">
        <f t="shared" si="3"/>
        <v/>
      </c>
      <c r="B622" s="42">
        <f t="shared" si="4"/>
        <v>-3.155358621</v>
      </c>
      <c r="C622" s="43">
        <f t="shared" si="5"/>
        <v>-1.740686581</v>
      </c>
      <c r="D622" s="42">
        <f t="shared" si="6"/>
        <v>-2.380599106</v>
      </c>
      <c r="E622" s="42">
        <f t="shared" si="7"/>
        <v>-1.79320266</v>
      </c>
      <c r="F622" s="42">
        <f t="shared" si="8"/>
        <v>-3.240190514</v>
      </c>
      <c r="G622" s="42">
        <f t="shared" si="9"/>
        <v>-1.329092151</v>
      </c>
      <c r="H622" s="42">
        <f t="shared" si="10"/>
        <v>0</v>
      </c>
      <c r="I622" s="42" t="str">
        <f>UpdateHashtag!S620</f>
        <v/>
      </c>
      <c r="J622" s="47">
        <f t="shared" si="11"/>
        <v>0</v>
      </c>
      <c r="K622" s="48" t="str">
        <f>UpdateHashtag!T620</f>
        <v/>
      </c>
      <c r="L622" s="42">
        <f t="shared" si="12"/>
        <v>-1.734552372</v>
      </c>
      <c r="N622" s="100">
        <f t="shared" si="13"/>
        <v>401</v>
      </c>
      <c r="O622" s="94" t="str">
        <f t="array" ref="O622">INDIRECT("Update"&amp;Projections!$AH$17&amp;"!B"&amp;ROW(B603))</f>
        <v/>
      </c>
      <c r="P622" s="414" t="str">
        <f t="array" ref="P622">INDIRECT("Update"&amp;Projections!$AH$17&amp;"!C"&amp;ROW(B603))</f>
        <v/>
      </c>
      <c r="Q622" s="94" t="str">
        <f>UpdateHashtag!F652</f>
        <v/>
      </c>
      <c r="R622" s="105" t="str">
        <f t="array" ref="R622">INDIRECT("Update"&amp;Projections!$AH$17&amp;"!D"&amp;ROW(B603))</f>
        <v/>
      </c>
      <c r="S622" s="73">
        <f t="shared" si="14"/>
        <v>-9.965301026</v>
      </c>
      <c r="T622" s="73">
        <f>SUM(AE622:AM622)-IFERROR(IFS(Projections!$I$17,AN622,Projections!$J$17,AO622),"")</f>
        <v>-9.965301026</v>
      </c>
      <c r="U622" s="73">
        <f t="shared" si="15"/>
        <v>0</v>
      </c>
      <c r="V622" s="73" t="str">
        <f t="array" ref="V622">INDIRECT("Update"&amp;Projections!$AH$17&amp;"!M"&amp;ROW(B603))</f>
        <v/>
      </c>
      <c r="W622" s="73" t="str">
        <f t="array" ref="W622">INDIRECT("Update"&amp;Projections!$AH$17&amp;"!L"&amp;ROW(B603))</f>
        <v/>
      </c>
      <c r="X622" s="73" t="str">
        <f t="array" ref="X622">INDIRECT("Update"&amp;Projections!$AH$17&amp;"!N"&amp;ROW(B603))</f>
        <v/>
      </c>
      <c r="Y622" s="73" t="str">
        <f t="array" ref="Y622">INDIRECT("Update"&amp;Projections!$AH$17&amp;"!O"&amp;ROW(B603))</f>
        <v/>
      </c>
      <c r="Z622" s="73" t="str">
        <f t="array" ref="Z622">INDIRECT("Update"&amp;Projections!$AH$17&amp;"!P"&amp;ROW(B603))</f>
        <v/>
      </c>
      <c r="AA622" s="73" t="str">
        <f t="array" ref="AA622">INDIRECT("Update"&amp;Projections!$AH$17&amp;"!Q"&amp;ROW(B603))</f>
        <v/>
      </c>
      <c r="AB622" s="107" t="str">
        <f t="array" ref="AB622">INDIRECT("Update"&amp;Projections!$AH$17&amp;"!I"&amp;ROW(B603))</f>
        <v/>
      </c>
      <c r="AC622" s="107" t="str">
        <f t="array" ref="AC622">INDIRECT("Update"&amp;Projections!$AH$17&amp;"!K"&amp;ROW(B603))</f>
        <v/>
      </c>
      <c r="AD622" s="73" t="str">
        <f t="array" ref="AD622">INDIRECT("Update"&amp;Projections!$AH$17&amp;"!R"&amp;ROW(B603))</f>
        <v/>
      </c>
      <c r="AE622" s="73">
        <f t="shared" si="16"/>
        <v>-3.155358621</v>
      </c>
      <c r="AF622" s="73">
        <f t="shared" si="17"/>
        <v>-1.740686581</v>
      </c>
      <c r="AG622" s="73">
        <f t="shared" si="18"/>
        <v>-2.380599106</v>
      </c>
      <c r="AH622" s="73">
        <f t="shared" si="19"/>
        <v>-1.79320266</v>
      </c>
      <c r="AI622" s="73">
        <f t="shared" si="20"/>
        <v>-3.240190514</v>
      </c>
      <c r="AJ622" s="73">
        <f t="shared" si="21"/>
        <v>-1.329092151</v>
      </c>
      <c r="AK622" s="73">
        <f t="shared" si="22"/>
        <v>0</v>
      </c>
      <c r="AL622" s="73">
        <f t="shared" si="23"/>
        <v>0</v>
      </c>
      <c r="AM622" s="73">
        <f t="shared" si="24"/>
        <v>0.433638093</v>
      </c>
      <c r="AN622" s="120">
        <f t="shared" si="25"/>
        <v>-3.240190514</v>
      </c>
      <c r="AO622" s="120">
        <f t="shared" si="26"/>
        <v>-6.395549135</v>
      </c>
      <c r="AP622" s="120" t="str">
        <f t="array" ref="AP622">INDIRECT("Update"&amp;Projections!$AH$17&amp;"!S"&amp;ROW(B603))</f>
        <v/>
      </c>
      <c r="AQ622" s="120" t="str">
        <f t="array" ref="AQ622">INDIRECT("Update"&amp;Projections!$AH$17&amp;"!T"&amp;ROW(B603))</f>
        <v/>
      </c>
      <c r="AR622" s="100">
        <f t="shared" si="27"/>
        <v>-9.965301026</v>
      </c>
    </row>
    <row r="623">
      <c r="A623" t="str">
        <f t="shared" si="3"/>
        <v/>
      </c>
      <c r="B623" s="42">
        <f t="shared" si="4"/>
        <v>-3.155358621</v>
      </c>
      <c r="C623" s="43">
        <f t="shared" si="5"/>
        <v>-1.740686581</v>
      </c>
      <c r="D623" s="42">
        <f t="shared" si="6"/>
        <v>-2.380599106</v>
      </c>
      <c r="E623" s="42">
        <f t="shared" si="7"/>
        <v>-1.79320266</v>
      </c>
      <c r="F623" s="42">
        <f t="shared" si="8"/>
        <v>-3.240190514</v>
      </c>
      <c r="G623" s="42">
        <f t="shared" si="9"/>
        <v>-1.329092151</v>
      </c>
      <c r="H623" s="42">
        <f t="shared" si="10"/>
        <v>0</v>
      </c>
      <c r="I623" s="42" t="str">
        <f>UpdateHashtag!S621</f>
        <v/>
      </c>
      <c r="J623" s="47">
        <f t="shared" si="11"/>
        <v>0</v>
      </c>
      <c r="K623" s="48" t="str">
        <f>UpdateHashtag!T621</f>
        <v/>
      </c>
      <c r="L623" s="42">
        <f t="shared" si="12"/>
        <v>-1.734552372</v>
      </c>
      <c r="N623" s="100">
        <f t="shared" si="13"/>
        <v>401</v>
      </c>
      <c r="O623" s="94" t="str">
        <f t="array" ref="O623">INDIRECT("Update"&amp;Projections!$AH$17&amp;"!B"&amp;ROW(B604))</f>
        <v/>
      </c>
      <c r="P623" s="414" t="str">
        <f t="array" ref="P623">INDIRECT("Update"&amp;Projections!$AH$17&amp;"!C"&amp;ROW(B604))</f>
        <v/>
      </c>
      <c r="Q623" s="94" t="str">
        <f>UpdateHashtag!F653</f>
        <v/>
      </c>
      <c r="R623" s="105" t="str">
        <f t="array" ref="R623">INDIRECT("Update"&amp;Projections!$AH$17&amp;"!D"&amp;ROW(B604))</f>
        <v/>
      </c>
      <c r="S623" s="73">
        <f t="shared" si="14"/>
        <v>-9.965301026</v>
      </c>
      <c r="T623" s="73">
        <f>SUM(AE623:AM623)-IFERROR(IFS(Projections!$I$17,AN623,Projections!$J$17,AO623),"")</f>
        <v>-9.965301026</v>
      </c>
      <c r="U623" s="73">
        <f t="shared" si="15"/>
        <v>0</v>
      </c>
      <c r="V623" s="73" t="str">
        <f t="array" ref="V623">INDIRECT("Update"&amp;Projections!$AH$17&amp;"!M"&amp;ROW(B604))</f>
        <v/>
      </c>
      <c r="W623" s="73" t="str">
        <f t="array" ref="W623">INDIRECT("Update"&amp;Projections!$AH$17&amp;"!L"&amp;ROW(B604))</f>
        <v/>
      </c>
      <c r="X623" s="73" t="str">
        <f t="array" ref="X623">INDIRECT("Update"&amp;Projections!$AH$17&amp;"!N"&amp;ROW(B604))</f>
        <v/>
      </c>
      <c r="Y623" s="73" t="str">
        <f t="array" ref="Y623">INDIRECT("Update"&amp;Projections!$AH$17&amp;"!O"&amp;ROW(B604))</f>
        <v/>
      </c>
      <c r="Z623" s="73" t="str">
        <f t="array" ref="Z623">INDIRECT("Update"&amp;Projections!$AH$17&amp;"!P"&amp;ROW(B604))</f>
        <v/>
      </c>
      <c r="AA623" s="73" t="str">
        <f t="array" ref="AA623">INDIRECT("Update"&amp;Projections!$AH$17&amp;"!Q"&amp;ROW(B604))</f>
        <v/>
      </c>
      <c r="AB623" s="107" t="str">
        <f t="array" ref="AB623">INDIRECT("Update"&amp;Projections!$AH$17&amp;"!I"&amp;ROW(B604))</f>
        <v/>
      </c>
      <c r="AC623" s="107" t="str">
        <f t="array" ref="AC623">INDIRECT("Update"&amp;Projections!$AH$17&amp;"!K"&amp;ROW(B604))</f>
        <v/>
      </c>
      <c r="AD623" s="73" t="str">
        <f t="array" ref="AD623">INDIRECT("Update"&amp;Projections!$AH$17&amp;"!R"&amp;ROW(B604))</f>
        <v/>
      </c>
      <c r="AE623" s="73">
        <f t="shared" si="16"/>
        <v>-3.155358621</v>
      </c>
      <c r="AF623" s="73">
        <f t="shared" si="17"/>
        <v>-1.740686581</v>
      </c>
      <c r="AG623" s="73">
        <f t="shared" si="18"/>
        <v>-2.380599106</v>
      </c>
      <c r="AH623" s="73">
        <f t="shared" si="19"/>
        <v>-1.79320266</v>
      </c>
      <c r="AI623" s="73">
        <f t="shared" si="20"/>
        <v>-3.240190514</v>
      </c>
      <c r="AJ623" s="73">
        <f t="shared" si="21"/>
        <v>-1.329092151</v>
      </c>
      <c r="AK623" s="73">
        <f t="shared" si="22"/>
        <v>0</v>
      </c>
      <c r="AL623" s="73">
        <f t="shared" si="23"/>
        <v>0</v>
      </c>
      <c r="AM623" s="73">
        <f t="shared" si="24"/>
        <v>0.433638093</v>
      </c>
      <c r="AN623" s="120">
        <f t="shared" si="25"/>
        <v>-3.240190514</v>
      </c>
      <c r="AO623" s="120">
        <f t="shared" si="26"/>
        <v>-6.395549135</v>
      </c>
      <c r="AP623" s="120" t="str">
        <f t="array" ref="AP623">INDIRECT("Update"&amp;Projections!$AH$17&amp;"!S"&amp;ROW(B604))</f>
        <v/>
      </c>
      <c r="AQ623" s="120" t="str">
        <f t="array" ref="AQ623">INDIRECT("Update"&amp;Projections!$AH$17&amp;"!T"&amp;ROW(B604))</f>
        <v/>
      </c>
      <c r="AR623" s="100">
        <f t="shared" si="27"/>
        <v>-9.965301026</v>
      </c>
    </row>
    <row r="624">
      <c r="A624" t="str">
        <f t="shared" si="3"/>
        <v/>
      </c>
      <c r="B624" s="42">
        <f t="shared" si="4"/>
        <v>-3.155358621</v>
      </c>
      <c r="C624" s="43">
        <f t="shared" si="5"/>
        <v>-1.740686581</v>
      </c>
      <c r="D624" s="42">
        <f t="shared" si="6"/>
        <v>-2.380599106</v>
      </c>
      <c r="E624" s="42">
        <f t="shared" si="7"/>
        <v>-1.79320266</v>
      </c>
      <c r="F624" s="42">
        <f t="shared" si="8"/>
        <v>-3.240190514</v>
      </c>
      <c r="G624" s="42">
        <f t="shared" si="9"/>
        <v>-1.329092151</v>
      </c>
      <c r="H624" s="42">
        <f t="shared" si="10"/>
        <v>0</v>
      </c>
      <c r="I624" s="42" t="str">
        <f>UpdateHashtag!S622</f>
        <v/>
      </c>
      <c r="J624" s="47">
        <f t="shared" si="11"/>
        <v>0</v>
      </c>
      <c r="K624" s="48" t="str">
        <f>UpdateHashtag!T622</f>
        <v/>
      </c>
      <c r="L624" s="42">
        <f t="shared" si="12"/>
        <v>-1.734552372</v>
      </c>
      <c r="N624" s="100">
        <f t="shared" si="13"/>
        <v>401</v>
      </c>
      <c r="O624" s="94" t="str">
        <f t="array" ref="O624">INDIRECT("Update"&amp;Projections!$AH$17&amp;"!B"&amp;ROW(B605))</f>
        <v/>
      </c>
      <c r="P624" s="414" t="str">
        <f t="array" ref="P624">INDIRECT("Update"&amp;Projections!$AH$17&amp;"!C"&amp;ROW(B605))</f>
        <v/>
      </c>
      <c r="Q624" s="94" t="str">
        <f>UpdateHashtag!F654</f>
        <v/>
      </c>
      <c r="R624" s="105" t="str">
        <f t="array" ref="R624">INDIRECT("Update"&amp;Projections!$AH$17&amp;"!D"&amp;ROW(B605))</f>
        <v/>
      </c>
      <c r="S624" s="73">
        <f t="shared" si="14"/>
        <v>-9.965301026</v>
      </c>
      <c r="T624" s="73">
        <f>SUM(AE624:AM624)-IFERROR(IFS(Projections!$I$17,AN624,Projections!$J$17,AO624),"")</f>
        <v>-9.965301026</v>
      </c>
      <c r="U624" s="73">
        <f t="shared" si="15"/>
        <v>0</v>
      </c>
      <c r="V624" s="73" t="str">
        <f t="array" ref="V624">INDIRECT("Update"&amp;Projections!$AH$17&amp;"!M"&amp;ROW(B605))</f>
        <v/>
      </c>
      <c r="W624" s="73" t="str">
        <f t="array" ref="W624">INDIRECT("Update"&amp;Projections!$AH$17&amp;"!L"&amp;ROW(B605))</f>
        <v/>
      </c>
      <c r="X624" s="73" t="str">
        <f t="array" ref="X624">INDIRECT("Update"&amp;Projections!$AH$17&amp;"!N"&amp;ROW(B605))</f>
        <v/>
      </c>
      <c r="Y624" s="73" t="str">
        <f t="array" ref="Y624">INDIRECT("Update"&amp;Projections!$AH$17&amp;"!O"&amp;ROW(B605))</f>
        <v/>
      </c>
      <c r="Z624" s="73" t="str">
        <f t="array" ref="Z624">INDIRECT("Update"&amp;Projections!$AH$17&amp;"!P"&amp;ROW(B605))</f>
        <v/>
      </c>
      <c r="AA624" s="73" t="str">
        <f t="array" ref="AA624">INDIRECT("Update"&amp;Projections!$AH$17&amp;"!Q"&amp;ROW(B605))</f>
        <v/>
      </c>
      <c r="AB624" s="107" t="str">
        <f t="array" ref="AB624">INDIRECT("Update"&amp;Projections!$AH$17&amp;"!I"&amp;ROW(B605))</f>
        <v/>
      </c>
      <c r="AC624" s="107" t="str">
        <f t="array" ref="AC624">INDIRECT("Update"&amp;Projections!$AH$17&amp;"!K"&amp;ROW(B605))</f>
        <v/>
      </c>
      <c r="AD624" s="73" t="str">
        <f t="array" ref="AD624">INDIRECT("Update"&amp;Projections!$AH$17&amp;"!R"&amp;ROW(B605))</f>
        <v/>
      </c>
      <c r="AE624" s="73">
        <f t="shared" si="16"/>
        <v>-3.155358621</v>
      </c>
      <c r="AF624" s="73">
        <f t="shared" si="17"/>
        <v>-1.740686581</v>
      </c>
      <c r="AG624" s="73">
        <f t="shared" si="18"/>
        <v>-2.380599106</v>
      </c>
      <c r="AH624" s="73">
        <f t="shared" si="19"/>
        <v>-1.79320266</v>
      </c>
      <c r="AI624" s="73">
        <f t="shared" si="20"/>
        <v>-3.240190514</v>
      </c>
      <c r="AJ624" s="73">
        <f t="shared" si="21"/>
        <v>-1.329092151</v>
      </c>
      <c r="AK624" s="73">
        <f t="shared" si="22"/>
        <v>0</v>
      </c>
      <c r="AL624" s="73">
        <f t="shared" si="23"/>
        <v>0</v>
      </c>
      <c r="AM624" s="73">
        <f t="shared" si="24"/>
        <v>0.433638093</v>
      </c>
      <c r="AN624" s="120">
        <f t="shared" si="25"/>
        <v>-3.240190514</v>
      </c>
      <c r="AO624" s="120">
        <f t="shared" si="26"/>
        <v>-6.395549135</v>
      </c>
      <c r="AP624" s="120" t="str">
        <f t="array" ref="AP624">INDIRECT("Update"&amp;Projections!$AH$17&amp;"!S"&amp;ROW(B605))</f>
        <v/>
      </c>
      <c r="AQ624" s="120" t="str">
        <f t="array" ref="AQ624">INDIRECT("Update"&amp;Projections!$AH$17&amp;"!T"&amp;ROW(B605))</f>
        <v/>
      </c>
      <c r="AR624" s="100">
        <f t="shared" si="27"/>
        <v>-9.965301026</v>
      </c>
    </row>
    <row r="625">
      <c r="A625" t="str">
        <f t="shared" si="3"/>
        <v/>
      </c>
      <c r="B625" s="42">
        <f t="shared" si="4"/>
        <v>-3.155358621</v>
      </c>
      <c r="C625" s="43">
        <f t="shared" si="5"/>
        <v>-1.740686581</v>
      </c>
      <c r="D625" s="42">
        <f t="shared" si="6"/>
        <v>-2.380599106</v>
      </c>
      <c r="E625" s="42">
        <f t="shared" si="7"/>
        <v>-1.79320266</v>
      </c>
      <c r="F625" s="42">
        <f t="shared" si="8"/>
        <v>-3.240190514</v>
      </c>
      <c r="G625" s="42">
        <f t="shared" si="9"/>
        <v>-1.329092151</v>
      </c>
      <c r="H625" s="42">
        <f t="shared" si="10"/>
        <v>0</v>
      </c>
      <c r="I625" s="42" t="str">
        <f>UpdateHashtag!S623</f>
        <v/>
      </c>
      <c r="J625" s="47">
        <f t="shared" si="11"/>
        <v>0</v>
      </c>
      <c r="K625" s="48" t="str">
        <f>UpdateHashtag!T623</f>
        <v/>
      </c>
      <c r="L625" s="42">
        <f t="shared" si="12"/>
        <v>-1.734552372</v>
      </c>
      <c r="N625" s="100">
        <f t="shared" si="13"/>
        <v>401</v>
      </c>
      <c r="O625" s="94" t="str">
        <f t="array" ref="O625">INDIRECT("Update"&amp;Projections!$AH$17&amp;"!B"&amp;ROW(B606))</f>
        <v/>
      </c>
      <c r="P625" s="414" t="str">
        <f t="array" ref="P625">INDIRECT("Update"&amp;Projections!$AH$17&amp;"!C"&amp;ROW(B606))</f>
        <v/>
      </c>
      <c r="Q625" s="94" t="str">
        <f>UpdateHashtag!F655</f>
        <v/>
      </c>
      <c r="R625" s="105" t="str">
        <f t="array" ref="R625">INDIRECT("Update"&amp;Projections!$AH$17&amp;"!D"&amp;ROW(B606))</f>
        <v/>
      </c>
      <c r="S625" s="73">
        <f t="shared" si="14"/>
        <v>-9.965301026</v>
      </c>
      <c r="T625" s="73">
        <f>SUM(AE625:AM625)-IFERROR(IFS(Projections!$I$17,AN625,Projections!$J$17,AO625),"")</f>
        <v>-9.965301026</v>
      </c>
      <c r="U625" s="73">
        <f t="shared" si="15"/>
        <v>0</v>
      </c>
      <c r="V625" s="73" t="str">
        <f t="array" ref="V625">INDIRECT("Update"&amp;Projections!$AH$17&amp;"!M"&amp;ROW(B606))</f>
        <v/>
      </c>
      <c r="W625" s="73" t="str">
        <f t="array" ref="W625">INDIRECT("Update"&amp;Projections!$AH$17&amp;"!L"&amp;ROW(B606))</f>
        <v/>
      </c>
      <c r="X625" s="73" t="str">
        <f t="array" ref="X625">INDIRECT("Update"&amp;Projections!$AH$17&amp;"!N"&amp;ROW(B606))</f>
        <v/>
      </c>
      <c r="Y625" s="73" t="str">
        <f t="array" ref="Y625">INDIRECT("Update"&amp;Projections!$AH$17&amp;"!O"&amp;ROW(B606))</f>
        <v/>
      </c>
      <c r="Z625" s="73" t="str">
        <f t="array" ref="Z625">INDIRECT("Update"&amp;Projections!$AH$17&amp;"!P"&amp;ROW(B606))</f>
        <v/>
      </c>
      <c r="AA625" s="73" t="str">
        <f t="array" ref="AA625">INDIRECT("Update"&amp;Projections!$AH$17&amp;"!Q"&amp;ROW(B606))</f>
        <v/>
      </c>
      <c r="AB625" s="107" t="str">
        <f t="array" ref="AB625">INDIRECT("Update"&amp;Projections!$AH$17&amp;"!I"&amp;ROW(B606))</f>
        <v/>
      </c>
      <c r="AC625" s="107" t="str">
        <f t="array" ref="AC625">INDIRECT("Update"&amp;Projections!$AH$17&amp;"!K"&amp;ROW(B606))</f>
        <v/>
      </c>
      <c r="AD625" s="73" t="str">
        <f t="array" ref="AD625">INDIRECT("Update"&amp;Projections!$AH$17&amp;"!R"&amp;ROW(B606))</f>
        <v/>
      </c>
      <c r="AE625" s="73">
        <f t="shared" si="16"/>
        <v>-3.155358621</v>
      </c>
      <c r="AF625" s="73">
        <f t="shared" si="17"/>
        <v>-1.740686581</v>
      </c>
      <c r="AG625" s="73">
        <f t="shared" si="18"/>
        <v>-2.380599106</v>
      </c>
      <c r="AH625" s="73">
        <f t="shared" si="19"/>
        <v>-1.79320266</v>
      </c>
      <c r="AI625" s="73">
        <f t="shared" si="20"/>
        <v>-3.240190514</v>
      </c>
      <c r="AJ625" s="73">
        <f t="shared" si="21"/>
        <v>-1.329092151</v>
      </c>
      <c r="AK625" s="73">
        <f t="shared" si="22"/>
        <v>0</v>
      </c>
      <c r="AL625" s="73">
        <f t="shared" si="23"/>
        <v>0</v>
      </c>
      <c r="AM625" s="73">
        <f t="shared" si="24"/>
        <v>0.433638093</v>
      </c>
      <c r="AN625" s="120">
        <f t="shared" si="25"/>
        <v>-3.240190514</v>
      </c>
      <c r="AO625" s="120">
        <f t="shared" si="26"/>
        <v>-6.395549135</v>
      </c>
      <c r="AP625" s="120" t="str">
        <f t="array" ref="AP625">INDIRECT("Update"&amp;Projections!$AH$17&amp;"!S"&amp;ROW(B606))</f>
        <v/>
      </c>
      <c r="AQ625" s="120" t="str">
        <f t="array" ref="AQ625">INDIRECT("Update"&amp;Projections!$AH$17&amp;"!T"&amp;ROW(B606))</f>
        <v/>
      </c>
      <c r="AR625" s="100">
        <f t="shared" si="27"/>
        <v>-9.965301026</v>
      </c>
    </row>
    <row r="626">
      <c r="A626" t="str">
        <f t="shared" si="3"/>
        <v/>
      </c>
      <c r="B626" s="42">
        <f t="shared" si="4"/>
        <v>-3.155358621</v>
      </c>
      <c r="C626" s="43">
        <f t="shared" si="5"/>
        <v>-1.740686581</v>
      </c>
      <c r="D626" s="42">
        <f t="shared" si="6"/>
        <v>-2.380599106</v>
      </c>
      <c r="E626" s="42">
        <f t="shared" si="7"/>
        <v>-1.79320266</v>
      </c>
      <c r="F626" s="42">
        <f t="shared" si="8"/>
        <v>-3.240190514</v>
      </c>
      <c r="G626" s="42">
        <f t="shared" si="9"/>
        <v>-1.329092151</v>
      </c>
      <c r="H626" s="42">
        <f t="shared" si="10"/>
        <v>0</v>
      </c>
      <c r="I626" s="42" t="str">
        <f>UpdateHashtag!S624</f>
        <v/>
      </c>
      <c r="J626" s="47">
        <f t="shared" si="11"/>
        <v>0</v>
      </c>
      <c r="K626" s="48" t="str">
        <f>UpdateHashtag!T624</f>
        <v/>
      </c>
      <c r="L626" s="42">
        <f t="shared" si="12"/>
        <v>-1.734552372</v>
      </c>
      <c r="N626" s="100">
        <f t="shared" si="13"/>
        <v>401</v>
      </c>
      <c r="O626" s="94" t="str">
        <f t="array" ref="O626">INDIRECT("Update"&amp;Projections!$AH$17&amp;"!B"&amp;ROW(B607))</f>
        <v/>
      </c>
      <c r="P626" s="414" t="str">
        <f t="array" ref="P626">INDIRECT("Update"&amp;Projections!$AH$17&amp;"!C"&amp;ROW(B607))</f>
        <v/>
      </c>
      <c r="Q626" s="94" t="str">
        <f>UpdateHashtag!F656</f>
        <v/>
      </c>
      <c r="R626" s="105" t="str">
        <f t="array" ref="R626">INDIRECT("Update"&amp;Projections!$AH$17&amp;"!D"&amp;ROW(B607))</f>
        <v/>
      </c>
      <c r="S626" s="73">
        <f t="shared" si="14"/>
        <v>-9.965301026</v>
      </c>
      <c r="T626" s="73">
        <f>SUM(AE626:AM626)-IFERROR(IFS(Projections!$I$17,AN626,Projections!$J$17,AO626),"")</f>
        <v>-9.965301026</v>
      </c>
      <c r="U626" s="73">
        <f t="shared" si="15"/>
        <v>0</v>
      </c>
      <c r="V626" s="73" t="str">
        <f t="array" ref="V626">INDIRECT("Update"&amp;Projections!$AH$17&amp;"!M"&amp;ROW(B607))</f>
        <v/>
      </c>
      <c r="W626" s="73" t="str">
        <f t="array" ref="W626">INDIRECT("Update"&amp;Projections!$AH$17&amp;"!L"&amp;ROW(B607))</f>
        <v/>
      </c>
      <c r="X626" s="73" t="str">
        <f t="array" ref="X626">INDIRECT("Update"&amp;Projections!$AH$17&amp;"!N"&amp;ROW(B607))</f>
        <v/>
      </c>
      <c r="Y626" s="73" t="str">
        <f t="array" ref="Y626">INDIRECT("Update"&amp;Projections!$AH$17&amp;"!O"&amp;ROW(B607))</f>
        <v/>
      </c>
      <c r="Z626" s="73" t="str">
        <f t="array" ref="Z626">INDIRECT("Update"&amp;Projections!$AH$17&amp;"!P"&amp;ROW(B607))</f>
        <v/>
      </c>
      <c r="AA626" s="73" t="str">
        <f t="array" ref="AA626">INDIRECT("Update"&amp;Projections!$AH$17&amp;"!Q"&amp;ROW(B607))</f>
        <v/>
      </c>
      <c r="AB626" s="107" t="str">
        <f t="array" ref="AB626">INDIRECT("Update"&amp;Projections!$AH$17&amp;"!I"&amp;ROW(B607))</f>
        <v/>
      </c>
      <c r="AC626" s="107" t="str">
        <f t="array" ref="AC626">INDIRECT("Update"&amp;Projections!$AH$17&amp;"!K"&amp;ROW(B607))</f>
        <v/>
      </c>
      <c r="AD626" s="73" t="str">
        <f t="array" ref="AD626">INDIRECT("Update"&amp;Projections!$AH$17&amp;"!R"&amp;ROW(B607))</f>
        <v/>
      </c>
      <c r="AE626" s="73">
        <f t="shared" si="16"/>
        <v>-3.155358621</v>
      </c>
      <c r="AF626" s="73">
        <f t="shared" si="17"/>
        <v>-1.740686581</v>
      </c>
      <c r="AG626" s="73">
        <f t="shared" si="18"/>
        <v>-2.380599106</v>
      </c>
      <c r="AH626" s="73">
        <f t="shared" si="19"/>
        <v>-1.79320266</v>
      </c>
      <c r="AI626" s="73">
        <f t="shared" si="20"/>
        <v>-3.240190514</v>
      </c>
      <c r="AJ626" s="73">
        <f t="shared" si="21"/>
        <v>-1.329092151</v>
      </c>
      <c r="AK626" s="73">
        <f t="shared" si="22"/>
        <v>0</v>
      </c>
      <c r="AL626" s="73">
        <f t="shared" si="23"/>
        <v>0</v>
      </c>
      <c r="AM626" s="73">
        <f t="shared" si="24"/>
        <v>0.433638093</v>
      </c>
      <c r="AN626" s="120">
        <f t="shared" si="25"/>
        <v>-3.240190514</v>
      </c>
      <c r="AO626" s="120">
        <f t="shared" si="26"/>
        <v>-6.395549135</v>
      </c>
      <c r="AP626" s="120" t="str">
        <f t="array" ref="AP626">INDIRECT("Update"&amp;Projections!$AH$17&amp;"!S"&amp;ROW(B607))</f>
        <v/>
      </c>
      <c r="AQ626" s="120" t="str">
        <f t="array" ref="AQ626">INDIRECT("Update"&amp;Projections!$AH$17&amp;"!T"&amp;ROW(B607))</f>
        <v/>
      </c>
      <c r="AR626" s="100">
        <f t="shared" si="27"/>
        <v>-9.965301026</v>
      </c>
    </row>
    <row r="627">
      <c r="A627" t="str">
        <f t="shared" si="3"/>
        <v/>
      </c>
      <c r="B627" s="42">
        <f t="shared" si="4"/>
        <v>-3.155358621</v>
      </c>
      <c r="C627" s="43">
        <f t="shared" si="5"/>
        <v>-1.740686581</v>
      </c>
      <c r="D627" s="42">
        <f t="shared" si="6"/>
        <v>-2.380599106</v>
      </c>
      <c r="E627" s="42">
        <f t="shared" si="7"/>
        <v>-1.79320266</v>
      </c>
      <c r="F627" s="42">
        <f t="shared" si="8"/>
        <v>-3.240190514</v>
      </c>
      <c r="G627" s="42">
        <f t="shared" si="9"/>
        <v>-1.329092151</v>
      </c>
      <c r="H627" s="42">
        <f t="shared" si="10"/>
        <v>0</v>
      </c>
      <c r="I627" s="42" t="str">
        <f>UpdateHashtag!S625</f>
        <v/>
      </c>
      <c r="J627" s="47">
        <f t="shared" si="11"/>
        <v>0</v>
      </c>
      <c r="K627" s="48" t="str">
        <f>UpdateHashtag!T625</f>
        <v/>
      </c>
      <c r="L627" s="42">
        <f t="shared" si="12"/>
        <v>-1.734552372</v>
      </c>
      <c r="N627" s="100">
        <f t="shared" si="13"/>
        <v>401</v>
      </c>
      <c r="O627" s="94" t="str">
        <f t="array" ref="O627">INDIRECT("Update"&amp;Projections!$AH$17&amp;"!B"&amp;ROW(B608))</f>
        <v/>
      </c>
      <c r="P627" s="414" t="str">
        <f t="array" ref="P627">INDIRECT("Update"&amp;Projections!$AH$17&amp;"!C"&amp;ROW(B608))</f>
        <v/>
      </c>
      <c r="Q627" s="94" t="str">
        <f>UpdateHashtag!F657</f>
        <v/>
      </c>
      <c r="R627" s="105" t="str">
        <f t="array" ref="R627">INDIRECT("Update"&amp;Projections!$AH$17&amp;"!D"&amp;ROW(B608))</f>
        <v/>
      </c>
      <c r="S627" s="73">
        <f t="shared" si="14"/>
        <v>-9.965301026</v>
      </c>
      <c r="T627" s="73">
        <f>SUM(AE627:AM627)-IFERROR(IFS(Projections!$I$17,AN627,Projections!$J$17,AO627),"")</f>
        <v>-9.965301026</v>
      </c>
      <c r="U627" s="73">
        <f t="shared" si="15"/>
        <v>0</v>
      </c>
      <c r="V627" s="73" t="str">
        <f t="array" ref="V627">INDIRECT("Update"&amp;Projections!$AH$17&amp;"!M"&amp;ROW(B608))</f>
        <v/>
      </c>
      <c r="W627" s="73" t="str">
        <f t="array" ref="W627">INDIRECT("Update"&amp;Projections!$AH$17&amp;"!L"&amp;ROW(B608))</f>
        <v/>
      </c>
      <c r="X627" s="73" t="str">
        <f t="array" ref="X627">INDIRECT("Update"&amp;Projections!$AH$17&amp;"!N"&amp;ROW(B608))</f>
        <v/>
      </c>
      <c r="Y627" s="73" t="str">
        <f t="array" ref="Y627">INDIRECT("Update"&amp;Projections!$AH$17&amp;"!O"&amp;ROW(B608))</f>
        <v/>
      </c>
      <c r="Z627" s="73" t="str">
        <f t="array" ref="Z627">INDIRECT("Update"&amp;Projections!$AH$17&amp;"!P"&amp;ROW(B608))</f>
        <v/>
      </c>
      <c r="AA627" s="73" t="str">
        <f t="array" ref="AA627">INDIRECT("Update"&amp;Projections!$AH$17&amp;"!Q"&amp;ROW(B608))</f>
        <v/>
      </c>
      <c r="AB627" s="107" t="str">
        <f t="array" ref="AB627">INDIRECT("Update"&amp;Projections!$AH$17&amp;"!I"&amp;ROW(B608))</f>
        <v/>
      </c>
      <c r="AC627" s="107" t="str">
        <f t="array" ref="AC627">INDIRECT("Update"&amp;Projections!$AH$17&amp;"!K"&amp;ROW(B608))</f>
        <v/>
      </c>
      <c r="AD627" s="73" t="str">
        <f t="array" ref="AD627">INDIRECT("Update"&amp;Projections!$AH$17&amp;"!R"&amp;ROW(B608))</f>
        <v/>
      </c>
      <c r="AE627" s="73">
        <f t="shared" si="16"/>
        <v>-3.155358621</v>
      </c>
      <c r="AF627" s="73">
        <f t="shared" si="17"/>
        <v>-1.740686581</v>
      </c>
      <c r="AG627" s="73">
        <f t="shared" si="18"/>
        <v>-2.380599106</v>
      </c>
      <c r="AH627" s="73">
        <f t="shared" si="19"/>
        <v>-1.79320266</v>
      </c>
      <c r="AI627" s="73">
        <f t="shared" si="20"/>
        <v>-3.240190514</v>
      </c>
      <c r="AJ627" s="73">
        <f t="shared" si="21"/>
        <v>-1.329092151</v>
      </c>
      <c r="AK627" s="73">
        <f t="shared" si="22"/>
        <v>0</v>
      </c>
      <c r="AL627" s="73">
        <f t="shared" si="23"/>
        <v>0</v>
      </c>
      <c r="AM627" s="73">
        <f t="shared" si="24"/>
        <v>0.433638093</v>
      </c>
      <c r="AN627" s="120">
        <f t="shared" si="25"/>
        <v>-3.240190514</v>
      </c>
      <c r="AO627" s="120">
        <f t="shared" si="26"/>
        <v>-6.395549135</v>
      </c>
      <c r="AP627" s="120" t="str">
        <f t="array" ref="AP627">INDIRECT("Update"&amp;Projections!$AH$17&amp;"!S"&amp;ROW(B608))</f>
        <v/>
      </c>
      <c r="AQ627" s="120" t="str">
        <f t="array" ref="AQ627">INDIRECT("Update"&amp;Projections!$AH$17&amp;"!T"&amp;ROW(B608))</f>
        <v/>
      </c>
      <c r="AR627" s="100">
        <f t="shared" si="27"/>
        <v>-9.965301026</v>
      </c>
    </row>
    <row r="628">
      <c r="A628" t="str">
        <f t="shared" si="3"/>
        <v/>
      </c>
      <c r="B628" s="42">
        <f t="shared" si="4"/>
        <v>-3.155358621</v>
      </c>
      <c r="C628" s="43">
        <f t="shared" si="5"/>
        <v>-1.740686581</v>
      </c>
      <c r="D628" s="42">
        <f t="shared" si="6"/>
        <v>-2.380599106</v>
      </c>
      <c r="E628" s="42">
        <f t="shared" si="7"/>
        <v>-1.79320266</v>
      </c>
      <c r="F628" s="42">
        <f t="shared" si="8"/>
        <v>-3.240190514</v>
      </c>
      <c r="G628" s="42">
        <f t="shared" si="9"/>
        <v>-1.329092151</v>
      </c>
      <c r="H628" s="42">
        <f t="shared" si="10"/>
        <v>0</v>
      </c>
      <c r="I628" s="42" t="str">
        <f>UpdateHashtag!S626</f>
        <v/>
      </c>
      <c r="J628" s="47">
        <f t="shared" si="11"/>
        <v>0</v>
      </c>
      <c r="K628" s="48" t="str">
        <f>UpdateHashtag!T626</f>
        <v/>
      </c>
      <c r="L628" s="42">
        <f t="shared" si="12"/>
        <v>-1.734552372</v>
      </c>
      <c r="N628" s="100">
        <f t="shared" si="13"/>
        <v>401</v>
      </c>
      <c r="O628" s="94" t="str">
        <f t="array" ref="O628">INDIRECT("Update"&amp;Projections!$AH$17&amp;"!B"&amp;ROW(B609))</f>
        <v/>
      </c>
      <c r="P628" s="414" t="str">
        <f t="array" ref="P628">INDIRECT("Update"&amp;Projections!$AH$17&amp;"!C"&amp;ROW(B609))</f>
        <v/>
      </c>
      <c r="Q628" s="94" t="str">
        <f>UpdateHashtag!F658</f>
        <v/>
      </c>
      <c r="R628" s="105" t="str">
        <f t="array" ref="R628">INDIRECT("Update"&amp;Projections!$AH$17&amp;"!D"&amp;ROW(B609))</f>
        <v/>
      </c>
      <c r="S628" s="73">
        <f t="shared" si="14"/>
        <v>-9.965301026</v>
      </c>
      <c r="T628" s="73">
        <f>SUM(AE628:AM628)-IFERROR(IFS(Projections!$I$17,AN628,Projections!$J$17,AO628),"")</f>
        <v>-9.965301026</v>
      </c>
      <c r="U628" s="73">
        <f t="shared" si="15"/>
        <v>0</v>
      </c>
      <c r="V628" s="73" t="str">
        <f t="array" ref="V628">INDIRECT("Update"&amp;Projections!$AH$17&amp;"!M"&amp;ROW(B609))</f>
        <v/>
      </c>
      <c r="W628" s="73" t="str">
        <f t="array" ref="W628">INDIRECT("Update"&amp;Projections!$AH$17&amp;"!L"&amp;ROW(B609))</f>
        <v/>
      </c>
      <c r="X628" s="73" t="str">
        <f t="array" ref="X628">INDIRECT("Update"&amp;Projections!$AH$17&amp;"!N"&amp;ROW(B609))</f>
        <v/>
      </c>
      <c r="Y628" s="73" t="str">
        <f t="array" ref="Y628">INDIRECT("Update"&amp;Projections!$AH$17&amp;"!O"&amp;ROW(B609))</f>
        <v/>
      </c>
      <c r="Z628" s="73" t="str">
        <f t="array" ref="Z628">INDIRECT("Update"&amp;Projections!$AH$17&amp;"!P"&amp;ROW(B609))</f>
        <v/>
      </c>
      <c r="AA628" s="73" t="str">
        <f t="array" ref="AA628">INDIRECT("Update"&amp;Projections!$AH$17&amp;"!Q"&amp;ROW(B609))</f>
        <v/>
      </c>
      <c r="AB628" s="107" t="str">
        <f t="array" ref="AB628">INDIRECT("Update"&amp;Projections!$AH$17&amp;"!I"&amp;ROW(B609))</f>
        <v/>
      </c>
      <c r="AC628" s="107" t="str">
        <f t="array" ref="AC628">INDIRECT("Update"&amp;Projections!$AH$17&amp;"!K"&amp;ROW(B609))</f>
        <v/>
      </c>
      <c r="AD628" s="73" t="str">
        <f t="array" ref="AD628">INDIRECT("Update"&amp;Projections!$AH$17&amp;"!R"&amp;ROW(B609))</f>
        <v/>
      </c>
      <c r="AE628" s="73">
        <f t="shared" si="16"/>
        <v>-3.155358621</v>
      </c>
      <c r="AF628" s="73">
        <f t="shared" si="17"/>
        <v>-1.740686581</v>
      </c>
      <c r="AG628" s="73">
        <f t="shared" si="18"/>
        <v>-2.380599106</v>
      </c>
      <c r="AH628" s="73">
        <f t="shared" si="19"/>
        <v>-1.79320266</v>
      </c>
      <c r="AI628" s="73">
        <f t="shared" si="20"/>
        <v>-3.240190514</v>
      </c>
      <c r="AJ628" s="73">
        <f t="shared" si="21"/>
        <v>-1.329092151</v>
      </c>
      <c r="AK628" s="73">
        <f t="shared" si="22"/>
        <v>0</v>
      </c>
      <c r="AL628" s="73">
        <f t="shared" si="23"/>
        <v>0</v>
      </c>
      <c r="AM628" s="73">
        <f t="shared" si="24"/>
        <v>0.433638093</v>
      </c>
      <c r="AN628" s="120">
        <f t="shared" si="25"/>
        <v>-3.240190514</v>
      </c>
      <c r="AO628" s="120">
        <f t="shared" si="26"/>
        <v>-6.395549135</v>
      </c>
      <c r="AP628" s="120" t="str">
        <f t="array" ref="AP628">INDIRECT("Update"&amp;Projections!$AH$17&amp;"!S"&amp;ROW(B609))</f>
        <v/>
      </c>
      <c r="AQ628" s="120" t="str">
        <f t="array" ref="AQ628">INDIRECT("Update"&amp;Projections!$AH$17&amp;"!T"&amp;ROW(B609))</f>
        <v/>
      </c>
      <c r="AR628" s="100">
        <f t="shared" si="27"/>
        <v>-9.965301026</v>
      </c>
    </row>
    <row r="629">
      <c r="A629" t="str">
        <f t="shared" si="3"/>
        <v/>
      </c>
      <c r="B629" s="42">
        <f t="shared" si="4"/>
        <v>-3.155358621</v>
      </c>
      <c r="C629" s="43">
        <f t="shared" si="5"/>
        <v>-1.740686581</v>
      </c>
      <c r="D629" s="42">
        <f t="shared" si="6"/>
        <v>-2.380599106</v>
      </c>
      <c r="E629" s="42">
        <f t="shared" si="7"/>
        <v>-1.79320266</v>
      </c>
      <c r="F629" s="42">
        <f t="shared" si="8"/>
        <v>-3.240190514</v>
      </c>
      <c r="G629" s="42">
        <f t="shared" si="9"/>
        <v>-1.329092151</v>
      </c>
      <c r="H629" s="42">
        <f t="shared" si="10"/>
        <v>0</v>
      </c>
      <c r="I629" s="42" t="str">
        <f>UpdateHashtag!S627</f>
        <v/>
      </c>
      <c r="J629" s="47">
        <f t="shared" si="11"/>
        <v>0</v>
      </c>
      <c r="K629" s="48" t="str">
        <f>UpdateHashtag!T627</f>
        <v/>
      </c>
      <c r="L629" s="42">
        <f t="shared" si="12"/>
        <v>-1.734552372</v>
      </c>
      <c r="N629" s="100">
        <f t="shared" si="13"/>
        <v>401</v>
      </c>
      <c r="O629" s="94" t="str">
        <f t="array" ref="O629">INDIRECT("Update"&amp;Projections!$AH$17&amp;"!B"&amp;ROW(B610))</f>
        <v/>
      </c>
      <c r="P629" s="414" t="str">
        <f t="array" ref="P629">INDIRECT("Update"&amp;Projections!$AH$17&amp;"!C"&amp;ROW(B610))</f>
        <v/>
      </c>
      <c r="Q629" s="94" t="str">
        <f>UpdateHashtag!F659</f>
        <v/>
      </c>
      <c r="R629" s="105" t="str">
        <f t="array" ref="R629">INDIRECT("Update"&amp;Projections!$AH$17&amp;"!D"&amp;ROW(B610))</f>
        <v/>
      </c>
      <c r="S629" s="73">
        <f t="shared" si="14"/>
        <v>-9.965301026</v>
      </c>
      <c r="T629" s="73">
        <f>SUM(AE629:AM629)-IFERROR(IFS(Projections!$I$17,AN629,Projections!$J$17,AO629),"")</f>
        <v>-9.965301026</v>
      </c>
      <c r="U629" s="73">
        <f t="shared" si="15"/>
        <v>0</v>
      </c>
      <c r="V629" s="73" t="str">
        <f t="array" ref="V629">INDIRECT("Update"&amp;Projections!$AH$17&amp;"!M"&amp;ROW(B610))</f>
        <v/>
      </c>
      <c r="W629" s="73" t="str">
        <f t="array" ref="W629">INDIRECT("Update"&amp;Projections!$AH$17&amp;"!L"&amp;ROW(B610))</f>
        <v/>
      </c>
      <c r="X629" s="73" t="str">
        <f t="array" ref="X629">INDIRECT("Update"&amp;Projections!$AH$17&amp;"!N"&amp;ROW(B610))</f>
        <v/>
      </c>
      <c r="Y629" s="73" t="str">
        <f t="array" ref="Y629">INDIRECT("Update"&amp;Projections!$AH$17&amp;"!O"&amp;ROW(B610))</f>
        <v/>
      </c>
      <c r="Z629" s="73" t="str">
        <f t="array" ref="Z629">INDIRECT("Update"&amp;Projections!$AH$17&amp;"!P"&amp;ROW(B610))</f>
        <v/>
      </c>
      <c r="AA629" s="73" t="str">
        <f t="array" ref="AA629">INDIRECT("Update"&amp;Projections!$AH$17&amp;"!Q"&amp;ROW(B610))</f>
        <v/>
      </c>
      <c r="AB629" s="107" t="str">
        <f t="array" ref="AB629">INDIRECT("Update"&amp;Projections!$AH$17&amp;"!I"&amp;ROW(B610))</f>
        <v/>
      </c>
      <c r="AC629" s="107" t="str">
        <f t="array" ref="AC629">INDIRECT("Update"&amp;Projections!$AH$17&amp;"!K"&amp;ROW(B610))</f>
        <v/>
      </c>
      <c r="AD629" s="73" t="str">
        <f t="array" ref="AD629">INDIRECT("Update"&amp;Projections!$AH$17&amp;"!R"&amp;ROW(B610))</f>
        <v/>
      </c>
      <c r="AE629" s="73">
        <f t="shared" si="16"/>
        <v>-3.155358621</v>
      </c>
      <c r="AF629" s="73">
        <f t="shared" si="17"/>
        <v>-1.740686581</v>
      </c>
      <c r="AG629" s="73">
        <f t="shared" si="18"/>
        <v>-2.380599106</v>
      </c>
      <c r="AH629" s="73">
        <f t="shared" si="19"/>
        <v>-1.79320266</v>
      </c>
      <c r="AI629" s="73">
        <f t="shared" si="20"/>
        <v>-3.240190514</v>
      </c>
      <c r="AJ629" s="73">
        <f t="shared" si="21"/>
        <v>-1.329092151</v>
      </c>
      <c r="AK629" s="73">
        <f t="shared" si="22"/>
        <v>0</v>
      </c>
      <c r="AL629" s="73">
        <f t="shared" si="23"/>
        <v>0</v>
      </c>
      <c r="AM629" s="73">
        <f t="shared" si="24"/>
        <v>0.433638093</v>
      </c>
      <c r="AN629" s="120">
        <f t="shared" si="25"/>
        <v>-3.240190514</v>
      </c>
      <c r="AO629" s="120">
        <f t="shared" si="26"/>
        <v>-6.395549135</v>
      </c>
      <c r="AP629" s="120" t="str">
        <f t="array" ref="AP629">INDIRECT("Update"&amp;Projections!$AH$17&amp;"!S"&amp;ROW(B610))</f>
        <v/>
      </c>
      <c r="AQ629" s="120" t="str">
        <f t="array" ref="AQ629">INDIRECT("Update"&amp;Projections!$AH$17&amp;"!T"&amp;ROW(B610))</f>
        <v/>
      </c>
      <c r="AR629" s="100">
        <f t="shared" si="27"/>
        <v>-9.965301026</v>
      </c>
    </row>
    <row r="630">
      <c r="A630" t="str">
        <f t="shared" si="3"/>
        <v/>
      </c>
      <c r="B630" s="42">
        <f t="shared" si="4"/>
        <v>-3.155358621</v>
      </c>
      <c r="C630" s="43">
        <f t="shared" si="5"/>
        <v>-1.740686581</v>
      </c>
      <c r="D630" s="42">
        <f t="shared" si="6"/>
        <v>-2.380599106</v>
      </c>
      <c r="E630" s="42">
        <f t="shared" si="7"/>
        <v>-1.79320266</v>
      </c>
      <c r="F630" s="42">
        <f t="shared" si="8"/>
        <v>-3.240190514</v>
      </c>
      <c r="G630" s="42">
        <f t="shared" si="9"/>
        <v>-1.329092151</v>
      </c>
      <c r="H630" s="42">
        <f t="shared" si="10"/>
        <v>0</v>
      </c>
      <c r="I630" s="42" t="str">
        <f>UpdateHashtag!S628</f>
        <v/>
      </c>
      <c r="J630" s="47">
        <f t="shared" si="11"/>
        <v>0</v>
      </c>
      <c r="K630" s="48" t="str">
        <f>UpdateHashtag!T628</f>
        <v/>
      </c>
      <c r="L630" s="42">
        <f t="shared" si="12"/>
        <v>-1.734552372</v>
      </c>
      <c r="N630" s="100">
        <f t="shared" si="13"/>
        <v>401</v>
      </c>
      <c r="O630" s="94" t="str">
        <f t="array" ref="O630">INDIRECT("Update"&amp;Projections!$AH$17&amp;"!B"&amp;ROW(B611))</f>
        <v/>
      </c>
      <c r="P630" s="414" t="str">
        <f t="array" ref="P630">INDIRECT("Update"&amp;Projections!$AH$17&amp;"!C"&amp;ROW(B611))</f>
        <v/>
      </c>
      <c r="Q630" s="94" t="str">
        <f>UpdateHashtag!F660</f>
        <v/>
      </c>
      <c r="R630" s="105" t="str">
        <f t="array" ref="R630">INDIRECT("Update"&amp;Projections!$AH$17&amp;"!D"&amp;ROW(B611))</f>
        <v/>
      </c>
      <c r="S630" s="73">
        <f t="shared" si="14"/>
        <v>-9.965301026</v>
      </c>
      <c r="T630" s="73">
        <f>SUM(AE630:AM630)-IFERROR(IFS(Projections!$I$17,AN630,Projections!$J$17,AO630),"")</f>
        <v>-9.965301026</v>
      </c>
      <c r="U630" s="73">
        <f t="shared" si="15"/>
        <v>0</v>
      </c>
      <c r="V630" s="73" t="str">
        <f t="array" ref="V630">INDIRECT("Update"&amp;Projections!$AH$17&amp;"!M"&amp;ROW(B611))</f>
        <v/>
      </c>
      <c r="W630" s="73" t="str">
        <f t="array" ref="W630">INDIRECT("Update"&amp;Projections!$AH$17&amp;"!L"&amp;ROW(B611))</f>
        <v/>
      </c>
      <c r="X630" s="73" t="str">
        <f t="array" ref="X630">INDIRECT("Update"&amp;Projections!$AH$17&amp;"!N"&amp;ROW(B611))</f>
        <v/>
      </c>
      <c r="Y630" s="73" t="str">
        <f t="array" ref="Y630">INDIRECT("Update"&amp;Projections!$AH$17&amp;"!O"&amp;ROW(B611))</f>
        <v/>
      </c>
      <c r="Z630" s="73" t="str">
        <f t="array" ref="Z630">INDIRECT("Update"&amp;Projections!$AH$17&amp;"!P"&amp;ROW(B611))</f>
        <v/>
      </c>
      <c r="AA630" s="73" t="str">
        <f t="array" ref="AA630">INDIRECT("Update"&amp;Projections!$AH$17&amp;"!Q"&amp;ROW(B611))</f>
        <v/>
      </c>
      <c r="AB630" s="107" t="str">
        <f t="array" ref="AB630">INDIRECT("Update"&amp;Projections!$AH$17&amp;"!I"&amp;ROW(B611))</f>
        <v/>
      </c>
      <c r="AC630" s="107" t="str">
        <f t="array" ref="AC630">INDIRECT("Update"&amp;Projections!$AH$17&amp;"!K"&amp;ROW(B611))</f>
        <v/>
      </c>
      <c r="AD630" s="73" t="str">
        <f t="array" ref="AD630">INDIRECT("Update"&amp;Projections!$AH$17&amp;"!R"&amp;ROW(B611))</f>
        <v/>
      </c>
      <c r="AE630" s="73">
        <f t="shared" si="16"/>
        <v>-3.155358621</v>
      </c>
      <c r="AF630" s="73">
        <f t="shared" si="17"/>
        <v>-1.740686581</v>
      </c>
      <c r="AG630" s="73">
        <f t="shared" si="18"/>
        <v>-2.380599106</v>
      </c>
      <c r="AH630" s="73">
        <f t="shared" si="19"/>
        <v>-1.79320266</v>
      </c>
      <c r="AI630" s="73">
        <f t="shared" si="20"/>
        <v>-3.240190514</v>
      </c>
      <c r="AJ630" s="73">
        <f t="shared" si="21"/>
        <v>-1.329092151</v>
      </c>
      <c r="AK630" s="73">
        <f t="shared" si="22"/>
        <v>0</v>
      </c>
      <c r="AL630" s="73">
        <f t="shared" si="23"/>
        <v>0</v>
      </c>
      <c r="AM630" s="73">
        <f t="shared" si="24"/>
        <v>0.433638093</v>
      </c>
      <c r="AN630" s="120">
        <f t="shared" si="25"/>
        <v>-3.240190514</v>
      </c>
      <c r="AO630" s="120">
        <f t="shared" si="26"/>
        <v>-6.395549135</v>
      </c>
      <c r="AP630" s="120" t="str">
        <f t="array" ref="AP630">INDIRECT("Update"&amp;Projections!$AH$17&amp;"!S"&amp;ROW(B611))</f>
        <v/>
      </c>
      <c r="AQ630" s="120" t="str">
        <f t="array" ref="AQ630">INDIRECT("Update"&amp;Projections!$AH$17&amp;"!T"&amp;ROW(B611))</f>
        <v/>
      </c>
      <c r="AR630" s="100">
        <f t="shared" si="27"/>
        <v>-9.965301026</v>
      </c>
    </row>
    <row r="631">
      <c r="A631" t="str">
        <f t="shared" si="3"/>
        <v/>
      </c>
      <c r="B631" s="42">
        <f t="shared" si="4"/>
        <v>-3.155358621</v>
      </c>
      <c r="C631" s="43">
        <f t="shared" si="5"/>
        <v>-1.740686581</v>
      </c>
      <c r="D631" s="42">
        <f t="shared" si="6"/>
        <v>-2.380599106</v>
      </c>
      <c r="E631" s="42">
        <f t="shared" si="7"/>
        <v>-1.79320266</v>
      </c>
      <c r="F631" s="42">
        <f t="shared" si="8"/>
        <v>-3.240190514</v>
      </c>
      <c r="G631" s="42">
        <f t="shared" si="9"/>
        <v>-1.329092151</v>
      </c>
      <c r="H631" s="42">
        <f t="shared" si="10"/>
        <v>0</v>
      </c>
      <c r="I631" s="42" t="str">
        <f>UpdateHashtag!S629</f>
        <v/>
      </c>
      <c r="J631" s="47">
        <f t="shared" si="11"/>
        <v>0</v>
      </c>
      <c r="K631" s="48" t="str">
        <f>UpdateHashtag!T629</f>
        <v/>
      </c>
      <c r="L631" s="42">
        <f t="shared" si="12"/>
        <v>-1.734552372</v>
      </c>
      <c r="N631" s="100">
        <f t="shared" si="13"/>
        <v>401</v>
      </c>
      <c r="O631" s="94" t="str">
        <f t="array" ref="O631">INDIRECT("Update"&amp;Projections!$AH$17&amp;"!B"&amp;ROW(B612))</f>
        <v/>
      </c>
      <c r="P631" s="414" t="str">
        <f t="array" ref="P631">INDIRECT("Update"&amp;Projections!$AH$17&amp;"!C"&amp;ROW(B612))</f>
        <v/>
      </c>
      <c r="Q631" s="94" t="str">
        <f>UpdateHashtag!F661</f>
        <v/>
      </c>
      <c r="R631" s="105" t="str">
        <f t="array" ref="R631">INDIRECT("Update"&amp;Projections!$AH$17&amp;"!D"&amp;ROW(B612))</f>
        <v/>
      </c>
      <c r="S631" s="73">
        <f t="shared" si="14"/>
        <v>-9.965301026</v>
      </c>
      <c r="T631" s="73">
        <f>SUM(AE631:AM631)-IFERROR(IFS(Projections!$I$17,AN631,Projections!$J$17,AO631),"")</f>
        <v>-9.965301026</v>
      </c>
      <c r="U631" s="73">
        <f t="shared" si="15"/>
        <v>0</v>
      </c>
      <c r="V631" s="73" t="str">
        <f t="array" ref="V631">INDIRECT("Update"&amp;Projections!$AH$17&amp;"!M"&amp;ROW(B612))</f>
        <v/>
      </c>
      <c r="W631" s="73" t="str">
        <f t="array" ref="W631">INDIRECT("Update"&amp;Projections!$AH$17&amp;"!L"&amp;ROW(B612))</f>
        <v/>
      </c>
      <c r="X631" s="73" t="str">
        <f t="array" ref="X631">INDIRECT("Update"&amp;Projections!$AH$17&amp;"!N"&amp;ROW(B612))</f>
        <v/>
      </c>
      <c r="Y631" s="73" t="str">
        <f t="array" ref="Y631">INDIRECT("Update"&amp;Projections!$AH$17&amp;"!O"&amp;ROW(B612))</f>
        <v/>
      </c>
      <c r="Z631" s="73" t="str">
        <f t="array" ref="Z631">INDIRECT("Update"&amp;Projections!$AH$17&amp;"!P"&amp;ROW(B612))</f>
        <v/>
      </c>
      <c r="AA631" s="73" t="str">
        <f t="array" ref="AA631">INDIRECT("Update"&amp;Projections!$AH$17&amp;"!Q"&amp;ROW(B612))</f>
        <v/>
      </c>
      <c r="AB631" s="107" t="str">
        <f t="array" ref="AB631">INDIRECT("Update"&amp;Projections!$AH$17&amp;"!I"&amp;ROW(B612))</f>
        <v/>
      </c>
      <c r="AC631" s="107" t="str">
        <f t="array" ref="AC631">INDIRECT("Update"&amp;Projections!$AH$17&amp;"!K"&amp;ROW(B612))</f>
        <v/>
      </c>
      <c r="AD631" s="73" t="str">
        <f t="array" ref="AD631">INDIRECT("Update"&amp;Projections!$AH$17&amp;"!R"&amp;ROW(B612))</f>
        <v/>
      </c>
      <c r="AE631" s="73">
        <f t="shared" si="16"/>
        <v>-3.155358621</v>
      </c>
      <c r="AF631" s="73">
        <f t="shared" si="17"/>
        <v>-1.740686581</v>
      </c>
      <c r="AG631" s="73">
        <f t="shared" si="18"/>
        <v>-2.380599106</v>
      </c>
      <c r="AH631" s="73">
        <f t="shared" si="19"/>
        <v>-1.79320266</v>
      </c>
      <c r="AI631" s="73">
        <f t="shared" si="20"/>
        <v>-3.240190514</v>
      </c>
      <c r="AJ631" s="73">
        <f t="shared" si="21"/>
        <v>-1.329092151</v>
      </c>
      <c r="AK631" s="73">
        <f t="shared" si="22"/>
        <v>0</v>
      </c>
      <c r="AL631" s="73">
        <f t="shared" si="23"/>
        <v>0</v>
      </c>
      <c r="AM631" s="73">
        <f t="shared" si="24"/>
        <v>0.433638093</v>
      </c>
      <c r="AN631" s="120">
        <f t="shared" si="25"/>
        <v>-3.240190514</v>
      </c>
      <c r="AO631" s="120">
        <f t="shared" si="26"/>
        <v>-6.395549135</v>
      </c>
      <c r="AP631" s="120" t="str">
        <f t="array" ref="AP631">INDIRECT("Update"&amp;Projections!$AH$17&amp;"!S"&amp;ROW(B612))</f>
        <v/>
      </c>
      <c r="AQ631" s="120" t="str">
        <f t="array" ref="AQ631">INDIRECT("Update"&amp;Projections!$AH$17&amp;"!T"&amp;ROW(B612))</f>
        <v/>
      </c>
      <c r="AR631" s="100">
        <f t="shared" si="27"/>
        <v>-9.965301026</v>
      </c>
    </row>
    <row r="632">
      <c r="A632" t="str">
        <f t="shared" si="3"/>
        <v/>
      </c>
      <c r="B632" s="42">
        <f t="shared" si="4"/>
        <v>-3.155358621</v>
      </c>
      <c r="C632" s="43">
        <f t="shared" si="5"/>
        <v>-1.740686581</v>
      </c>
      <c r="D632" s="42">
        <f t="shared" si="6"/>
        <v>-2.380599106</v>
      </c>
      <c r="E632" s="42">
        <f t="shared" si="7"/>
        <v>-1.79320266</v>
      </c>
      <c r="F632" s="42">
        <f t="shared" si="8"/>
        <v>-3.240190514</v>
      </c>
      <c r="G632" s="42">
        <f t="shared" si="9"/>
        <v>-1.329092151</v>
      </c>
      <c r="H632" s="42">
        <f t="shared" si="10"/>
        <v>0</v>
      </c>
      <c r="I632" s="42" t="str">
        <f>UpdateHashtag!S630</f>
        <v/>
      </c>
      <c r="J632" s="47">
        <f t="shared" si="11"/>
        <v>0</v>
      </c>
      <c r="K632" s="48" t="str">
        <f>UpdateHashtag!T630</f>
        <v/>
      </c>
      <c r="L632" s="42">
        <f t="shared" si="12"/>
        <v>-1.734552372</v>
      </c>
      <c r="N632" s="100">
        <f t="shared" si="13"/>
        <v>401</v>
      </c>
      <c r="O632" s="94" t="str">
        <f t="array" ref="O632">INDIRECT("Update"&amp;Projections!$AH$17&amp;"!B"&amp;ROW(B613))</f>
        <v/>
      </c>
      <c r="P632" s="414" t="str">
        <f t="array" ref="P632">INDIRECT("Update"&amp;Projections!$AH$17&amp;"!C"&amp;ROW(B613))</f>
        <v/>
      </c>
      <c r="Q632" s="94" t="str">
        <f>UpdateHashtag!F662</f>
        <v/>
      </c>
      <c r="R632" s="105" t="str">
        <f t="array" ref="R632">INDIRECT("Update"&amp;Projections!$AH$17&amp;"!D"&amp;ROW(B613))</f>
        <v/>
      </c>
      <c r="S632" s="73">
        <f t="shared" si="14"/>
        <v>-9.965301026</v>
      </c>
      <c r="T632" s="73">
        <f>SUM(AE632:AM632)-IFERROR(IFS(Projections!$I$17,AN632,Projections!$J$17,AO632),"")</f>
        <v>-9.965301026</v>
      </c>
      <c r="U632" s="73">
        <f t="shared" si="15"/>
        <v>0</v>
      </c>
      <c r="V632" s="73" t="str">
        <f t="array" ref="V632">INDIRECT("Update"&amp;Projections!$AH$17&amp;"!M"&amp;ROW(B613))</f>
        <v/>
      </c>
      <c r="W632" s="73" t="str">
        <f t="array" ref="W632">INDIRECT("Update"&amp;Projections!$AH$17&amp;"!L"&amp;ROW(B613))</f>
        <v/>
      </c>
      <c r="X632" s="73" t="str">
        <f t="array" ref="X632">INDIRECT("Update"&amp;Projections!$AH$17&amp;"!N"&amp;ROW(B613))</f>
        <v/>
      </c>
      <c r="Y632" s="73" t="str">
        <f t="array" ref="Y632">INDIRECT("Update"&amp;Projections!$AH$17&amp;"!O"&amp;ROW(B613))</f>
        <v/>
      </c>
      <c r="Z632" s="73" t="str">
        <f t="array" ref="Z632">INDIRECT("Update"&amp;Projections!$AH$17&amp;"!P"&amp;ROW(B613))</f>
        <v/>
      </c>
      <c r="AA632" s="73" t="str">
        <f t="array" ref="AA632">INDIRECT("Update"&amp;Projections!$AH$17&amp;"!Q"&amp;ROW(B613))</f>
        <v/>
      </c>
      <c r="AB632" s="107" t="str">
        <f t="array" ref="AB632">INDIRECT("Update"&amp;Projections!$AH$17&amp;"!I"&amp;ROW(B613))</f>
        <v/>
      </c>
      <c r="AC632" s="107" t="str">
        <f t="array" ref="AC632">INDIRECT("Update"&amp;Projections!$AH$17&amp;"!K"&amp;ROW(B613))</f>
        <v/>
      </c>
      <c r="AD632" s="73" t="str">
        <f t="array" ref="AD632">INDIRECT("Update"&amp;Projections!$AH$17&amp;"!R"&amp;ROW(B613))</f>
        <v/>
      </c>
      <c r="AE632" s="73">
        <f t="shared" si="16"/>
        <v>-3.155358621</v>
      </c>
      <c r="AF632" s="73">
        <f t="shared" si="17"/>
        <v>-1.740686581</v>
      </c>
      <c r="AG632" s="73">
        <f t="shared" si="18"/>
        <v>-2.380599106</v>
      </c>
      <c r="AH632" s="73">
        <f t="shared" si="19"/>
        <v>-1.79320266</v>
      </c>
      <c r="AI632" s="73">
        <f t="shared" si="20"/>
        <v>-3.240190514</v>
      </c>
      <c r="AJ632" s="73">
        <f t="shared" si="21"/>
        <v>-1.329092151</v>
      </c>
      <c r="AK632" s="73">
        <f t="shared" si="22"/>
        <v>0</v>
      </c>
      <c r="AL632" s="73">
        <f t="shared" si="23"/>
        <v>0</v>
      </c>
      <c r="AM632" s="73">
        <f t="shared" si="24"/>
        <v>0.433638093</v>
      </c>
      <c r="AN632" s="120">
        <f t="shared" si="25"/>
        <v>-3.240190514</v>
      </c>
      <c r="AO632" s="120">
        <f t="shared" si="26"/>
        <v>-6.395549135</v>
      </c>
      <c r="AP632" s="120" t="str">
        <f t="array" ref="AP632">INDIRECT("Update"&amp;Projections!$AH$17&amp;"!S"&amp;ROW(B613))</f>
        <v/>
      </c>
      <c r="AQ632" s="120" t="str">
        <f t="array" ref="AQ632">INDIRECT("Update"&amp;Projections!$AH$17&amp;"!T"&amp;ROW(B613))</f>
        <v/>
      </c>
      <c r="AR632" s="100">
        <f t="shared" si="27"/>
        <v>-9.965301026</v>
      </c>
    </row>
    <row r="633">
      <c r="A633" t="str">
        <f t="shared" si="3"/>
        <v/>
      </c>
      <c r="B633" s="42">
        <f t="shared" si="4"/>
        <v>-3.155358621</v>
      </c>
      <c r="C633" s="43">
        <f t="shared" si="5"/>
        <v>-1.740686581</v>
      </c>
      <c r="D633" s="42">
        <f t="shared" si="6"/>
        <v>-2.380599106</v>
      </c>
      <c r="E633" s="42">
        <f t="shared" si="7"/>
        <v>-1.79320266</v>
      </c>
      <c r="F633" s="42">
        <f t="shared" si="8"/>
        <v>-3.240190514</v>
      </c>
      <c r="G633" s="42">
        <f t="shared" si="9"/>
        <v>-1.329092151</v>
      </c>
      <c r="H633" s="42">
        <f t="shared" si="10"/>
        <v>0</v>
      </c>
      <c r="I633" s="42" t="str">
        <f>UpdateHashtag!S631</f>
        <v/>
      </c>
      <c r="J633" s="47">
        <f t="shared" si="11"/>
        <v>0</v>
      </c>
      <c r="K633" s="48" t="str">
        <f>UpdateHashtag!T631</f>
        <v/>
      </c>
      <c r="L633" s="42">
        <f t="shared" si="12"/>
        <v>-1.734552372</v>
      </c>
      <c r="N633" s="100">
        <f t="shared" si="13"/>
        <v>401</v>
      </c>
      <c r="O633" s="94" t="str">
        <f t="array" ref="O633">INDIRECT("Update"&amp;Projections!$AH$17&amp;"!B"&amp;ROW(B614))</f>
        <v/>
      </c>
      <c r="P633" s="414" t="str">
        <f t="array" ref="P633">INDIRECT("Update"&amp;Projections!$AH$17&amp;"!C"&amp;ROW(B614))</f>
        <v/>
      </c>
      <c r="Q633" s="94" t="str">
        <f>UpdateHashtag!F663</f>
        <v/>
      </c>
      <c r="R633" s="105" t="str">
        <f t="array" ref="R633">INDIRECT("Update"&amp;Projections!$AH$17&amp;"!D"&amp;ROW(B614))</f>
        <v/>
      </c>
      <c r="S633" s="73">
        <f t="shared" si="14"/>
        <v>-9.965301026</v>
      </c>
      <c r="T633" s="73">
        <f>SUM(AE633:AM633)-IFERROR(IFS(Projections!$I$17,AN633,Projections!$J$17,AO633),"")</f>
        <v>-9.965301026</v>
      </c>
      <c r="U633" s="73">
        <f t="shared" si="15"/>
        <v>0</v>
      </c>
      <c r="V633" s="73" t="str">
        <f t="array" ref="V633">INDIRECT("Update"&amp;Projections!$AH$17&amp;"!M"&amp;ROW(B614))</f>
        <v/>
      </c>
      <c r="W633" s="73" t="str">
        <f t="array" ref="W633">INDIRECT("Update"&amp;Projections!$AH$17&amp;"!L"&amp;ROW(B614))</f>
        <v/>
      </c>
      <c r="X633" s="73" t="str">
        <f t="array" ref="X633">INDIRECT("Update"&amp;Projections!$AH$17&amp;"!N"&amp;ROW(B614))</f>
        <v/>
      </c>
      <c r="Y633" s="73" t="str">
        <f t="array" ref="Y633">INDIRECT("Update"&amp;Projections!$AH$17&amp;"!O"&amp;ROW(B614))</f>
        <v/>
      </c>
      <c r="Z633" s="73" t="str">
        <f t="array" ref="Z633">INDIRECT("Update"&amp;Projections!$AH$17&amp;"!P"&amp;ROW(B614))</f>
        <v/>
      </c>
      <c r="AA633" s="73" t="str">
        <f t="array" ref="AA633">INDIRECT("Update"&amp;Projections!$AH$17&amp;"!Q"&amp;ROW(B614))</f>
        <v/>
      </c>
      <c r="AB633" s="107" t="str">
        <f t="array" ref="AB633">INDIRECT("Update"&amp;Projections!$AH$17&amp;"!I"&amp;ROW(B614))</f>
        <v/>
      </c>
      <c r="AC633" s="107" t="str">
        <f t="array" ref="AC633">INDIRECT("Update"&amp;Projections!$AH$17&amp;"!K"&amp;ROW(B614))</f>
        <v/>
      </c>
      <c r="AD633" s="73" t="str">
        <f t="array" ref="AD633">INDIRECT("Update"&amp;Projections!$AH$17&amp;"!R"&amp;ROW(B614))</f>
        <v/>
      </c>
      <c r="AE633" s="73">
        <f t="shared" si="16"/>
        <v>-3.155358621</v>
      </c>
      <c r="AF633" s="73">
        <f t="shared" si="17"/>
        <v>-1.740686581</v>
      </c>
      <c r="AG633" s="73">
        <f t="shared" si="18"/>
        <v>-2.380599106</v>
      </c>
      <c r="AH633" s="73">
        <f t="shared" si="19"/>
        <v>-1.79320266</v>
      </c>
      <c r="AI633" s="73">
        <f t="shared" si="20"/>
        <v>-3.240190514</v>
      </c>
      <c r="AJ633" s="73">
        <f t="shared" si="21"/>
        <v>-1.329092151</v>
      </c>
      <c r="AK633" s="73">
        <f t="shared" si="22"/>
        <v>0</v>
      </c>
      <c r="AL633" s="73">
        <f t="shared" si="23"/>
        <v>0</v>
      </c>
      <c r="AM633" s="73">
        <f t="shared" si="24"/>
        <v>0.433638093</v>
      </c>
      <c r="AN633" s="120">
        <f t="shared" si="25"/>
        <v>-3.240190514</v>
      </c>
      <c r="AO633" s="120">
        <f t="shared" si="26"/>
        <v>-6.395549135</v>
      </c>
      <c r="AP633" s="120" t="str">
        <f t="array" ref="AP633">INDIRECT("Update"&amp;Projections!$AH$17&amp;"!S"&amp;ROW(B614))</f>
        <v/>
      </c>
      <c r="AQ633" s="120" t="str">
        <f t="array" ref="AQ633">INDIRECT("Update"&amp;Projections!$AH$17&amp;"!T"&amp;ROW(B614))</f>
        <v/>
      </c>
      <c r="AR633" s="100">
        <f t="shared" si="27"/>
        <v>-9.965301026</v>
      </c>
    </row>
    <row r="634">
      <c r="A634" t="str">
        <f t="shared" si="3"/>
        <v/>
      </c>
      <c r="B634" s="42">
        <f t="shared" si="4"/>
        <v>-3.155358621</v>
      </c>
      <c r="C634" s="43">
        <f t="shared" si="5"/>
        <v>-1.740686581</v>
      </c>
      <c r="D634" s="42">
        <f t="shared" si="6"/>
        <v>-2.380599106</v>
      </c>
      <c r="E634" s="42">
        <f t="shared" si="7"/>
        <v>-1.79320266</v>
      </c>
      <c r="F634" s="42">
        <f t="shared" si="8"/>
        <v>-3.240190514</v>
      </c>
      <c r="G634" s="42">
        <f t="shared" si="9"/>
        <v>-1.329092151</v>
      </c>
      <c r="H634" s="42">
        <f t="shared" si="10"/>
        <v>0</v>
      </c>
      <c r="I634" s="42" t="str">
        <f>UpdateHashtag!S632</f>
        <v/>
      </c>
      <c r="J634" s="47">
        <f t="shared" si="11"/>
        <v>0</v>
      </c>
      <c r="K634" s="48" t="str">
        <f>UpdateHashtag!T632</f>
        <v/>
      </c>
      <c r="L634" s="42">
        <f t="shared" si="12"/>
        <v>-1.734552372</v>
      </c>
      <c r="N634" s="100">
        <f t="shared" si="13"/>
        <v>401</v>
      </c>
      <c r="O634" s="94" t="str">
        <f t="array" ref="O634">INDIRECT("Update"&amp;Projections!$AH$17&amp;"!B"&amp;ROW(B615))</f>
        <v/>
      </c>
      <c r="P634" s="414" t="str">
        <f t="array" ref="P634">INDIRECT("Update"&amp;Projections!$AH$17&amp;"!C"&amp;ROW(B615))</f>
        <v/>
      </c>
      <c r="Q634" s="94" t="str">
        <f>UpdateHashtag!F664</f>
        <v/>
      </c>
      <c r="R634" s="105" t="str">
        <f t="array" ref="R634">INDIRECT("Update"&amp;Projections!$AH$17&amp;"!D"&amp;ROW(B615))</f>
        <v/>
      </c>
      <c r="S634" s="73">
        <f t="shared" si="14"/>
        <v>-9.965301026</v>
      </c>
      <c r="T634" s="73">
        <f>SUM(AE634:AM634)-IFERROR(IFS(Projections!$I$17,AN634,Projections!$J$17,AO634),"")</f>
        <v>-9.965301026</v>
      </c>
      <c r="U634" s="73">
        <f t="shared" si="15"/>
        <v>0</v>
      </c>
      <c r="V634" s="73" t="str">
        <f t="array" ref="V634">INDIRECT("Update"&amp;Projections!$AH$17&amp;"!M"&amp;ROW(B615))</f>
        <v/>
      </c>
      <c r="W634" s="73" t="str">
        <f t="array" ref="W634">INDIRECT("Update"&amp;Projections!$AH$17&amp;"!L"&amp;ROW(B615))</f>
        <v/>
      </c>
      <c r="X634" s="73" t="str">
        <f t="array" ref="X634">INDIRECT("Update"&amp;Projections!$AH$17&amp;"!N"&amp;ROW(B615))</f>
        <v/>
      </c>
      <c r="Y634" s="73" t="str">
        <f t="array" ref="Y634">INDIRECT("Update"&amp;Projections!$AH$17&amp;"!O"&amp;ROW(B615))</f>
        <v/>
      </c>
      <c r="Z634" s="73" t="str">
        <f t="array" ref="Z634">INDIRECT("Update"&amp;Projections!$AH$17&amp;"!P"&amp;ROW(B615))</f>
        <v/>
      </c>
      <c r="AA634" s="73" t="str">
        <f t="array" ref="AA634">INDIRECT("Update"&amp;Projections!$AH$17&amp;"!Q"&amp;ROW(B615))</f>
        <v/>
      </c>
      <c r="AB634" s="107" t="str">
        <f t="array" ref="AB634">INDIRECT("Update"&amp;Projections!$AH$17&amp;"!I"&amp;ROW(B615))</f>
        <v/>
      </c>
      <c r="AC634" s="107" t="str">
        <f t="array" ref="AC634">INDIRECT("Update"&amp;Projections!$AH$17&amp;"!K"&amp;ROW(B615))</f>
        <v/>
      </c>
      <c r="AD634" s="73" t="str">
        <f t="array" ref="AD634">INDIRECT("Update"&amp;Projections!$AH$17&amp;"!R"&amp;ROW(B615))</f>
        <v/>
      </c>
      <c r="AE634" s="73">
        <f t="shared" si="16"/>
        <v>-3.155358621</v>
      </c>
      <c r="AF634" s="73">
        <f t="shared" si="17"/>
        <v>-1.740686581</v>
      </c>
      <c r="AG634" s="73">
        <f t="shared" si="18"/>
        <v>-2.380599106</v>
      </c>
      <c r="AH634" s="73">
        <f t="shared" si="19"/>
        <v>-1.79320266</v>
      </c>
      <c r="AI634" s="73">
        <f t="shared" si="20"/>
        <v>-3.240190514</v>
      </c>
      <c r="AJ634" s="73">
        <f t="shared" si="21"/>
        <v>-1.329092151</v>
      </c>
      <c r="AK634" s="73">
        <f t="shared" si="22"/>
        <v>0</v>
      </c>
      <c r="AL634" s="73">
        <f t="shared" si="23"/>
        <v>0</v>
      </c>
      <c r="AM634" s="73">
        <f t="shared" si="24"/>
        <v>0.433638093</v>
      </c>
      <c r="AN634" s="120">
        <f t="shared" si="25"/>
        <v>-3.240190514</v>
      </c>
      <c r="AO634" s="120">
        <f t="shared" si="26"/>
        <v>-6.395549135</v>
      </c>
      <c r="AP634" s="120" t="str">
        <f t="array" ref="AP634">INDIRECT("Update"&amp;Projections!$AH$17&amp;"!S"&amp;ROW(B615))</f>
        <v/>
      </c>
      <c r="AQ634" s="120" t="str">
        <f t="array" ref="AQ634">INDIRECT("Update"&amp;Projections!$AH$17&amp;"!T"&amp;ROW(B615))</f>
        <v/>
      </c>
      <c r="AR634" s="100">
        <f t="shared" si="27"/>
        <v>-9.965301026</v>
      </c>
    </row>
    <row r="635">
      <c r="A635" t="str">
        <f t="shared" si="3"/>
        <v/>
      </c>
      <c r="B635" s="42">
        <f t="shared" si="4"/>
        <v>-3.155358621</v>
      </c>
      <c r="C635" s="43">
        <f t="shared" si="5"/>
        <v>-1.740686581</v>
      </c>
      <c r="D635" s="42">
        <f t="shared" si="6"/>
        <v>-2.380599106</v>
      </c>
      <c r="E635" s="42">
        <f t="shared" si="7"/>
        <v>-1.79320266</v>
      </c>
      <c r="F635" s="42">
        <f t="shared" si="8"/>
        <v>-3.240190514</v>
      </c>
      <c r="G635" s="42">
        <f t="shared" si="9"/>
        <v>-1.329092151</v>
      </c>
      <c r="H635" s="42">
        <f t="shared" si="10"/>
        <v>0</v>
      </c>
      <c r="I635" s="42" t="str">
        <f>UpdateHashtag!S633</f>
        <v/>
      </c>
      <c r="J635" s="47">
        <f t="shared" si="11"/>
        <v>0</v>
      </c>
      <c r="K635" s="48" t="str">
        <f>UpdateHashtag!T633</f>
        <v/>
      </c>
      <c r="L635" s="42">
        <f t="shared" si="12"/>
        <v>-1.734552372</v>
      </c>
      <c r="N635" s="100">
        <f t="shared" si="13"/>
        <v>401</v>
      </c>
      <c r="O635" s="94" t="str">
        <f t="array" ref="O635">INDIRECT("Update"&amp;Projections!$AH$17&amp;"!B"&amp;ROW(B616))</f>
        <v/>
      </c>
      <c r="P635" s="414" t="str">
        <f t="array" ref="P635">INDIRECT("Update"&amp;Projections!$AH$17&amp;"!C"&amp;ROW(B616))</f>
        <v/>
      </c>
      <c r="Q635" s="94" t="str">
        <f>UpdateHashtag!F665</f>
        <v/>
      </c>
      <c r="R635" s="105" t="str">
        <f t="array" ref="R635">INDIRECT("Update"&amp;Projections!$AH$17&amp;"!D"&amp;ROW(B616))</f>
        <v/>
      </c>
      <c r="S635" s="73">
        <f t="shared" si="14"/>
        <v>-9.965301026</v>
      </c>
      <c r="T635" s="73">
        <f>SUM(AE635:AM635)-IFERROR(IFS(Projections!$I$17,AN635,Projections!$J$17,AO635),"")</f>
        <v>-9.965301026</v>
      </c>
      <c r="U635" s="73">
        <f t="shared" si="15"/>
        <v>0</v>
      </c>
      <c r="V635" s="73" t="str">
        <f t="array" ref="V635">INDIRECT("Update"&amp;Projections!$AH$17&amp;"!M"&amp;ROW(B616))</f>
        <v/>
      </c>
      <c r="W635" s="73" t="str">
        <f t="array" ref="W635">INDIRECT("Update"&amp;Projections!$AH$17&amp;"!L"&amp;ROW(B616))</f>
        <v/>
      </c>
      <c r="X635" s="73" t="str">
        <f t="array" ref="X635">INDIRECT("Update"&amp;Projections!$AH$17&amp;"!N"&amp;ROW(B616))</f>
        <v/>
      </c>
      <c r="Y635" s="73" t="str">
        <f t="array" ref="Y635">INDIRECT("Update"&amp;Projections!$AH$17&amp;"!O"&amp;ROW(B616))</f>
        <v/>
      </c>
      <c r="Z635" s="73" t="str">
        <f t="array" ref="Z635">INDIRECT("Update"&amp;Projections!$AH$17&amp;"!P"&amp;ROW(B616))</f>
        <v/>
      </c>
      <c r="AA635" s="73" t="str">
        <f t="array" ref="AA635">INDIRECT("Update"&amp;Projections!$AH$17&amp;"!Q"&amp;ROW(B616))</f>
        <v/>
      </c>
      <c r="AB635" s="107" t="str">
        <f t="array" ref="AB635">INDIRECT("Update"&amp;Projections!$AH$17&amp;"!I"&amp;ROW(B616))</f>
        <v/>
      </c>
      <c r="AC635" s="107" t="str">
        <f t="array" ref="AC635">INDIRECT("Update"&amp;Projections!$AH$17&amp;"!K"&amp;ROW(B616))</f>
        <v/>
      </c>
      <c r="AD635" s="73" t="str">
        <f t="array" ref="AD635">INDIRECT("Update"&amp;Projections!$AH$17&amp;"!R"&amp;ROW(B616))</f>
        <v/>
      </c>
      <c r="AE635" s="73">
        <f t="shared" si="16"/>
        <v>-3.155358621</v>
      </c>
      <c r="AF635" s="73">
        <f t="shared" si="17"/>
        <v>-1.740686581</v>
      </c>
      <c r="AG635" s="73">
        <f t="shared" si="18"/>
        <v>-2.380599106</v>
      </c>
      <c r="AH635" s="73">
        <f t="shared" si="19"/>
        <v>-1.79320266</v>
      </c>
      <c r="AI635" s="73">
        <f t="shared" si="20"/>
        <v>-3.240190514</v>
      </c>
      <c r="AJ635" s="73">
        <f t="shared" si="21"/>
        <v>-1.329092151</v>
      </c>
      <c r="AK635" s="73">
        <f t="shared" si="22"/>
        <v>0</v>
      </c>
      <c r="AL635" s="73">
        <f t="shared" si="23"/>
        <v>0</v>
      </c>
      <c r="AM635" s="73">
        <f t="shared" si="24"/>
        <v>0.433638093</v>
      </c>
      <c r="AN635" s="120">
        <f t="shared" si="25"/>
        <v>-3.240190514</v>
      </c>
      <c r="AO635" s="120">
        <f t="shared" si="26"/>
        <v>-6.395549135</v>
      </c>
      <c r="AP635" s="120" t="str">
        <f t="array" ref="AP635">INDIRECT("Update"&amp;Projections!$AH$17&amp;"!S"&amp;ROW(B616))</f>
        <v/>
      </c>
      <c r="AQ635" s="120" t="str">
        <f t="array" ref="AQ635">INDIRECT("Update"&amp;Projections!$AH$17&amp;"!T"&amp;ROW(B616))</f>
        <v/>
      </c>
      <c r="AR635" s="100">
        <f t="shared" si="27"/>
        <v>-9.965301026</v>
      </c>
    </row>
    <row r="636">
      <c r="A636" t="str">
        <f t="shared" si="3"/>
        <v/>
      </c>
      <c r="B636" s="42">
        <f t="shared" si="4"/>
        <v>-3.155358621</v>
      </c>
      <c r="C636" s="43">
        <f t="shared" si="5"/>
        <v>-1.740686581</v>
      </c>
      <c r="D636" s="42">
        <f t="shared" si="6"/>
        <v>-2.380599106</v>
      </c>
      <c r="E636" s="42">
        <f t="shared" si="7"/>
        <v>-1.79320266</v>
      </c>
      <c r="F636" s="42">
        <f t="shared" si="8"/>
        <v>-3.240190514</v>
      </c>
      <c r="G636" s="42">
        <f t="shared" si="9"/>
        <v>-1.329092151</v>
      </c>
      <c r="H636" s="42">
        <f t="shared" si="10"/>
        <v>0</v>
      </c>
      <c r="I636" s="42" t="str">
        <f>UpdateHashtag!S634</f>
        <v/>
      </c>
      <c r="J636" s="47">
        <f t="shared" si="11"/>
        <v>0</v>
      </c>
      <c r="K636" s="48" t="str">
        <f>UpdateHashtag!T634</f>
        <v/>
      </c>
      <c r="L636" s="42">
        <f t="shared" si="12"/>
        <v>-1.734552372</v>
      </c>
      <c r="N636" s="100">
        <f t="shared" si="13"/>
        <v>401</v>
      </c>
      <c r="O636" s="94" t="str">
        <f t="array" ref="O636">INDIRECT("Update"&amp;Projections!$AH$17&amp;"!B"&amp;ROW(B617))</f>
        <v/>
      </c>
      <c r="P636" s="414" t="str">
        <f t="array" ref="P636">INDIRECT("Update"&amp;Projections!$AH$17&amp;"!C"&amp;ROW(B617))</f>
        <v/>
      </c>
      <c r="Q636" s="94" t="str">
        <f>UpdateHashtag!F666</f>
        <v/>
      </c>
      <c r="R636" s="105" t="str">
        <f t="array" ref="R636">INDIRECT("Update"&amp;Projections!$AH$17&amp;"!D"&amp;ROW(B617))</f>
        <v/>
      </c>
      <c r="S636" s="73">
        <f t="shared" si="14"/>
        <v>-9.965301026</v>
      </c>
      <c r="T636" s="73">
        <f>SUM(AE636:AM636)-IFERROR(IFS(Projections!$I$17,AN636,Projections!$J$17,AO636),"")</f>
        <v>-9.965301026</v>
      </c>
      <c r="U636" s="73">
        <f t="shared" si="15"/>
        <v>0</v>
      </c>
      <c r="V636" s="73" t="str">
        <f t="array" ref="V636">INDIRECT("Update"&amp;Projections!$AH$17&amp;"!M"&amp;ROW(B617))</f>
        <v/>
      </c>
      <c r="W636" s="73" t="str">
        <f t="array" ref="W636">INDIRECT("Update"&amp;Projections!$AH$17&amp;"!L"&amp;ROW(B617))</f>
        <v/>
      </c>
      <c r="X636" s="73" t="str">
        <f t="array" ref="X636">INDIRECT("Update"&amp;Projections!$AH$17&amp;"!N"&amp;ROW(B617))</f>
        <v/>
      </c>
      <c r="Y636" s="73" t="str">
        <f t="array" ref="Y636">INDIRECT("Update"&amp;Projections!$AH$17&amp;"!O"&amp;ROW(B617))</f>
        <v/>
      </c>
      <c r="Z636" s="73" t="str">
        <f t="array" ref="Z636">INDIRECT("Update"&amp;Projections!$AH$17&amp;"!P"&amp;ROW(B617))</f>
        <v/>
      </c>
      <c r="AA636" s="73" t="str">
        <f t="array" ref="AA636">INDIRECT("Update"&amp;Projections!$AH$17&amp;"!Q"&amp;ROW(B617))</f>
        <v/>
      </c>
      <c r="AB636" s="107" t="str">
        <f t="array" ref="AB636">INDIRECT("Update"&amp;Projections!$AH$17&amp;"!I"&amp;ROW(B617))</f>
        <v/>
      </c>
      <c r="AC636" s="107" t="str">
        <f t="array" ref="AC636">INDIRECT("Update"&amp;Projections!$AH$17&amp;"!K"&amp;ROW(B617))</f>
        <v/>
      </c>
      <c r="AD636" s="73" t="str">
        <f t="array" ref="AD636">INDIRECT("Update"&amp;Projections!$AH$17&amp;"!R"&amp;ROW(B617))</f>
        <v/>
      </c>
      <c r="AE636" s="73">
        <f t="shared" si="16"/>
        <v>-3.155358621</v>
      </c>
      <c r="AF636" s="73">
        <f t="shared" si="17"/>
        <v>-1.740686581</v>
      </c>
      <c r="AG636" s="73">
        <f t="shared" si="18"/>
        <v>-2.380599106</v>
      </c>
      <c r="AH636" s="73">
        <f t="shared" si="19"/>
        <v>-1.79320266</v>
      </c>
      <c r="AI636" s="73">
        <f t="shared" si="20"/>
        <v>-3.240190514</v>
      </c>
      <c r="AJ636" s="73">
        <f t="shared" si="21"/>
        <v>-1.329092151</v>
      </c>
      <c r="AK636" s="73">
        <f t="shared" si="22"/>
        <v>0</v>
      </c>
      <c r="AL636" s="73">
        <f t="shared" si="23"/>
        <v>0</v>
      </c>
      <c r="AM636" s="73">
        <f t="shared" si="24"/>
        <v>0.433638093</v>
      </c>
      <c r="AN636" s="120">
        <f t="shared" si="25"/>
        <v>-3.240190514</v>
      </c>
      <c r="AO636" s="120">
        <f t="shared" si="26"/>
        <v>-6.395549135</v>
      </c>
      <c r="AP636" s="120" t="str">
        <f t="array" ref="AP636">INDIRECT("Update"&amp;Projections!$AH$17&amp;"!S"&amp;ROW(B617))</f>
        <v/>
      </c>
      <c r="AQ636" s="120" t="str">
        <f t="array" ref="AQ636">INDIRECT("Update"&amp;Projections!$AH$17&amp;"!T"&amp;ROW(B617))</f>
        <v/>
      </c>
      <c r="AR636" s="100">
        <f t="shared" si="27"/>
        <v>-9.965301026</v>
      </c>
    </row>
    <row r="637">
      <c r="A637" t="str">
        <f t="shared" si="3"/>
        <v/>
      </c>
      <c r="B637" s="42">
        <f t="shared" si="4"/>
        <v>-3.155358621</v>
      </c>
      <c r="C637" s="43">
        <f t="shared" si="5"/>
        <v>-1.740686581</v>
      </c>
      <c r="D637" s="42">
        <f t="shared" si="6"/>
        <v>-2.380599106</v>
      </c>
      <c r="E637" s="42">
        <f t="shared" si="7"/>
        <v>-1.79320266</v>
      </c>
      <c r="F637" s="42">
        <f t="shared" si="8"/>
        <v>-3.240190514</v>
      </c>
      <c r="G637" s="42">
        <f t="shared" si="9"/>
        <v>-1.329092151</v>
      </c>
      <c r="H637" s="42">
        <f t="shared" si="10"/>
        <v>0</v>
      </c>
      <c r="I637" s="42" t="str">
        <f>UpdateHashtag!S635</f>
        <v/>
      </c>
      <c r="J637" s="47">
        <f t="shared" si="11"/>
        <v>0</v>
      </c>
      <c r="K637" s="48" t="str">
        <f>UpdateHashtag!T635</f>
        <v/>
      </c>
      <c r="L637" s="42">
        <f t="shared" si="12"/>
        <v>-1.734552372</v>
      </c>
      <c r="N637" s="100">
        <f t="shared" si="13"/>
        <v>401</v>
      </c>
      <c r="O637" s="94" t="str">
        <f t="array" ref="O637">INDIRECT("Update"&amp;Projections!$AH$17&amp;"!B"&amp;ROW(B618))</f>
        <v/>
      </c>
      <c r="P637" s="414" t="str">
        <f t="array" ref="P637">INDIRECT("Update"&amp;Projections!$AH$17&amp;"!C"&amp;ROW(B618))</f>
        <v/>
      </c>
      <c r="Q637" s="94" t="str">
        <f>UpdateHashtag!F667</f>
        <v/>
      </c>
      <c r="R637" s="105" t="str">
        <f t="array" ref="R637">INDIRECT("Update"&amp;Projections!$AH$17&amp;"!D"&amp;ROW(B618))</f>
        <v/>
      </c>
      <c r="S637" s="73">
        <f t="shared" si="14"/>
        <v>-9.965301026</v>
      </c>
      <c r="T637" s="73">
        <f>SUM(AE637:AM637)-IFERROR(IFS(Projections!$I$17,AN637,Projections!$J$17,AO637),"")</f>
        <v>-9.965301026</v>
      </c>
      <c r="U637" s="73">
        <f t="shared" si="15"/>
        <v>0</v>
      </c>
      <c r="V637" s="73" t="str">
        <f t="array" ref="V637">INDIRECT("Update"&amp;Projections!$AH$17&amp;"!M"&amp;ROW(B618))</f>
        <v/>
      </c>
      <c r="W637" s="73" t="str">
        <f t="array" ref="W637">INDIRECT("Update"&amp;Projections!$AH$17&amp;"!L"&amp;ROW(B618))</f>
        <v/>
      </c>
      <c r="X637" s="73" t="str">
        <f t="array" ref="X637">INDIRECT("Update"&amp;Projections!$AH$17&amp;"!N"&amp;ROW(B618))</f>
        <v/>
      </c>
      <c r="Y637" s="73" t="str">
        <f t="array" ref="Y637">INDIRECT("Update"&amp;Projections!$AH$17&amp;"!O"&amp;ROW(B618))</f>
        <v/>
      </c>
      <c r="Z637" s="73" t="str">
        <f t="array" ref="Z637">INDIRECT("Update"&amp;Projections!$AH$17&amp;"!P"&amp;ROW(B618))</f>
        <v/>
      </c>
      <c r="AA637" s="73" t="str">
        <f t="array" ref="AA637">INDIRECT("Update"&amp;Projections!$AH$17&amp;"!Q"&amp;ROW(B618))</f>
        <v/>
      </c>
      <c r="AB637" s="107" t="str">
        <f t="array" ref="AB637">INDIRECT("Update"&amp;Projections!$AH$17&amp;"!I"&amp;ROW(B618))</f>
        <v/>
      </c>
      <c r="AC637" s="107" t="str">
        <f t="array" ref="AC637">INDIRECT("Update"&amp;Projections!$AH$17&amp;"!K"&amp;ROW(B618))</f>
        <v/>
      </c>
      <c r="AD637" s="73" t="str">
        <f t="array" ref="AD637">INDIRECT("Update"&amp;Projections!$AH$17&amp;"!R"&amp;ROW(B618))</f>
        <v/>
      </c>
      <c r="AE637" s="73">
        <f t="shared" si="16"/>
        <v>-3.155358621</v>
      </c>
      <c r="AF637" s="73">
        <f t="shared" si="17"/>
        <v>-1.740686581</v>
      </c>
      <c r="AG637" s="73">
        <f t="shared" si="18"/>
        <v>-2.380599106</v>
      </c>
      <c r="AH637" s="73">
        <f t="shared" si="19"/>
        <v>-1.79320266</v>
      </c>
      <c r="AI637" s="73">
        <f t="shared" si="20"/>
        <v>-3.240190514</v>
      </c>
      <c r="AJ637" s="73">
        <f t="shared" si="21"/>
        <v>-1.329092151</v>
      </c>
      <c r="AK637" s="73">
        <f t="shared" si="22"/>
        <v>0</v>
      </c>
      <c r="AL637" s="73">
        <f t="shared" si="23"/>
        <v>0</v>
      </c>
      <c r="AM637" s="73">
        <f t="shared" si="24"/>
        <v>0.433638093</v>
      </c>
      <c r="AN637" s="120">
        <f t="shared" si="25"/>
        <v>-3.240190514</v>
      </c>
      <c r="AO637" s="120">
        <f t="shared" si="26"/>
        <v>-6.395549135</v>
      </c>
      <c r="AP637" s="120" t="str">
        <f t="array" ref="AP637">INDIRECT("Update"&amp;Projections!$AH$17&amp;"!S"&amp;ROW(B618))</f>
        <v/>
      </c>
      <c r="AQ637" s="120" t="str">
        <f t="array" ref="AQ637">INDIRECT("Update"&amp;Projections!$AH$17&amp;"!T"&amp;ROW(B618))</f>
        <v/>
      </c>
      <c r="AR637" s="100">
        <f t="shared" si="27"/>
        <v>-9.965301026</v>
      </c>
    </row>
    <row r="638">
      <c r="A638" t="str">
        <f t="shared" si="3"/>
        <v/>
      </c>
      <c r="B638" s="42">
        <f t="shared" si="4"/>
        <v>-3.155358621</v>
      </c>
      <c r="C638" s="43">
        <f t="shared" si="5"/>
        <v>-1.740686581</v>
      </c>
      <c r="D638" s="42">
        <f t="shared" si="6"/>
        <v>-2.380599106</v>
      </c>
      <c r="E638" s="42">
        <f t="shared" si="7"/>
        <v>-1.79320266</v>
      </c>
      <c r="F638" s="42">
        <f t="shared" si="8"/>
        <v>-3.240190514</v>
      </c>
      <c r="G638" s="42">
        <f t="shared" si="9"/>
        <v>-1.329092151</v>
      </c>
      <c r="H638" s="42">
        <f t="shared" si="10"/>
        <v>0</v>
      </c>
      <c r="I638" s="42" t="str">
        <f>UpdateHashtag!S636</f>
        <v/>
      </c>
      <c r="J638" s="47">
        <f t="shared" si="11"/>
        <v>0</v>
      </c>
      <c r="K638" s="48" t="str">
        <f>UpdateHashtag!T636</f>
        <v/>
      </c>
      <c r="L638" s="42">
        <f t="shared" si="12"/>
        <v>-1.734552372</v>
      </c>
      <c r="N638" s="100">
        <f t="shared" si="13"/>
        <v>401</v>
      </c>
      <c r="O638" s="94" t="str">
        <f t="array" ref="O638">INDIRECT("Update"&amp;Projections!$AH$17&amp;"!B"&amp;ROW(B619))</f>
        <v/>
      </c>
      <c r="P638" s="414" t="str">
        <f t="array" ref="P638">INDIRECT("Update"&amp;Projections!$AH$17&amp;"!C"&amp;ROW(B619))</f>
        <v/>
      </c>
      <c r="Q638" s="94" t="str">
        <f>UpdateHashtag!F668</f>
        <v/>
      </c>
      <c r="R638" s="105" t="str">
        <f t="array" ref="R638">INDIRECT("Update"&amp;Projections!$AH$17&amp;"!D"&amp;ROW(B619))</f>
        <v/>
      </c>
      <c r="S638" s="73">
        <f t="shared" si="14"/>
        <v>-9.965301026</v>
      </c>
      <c r="T638" s="73">
        <f>SUM(AE638:AM638)-IFERROR(IFS(Projections!$I$17,AN638,Projections!$J$17,AO638),"")</f>
        <v>-9.965301026</v>
      </c>
      <c r="U638" s="73">
        <f t="shared" si="15"/>
        <v>0</v>
      </c>
      <c r="V638" s="73" t="str">
        <f t="array" ref="V638">INDIRECT("Update"&amp;Projections!$AH$17&amp;"!M"&amp;ROW(B619))</f>
        <v/>
      </c>
      <c r="W638" s="73" t="str">
        <f t="array" ref="W638">INDIRECT("Update"&amp;Projections!$AH$17&amp;"!L"&amp;ROW(B619))</f>
        <v/>
      </c>
      <c r="X638" s="73" t="str">
        <f t="array" ref="X638">INDIRECT("Update"&amp;Projections!$AH$17&amp;"!N"&amp;ROW(B619))</f>
        <v/>
      </c>
      <c r="Y638" s="73" t="str">
        <f t="array" ref="Y638">INDIRECT("Update"&amp;Projections!$AH$17&amp;"!O"&amp;ROW(B619))</f>
        <v/>
      </c>
      <c r="Z638" s="73" t="str">
        <f t="array" ref="Z638">INDIRECT("Update"&amp;Projections!$AH$17&amp;"!P"&amp;ROW(B619))</f>
        <v/>
      </c>
      <c r="AA638" s="73" t="str">
        <f t="array" ref="AA638">INDIRECT("Update"&amp;Projections!$AH$17&amp;"!Q"&amp;ROW(B619))</f>
        <v/>
      </c>
      <c r="AB638" s="107" t="str">
        <f t="array" ref="AB638">INDIRECT("Update"&amp;Projections!$AH$17&amp;"!I"&amp;ROW(B619))</f>
        <v/>
      </c>
      <c r="AC638" s="107" t="str">
        <f t="array" ref="AC638">INDIRECT("Update"&amp;Projections!$AH$17&amp;"!K"&amp;ROW(B619))</f>
        <v/>
      </c>
      <c r="AD638" s="73" t="str">
        <f t="array" ref="AD638">INDIRECT("Update"&amp;Projections!$AH$17&amp;"!R"&amp;ROW(B619))</f>
        <v/>
      </c>
      <c r="AE638" s="73">
        <f t="shared" si="16"/>
        <v>-3.155358621</v>
      </c>
      <c r="AF638" s="73">
        <f t="shared" si="17"/>
        <v>-1.740686581</v>
      </c>
      <c r="AG638" s="73">
        <f t="shared" si="18"/>
        <v>-2.380599106</v>
      </c>
      <c r="AH638" s="73">
        <f t="shared" si="19"/>
        <v>-1.79320266</v>
      </c>
      <c r="AI638" s="73">
        <f t="shared" si="20"/>
        <v>-3.240190514</v>
      </c>
      <c r="AJ638" s="73">
        <f t="shared" si="21"/>
        <v>-1.329092151</v>
      </c>
      <c r="AK638" s="73">
        <f t="shared" si="22"/>
        <v>0</v>
      </c>
      <c r="AL638" s="73">
        <f t="shared" si="23"/>
        <v>0</v>
      </c>
      <c r="AM638" s="73">
        <f t="shared" si="24"/>
        <v>0.433638093</v>
      </c>
      <c r="AN638" s="120">
        <f t="shared" si="25"/>
        <v>-3.240190514</v>
      </c>
      <c r="AO638" s="120">
        <f t="shared" si="26"/>
        <v>-6.395549135</v>
      </c>
      <c r="AP638" s="120" t="str">
        <f t="array" ref="AP638">INDIRECT("Update"&amp;Projections!$AH$17&amp;"!S"&amp;ROW(B619))</f>
        <v/>
      </c>
      <c r="AQ638" s="120" t="str">
        <f t="array" ref="AQ638">INDIRECT("Update"&amp;Projections!$AH$17&amp;"!T"&amp;ROW(B619))</f>
        <v/>
      </c>
      <c r="AR638" s="100">
        <f t="shared" si="27"/>
        <v>-9.965301026</v>
      </c>
    </row>
    <row r="639">
      <c r="A639" t="str">
        <f t="shared" si="3"/>
        <v/>
      </c>
      <c r="B639" s="42">
        <f t="shared" si="4"/>
        <v>-3.155358621</v>
      </c>
      <c r="C639" s="43">
        <f t="shared" si="5"/>
        <v>-1.740686581</v>
      </c>
      <c r="D639" s="42">
        <f t="shared" si="6"/>
        <v>-2.380599106</v>
      </c>
      <c r="E639" s="42">
        <f t="shared" si="7"/>
        <v>-1.79320266</v>
      </c>
      <c r="F639" s="42">
        <f t="shared" si="8"/>
        <v>-3.240190514</v>
      </c>
      <c r="G639" s="42">
        <f t="shared" si="9"/>
        <v>-1.329092151</v>
      </c>
      <c r="H639" s="42">
        <f t="shared" si="10"/>
        <v>0</v>
      </c>
      <c r="I639" s="42" t="str">
        <f>UpdateHashtag!S637</f>
        <v/>
      </c>
      <c r="J639" s="47">
        <f t="shared" si="11"/>
        <v>0</v>
      </c>
      <c r="K639" s="48" t="str">
        <f>UpdateHashtag!T637</f>
        <v/>
      </c>
      <c r="L639" s="42">
        <f t="shared" si="12"/>
        <v>-1.734552372</v>
      </c>
      <c r="N639" s="100">
        <f t="shared" si="13"/>
        <v>401</v>
      </c>
      <c r="O639" s="94" t="str">
        <f t="array" ref="O639">INDIRECT("Update"&amp;Projections!$AH$17&amp;"!B"&amp;ROW(B620))</f>
        <v/>
      </c>
      <c r="P639" s="414" t="str">
        <f t="array" ref="P639">INDIRECT("Update"&amp;Projections!$AH$17&amp;"!C"&amp;ROW(B620))</f>
        <v/>
      </c>
      <c r="Q639" s="94" t="str">
        <f>UpdateHashtag!F669</f>
        <v/>
      </c>
      <c r="R639" s="105" t="str">
        <f t="array" ref="R639">INDIRECT("Update"&amp;Projections!$AH$17&amp;"!D"&amp;ROW(B620))</f>
        <v/>
      </c>
      <c r="S639" s="73">
        <f t="shared" si="14"/>
        <v>-9.965301026</v>
      </c>
      <c r="T639" s="73">
        <f>SUM(AE639:AM639)-IFERROR(IFS(Projections!$I$17,AN639,Projections!$J$17,AO639),"")</f>
        <v>-9.965301026</v>
      </c>
      <c r="U639" s="73">
        <f t="shared" si="15"/>
        <v>0</v>
      </c>
      <c r="V639" s="73" t="str">
        <f t="array" ref="V639">INDIRECT("Update"&amp;Projections!$AH$17&amp;"!M"&amp;ROW(B620))</f>
        <v/>
      </c>
      <c r="W639" s="73" t="str">
        <f t="array" ref="W639">INDIRECT("Update"&amp;Projections!$AH$17&amp;"!L"&amp;ROW(B620))</f>
        <v/>
      </c>
      <c r="X639" s="73" t="str">
        <f t="array" ref="X639">INDIRECT("Update"&amp;Projections!$AH$17&amp;"!N"&amp;ROW(B620))</f>
        <v/>
      </c>
      <c r="Y639" s="73" t="str">
        <f t="array" ref="Y639">INDIRECT("Update"&amp;Projections!$AH$17&amp;"!O"&amp;ROW(B620))</f>
        <v/>
      </c>
      <c r="Z639" s="73" t="str">
        <f t="array" ref="Z639">INDIRECT("Update"&amp;Projections!$AH$17&amp;"!P"&amp;ROW(B620))</f>
        <v/>
      </c>
      <c r="AA639" s="73" t="str">
        <f t="array" ref="AA639">INDIRECT("Update"&amp;Projections!$AH$17&amp;"!Q"&amp;ROW(B620))</f>
        <v/>
      </c>
      <c r="AB639" s="107" t="str">
        <f t="array" ref="AB639">INDIRECT("Update"&amp;Projections!$AH$17&amp;"!I"&amp;ROW(B620))</f>
        <v/>
      </c>
      <c r="AC639" s="107" t="str">
        <f t="array" ref="AC639">INDIRECT("Update"&amp;Projections!$AH$17&amp;"!K"&amp;ROW(B620))</f>
        <v/>
      </c>
      <c r="AD639" s="73" t="str">
        <f t="array" ref="AD639">INDIRECT("Update"&amp;Projections!$AH$17&amp;"!R"&amp;ROW(B620))</f>
        <v/>
      </c>
      <c r="AE639" s="73">
        <f t="shared" si="16"/>
        <v>-3.155358621</v>
      </c>
      <c r="AF639" s="73">
        <f t="shared" si="17"/>
        <v>-1.740686581</v>
      </c>
      <c r="AG639" s="73">
        <f t="shared" si="18"/>
        <v>-2.380599106</v>
      </c>
      <c r="AH639" s="73">
        <f t="shared" si="19"/>
        <v>-1.79320266</v>
      </c>
      <c r="AI639" s="73">
        <f t="shared" si="20"/>
        <v>-3.240190514</v>
      </c>
      <c r="AJ639" s="73">
        <f t="shared" si="21"/>
        <v>-1.329092151</v>
      </c>
      <c r="AK639" s="73">
        <f t="shared" si="22"/>
        <v>0</v>
      </c>
      <c r="AL639" s="73">
        <f t="shared" si="23"/>
        <v>0</v>
      </c>
      <c r="AM639" s="73">
        <f t="shared" si="24"/>
        <v>0.433638093</v>
      </c>
      <c r="AN639" s="120">
        <f t="shared" si="25"/>
        <v>-3.240190514</v>
      </c>
      <c r="AO639" s="120">
        <f t="shared" si="26"/>
        <v>-6.395549135</v>
      </c>
      <c r="AP639" s="120" t="str">
        <f t="array" ref="AP639">INDIRECT("Update"&amp;Projections!$AH$17&amp;"!S"&amp;ROW(B620))</f>
        <v/>
      </c>
      <c r="AQ639" s="120" t="str">
        <f t="array" ref="AQ639">INDIRECT("Update"&amp;Projections!$AH$17&amp;"!T"&amp;ROW(B620))</f>
        <v/>
      </c>
      <c r="AR639" s="100">
        <f t="shared" si="27"/>
        <v>-9.965301026</v>
      </c>
    </row>
    <row r="640">
      <c r="A640" t="str">
        <f t="shared" si="3"/>
        <v/>
      </c>
      <c r="B640" s="42">
        <f t="shared" si="4"/>
        <v>-3.155358621</v>
      </c>
      <c r="C640" s="43">
        <f t="shared" si="5"/>
        <v>-1.740686581</v>
      </c>
      <c r="D640" s="42">
        <f t="shared" si="6"/>
        <v>-2.380599106</v>
      </c>
      <c r="E640" s="42">
        <f t="shared" si="7"/>
        <v>-1.79320266</v>
      </c>
      <c r="F640" s="42">
        <f t="shared" si="8"/>
        <v>-3.240190514</v>
      </c>
      <c r="G640" s="42">
        <f t="shared" si="9"/>
        <v>-1.329092151</v>
      </c>
      <c r="H640" s="42">
        <f t="shared" si="10"/>
        <v>0</v>
      </c>
      <c r="I640" s="42" t="str">
        <f>UpdateHashtag!S638</f>
        <v/>
      </c>
      <c r="J640" s="47">
        <f t="shared" si="11"/>
        <v>0</v>
      </c>
      <c r="K640" s="48" t="str">
        <f>UpdateHashtag!T638</f>
        <v/>
      </c>
      <c r="L640" s="42">
        <f t="shared" si="12"/>
        <v>-1.734552372</v>
      </c>
      <c r="N640" s="100">
        <f t="shared" si="13"/>
        <v>401</v>
      </c>
      <c r="O640" s="94" t="str">
        <f t="array" ref="O640">INDIRECT("Update"&amp;Projections!$AH$17&amp;"!B"&amp;ROW(B621))</f>
        <v/>
      </c>
      <c r="P640" s="414" t="str">
        <f t="array" ref="P640">INDIRECT("Update"&amp;Projections!$AH$17&amp;"!C"&amp;ROW(B621))</f>
        <v/>
      </c>
      <c r="Q640" s="94" t="str">
        <f>UpdateHashtag!F670</f>
        <v/>
      </c>
      <c r="R640" s="105" t="str">
        <f t="array" ref="R640">INDIRECT("Update"&amp;Projections!$AH$17&amp;"!D"&amp;ROW(B621))</f>
        <v/>
      </c>
      <c r="S640" s="73">
        <f t="shared" si="14"/>
        <v>-9.965301026</v>
      </c>
      <c r="T640" s="73">
        <f>SUM(AE640:AM640)-IFERROR(IFS(Projections!$I$17,AN640,Projections!$J$17,AO640),"")</f>
        <v>-9.965301026</v>
      </c>
      <c r="U640" s="73">
        <f t="shared" si="15"/>
        <v>0</v>
      </c>
      <c r="V640" s="73" t="str">
        <f t="array" ref="V640">INDIRECT("Update"&amp;Projections!$AH$17&amp;"!M"&amp;ROW(B621))</f>
        <v/>
      </c>
      <c r="W640" s="73" t="str">
        <f t="array" ref="W640">INDIRECT("Update"&amp;Projections!$AH$17&amp;"!L"&amp;ROW(B621))</f>
        <v/>
      </c>
      <c r="X640" s="73" t="str">
        <f t="array" ref="X640">INDIRECT("Update"&amp;Projections!$AH$17&amp;"!N"&amp;ROW(B621))</f>
        <v/>
      </c>
      <c r="Y640" s="73" t="str">
        <f t="array" ref="Y640">INDIRECT("Update"&amp;Projections!$AH$17&amp;"!O"&amp;ROW(B621))</f>
        <v/>
      </c>
      <c r="Z640" s="73" t="str">
        <f t="array" ref="Z640">INDIRECT("Update"&amp;Projections!$AH$17&amp;"!P"&amp;ROW(B621))</f>
        <v/>
      </c>
      <c r="AA640" s="73" t="str">
        <f t="array" ref="AA640">INDIRECT("Update"&amp;Projections!$AH$17&amp;"!Q"&amp;ROW(B621))</f>
        <v/>
      </c>
      <c r="AB640" s="107" t="str">
        <f t="array" ref="AB640">INDIRECT("Update"&amp;Projections!$AH$17&amp;"!I"&amp;ROW(B621))</f>
        <v/>
      </c>
      <c r="AC640" s="107" t="str">
        <f t="array" ref="AC640">INDIRECT("Update"&amp;Projections!$AH$17&amp;"!K"&amp;ROW(B621))</f>
        <v/>
      </c>
      <c r="AD640" s="73" t="str">
        <f t="array" ref="AD640">INDIRECT("Update"&amp;Projections!$AH$17&amp;"!R"&amp;ROW(B621))</f>
        <v/>
      </c>
      <c r="AE640" s="73">
        <f t="shared" si="16"/>
        <v>-3.155358621</v>
      </c>
      <c r="AF640" s="73">
        <f t="shared" si="17"/>
        <v>-1.740686581</v>
      </c>
      <c r="AG640" s="73">
        <f t="shared" si="18"/>
        <v>-2.380599106</v>
      </c>
      <c r="AH640" s="73">
        <f t="shared" si="19"/>
        <v>-1.79320266</v>
      </c>
      <c r="AI640" s="73">
        <f t="shared" si="20"/>
        <v>-3.240190514</v>
      </c>
      <c r="AJ640" s="73">
        <f t="shared" si="21"/>
        <v>-1.329092151</v>
      </c>
      <c r="AK640" s="73">
        <f t="shared" si="22"/>
        <v>0</v>
      </c>
      <c r="AL640" s="73">
        <f t="shared" si="23"/>
        <v>0</v>
      </c>
      <c r="AM640" s="73">
        <f t="shared" si="24"/>
        <v>0.433638093</v>
      </c>
      <c r="AN640" s="120">
        <f t="shared" si="25"/>
        <v>-3.240190514</v>
      </c>
      <c r="AO640" s="120">
        <f t="shared" si="26"/>
        <v>-6.395549135</v>
      </c>
      <c r="AP640" s="120" t="str">
        <f t="array" ref="AP640">INDIRECT("Update"&amp;Projections!$AH$17&amp;"!S"&amp;ROW(B621))</f>
        <v/>
      </c>
      <c r="AQ640" s="120" t="str">
        <f t="array" ref="AQ640">INDIRECT("Update"&amp;Projections!$AH$17&amp;"!T"&amp;ROW(B621))</f>
        <v/>
      </c>
      <c r="AR640" s="100">
        <f t="shared" si="27"/>
        <v>-9.965301026</v>
      </c>
    </row>
    <row r="641">
      <c r="A641" t="str">
        <f t="shared" si="3"/>
        <v/>
      </c>
      <c r="B641" s="42">
        <f t="shared" si="4"/>
        <v>-3.155358621</v>
      </c>
      <c r="C641" s="43">
        <f t="shared" si="5"/>
        <v>-1.740686581</v>
      </c>
      <c r="D641" s="42">
        <f t="shared" si="6"/>
        <v>-2.380599106</v>
      </c>
      <c r="E641" s="42">
        <f t="shared" si="7"/>
        <v>-1.79320266</v>
      </c>
      <c r="F641" s="42">
        <f t="shared" si="8"/>
        <v>-3.240190514</v>
      </c>
      <c r="G641" s="42">
        <f t="shared" si="9"/>
        <v>-1.329092151</v>
      </c>
      <c r="H641" s="42">
        <f t="shared" si="10"/>
        <v>0</v>
      </c>
      <c r="I641" s="42" t="str">
        <f>UpdateHashtag!S639</f>
        <v/>
      </c>
      <c r="J641" s="47">
        <f t="shared" si="11"/>
        <v>0</v>
      </c>
      <c r="K641" s="48" t="str">
        <f>UpdateHashtag!T639</f>
        <v/>
      </c>
      <c r="L641" s="42">
        <f t="shared" si="12"/>
        <v>-1.734552372</v>
      </c>
      <c r="N641" s="100">
        <f t="shared" si="13"/>
        <v>401</v>
      </c>
      <c r="O641" s="94" t="str">
        <f t="array" ref="O641">INDIRECT("Update"&amp;Projections!$AH$17&amp;"!B"&amp;ROW(B622))</f>
        <v/>
      </c>
      <c r="P641" s="414" t="str">
        <f t="array" ref="P641">INDIRECT("Update"&amp;Projections!$AH$17&amp;"!C"&amp;ROW(B622))</f>
        <v/>
      </c>
      <c r="Q641" s="94" t="str">
        <f>UpdateHashtag!F671</f>
        <v/>
      </c>
      <c r="R641" s="105" t="str">
        <f t="array" ref="R641">INDIRECT("Update"&amp;Projections!$AH$17&amp;"!D"&amp;ROW(B622))</f>
        <v/>
      </c>
      <c r="S641" s="73">
        <f t="shared" si="14"/>
        <v>-9.965301026</v>
      </c>
      <c r="T641" s="73">
        <f>SUM(AE641:AM641)-IFERROR(IFS(Projections!$I$17,AN641,Projections!$J$17,AO641),"")</f>
        <v>-9.965301026</v>
      </c>
      <c r="U641" s="73">
        <f t="shared" si="15"/>
        <v>0</v>
      </c>
      <c r="V641" s="73" t="str">
        <f t="array" ref="V641">INDIRECT("Update"&amp;Projections!$AH$17&amp;"!M"&amp;ROW(B622))</f>
        <v/>
      </c>
      <c r="W641" s="73" t="str">
        <f t="array" ref="W641">INDIRECT("Update"&amp;Projections!$AH$17&amp;"!L"&amp;ROW(B622))</f>
        <v/>
      </c>
      <c r="X641" s="73" t="str">
        <f t="array" ref="X641">INDIRECT("Update"&amp;Projections!$AH$17&amp;"!N"&amp;ROW(B622))</f>
        <v/>
      </c>
      <c r="Y641" s="73" t="str">
        <f t="array" ref="Y641">INDIRECT("Update"&amp;Projections!$AH$17&amp;"!O"&amp;ROW(B622))</f>
        <v/>
      </c>
      <c r="Z641" s="73" t="str">
        <f t="array" ref="Z641">INDIRECT("Update"&amp;Projections!$AH$17&amp;"!P"&amp;ROW(B622))</f>
        <v/>
      </c>
      <c r="AA641" s="73" t="str">
        <f t="array" ref="AA641">INDIRECT("Update"&amp;Projections!$AH$17&amp;"!Q"&amp;ROW(B622))</f>
        <v/>
      </c>
      <c r="AB641" s="107" t="str">
        <f t="array" ref="AB641">INDIRECT("Update"&amp;Projections!$AH$17&amp;"!I"&amp;ROW(B622))</f>
        <v/>
      </c>
      <c r="AC641" s="107" t="str">
        <f t="array" ref="AC641">INDIRECT("Update"&amp;Projections!$AH$17&amp;"!K"&amp;ROW(B622))</f>
        <v/>
      </c>
      <c r="AD641" s="73" t="str">
        <f t="array" ref="AD641">INDIRECT("Update"&amp;Projections!$AH$17&amp;"!R"&amp;ROW(B622))</f>
        <v/>
      </c>
      <c r="AE641" s="73">
        <f t="shared" si="16"/>
        <v>-3.155358621</v>
      </c>
      <c r="AF641" s="73">
        <f t="shared" si="17"/>
        <v>-1.740686581</v>
      </c>
      <c r="AG641" s="73">
        <f t="shared" si="18"/>
        <v>-2.380599106</v>
      </c>
      <c r="AH641" s="73">
        <f t="shared" si="19"/>
        <v>-1.79320266</v>
      </c>
      <c r="AI641" s="73">
        <f t="shared" si="20"/>
        <v>-3.240190514</v>
      </c>
      <c r="AJ641" s="73">
        <f t="shared" si="21"/>
        <v>-1.329092151</v>
      </c>
      <c r="AK641" s="73">
        <f t="shared" si="22"/>
        <v>0</v>
      </c>
      <c r="AL641" s="73">
        <f t="shared" si="23"/>
        <v>0</v>
      </c>
      <c r="AM641" s="73">
        <f t="shared" si="24"/>
        <v>0.433638093</v>
      </c>
      <c r="AN641" s="120">
        <f t="shared" si="25"/>
        <v>-3.240190514</v>
      </c>
      <c r="AO641" s="120">
        <f t="shared" si="26"/>
        <v>-6.395549135</v>
      </c>
      <c r="AP641" s="120" t="str">
        <f t="array" ref="AP641">INDIRECT("Update"&amp;Projections!$AH$17&amp;"!S"&amp;ROW(B622))</f>
        <v/>
      </c>
      <c r="AQ641" s="120" t="str">
        <f t="array" ref="AQ641">INDIRECT("Update"&amp;Projections!$AH$17&amp;"!T"&amp;ROW(B622))</f>
        <v/>
      </c>
      <c r="AR641" s="100">
        <f t="shared" si="27"/>
        <v>-9.965301026</v>
      </c>
    </row>
    <row r="642">
      <c r="A642" t="str">
        <f t="shared" si="3"/>
        <v/>
      </c>
      <c r="B642" s="42">
        <f t="shared" si="4"/>
        <v>-3.155358621</v>
      </c>
      <c r="C642" s="43">
        <f t="shared" si="5"/>
        <v>-1.740686581</v>
      </c>
      <c r="D642" s="42">
        <f t="shared" si="6"/>
        <v>-2.380599106</v>
      </c>
      <c r="E642" s="42">
        <f t="shared" si="7"/>
        <v>-1.79320266</v>
      </c>
      <c r="F642" s="42">
        <f t="shared" si="8"/>
        <v>-3.240190514</v>
      </c>
      <c r="G642" s="42">
        <f t="shared" si="9"/>
        <v>-1.329092151</v>
      </c>
      <c r="H642" s="42">
        <f t="shared" si="10"/>
        <v>0</v>
      </c>
      <c r="I642" s="42" t="str">
        <f>UpdateHashtag!S640</f>
        <v/>
      </c>
      <c r="J642" s="47">
        <f t="shared" si="11"/>
        <v>0</v>
      </c>
      <c r="K642" s="48" t="str">
        <f>UpdateHashtag!T640</f>
        <v/>
      </c>
      <c r="L642" s="42">
        <f t="shared" si="12"/>
        <v>-1.734552372</v>
      </c>
      <c r="N642" s="100">
        <f t="shared" si="13"/>
        <v>401</v>
      </c>
      <c r="O642" s="94" t="str">
        <f t="array" ref="O642">INDIRECT("Update"&amp;Projections!$AH$17&amp;"!B"&amp;ROW(B623))</f>
        <v/>
      </c>
      <c r="P642" s="414" t="str">
        <f t="array" ref="P642">INDIRECT("Update"&amp;Projections!$AH$17&amp;"!C"&amp;ROW(B623))</f>
        <v/>
      </c>
      <c r="Q642" s="94" t="str">
        <f>UpdateHashtag!F672</f>
        <v/>
      </c>
      <c r="R642" s="105" t="str">
        <f t="array" ref="R642">INDIRECT("Update"&amp;Projections!$AH$17&amp;"!D"&amp;ROW(B623))</f>
        <v/>
      </c>
      <c r="S642" s="73">
        <f t="shared" si="14"/>
        <v>-9.965301026</v>
      </c>
      <c r="T642" s="73">
        <f>SUM(AE642:AM642)-IFERROR(IFS(Projections!$I$17,AN642,Projections!$J$17,AO642),"")</f>
        <v>-9.965301026</v>
      </c>
      <c r="U642" s="73">
        <f t="shared" si="15"/>
        <v>0</v>
      </c>
      <c r="V642" s="73" t="str">
        <f t="array" ref="V642">INDIRECT("Update"&amp;Projections!$AH$17&amp;"!M"&amp;ROW(B623))</f>
        <v/>
      </c>
      <c r="W642" s="73" t="str">
        <f t="array" ref="W642">INDIRECT("Update"&amp;Projections!$AH$17&amp;"!L"&amp;ROW(B623))</f>
        <v/>
      </c>
      <c r="X642" s="73" t="str">
        <f t="array" ref="X642">INDIRECT("Update"&amp;Projections!$AH$17&amp;"!N"&amp;ROW(B623))</f>
        <v/>
      </c>
      <c r="Y642" s="73" t="str">
        <f t="array" ref="Y642">INDIRECT("Update"&amp;Projections!$AH$17&amp;"!O"&amp;ROW(B623))</f>
        <v/>
      </c>
      <c r="Z642" s="73" t="str">
        <f t="array" ref="Z642">INDIRECT("Update"&amp;Projections!$AH$17&amp;"!P"&amp;ROW(B623))</f>
        <v/>
      </c>
      <c r="AA642" s="73" t="str">
        <f t="array" ref="AA642">INDIRECT("Update"&amp;Projections!$AH$17&amp;"!Q"&amp;ROW(B623))</f>
        <v/>
      </c>
      <c r="AB642" s="107" t="str">
        <f t="array" ref="AB642">INDIRECT("Update"&amp;Projections!$AH$17&amp;"!I"&amp;ROW(B623))</f>
        <v/>
      </c>
      <c r="AC642" s="107" t="str">
        <f t="array" ref="AC642">INDIRECT("Update"&amp;Projections!$AH$17&amp;"!K"&amp;ROW(B623))</f>
        <v/>
      </c>
      <c r="AD642" s="73" t="str">
        <f t="array" ref="AD642">INDIRECT("Update"&amp;Projections!$AH$17&amp;"!R"&amp;ROW(B623))</f>
        <v/>
      </c>
      <c r="AE642" s="73">
        <f t="shared" si="16"/>
        <v>-3.155358621</v>
      </c>
      <c r="AF642" s="73">
        <f t="shared" si="17"/>
        <v>-1.740686581</v>
      </c>
      <c r="AG642" s="73">
        <f t="shared" si="18"/>
        <v>-2.380599106</v>
      </c>
      <c r="AH642" s="73">
        <f t="shared" si="19"/>
        <v>-1.79320266</v>
      </c>
      <c r="AI642" s="73">
        <f t="shared" si="20"/>
        <v>-3.240190514</v>
      </c>
      <c r="AJ642" s="73">
        <f t="shared" si="21"/>
        <v>-1.329092151</v>
      </c>
      <c r="AK642" s="73">
        <f t="shared" si="22"/>
        <v>0</v>
      </c>
      <c r="AL642" s="73">
        <f t="shared" si="23"/>
        <v>0</v>
      </c>
      <c r="AM642" s="73">
        <f t="shared" si="24"/>
        <v>0.433638093</v>
      </c>
      <c r="AN642" s="120">
        <f t="shared" si="25"/>
        <v>-3.240190514</v>
      </c>
      <c r="AO642" s="120">
        <f t="shared" si="26"/>
        <v>-6.395549135</v>
      </c>
      <c r="AP642" s="120" t="str">
        <f t="array" ref="AP642">INDIRECT("Update"&amp;Projections!$AH$17&amp;"!S"&amp;ROW(B623))</f>
        <v/>
      </c>
      <c r="AQ642" s="120" t="str">
        <f t="array" ref="AQ642">INDIRECT("Update"&amp;Projections!$AH$17&amp;"!T"&amp;ROW(B623))</f>
        <v/>
      </c>
      <c r="AR642" s="100">
        <f t="shared" si="27"/>
        <v>-9.965301026</v>
      </c>
    </row>
    <row r="643">
      <c r="A643" t="str">
        <f t="shared" si="3"/>
        <v/>
      </c>
      <c r="B643" s="42">
        <f t="shared" si="4"/>
        <v>-3.155358621</v>
      </c>
      <c r="C643" s="43">
        <f t="shared" si="5"/>
        <v>-1.740686581</v>
      </c>
      <c r="D643" s="42">
        <f t="shared" si="6"/>
        <v>-2.380599106</v>
      </c>
      <c r="E643" s="42">
        <f t="shared" si="7"/>
        <v>-1.79320266</v>
      </c>
      <c r="F643" s="42">
        <f t="shared" si="8"/>
        <v>-3.240190514</v>
      </c>
      <c r="G643" s="42">
        <f t="shared" si="9"/>
        <v>-1.329092151</v>
      </c>
      <c r="H643" s="42">
        <f t="shared" si="10"/>
        <v>0</v>
      </c>
      <c r="I643" s="42" t="str">
        <f>UpdateHashtag!S641</f>
        <v/>
      </c>
      <c r="J643" s="47">
        <f t="shared" si="11"/>
        <v>0</v>
      </c>
      <c r="K643" s="48" t="str">
        <f>UpdateHashtag!T641</f>
        <v/>
      </c>
      <c r="L643" s="42">
        <f t="shared" si="12"/>
        <v>-1.734552372</v>
      </c>
      <c r="N643" s="100">
        <f t="shared" si="13"/>
        <v>401</v>
      </c>
      <c r="O643" s="94" t="str">
        <f t="array" ref="O643">INDIRECT("Update"&amp;Projections!$AH$17&amp;"!B"&amp;ROW(B624))</f>
        <v/>
      </c>
      <c r="P643" s="414" t="str">
        <f t="array" ref="P643">INDIRECT("Update"&amp;Projections!$AH$17&amp;"!C"&amp;ROW(B624))</f>
        <v/>
      </c>
      <c r="Q643" s="94" t="str">
        <f>UpdateHashtag!F673</f>
        <v/>
      </c>
      <c r="R643" s="105" t="str">
        <f t="array" ref="R643">INDIRECT("Update"&amp;Projections!$AH$17&amp;"!D"&amp;ROW(B624))</f>
        <v/>
      </c>
      <c r="S643" s="73">
        <f t="shared" si="14"/>
        <v>-9.965301026</v>
      </c>
      <c r="T643" s="73">
        <f>SUM(AE643:AM643)-IFERROR(IFS(Projections!$I$17,AN643,Projections!$J$17,AO643),"")</f>
        <v>-9.965301026</v>
      </c>
      <c r="U643" s="73">
        <f t="shared" si="15"/>
        <v>0</v>
      </c>
      <c r="V643" s="73" t="str">
        <f t="array" ref="V643">INDIRECT("Update"&amp;Projections!$AH$17&amp;"!M"&amp;ROW(B624))</f>
        <v/>
      </c>
      <c r="W643" s="73" t="str">
        <f t="array" ref="W643">INDIRECT("Update"&amp;Projections!$AH$17&amp;"!L"&amp;ROW(B624))</f>
        <v/>
      </c>
      <c r="X643" s="73" t="str">
        <f t="array" ref="X643">INDIRECT("Update"&amp;Projections!$AH$17&amp;"!N"&amp;ROW(B624))</f>
        <v/>
      </c>
      <c r="Y643" s="73" t="str">
        <f t="array" ref="Y643">INDIRECT("Update"&amp;Projections!$AH$17&amp;"!O"&amp;ROW(B624))</f>
        <v/>
      </c>
      <c r="Z643" s="73" t="str">
        <f t="array" ref="Z643">INDIRECT("Update"&amp;Projections!$AH$17&amp;"!P"&amp;ROW(B624))</f>
        <v/>
      </c>
      <c r="AA643" s="73" t="str">
        <f t="array" ref="AA643">INDIRECT("Update"&amp;Projections!$AH$17&amp;"!Q"&amp;ROW(B624))</f>
        <v/>
      </c>
      <c r="AB643" s="107" t="str">
        <f t="array" ref="AB643">INDIRECT("Update"&amp;Projections!$AH$17&amp;"!I"&amp;ROW(B624))</f>
        <v/>
      </c>
      <c r="AC643" s="107" t="str">
        <f t="array" ref="AC643">INDIRECT("Update"&amp;Projections!$AH$17&amp;"!K"&amp;ROW(B624))</f>
        <v/>
      </c>
      <c r="AD643" s="73" t="str">
        <f t="array" ref="AD643">INDIRECT("Update"&amp;Projections!$AH$17&amp;"!R"&amp;ROW(B624))</f>
        <v/>
      </c>
      <c r="AE643" s="73">
        <f t="shared" si="16"/>
        <v>-3.155358621</v>
      </c>
      <c r="AF643" s="73">
        <f t="shared" si="17"/>
        <v>-1.740686581</v>
      </c>
      <c r="AG643" s="73">
        <f t="shared" si="18"/>
        <v>-2.380599106</v>
      </c>
      <c r="AH643" s="73">
        <f t="shared" si="19"/>
        <v>-1.79320266</v>
      </c>
      <c r="AI643" s="73">
        <f t="shared" si="20"/>
        <v>-3.240190514</v>
      </c>
      <c r="AJ643" s="73">
        <f t="shared" si="21"/>
        <v>-1.329092151</v>
      </c>
      <c r="AK643" s="73">
        <f t="shared" si="22"/>
        <v>0</v>
      </c>
      <c r="AL643" s="73">
        <f t="shared" si="23"/>
        <v>0</v>
      </c>
      <c r="AM643" s="73">
        <f t="shared" si="24"/>
        <v>0.433638093</v>
      </c>
      <c r="AN643" s="120">
        <f t="shared" si="25"/>
        <v>-3.240190514</v>
      </c>
      <c r="AO643" s="120">
        <f t="shared" si="26"/>
        <v>-6.395549135</v>
      </c>
      <c r="AP643" s="120" t="str">
        <f t="array" ref="AP643">INDIRECT("Update"&amp;Projections!$AH$17&amp;"!S"&amp;ROW(B624))</f>
        <v/>
      </c>
      <c r="AQ643" s="120" t="str">
        <f t="array" ref="AQ643">INDIRECT("Update"&amp;Projections!$AH$17&amp;"!T"&amp;ROW(B624))</f>
        <v/>
      </c>
      <c r="AR643" s="100">
        <f t="shared" si="27"/>
        <v>-9.965301026</v>
      </c>
    </row>
    <row r="644">
      <c r="A644" t="str">
        <f t="shared" si="3"/>
        <v/>
      </c>
      <c r="B644" s="42">
        <f t="shared" si="4"/>
        <v>-3.155358621</v>
      </c>
      <c r="C644" s="43">
        <f t="shared" si="5"/>
        <v>-1.740686581</v>
      </c>
      <c r="D644" s="42">
        <f t="shared" si="6"/>
        <v>-2.380599106</v>
      </c>
      <c r="E644" s="42">
        <f t="shared" si="7"/>
        <v>-1.79320266</v>
      </c>
      <c r="F644" s="42">
        <f t="shared" si="8"/>
        <v>-3.240190514</v>
      </c>
      <c r="G644" s="42">
        <f t="shared" si="9"/>
        <v>-1.329092151</v>
      </c>
      <c r="H644" s="42">
        <f t="shared" si="10"/>
        <v>0</v>
      </c>
      <c r="I644" s="42" t="str">
        <f>UpdateHashtag!S642</f>
        <v/>
      </c>
      <c r="J644" s="47">
        <f t="shared" si="11"/>
        <v>0</v>
      </c>
      <c r="K644" s="48" t="str">
        <f>UpdateHashtag!T642</f>
        <v/>
      </c>
      <c r="L644" s="42">
        <f t="shared" si="12"/>
        <v>-1.734552372</v>
      </c>
      <c r="N644" s="100">
        <f t="shared" si="13"/>
        <v>401</v>
      </c>
      <c r="O644" s="94" t="str">
        <f t="array" ref="O644">INDIRECT("Update"&amp;Projections!$AH$17&amp;"!B"&amp;ROW(B625))</f>
        <v/>
      </c>
      <c r="P644" s="414" t="str">
        <f t="array" ref="P644">INDIRECT("Update"&amp;Projections!$AH$17&amp;"!C"&amp;ROW(B625))</f>
        <v/>
      </c>
      <c r="Q644" s="94" t="str">
        <f>UpdateHashtag!F674</f>
        <v/>
      </c>
      <c r="R644" s="105" t="str">
        <f t="array" ref="R644">INDIRECT("Update"&amp;Projections!$AH$17&amp;"!D"&amp;ROW(B625))</f>
        <v/>
      </c>
      <c r="S644" s="73">
        <f t="shared" si="14"/>
        <v>-9.965301026</v>
      </c>
      <c r="T644" s="73">
        <f>SUM(AE644:AM644)-IFERROR(IFS(Projections!$I$17,AN644,Projections!$J$17,AO644),"")</f>
        <v>-9.965301026</v>
      </c>
      <c r="U644" s="73">
        <f t="shared" si="15"/>
        <v>0</v>
      </c>
      <c r="V644" s="73" t="str">
        <f t="array" ref="V644">INDIRECT("Update"&amp;Projections!$AH$17&amp;"!M"&amp;ROW(B625))</f>
        <v/>
      </c>
      <c r="W644" s="73" t="str">
        <f t="array" ref="W644">INDIRECT("Update"&amp;Projections!$AH$17&amp;"!L"&amp;ROW(B625))</f>
        <v/>
      </c>
      <c r="X644" s="73" t="str">
        <f t="array" ref="X644">INDIRECT("Update"&amp;Projections!$AH$17&amp;"!N"&amp;ROW(B625))</f>
        <v/>
      </c>
      <c r="Y644" s="73" t="str">
        <f t="array" ref="Y644">INDIRECT("Update"&amp;Projections!$AH$17&amp;"!O"&amp;ROW(B625))</f>
        <v/>
      </c>
      <c r="Z644" s="73" t="str">
        <f t="array" ref="Z644">INDIRECT("Update"&amp;Projections!$AH$17&amp;"!P"&amp;ROW(B625))</f>
        <v/>
      </c>
      <c r="AA644" s="73" t="str">
        <f t="array" ref="AA644">INDIRECT("Update"&amp;Projections!$AH$17&amp;"!Q"&amp;ROW(B625))</f>
        <v/>
      </c>
      <c r="AB644" s="107" t="str">
        <f t="array" ref="AB644">INDIRECT("Update"&amp;Projections!$AH$17&amp;"!I"&amp;ROW(B625))</f>
        <v/>
      </c>
      <c r="AC644" s="107" t="str">
        <f t="array" ref="AC644">INDIRECT("Update"&amp;Projections!$AH$17&amp;"!K"&amp;ROW(B625))</f>
        <v/>
      </c>
      <c r="AD644" s="73" t="str">
        <f t="array" ref="AD644">INDIRECT("Update"&amp;Projections!$AH$17&amp;"!R"&amp;ROW(B625))</f>
        <v/>
      </c>
      <c r="AE644" s="73">
        <f t="shared" si="16"/>
        <v>-3.155358621</v>
      </c>
      <c r="AF644" s="73">
        <f t="shared" si="17"/>
        <v>-1.740686581</v>
      </c>
      <c r="AG644" s="73">
        <f t="shared" si="18"/>
        <v>-2.380599106</v>
      </c>
      <c r="AH644" s="73">
        <f t="shared" si="19"/>
        <v>-1.79320266</v>
      </c>
      <c r="AI644" s="73">
        <f t="shared" si="20"/>
        <v>-3.240190514</v>
      </c>
      <c r="AJ644" s="73">
        <f t="shared" si="21"/>
        <v>-1.329092151</v>
      </c>
      <c r="AK644" s="73">
        <f t="shared" si="22"/>
        <v>0</v>
      </c>
      <c r="AL644" s="73">
        <f t="shared" si="23"/>
        <v>0</v>
      </c>
      <c r="AM644" s="73">
        <f t="shared" si="24"/>
        <v>0.433638093</v>
      </c>
      <c r="AN644" s="120">
        <f t="shared" si="25"/>
        <v>-3.240190514</v>
      </c>
      <c r="AO644" s="120">
        <f t="shared" si="26"/>
        <v>-6.395549135</v>
      </c>
      <c r="AP644" s="120" t="str">
        <f t="array" ref="AP644">INDIRECT("Update"&amp;Projections!$AH$17&amp;"!S"&amp;ROW(B625))</f>
        <v/>
      </c>
      <c r="AQ644" s="120" t="str">
        <f t="array" ref="AQ644">INDIRECT("Update"&amp;Projections!$AH$17&amp;"!T"&amp;ROW(B625))</f>
        <v/>
      </c>
      <c r="AR644" s="100">
        <f t="shared" si="27"/>
        <v>-9.965301026</v>
      </c>
    </row>
    <row r="645">
      <c r="A645" t="str">
        <f t="shared" si="3"/>
        <v/>
      </c>
      <c r="B645" s="42">
        <f t="shared" si="4"/>
        <v>-3.155358621</v>
      </c>
      <c r="C645" s="43">
        <f t="shared" si="5"/>
        <v>-1.740686581</v>
      </c>
      <c r="D645" s="42">
        <f t="shared" si="6"/>
        <v>-2.380599106</v>
      </c>
      <c r="E645" s="42">
        <f t="shared" si="7"/>
        <v>-1.79320266</v>
      </c>
      <c r="F645" s="42">
        <f t="shared" si="8"/>
        <v>-3.240190514</v>
      </c>
      <c r="G645" s="42">
        <f t="shared" si="9"/>
        <v>-1.329092151</v>
      </c>
      <c r="H645" s="42">
        <f t="shared" si="10"/>
        <v>0</v>
      </c>
      <c r="I645" s="42" t="str">
        <f>UpdateHashtag!S643</f>
        <v/>
      </c>
      <c r="J645" s="47">
        <f t="shared" si="11"/>
        <v>0</v>
      </c>
      <c r="K645" s="48" t="str">
        <f>UpdateHashtag!T643</f>
        <v/>
      </c>
      <c r="L645" s="42">
        <f t="shared" si="12"/>
        <v>-1.734552372</v>
      </c>
      <c r="N645" s="100">
        <f t="shared" si="13"/>
        <v>401</v>
      </c>
      <c r="O645" s="94" t="str">
        <f t="array" ref="O645">INDIRECT("Update"&amp;Projections!$AH$17&amp;"!B"&amp;ROW(B626))</f>
        <v/>
      </c>
      <c r="P645" s="414" t="str">
        <f t="array" ref="P645">INDIRECT("Update"&amp;Projections!$AH$17&amp;"!C"&amp;ROW(B626))</f>
        <v/>
      </c>
      <c r="Q645" s="94" t="str">
        <f>UpdateHashtag!F675</f>
        <v/>
      </c>
      <c r="R645" s="105" t="str">
        <f t="array" ref="R645">INDIRECT("Update"&amp;Projections!$AH$17&amp;"!D"&amp;ROW(B626))</f>
        <v/>
      </c>
      <c r="S645" s="73">
        <f t="shared" si="14"/>
        <v>-9.965301026</v>
      </c>
      <c r="T645" s="73">
        <f>SUM(AE645:AM645)-IFERROR(IFS(Projections!$I$17,AN645,Projections!$J$17,AO645),"")</f>
        <v>-9.965301026</v>
      </c>
      <c r="U645" s="73">
        <f t="shared" si="15"/>
        <v>0</v>
      </c>
      <c r="V645" s="73" t="str">
        <f t="array" ref="V645">INDIRECT("Update"&amp;Projections!$AH$17&amp;"!M"&amp;ROW(B626))</f>
        <v/>
      </c>
      <c r="W645" s="73" t="str">
        <f t="array" ref="W645">INDIRECT("Update"&amp;Projections!$AH$17&amp;"!L"&amp;ROW(B626))</f>
        <v/>
      </c>
      <c r="X645" s="73" t="str">
        <f t="array" ref="X645">INDIRECT("Update"&amp;Projections!$AH$17&amp;"!N"&amp;ROW(B626))</f>
        <v/>
      </c>
      <c r="Y645" s="73" t="str">
        <f t="array" ref="Y645">INDIRECT("Update"&amp;Projections!$AH$17&amp;"!O"&amp;ROW(B626))</f>
        <v/>
      </c>
      <c r="Z645" s="73" t="str">
        <f t="array" ref="Z645">INDIRECT("Update"&amp;Projections!$AH$17&amp;"!P"&amp;ROW(B626))</f>
        <v/>
      </c>
      <c r="AA645" s="73" t="str">
        <f t="array" ref="AA645">INDIRECT("Update"&amp;Projections!$AH$17&amp;"!Q"&amp;ROW(B626))</f>
        <v/>
      </c>
      <c r="AB645" s="107" t="str">
        <f t="array" ref="AB645">INDIRECT("Update"&amp;Projections!$AH$17&amp;"!I"&amp;ROW(B626))</f>
        <v/>
      </c>
      <c r="AC645" s="107" t="str">
        <f t="array" ref="AC645">INDIRECT("Update"&amp;Projections!$AH$17&amp;"!K"&amp;ROW(B626))</f>
        <v/>
      </c>
      <c r="AD645" s="73" t="str">
        <f t="array" ref="AD645">INDIRECT("Update"&amp;Projections!$AH$17&amp;"!R"&amp;ROW(B626))</f>
        <v/>
      </c>
      <c r="AE645" s="73">
        <f t="shared" si="16"/>
        <v>-3.155358621</v>
      </c>
      <c r="AF645" s="73">
        <f t="shared" si="17"/>
        <v>-1.740686581</v>
      </c>
      <c r="AG645" s="73">
        <f t="shared" si="18"/>
        <v>-2.380599106</v>
      </c>
      <c r="AH645" s="73">
        <f t="shared" si="19"/>
        <v>-1.79320266</v>
      </c>
      <c r="AI645" s="73">
        <f t="shared" si="20"/>
        <v>-3.240190514</v>
      </c>
      <c r="AJ645" s="73">
        <f t="shared" si="21"/>
        <v>-1.329092151</v>
      </c>
      <c r="AK645" s="73">
        <f t="shared" si="22"/>
        <v>0</v>
      </c>
      <c r="AL645" s="73">
        <f t="shared" si="23"/>
        <v>0</v>
      </c>
      <c r="AM645" s="73">
        <f t="shared" si="24"/>
        <v>0.433638093</v>
      </c>
      <c r="AN645" s="120">
        <f t="shared" si="25"/>
        <v>-3.240190514</v>
      </c>
      <c r="AO645" s="120">
        <f t="shared" si="26"/>
        <v>-6.395549135</v>
      </c>
      <c r="AP645" s="120" t="str">
        <f t="array" ref="AP645">INDIRECT("Update"&amp;Projections!$AH$17&amp;"!S"&amp;ROW(B626))</f>
        <v/>
      </c>
      <c r="AQ645" s="120" t="str">
        <f t="array" ref="AQ645">INDIRECT("Update"&amp;Projections!$AH$17&amp;"!T"&amp;ROW(B626))</f>
        <v/>
      </c>
      <c r="AR645" s="100">
        <f t="shared" si="27"/>
        <v>-9.965301026</v>
      </c>
    </row>
    <row r="646">
      <c r="A646" t="str">
        <f t="shared" si="3"/>
        <v/>
      </c>
      <c r="B646" s="42">
        <f t="shared" si="4"/>
        <v>-3.155358621</v>
      </c>
      <c r="C646" s="43">
        <f t="shared" si="5"/>
        <v>-1.740686581</v>
      </c>
      <c r="D646" s="42">
        <f t="shared" si="6"/>
        <v>-2.380599106</v>
      </c>
      <c r="E646" s="42">
        <f t="shared" si="7"/>
        <v>-1.79320266</v>
      </c>
      <c r="F646" s="42">
        <f t="shared" si="8"/>
        <v>-3.240190514</v>
      </c>
      <c r="G646" s="42">
        <f t="shared" si="9"/>
        <v>-1.329092151</v>
      </c>
      <c r="H646" s="42">
        <f t="shared" si="10"/>
        <v>0</v>
      </c>
      <c r="I646" s="42" t="str">
        <f>UpdateHashtag!S644</f>
        <v/>
      </c>
      <c r="J646" s="47">
        <f t="shared" si="11"/>
        <v>0</v>
      </c>
      <c r="K646" s="48" t="str">
        <f>UpdateHashtag!T644</f>
        <v/>
      </c>
      <c r="L646" s="42">
        <f t="shared" si="12"/>
        <v>-1.734552372</v>
      </c>
      <c r="N646" s="100">
        <f t="shared" si="13"/>
        <v>401</v>
      </c>
      <c r="O646" s="94" t="str">
        <f t="array" ref="O646">INDIRECT("Update"&amp;Projections!$AH$17&amp;"!B"&amp;ROW(B627))</f>
        <v/>
      </c>
      <c r="P646" s="414" t="str">
        <f t="array" ref="P646">INDIRECT("Update"&amp;Projections!$AH$17&amp;"!C"&amp;ROW(B627))</f>
        <v/>
      </c>
      <c r="Q646" s="94" t="str">
        <f>UpdateHashtag!F676</f>
        <v/>
      </c>
      <c r="R646" s="105" t="str">
        <f t="array" ref="R646">INDIRECT("Update"&amp;Projections!$AH$17&amp;"!D"&amp;ROW(B627))</f>
        <v/>
      </c>
      <c r="S646" s="73">
        <f t="shared" si="14"/>
        <v>-9.965301026</v>
      </c>
      <c r="T646" s="73">
        <f>SUM(AE646:AM646)-IFERROR(IFS(Projections!$I$17,AN646,Projections!$J$17,AO646),"")</f>
        <v>-9.965301026</v>
      </c>
      <c r="U646" s="73">
        <f t="shared" si="15"/>
        <v>0</v>
      </c>
      <c r="V646" s="73" t="str">
        <f t="array" ref="V646">INDIRECT("Update"&amp;Projections!$AH$17&amp;"!M"&amp;ROW(B627))</f>
        <v/>
      </c>
      <c r="W646" s="73" t="str">
        <f t="array" ref="W646">INDIRECT("Update"&amp;Projections!$AH$17&amp;"!L"&amp;ROW(B627))</f>
        <v/>
      </c>
      <c r="X646" s="73" t="str">
        <f t="array" ref="X646">INDIRECT("Update"&amp;Projections!$AH$17&amp;"!N"&amp;ROW(B627))</f>
        <v/>
      </c>
      <c r="Y646" s="73" t="str">
        <f t="array" ref="Y646">INDIRECT("Update"&amp;Projections!$AH$17&amp;"!O"&amp;ROW(B627))</f>
        <v/>
      </c>
      <c r="Z646" s="73" t="str">
        <f t="array" ref="Z646">INDIRECT("Update"&amp;Projections!$AH$17&amp;"!P"&amp;ROW(B627))</f>
        <v/>
      </c>
      <c r="AA646" s="73" t="str">
        <f t="array" ref="AA646">INDIRECT("Update"&amp;Projections!$AH$17&amp;"!Q"&amp;ROW(B627))</f>
        <v/>
      </c>
      <c r="AB646" s="107" t="str">
        <f t="array" ref="AB646">INDIRECT("Update"&amp;Projections!$AH$17&amp;"!I"&amp;ROW(B627))</f>
        <v/>
      </c>
      <c r="AC646" s="107" t="str">
        <f t="array" ref="AC646">INDIRECT("Update"&amp;Projections!$AH$17&amp;"!K"&amp;ROW(B627))</f>
        <v/>
      </c>
      <c r="AD646" s="73" t="str">
        <f t="array" ref="AD646">INDIRECT("Update"&amp;Projections!$AH$17&amp;"!R"&amp;ROW(B627))</f>
        <v/>
      </c>
      <c r="AE646" s="73">
        <f t="shared" si="16"/>
        <v>-3.155358621</v>
      </c>
      <c r="AF646" s="73">
        <f t="shared" si="17"/>
        <v>-1.740686581</v>
      </c>
      <c r="AG646" s="73">
        <f t="shared" si="18"/>
        <v>-2.380599106</v>
      </c>
      <c r="AH646" s="73">
        <f t="shared" si="19"/>
        <v>-1.79320266</v>
      </c>
      <c r="AI646" s="73">
        <f t="shared" si="20"/>
        <v>-3.240190514</v>
      </c>
      <c r="AJ646" s="73">
        <f t="shared" si="21"/>
        <v>-1.329092151</v>
      </c>
      <c r="AK646" s="73">
        <f t="shared" si="22"/>
        <v>0</v>
      </c>
      <c r="AL646" s="73">
        <f t="shared" si="23"/>
        <v>0</v>
      </c>
      <c r="AM646" s="73">
        <f t="shared" si="24"/>
        <v>0.433638093</v>
      </c>
      <c r="AN646" s="120">
        <f t="shared" si="25"/>
        <v>-3.240190514</v>
      </c>
      <c r="AO646" s="120">
        <f t="shared" si="26"/>
        <v>-6.395549135</v>
      </c>
      <c r="AP646" s="120" t="str">
        <f t="array" ref="AP646">INDIRECT("Update"&amp;Projections!$AH$17&amp;"!S"&amp;ROW(B627))</f>
        <v/>
      </c>
      <c r="AQ646" s="120" t="str">
        <f t="array" ref="AQ646">INDIRECT("Update"&amp;Projections!$AH$17&amp;"!T"&amp;ROW(B627))</f>
        <v/>
      </c>
      <c r="AR646" s="100">
        <f t="shared" si="27"/>
        <v>-9.965301026</v>
      </c>
    </row>
    <row r="647">
      <c r="A647" t="str">
        <f t="shared" si="3"/>
        <v/>
      </c>
      <c r="B647" s="42">
        <f t="shared" si="4"/>
        <v>-3.155358621</v>
      </c>
      <c r="C647" s="43">
        <f t="shared" si="5"/>
        <v>-1.740686581</v>
      </c>
      <c r="D647" s="42">
        <f t="shared" si="6"/>
        <v>-2.380599106</v>
      </c>
      <c r="E647" s="42">
        <f t="shared" si="7"/>
        <v>-1.79320266</v>
      </c>
      <c r="F647" s="42">
        <f t="shared" si="8"/>
        <v>-3.240190514</v>
      </c>
      <c r="G647" s="42">
        <f t="shared" si="9"/>
        <v>-1.329092151</v>
      </c>
      <c r="H647" s="42">
        <f t="shared" si="10"/>
        <v>0</v>
      </c>
      <c r="I647" s="42" t="str">
        <f>UpdateHashtag!S645</f>
        <v/>
      </c>
      <c r="J647" s="47">
        <f t="shared" si="11"/>
        <v>0</v>
      </c>
      <c r="K647" s="48" t="str">
        <f>UpdateHashtag!T645</f>
        <v/>
      </c>
      <c r="L647" s="42">
        <f t="shared" si="12"/>
        <v>-1.734552372</v>
      </c>
      <c r="N647" s="100">
        <f t="shared" si="13"/>
        <v>401</v>
      </c>
      <c r="O647" s="94" t="str">
        <f t="array" ref="O647">INDIRECT("Update"&amp;Projections!$AH$17&amp;"!B"&amp;ROW(B628))</f>
        <v/>
      </c>
      <c r="P647" s="414" t="str">
        <f t="array" ref="P647">INDIRECT("Update"&amp;Projections!$AH$17&amp;"!C"&amp;ROW(B628))</f>
        <v/>
      </c>
      <c r="Q647" s="94" t="str">
        <f>UpdateHashtag!F677</f>
        <v/>
      </c>
      <c r="R647" s="105" t="str">
        <f t="array" ref="R647">INDIRECT("Update"&amp;Projections!$AH$17&amp;"!D"&amp;ROW(B628))</f>
        <v/>
      </c>
      <c r="S647" s="73">
        <f t="shared" si="14"/>
        <v>-9.965301026</v>
      </c>
      <c r="T647" s="73">
        <f>SUM(AE647:AM647)-IFERROR(IFS(Projections!$I$17,AN647,Projections!$J$17,AO647),"")</f>
        <v>-9.965301026</v>
      </c>
      <c r="U647" s="73">
        <f t="shared" si="15"/>
        <v>0</v>
      </c>
      <c r="V647" s="73" t="str">
        <f t="array" ref="V647">INDIRECT("Update"&amp;Projections!$AH$17&amp;"!M"&amp;ROW(B628))</f>
        <v/>
      </c>
      <c r="W647" s="73" t="str">
        <f t="array" ref="W647">INDIRECT("Update"&amp;Projections!$AH$17&amp;"!L"&amp;ROW(B628))</f>
        <v/>
      </c>
      <c r="X647" s="73" t="str">
        <f t="array" ref="X647">INDIRECT("Update"&amp;Projections!$AH$17&amp;"!N"&amp;ROW(B628))</f>
        <v/>
      </c>
      <c r="Y647" s="73" t="str">
        <f t="array" ref="Y647">INDIRECT("Update"&amp;Projections!$AH$17&amp;"!O"&amp;ROW(B628))</f>
        <v/>
      </c>
      <c r="Z647" s="73" t="str">
        <f t="array" ref="Z647">INDIRECT("Update"&amp;Projections!$AH$17&amp;"!P"&amp;ROW(B628))</f>
        <v/>
      </c>
      <c r="AA647" s="73" t="str">
        <f t="array" ref="AA647">INDIRECT("Update"&amp;Projections!$AH$17&amp;"!Q"&amp;ROW(B628))</f>
        <v/>
      </c>
      <c r="AB647" s="107" t="str">
        <f t="array" ref="AB647">INDIRECT("Update"&amp;Projections!$AH$17&amp;"!I"&amp;ROW(B628))</f>
        <v/>
      </c>
      <c r="AC647" s="107" t="str">
        <f t="array" ref="AC647">INDIRECT("Update"&amp;Projections!$AH$17&amp;"!K"&amp;ROW(B628))</f>
        <v/>
      </c>
      <c r="AD647" s="73" t="str">
        <f t="array" ref="AD647">INDIRECT("Update"&amp;Projections!$AH$17&amp;"!R"&amp;ROW(B628))</f>
        <v/>
      </c>
      <c r="AE647" s="73">
        <f t="shared" si="16"/>
        <v>-3.155358621</v>
      </c>
      <c r="AF647" s="73">
        <f t="shared" si="17"/>
        <v>-1.740686581</v>
      </c>
      <c r="AG647" s="73">
        <f t="shared" si="18"/>
        <v>-2.380599106</v>
      </c>
      <c r="AH647" s="73">
        <f t="shared" si="19"/>
        <v>-1.79320266</v>
      </c>
      <c r="AI647" s="73">
        <f t="shared" si="20"/>
        <v>-3.240190514</v>
      </c>
      <c r="AJ647" s="73">
        <f t="shared" si="21"/>
        <v>-1.329092151</v>
      </c>
      <c r="AK647" s="73">
        <f t="shared" si="22"/>
        <v>0</v>
      </c>
      <c r="AL647" s="73">
        <f t="shared" si="23"/>
        <v>0</v>
      </c>
      <c r="AM647" s="73">
        <f t="shared" si="24"/>
        <v>0.433638093</v>
      </c>
      <c r="AN647" s="120">
        <f t="shared" si="25"/>
        <v>-3.240190514</v>
      </c>
      <c r="AO647" s="120">
        <f t="shared" si="26"/>
        <v>-6.395549135</v>
      </c>
      <c r="AP647" s="120" t="str">
        <f t="array" ref="AP647">INDIRECT("Update"&amp;Projections!$AH$17&amp;"!S"&amp;ROW(B628))</f>
        <v/>
      </c>
      <c r="AQ647" s="120" t="str">
        <f t="array" ref="AQ647">INDIRECT("Update"&amp;Projections!$AH$17&amp;"!T"&amp;ROW(B628))</f>
        <v/>
      </c>
      <c r="AR647" s="100">
        <f t="shared" si="27"/>
        <v>-9.965301026</v>
      </c>
    </row>
    <row r="648">
      <c r="A648" t="str">
        <f t="shared" si="3"/>
        <v/>
      </c>
      <c r="B648" s="42">
        <f t="shared" si="4"/>
        <v>-3.155358621</v>
      </c>
      <c r="C648" s="43">
        <f t="shared" si="5"/>
        <v>-1.740686581</v>
      </c>
      <c r="D648" s="42">
        <f t="shared" si="6"/>
        <v>-2.380599106</v>
      </c>
      <c r="E648" s="42">
        <f t="shared" si="7"/>
        <v>-1.79320266</v>
      </c>
      <c r="F648" s="42">
        <f t="shared" si="8"/>
        <v>-3.240190514</v>
      </c>
      <c r="G648" s="42">
        <f t="shared" si="9"/>
        <v>-1.329092151</v>
      </c>
      <c r="H648" s="42">
        <f t="shared" si="10"/>
        <v>0</v>
      </c>
      <c r="I648" s="42" t="str">
        <f>UpdateHashtag!S646</f>
        <v/>
      </c>
      <c r="J648" s="47">
        <f t="shared" si="11"/>
        <v>0</v>
      </c>
      <c r="K648" s="48" t="str">
        <f>UpdateHashtag!T646</f>
        <v/>
      </c>
      <c r="L648" s="42">
        <f t="shared" si="12"/>
        <v>-1.734552372</v>
      </c>
      <c r="N648" s="100">
        <f t="shared" si="13"/>
        <v>401</v>
      </c>
      <c r="O648" s="94" t="str">
        <f t="array" ref="O648">INDIRECT("Update"&amp;Projections!$AH$17&amp;"!B"&amp;ROW(B629))</f>
        <v/>
      </c>
      <c r="P648" s="414" t="str">
        <f t="array" ref="P648">INDIRECT("Update"&amp;Projections!$AH$17&amp;"!C"&amp;ROW(B629))</f>
        <v/>
      </c>
      <c r="Q648" s="94" t="str">
        <f>UpdateHashtag!F678</f>
        <v/>
      </c>
      <c r="R648" s="105" t="str">
        <f t="array" ref="R648">INDIRECT("Update"&amp;Projections!$AH$17&amp;"!D"&amp;ROW(B629))</f>
        <v/>
      </c>
      <c r="S648" s="73">
        <f t="shared" si="14"/>
        <v>-9.965301026</v>
      </c>
      <c r="T648" s="73">
        <f>SUM(AE648:AM648)-IFERROR(IFS(Projections!$I$17,AN648,Projections!$J$17,AO648),"")</f>
        <v>-9.965301026</v>
      </c>
      <c r="U648" s="73">
        <f t="shared" si="15"/>
        <v>0</v>
      </c>
      <c r="V648" s="73" t="str">
        <f t="array" ref="V648">INDIRECT("Update"&amp;Projections!$AH$17&amp;"!M"&amp;ROW(B629))</f>
        <v/>
      </c>
      <c r="W648" s="73" t="str">
        <f t="array" ref="W648">INDIRECT("Update"&amp;Projections!$AH$17&amp;"!L"&amp;ROW(B629))</f>
        <v/>
      </c>
      <c r="X648" s="73" t="str">
        <f t="array" ref="X648">INDIRECT("Update"&amp;Projections!$AH$17&amp;"!N"&amp;ROW(B629))</f>
        <v/>
      </c>
      <c r="Y648" s="73" t="str">
        <f t="array" ref="Y648">INDIRECT("Update"&amp;Projections!$AH$17&amp;"!O"&amp;ROW(B629))</f>
        <v/>
      </c>
      <c r="Z648" s="73" t="str">
        <f t="array" ref="Z648">INDIRECT("Update"&amp;Projections!$AH$17&amp;"!P"&amp;ROW(B629))</f>
        <v/>
      </c>
      <c r="AA648" s="73" t="str">
        <f t="array" ref="AA648">INDIRECT("Update"&amp;Projections!$AH$17&amp;"!Q"&amp;ROW(B629))</f>
        <v/>
      </c>
      <c r="AB648" s="107" t="str">
        <f t="array" ref="AB648">INDIRECT("Update"&amp;Projections!$AH$17&amp;"!I"&amp;ROW(B629))</f>
        <v/>
      </c>
      <c r="AC648" s="107" t="str">
        <f t="array" ref="AC648">INDIRECT("Update"&amp;Projections!$AH$17&amp;"!K"&amp;ROW(B629))</f>
        <v/>
      </c>
      <c r="AD648" s="73" t="str">
        <f t="array" ref="AD648">INDIRECT("Update"&amp;Projections!$AH$17&amp;"!R"&amp;ROW(B629))</f>
        <v/>
      </c>
      <c r="AE648" s="73">
        <f t="shared" si="16"/>
        <v>-3.155358621</v>
      </c>
      <c r="AF648" s="73">
        <f t="shared" si="17"/>
        <v>-1.740686581</v>
      </c>
      <c r="AG648" s="73">
        <f t="shared" si="18"/>
        <v>-2.380599106</v>
      </c>
      <c r="AH648" s="73">
        <f t="shared" si="19"/>
        <v>-1.79320266</v>
      </c>
      <c r="AI648" s="73">
        <f t="shared" si="20"/>
        <v>-3.240190514</v>
      </c>
      <c r="AJ648" s="73">
        <f t="shared" si="21"/>
        <v>-1.329092151</v>
      </c>
      <c r="AK648" s="73">
        <f t="shared" si="22"/>
        <v>0</v>
      </c>
      <c r="AL648" s="73">
        <f t="shared" si="23"/>
        <v>0</v>
      </c>
      <c r="AM648" s="73">
        <f t="shared" si="24"/>
        <v>0.433638093</v>
      </c>
      <c r="AN648" s="120">
        <f t="shared" si="25"/>
        <v>-3.240190514</v>
      </c>
      <c r="AO648" s="120">
        <f t="shared" si="26"/>
        <v>-6.395549135</v>
      </c>
      <c r="AP648" s="120" t="str">
        <f t="array" ref="AP648">INDIRECT("Update"&amp;Projections!$AH$17&amp;"!S"&amp;ROW(B629))</f>
        <v/>
      </c>
      <c r="AQ648" s="120" t="str">
        <f t="array" ref="AQ648">INDIRECT("Update"&amp;Projections!$AH$17&amp;"!T"&amp;ROW(B629))</f>
        <v/>
      </c>
      <c r="AR648" s="100">
        <f t="shared" si="27"/>
        <v>-9.965301026</v>
      </c>
    </row>
    <row r="649">
      <c r="A649" t="str">
        <f t="shared" si="3"/>
        <v/>
      </c>
      <c r="B649" s="42">
        <f t="shared" si="4"/>
        <v>-3.155358621</v>
      </c>
      <c r="C649" s="43">
        <f t="shared" si="5"/>
        <v>-1.740686581</v>
      </c>
      <c r="D649" s="42">
        <f t="shared" si="6"/>
        <v>-2.380599106</v>
      </c>
      <c r="E649" s="42">
        <f t="shared" si="7"/>
        <v>-1.79320266</v>
      </c>
      <c r="F649" s="42">
        <f t="shared" si="8"/>
        <v>-3.240190514</v>
      </c>
      <c r="G649" s="42">
        <f t="shared" si="9"/>
        <v>-1.329092151</v>
      </c>
      <c r="H649" s="42">
        <f t="shared" si="10"/>
        <v>0</v>
      </c>
      <c r="I649" s="42" t="str">
        <f>UpdateHashtag!S647</f>
        <v/>
      </c>
      <c r="J649" s="47">
        <f t="shared" si="11"/>
        <v>0</v>
      </c>
      <c r="K649" s="48" t="str">
        <f>UpdateHashtag!T647</f>
        <v/>
      </c>
      <c r="L649" s="42">
        <f t="shared" si="12"/>
        <v>-1.734552372</v>
      </c>
      <c r="N649" s="100">
        <f t="shared" si="13"/>
        <v>401</v>
      </c>
      <c r="O649" s="94" t="str">
        <f t="array" ref="O649">INDIRECT("Update"&amp;Projections!$AH$17&amp;"!B"&amp;ROW(B630))</f>
        <v/>
      </c>
      <c r="P649" s="414" t="str">
        <f t="array" ref="P649">INDIRECT("Update"&amp;Projections!$AH$17&amp;"!C"&amp;ROW(B630))</f>
        <v/>
      </c>
      <c r="Q649" s="94" t="str">
        <f>UpdateHashtag!F679</f>
        <v/>
      </c>
      <c r="R649" s="105" t="str">
        <f t="array" ref="R649">INDIRECT("Update"&amp;Projections!$AH$17&amp;"!D"&amp;ROW(B630))</f>
        <v/>
      </c>
      <c r="S649" s="73">
        <f t="shared" si="14"/>
        <v>-9.965301026</v>
      </c>
      <c r="T649" s="73">
        <f>SUM(AE649:AM649)-IFERROR(IFS(Projections!$I$17,AN649,Projections!$J$17,AO649),"")</f>
        <v>-9.965301026</v>
      </c>
      <c r="U649" s="73">
        <f t="shared" si="15"/>
        <v>0</v>
      </c>
      <c r="V649" s="73" t="str">
        <f t="array" ref="V649">INDIRECT("Update"&amp;Projections!$AH$17&amp;"!M"&amp;ROW(B630))</f>
        <v/>
      </c>
      <c r="W649" s="73" t="str">
        <f t="array" ref="W649">INDIRECT("Update"&amp;Projections!$AH$17&amp;"!L"&amp;ROW(B630))</f>
        <v/>
      </c>
      <c r="X649" s="73" t="str">
        <f t="array" ref="X649">INDIRECT("Update"&amp;Projections!$AH$17&amp;"!N"&amp;ROW(B630))</f>
        <v/>
      </c>
      <c r="Y649" s="73" t="str">
        <f t="array" ref="Y649">INDIRECT("Update"&amp;Projections!$AH$17&amp;"!O"&amp;ROW(B630))</f>
        <v/>
      </c>
      <c r="Z649" s="73" t="str">
        <f t="array" ref="Z649">INDIRECT("Update"&amp;Projections!$AH$17&amp;"!P"&amp;ROW(B630))</f>
        <v/>
      </c>
      <c r="AA649" s="73" t="str">
        <f t="array" ref="AA649">INDIRECT("Update"&amp;Projections!$AH$17&amp;"!Q"&amp;ROW(B630))</f>
        <v/>
      </c>
      <c r="AB649" s="107" t="str">
        <f t="array" ref="AB649">INDIRECT("Update"&amp;Projections!$AH$17&amp;"!I"&amp;ROW(B630))</f>
        <v/>
      </c>
      <c r="AC649" s="107" t="str">
        <f t="array" ref="AC649">INDIRECT("Update"&amp;Projections!$AH$17&amp;"!K"&amp;ROW(B630))</f>
        <v/>
      </c>
      <c r="AD649" s="73" t="str">
        <f t="array" ref="AD649">INDIRECT("Update"&amp;Projections!$AH$17&amp;"!R"&amp;ROW(B630))</f>
        <v/>
      </c>
      <c r="AE649" s="73">
        <f t="shared" si="16"/>
        <v>-3.155358621</v>
      </c>
      <c r="AF649" s="73">
        <f t="shared" si="17"/>
        <v>-1.740686581</v>
      </c>
      <c r="AG649" s="73">
        <f t="shared" si="18"/>
        <v>-2.380599106</v>
      </c>
      <c r="AH649" s="73">
        <f t="shared" si="19"/>
        <v>-1.79320266</v>
      </c>
      <c r="AI649" s="73">
        <f t="shared" si="20"/>
        <v>-3.240190514</v>
      </c>
      <c r="AJ649" s="73">
        <f t="shared" si="21"/>
        <v>-1.329092151</v>
      </c>
      <c r="AK649" s="73">
        <f t="shared" si="22"/>
        <v>0</v>
      </c>
      <c r="AL649" s="73">
        <f t="shared" si="23"/>
        <v>0</v>
      </c>
      <c r="AM649" s="73">
        <f t="shared" si="24"/>
        <v>0.433638093</v>
      </c>
      <c r="AN649" s="120">
        <f t="shared" si="25"/>
        <v>-3.240190514</v>
      </c>
      <c r="AO649" s="120">
        <f t="shared" si="26"/>
        <v>-6.395549135</v>
      </c>
      <c r="AP649" s="120" t="str">
        <f t="array" ref="AP649">INDIRECT("Update"&amp;Projections!$AH$17&amp;"!S"&amp;ROW(B630))</f>
        <v/>
      </c>
      <c r="AQ649" s="120" t="str">
        <f t="array" ref="AQ649">INDIRECT("Update"&amp;Projections!$AH$17&amp;"!T"&amp;ROW(B630))</f>
        <v/>
      </c>
      <c r="AR649" s="100">
        <f t="shared" si="27"/>
        <v>-9.965301026</v>
      </c>
    </row>
    <row r="650">
      <c r="A650" t="str">
        <f t="shared" si="3"/>
        <v/>
      </c>
      <c r="B650" s="42">
        <f t="shared" si="4"/>
        <v>-3.155358621</v>
      </c>
      <c r="C650" s="43">
        <f t="shared" si="5"/>
        <v>-1.740686581</v>
      </c>
      <c r="D650" s="42">
        <f t="shared" si="6"/>
        <v>-2.380599106</v>
      </c>
      <c r="E650" s="42">
        <f t="shared" si="7"/>
        <v>-1.79320266</v>
      </c>
      <c r="F650" s="42">
        <f t="shared" si="8"/>
        <v>-3.240190514</v>
      </c>
      <c r="G650" s="42">
        <f t="shared" si="9"/>
        <v>-1.329092151</v>
      </c>
      <c r="H650" s="42">
        <f t="shared" si="10"/>
        <v>0</v>
      </c>
      <c r="I650" s="42" t="str">
        <f>UpdateHashtag!S648</f>
        <v/>
      </c>
      <c r="J650" s="47">
        <f t="shared" si="11"/>
        <v>0</v>
      </c>
      <c r="K650" s="48" t="str">
        <f>UpdateHashtag!T648</f>
        <v/>
      </c>
      <c r="L650" s="42">
        <f t="shared" si="12"/>
        <v>-1.734552372</v>
      </c>
      <c r="N650" s="100">
        <f t="shared" si="13"/>
        <v>401</v>
      </c>
      <c r="O650" s="94" t="str">
        <f t="array" ref="O650">INDIRECT("Update"&amp;Projections!$AH$17&amp;"!B"&amp;ROW(B631))</f>
        <v/>
      </c>
      <c r="P650" s="414" t="str">
        <f t="array" ref="P650">INDIRECT("Update"&amp;Projections!$AH$17&amp;"!C"&amp;ROW(B631))</f>
        <v/>
      </c>
      <c r="Q650" s="94" t="str">
        <f>UpdateHashtag!F680</f>
        <v/>
      </c>
      <c r="R650" s="105" t="str">
        <f t="array" ref="R650">INDIRECT("Update"&amp;Projections!$AH$17&amp;"!D"&amp;ROW(B631))</f>
        <v/>
      </c>
      <c r="S650" s="73">
        <f t="shared" si="14"/>
        <v>-9.965301026</v>
      </c>
      <c r="T650" s="73">
        <f>SUM(AE650:AM650)-IFERROR(IFS(Projections!$I$17,AN650,Projections!$J$17,AO650),"")</f>
        <v>-9.965301026</v>
      </c>
      <c r="U650" s="73">
        <f t="shared" si="15"/>
        <v>0</v>
      </c>
      <c r="V650" s="73" t="str">
        <f t="array" ref="V650">INDIRECT("Update"&amp;Projections!$AH$17&amp;"!M"&amp;ROW(B631))</f>
        <v/>
      </c>
      <c r="W650" s="73" t="str">
        <f t="array" ref="W650">INDIRECT("Update"&amp;Projections!$AH$17&amp;"!L"&amp;ROW(B631))</f>
        <v/>
      </c>
      <c r="X650" s="73" t="str">
        <f t="array" ref="X650">INDIRECT("Update"&amp;Projections!$AH$17&amp;"!N"&amp;ROW(B631))</f>
        <v/>
      </c>
      <c r="Y650" s="73" t="str">
        <f t="array" ref="Y650">INDIRECT("Update"&amp;Projections!$AH$17&amp;"!O"&amp;ROW(B631))</f>
        <v/>
      </c>
      <c r="Z650" s="73" t="str">
        <f t="array" ref="Z650">INDIRECT("Update"&amp;Projections!$AH$17&amp;"!P"&amp;ROW(B631))</f>
        <v/>
      </c>
      <c r="AA650" s="73" t="str">
        <f t="array" ref="AA650">INDIRECT("Update"&amp;Projections!$AH$17&amp;"!Q"&amp;ROW(B631))</f>
        <v/>
      </c>
      <c r="AB650" s="107" t="str">
        <f t="array" ref="AB650">INDIRECT("Update"&amp;Projections!$AH$17&amp;"!I"&amp;ROW(B631))</f>
        <v/>
      </c>
      <c r="AC650" s="107" t="str">
        <f t="array" ref="AC650">INDIRECT("Update"&amp;Projections!$AH$17&amp;"!K"&amp;ROW(B631))</f>
        <v/>
      </c>
      <c r="AD650" s="73" t="str">
        <f t="array" ref="AD650">INDIRECT("Update"&amp;Projections!$AH$17&amp;"!R"&amp;ROW(B631))</f>
        <v/>
      </c>
      <c r="AE650" s="73">
        <f t="shared" si="16"/>
        <v>-3.155358621</v>
      </c>
      <c r="AF650" s="73">
        <f t="shared" si="17"/>
        <v>-1.740686581</v>
      </c>
      <c r="AG650" s="73">
        <f t="shared" si="18"/>
        <v>-2.380599106</v>
      </c>
      <c r="AH650" s="73">
        <f t="shared" si="19"/>
        <v>-1.79320266</v>
      </c>
      <c r="AI650" s="73">
        <f t="shared" si="20"/>
        <v>-3.240190514</v>
      </c>
      <c r="AJ650" s="73">
        <f t="shared" si="21"/>
        <v>-1.329092151</v>
      </c>
      <c r="AK650" s="73">
        <f t="shared" si="22"/>
        <v>0</v>
      </c>
      <c r="AL650" s="73">
        <f t="shared" si="23"/>
        <v>0</v>
      </c>
      <c r="AM650" s="73">
        <f t="shared" si="24"/>
        <v>0.433638093</v>
      </c>
      <c r="AN650" s="120">
        <f t="shared" si="25"/>
        <v>-3.240190514</v>
      </c>
      <c r="AO650" s="120">
        <f t="shared" si="26"/>
        <v>-6.395549135</v>
      </c>
      <c r="AP650" s="120" t="str">
        <f t="array" ref="AP650">INDIRECT("Update"&amp;Projections!$AH$17&amp;"!S"&amp;ROW(B631))</f>
        <v/>
      </c>
      <c r="AQ650" s="120" t="str">
        <f t="array" ref="AQ650">INDIRECT("Update"&amp;Projections!$AH$17&amp;"!T"&amp;ROW(B631))</f>
        <v/>
      </c>
      <c r="AR650" s="100">
        <f t="shared" si="27"/>
        <v>-9.965301026</v>
      </c>
    </row>
    <row r="651">
      <c r="A651" t="str">
        <f t="shared" si="3"/>
        <v/>
      </c>
      <c r="B651" s="42">
        <f t="shared" si="4"/>
        <v>-3.155358621</v>
      </c>
      <c r="C651" s="43">
        <f t="shared" si="5"/>
        <v>-1.740686581</v>
      </c>
      <c r="D651" s="42">
        <f t="shared" si="6"/>
        <v>-2.380599106</v>
      </c>
      <c r="E651" s="42">
        <f t="shared" si="7"/>
        <v>-1.79320266</v>
      </c>
      <c r="F651" s="42">
        <f t="shared" si="8"/>
        <v>-3.240190514</v>
      </c>
      <c r="G651" s="42">
        <f t="shared" si="9"/>
        <v>-1.329092151</v>
      </c>
      <c r="H651" s="42">
        <f t="shared" si="10"/>
        <v>0</v>
      </c>
      <c r="I651" s="42" t="str">
        <f>UpdateHashtag!S649</f>
        <v/>
      </c>
      <c r="J651" s="47">
        <f t="shared" si="11"/>
        <v>0</v>
      </c>
      <c r="K651" s="48" t="str">
        <f>UpdateHashtag!T649</f>
        <v/>
      </c>
      <c r="L651" s="42">
        <f t="shared" si="12"/>
        <v>-1.734552372</v>
      </c>
      <c r="N651" s="100">
        <f t="shared" si="13"/>
        <v>401</v>
      </c>
      <c r="O651" s="94" t="str">
        <f t="array" ref="O651">INDIRECT("Update"&amp;Projections!$AH$17&amp;"!B"&amp;ROW(B632))</f>
        <v/>
      </c>
      <c r="P651" s="414" t="str">
        <f t="array" ref="P651">INDIRECT("Update"&amp;Projections!$AH$17&amp;"!C"&amp;ROW(B632))</f>
        <v/>
      </c>
      <c r="Q651" s="94" t="str">
        <f>UpdateHashtag!F681</f>
        <v/>
      </c>
      <c r="R651" s="105" t="str">
        <f t="array" ref="R651">INDIRECT("Update"&amp;Projections!$AH$17&amp;"!D"&amp;ROW(B632))</f>
        <v/>
      </c>
      <c r="S651" s="73">
        <f t="shared" si="14"/>
        <v>-9.965301026</v>
      </c>
      <c r="T651" s="73">
        <f>SUM(AE651:AM651)-IFERROR(IFS(Projections!$I$17,AN651,Projections!$J$17,AO651),"")</f>
        <v>-9.965301026</v>
      </c>
      <c r="U651" s="73">
        <f t="shared" si="15"/>
        <v>0</v>
      </c>
      <c r="V651" s="73" t="str">
        <f t="array" ref="V651">INDIRECT("Update"&amp;Projections!$AH$17&amp;"!M"&amp;ROW(B632))</f>
        <v/>
      </c>
      <c r="W651" s="73" t="str">
        <f t="array" ref="W651">INDIRECT("Update"&amp;Projections!$AH$17&amp;"!L"&amp;ROW(B632))</f>
        <v/>
      </c>
      <c r="X651" s="73" t="str">
        <f t="array" ref="X651">INDIRECT("Update"&amp;Projections!$AH$17&amp;"!N"&amp;ROW(B632))</f>
        <v/>
      </c>
      <c r="Y651" s="73" t="str">
        <f t="array" ref="Y651">INDIRECT("Update"&amp;Projections!$AH$17&amp;"!O"&amp;ROW(B632))</f>
        <v/>
      </c>
      <c r="Z651" s="73" t="str">
        <f t="array" ref="Z651">INDIRECT("Update"&amp;Projections!$AH$17&amp;"!P"&amp;ROW(B632))</f>
        <v/>
      </c>
      <c r="AA651" s="73" t="str">
        <f t="array" ref="AA651">INDIRECT("Update"&amp;Projections!$AH$17&amp;"!Q"&amp;ROW(B632))</f>
        <v/>
      </c>
      <c r="AB651" s="107" t="str">
        <f t="array" ref="AB651">INDIRECT("Update"&amp;Projections!$AH$17&amp;"!I"&amp;ROW(B632))</f>
        <v/>
      </c>
      <c r="AC651" s="107" t="str">
        <f t="array" ref="AC651">INDIRECT("Update"&amp;Projections!$AH$17&amp;"!K"&amp;ROW(B632))</f>
        <v/>
      </c>
      <c r="AD651" s="73" t="str">
        <f t="array" ref="AD651">INDIRECT("Update"&amp;Projections!$AH$17&amp;"!R"&amp;ROW(B632))</f>
        <v/>
      </c>
      <c r="AE651" s="73">
        <f t="shared" si="16"/>
        <v>-3.155358621</v>
      </c>
      <c r="AF651" s="73">
        <f t="shared" si="17"/>
        <v>-1.740686581</v>
      </c>
      <c r="AG651" s="73">
        <f t="shared" si="18"/>
        <v>-2.380599106</v>
      </c>
      <c r="AH651" s="73">
        <f t="shared" si="19"/>
        <v>-1.79320266</v>
      </c>
      <c r="AI651" s="73">
        <f t="shared" si="20"/>
        <v>-3.240190514</v>
      </c>
      <c r="AJ651" s="73">
        <f t="shared" si="21"/>
        <v>-1.329092151</v>
      </c>
      <c r="AK651" s="73">
        <f t="shared" si="22"/>
        <v>0</v>
      </c>
      <c r="AL651" s="73">
        <f t="shared" si="23"/>
        <v>0</v>
      </c>
      <c r="AM651" s="73">
        <f t="shared" si="24"/>
        <v>0.433638093</v>
      </c>
      <c r="AN651" s="120">
        <f t="shared" si="25"/>
        <v>-3.240190514</v>
      </c>
      <c r="AO651" s="120">
        <f t="shared" si="26"/>
        <v>-6.395549135</v>
      </c>
      <c r="AP651" s="120" t="str">
        <f t="array" ref="AP651">INDIRECT("Update"&amp;Projections!$AH$17&amp;"!S"&amp;ROW(B632))</f>
        <v/>
      </c>
      <c r="AQ651" s="120" t="str">
        <f t="array" ref="AQ651">INDIRECT("Update"&amp;Projections!$AH$17&amp;"!T"&amp;ROW(B632))</f>
        <v/>
      </c>
      <c r="AR651" s="100">
        <f t="shared" si="27"/>
        <v>-9.965301026</v>
      </c>
    </row>
    <row r="652">
      <c r="A652" t="str">
        <f t="shared" si="3"/>
        <v/>
      </c>
      <c r="B652" s="42">
        <f t="shared" si="4"/>
        <v>-3.155358621</v>
      </c>
      <c r="C652" s="43">
        <f t="shared" si="5"/>
        <v>-1.740686581</v>
      </c>
      <c r="D652" s="42">
        <f t="shared" si="6"/>
        <v>-2.380599106</v>
      </c>
      <c r="E652" s="42">
        <f t="shared" si="7"/>
        <v>-1.79320266</v>
      </c>
      <c r="F652" s="42">
        <f t="shared" si="8"/>
        <v>-3.240190514</v>
      </c>
      <c r="G652" s="42">
        <f t="shared" si="9"/>
        <v>-1.329092151</v>
      </c>
      <c r="H652" s="42">
        <f t="shared" si="10"/>
        <v>0</v>
      </c>
      <c r="I652" s="42" t="str">
        <f>UpdateHashtag!S650</f>
        <v/>
      </c>
      <c r="J652" s="47">
        <f t="shared" si="11"/>
        <v>0</v>
      </c>
      <c r="K652" s="48" t="str">
        <f>UpdateHashtag!T650</f>
        <v/>
      </c>
      <c r="L652" s="42">
        <f t="shared" si="12"/>
        <v>-1.734552372</v>
      </c>
      <c r="N652" s="100">
        <f t="shared" si="13"/>
        <v>401</v>
      </c>
      <c r="O652" s="94" t="str">
        <f t="array" ref="O652">INDIRECT("Update"&amp;Projections!$AH$17&amp;"!B"&amp;ROW(B633))</f>
        <v/>
      </c>
      <c r="P652" s="414" t="str">
        <f t="array" ref="P652">INDIRECT("Update"&amp;Projections!$AH$17&amp;"!C"&amp;ROW(B633))</f>
        <v/>
      </c>
      <c r="Q652" s="94" t="str">
        <f>UpdateHashtag!F682</f>
        <v/>
      </c>
      <c r="R652" s="105" t="str">
        <f t="array" ref="R652">INDIRECT("Update"&amp;Projections!$AH$17&amp;"!D"&amp;ROW(B633))</f>
        <v/>
      </c>
      <c r="S652" s="73">
        <f t="shared" si="14"/>
        <v>-9.965301026</v>
      </c>
      <c r="T652" s="73">
        <f>SUM(AE652:AM652)-IFERROR(IFS(Projections!$I$17,AN652,Projections!$J$17,AO652),"")</f>
        <v>-9.965301026</v>
      </c>
      <c r="U652" s="73">
        <f t="shared" si="15"/>
        <v>0</v>
      </c>
      <c r="V652" s="73" t="str">
        <f t="array" ref="V652">INDIRECT("Update"&amp;Projections!$AH$17&amp;"!M"&amp;ROW(B633))</f>
        <v/>
      </c>
      <c r="W652" s="73" t="str">
        <f t="array" ref="W652">INDIRECT("Update"&amp;Projections!$AH$17&amp;"!L"&amp;ROW(B633))</f>
        <v/>
      </c>
      <c r="X652" s="73" t="str">
        <f t="array" ref="X652">INDIRECT("Update"&amp;Projections!$AH$17&amp;"!N"&amp;ROW(B633))</f>
        <v/>
      </c>
      <c r="Y652" s="73" t="str">
        <f t="array" ref="Y652">INDIRECT("Update"&amp;Projections!$AH$17&amp;"!O"&amp;ROW(B633))</f>
        <v/>
      </c>
      <c r="Z652" s="73" t="str">
        <f t="array" ref="Z652">INDIRECT("Update"&amp;Projections!$AH$17&amp;"!P"&amp;ROW(B633))</f>
        <v/>
      </c>
      <c r="AA652" s="73" t="str">
        <f t="array" ref="AA652">INDIRECT("Update"&amp;Projections!$AH$17&amp;"!Q"&amp;ROW(B633))</f>
        <v/>
      </c>
      <c r="AB652" s="107" t="str">
        <f t="array" ref="AB652">INDIRECT("Update"&amp;Projections!$AH$17&amp;"!I"&amp;ROW(B633))</f>
        <v/>
      </c>
      <c r="AC652" s="107" t="str">
        <f t="array" ref="AC652">INDIRECT("Update"&amp;Projections!$AH$17&amp;"!K"&amp;ROW(B633))</f>
        <v/>
      </c>
      <c r="AD652" s="73" t="str">
        <f t="array" ref="AD652">INDIRECT("Update"&amp;Projections!$AH$17&amp;"!R"&amp;ROW(B633))</f>
        <v/>
      </c>
      <c r="AE652" s="73">
        <f t="shared" si="16"/>
        <v>-3.155358621</v>
      </c>
      <c r="AF652" s="73">
        <f t="shared" si="17"/>
        <v>-1.740686581</v>
      </c>
      <c r="AG652" s="73">
        <f t="shared" si="18"/>
        <v>-2.380599106</v>
      </c>
      <c r="AH652" s="73">
        <f t="shared" si="19"/>
        <v>-1.79320266</v>
      </c>
      <c r="AI652" s="73">
        <f t="shared" si="20"/>
        <v>-3.240190514</v>
      </c>
      <c r="AJ652" s="73">
        <f t="shared" si="21"/>
        <v>-1.329092151</v>
      </c>
      <c r="AK652" s="73">
        <f t="shared" si="22"/>
        <v>0</v>
      </c>
      <c r="AL652" s="73">
        <f t="shared" si="23"/>
        <v>0</v>
      </c>
      <c r="AM652" s="73">
        <f t="shared" si="24"/>
        <v>0.433638093</v>
      </c>
      <c r="AN652" s="120">
        <f t="shared" si="25"/>
        <v>-3.240190514</v>
      </c>
      <c r="AO652" s="120">
        <f t="shared" si="26"/>
        <v>-6.395549135</v>
      </c>
      <c r="AP652" s="120" t="str">
        <f t="array" ref="AP652">INDIRECT("Update"&amp;Projections!$AH$17&amp;"!S"&amp;ROW(B633))</f>
        <v/>
      </c>
      <c r="AQ652" s="120" t="str">
        <f t="array" ref="AQ652">INDIRECT("Update"&amp;Projections!$AH$17&amp;"!T"&amp;ROW(B633))</f>
        <v/>
      </c>
      <c r="AR652" s="100">
        <f t="shared" si="27"/>
        <v>-9.965301026</v>
      </c>
    </row>
    <row r="653">
      <c r="A653" t="str">
        <f t="shared" si="3"/>
        <v/>
      </c>
      <c r="B653" s="42">
        <f t="shared" si="4"/>
        <v>-3.155358621</v>
      </c>
      <c r="C653" s="43">
        <f t="shared" si="5"/>
        <v>-1.740686581</v>
      </c>
      <c r="D653" s="42">
        <f t="shared" si="6"/>
        <v>-2.380599106</v>
      </c>
      <c r="E653" s="42">
        <f t="shared" si="7"/>
        <v>-1.79320266</v>
      </c>
      <c r="F653" s="42">
        <f t="shared" si="8"/>
        <v>-3.240190514</v>
      </c>
      <c r="G653" s="42">
        <f t="shared" si="9"/>
        <v>-1.329092151</v>
      </c>
      <c r="H653" s="42">
        <f t="shared" si="10"/>
        <v>0</v>
      </c>
      <c r="I653" s="42" t="str">
        <f>UpdateHashtag!S651</f>
        <v/>
      </c>
      <c r="J653" s="47">
        <f t="shared" si="11"/>
        <v>0</v>
      </c>
      <c r="K653" s="48" t="str">
        <f>UpdateHashtag!T651</f>
        <v/>
      </c>
      <c r="L653" s="42">
        <f t="shared" si="12"/>
        <v>-1.734552372</v>
      </c>
      <c r="N653" s="100">
        <f t="shared" si="13"/>
        <v>401</v>
      </c>
      <c r="O653" s="94" t="str">
        <f t="array" ref="O653">INDIRECT("Update"&amp;Projections!$AH$17&amp;"!B"&amp;ROW(B634))</f>
        <v/>
      </c>
      <c r="P653" s="414" t="str">
        <f t="array" ref="P653">INDIRECT("Update"&amp;Projections!$AH$17&amp;"!C"&amp;ROW(B634))</f>
        <v/>
      </c>
      <c r="Q653" s="94" t="str">
        <f>UpdateHashtag!F683</f>
        <v/>
      </c>
      <c r="R653" s="105" t="str">
        <f t="array" ref="R653">INDIRECT("Update"&amp;Projections!$AH$17&amp;"!D"&amp;ROW(B634))</f>
        <v/>
      </c>
      <c r="S653" s="73">
        <f t="shared" si="14"/>
        <v>-9.965301026</v>
      </c>
      <c r="T653" s="73">
        <f>SUM(AE653:AM653)-IFERROR(IFS(Projections!$I$17,AN653,Projections!$J$17,AO653),"")</f>
        <v>-9.965301026</v>
      </c>
      <c r="U653" s="73">
        <f t="shared" si="15"/>
        <v>0</v>
      </c>
      <c r="V653" s="73" t="str">
        <f t="array" ref="V653">INDIRECT("Update"&amp;Projections!$AH$17&amp;"!M"&amp;ROW(B634))</f>
        <v/>
      </c>
      <c r="W653" s="73" t="str">
        <f t="array" ref="W653">INDIRECT("Update"&amp;Projections!$AH$17&amp;"!L"&amp;ROW(B634))</f>
        <v/>
      </c>
      <c r="X653" s="73" t="str">
        <f t="array" ref="X653">INDIRECT("Update"&amp;Projections!$AH$17&amp;"!N"&amp;ROW(B634))</f>
        <v/>
      </c>
      <c r="Y653" s="73" t="str">
        <f t="array" ref="Y653">INDIRECT("Update"&amp;Projections!$AH$17&amp;"!O"&amp;ROW(B634))</f>
        <v/>
      </c>
      <c r="Z653" s="73" t="str">
        <f t="array" ref="Z653">INDIRECT("Update"&amp;Projections!$AH$17&amp;"!P"&amp;ROW(B634))</f>
        <v/>
      </c>
      <c r="AA653" s="73" t="str">
        <f t="array" ref="AA653">INDIRECT("Update"&amp;Projections!$AH$17&amp;"!Q"&amp;ROW(B634))</f>
        <v/>
      </c>
      <c r="AB653" s="107" t="str">
        <f t="array" ref="AB653">INDIRECT("Update"&amp;Projections!$AH$17&amp;"!I"&amp;ROW(B634))</f>
        <v/>
      </c>
      <c r="AC653" s="107" t="str">
        <f t="array" ref="AC653">INDIRECT("Update"&amp;Projections!$AH$17&amp;"!K"&amp;ROW(B634))</f>
        <v/>
      </c>
      <c r="AD653" s="73" t="str">
        <f t="array" ref="AD653">INDIRECT("Update"&amp;Projections!$AH$17&amp;"!R"&amp;ROW(B634))</f>
        <v/>
      </c>
      <c r="AE653" s="73">
        <f t="shared" si="16"/>
        <v>-3.155358621</v>
      </c>
      <c r="AF653" s="73">
        <f t="shared" si="17"/>
        <v>-1.740686581</v>
      </c>
      <c r="AG653" s="73">
        <f t="shared" si="18"/>
        <v>-2.380599106</v>
      </c>
      <c r="AH653" s="73">
        <f t="shared" si="19"/>
        <v>-1.79320266</v>
      </c>
      <c r="AI653" s="73">
        <f t="shared" si="20"/>
        <v>-3.240190514</v>
      </c>
      <c r="AJ653" s="73">
        <f t="shared" si="21"/>
        <v>-1.329092151</v>
      </c>
      <c r="AK653" s="73">
        <f t="shared" si="22"/>
        <v>0</v>
      </c>
      <c r="AL653" s="73">
        <f t="shared" si="23"/>
        <v>0</v>
      </c>
      <c r="AM653" s="73">
        <f t="shared" si="24"/>
        <v>0.433638093</v>
      </c>
      <c r="AN653" s="120">
        <f t="shared" si="25"/>
        <v>-3.240190514</v>
      </c>
      <c r="AO653" s="120">
        <f t="shared" si="26"/>
        <v>-6.395549135</v>
      </c>
      <c r="AP653" s="120" t="str">
        <f t="array" ref="AP653">INDIRECT("Update"&amp;Projections!$AH$17&amp;"!S"&amp;ROW(B634))</f>
        <v/>
      </c>
      <c r="AQ653" s="120" t="str">
        <f t="array" ref="AQ653">INDIRECT("Update"&amp;Projections!$AH$17&amp;"!T"&amp;ROW(B634))</f>
        <v/>
      </c>
      <c r="AR653" s="100">
        <f t="shared" si="27"/>
        <v>-9.965301026</v>
      </c>
    </row>
    <row r="654">
      <c r="A654" t="str">
        <f t="shared" si="3"/>
        <v/>
      </c>
      <c r="B654" s="42">
        <f t="shared" si="4"/>
        <v>-3.155358621</v>
      </c>
      <c r="C654" s="43">
        <f t="shared" si="5"/>
        <v>-1.740686581</v>
      </c>
      <c r="D654" s="42">
        <f t="shared" si="6"/>
        <v>-2.380599106</v>
      </c>
      <c r="E654" s="42">
        <f t="shared" si="7"/>
        <v>-1.79320266</v>
      </c>
      <c r="F654" s="42">
        <f t="shared" si="8"/>
        <v>-3.240190514</v>
      </c>
      <c r="G654" s="42">
        <f t="shared" si="9"/>
        <v>-1.329092151</v>
      </c>
      <c r="H654" s="42">
        <f t="shared" si="10"/>
        <v>0</v>
      </c>
      <c r="I654" s="42" t="str">
        <f>UpdateHashtag!S652</f>
        <v/>
      </c>
      <c r="J654" s="47">
        <f t="shared" si="11"/>
        <v>0</v>
      </c>
      <c r="K654" s="48" t="str">
        <f>UpdateHashtag!T652</f>
        <v/>
      </c>
      <c r="L654" s="42">
        <f t="shared" si="12"/>
        <v>-1.734552372</v>
      </c>
      <c r="N654" s="100">
        <f t="shared" si="13"/>
        <v>401</v>
      </c>
      <c r="O654" s="94" t="str">
        <f t="array" ref="O654">INDIRECT("Update"&amp;Projections!$AH$17&amp;"!B"&amp;ROW(B635))</f>
        <v/>
      </c>
      <c r="P654" s="414" t="str">
        <f t="array" ref="P654">INDIRECT("Update"&amp;Projections!$AH$17&amp;"!C"&amp;ROW(B635))</f>
        <v/>
      </c>
      <c r="Q654" s="94" t="str">
        <f>UpdateHashtag!F684</f>
        <v/>
      </c>
      <c r="R654" s="105" t="str">
        <f t="array" ref="R654">INDIRECT("Update"&amp;Projections!$AH$17&amp;"!D"&amp;ROW(B635))</f>
        <v/>
      </c>
      <c r="S654" s="73">
        <f t="shared" si="14"/>
        <v>-9.965301026</v>
      </c>
      <c r="T654" s="73">
        <f>SUM(AE654:AM654)-IFERROR(IFS(Projections!$I$17,AN654,Projections!$J$17,AO654),"")</f>
        <v>-9.965301026</v>
      </c>
      <c r="U654" s="73">
        <f t="shared" si="15"/>
        <v>0</v>
      </c>
      <c r="V654" s="73" t="str">
        <f t="array" ref="V654">INDIRECT("Update"&amp;Projections!$AH$17&amp;"!M"&amp;ROW(B635))</f>
        <v/>
      </c>
      <c r="W654" s="73" t="str">
        <f t="array" ref="W654">INDIRECT("Update"&amp;Projections!$AH$17&amp;"!L"&amp;ROW(B635))</f>
        <v/>
      </c>
      <c r="X654" s="73" t="str">
        <f t="array" ref="X654">INDIRECT("Update"&amp;Projections!$AH$17&amp;"!N"&amp;ROW(B635))</f>
        <v/>
      </c>
      <c r="Y654" s="73" t="str">
        <f t="array" ref="Y654">INDIRECT("Update"&amp;Projections!$AH$17&amp;"!O"&amp;ROW(B635))</f>
        <v/>
      </c>
      <c r="Z654" s="73" t="str">
        <f t="array" ref="Z654">INDIRECT("Update"&amp;Projections!$AH$17&amp;"!P"&amp;ROW(B635))</f>
        <v/>
      </c>
      <c r="AA654" s="73" t="str">
        <f t="array" ref="AA654">INDIRECT("Update"&amp;Projections!$AH$17&amp;"!Q"&amp;ROW(B635))</f>
        <v/>
      </c>
      <c r="AB654" s="107" t="str">
        <f t="array" ref="AB654">INDIRECT("Update"&amp;Projections!$AH$17&amp;"!I"&amp;ROW(B635))</f>
        <v/>
      </c>
      <c r="AC654" s="107" t="str">
        <f t="array" ref="AC654">INDIRECT("Update"&amp;Projections!$AH$17&amp;"!K"&amp;ROW(B635))</f>
        <v/>
      </c>
      <c r="AD654" s="73" t="str">
        <f t="array" ref="AD654">INDIRECT("Update"&amp;Projections!$AH$17&amp;"!R"&amp;ROW(B635))</f>
        <v/>
      </c>
      <c r="AE654" s="73">
        <f t="shared" si="16"/>
        <v>-3.155358621</v>
      </c>
      <c r="AF654" s="73">
        <f t="shared" si="17"/>
        <v>-1.740686581</v>
      </c>
      <c r="AG654" s="73">
        <f t="shared" si="18"/>
        <v>-2.380599106</v>
      </c>
      <c r="AH654" s="73">
        <f t="shared" si="19"/>
        <v>-1.79320266</v>
      </c>
      <c r="AI654" s="73">
        <f t="shared" si="20"/>
        <v>-3.240190514</v>
      </c>
      <c r="AJ654" s="73">
        <f t="shared" si="21"/>
        <v>-1.329092151</v>
      </c>
      <c r="AK654" s="73">
        <f t="shared" si="22"/>
        <v>0</v>
      </c>
      <c r="AL654" s="73">
        <f t="shared" si="23"/>
        <v>0</v>
      </c>
      <c r="AM654" s="73">
        <f t="shared" si="24"/>
        <v>0.433638093</v>
      </c>
      <c r="AN654" s="120">
        <f t="shared" si="25"/>
        <v>-3.240190514</v>
      </c>
      <c r="AO654" s="120">
        <f t="shared" si="26"/>
        <v>-6.395549135</v>
      </c>
      <c r="AP654" s="120" t="str">
        <f t="array" ref="AP654">INDIRECT("Update"&amp;Projections!$AH$17&amp;"!S"&amp;ROW(B635))</f>
        <v/>
      </c>
      <c r="AQ654" s="120" t="str">
        <f t="array" ref="AQ654">INDIRECT("Update"&amp;Projections!$AH$17&amp;"!T"&amp;ROW(B635))</f>
        <v/>
      </c>
      <c r="AR654" s="100">
        <f t="shared" si="27"/>
        <v>-9.965301026</v>
      </c>
    </row>
    <row r="655">
      <c r="A655" t="str">
        <f t="shared" si="3"/>
        <v/>
      </c>
      <c r="B655" s="42">
        <f t="shared" si="4"/>
        <v>-3.155358621</v>
      </c>
      <c r="C655" s="43">
        <f t="shared" si="5"/>
        <v>-1.740686581</v>
      </c>
      <c r="D655" s="42">
        <f t="shared" si="6"/>
        <v>-2.380599106</v>
      </c>
      <c r="E655" s="42">
        <f t="shared" si="7"/>
        <v>-1.79320266</v>
      </c>
      <c r="F655" s="42">
        <f t="shared" si="8"/>
        <v>-3.240190514</v>
      </c>
      <c r="G655" s="42">
        <f t="shared" si="9"/>
        <v>-1.329092151</v>
      </c>
      <c r="H655" s="42">
        <f t="shared" si="10"/>
        <v>0</v>
      </c>
      <c r="I655" s="42" t="str">
        <f>UpdateHashtag!S653</f>
        <v/>
      </c>
      <c r="J655" s="47">
        <f t="shared" si="11"/>
        <v>0</v>
      </c>
      <c r="K655" s="48" t="str">
        <f>UpdateHashtag!T653</f>
        <v/>
      </c>
      <c r="L655" s="42">
        <f t="shared" si="12"/>
        <v>-1.734552372</v>
      </c>
      <c r="N655" s="100">
        <f t="shared" si="13"/>
        <v>401</v>
      </c>
      <c r="O655" s="94" t="str">
        <f t="array" ref="O655">INDIRECT("Update"&amp;Projections!$AH$17&amp;"!B"&amp;ROW(B636))</f>
        <v/>
      </c>
      <c r="P655" s="414" t="str">
        <f t="array" ref="P655">INDIRECT("Update"&amp;Projections!$AH$17&amp;"!C"&amp;ROW(B636))</f>
        <v/>
      </c>
      <c r="Q655" s="94" t="str">
        <f>UpdateHashtag!F685</f>
        <v/>
      </c>
      <c r="R655" s="105" t="str">
        <f t="array" ref="R655">INDIRECT("Update"&amp;Projections!$AH$17&amp;"!D"&amp;ROW(B636))</f>
        <v/>
      </c>
      <c r="S655" s="73">
        <f t="shared" si="14"/>
        <v>-9.965301026</v>
      </c>
      <c r="T655" s="73">
        <f>SUM(AE655:AM655)-IFERROR(IFS(Projections!$I$17,AN655,Projections!$J$17,AO655),"")</f>
        <v>-9.965301026</v>
      </c>
      <c r="U655" s="73">
        <f t="shared" si="15"/>
        <v>0</v>
      </c>
      <c r="V655" s="73" t="str">
        <f t="array" ref="V655">INDIRECT("Update"&amp;Projections!$AH$17&amp;"!M"&amp;ROW(B636))</f>
        <v/>
      </c>
      <c r="W655" s="73" t="str">
        <f t="array" ref="W655">INDIRECT("Update"&amp;Projections!$AH$17&amp;"!L"&amp;ROW(B636))</f>
        <v/>
      </c>
      <c r="X655" s="73" t="str">
        <f t="array" ref="X655">INDIRECT("Update"&amp;Projections!$AH$17&amp;"!N"&amp;ROW(B636))</f>
        <v/>
      </c>
      <c r="Y655" s="73" t="str">
        <f t="array" ref="Y655">INDIRECT("Update"&amp;Projections!$AH$17&amp;"!O"&amp;ROW(B636))</f>
        <v/>
      </c>
      <c r="Z655" s="73" t="str">
        <f t="array" ref="Z655">INDIRECT("Update"&amp;Projections!$AH$17&amp;"!P"&amp;ROW(B636))</f>
        <v/>
      </c>
      <c r="AA655" s="73" t="str">
        <f t="array" ref="AA655">INDIRECT("Update"&amp;Projections!$AH$17&amp;"!Q"&amp;ROW(B636))</f>
        <v/>
      </c>
      <c r="AB655" s="107" t="str">
        <f t="array" ref="AB655">INDIRECT("Update"&amp;Projections!$AH$17&amp;"!I"&amp;ROW(B636))</f>
        <v/>
      </c>
      <c r="AC655" s="107" t="str">
        <f t="array" ref="AC655">INDIRECT("Update"&amp;Projections!$AH$17&amp;"!K"&amp;ROW(B636))</f>
        <v/>
      </c>
      <c r="AD655" s="73" t="str">
        <f t="array" ref="AD655">INDIRECT("Update"&amp;Projections!$AH$17&amp;"!R"&amp;ROW(B636))</f>
        <v/>
      </c>
      <c r="AE655" s="73">
        <f t="shared" si="16"/>
        <v>-3.155358621</v>
      </c>
      <c r="AF655" s="73">
        <f t="shared" si="17"/>
        <v>-1.740686581</v>
      </c>
      <c r="AG655" s="73">
        <f t="shared" si="18"/>
        <v>-2.380599106</v>
      </c>
      <c r="AH655" s="73">
        <f t="shared" si="19"/>
        <v>-1.79320266</v>
      </c>
      <c r="AI655" s="73">
        <f t="shared" si="20"/>
        <v>-3.240190514</v>
      </c>
      <c r="AJ655" s="73">
        <f t="shared" si="21"/>
        <v>-1.329092151</v>
      </c>
      <c r="AK655" s="73">
        <f t="shared" si="22"/>
        <v>0</v>
      </c>
      <c r="AL655" s="73">
        <f t="shared" si="23"/>
        <v>0</v>
      </c>
      <c r="AM655" s="73">
        <f t="shared" si="24"/>
        <v>0.433638093</v>
      </c>
      <c r="AN655" s="120">
        <f t="shared" si="25"/>
        <v>-3.240190514</v>
      </c>
      <c r="AO655" s="120">
        <f t="shared" si="26"/>
        <v>-6.395549135</v>
      </c>
      <c r="AP655" s="120" t="str">
        <f t="array" ref="AP655">INDIRECT("Update"&amp;Projections!$AH$17&amp;"!S"&amp;ROW(B636))</f>
        <v/>
      </c>
      <c r="AQ655" s="120" t="str">
        <f t="array" ref="AQ655">INDIRECT("Update"&amp;Projections!$AH$17&amp;"!T"&amp;ROW(B636))</f>
        <v/>
      </c>
      <c r="AR655" s="100">
        <f t="shared" si="27"/>
        <v>-9.965301026</v>
      </c>
    </row>
    <row r="656">
      <c r="A656" t="str">
        <f t="shared" si="3"/>
        <v/>
      </c>
      <c r="B656" s="42">
        <f t="shared" si="4"/>
        <v>-3.155358621</v>
      </c>
      <c r="C656" s="43">
        <f t="shared" si="5"/>
        <v>-1.740686581</v>
      </c>
      <c r="D656" s="42">
        <f t="shared" si="6"/>
        <v>-2.380599106</v>
      </c>
      <c r="E656" s="42">
        <f t="shared" si="7"/>
        <v>-1.79320266</v>
      </c>
      <c r="F656" s="42">
        <f t="shared" si="8"/>
        <v>-3.240190514</v>
      </c>
      <c r="G656" s="42">
        <f t="shared" si="9"/>
        <v>-1.329092151</v>
      </c>
      <c r="H656" s="42">
        <f t="shared" si="10"/>
        <v>0</v>
      </c>
      <c r="I656" s="42" t="str">
        <f>UpdateHashtag!S654</f>
        <v/>
      </c>
      <c r="J656" s="47">
        <f t="shared" si="11"/>
        <v>0</v>
      </c>
      <c r="K656" s="48" t="str">
        <f>UpdateHashtag!T654</f>
        <v/>
      </c>
      <c r="L656" s="42">
        <f t="shared" si="12"/>
        <v>-1.734552372</v>
      </c>
      <c r="N656" s="100">
        <f t="shared" si="13"/>
        <v>401</v>
      </c>
      <c r="O656" s="94" t="str">
        <f t="array" ref="O656">INDIRECT("Update"&amp;Projections!$AH$17&amp;"!B"&amp;ROW(B637))</f>
        <v/>
      </c>
      <c r="P656" s="414" t="str">
        <f t="array" ref="P656">INDIRECT("Update"&amp;Projections!$AH$17&amp;"!C"&amp;ROW(B637))</f>
        <v/>
      </c>
      <c r="Q656" s="94" t="str">
        <f>UpdateHashtag!F686</f>
        <v/>
      </c>
      <c r="R656" s="105" t="str">
        <f t="array" ref="R656">INDIRECT("Update"&amp;Projections!$AH$17&amp;"!D"&amp;ROW(B637))</f>
        <v/>
      </c>
      <c r="S656" s="73">
        <f t="shared" si="14"/>
        <v>-9.965301026</v>
      </c>
      <c r="T656" s="73">
        <f>SUM(AE656:AM656)-IFERROR(IFS(Projections!$I$17,AN656,Projections!$J$17,AO656),"")</f>
        <v>-9.965301026</v>
      </c>
      <c r="U656" s="73">
        <f t="shared" si="15"/>
        <v>0</v>
      </c>
      <c r="V656" s="73" t="str">
        <f t="array" ref="V656">INDIRECT("Update"&amp;Projections!$AH$17&amp;"!M"&amp;ROW(B637))</f>
        <v/>
      </c>
      <c r="W656" s="73" t="str">
        <f t="array" ref="W656">INDIRECT("Update"&amp;Projections!$AH$17&amp;"!L"&amp;ROW(B637))</f>
        <v/>
      </c>
      <c r="X656" s="73" t="str">
        <f t="array" ref="X656">INDIRECT("Update"&amp;Projections!$AH$17&amp;"!N"&amp;ROW(B637))</f>
        <v/>
      </c>
      <c r="Y656" s="73" t="str">
        <f t="array" ref="Y656">INDIRECT("Update"&amp;Projections!$AH$17&amp;"!O"&amp;ROW(B637))</f>
        <v/>
      </c>
      <c r="Z656" s="73" t="str">
        <f t="array" ref="Z656">INDIRECT("Update"&amp;Projections!$AH$17&amp;"!P"&amp;ROW(B637))</f>
        <v/>
      </c>
      <c r="AA656" s="73" t="str">
        <f t="array" ref="AA656">INDIRECT("Update"&amp;Projections!$AH$17&amp;"!Q"&amp;ROW(B637))</f>
        <v/>
      </c>
      <c r="AB656" s="107" t="str">
        <f t="array" ref="AB656">INDIRECT("Update"&amp;Projections!$AH$17&amp;"!I"&amp;ROW(B637))</f>
        <v/>
      </c>
      <c r="AC656" s="107" t="str">
        <f t="array" ref="AC656">INDIRECT("Update"&amp;Projections!$AH$17&amp;"!K"&amp;ROW(B637))</f>
        <v/>
      </c>
      <c r="AD656" s="73" t="str">
        <f t="array" ref="AD656">INDIRECT("Update"&amp;Projections!$AH$17&amp;"!R"&amp;ROW(B637))</f>
        <v/>
      </c>
      <c r="AE656" s="73">
        <f t="shared" si="16"/>
        <v>-3.155358621</v>
      </c>
      <c r="AF656" s="73">
        <f t="shared" si="17"/>
        <v>-1.740686581</v>
      </c>
      <c r="AG656" s="73">
        <f t="shared" si="18"/>
        <v>-2.380599106</v>
      </c>
      <c r="AH656" s="73">
        <f t="shared" si="19"/>
        <v>-1.79320266</v>
      </c>
      <c r="AI656" s="73">
        <f t="shared" si="20"/>
        <v>-3.240190514</v>
      </c>
      <c r="AJ656" s="73">
        <f t="shared" si="21"/>
        <v>-1.329092151</v>
      </c>
      <c r="AK656" s="73">
        <f t="shared" si="22"/>
        <v>0</v>
      </c>
      <c r="AL656" s="73">
        <f t="shared" si="23"/>
        <v>0</v>
      </c>
      <c r="AM656" s="73">
        <f t="shared" si="24"/>
        <v>0.433638093</v>
      </c>
      <c r="AN656" s="120">
        <f t="shared" si="25"/>
        <v>-3.240190514</v>
      </c>
      <c r="AO656" s="120">
        <f t="shared" si="26"/>
        <v>-6.395549135</v>
      </c>
      <c r="AP656" s="120" t="str">
        <f t="array" ref="AP656">INDIRECT("Update"&amp;Projections!$AH$17&amp;"!S"&amp;ROW(B637))</f>
        <v/>
      </c>
      <c r="AQ656" s="120" t="str">
        <f t="array" ref="AQ656">INDIRECT("Update"&amp;Projections!$AH$17&amp;"!T"&amp;ROW(B637))</f>
        <v/>
      </c>
      <c r="AR656" s="100">
        <f t="shared" si="27"/>
        <v>-9.965301026</v>
      </c>
    </row>
    <row r="657">
      <c r="A657" t="str">
        <f t="shared" si="3"/>
        <v/>
      </c>
      <c r="B657" s="42">
        <f t="shared" si="4"/>
        <v>-3.155358621</v>
      </c>
      <c r="C657" s="43">
        <f t="shared" si="5"/>
        <v>-1.740686581</v>
      </c>
      <c r="D657" s="42">
        <f t="shared" si="6"/>
        <v>-2.380599106</v>
      </c>
      <c r="E657" s="42">
        <f t="shared" si="7"/>
        <v>-1.79320266</v>
      </c>
      <c r="F657" s="42">
        <f t="shared" si="8"/>
        <v>-3.240190514</v>
      </c>
      <c r="G657" s="42">
        <f t="shared" si="9"/>
        <v>-1.329092151</v>
      </c>
      <c r="H657" s="42">
        <f t="shared" si="10"/>
        <v>0</v>
      </c>
      <c r="I657" s="42" t="str">
        <f>UpdateHashtag!S655</f>
        <v/>
      </c>
      <c r="J657" s="47">
        <f t="shared" si="11"/>
        <v>0</v>
      </c>
      <c r="K657" s="48" t="str">
        <f>UpdateHashtag!T655</f>
        <v/>
      </c>
      <c r="L657" s="42">
        <f t="shared" si="12"/>
        <v>-1.734552372</v>
      </c>
      <c r="N657" s="100">
        <f t="shared" si="13"/>
        <v>401</v>
      </c>
      <c r="O657" s="94" t="str">
        <f t="array" ref="O657">INDIRECT("Update"&amp;Projections!$AH$17&amp;"!B"&amp;ROW(B638))</f>
        <v/>
      </c>
      <c r="P657" s="414" t="str">
        <f t="array" ref="P657">INDIRECT("Update"&amp;Projections!$AH$17&amp;"!C"&amp;ROW(B638))</f>
        <v/>
      </c>
      <c r="Q657" s="94" t="str">
        <f>UpdateHashtag!F687</f>
        <v/>
      </c>
      <c r="R657" s="105" t="str">
        <f t="array" ref="R657">INDIRECT("Update"&amp;Projections!$AH$17&amp;"!D"&amp;ROW(B638))</f>
        <v/>
      </c>
      <c r="S657" s="73">
        <f t="shared" si="14"/>
        <v>-9.965301026</v>
      </c>
      <c r="T657" s="73">
        <f>SUM(AE657:AM657)-IFERROR(IFS(Projections!$I$17,AN657,Projections!$J$17,AO657),"")</f>
        <v>-9.965301026</v>
      </c>
      <c r="U657" s="73">
        <f t="shared" si="15"/>
        <v>0</v>
      </c>
      <c r="V657" s="73" t="str">
        <f t="array" ref="V657">INDIRECT("Update"&amp;Projections!$AH$17&amp;"!M"&amp;ROW(B638))</f>
        <v/>
      </c>
      <c r="W657" s="73" t="str">
        <f t="array" ref="W657">INDIRECT("Update"&amp;Projections!$AH$17&amp;"!L"&amp;ROW(B638))</f>
        <v/>
      </c>
      <c r="X657" s="73" t="str">
        <f t="array" ref="X657">INDIRECT("Update"&amp;Projections!$AH$17&amp;"!N"&amp;ROW(B638))</f>
        <v/>
      </c>
      <c r="Y657" s="73" t="str">
        <f t="array" ref="Y657">INDIRECT("Update"&amp;Projections!$AH$17&amp;"!O"&amp;ROW(B638))</f>
        <v/>
      </c>
      <c r="Z657" s="73" t="str">
        <f t="array" ref="Z657">INDIRECT("Update"&amp;Projections!$AH$17&amp;"!P"&amp;ROW(B638))</f>
        <v/>
      </c>
      <c r="AA657" s="73" t="str">
        <f t="array" ref="AA657">INDIRECT("Update"&amp;Projections!$AH$17&amp;"!Q"&amp;ROW(B638))</f>
        <v/>
      </c>
      <c r="AB657" s="107" t="str">
        <f t="array" ref="AB657">INDIRECT("Update"&amp;Projections!$AH$17&amp;"!I"&amp;ROW(B638))</f>
        <v/>
      </c>
      <c r="AC657" s="107" t="str">
        <f t="array" ref="AC657">INDIRECT("Update"&amp;Projections!$AH$17&amp;"!K"&amp;ROW(B638))</f>
        <v/>
      </c>
      <c r="AD657" s="73" t="str">
        <f t="array" ref="AD657">INDIRECT("Update"&amp;Projections!$AH$17&amp;"!R"&amp;ROW(B638))</f>
        <v/>
      </c>
      <c r="AE657" s="73">
        <f t="shared" si="16"/>
        <v>-3.155358621</v>
      </c>
      <c r="AF657" s="73">
        <f t="shared" si="17"/>
        <v>-1.740686581</v>
      </c>
      <c r="AG657" s="73">
        <f t="shared" si="18"/>
        <v>-2.380599106</v>
      </c>
      <c r="AH657" s="73">
        <f t="shared" si="19"/>
        <v>-1.79320266</v>
      </c>
      <c r="AI657" s="73">
        <f t="shared" si="20"/>
        <v>-3.240190514</v>
      </c>
      <c r="AJ657" s="73">
        <f t="shared" si="21"/>
        <v>-1.329092151</v>
      </c>
      <c r="AK657" s="73">
        <f t="shared" si="22"/>
        <v>0</v>
      </c>
      <c r="AL657" s="73">
        <f t="shared" si="23"/>
        <v>0</v>
      </c>
      <c r="AM657" s="73">
        <f t="shared" si="24"/>
        <v>0.433638093</v>
      </c>
      <c r="AN657" s="120">
        <f t="shared" si="25"/>
        <v>-3.240190514</v>
      </c>
      <c r="AO657" s="120">
        <f t="shared" si="26"/>
        <v>-6.395549135</v>
      </c>
      <c r="AP657" s="120" t="str">
        <f t="array" ref="AP657">INDIRECT("Update"&amp;Projections!$AH$17&amp;"!S"&amp;ROW(B638))</f>
        <v/>
      </c>
      <c r="AQ657" s="120" t="str">
        <f t="array" ref="AQ657">INDIRECT("Update"&amp;Projections!$AH$17&amp;"!T"&amp;ROW(B638))</f>
        <v/>
      </c>
      <c r="AR657" s="100">
        <f t="shared" si="27"/>
        <v>-9.965301026</v>
      </c>
    </row>
    <row r="658">
      <c r="A658" t="str">
        <f t="shared" si="3"/>
        <v/>
      </c>
      <c r="B658" s="42">
        <f t="shared" si="4"/>
        <v>-3.155358621</v>
      </c>
      <c r="C658" s="43">
        <f t="shared" si="5"/>
        <v>-1.740686581</v>
      </c>
      <c r="D658" s="42">
        <f t="shared" si="6"/>
        <v>-2.380599106</v>
      </c>
      <c r="E658" s="42">
        <f t="shared" si="7"/>
        <v>-1.79320266</v>
      </c>
      <c r="F658" s="42">
        <f t="shared" si="8"/>
        <v>-3.240190514</v>
      </c>
      <c r="G658" s="42">
        <f t="shared" si="9"/>
        <v>-1.329092151</v>
      </c>
      <c r="H658" s="42">
        <f t="shared" si="10"/>
        <v>0</v>
      </c>
      <c r="I658" s="42" t="str">
        <f>UpdateHashtag!S656</f>
        <v/>
      </c>
      <c r="J658" s="47">
        <f t="shared" si="11"/>
        <v>0</v>
      </c>
      <c r="K658" s="48" t="str">
        <f>UpdateHashtag!T656</f>
        <v/>
      </c>
      <c r="L658" s="42">
        <f t="shared" si="12"/>
        <v>-1.734552372</v>
      </c>
      <c r="N658" s="100">
        <f t="shared" si="13"/>
        <v>401</v>
      </c>
      <c r="O658" s="94" t="str">
        <f t="array" ref="O658">INDIRECT("Update"&amp;Projections!$AH$17&amp;"!B"&amp;ROW(B639))</f>
        <v/>
      </c>
      <c r="P658" s="414" t="str">
        <f t="array" ref="P658">INDIRECT("Update"&amp;Projections!$AH$17&amp;"!C"&amp;ROW(B639))</f>
        <v/>
      </c>
      <c r="Q658" s="94" t="str">
        <f>UpdateHashtag!F688</f>
        <v/>
      </c>
      <c r="R658" s="105" t="str">
        <f t="array" ref="R658">INDIRECT("Update"&amp;Projections!$AH$17&amp;"!D"&amp;ROW(B639))</f>
        <v/>
      </c>
      <c r="S658" s="73">
        <f t="shared" si="14"/>
        <v>-9.965301026</v>
      </c>
      <c r="T658" s="73">
        <f>SUM(AE658:AM658)-IFERROR(IFS(Projections!$I$17,AN658,Projections!$J$17,AO658),"")</f>
        <v>-9.965301026</v>
      </c>
      <c r="U658" s="73">
        <f t="shared" si="15"/>
        <v>0</v>
      </c>
      <c r="V658" s="73" t="str">
        <f t="array" ref="V658">INDIRECT("Update"&amp;Projections!$AH$17&amp;"!M"&amp;ROW(B639))</f>
        <v/>
      </c>
      <c r="W658" s="73" t="str">
        <f t="array" ref="W658">INDIRECT("Update"&amp;Projections!$AH$17&amp;"!L"&amp;ROW(B639))</f>
        <v/>
      </c>
      <c r="X658" s="73" t="str">
        <f t="array" ref="X658">INDIRECT("Update"&amp;Projections!$AH$17&amp;"!N"&amp;ROW(B639))</f>
        <v/>
      </c>
      <c r="Y658" s="73" t="str">
        <f t="array" ref="Y658">INDIRECT("Update"&amp;Projections!$AH$17&amp;"!O"&amp;ROW(B639))</f>
        <v/>
      </c>
      <c r="Z658" s="73" t="str">
        <f t="array" ref="Z658">INDIRECT("Update"&amp;Projections!$AH$17&amp;"!P"&amp;ROW(B639))</f>
        <v/>
      </c>
      <c r="AA658" s="73" t="str">
        <f t="array" ref="AA658">INDIRECT("Update"&amp;Projections!$AH$17&amp;"!Q"&amp;ROW(B639))</f>
        <v/>
      </c>
      <c r="AB658" s="107" t="str">
        <f t="array" ref="AB658">INDIRECT("Update"&amp;Projections!$AH$17&amp;"!I"&amp;ROW(B639))</f>
        <v/>
      </c>
      <c r="AC658" s="107" t="str">
        <f t="array" ref="AC658">INDIRECT("Update"&amp;Projections!$AH$17&amp;"!K"&amp;ROW(B639))</f>
        <v/>
      </c>
      <c r="AD658" s="73" t="str">
        <f t="array" ref="AD658">INDIRECT("Update"&amp;Projections!$AH$17&amp;"!R"&amp;ROW(B639))</f>
        <v/>
      </c>
      <c r="AE658" s="73">
        <f t="shared" si="16"/>
        <v>-3.155358621</v>
      </c>
      <c r="AF658" s="73">
        <f t="shared" si="17"/>
        <v>-1.740686581</v>
      </c>
      <c r="AG658" s="73">
        <f t="shared" si="18"/>
        <v>-2.380599106</v>
      </c>
      <c r="AH658" s="73">
        <f t="shared" si="19"/>
        <v>-1.79320266</v>
      </c>
      <c r="AI658" s="73">
        <f t="shared" si="20"/>
        <v>-3.240190514</v>
      </c>
      <c r="AJ658" s="73">
        <f t="shared" si="21"/>
        <v>-1.329092151</v>
      </c>
      <c r="AK658" s="73">
        <f t="shared" si="22"/>
        <v>0</v>
      </c>
      <c r="AL658" s="73">
        <f t="shared" si="23"/>
        <v>0</v>
      </c>
      <c r="AM658" s="73">
        <f t="shared" si="24"/>
        <v>0.433638093</v>
      </c>
      <c r="AN658" s="120">
        <f t="shared" si="25"/>
        <v>-3.240190514</v>
      </c>
      <c r="AO658" s="120">
        <f t="shared" si="26"/>
        <v>-6.395549135</v>
      </c>
      <c r="AP658" s="120" t="str">
        <f t="array" ref="AP658">INDIRECT("Update"&amp;Projections!$AH$17&amp;"!S"&amp;ROW(B639))</f>
        <v/>
      </c>
      <c r="AQ658" s="120" t="str">
        <f t="array" ref="AQ658">INDIRECT("Update"&amp;Projections!$AH$17&amp;"!T"&amp;ROW(B639))</f>
        <v/>
      </c>
      <c r="AR658" s="100">
        <f t="shared" si="27"/>
        <v>-9.965301026</v>
      </c>
    </row>
    <row r="659">
      <c r="A659" t="str">
        <f t="shared" si="3"/>
        <v/>
      </c>
      <c r="B659" s="42">
        <f t="shared" si="4"/>
        <v>-3.155358621</v>
      </c>
      <c r="C659" s="43">
        <f t="shared" si="5"/>
        <v>-1.740686581</v>
      </c>
      <c r="D659" s="42">
        <f t="shared" si="6"/>
        <v>-2.380599106</v>
      </c>
      <c r="E659" s="42">
        <f t="shared" si="7"/>
        <v>-1.79320266</v>
      </c>
      <c r="F659" s="42">
        <f t="shared" si="8"/>
        <v>-3.240190514</v>
      </c>
      <c r="G659" s="42">
        <f t="shared" si="9"/>
        <v>-1.329092151</v>
      </c>
      <c r="H659" s="42">
        <f t="shared" si="10"/>
        <v>0</v>
      </c>
      <c r="I659" s="42" t="str">
        <f>UpdateHashtag!S657</f>
        <v/>
      </c>
      <c r="J659" s="47">
        <f t="shared" si="11"/>
        <v>0</v>
      </c>
      <c r="K659" s="48" t="str">
        <f>UpdateHashtag!T657</f>
        <v/>
      </c>
      <c r="L659" s="42">
        <f t="shared" si="12"/>
        <v>-1.734552372</v>
      </c>
      <c r="N659" s="100">
        <f t="shared" si="13"/>
        <v>401</v>
      </c>
      <c r="O659" s="94" t="str">
        <f t="array" ref="O659">INDIRECT("Update"&amp;Projections!$AH$17&amp;"!B"&amp;ROW(B640))</f>
        <v/>
      </c>
      <c r="P659" s="414" t="str">
        <f t="array" ref="P659">INDIRECT("Update"&amp;Projections!$AH$17&amp;"!C"&amp;ROW(B640))</f>
        <v/>
      </c>
      <c r="Q659" s="94" t="str">
        <f>UpdateHashtag!F689</f>
        <v/>
      </c>
      <c r="R659" s="105" t="str">
        <f t="array" ref="R659">INDIRECT("Update"&amp;Projections!$AH$17&amp;"!D"&amp;ROW(B640))</f>
        <v/>
      </c>
      <c r="S659" s="73">
        <f t="shared" si="14"/>
        <v>-9.965301026</v>
      </c>
      <c r="T659" s="73">
        <f>SUM(AE659:AM659)-IFERROR(IFS(Projections!$I$17,AN659,Projections!$J$17,AO659),"")</f>
        <v>-9.965301026</v>
      </c>
      <c r="U659" s="73">
        <f t="shared" si="15"/>
        <v>0</v>
      </c>
      <c r="V659" s="73" t="str">
        <f t="array" ref="V659">INDIRECT("Update"&amp;Projections!$AH$17&amp;"!M"&amp;ROW(B640))</f>
        <v/>
      </c>
      <c r="W659" s="73" t="str">
        <f t="array" ref="W659">INDIRECT("Update"&amp;Projections!$AH$17&amp;"!L"&amp;ROW(B640))</f>
        <v/>
      </c>
      <c r="X659" s="73" t="str">
        <f t="array" ref="X659">INDIRECT("Update"&amp;Projections!$AH$17&amp;"!N"&amp;ROW(B640))</f>
        <v/>
      </c>
      <c r="Y659" s="73" t="str">
        <f t="array" ref="Y659">INDIRECT("Update"&amp;Projections!$AH$17&amp;"!O"&amp;ROW(B640))</f>
        <v/>
      </c>
      <c r="Z659" s="73" t="str">
        <f t="array" ref="Z659">INDIRECT("Update"&amp;Projections!$AH$17&amp;"!P"&amp;ROW(B640))</f>
        <v/>
      </c>
      <c r="AA659" s="73" t="str">
        <f t="array" ref="AA659">INDIRECT("Update"&amp;Projections!$AH$17&amp;"!Q"&amp;ROW(B640))</f>
        <v/>
      </c>
      <c r="AB659" s="107" t="str">
        <f t="array" ref="AB659">INDIRECT("Update"&amp;Projections!$AH$17&amp;"!I"&amp;ROW(B640))</f>
        <v/>
      </c>
      <c r="AC659" s="107" t="str">
        <f t="array" ref="AC659">INDIRECT("Update"&amp;Projections!$AH$17&amp;"!K"&amp;ROW(B640))</f>
        <v/>
      </c>
      <c r="AD659" s="73" t="str">
        <f t="array" ref="AD659">INDIRECT("Update"&amp;Projections!$AH$17&amp;"!R"&amp;ROW(B640))</f>
        <v/>
      </c>
      <c r="AE659" s="73">
        <f t="shared" si="16"/>
        <v>-3.155358621</v>
      </c>
      <c r="AF659" s="73">
        <f t="shared" si="17"/>
        <v>-1.740686581</v>
      </c>
      <c r="AG659" s="73">
        <f t="shared" si="18"/>
        <v>-2.380599106</v>
      </c>
      <c r="AH659" s="73">
        <f t="shared" si="19"/>
        <v>-1.79320266</v>
      </c>
      <c r="AI659" s="73">
        <f t="shared" si="20"/>
        <v>-3.240190514</v>
      </c>
      <c r="AJ659" s="73">
        <f t="shared" si="21"/>
        <v>-1.329092151</v>
      </c>
      <c r="AK659" s="73">
        <f t="shared" si="22"/>
        <v>0</v>
      </c>
      <c r="AL659" s="73">
        <f t="shared" si="23"/>
        <v>0</v>
      </c>
      <c r="AM659" s="73">
        <f t="shared" si="24"/>
        <v>0.433638093</v>
      </c>
      <c r="AN659" s="120">
        <f t="shared" si="25"/>
        <v>-3.240190514</v>
      </c>
      <c r="AO659" s="120">
        <f t="shared" si="26"/>
        <v>-6.395549135</v>
      </c>
      <c r="AP659" s="120" t="str">
        <f t="array" ref="AP659">INDIRECT("Update"&amp;Projections!$AH$17&amp;"!S"&amp;ROW(B640))</f>
        <v/>
      </c>
      <c r="AQ659" s="120" t="str">
        <f t="array" ref="AQ659">INDIRECT("Update"&amp;Projections!$AH$17&amp;"!T"&amp;ROW(B640))</f>
        <v/>
      </c>
      <c r="AR659" s="100">
        <f t="shared" si="27"/>
        <v>-9.965301026</v>
      </c>
    </row>
    <row r="660">
      <c r="A660" t="str">
        <f t="shared" si="3"/>
        <v/>
      </c>
      <c r="B660" s="42">
        <f t="shared" si="4"/>
        <v>-3.155358621</v>
      </c>
      <c r="C660" s="43">
        <f t="shared" si="5"/>
        <v>-1.740686581</v>
      </c>
      <c r="D660" s="42">
        <f t="shared" si="6"/>
        <v>-2.380599106</v>
      </c>
      <c r="E660" s="42">
        <f t="shared" si="7"/>
        <v>-1.79320266</v>
      </c>
      <c r="F660" s="42">
        <f t="shared" si="8"/>
        <v>-3.240190514</v>
      </c>
      <c r="G660" s="42">
        <f t="shared" si="9"/>
        <v>-1.329092151</v>
      </c>
      <c r="H660" s="42">
        <f t="shared" si="10"/>
        <v>0</v>
      </c>
      <c r="I660" s="42" t="str">
        <f>UpdateHashtag!S658</f>
        <v/>
      </c>
      <c r="J660" s="47">
        <f t="shared" si="11"/>
        <v>0</v>
      </c>
      <c r="K660" s="48" t="str">
        <f>UpdateHashtag!T658</f>
        <v/>
      </c>
      <c r="L660" s="42">
        <f t="shared" si="12"/>
        <v>-1.734552372</v>
      </c>
      <c r="N660" s="100">
        <f t="shared" si="13"/>
        <v>401</v>
      </c>
      <c r="O660" s="94" t="str">
        <f t="array" ref="O660">INDIRECT("Update"&amp;Projections!$AH$17&amp;"!B"&amp;ROW(B641))</f>
        <v/>
      </c>
      <c r="P660" s="414" t="str">
        <f t="array" ref="P660">INDIRECT("Update"&amp;Projections!$AH$17&amp;"!C"&amp;ROW(B641))</f>
        <v/>
      </c>
      <c r="Q660" s="94" t="str">
        <f>UpdateHashtag!F690</f>
        <v/>
      </c>
      <c r="R660" s="105" t="str">
        <f t="array" ref="R660">INDIRECT("Update"&amp;Projections!$AH$17&amp;"!D"&amp;ROW(B641))</f>
        <v/>
      </c>
      <c r="S660" s="73">
        <f t="shared" si="14"/>
        <v>-9.965301026</v>
      </c>
      <c r="T660" s="73">
        <f>SUM(AE660:AM660)-IFERROR(IFS(Projections!$I$17,AN660,Projections!$J$17,AO660),"")</f>
        <v>-9.965301026</v>
      </c>
      <c r="U660" s="73">
        <f t="shared" si="15"/>
        <v>0</v>
      </c>
      <c r="V660" s="73" t="str">
        <f t="array" ref="V660">INDIRECT("Update"&amp;Projections!$AH$17&amp;"!M"&amp;ROW(B641))</f>
        <v/>
      </c>
      <c r="W660" s="73" t="str">
        <f t="array" ref="W660">INDIRECT("Update"&amp;Projections!$AH$17&amp;"!L"&amp;ROW(B641))</f>
        <v/>
      </c>
      <c r="X660" s="73" t="str">
        <f t="array" ref="X660">INDIRECT("Update"&amp;Projections!$AH$17&amp;"!N"&amp;ROW(B641))</f>
        <v/>
      </c>
      <c r="Y660" s="73" t="str">
        <f t="array" ref="Y660">INDIRECT("Update"&amp;Projections!$AH$17&amp;"!O"&amp;ROW(B641))</f>
        <v/>
      </c>
      <c r="Z660" s="73" t="str">
        <f t="array" ref="Z660">INDIRECT("Update"&amp;Projections!$AH$17&amp;"!P"&amp;ROW(B641))</f>
        <v/>
      </c>
      <c r="AA660" s="73" t="str">
        <f t="array" ref="AA660">INDIRECT("Update"&amp;Projections!$AH$17&amp;"!Q"&amp;ROW(B641))</f>
        <v/>
      </c>
      <c r="AB660" s="107" t="str">
        <f t="array" ref="AB660">INDIRECT("Update"&amp;Projections!$AH$17&amp;"!I"&amp;ROW(B641))</f>
        <v/>
      </c>
      <c r="AC660" s="107" t="str">
        <f t="array" ref="AC660">INDIRECT("Update"&amp;Projections!$AH$17&amp;"!K"&amp;ROW(B641))</f>
        <v/>
      </c>
      <c r="AD660" s="73" t="str">
        <f t="array" ref="AD660">INDIRECT("Update"&amp;Projections!$AH$17&amp;"!R"&amp;ROW(B641))</f>
        <v/>
      </c>
      <c r="AE660" s="73">
        <f t="shared" si="16"/>
        <v>-3.155358621</v>
      </c>
      <c r="AF660" s="73">
        <f t="shared" si="17"/>
        <v>-1.740686581</v>
      </c>
      <c r="AG660" s="73">
        <f t="shared" si="18"/>
        <v>-2.380599106</v>
      </c>
      <c r="AH660" s="73">
        <f t="shared" si="19"/>
        <v>-1.79320266</v>
      </c>
      <c r="AI660" s="73">
        <f t="shared" si="20"/>
        <v>-3.240190514</v>
      </c>
      <c r="AJ660" s="73">
        <f t="shared" si="21"/>
        <v>-1.329092151</v>
      </c>
      <c r="AK660" s="73">
        <f t="shared" si="22"/>
        <v>0</v>
      </c>
      <c r="AL660" s="73">
        <f t="shared" si="23"/>
        <v>0</v>
      </c>
      <c r="AM660" s="73">
        <f t="shared" si="24"/>
        <v>0.433638093</v>
      </c>
      <c r="AN660" s="120">
        <f t="shared" si="25"/>
        <v>-3.240190514</v>
      </c>
      <c r="AO660" s="120">
        <f t="shared" si="26"/>
        <v>-6.395549135</v>
      </c>
      <c r="AP660" s="120" t="str">
        <f t="array" ref="AP660">INDIRECT("Update"&amp;Projections!$AH$17&amp;"!S"&amp;ROW(B641))</f>
        <v/>
      </c>
      <c r="AQ660" s="120" t="str">
        <f t="array" ref="AQ660">INDIRECT("Update"&amp;Projections!$AH$17&amp;"!T"&amp;ROW(B641))</f>
        <v/>
      </c>
      <c r="AR660" s="100">
        <f t="shared" si="27"/>
        <v>-9.965301026</v>
      </c>
    </row>
    <row r="661">
      <c r="A661" t="str">
        <f t="shared" si="3"/>
        <v/>
      </c>
      <c r="B661" s="42">
        <f t="shared" si="4"/>
        <v>-3.155358621</v>
      </c>
      <c r="C661" s="43">
        <f t="shared" si="5"/>
        <v>-1.740686581</v>
      </c>
      <c r="D661" s="42">
        <f t="shared" si="6"/>
        <v>-2.380599106</v>
      </c>
      <c r="E661" s="42">
        <f t="shared" si="7"/>
        <v>-1.79320266</v>
      </c>
      <c r="F661" s="42">
        <f t="shared" si="8"/>
        <v>-3.240190514</v>
      </c>
      <c r="G661" s="42">
        <f t="shared" si="9"/>
        <v>-1.329092151</v>
      </c>
      <c r="H661" s="42">
        <f t="shared" si="10"/>
        <v>0</v>
      </c>
      <c r="I661" s="42" t="str">
        <f>UpdateHashtag!S659</f>
        <v/>
      </c>
      <c r="J661" s="47">
        <f t="shared" si="11"/>
        <v>0</v>
      </c>
      <c r="K661" s="48" t="str">
        <f>UpdateHashtag!T659</f>
        <v/>
      </c>
      <c r="L661" s="42">
        <f t="shared" si="12"/>
        <v>-1.734552372</v>
      </c>
      <c r="N661" s="100">
        <f t="shared" si="13"/>
        <v>401</v>
      </c>
      <c r="O661" s="94" t="str">
        <f t="array" ref="O661">INDIRECT("Update"&amp;Projections!$AH$17&amp;"!B"&amp;ROW(B642))</f>
        <v/>
      </c>
      <c r="P661" s="414" t="str">
        <f t="array" ref="P661">INDIRECT("Update"&amp;Projections!$AH$17&amp;"!C"&amp;ROW(B642))</f>
        <v/>
      </c>
      <c r="Q661" s="94" t="str">
        <f>UpdateHashtag!F691</f>
        <v/>
      </c>
      <c r="R661" s="105" t="str">
        <f t="array" ref="R661">INDIRECT("Update"&amp;Projections!$AH$17&amp;"!D"&amp;ROW(B642))</f>
        <v/>
      </c>
      <c r="S661" s="73">
        <f t="shared" si="14"/>
        <v>-9.965301026</v>
      </c>
      <c r="T661" s="73">
        <f>SUM(AE661:AM661)-IFERROR(IFS(Projections!$I$17,AN661,Projections!$J$17,AO661),"")</f>
        <v>-9.965301026</v>
      </c>
      <c r="U661" s="73">
        <f t="shared" si="15"/>
        <v>0</v>
      </c>
      <c r="V661" s="73" t="str">
        <f t="array" ref="V661">INDIRECT("Update"&amp;Projections!$AH$17&amp;"!M"&amp;ROW(B642))</f>
        <v/>
      </c>
      <c r="W661" s="73" t="str">
        <f t="array" ref="W661">INDIRECT("Update"&amp;Projections!$AH$17&amp;"!L"&amp;ROW(B642))</f>
        <v/>
      </c>
      <c r="X661" s="73" t="str">
        <f t="array" ref="X661">INDIRECT("Update"&amp;Projections!$AH$17&amp;"!N"&amp;ROW(B642))</f>
        <v/>
      </c>
      <c r="Y661" s="73" t="str">
        <f t="array" ref="Y661">INDIRECT("Update"&amp;Projections!$AH$17&amp;"!O"&amp;ROW(B642))</f>
        <v/>
      </c>
      <c r="Z661" s="73" t="str">
        <f t="array" ref="Z661">INDIRECT("Update"&amp;Projections!$AH$17&amp;"!P"&amp;ROW(B642))</f>
        <v/>
      </c>
      <c r="AA661" s="73" t="str">
        <f t="array" ref="AA661">INDIRECT("Update"&amp;Projections!$AH$17&amp;"!Q"&amp;ROW(B642))</f>
        <v/>
      </c>
      <c r="AB661" s="107" t="str">
        <f t="array" ref="AB661">INDIRECT("Update"&amp;Projections!$AH$17&amp;"!I"&amp;ROW(B642))</f>
        <v/>
      </c>
      <c r="AC661" s="107" t="str">
        <f t="array" ref="AC661">INDIRECT("Update"&amp;Projections!$AH$17&amp;"!K"&amp;ROW(B642))</f>
        <v/>
      </c>
      <c r="AD661" s="73" t="str">
        <f t="array" ref="AD661">INDIRECT("Update"&amp;Projections!$AH$17&amp;"!R"&amp;ROW(B642))</f>
        <v/>
      </c>
      <c r="AE661" s="73">
        <f t="shared" si="16"/>
        <v>-3.155358621</v>
      </c>
      <c r="AF661" s="73">
        <f t="shared" si="17"/>
        <v>-1.740686581</v>
      </c>
      <c r="AG661" s="73">
        <f t="shared" si="18"/>
        <v>-2.380599106</v>
      </c>
      <c r="AH661" s="73">
        <f t="shared" si="19"/>
        <v>-1.79320266</v>
      </c>
      <c r="AI661" s="73">
        <f t="shared" si="20"/>
        <v>-3.240190514</v>
      </c>
      <c r="AJ661" s="73">
        <f t="shared" si="21"/>
        <v>-1.329092151</v>
      </c>
      <c r="AK661" s="73">
        <f t="shared" si="22"/>
        <v>0</v>
      </c>
      <c r="AL661" s="73">
        <f t="shared" si="23"/>
        <v>0</v>
      </c>
      <c r="AM661" s="73">
        <f t="shared" si="24"/>
        <v>0.433638093</v>
      </c>
      <c r="AN661" s="120">
        <f t="shared" si="25"/>
        <v>-3.240190514</v>
      </c>
      <c r="AO661" s="120">
        <f t="shared" si="26"/>
        <v>-6.395549135</v>
      </c>
      <c r="AP661" s="120" t="str">
        <f t="array" ref="AP661">INDIRECT("Update"&amp;Projections!$AH$17&amp;"!S"&amp;ROW(B642))</f>
        <v/>
      </c>
      <c r="AQ661" s="120" t="str">
        <f t="array" ref="AQ661">INDIRECT("Update"&amp;Projections!$AH$17&amp;"!T"&amp;ROW(B642))</f>
        <v/>
      </c>
      <c r="AR661" s="100">
        <f t="shared" si="27"/>
        <v>-9.965301026</v>
      </c>
    </row>
    <row r="662">
      <c r="A662" t="str">
        <f t="shared" si="3"/>
        <v/>
      </c>
      <c r="B662" s="42">
        <f t="shared" si="4"/>
        <v>-3.155358621</v>
      </c>
      <c r="C662" s="43">
        <f t="shared" si="5"/>
        <v>-1.740686581</v>
      </c>
      <c r="D662" s="42">
        <f t="shared" si="6"/>
        <v>-2.380599106</v>
      </c>
      <c r="E662" s="42">
        <f t="shared" si="7"/>
        <v>-1.79320266</v>
      </c>
      <c r="F662" s="42">
        <f t="shared" si="8"/>
        <v>-3.240190514</v>
      </c>
      <c r="G662" s="42">
        <f t="shared" si="9"/>
        <v>-1.329092151</v>
      </c>
      <c r="H662" s="42">
        <f t="shared" si="10"/>
        <v>0</v>
      </c>
      <c r="I662" s="42" t="str">
        <f>UpdateHashtag!S660</f>
        <v/>
      </c>
      <c r="J662" s="47">
        <f t="shared" si="11"/>
        <v>0</v>
      </c>
      <c r="K662" s="48" t="str">
        <f>UpdateHashtag!T660</f>
        <v/>
      </c>
      <c r="L662" s="42">
        <f t="shared" si="12"/>
        <v>-1.734552372</v>
      </c>
      <c r="N662" s="100">
        <f t="shared" si="13"/>
        <v>401</v>
      </c>
      <c r="O662" s="94" t="str">
        <f t="array" ref="O662">INDIRECT("Update"&amp;Projections!$AH$17&amp;"!B"&amp;ROW(B643))</f>
        <v/>
      </c>
      <c r="P662" s="414" t="str">
        <f t="array" ref="P662">INDIRECT("Update"&amp;Projections!$AH$17&amp;"!C"&amp;ROW(B643))</f>
        <v/>
      </c>
      <c r="Q662" s="94" t="str">
        <f>UpdateHashtag!F692</f>
        <v/>
      </c>
      <c r="R662" s="105" t="str">
        <f t="array" ref="R662">INDIRECT("Update"&amp;Projections!$AH$17&amp;"!D"&amp;ROW(B643))</f>
        <v/>
      </c>
      <c r="S662" s="73">
        <f t="shared" si="14"/>
        <v>-9.965301026</v>
      </c>
      <c r="T662" s="73">
        <f>SUM(AE662:AM662)-IFERROR(IFS(Projections!$I$17,AN662,Projections!$J$17,AO662),"")</f>
        <v>-9.965301026</v>
      </c>
      <c r="U662" s="73">
        <f t="shared" si="15"/>
        <v>0</v>
      </c>
      <c r="V662" s="73" t="str">
        <f t="array" ref="V662">INDIRECT("Update"&amp;Projections!$AH$17&amp;"!M"&amp;ROW(B643))</f>
        <v/>
      </c>
      <c r="W662" s="73" t="str">
        <f t="array" ref="W662">INDIRECT("Update"&amp;Projections!$AH$17&amp;"!L"&amp;ROW(B643))</f>
        <v/>
      </c>
      <c r="X662" s="73" t="str">
        <f t="array" ref="X662">INDIRECT("Update"&amp;Projections!$AH$17&amp;"!N"&amp;ROW(B643))</f>
        <v/>
      </c>
      <c r="Y662" s="73" t="str">
        <f t="array" ref="Y662">INDIRECT("Update"&amp;Projections!$AH$17&amp;"!O"&amp;ROW(B643))</f>
        <v/>
      </c>
      <c r="Z662" s="73" t="str">
        <f t="array" ref="Z662">INDIRECT("Update"&amp;Projections!$AH$17&amp;"!P"&amp;ROW(B643))</f>
        <v/>
      </c>
      <c r="AA662" s="73" t="str">
        <f t="array" ref="AA662">INDIRECT("Update"&amp;Projections!$AH$17&amp;"!Q"&amp;ROW(B643))</f>
        <v/>
      </c>
      <c r="AB662" s="107" t="str">
        <f t="array" ref="AB662">INDIRECT("Update"&amp;Projections!$AH$17&amp;"!I"&amp;ROW(B643))</f>
        <v/>
      </c>
      <c r="AC662" s="107" t="str">
        <f t="array" ref="AC662">INDIRECT("Update"&amp;Projections!$AH$17&amp;"!K"&amp;ROW(B643))</f>
        <v/>
      </c>
      <c r="AD662" s="73" t="str">
        <f t="array" ref="AD662">INDIRECT("Update"&amp;Projections!$AH$17&amp;"!R"&amp;ROW(B643))</f>
        <v/>
      </c>
      <c r="AE662" s="73">
        <f t="shared" si="16"/>
        <v>-3.155358621</v>
      </c>
      <c r="AF662" s="73">
        <f t="shared" si="17"/>
        <v>-1.740686581</v>
      </c>
      <c r="AG662" s="73">
        <f t="shared" si="18"/>
        <v>-2.380599106</v>
      </c>
      <c r="AH662" s="73">
        <f t="shared" si="19"/>
        <v>-1.79320266</v>
      </c>
      <c r="AI662" s="73">
        <f t="shared" si="20"/>
        <v>-3.240190514</v>
      </c>
      <c r="AJ662" s="73">
        <f t="shared" si="21"/>
        <v>-1.329092151</v>
      </c>
      <c r="AK662" s="73">
        <f t="shared" si="22"/>
        <v>0</v>
      </c>
      <c r="AL662" s="73">
        <f t="shared" si="23"/>
        <v>0</v>
      </c>
      <c r="AM662" s="73">
        <f t="shared" si="24"/>
        <v>0.433638093</v>
      </c>
      <c r="AN662" s="120">
        <f t="shared" si="25"/>
        <v>-3.240190514</v>
      </c>
      <c r="AO662" s="120">
        <f t="shared" si="26"/>
        <v>-6.395549135</v>
      </c>
      <c r="AP662" s="120" t="str">
        <f t="array" ref="AP662">INDIRECT("Update"&amp;Projections!$AH$17&amp;"!S"&amp;ROW(B643))</f>
        <v/>
      </c>
      <c r="AQ662" s="120" t="str">
        <f t="array" ref="AQ662">INDIRECT("Update"&amp;Projections!$AH$17&amp;"!T"&amp;ROW(B643))</f>
        <v/>
      </c>
      <c r="AR662" s="100">
        <f t="shared" si="27"/>
        <v>-9.965301026</v>
      </c>
    </row>
    <row r="663">
      <c r="A663" t="str">
        <f t="shared" si="3"/>
        <v/>
      </c>
      <c r="B663" s="42">
        <f t="shared" si="4"/>
        <v>-3.155358621</v>
      </c>
      <c r="C663" s="43">
        <f t="shared" si="5"/>
        <v>-1.740686581</v>
      </c>
      <c r="D663" s="42">
        <f t="shared" si="6"/>
        <v>-2.380599106</v>
      </c>
      <c r="E663" s="42">
        <f t="shared" si="7"/>
        <v>-1.79320266</v>
      </c>
      <c r="F663" s="42">
        <f t="shared" si="8"/>
        <v>-3.240190514</v>
      </c>
      <c r="G663" s="42">
        <f t="shared" si="9"/>
        <v>-1.329092151</v>
      </c>
      <c r="H663" s="42">
        <f t="shared" si="10"/>
        <v>0</v>
      </c>
      <c r="I663" s="42" t="str">
        <f>UpdateHashtag!S661</f>
        <v/>
      </c>
      <c r="J663" s="47">
        <f t="shared" si="11"/>
        <v>0</v>
      </c>
      <c r="K663" s="48" t="str">
        <f>UpdateHashtag!T661</f>
        <v/>
      </c>
      <c r="L663" s="42">
        <f t="shared" si="12"/>
        <v>-1.734552372</v>
      </c>
      <c r="N663" s="100">
        <f t="shared" si="13"/>
        <v>401</v>
      </c>
      <c r="O663" s="94" t="str">
        <f t="array" ref="O663">INDIRECT("Update"&amp;Projections!$AH$17&amp;"!B"&amp;ROW(B644))</f>
        <v/>
      </c>
      <c r="P663" s="414" t="str">
        <f t="array" ref="P663">INDIRECT("Update"&amp;Projections!$AH$17&amp;"!C"&amp;ROW(B644))</f>
        <v/>
      </c>
      <c r="Q663" s="94" t="str">
        <f>UpdateHashtag!F693</f>
        <v/>
      </c>
      <c r="R663" s="105" t="str">
        <f t="array" ref="R663">INDIRECT("Update"&amp;Projections!$AH$17&amp;"!D"&amp;ROW(B644))</f>
        <v/>
      </c>
      <c r="S663" s="73">
        <f t="shared" si="14"/>
        <v>-9.965301026</v>
      </c>
      <c r="T663" s="73">
        <f>SUM(AE663:AM663)-IFERROR(IFS(Projections!$I$17,AN663,Projections!$J$17,AO663),"")</f>
        <v>-9.965301026</v>
      </c>
      <c r="U663" s="73">
        <f t="shared" si="15"/>
        <v>0</v>
      </c>
      <c r="V663" s="73" t="str">
        <f t="array" ref="V663">INDIRECT("Update"&amp;Projections!$AH$17&amp;"!M"&amp;ROW(B644))</f>
        <v/>
      </c>
      <c r="W663" s="73" t="str">
        <f t="array" ref="W663">INDIRECT("Update"&amp;Projections!$AH$17&amp;"!L"&amp;ROW(B644))</f>
        <v/>
      </c>
      <c r="X663" s="73" t="str">
        <f t="array" ref="X663">INDIRECT("Update"&amp;Projections!$AH$17&amp;"!N"&amp;ROW(B644))</f>
        <v/>
      </c>
      <c r="Y663" s="73" t="str">
        <f t="array" ref="Y663">INDIRECT("Update"&amp;Projections!$AH$17&amp;"!O"&amp;ROW(B644))</f>
        <v/>
      </c>
      <c r="Z663" s="73" t="str">
        <f t="array" ref="Z663">INDIRECT("Update"&amp;Projections!$AH$17&amp;"!P"&amp;ROW(B644))</f>
        <v/>
      </c>
      <c r="AA663" s="73" t="str">
        <f t="array" ref="AA663">INDIRECT("Update"&amp;Projections!$AH$17&amp;"!Q"&amp;ROW(B644))</f>
        <v/>
      </c>
      <c r="AB663" s="107" t="str">
        <f t="array" ref="AB663">INDIRECT("Update"&amp;Projections!$AH$17&amp;"!I"&amp;ROW(B644))</f>
        <v/>
      </c>
      <c r="AC663" s="107" t="str">
        <f t="array" ref="AC663">INDIRECT("Update"&amp;Projections!$AH$17&amp;"!K"&amp;ROW(B644))</f>
        <v/>
      </c>
      <c r="AD663" s="73" t="str">
        <f t="array" ref="AD663">INDIRECT("Update"&amp;Projections!$AH$17&amp;"!R"&amp;ROW(B644))</f>
        <v/>
      </c>
      <c r="AE663" s="73">
        <f t="shared" si="16"/>
        <v>-3.155358621</v>
      </c>
      <c r="AF663" s="73">
        <f t="shared" si="17"/>
        <v>-1.740686581</v>
      </c>
      <c r="AG663" s="73">
        <f t="shared" si="18"/>
        <v>-2.380599106</v>
      </c>
      <c r="AH663" s="73">
        <f t="shared" si="19"/>
        <v>-1.79320266</v>
      </c>
      <c r="AI663" s="73">
        <f t="shared" si="20"/>
        <v>-3.240190514</v>
      </c>
      <c r="AJ663" s="73">
        <f t="shared" si="21"/>
        <v>-1.329092151</v>
      </c>
      <c r="AK663" s="73">
        <f t="shared" si="22"/>
        <v>0</v>
      </c>
      <c r="AL663" s="73">
        <f t="shared" si="23"/>
        <v>0</v>
      </c>
      <c r="AM663" s="73">
        <f t="shared" si="24"/>
        <v>0.433638093</v>
      </c>
      <c r="AN663" s="120">
        <f t="shared" si="25"/>
        <v>-3.240190514</v>
      </c>
      <c r="AO663" s="120">
        <f t="shared" si="26"/>
        <v>-6.395549135</v>
      </c>
      <c r="AP663" s="120" t="str">
        <f t="array" ref="AP663">INDIRECT("Update"&amp;Projections!$AH$17&amp;"!S"&amp;ROW(B644))</f>
        <v/>
      </c>
      <c r="AQ663" s="120" t="str">
        <f t="array" ref="AQ663">INDIRECT("Update"&amp;Projections!$AH$17&amp;"!T"&amp;ROW(B644))</f>
        <v/>
      </c>
      <c r="AR663" s="100">
        <f t="shared" si="27"/>
        <v>-9.965301026</v>
      </c>
    </row>
    <row r="664">
      <c r="A664" t="str">
        <f t="shared" si="3"/>
        <v/>
      </c>
      <c r="B664" s="42">
        <f t="shared" si="4"/>
        <v>-3.155358621</v>
      </c>
      <c r="C664" s="43">
        <f t="shared" si="5"/>
        <v>-1.740686581</v>
      </c>
      <c r="D664" s="42">
        <f t="shared" si="6"/>
        <v>-2.380599106</v>
      </c>
      <c r="E664" s="42">
        <f t="shared" si="7"/>
        <v>-1.79320266</v>
      </c>
      <c r="F664" s="42">
        <f t="shared" si="8"/>
        <v>-3.240190514</v>
      </c>
      <c r="G664" s="42">
        <f t="shared" si="9"/>
        <v>-1.329092151</v>
      </c>
      <c r="H664" s="42">
        <f t="shared" si="10"/>
        <v>0</v>
      </c>
      <c r="I664" s="42" t="str">
        <f>UpdateHashtag!S662</f>
        <v/>
      </c>
      <c r="J664" s="47">
        <f t="shared" si="11"/>
        <v>0</v>
      </c>
      <c r="K664" s="48" t="str">
        <f>UpdateHashtag!T662</f>
        <v/>
      </c>
      <c r="L664" s="42">
        <f t="shared" si="12"/>
        <v>-1.734552372</v>
      </c>
      <c r="N664" s="100">
        <f t="shared" si="13"/>
        <v>401</v>
      </c>
      <c r="O664" s="94" t="str">
        <f t="array" ref="O664">INDIRECT("Update"&amp;Projections!$AH$17&amp;"!B"&amp;ROW(B645))</f>
        <v/>
      </c>
      <c r="P664" s="414" t="str">
        <f t="array" ref="P664">INDIRECT("Update"&amp;Projections!$AH$17&amp;"!C"&amp;ROW(B645))</f>
        <v/>
      </c>
      <c r="Q664" s="94" t="str">
        <f>UpdateHashtag!F694</f>
        <v/>
      </c>
      <c r="R664" s="105" t="str">
        <f t="array" ref="R664">INDIRECT("Update"&amp;Projections!$AH$17&amp;"!D"&amp;ROW(B645))</f>
        <v/>
      </c>
      <c r="S664" s="73">
        <f t="shared" si="14"/>
        <v>-9.965301026</v>
      </c>
      <c r="T664" s="73">
        <f>SUM(AE664:AM664)-IFERROR(IFS(Projections!$I$17,AN664,Projections!$J$17,AO664),"")</f>
        <v>-9.965301026</v>
      </c>
      <c r="U664" s="73">
        <f t="shared" si="15"/>
        <v>0</v>
      </c>
      <c r="V664" s="73" t="str">
        <f t="array" ref="V664">INDIRECT("Update"&amp;Projections!$AH$17&amp;"!M"&amp;ROW(B645))</f>
        <v/>
      </c>
      <c r="W664" s="73" t="str">
        <f t="array" ref="W664">INDIRECT("Update"&amp;Projections!$AH$17&amp;"!L"&amp;ROW(B645))</f>
        <v/>
      </c>
      <c r="X664" s="73" t="str">
        <f t="array" ref="X664">INDIRECT("Update"&amp;Projections!$AH$17&amp;"!N"&amp;ROW(B645))</f>
        <v/>
      </c>
      <c r="Y664" s="73" t="str">
        <f t="array" ref="Y664">INDIRECT("Update"&amp;Projections!$AH$17&amp;"!O"&amp;ROW(B645))</f>
        <v/>
      </c>
      <c r="Z664" s="73" t="str">
        <f t="array" ref="Z664">INDIRECT("Update"&amp;Projections!$AH$17&amp;"!P"&amp;ROW(B645))</f>
        <v/>
      </c>
      <c r="AA664" s="73" t="str">
        <f t="array" ref="AA664">INDIRECT("Update"&amp;Projections!$AH$17&amp;"!Q"&amp;ROW(B645))</f>
        <v/>
      </c>
      <c r="AB664" s="107" t="str">
        <f t="array" ref="AB664">INDIRECT("Update"&amp;Projections!$AH$17&amp;"!I"&amp;ROW(B645))</f>
        <v/>
      </c>
      <c r="AC664" s="107" t="str">
        <f t="array" ref="AC664">INDIRECT("Update"&amp;Projections!$AH$17&amp;"!K"&amp;ROW(B645))</f>
        <v/>
      </c>
      <c r="AD664" s="73" t="str">
        <f t="array" ref="AD664">INDIRECT("Update"&amp;Projections!$AH$17&amp;"!R"&amp;ROW(B645))</f>
        <v/>
      </c>
      <c r="AE664" s="73">
        <f t="shared" si="16"/>
        <v>-3.155358621</v>
      </c>
      <c r="AF664" s="73">
        <f t="shared" si="17"/>
        <v>-1.740686581</v>
      </c>
      <c r="AG664" s="73">
        <f t="shared" si="18"/>
        <v>-2.380599106</v>
      </c>
      <c r="AH664" s="73">
        <f t="shared" si="19"/>
        <v>-1.79320266</v>
      </c>
      <c r="AI664" s="73">
        <f t="shared" si="20"/>
        <v>-3.240190514</v>
      </c>
      <c r="AJ664" s="73">
        <f t="shared" si="21"/>
        <v>-1.329092151</v>
      </c>
      <c r="AK664" s="73">
        <f t="shared" si="22"/>
        <v>0</v>
      </c>
      <c r="AL664" s="73">
        <f t="shared" si="23"/>
        <v>0</v>
      </c>
      <c r="AM664" s="73">
        <f t="shared" si="24"/>
        <v>0.433638093</v>
      </c>
      <c r="AN664" s="120">
        <f t="shared" si="25"/>
        <v>-3.240190514</v>
      </c>
      <c r="AO664" s="120">
        <f t="shared" si="26"/>
        <v>-6.395549135</v>
      </c>
      <c r="AP664" s="120" t="str">
        <f t="array" ref="AP664">INDIRECT("Update"&amp;Projections!$AH$17&amp;"!S"&amp;ROW(B645))</f>
        <v/>
      </c>
      <c r="AQ664" s="120" t="str">
        <f t="array" ref="AQ664">INDIRECT("Update"&amp;Projections!$AH$17&amp;"!T"&amp;ROW(B645))</f>
        <v/>
      </c>
      <c r="AR664" s="100">
        <f t="shared" si="27"/>
        <v>-9.965301026</v>
      </c>
    </row>
    <row r="665">
      <c r="A665" t="str">
        <f t="shared" si="3"/>
        <v/>
      </c>
      <c r="B665" s="42">
        <f t="shared" si="4"/>
        <v>-3.155358621</v>
      </c>
      <c r="C665" s="43">
        <f t="shared" si="5"/>
        <v>-1.740686581</v>
      </c>
      <c r="D665" s="42">
        <f t="shared" si="6"/>
        <v>-2.380599106</v>
      </c>
      <c r="E665" s="42">
        <f t="shared" si="7"/>
        <v>-1.79320266</v>
      </c>
      <c r="F665" s="42">
        <f t="shared" si="8"/>
        <v>-3.240190514</v>
      </c>
      <c r="G665" s="42">
        <f t="shared" si="9"/>
        <v>-1.329092151</v>
      </c>
      <c r="H665" s="42">
        <f t="shared" si="10"/>
        <v>0</v>
      </c>
      <c r="I665" s="42" t="str">
        <f>UpdateHashtag!S663</f>
        <v/>
      </c>
      <c r="J665" s="47">
        <f t="shared" si="11"/>
        <v>0</v>
      </c>
      <c r="K665" s="48" t="str">
        <f>UpdateHashtag!T663</f>
        <v/>
      </c>
      <c r="L665" s="42">
        <f t="shared" si="12"/>
        <v>-1.734552372</v>
      </c>
      <c r="N665" s="100">
        <f t="shared" si="13"/>
        <v>401</v>
      </c>
      <c r="O665" s="94" t="str">
        <f t="array" ref="O665">INDIRECT("Update"&amp;Projections!$AH$17&amp;"!B"&amp;ROW(B646))</f>
        <v/>
      </c>
      <c r="P665" s="414" t="str">
        <f t="array" ref="P665">INDIRECT("Update"&amp;Projections!$AH$17&amp;"!C"&amp;ROW(B646))</f>
        <v/>
      </c>
      <c r="Q665" s="94" t="str">
        <f>UpdateHashtag!F695</f>
        <v/>
      </c>
      <c r="R665" s="105" t="str">
        <f t="array" ref="R665">INDIRECT("Update"&amp;Projections!$AH$17&amp;"!D"&amp;ROW(B646))</f>
        <v/>
      </c>
      <c r="S665" s="73">
        <f t="shared" si="14"/>
        <v>-9.965301026</v>
      </c>
      <c r="T665" s="73">
        <f>SUM(AE665:AM665)-IFERROR(IFS(Projections!$I$17,AN665,Projections!$J$17,AO665),"")</f>
        <v>-9.965301026</v>
      </c>
      <c r="U665" s="73">
        <f t="shared" si="15"/>
        <v>0</v>
      </c>
      <c r="V665" s="73" t="str">
        <f t="array" ref="V665">INDIRECT("Update"&amp;Projections!$AH$17&amp;"!M"&amp;ROW(B646))</f>
        <v/>
      </c>
      <c r="W665" s="73" t="str">
        <f t="array" ref="W665">INDIRECT("Update"&amp;Projections!$AH$17&amp;"!L"&amp;ROW(B646))</f>
        <v/>
      </c>
      <c r="X665" s="73" t="str">
        <f t="array" ref="X665">INDIRECT("Update"&amp;Projections!$AH$17&amp;"!N"&amp;ROW(B646))</f>
        <v/>
      </c>
      <c r="Y665" s="73" t="str">
        <f t="array" ref="Y665">INDIRECT("Update"&amp;Projections!$AH$17&amp;"!O"&amp;ROW(B646))</f>
        <v/>
      </c>
      <c r="Z665" s="73" t="str">
        <f t="array" ref="Z665">INDIRECT("Update"&amp;Projections!$AH$17&amp;"!P"&amp;ROW(B646))</f>
        <v/>
      </c>
      <c r="AA665" s="73" t="str">
        <f t="array" ref="AA665">INDIRECT("Update"&amp;Projections!$AH$17&amp;"!Q"&amp;ROW(B646))</f>
        <v/>
      </c>
      <c r="AB665" s="107" t="str">
        <f t="array" ref="AB665">INDIRECT("Update"&amp;Projections!$AH$17&amp;"!I"&amp;ROW(B646))</f>
        <v/>
      </c>
      <c r="AC665" s="107" t="str">
        <f t="array" ref="AC665">INDIRECT("Update"&amp;Projections!$AH$17&amp;"!K"&amp;ROW(B646))</f>
        <v/>
      </c>
      <c r="AD665" s="73" t="str">
        <f t="array" ref="AD665">INDIRECT("Update"&amp;Projections!$AH$17&amp;"!R"&amp;ROW(B646))</f>
        <v/>
      </c>
      <c r="AE665" s="73">
        <f t="shared" si="16"/>
        <v>-3.155358621</v>
      </c>
      <c r="AF665" s="73">
        <f t="shared" si="17"/>
        <v>-1.740686581</v>
      </c>
      <c r="AG665" s="73">
        <f t="shared" si="18"/>
        <v>-2.380599106</v>
      </c>
      <c r="AH665" s="73">
        <f t="shared" si="19"/>
        <v>-1.79320266</v>
      </c>
      <c r="AI665" s="73">
        <f t="shared" si="20"/>
        <v>-3.240190514</v>
      </c>
      <c r="AJ665" s="73">
        <f t="shared" si="21"/>
        <v>-1.329092151</v>
      </c>
      <c r="AK665" s="73">
        <f t="shared" si="22"/>
        <v>0</v>
      </c>
      <c r="AL665" s="73">
        <f t="shared" si="23"/>
        <v>0</v>
      </c>
      <c r="AM665" s="73">
        <f t="shared" si="24"/>
        <v>0.433638093</v>
      </c>
      <c r="AN665" s="120">
        <f t="shared" si="25"/>
        <v>-3.240190514</v>
      </c>
      <c r="AO665" s="120">
        <f t="shared" si="26"/>
        <v>-6.395549135</v>
      </c>
      <c r="AP665" s="120" t="str">
        <f t="array" ref="AP665">INDIRECT("Update"&amp;Projections!$AH$17&amp;"!S"&amp;ROW(B646))</f>
        <v/>
      </c>
      <c r="AQ665" s="120" t="str">
        <f t="array" ref="AQ665">INDIRECT("Update"&amp;Projections!$AH$17&amp;"!T"&amp;ROW(B646))</f>
        <v/>
      </c>
      <c r="AR665" s="100">
        <f t="shared" si="27"/>
        <v>-9.965301026</v>
      </c>
    </row>
    <row r="666">
      <c r="A666" t="str">
        <f t="shared" si="3"/>
        <v/>
      </c>
      <c r="B666" s="42">
        <f t="shared" si="4"/>
        <v>-3.155358621</v>
      </c>
      <c r="C666" s="43">
        <f t="shared" si="5"/>
        <v>-1.740686581</v>
      </c>
      <c r="D666" s="42">
        <f t="shared" si="6"/>
        <v>-2.380599106</v>
      </c>
      <c r="E666" s="42">
        <f t="shared" si="7"/>
        <v>-1.79320266</v>
      </c>
      <c r="F666" s="42">
        <f t="shared" si="8"/>
        <v>-3.240190514</v>
      </c>
      <c r="G666" s="42">
        <f t="shared" si="9"/>
        <v>-1.329092151</v>
      </c>
      <c r="H666" s="42">
        <f t="shared" si="10"/>
        <v>0</v>
      </c>
      <c r="I666" s="42" t="str">
        <f>UpdateHashtag!S664</f>
        <v/>
      </c>
      <c r="J666" s="47">
        <f t="shared" si="11"/>
        <v>0</v>
      </c>
      <c r="K666" s="48" t="str">
        <f>UpdateHashtag!T664</f>
        <v/>
      </c>
      <c r="L666" s="42">
        <f t="shared" si="12"/>
        <v>-1.734552372</v>
      </c>
      <c r="N666" s="100">
        <f t="shared" si="13"/>
        <v>401</v>
      </c>
      <c r="O666" s="94" t="str">
        <f t="array" ref="O666">INDIRECT("Update"&amp;Projections!$AH$17&amp;"!B"&amp;ROW(B647))</f>
        <v/>
      </c>
      <c r="P666" s="414" t="str">
        <f t="array" ref="P666">INDIRECT("Update"&amp;Projections!$AH$17&amp;"!C"&amp;ROW(B647))</f>
        <v/>
      </c>
      <c r="Q666" s="94" t="str">
        <f>UpdateHashtag!F696</f>
        <v/>
      </c>
      <c r="R666" s="105" t="str">
        <f t="array" ref="R666">INDIRECT("Update"&amp;Projections!$AH$17&amp;"!D"&amp;ROW(B647))</f>
        <v/>
      </c>
      <c r="S666" s="73">
        <f t="shared" si="14"/>
        <v>-9.965301026</v>
      </c>
      <c r="T666" s="73">
        <f>SUM(AE666:AM666)-IFERROR(IFS(Projections!$I$17,AN666,Projections!$J$17,AO666),"")</f>
        <v>-9.965301026</v>
      </c>
      <c r="U666" s="73">
        <f t="shared" si="15"/>
        <v>0</v>
      </c>
      <c r="V666" s="73" t="str">
        <f t="array" ref="V666">INDIRECT("Update"&amp;Projections!$AH$17&amp;"!M"&amp;ROW(B647))</f>
        <v/>
      </c>
      <c r="W666" s="73" t="str">
        <f t="array" ref="W666">INDIRECT("Update"&amp;Projections!$AH$17&amp;"!L"&amp;ROW(B647))</f>
        <v/>
      </c>
      <c r="X666" s="73" t="str">
        <f t="array" ref="X666">INDIRECT("Update"&amp;Projections!$AH$17&amp;"!N"&amp;ROW(B647))</f>
        <v/>
      </c>
      <c r="Y666" s="73" t="str">
        <f t="array" ref="Y666">INDIRECT("Update"&amp;Projections!$AH$17&amp;"!O"&amp;ROW(B647))</f>
        <v/>
      </c>
      <c r="Z666" s="73" t="str">
        <f t="array" ref="Z666">INDIRECT("Update"&amp;Projections!$AH$17&amp;"!P"&amp;ROW(B647))</f>
        <v/>
      </c>
      <c r="AA666" s="73" t="str">
        <f t="array" ref="AA666">INDIRECT("Update"&amp;Projections!$AH$17&amp;"!Q"&amp;ROW(B647))</f>
        <v/>
      </c>
      <c r="AB666" s="107" t="str">
        <f t="array" ref="AB666">INDIRECT("Update"&amp;Projections!$AH$17&amp;"!I"&amp;ROW(B647))</f>
        <v/>
      </c>
      <c r="AC666" s="107" t="str">
        <f t="array" ref="AC666">INDIRECT("Update"&amp;Projections!$AH$17&amp;"!K"&amp;ROW(B647))</f>
        <v/>
      </c>
      <c r="AD666" s="73" t="str">
        <f t="array" ref="AD666">INDIRECT("Update"&amp;Projections!$AH$17&amp;"!R"&amp;ROW(B647))</f>
        <v/>
      </c>
      <c r="AE666" s="73">
        <f t="shared" si="16"/>
        <v>-3.155358621</v>
      </c>
      <c r="AF666" s="73">
        <f t="shared" si="17"/>
        <v>-1.740686581</v>
      </c>
      <c r="AG666" s="73">
        <f t="shared" si="18"/>
        <v>-2.380599106</v>
      </c>
      <c r="AH666" s="73">
        <f t="shared" si="19"/>
        <v>-1.79320266</v>
      </c>
      <c r="AI666" s="73">
        <f t="shared" si="20"/>
        <v>-3.240190514</v>
      </c>
      <c r="AJ666" s="73">
        <f t="shared" si="21"/>
        <v>-1.329092151</v>
      </c>
      <c r="AK666" s="73">
        <f t="shared" si="22"/>
        <v>0</v>
      </c>
      <c r="AL666" s="73">
        <f t="shared" si="23"/>
        <v>0</v>
      </c>
      <c r="AM666" s="73">
        <f t="shared" si="24"/>
        <v>0.433638093</v>
      </c>
      <c r="AN666" s="120">
        <f t="shared" si="25"/>
        <v>-3.240190514</v>
      </c>
      <c r="AO666" s="120">
        <f t="shared" si="26"/>
        <v>-6.395549135</v>
      </c>
      <c r="AP666" s="120" t="str">
        <f t="array" ref="AP666">INDIRECT("Update"&amp;Projections!$AH$17&amp;"!S"&amp;ROW(B647))</f>
        <v/>
      </c>
      <c r="AQ666" s="120" t="str">
        <f t="array" ref="AQ666">INDIRECT("Update"&amp;Projections!$AH$17&amp;"!T"&amp;ROW(B647))</f>
        <v/>
      </c>
      <c r="AR666" s="100">
        <f t="shared" si="27"/>
        <v>-9.965301026</v>
      </c>
    </row>
    <row r="667">
      <c r="A667" t="str">
        <f t="shared" si="3"/>
        <v/>
      </c>
      <c r="B667" s="42">
        <f t="shared" si="4"/>
        <v>-3.155358621</v>
      </c>
      <c r="C667" s="43">
        <f t="shared" si="5"/>
        <v>-1.740686581</v>
      </c>
      <c r="D667" s="42">
        <f t="shared" si="6"/>
        <v>-2.380599106</v>
      </c>
      <c r="E667" s="42">
        <f t="shared" si="7"/>
        <v>-1.79320266</v>
      </c>
      <c r="F667" s="42">
        <f t="shared" si="8"/>
        <v>-3.240190514</v>
      </c>
      <c r="G667" s="42">
        <f t="shared" si="9"/>
        <v>-1.329092151</v>
      </c>
      <c r="H667" s="42">
        <f t="shared" si="10"/>
        <v>0</v>
      </c>
      <c r="I667" s="42" t="str">
        <f>UpdateHashtag!S665</f>
        <v/>
      </c>
      <c r="J667" s="47">
        <f t="shared" si="11"/>
        <v>0</v>
      </c>
      <c r="K667" s="48" t="str">
        <f>UpdateHashtag!T665</f>
        <v/>
      </c>
      <c r="L667" s="42">
        <f t="shared" si="12"/>
        <v>-1.734552372</v>
      </c>
      <c r="N667" s="100">
        <f t="shared" si="13"/>
        <v>401</v>
      </c>
      <c r="O667" s="94" t="str">
        <f t="array" ref="O667">INDIRECT("Update"&amp;Projections!$AH$17&amp;"!B"&amp;ROW(B648))</f>
        <v/>
      </c>
      <c r="P667" s="414" t="str">
        <f t="array" ref="P667">INDIRECT("Update"&amp;Projections!$AH$17&amp;"!C"&amp;ROW(B648))</f>
        <v/>
      </c>
      <c r="Q667" s="94" t="str">
        <f>UpdateHashtag!F697</f>
        <v/>
      </c>
      <c r="R667" s="105" t="str">
        <f t="array" ref="R667">INDIRECT("Update"&amp;Projections!$AH$17&amp;"!D"&amp;ROW(B648))</f>
        <v/>
      </c>
      <c r="S667" s="73">
        <f t="shared" si="14"/>
        <v>-9.965301026</v>
      </c>
      <c r="T667" s="73">
        <f>SUM(AE667:AM667)-IFERROR(IFS(Projections!$I$17,AN667,Projections!$J$17,AO667),"")</f>
        <v>-9.965301026</v>
      </c>
      <c r="U667" s="73">
        <f t="shared" si="15"/>
        <v>0</v>
      </c>
      <c r="V667" s="73" t="str">
        <f t="array" ref="V667">INDIRECT("Update"&amp;Projections!$AH$17&amp;"!M"&amp;ROW(B648))</f>
        <v/>
      </c>
      <c r="W667" s="73" t="str">
        <f t="array" ref="W667">INDIRECT("Update"&amp;Projections!$AH$17&amp;"!L"&amp;ROW(B648))</f>
        <v/>
      </c>
      <c r="X667" s="73" t="str">
        <f t="array" ref="X667">INDIRECT("Update"&amp;Projections!$AH$17&amp;"!N"&amp;ROW(B648))</f>
        <v/>
      </c>
      <c r="Y667" s="73" t="str">
        <f t="array" ref="Y667">INDIRECT("Update"&amp;Projections!$AH$17&amp;"!O"&amp;ROW(B648))</f>
        <v/>
      </c>
      <c r="Z667" s="73" t="str">
        <f t="array" ref="Z667">INDIRECT("Update"&amp;Projections!$AH$17&amp;"!P"&amp;ROW(B648))</f>
        <v/>
      </c>
      <c r="AA667" s="73" t="str">
        <f t="array" ref="AA667">INDIRECT("Update"&amp;Projections!$AH$17&amp;"!Q"&amp;ROW(B648))</f>
        <v/>
      </c>
      <c r="AB667" s="107" t="str">
        <f t="array" ref="AB667">INDIRECT("Update"&amp;Projections!$AH$17&amp;"!I"&amp;ROW(B648))</f>
        <v/>
      </c>
      <c r="AC667" s="107" t="str">
        <f t="array" ref="AC667">INDIRECT("Update"&amp;Projections!$AH$17&amp;"!K"&amp;ROW(B648))</f>
        <v/>
      </c>
      <c r="AD667" s="73" t="str">
        <f t="array" ref="AD667">INDIRECT("Update"&amp;Projections!$AH$17&amp;"!R"&amp;ROW(B648))</f>
        <v/>
      </c>
      <c r="AE667" s="73">
        <f t="shared" si="16"/>
        <v>-3.155358621</v>
      </c>
      <c r="AF667" s="73">
        <f t="shared" si="17"/>
        <v>-1.740686581</v>
      </c>
      <c r="AG667" s="73">
        <f t="shared" si="18"/>
        <v>-2.380599106</v>
      </c>
      <c r="AH667" s="73">
        <f t="shared" si="19"/>
        <v>-1.79320266</v>
      </c>
      <c r="AI667" s="73">
        <f t="shared" si="20"/>
        <v>-3.240190514</v>
      </c>
      <c r="AJ667" s="73">
        <f t="shared" si="21"/>
        <v>-1.329092151</v>
      </c>
      <c r="AK667" s="73">
        <f t="shared" si="22"/>
        <v>0</v>
      </c>
      <c r="AL667" s="73">
        <f t="shared" si="23"/>
        <v>0</v>
      </c>
      <c r="AM667" s="73">
        <f t="shared" si="24"/>
        <v>0.433638093</v>
      </c>
      <c r="AN667" s="120">
        <f t="shared" si="25"/>
        <v>-3.240190514</v>
      </c>
      <c r="AO667" s="120">
        <f t="shared" si="26"/>
        <v>-6.395549135</v>
      </c>
      <c r="AP667" s="120" t="str">
        <f t="array" ref="AP667">INDIRECT("Update"&amp;Projections!$AH$17&amp;"!S"&amp;ROW(B648))</f>
        <v/>
      </c>
      <c r="AQ667" s="120" t="str">
        <f t="array" ref="AQ667">INDIRECT("Update"&amp;Projections!$AH$17&amp;"!T"&amp;ROW(B648))</f>
        <v/>
      </c>
      <c r="AR667" s="100">
        <f t="shared" si="27"/>
        <v>-9.965301026</v>
      </c>
    </row>
    <row r="668">
      <c r="A668" t="str">
        <f t="shared" si="3"/>
        <v/>
      </c>
      <c r="B668" s="42">
        <f t="shared" si="4"/>
        <v>-3.155358621</v>
      </c>
      <c r="C668" s="43">
        <f t="shared" si="5"/>
        <v>-1.740686581</v>
      </c>
      <c r="D668" s="42">
        <f t="shared" si="6"/>
        <v>-2.380599106</v>
      </c>
      <c r="E668" s="42">
        <f t="shared" si="7"/>
        <v>-1.79320266</v>
      </c>
      <c r="F668" s="42">
        <f t="shared" si="8"/>
        <v>-3.240190514</v>
      </c>
      <c r="G668" s="42">
        <f t="shared" si="9"/>
        <v>-1.329092151</v>
      </c>
      <c r="H668" s="42">
        <f t="shared" si="10"/>
        <v>0</v>
      </c>
      <c r="I668" s="42" t="str">
        <f>UpdateHashtag!S666</f>
        <v/>
      </c>
      <c r="J668" s="47">
        <f t="shared" si="11"/>
        <v>0</v>
      </c>
      <c r="K668" s="48" t="str">
        <f>UpdateHashtag!T666</f>
        <v/>
      </c>
      <c r="L668" s="42">
        <f t="shared" si="12"/>
        <v>-1.734552372</v>
      </c>
      <c r="N668" s="100">
        <f t="shared" si="13"/>
        <v>401</v>
      </c>
      <c r="O668" s="94" t="str">
        <f t="array" ref="O668">INDIRECT("Update"&amp;Projections!$AH$17&amp;"!B"&amp;ROW(B649))</f>
        <v/>
      </c>
      <c r="P668" s="414" t="str">
        <f t="array" ref="P668">INDIRECT("Update"&amp;Projections!$AH$17&amp;"!C"&amp;ROW(B649))</f>
        <v/>
      </c>
      <c r="Q668" s="94" t="str">
        <f>UpdateHashtag!F698</f>
        <v/>
      </c>
      <c r="R668" s="105" t="str">
        <f t="array" ref="R668">INDIRECT("Update"&amp;Projections!$AH$17&amp;"!D"&amp;ROW(B649))</f>
        <v/>
      </c>
      <c r="S668" s="73">
        <f t="shared" si="14"/>
        <v>-9.965301026</v>
      </c>
      <c r="T668" s="73">
        <f>SUM(AE668:AM668)-IFERROR(IFS(Projections!$I$17,AN668,Projections!$J$17,AO668),"")</f>
        <v>-9.965301026</v>
      </c>
      <c r="U668" s="73">
        <f t="shared" si="15"/>
        <v>0</v>
      </c>
      <c r="V668" s="73" t="str">
        <f t="array" ref="V668">INDIRECT("Update"&amp;Projections!$AH$17&amp;"!M"&amp;ROW(B649))</f>
        <v/>
      </c>
      <c r="W668" s="73" t="str">
        <f t="array" ref="W668">INDIRECT("Update"&amp;Projections!$AH$17&amp;"!L"&amp;ROW(B649))</f>
        <v/>
      </c>
      <c r="X668" s="73" t="str">
        <f t="array" ref="X668">INDIRECT("Update"&amp;Projections!$AH$17&amp;"!N"&amp;ROW(B649))</f>
        <v/>
      </c>
      <c r="Y668" s="73" t="str">
        <f t="array" ref="Y668">INDIRECT("Update"&amp;Projections!$AH$17&amp;"!O"&amp;ROW(B649))</f>
        <v/>
      </c>
      <c r="Z668" s="73" t="str">
        <f t="array" ref="Z668">INDIRECT("Update"&amp;Projections!$AH$17&amp;"!P"&amp;ROW(B649))</f>
        <v/>
      </c>
      <c r="AA668" s="73" t="str">
        <f t="array" ref="AA668">INDIRECT("Update"&amp;Projections!$AH$17&amp;"!Q"&amp;ROW(B649))</f>
        <v/>
      </c>
      <c r="AB668" s="107" t="str">
        <f t="array" ref="AB668">INDIRECT("Update"&amp;Projections!$AH$17&amp;"!I"&amp;ROW(B649))</f>
        <v/>
      </c>
      <c r="AC668" s="107" t="str">
        <f t="array" ref="AC668">INDIRECT("Update"&amp;Projections!$AH$17&amp;"!K"&amp;ROW(B649))</f>
        <v/>
      </c>
      <c r="AD668" s="73" t="str">
        <f t="array" ref="AD668">INDIRECT("Update"&amp;Projections!$AH$17&amp;"!R"&amp;ROW(B649))</f>
        <v/>
      </c>
      <c r="AE668" s="73">
        <f t="shared" si="16"/>
        <v>-3.155358621</v>
      </c>
      <c r="AF668" s="73">
        <f t="shared" si="17"/>
        <v>-1.740686581</v>
      </c>
      <c r="AG668" s="73">
        <f t="shared" si="18"/>
        <v>-2.380599106</v>
      </c>
      <c r="AH668" s="73">
        <f t="shared" si="19"/>
        <v>-1.79320266</v>
      </c>
      <c r="AI668" s="73">
        <f t="shared" si="20"/>
        <v>-3.240190514</v>
      </c>
      <c r="AJ668" s="73">
        <f t="shared" si="21"/>
        <v>-1.329092151</v>
      </c>
      <c r="AK668" s="73">
        <f t="shared" si="22"/>
        <v>0</v>
      </c>
      <c r="AL668" s="73">
        <f t="shared" si="23"/>
        <v>0</v>
      </c>
      <c r="AM668" s="73">
        <f t="shared" si="24"/>
        <v>0.433638093</v>
      </c>
      <c r="AN668" s="120">
        <f t="shared" si="25"/>
        <v>-3.240190514</v>
      </c>
      <c r="AO668" s="120">
        <f t="shared" si="26"/>
        <v>-6.395549135</v>
      </c>
      <c r="AP668" s="120" t="str">
        <f t="array" ref="AP668">INDIRECT("Update"&amp;Projections!$AH$17&amp;"!S"&amp;ROW(B649))</f>
        <v/>
      </c>
      <c r="AQ668" s="120" t="str">
        <f t="array" ref="AQ668">INDIRECT("Update"&amp;Projections!$AH$17&amp;"!T"&amp;ROW(B649))</f>
        <v/>
      </c>
      <c r="AR668" s="100">
        <f t="shared" si="27"/>
        <v>-9.965301026</v>
      </c>
    </row>
    <row r="669">
      <c r="A669" t="str">
        <f t="shared" si="3"/>
        <v/>
      </c>
      <c r="B669" s="42">
        <f t="shared" si="4"/>
        <v>-3.155358621</v>
      </c>
      <c r="C669" s="43">
        <f t="shared" si="5"/>
        <v>-1.740686581</v>
      </c>
      <c r="D669" s="42">
        <f t="shared" si="6"/>
        <v>-2.380599106</v>
      </c>
      <c r="E669" s="42">
        <f t="shared" si="7"/>
        <v>-1.79320266</v>
      </c>
      <c r="F669" s="42">
        <f t="shared" si="8"/>
        <v>-3.240190514</v>
      </c>
      <c r="G669" s="42">
        <f t="shared" si="9"/>
        <v>-1.329092151</v>
      </c>
      <c r="H669" s="42">
        <f t="shared" si="10"/>
        <v>0</v>
      </c>
      <c r="I669" s="42" t="str">
        <f>UpdateHashtag!S667</f>
        <v/>
      </c>
      <c r="J669" s="47">
        <f t="shared" si="11"/>
        <v>0</v>
      </c>
      <c r="K669" s="48" t="str">
        <f>UpdateHashtag!T667</f>
        <v/>
      </c>
      <c r="L669" s="42">
        <f t="shared" si="12"/>
        <v>-1.734552372</v>
      </c>
      <c r="N669" s="100">
        <f t="shared" si="13"/>
        <v>401</v>
      </c>
      <c r="O669" s="94" t="str">
        <f t="array" ref="O669">INDIRECT("Update"&amp;Projections!$AH$17&amp;"!B"&amp;ROW(B650))</f>
        <v/>
      </c>
      <c r="P669" s="414" t="str">
        <f t="array" ref="P669">INDIRECT("Update"&amp;Projections!$AH$17&amp;"!C"&amp;ROW(B650))</f>
        <v/>
      </c>
      <c r="Q669" s="94" t="str">
        <f>UpdateHashtag!F699</f>
        <v/>
      </c>
      <c r="R669" s="105" t="str">
        <f t="array" ref="R669">INDIRECT("Update"&amp;Projections!$AH$17&amp;"!D"&amp;ROW(B650))</f>
        <v/>
      </c>
      <c r="S669" s="73">
        <f t="shared" si="14"/>
        <v>-9.965301026</v>
      </c>
      <c r="T669" s="73">
        <f>SUM(AE669:AM669)-IFERROR(IFS(Projections!$I$17,AN669,Projections!$J$17,AO669),"")</f>
        <v>-9.965301026</v>
      </c>
      <c r="U669" s="73">
        <f t="shared" si="15"/>
        <v>0</v>
      </c>
      <c r="V669" s="73" t="str">
        <f t="array" ref="V669">INDIRECT("Update"&amp;Projections!$AH$17&amp;"!M"&amp;ROW(B650))</f>
        <v/>
      </c>
      <c r="W669" s="73" t="str">
        <f t="array" ref="W669">INDIRECT("Update"&amp;Projections!$AH$17&amp;"!L"&amp;ROW(B650))</f>
        <v/>
      </c>
      <c r="X669" s="73" t="str">
        <f t="array" ref="X669">INDIRECT("Update"&amp;Projections!$AH$17&amp;"!N"&amp;ROW(B650))</f>
        <v/>
      </c>
      <c r="Y669" s="73" t="str">
        <f t="array" ref="Y669">INDIRECT("Update"&amp;Projections!$AH$17&amp;"!O"&amp;ROW(B650))</f>
        <v/>
      </c>
      <c r="Z669" s="73" t="str">
        <f t="array" ref="Z669">INDIRECT("Update"&amp;Projections!$AH$17&amp;"!P"&amp;ROW(B650))</f>
        <v/>
      </c>
      <c r="AA669" s="73" t="str">
        <f t="array" ref="AA669">INDIRECT("Update"&amp;Projections!$AH$17&amp;"!Q"&amp;ROW(B650))</f>
        <v/>
      </c>
      <c r="AB669" s="107" t="str">
        <f t="array" ref="AB669">INDIRECT("Update"&amp;Projections!$AH$17&amp;"!I"&amp;ROW(B650))</f>
        <v/>
      </c>
      <c r="AC669" s="107" t="str">
        <f t="array" ref="AC669">INDIRECT("Update"&amp;Projections!$AH$17&amp;"!K"&amp;ROW(B650))</f>
        <v/>
      </c>
      <c r="AD669" s="73" t="str">
        <f t="array" ref="AD669">INDIRECT("Update"&amp;Projections!$AH$17&amp;"!R"&amp;ROW(B650))</f>
        <v/>
      </c>
      <c r="AE669" s="73">
        <f t="shared" si="16"/>
        <v>-3.155358621</v>
      </c>
      <c r="AF669" s="73">
        <f t="shared" si="17"/>
        <v>-1.740686581</v>
      </c>
      <c r="AG669" s="73">
        <f t="shared" si="18"/>
        <v>-2.380599106</v>
      </c>
      <c r="AH669" s="73">
        <f t="shared" si="19"/>
        <v>-1.79320266</v>
      </c>
      <c r="AI669" s="73">
        <f t="shared" si="20"/>
        <v>-3.240190514</v>
      </c>
      <c r="AJ669" s="73">
        <f t="shared" si="21"/>
        <v>-1.329092151</v>
      </c>
      <c r="AK669" s="73">
        <f t="shared" si="22"/>
        <v>0</v>
      </c>
      <c r="AL669" s="73">
        <f t="shared" si="23"/>
        <v>0</v>
      </c>
      <c r="AM669" s="73">
        <f t="shared" si="24"/>
        <v>0.433638093</v>
      </c>
      <c r="AN669" s="120">
        <f t="shared" si="25"/>
        <v>-3.240190514</v>
      </c>
      <c r="AO669" s="120">
        <f t="shared" si="26"/>
        <v>-6.395549135</v>
      </c>
      <c r="AP669" s="120" t="str">
        <f t="array" ref="AP669">INDIRECT("Update"&amp;Projections!$AH$17&amp;"!S"&amp;ROW(B650))</f>
        <v/>
      </c>
      <c r="AQ669" s="120" t="str">
        <f t="array" ref="AQ669">INDIRECT("Update"&amp;Projections!$AH$17&amp;"!T"&amp;ROW(B650))</f>
        <v/>
      </c>
      <c r="AR669" s="100">
        <f t="shared" si="27"/>
        <v>-9.965301026</v>
      </c>
    </row>
    <row r="670">
      <c r="A670" t="str">
        <f t="shared" si="3"/>
        <v/>
      </c>
      <c r="B670" s="42">
        <f t="shared" si="4"/>
        <v>-3.155358621</v>
      </c>
      <c r="C670" s="43">
        <f t="shared" si="5"/>
        <v>-1.740686581</v>
      </c>
      <c r="D670" s="42">
        <f t="shared" si="6"/>
        <v>-2.380599106</v>
      </c>
      <c r="E670" s="42">
        <f t="shared" si="7"/>
        <v>-1.79320266</v>
      </c>
      <c r="F670" s="42">
        <f t="shared" si="8"/>
        <v>-3.240190514</v>
      </c>
      <c r="G670" s="42">
        <f t="shared" si="9"/>
        <v>-1.329092151</v>
      </c>
      <c r="H670" s="42">
        <f t="shared" si="10"/>
        <v>0</v>
      </c>
      <c r="I670" s="42" t="str">
        <f>UpdateHashtag!S668</f>
        <v/>
      </c>
      <c r="J670" s="47">
        <f t="shared" si="11"/>
        <v>0</v>
      </c>
      <c r="K670" s="48" t="str">
        <f>UpdateHashtag!T668</f>
        <v/>
      </c>
      <c r="L670" s="42">
        <f t="shared" si="12"/>
        <v>-1.734552372</v>
      </c>
      <c r="N670" s="100">
        <f t="shared" si="13"/>
        <v>401</v>
      </c>
      <c r="O670" s="94" t="str">
        <f t="array" ref="O670">INDIRECT("Update"&amp;Projections!$AH$17&amp;"!B"&amp;ROW(B651))</f>
        <v/>
      </c>
      <c r="P670" s="414" t="str">
        <f t="array" ref="P670">INDIRECT("Update"&amp;Projections!$AH$17&amp;"!C"&amp;ROW(B651))</f>
        <v/>
      </c>
      <c r="Q670" s="94" t="str">
        <f>UpdateHashtag!F700</f>
        <v/>
      </c>
      <c r="R670" s="105" t="str">
        <f t="array" ref="R670">INDIRECT("Update"&amp;Projections!$AH$17&amp;"!D"&amp;ROW(B651))</f>
        <v/>
      </c>
      <c r="S670" s="73">
        <f t="shared" si="14"/>
        <v>-9.965301026</v>
      </c>
      <c r="T670" s="73">
        <f>SUM(AE670:AM670)-IFERROR(IFS(Projections!$I$17,AN670,Projections!$J$17,AO670),"")</f>
        <v>-9.965301026</v>
      </c>
      <c r="U670" s="73">
        <f t="shared" si="15"/>
        <v>0</v>
      </c>
      <c r="V670" s="73" t="str">
        <f t="array" ref="V670">INDIRECT("Update"&amp;Projections!$AH$17&amp;"!M"&amp;ROW(B651))</f>
        <v/>
      </c>
      <c r="W670" s="73" t="str">
        <f t="array" ref="W670">INDIRECT("Update"&amp;Projections!$AH$17&amp;"!L"&amp;ROW(B651))</f>
        <v/>
      </c>
      <c r="X670" s="73" t="str">
        <f t="array" ref="X670">INDIRECT("Update"&amp;Projections!$AH$17&amp;"!N"&amp;ROW(B651))</f>
        <v/>
      </c>
      <c r="Y670" s="73" t="str">
        <f t="array" ref="Y670">INDIRECT("Update"&amp;Projections!$AH$17&amp;"!O"&amp;ROW(B651))</f>
        <v/>
      </c>
      <c r="Z670" s="73" t="str">
        <f t="array" ref="Z670">INDIRECT("Update"&amp;Projections!$AH$17&amp;"!P"&amp;ROW(B651))</f>
        <v/>
      </c>
      <c r="AA670" s="73" t="str">
        <f t="array" ref="AA670">INDIRECT("Update"&amp;Projections!$AH$17&amp;"!Q"&amp;ROW(B651))</f>
        <v/>
      </c>
      <c r="AB670" s="107" t="str">
        <f t="array" ref="AB670">INDIRECT("Update"&amp;Projections!$AH$17&amp;"!I"&amp;ROW(B651))</f>
        <v/>
      </c>
      <c r="AC670" s="107" t="str">
        <f t="array" ref="AC670">INDIRECT("Update"&amp;Projections!$AH$17&amp;"!K"&amp;ROW(B651))</f>
        <v/>
      </c>
      <c r="AD670" s="73" t="str">
        <f t="array" ref="AD670">INDIRECT("Update"&amp;Projections!$AH$17&amp;"!R"&amp;ROW(B651))</f>
        <v/>
      </c>
      <c r="AE670" s="73">
        <f t="shared" si="16"/>
        <v>-3.155358621</v>
      </c>
      <c r="AF670" s="73">
        <f t="shared" si="17"/>
        <v>-1.740686581</v>
      </c>
      <c r="AG670" s="73">
        <f t="shared" si="18"/>
        <v>-2.380599106</v>
      </c>
      <c r="AH670" s="73">
        <f t="shared" si="19"/>
        <v>-1.79320266</v>
      </c>
      <c r="AI670" s="73">
        <f t="shared" si="20"/>
        <v>-3.240190514</v>
      </c>
      <c r="AJ670" s="73">
        <f t="shared" si="21"/>
        <v>-1.329092151</v>
      </c>
      <c r="AK670" s="73">
        <f t="shared" si="22"/>
        <v>0</v>
      </c>
      <c r="AL670" s="73">
        <f t="shared" si="23"/>
        <v>0</v>
      </c>
      <c r="AM670" s="73">
        <f t="shared" si="24"/>
        <v>0.433638093</v>
      </c>
      <c r="AN670" s="120">
        <f t="shared" si="25"/>
        <v>-3.240190514</v>
      </c>
      <c r="AO670" s="120">
        <f t="shared" si="26"/>
        <v>-6.395549135</v>
      </c>
      <c r="AP670" s="120" t="str">
        <f t="array" ref="AP670">INDIRECT("Update"&amp;Projections!$AH$17&amp;"!S"&amp;ROW(B651))</f>
        <v/>
      </c>
      <c r="AQ670" s="120" t="str">
        <f t="array" ref="AQ670">INDIRECT("Update"&amp;Projections!$AH$17&amp;"!T"&amp;ROW(B651))</f>
        <v/>
      </c>
      <c r="AR670" s="100">
        <f t="shared" si="27"/>
        <v>-9.965301026</v>
      </c>
    </row>
    <row r="671">
      <c r="A671" t="str">
        <f t="shared" si="3"/>
        <v/>
      </c>
      <c r="B671" s="42">
        <f t="shared" si="4"/>
        <v>-3.155358621</v>
      </c>
      <c r="C671" s="43">
        <f t="shared" si="5"/>
        <v>-1.740686581</v>
      </c>
      <c r="D671" s="42">
        <f t="shared" si="6"/>
        <v>-2.380599106</v>
      </c>
      <c r="E671" s="42">
        <f t="shared" si="7"/>
        <v>-1.79320266</v>
      </c>
      <c r="F671" s="42">
        <f t="shared" si="8"/>
        <v>-3.240190514</v>
      </c>
      <c r="G671" s="42">
        <f t="shared" si="9"/>
        <v>-1.329092151</v>
      </c>
      <c r="H671" s="42">
        <f t="shared" si="10"/>
        <v>0</v>
      </c>
      <c r="I671" s="42" t="str">
        <f>UpdateHashtag!S669</f>
        <v/>
      </c>
      <c r="J671" s="47">
        <f t="shared" si="11"/>
        <v>0</v>
      </c>
      <c r="K671" s="48" t="str">
        <f>UpdateHashtag!T669</f>
        <v/>
      </c>
      <c r="L671" s="42">
        <f t="shared" si="12"/>
        <v>-1.734552372</v>
      </c>
      <c r="N671" s="100">
        <f t="shared" si="13"/>
        <v>401</v>
      </c>
      <c r="O671" s="94" t="str">
        <f t="array" ref="O671">INDIRECT("Update"&amp;Projections!$AH$17&amp;"!B"&amp;ROW(B652))</f>
        <v/>
      </c>
      <c r="P671" s="414" t="str">
        <f t="array" ref="P671">INDIRECT("Update"&amp;Projections!$AH$17&amp;"!C"&amp;ROW(B652))</f>
        <v/>
      </c>
      <c r="Q671" s="94" t="str">
        <f>UpdateHashtag!F701</f>
        <v/>
      </c>
      <c r="R671" s="105" t="str">
        <f t="array" ref="R671">INDIRECT("Update"&amp;Projections!$AH$17&amp;"!D"&amp;ROW(B652))</f>
        <v/>
      </c>
      <c r="S671" s="73">
        <f t="shared" si="14"/>
        <v>-9.965301026</v>
      </c>
      <c r="T671" s="73">
        <f>SUM(AE671:AM671)-IFERROR(IFS(Projections!$I$17,AN671,Projections!$J$17,AO671),"")</f>
        <v>-9.965301026</v>
      </c>
      <c r="U671" s="73">
        <f t="shared" si="15"/>
        <v>0</v>
      </c>
      <c r="V671" s="73" t="str">
        <f t="array" ref="V671">INDIRECT("Update"&amp;Projections!$AH$17&amp;"!M"&amp;ROW(B652))</f>
        <v/>
      </c>
      <c r="W671" s="73" t="str">
        <f t="array" ref="W671">INDIRECT("Update"&amp;Projections!$AH$17&amp;"!L"&amp;ROW(B652))</f>
        <v/>
      </c>
      <c r="X671" s="73" t="str">
        <f t="array" ref="X671">INDIRECT("Update"&amp;Projections!$AH$17&amp;"!N"&amp;ROW(B652))</f>
        <v/>
      </c>
      <c r="Y671" s="73" t="str">
        <f t="array" ref="Y671">INDIRECT("Update"&amp;Projections!$AH$17&amp;"!O"&amp;ROW(B652))</f>
        <v/>
      </c>
      <c r="Z671" s="73" t="str">
        <f t="array" ref="Z671">INDIRECT("Update"&amp;Projections!$AH$17&amp;"!P"&amp;ROW(B652))</f>
        <v/>
      </c>
      <c r="AA671" s="73" t="str">
        <f t="array" ref="AA671">INDIRECT("Update"&amp;Projections!$AH$17&amp;"!Q"&amp;ROW(B652))</f>
        <v/>
      </c>
      <c r="AB671" s="107" t="str">
        <f t="array" ref="AB671">INDIRECT("Update"&amp;Projections!$AH$17&amp;"!I"&amp;ROW(B652))</f>
        <v/>
      </c>
      <c r="AC671" s="107" t="str">
        <f t="array" ref="AC671">INDIRECT("Update"&amp;Projections!$AH$17&amp;"!K"&amp;ROW(B652))</f>
        <v/>
      </c>
      <c r="AD671" s="73" t="str">
        <f t="array" ref="AD671">INDIRECT("Update"&amp;Projections!$AH$17&amp;"!R"&amp;ROW(B652))</f>
        <v/>
      </c>
      <c r="AE671" s="73">
        <f t="shared" si="16"/>
        <v>-3.155358621</v>
      </c>
      <c r="AF671" s="73">
        <f t="shared" si="17"/>
        <v>-1.740686581</v>
      </c>
      <c r="AG671" s="73">
        <f t="shared" si="18"/>
        <v>-2.380599106</v>
      </c>
      <c r="AH671" s="73">
        <f t="shared" si="19"/>
        <v>-1.79320266</v>
      </c>
      <c r="AI671" s="73">
        <f t="shared" si="20"/>
        <v>-3.240190514</v>
      </c>
      <c r="AJ671" s="73">
        <f t="shared" si="21"/>
        <v>-1.329092151</v>
      </c>
      <c r="AK671" s="73">
        <f t="shared" si="22"/>
        <v>0</v>
      </c>
      <c r="AL671" s="73">
        <f t="shared" si="23"/>
        <v>0</v>
      </c>
      <c r="AM671" s="73">
        <f t="shared" si="24"/>
        <v>0.433638093</v>
      </c>
      <c r="AN671" s="120">
        <f t="shared" si="25"/>
        <v>-3.240190514</v>
      </c>
      <c r="AO671" s="120">
        <f t="shared" si="26"/>
        <v>-6.395549135</v>
      </c>
      <c r="AP671" s="120" t="str">
        <f t="array" ref="AP671">INDIRECT("Update"&amp;Projections!$AH$17&amp;"!S"&amp;ROW(B652))</f>
        <v/>
      </c>
      <c r="AQ671" s="120" t="str">
        <f t="array" ref="AQ671">INDIRECT("Update"&amp;Projections!$AH$17&amp;"!T"&amp;ROW(B652))</f>
        <v/>
      </c>
      <c r="AR671" s="100">
        <f t="shared" si="27"/>
        <v>-9.965301026</v>
      </c>
    </row>
    <row r="672">
      <c r="A672" t="str">
        <f t="shared" si="3"/>
        <v/>
      </c>
      <c r="B672" s="42">
        <f t="shared" si="4"/>
        <v>-3.155358621</v>
      </c>
      <c r="C672" s="43">
        <f t="shared" si="5"/>
        <v>-1.740686581</v>
      </c>
      <c r="D672" s="42">
        <f t="shared" si="6"/>
        <v>-2.380599106</v>
      </c>
      <c r="E672" s="42">
        <f t="shared" si="7"/>
        <v>-1.79320266</v>
      </c>
      <c r="F672" s="42">
        <f t="shared" si="8"/>
        <v>-3.240190514</v>
      </c>
      <c r="G672" s="42">
        <f t="shared" si="9"/>
        <v>-1.329092151</v>
      </c>
      <c r="H672" s="42">
        <f t="shared" si="10"/>
        <v>0</v>
      </c>
      <c r="I672" s="42" t="str">
        <f>UpdateHashtag!S670</f>
        <v/>
      </c>
      <c r="J672" s="47">
        <f t="shared" si="11"/>
        <v>0</v>
      </c>
      <c r="K672" s="48" t="str">
        <f>UpdateHashtag!T670</f>
        <v/>
      </c>
      <c r="L672" s="42">
        <f t="shared" si="12"/>
        <v>-1.734552372</v>
      </c>
      <c r="N672" s="100">
        <f t="shared" si="13"/>
        <v>401</v>
      </c>
      <c r="O672" s="94" t="str">
        <f t="array" ref="O672">INDIRECT("Update"&amp;Projections!$AH$17&amp;"!B"&amp;ROW(B653))</f>
        <v/>
      </c>
      <c r="P672" s="414" t="str">
        <f t="array" ref="P672">INDIRECT("Update"&amp;Projections!$AH$17&amp;"!C"&amp;ROW(B653))</f>
        <v/>
      </c>
      <c r="Q672" s="94" t="str">
        <f>UpdateHashtag!F702</f>
        <v/>
      </c>
      <c r="R672" s="105" t="str">
        <f t="array" ref="R672">INDIRECT("Update"&amp;Projections!$AH$17&amp;"!D"&amp;ROW(B653))</f>
        <v/>
      </c>
      <c r="S672" s="73">
        <f t="shared" si="14"/>
        <v>-9.965301026</v>
      </c>
      <c r="T672" s="73">
        <f>SUM(AE672:AM672)-IFERROR(IFS(Projections!$I$17,AN672,Projections!$J$17,AO672),"")</f>
        <v>-9.965301026</v>
      </c>
      <c r="U672" s="73">
        <f t="shared" si="15"/>
        <v>0</v>
      </c>
      <c r="V672" s="73" t="str">
        <f t="array" ref="V672">INDIRECT("Update"&amp;Projections!$AH$17&amp;"!M"&amp;ROW(B653))</f>
        <v/>
      </c>
      <c r="W672" s="73" t="str">
        <f t="array" ref="W672">INDIRECT("Update"&amp;Projections!$AH$17&amp;"!L"&amp;ROW(B653))</f>
        <v/>
      </c>
      <c r="X672" s="73" t="str">
        <f t="array" ref="X672">INDIRECT("Update"&amp;Projections!$AH$17&amp;"!N"&amp;ROW(B653))</f>
        <v/>
      </c>
      <c r="Y672" s="73" t="str">
        <f t="array" ref="Y672">INDIRECT("Update"&amp;Projections!$AH$17&amp;"!O"&amp;ROW(B653))</f>
        <v/>
      </c>
      <c r="Z672" s="73" t="str">
        <f t="array" ref="Z672">INDIRECT("Update"&amp;Projections!$AH$17&amp;"!P"&amp;ROW(B653))</f>
        <v/>
      </c>
      <c r="AA672" s="73" t="str">
        <f t="array" ref="AA672">INDIRECT("Update"&amp;Projections!$AH$17&amp;"!Q"&amp;ROW(B653))</f>
        <v/>
      </c>
      <c r="AB672" s="107" t="str">
        <f t="array" ref="AB672">INDIRECT("Update"&amp;Projections!$AH$17&amp;"!I"&amp;ROW(B653))</f>
        <v/>
      </c>
      <c r="AC672" s="107" t="str">
        <f t="array" ref="AC672">INDIRECT("Update"&amp;Projections!$AH$17&amp;"!K"&amp;ROW(B653))</f>
        <v/>
      </c>
      <c r="AD672" s="73" t="str">
        <f t="array" ref="AD672">INDIRECT("Update"&amp;Projections!$AH$17&amp;"!R"&amp;ROW(B653))</f>
        <v/>
      </c>
      <c r="AE672" s="73">
        <f t="shared" si="16"/>
        <v>-3.155358621</v>
      </c>
      <c r="AF672" s="73">
        <f t="shared" si="17"/>
        <v>-1.740686581</v>
      </c>
      <c r="AG672" s="73">
        <f t="shared" si="18"/>
        <v>-2.380599106</v>
      </c>
      <c r="AH672" s="73">
        <f t="shared" si="19"/>
        <v>-1.79320266</v>
      </c>
      <c r="AI672" s="73">
        <f t="shared" si="20"/>
        <v>-3.240190514</v>
      </c>
      <c r="AJ672" s="73">
        <f t="shared" si="21"/>
        <v>-1.329092151</v>
      </c>
      <c r="AK672" s="73">
        <f t="shared" si="22"/>
        <v>0</v>
      </c>
      <c r="AL672" s="73">
        <f t="shared" si="23"/>
        <v>0</v>
      </c>
      <c r="AM672" s="73">
        <f t="shared" si="24"/>
        <v>0.433638093</v>
      </c>
      <c r="AN672" s="120">
        <f t="shared" si="25"/>
        <v>-3.240190514</v>
      </c>
      <c r="AO672" s="120">
        <f t="shared" si="26"/>
        <v>-6.395549135</v>
      </c>
      <c r="AP672" s="120" t="str">
        <f t="array" ref="AP672">INDIRECT("Update"&amp;Projections!$AH$17&amp;"!S"&amp;ROW(B653))</f>
        <v/>
      </c>
      <c r="AQ672" s="120" t="str">
        <f t="array" ref="AQ672">INDIRECT("Update"&amp;Projections!$AH$17&amp;"!T"&amp;ROW(B653))</f>
        <v/>
      </c>
      <c r="AR672" s="100">
        <f t="shared" si="27"/>
        <v>-9.965301026</v>
      </c>
    </row>
    <row r="673">
      <c r="A673" t="str">
        <f t="shared" si="3"/>
        <v/>
      </c>
      <c r="B673" s="42">
        <f t="shared" si="4"/>
        <v>-3.155358621</v>
      </c>
      <c r="C673" s="43">
        <f t="shared" si="5"/>
        <v>-1.740686581</v>
      </c>
      <c r="D673" s="42">
        <f t="shared" si="6"/>
        <v>-2.380599106</v>
      </c>
      <c r="E673" s="42">
        <f t="shared" si="7"/>
        <v>-1.79320266</v>
      </c>
      <c r="F673" s="42">
        <f t="shared" si="8"/>
        <v>-3.240190514</v>
      </c>
      <c r="G673" s="42">
        <f t="shared" si="9"/>
        <v>-1.329092151</v>
      </c>
      <c r="H673" s="42">
        <f t="shared" si="10"/>
        <v>0</v>
      </c>
      <c r="I673" s="42" t="str">
        <f>UpdateHashtag!S671</f>
        <v/>
      </c>
      <c r="J673" s="47">
        <f t="shared" si="11"/>
        <v>0</v>
      </c>
      <c r="K673" s="48" t="str">
        <f>UpdateHashtag!T671</f>
        <v/>
      </c>
      <c r="L673" s="42">
        <f t="shared" si="12"/>
        <v>-1.734552372</v>
      </c>
      <c r="N673" s="100">
        <f t="shared" si="13"/>
        <v>401</v>
      </c>
      <c r="O673" s="94" t="str">
        <f t="array" ref="O673">INDIRECT("Update"&amp;Projections!$AH$17&amp;"!B"&amp;ROW(B654))</f>
        <v/>
      </c>
      <c r="P673" s="414" t="str">
        <f t="array" ref="P673">INDIRECT("Update"&amp;Projections!$AH$17&amp;"!C"&amp;ROW(B654))</f>
        <v/>
      </c>
      <c r="Q673" s="94" t="str">
        <f>UpdateHashtag!F703</f>
        <v/>
      </c>
      <c r="R673" s="105" t="str">
        <f t="array" ref="R673">INDIRECT("Update"&amp;Projections!$AH$17&amp;"!D"&amp;ROW(B654))</f>
        <v/>
      </c>
      <c r="S673" s="73">
        <f t="shared" si="14"/>
        <v>-9.965301026</v>
      </c>
      <c r="T673" s="73">
        <f>SUM(AE673:AM673)-IFERROR(IFS(Projections!$I$17,AN673,Projections!$J$17,AO673),"")</f>
        <v>-9.965301026</v>
      </c>
      <c r="U673" s="73">
        <f t="shared" si="15"/>
        <v>0</v>
      </c>
      <c r="V673" s="73" t="str">
        <f t="array" ref="V673">INDIRECT("Update"&amp;Projections!$AH$17&amp;"!M"&amp;ROW(B654))</f>
        <v/>
      </c>
      <c r="W673" s="73" t="str">
        <f t="array" ref="W673">INDIRECT("Update"&amp;Projections!$AH$17&amp;"!L"&amp;ROW(B654))</f>
        <v/>
      </c>
      <c r="X673" s="73" t="str">
        <f t="array" ref="X673">INDIRECT("Update"&amp;Projections!$AH$17&amp;"!N"&amp;ROW(B654))</f>
        <v/>
      </c>
      <c r="Y673" s="73" t="str">
        <f t="array" ref="Y673">INDIRECT("Update"&amp;Projections!$AH$17&amp;"!O"&amp;ROW(B654))</f>
        <v/>
      </c>
      <c r="Z673" s="73" t="str">
        <f t="array" ref="Z673">INDIRECT("Update"&amp;Projections!$AH$17&amp;"!P"&amp;ROW(B654))</f>
        <v/>
      </c>
      <c r="AA673" s="73" t="str">
        <f t="array" ref="AA673">INDIRECT("Update"&amp;Projections!$AH$17&amp;"!Q"&amp;ROW(B654))</f>
        <v/>
      </c>
      <c r="AB673" s="107" t="str">
        <f t="array" ref="AB673">INDIRECT("Update"&amp;Projections!$AH$17&amp;"!I"&amp;ROW(B654))</f>
        <v/>
      </c>
      <c r="AC673" s="107" t="str">
        <f t="array" ref="AC673">INDIRECT("Update"&amp;Projections!$AH$17&amp;"!K"&amp;ROW(B654))</f>
        <v/>
      </c>
      <c r="AD673" s="73" t="str">
        <f t="array" ref="AD673">INDIRECT("Update"&amp;Projections!$AH$17&amp;"!R"&amp;ROW(B654))</f>
        <v/>
      </c>
      <c r="AE673" s="73">
        <f t="shared" si="16"/>
        <v>-3.155358621</v>
      </c>
      <c r="AF673" s="73">
        <f t="shared" si="17"/>
        <v>-1.740686581</v>
      </c>
      <c r="AG673" s="73">
        <f t="shared" si="18"/>
        <v>-2.380599106</v>
      </c>
      <c r="AH673" s="73">
        <f t="shared" si="19"/>
        <v>-1.79320266</v>
      </c>
      <c r="AI673" s="73">
        <f t="shared" si="20"/>
        <v>-3.240190514</v>
      </c>
      <c r="AJ673" s="73">
        <f t="shared" si="21"/>
        <v>-1.329092151</v>
      </c>
      <c r="AK673" s="73">
        <f t="shared" si="22"/>
        <v>0</v>
      </c>
      <c r="AL673" s="73">
        <f t="shared" si="23"/>
        <v>0</v>
      </c>
      <c r="AM673" s="73">
        <f t="shared" si="24"/>
        <v>0.433638093</v>
      </c>
      <c r="AN673" s="120">
        <f t="shared" si="25"/>
        <v>-3.240190514</v>
      </c>
      <c r="AO673" s="120">
        <f t="shared" si="26"/>
        <v>-6.395549135</v>
      </c>
      <c r="AP673" s="120" t="str">
        <f t="array" ref="AP673">INDIRECT("Update"&amp;Projections!$AH$17&amp;"!S"&amp;ROW(B654))</f>
        <v/>
      </c>
      <c r="AQ673" s="120" t="str">
        <f t="array" ref="AQ673">INDIRECT("Update"&amp;Projections!$AH$17&amp;"!T"&amp;ROW(B654))</f>
        <v/>
      </c>
      <c r="AR673" s="100">
        <f t="shared" si="27"/>
        <v>-9.965301026</v>
      </c>
    </row>
    <row r="674">
      <c r="A674" t="str">
        <f t="shared" si="3"/>
        <v/>
      </c>
      <c r="B674" s="42">
        <f t="shared" si="4"/>
        <v>-3.155358621</v>
      </c>
      <c r="C674" s="43">
        <f t="shared" si="5"/>
        <v>-1.740686581</v>
      </c>
      <c r="D674" s="42">
        <f t="shared" si="6"/>
        <v>-2.380599106</v>
      </c>
      <c r="E674" s="42">
        <f t="shared" si="7"/>
        <v>-1.79320266</v>
      </c>
      <c r="F674" s="42">
        <f t="shared" si="8"/>
        <v>-3.240190514</v>
      </c>
      <c r="G674" s="42">
        <f t="shared" si="9"/>
        <v>-1.329092151</v>
      </c>
      <c r="H674" s="42">
        <f t="shared" si="10"/>
        <v>0</v>
      </c>
      <c r="I674" s="42" t="str">
        <f>UpdateHashtag!S672</f>
        <v/>
      </c>
      <c r="J674" s="47">
        <f t="shared" si="11"/>
        <v>0</v>
      </c>
      <c r="K674" s="48" t="str">
        <f>UpdateHashtag!T672</f>
        <v/>
      </c>
      <c r="L674" s="42">
        <f t="shared" si="12"/>
        <v>-1.734552372</v>
      </c>
      <c r="N674" s="100">
        <f t="shared" si="13"/>
        <v>401</v>
      </c>
      <c r="O674" s="94" t="str">
        <f t="array" ref="O674">INDIRECT("Update"&amp;Projections!$AH$17&amp;"!B"&amp;ROW(B655))</f>
        <v/>
      </c>
      <c r="P674" s="414" t="str">
        <f t="array" ref="P674">INDIRECT("Update"&amp;Projections!$AH$17&amp;"!C"&amp;ROW(B655))</f>
        <v/>
      </c>
      <c r="Q674" s="94" t="str">
        <f>UpdateHashtag!F704</f>
        <v/>
      </c>
      <c r="R674" s="105" t="str">
        <f t="array" ref="R674">INDIRECT("Update"&amp;Projections!$AH$17&amp;"!D"&amp;ROW(B655))</f>
        <v/>
      </c>
      <c r="S674" s="73">
        <f t="shared" si="14"/>
        <v>-9.965301026</v>
      </c>
      <c r="T674" s="73">
        <f>SUM(AE674:AM674)-IFERROR(IFS(Projections!$I$17,AN674,Projections!$J$17,AO674),"")</f>
        <v>-9.965301026</v>
      </c>
      <c r="U674" s="73">
        <f t="shared" si="15"/>
        <v>0</v>
      </c>
      <c r="V674" s="73" t="str">
        <f t="array" ref="V674">INDIRECT("Update"&amp;Projections!$AH$17&amp;"!M"&amp;ROW(B655))</f>
        <v/>
      </c>
      <c r="W674" s="73" t="str">
        <f t="array" ref="W674">INDIRECT("Update"&amp;Projections!$AH$17&amp;"!L"&amp;ROW(B655))</f>
        <v/>
      </c>
      <c r="X674" s="73" t="str">
        <f t="array" ref="X674">INDIRECT("Update"&amp;Projections!$AH$17&amp;"!N"&amp;ROW(B655))</f>
        <v/>
      </c>
      <c r="Y674" s="73" t="str">
        <f t="array" ref="Y674">INDIRECT("Update"&amp;Projections!$AH$17&amp;"!O"&amp;ROW(B655))</f>
        <v/>
      </c>
      <c r="Z674" s="73" t="str">
        <f t="array" ref="Z674">INDIRECT("Update"&amp;Projections!$AH$17&amp;"!P"&amp;ROW(B655))</f>
        <v/>
      </c>
      <c r="AA674" s="73" t="str">
        <f t="array" ref="AA674">INDIRECT("Update"&amp;Projections!$AH$17&amp;"!Q"&amp;ROW(B655))</f>
        <v/>
      </c>
      <c r="AB674" s="107" t="str">
        <f t="array" ref="AB674">INDIRECT("Update"&amp;Projections!$AH$17&amp;"!I"&amp;ROW(B655))</f>
        <v/>
      </c>
      <c r="AC674" s="107" t="str">
        <f t="array" ref="AC674">INDIRECT("Update"&amp;Projections!$AH$17&amp;"!K"&amp;ROW(B655))</f>
        <v/>
      </c>
      <c r="AD674" s="73" t="str">
        <f t="array" ref="AD674">INDIRECT("Update"&amp;Projections!$AH$17&amp;"!R"&amp;ROW(B655))</f>
        <v/>
      </c>
      <c r="AE674" s="73">
        <f t="shared" si="16"/>
        <v>-3.155358621</v>
      </c>
      <c r="AF674" s="73">
        <f t="shared" si="17"/>
        <v>-1.740686581</v>
      </c>
      <c r="AG674" s="73">
        <f t="shared" si="18"/>
        <v>-2.380599106</v>
      </c>
      <c r="AH674" s="73">
        <f t="shared" si="19"/>
        <v>-1.79320266</v>
      </c>
      <c r="AI674" s="73">
        <f t="shared" si="20"/>
        <v>-3.240190514</v>
      </c>
      <c r="AJ674" s="73">
        <f t="shared" si="21"/>
        <v>-1.329092151</v>
      </c>
      <c r="AK674" s="73">
        <f t="shared" si="22"/>
        <v>0</v>
      </c>
      <c r="AL674" s="73">
        <f t="shared" si="23"/>
        <v>0</v>
      </c>
      <c r="AM674" s="73">
        <f t="shared" si="24"/>
        <v>0.433638093</v>
      </c>
      <c r="AN674" s="120">
        <f t="shared" si="25"/>
        <v>-3.240190514</v>
      </c>
      <c r="AO674" s="120">
        <f t="shared" si="26"/>
        <v>-6.395549135</v>
      </c>
      <c r="AP674" s="120" t="str">
        <f t="array" ref="AP674">INDIRECT("Update"&amp;Projections!$AH$17&amp;"!S"&amp;ROW(B655))</f>
        <v/>
      </c>
      <c r="AQ674" s="120" t="str">
        <f t="array" ref="AQ674">INDIRECT("Update"&amp;Projections!$AH$17&amp;"!T"&amp;ROW(B655))</f>
        <v/>
      </c>
      <c r="AR674" s="100">
        <f t="shared" si="27"/>
        <v>-9.965301026</v>
      </c>
    </row>
    <row r="675">
      <c r="A675" t="str">
        <f t="shared" si="3"/>
        <v/>
      </c>
      <c r="B675" s="42">
        <f t="shared" si="4"/>
        <v>-3.155358621</v>
      </c>
      <c r="C675" s="43">
        <f t="shared" si="5"/>
        <v>-1.740686581</v>
      </c>
      <c r="D675" s="42">
        <f t="shared" si="6"/>
        <v>-2.380599106</v>
      </c>
      <c r="E675" s="42">
        <f t="shared" si="7"/>
        <v>-1.79320266</v>
      </c>
      <c r="F675" s="42">
        <f t="shared" si="8"/>
        <v>-3.240190514</v>
      </c>
      <c r="G675" s="42">
        <f t="shared" si="9"/>
        <v>-1.329092151</v>
      </c>
      <c r="H675" s="42">
        <f t="shared" si="10"/>
        <v>0</v>
      </c>
      <c r="I675" s="42" t="str">
        <f>UpdateHashtag!S673</f>
        <v/>
      </c>
      <c r="J675" s="47">
        <f t="shared" si="11"/>
        <v>0</v>
      </c>
      <c r="K675" s="48" t="str">
        <f>UpdateHashtag!T673</f>
        <v/>
      </c>
      <c r="L675" s="42">
        <f t="shared" si="12"/>
        <v>-1.734552372</v>
      </c>
      <c r="N675" s="100">
        <f t="shared" si="13"/>
        <v>401</v>
      </c>
      <c r="O675" s="94" t="str">
        <f t="array" ref="O675">INDIRECT("Update"&amp;Projections!$AH$17&amp;"!B"&amp;ROW(B656))</f>
        <v/>
      </c>
      <c r="P675" s="414" t="str">
        <f t="array" ref="P675">INDIRECT("Update"&amp;Projections!$AH$17&amp;"!C"&amp;ROW(B656))</f>
        <v/>
      </c>
      <c r="Q675" s="94" t="str">
        <f>UpdateHashtag!F705</f>
        <v/>
      </c>
      <c r="R675" s="105" t="str">
        <f t="array" ref="R675">INDIRECT("Update"&amp;Projections!$AH$17&amp;"!D"&amp;ROW(B656))</f>
        <v/>
      </c>
      <c r="S675" s="73">
        <f t="shared" si="14"/>
        <v>-9.965301026</v>
      </c>
      <c r="T675" s="73">
        <f>SUM(AE675:AM675)-IFERROR(IFS(Projections!$I$17,AN675,Projections!$J$17,AO675),"")</f>
        <v>-9.965301026</v>
      </c>
      <c r="U675" s="73">
        <f t="shared" si="15"/>
        <v>0</v>
      </c>
      <c r="V675" s="73" t="str">
        <f t="array" ref="V675">INDIRECT("Update"&amp;Projections!$AH$17&amp;"!M"&amp;ROW(B656))</f>
        <v/>
      </c>
      <c r="W675" s="73" t="str">
        <f t="array" ref="W675">INDIRECT("Update"&amp;Projections!$AH$17&amp;"!L"&amp;ROW(B656))</f>
        <v/>
      </c>
      <c r="X675" s="73" t="str">
        <f t="array" ref="X675">INDIRECT("Update"&amp;Projections!$AH$17&amp;"!N"&amp;ROW(B656))</f>
        <v/>
      </c>
      <c r="Y675" s="73" t="str">
        <f t="array" ref="Y675">INDIRECT("Update"&amp;Projections!$AH$17&amp;"!O"&amp;ROW(B656))</f>
        <v/>
      </c>
      <c r="Z675" s="73" t="str">
        <f t="array" ref="Z675">INDIRECT("Update"&amp;Projections!$AH$17&amp;"!P"&amp;ROW(B656))</f>
        <v/>
      </c>
      <c r="AA675" s="73" t="str">
        <f t="array" ref="AA675">INDIRECT("Update"&amp;Projections!$AH$17&amp;"!Q"&amp;ROW(B656))</f>
        <v/>
      </c>
      <c r="AB675" s="107" t="str">
        <f t="array" ref="AB675">INDIRECT("Update"&amp;Projections!$AH$17&amp;"!I"&amp;ROW(B656))</f>
        <v/>
      </c>
      <c r="AC675" s="107" t="str">
        <f t="array" ref="AC675">INDIRECT("Update"&amp;Projections!$AH$17&amp;"!K"&amp;ROW(B656))</f>
        <v/>
      </c>
      <c r="AD675" s="73" t="str">
        <f t="array" ref="AD675">INDIRECT("Update"&amp;Projections!$AH$17&amp;"!R"&amp;ROW(B656))</f>
        <v/>
      </c>
      <c r="AE675" s="73">
        <f t="shared" si="16"/>
        <v>-3.155358621</v>
      </c>
      <c r="AF675" s="73">
        <f t="shared" si="17"/>
        <v>-1.740686581</v>
      </c>
      <c r="AG675" s="73">
        <f t="shared" si="18"/>
        <v>-2.380599106</v>
      </c>
      <c r="AH675" s="73">
        <f t="shared" si="19"/>
        <v>-1.79320266</v>
      </c>
      <c r="AI675" s="73">
        <f t="shared" si="20"/>
        <v>-3.240190514</v>
      </c>
      <c r="AJ675" s="73">
        <f t="shared" si="21"/>
        <v>-1.329092151</v>
      </c>
      <c r="AK675" s="73">
        <f t="shared" si="22"/>
        <v>0</v>
      </c>
      <c r="AL675" s="73">
        <f t="shared" si="23"/>
        <v>0</v>
      </c>
      <c r="AM675" s="73">
        <f t="shared" si="24"/>
        <v>0.433638093</v>
      </c>
      <c r="AN675" s="120">
        <f t="shared" si="25"/>
        <v>-3.240190514</v>
      </c>
      <c r="AO675" s="120">
        <f t="shared" si="26"/>
        <v>-6.395549135</v>
      </c>
      <c r="AP675" s="120" t="str">
        <f t="array" ref="AP675">INDIRECT("Update"&amp;Projections!$AH$17&amp;"!S"&amp;ROW(B656))</f>
        <v/>
      </c>
      <c r="AQ675" s="120" t="str">
        <f t="array" ref="AQ675">INDIRECT("Update"&amp;Projections!$AH$17&amp;"!T"&amp;ROW(B656))</f>
        <v/>
      </c>
      <c r="AR675" s="100">
        <f t="shared" si="27"/>
        <v>-9.965301026</v>
      </c>
    </row>
    <row r="676">
      <c r="A676" t="str">
        <f t="shared" si="3"/>
        <v/>
      </c>
      <c r="B676" s="42">
        <f t="shared" si="4"/>
        <v>-3.155358621</v>
      </c>
      <c r="C676" s="43">
        <f t="shared" si="5"/>
        <v>-1.740686581</v>
      </c>
      <c r="D676" s="42">
        <f t="shared" si="6"/>
        <v>-2.380599106</v>
      </c>
      <c r="E676" s="42">
        <f t="shared" si="7"/>
        <v>-1.79320266</v>
      </c>
      <c r="F676" s="42">
        <f t="shared" si="8"/>
        <v>-3.240190514</v>
      </c>
      <c r="G676" s="42">
        <f t="shared" si="9"/>
        <v>-1.329092151</v>
      </c>
      <c r="H676" s="42">
        <f t="shared" si="10"/>
        <v>0</v>
      </c>
      <c r="I676" s="42" t="str">
        <f>UpdateHashtag!S674</f>
        <v/>
      </c>
      <c r="J676" s="47">
        <f t="shared" si="11"/>
        <v>0</v>
      </c>
      <c r="K676" s="48" t="str">
        <f>UpdateHashtag!T674</f>
        <v/>
      </c>
      <c r="L676" s="42">
        <f t="shared" si="12"/>
        <v>-1.734552372</v>
      </c>
      <c r="N676" s="100">
        <f t="shared" si="13"/>
        <v>401</v>
      </c>
      <c r="O676" s="94" t="str">
        <f t="array" ref="O676">INDIRECT("Update"&amp;Projections!$AH$17&amp;"!B"&amp;ROW(B657))</f>
        <v/>
      </c>
      <c r="P676" s="414" t="str">
        <f t="array" ref="P676">INDIRECT("Update"&amp;Projections!$AH$17&amp;"!C"&amp;ROW(B657))</f>
        <v/>
      </c>
      <c r="Q676" s="94" t="str">
        <f>UpdateHashtag!F706</f>
        <v/>
      </c>
      <c r="R676" s="105" t="str">
        <f t="array" ref="R676">INDIRECT("Update"&amp;Projections!$AH$17&amp;"!D"&amp;ROW(B657))</f>
        <v/>
      </c>
      <c r="S676" s="73">
        <f t="shared" si="14"/>
        <v>-9.965301026</v>
      </c>
      <c r="T676" s="73">
        <f>SUM(AE676:AM676)-IFERROR(IFS(Projections!$I$17,AN676,Projections!$J$17,AO676),"")</f>
        <v>-9.965301026</v>
      </c>
      <c r="U676" s="73">
        <f t="shared" si="15"/>
        <v>0</v>
      </c>
      <c r="V676" s="73" t="str">
        <f t="array" ref="V676">INDIRECT("Update"&amp;Projections!$AH$17&amp;"!M"&amp;ROW(B657))</f>
        <v/>
      </c>
      <c r="W676" s="73" t="str">
        <f t="array" ref="W676">INDIRECT("Update"&amp;Projections!$AH$17&amp;"!L"&amp;ROW(B657))</f>
        <v/>
      </c>
      <c r="X676" s="73" t="str">
        <f t="array" ref="X676">INDIRECT("Update"&amp;Projections!$AH$17&amp;"!N"&amp;ROW(B657))</f>
        <v/>
      </c>
      <c r="Y676" s="73" t="str">
        <f t="array" ref="Y676">INDIRECT("Update"&amp;Projections!$AH$17&amp;"!O"&amp;ROW(B657))</f>
        <v/>
      </c>
      <c r="Z676" s="73" t="str">
        <f t="array" ref="Z676">INDIRECT("Update"&amp;Projections!$AH$17&amp;"!P"&amp;ROW(B657))</f>
        <v/>
      </c>
      <c r="AA676" s="73" t="str">
        <f t="array" ref="AA676">INDIRECT("Update"&amp;Projections!$AH$17&amp;"!Q"&amp;ROW(B657))</f>
        <v/>
      </c>
      <c r="AB676" s="107" t="str">
        <f t="array" ref="AB676">INDIRECT("Update"&amp;Projections!$AH$17&amp;"!I"&amp;ROW(B657))</f>
        <v/>
      </c>
      <c r="AC676" s="107" t="str">
        <f t="array" ref="AC676">INDIRECT("Update"&amp;Projections!$AH$17&amp;"!K"&amp;ROW(B657))</f>
        <v/>
      </c>
      <c r="AD676" s="73" t="str">
        <f t="array" ref="AD676">INDIRECT("Update"&amp;Projections!$AH$17&amp;"!R"&amp;ROW(B657))</f>
        <v/>
      </c>
      <c r="AE676" s="73">
        <f t="shared" si="16"/>
        <v>-3.155358621</v>
      </c>
      <c r="AF676" s="73">
        <f t="shared" si="17"/>
        <v>-1.740686581</v>
      </c>
      <c r="AG676" s="73">
        <f t="shared" si="18"/>
        <v>-2.380599106</v>
      </c>
      <c r="AH676" s="73">
        <f t="shared" si="19"/>
        <v>-1.79320266</v>
      </c>
      <c r="AI676" s="73">
        <f t="shared" si="20"/>
        <v>-3.240190514</v>
      </c>
      <c r="AJ676" s="73">
        <f t="shared" si="21"/>
        <v>-1.329092151</v>
      </c>
      <c r="AK676" s="73">
        <f t="shared" si="22"/>
        <v>0</v>
      </c>
      <c r="AL676" s="73">
        <f t="shared" si="23"/>
        <v>0</v>
      </c>
      <c r="AM676" s="73">
        <f t="shared" si="24"/>
        <v>0.433638093</v>
      </c>
      <c r="AN676" s="120">
        <f t="shared" si="25"/>
        <v>-3.240190514</v>
      </c>
      <c r="AO676" s="120">
        <f t="shared" si="26"/>
        <v>-6.395549135</v>
      </c>
      <c r="AP676" s="120" t="str">
        <f t="array" ref="AP676">INDIRECT("Update"&amp;Projections!$AH$17&amp;"!S"&amp;ROW(B657))</f>
        <v/>
      </c>
      <c r="AQ676" s="120" t="str">
        <f t="array" ref="AQ676">INDIRECT("Update"&amp;Projections!$AH$17&amp;"!T"&amp;ROW(B657))</f>
        <v/>
      </c>
      <c r="AR676" s="100">
        <f t="shared" si="27"/>
        <v>-9.965301026</v>
      </c>
    </row>
    <row r="677">
      <c r="A677" t="str">
        <f t="shared" si="3"/>
        <v/>
      </c>
      <c r="B677" s="42">
        <f t="shared" si="4"/>
        <v>-3.155358621</v>
      </c>
      <c r="C677" s="43">
        <f t="shared" si="5"/>
        <v>-1.740686581</v>
      </c>
      <c r="D677" s="42">
        <f t="shared" si="6"/>
        <v>-2.380599106</v>
      </c>
      <c r="E677" s="42">
        <f t="shared" si="7"/>
        <v>-1.79320266</v>
      </c>
      <c r="F677" s="42">
        <f t="shared" si="8"/>
        <v>-3.240190514</v>
      </c>
      <c r="G677" s="42">
        <f t="shared" si="9"/>
        <v>-1.329092151</v>
      </c>
      <c r="H677" s="42">
        <f t="shared" si="10"/>
        <v>0</v>
      </c>
      <c r="I677" s="42" t="str">
        <f>UpdateHashtag!S675</f>
        <v/>
      </c>
      <c r="J677" s="47">
        <f t="shared" si="11"/>
        <v>0</v>
      </c>
      <c r="K677" s="48" t="str">
        <f>UpdateHashtag!T675</f>
        <v/>
      </c>
      <c r="L677" s="42">
        <f t="shared" si="12"/>
        <v>-1.734552372</v>
      </c>
      <c r="N677" s="100">
        <f t="shared" si="13"/>
        <v>401</v>
      </c>
      <c r="O677" s="94" t="str">
        <f t="array" ref="O677">INDIRECT("Update"&amp;Projections!$AH$17&amp;"!B"&amp;ROW(B658))</f>
        <v/>
      </c>
      <c r="P677" s="414" t="str">
        <f t="array" ref="P677">INDIRECT("Update"&amp;Projections!$AH$17&amp;"!C"&amp;ROW(B658))</f>
        <v/>
      </c>
      <c r="Q677" s="94" t="str">
        <f>UpdateHashtag!F707</f>
        <v/>
      </c>
      <c r="R677" s="105" t="str">
        <f t="array" ref="R677">INDIRECT("Update"&amp;Projections!$AH$17&amp;"!D"&amp;ROW(B658))</f>
        <v/>
      </c>
      <c r="S677" s="73">
        <f t="shared" si="14"/>
        <v>-9.965301026</v>
      </c>
      <c r="T677" s="73">
        <f>SUM(AE677:AM677)-IFERROR(IFS(Projections!$I$17,AN677,Projections!$J$17,AO677),"")</f>
        <v>-9.965301026</v>
      </c>
      <c r="U677" s="73">
        <f t="shared" si="15"/>
        <v>0</v>
      </c>
      <c r="V677" s="73" t="str">
        <f t="array" ref="V677">INDIRECT("Update"&amp;Projections!$AH$17&amp;"!M"&amp;ROW(B658))</f>
        <v/>
      </c>
      <c r="W677" s="73" t="str">
        <f t="array" ref="W677">INDIRECT("Update"&amp;Projections!$AH$17&amp;"!L"&amp;ROW(B658))</f>
        <v/>
      </c>
      <c r="X677" s="73" t="str">
        <f t="array" ref="X677">INDIRECT("Update"&amp;Projections!$AH$17&amp;"!N"&amp;ROW(B658))</f>
        <v/>
      </c>
      <c r="Y677" s="73" t="str">
        <f t="array" ref="Y677">INDIRECT("Update"&amp;Projections!$AH$17&amp;"!O"&amp;ROW(B658))</f>
        <v/>
      </c>
      <c r="Z677" s="73" t="str">
        <f t="array" ref="Z677">INDIRECT("Update"&amp;Projections!$AH$17&amp;"!P"&amp;ROW(B658))</f>
        <v/>
      </c>
      <c r="AA677" s="73" t="str">
        <f t="array" ref="AA677">INDIRECT("Update"&amp;Projections!$AH$17&amp;"!Q"&amp;ROW(B658))</f>
        <v/>
      </c>
      <c r="AB677" s="107" t="str">
        <f t="array" ref="AB677">INDIRECT("Update"&amp;Projections!$AH$17&amp;"!I"&amp;ROW(B658))</f>
        <v/>
      </c>
      <c r="AC677" s="107" t="str">
        <f t="array" ref="AC677">INDIRECT("Update"&amp;Projections!$AH$17&amp;"!K"&amp;ROW(B658))</f>
        <v/>
      </c>
      <c r="AD677" s="73" t="str">
        <f t="array" ref="AD677">INDIRECT("Update"&amp;Projections!$AH$17&amp;"!R"&amp;ROW(B658))</f>
        <v/>
      </c>
      <c r="AE677" s="73">
        <f t="shared" si="16"/>
        <v>-3.155358621</v>
      </c>
      <c r="AF677" s="73">
        <f t="shared" si="17"/>
        <v>-1.740686581</v>
      </c>
      <c r="AG677" s="73">
        <f t="shared" si="18"/>
        <v>-2.380599106</v>
      </c>
      <c r="AH677" s="73">
        <f t="shared" si="19"/>
        <v>-1.79320266</v>
      </c>
      <c r="AI677" s="73">
        <f t="shared" si="20"/>
        <v>-3.240190514</v>
      </c>
      <c r="AJ677" s="73">
        <f t="shared" si="21"/>
        <v>-1.329092151</v>
      </c>
      <c r="AK677" s="73">
        <f t="shared" si="22"/>
        <v>0</v>
      </c>
      <c r="AL677" s="73">
        <f t="shared" si="23"/>
        <v>0</v>
      </c>
      <c r="AM677" s="73">
        <f t="shared" si="24"/>
        <v>0.433638093</v>
      </c>
      <c r="AN677" s="120">
        <f t="shared" si="25"/>
        <v>-3.240190514</v>
      </c>
      <c r="AO677" s="120">
        <f t="shared" si="26"/>
        <v>-6.395549135</v>
      </c>
      <c r="AP677" s="120" t="str">
        <f t="array" ref="AP677">INDIRECT("Update"&amp;Projections!$AH$17&amp;"!S"&amp;ROW(B658))</f>
        <v/>
      </c>
      <c r="AQ677" s="120" t="str">
        <f t="array" ref="AQ677">INDIRECT("Update"&amp;Projections!$AH$17&amp;"!T"&amp;ROW(B658))</f>
        <v/>
      </c>
      <c r="AR677" s="100">
        <f t="shared" si="27"/>
        <v>-9.965301026</v>
      </c>
    </row>
    <row r="678">
      <c r="A678" t="str">
        <f t="shared" si="3"/>
        <v/>
      </c>
      <c r="B678" s="42">
        <f t="shared" si="4"/>
        <v>-3.155358621</v>
      </c>
      <c r="C678" s="43">
        <f t="shared" si="5"/>
        <v>-1.740686581</v>
      </c>
      <c r="D678" s="42">
        <f t="shared" si="6"/>
        <v>-2.380599106</v>
      </c>
      <c r="E678" s="42">
        <f t="shared" si="7"/>
        <v>-1.79320266</v>
      </c>
      <c r="F678" s="42">
        <f t="shared" si="8"/>
        <v>-3.240190514</v>
      </c>
      <c r="G678" s="42">
        <f t="shared" si="9"/>
        <v>-1.329092151</v>
      </c>
      <c r="H678" s="42">
        <f t="shared" si="10"/>
        <v>0</v>
      </c>
      <c r="I678" s="42" t="str">
        <f>UpdateHashtag!S676</f>
        <v/>
      </c>
      <c r="J678" s="47">
        <f t="shared" si="11"/>
        <v>0</v>
      </c>
      <c r="K678" s="48" t="str">
        <f>UpdateHashtag!T676</f>
        <v/>
      </c>
      <c r="L678" s="42">
        <f t="shared" si="12"/>
        <v>-1.734552372</v>
      </c>
      <c r="N678" s="100">
        <f t="shared" si="13"/>
        <v>401</v>
      </c>
      <c r="O678" s="94" t="str">
        <f t="array" ref="O678">INDIRECT("Update"&amp;Projections!$AH$17&amp;"!B"&amp;ROW(B659))</f>
        <v/>
      </c>
      <c r="P678" s="414" t="str">
        <f t="array" ref="P678">INDIRECT("Update"&amp;Projections!$AH$17&amp;"!C"&amp;ROW(B659))</f>
        <v/>
      </c>
      <c r="Q678" s="94" t="str">
        <f>UpdateHashtag!F708</f>
        <v/>
      </c>
      <c r="R678" s="105" t="str">
        <f t="array" ref="R678">INDIRECT("Update"&amp;Projections!$AH$17&amp;"!D"&amp;ROW(B659))</f>
        <v/>
      </c>
      <c r="S678" s="73">
        <f t="shared" si="14"/>
        <v>-9.965301026</v>
      </c>
      <c r="T678" s="73">
        <f>SUM(AE678:AM678)-IFERROR(IFS(Projections!$I$17,AN678,Projections!$J$17,AO678),"")</f>
        <v>-9.965301026</v>
      </c>
      <c r="U678" s="73">
        <f t="shared" si="15"/>
        <v>0</v>
      </c>
      <c r="V678" s="73" t="str">
        <f t="array" ref="V678">INDIRECT("Update"&amp;Projections!$AH$17&amp;"!M"&amp;ROW(B659))</f>
        <v/>
      </c>
      <c r="W678" s="73" t="str">
        <f t="array" ref="W678">INDIRECT("Update"&amp;Projections!$AH$17&amp;"!L"&amp;ROW(B659))</f>
        <v/>
      </c>
      <c r="X678" s="73" t="str">
        <f t="array" ref="X678">INDIRECT("Update"&amp;Projections!$AH$17&amp;"!N"&amp;ROW(B659))</f>
        <v/>
      </c>
      <c r="Y678" s="73" t="str">
        <f t="array" ref="Y678">INDIRECT("Update"&amp;Projections!$AH$17&amp;"!O"&amp;ROW(B659))</f>
        <v/>
      </c>
      <c r="Z678" s="73" t="str">
        <f t="array" ref="Z678">INDIRECT("Update"&amp;Projections!$AH$17&amp;"!P"&amp;ROW(B659))</f>
        <v/>
      </c>
      <c r="AA678" s="73" t="str">
        <f t="array" ref="AA678">INDIRECT("Update"&amp;Projections!$AH$17&amp;"!Q"&amp;ROW(B659))</f>
        <v/>
      </c>
      <c r="AB678" s="107" t="str">
        <f t="array" ref="AB678">INDIRECT("Update"&amp;Projections!$AH$17&amp;"!I"&amp;ROW(B659))</f>
        <v/>
      </c>
      <c r="AC678" s="107" t="str">
        <f t="array" ref="AC678">INDIRECT("Update"&amp;Projections!$AH$17&amp;"!K"&amp;ROW(B659))</f>
        <v/>
      </c>
      <c r="AD678" s="73" t="str">
        <f t="array" ref="AD678">INDIRECT("Update"&amp;Projections!$AH$17&amp;"!R"&amp;ROW(B659))</f>
        <v/>
      </c>
      <c r="AE678" s="73">
        <f t="shared" si="16"/>
        <v>-3.155358621</v>
      </c>
      <c r="AF678" s="73">
        <f t="shared" si="17"/>
        <v>-1.740686581</v>
      </c>
      <c r="AG678" s="73">
        <f t="shared" si="18"/>
        <v>-2.380599106</v>
      </c>
      <c r="AH678" s="73">
        <f t="shared" si="19"/>
        <v>-1.79320266</v>
      </c>
      <c r="AI678" s="73">
        <f t="shared" si="20"/>
        <v>-3.240190514</v>
      </c>
      <c r="AJ678" s="73">
        <f t="shared" si="21"/>
        <v>-1.329092151</v>
      </c>
      <c r="AK678" s="73">
        <f t="shared" si="22"/>
        <v>0</v>
      </c>
      <c r="AL678" s="73">
        <f t="shared" si="23"/>
        <v>0</v>
      </c>
      <c r="AM678" s="73">
        <f t="shared" si="24"/>
        <v>0.433638093</v>
      </c>
      <c r="AN678" s="120">
        <f t="shared" si="25"/>
        <v>-3.240190514</v>
      </c>
      <c r="AO678" s="120">
        <f t="shared" si="26"/>
        <v>-6.395549135</v>
      </c>
      <c r="AP678" s="120" t="str">
        <f t="array" ref="AP678">INDIRECT("Update"&amp;Projections!$AH$17&amp;"!S"&amp;ROW(B659))</f>
        <v/>
      </c>
      <c r="AQ678" s="120" t="str">
        <f t="array" ref="AQ678">INDIRECT("Update"&amp;Projections!$AH$17&amp;"!T"&amp;ROW(B659))</f>
        <v/>
      </c>
      <c r="AR678" s="100">
        <f t="shared" si="27"/>
        <v>-9.965301026</v>
      </c>
    </row>
    <row r="679">
      <c r="A679" t="str">
        <f t="shared" si="3"/>
        <v/>
      </c>
      <c r="B679" s="42">
        <f t="shared" si="4"/>
        <v>-3.155358621</v>
      </c>
      <c r="C679" s="43">
        <f t="shared" si="5"/>
        <v>-1.740686581</v>
      </c>
      <c r="D679" s="42">
        <f t="shared" si="6"/>
        <v>-2.380599106</v>
      </c>
      <c r="E679" s="42">
        <f t="shared" si="7"/>
        <v>-1.79320266</v>
      </c>
      <c r="F679" s="42">
        <f t="shared" si="8"/>
        <v>-3.240190514</v>
      </c>
      <c r="G679" s="42">
        <f t="shared" si="9"/>
        <v>-1.329092151</v>
      </c>
      <c r="H679" s="42">
        <f t="shared" si="10"/>
        <v>0</v>
      </c>
      <c r="I679" s="42" t="str">
        <f>UpdateHashtag!S677</f>
        <v/>
      </c>
      <c r="J679" s="47">
        <f t="shared" si="11"/>
        <v>0</v>
      </c>
      <c r="K679" s="48" t="str">
        <f>UpdateHashtag!T677</f>
        <v/>
      </c>
      <c r="L679" s="42">
        <f t="shared" si="12"/>
        <v>-1.734552372</v>
      </c>
      <c r="N679" s="100">
        <f t="shared" si="13"/>
        <v>401</v>
      </c>
      <c r="O679" s="94" t="str">
        <f t="array" ref="O679">INDIRECT("Update"&amp;Projections!$AH$17&amp;"!B"&amp;ROW(B660))</f>
        <v/>
      </c>
      <c r="P679" s="414" t="str">
        <f t="array" ref="P679">INDIRECT("Update"&amp;Projections!$AH$17&amp;"!C"&amp;ROW(B660))</f>
        <v/>
      </c>
      <c r="Q679" s="94" t="str">
        <f>UpdateHashtag!F709</f>
        <v/>
      </c>
      <c r="R679" s="105" t="str">
        <f t="array" ref="R679">INDIRECT("Update"&amp;Projections!$AH$17&amp;"!D"&amp;ROW(B660))</f>
        <v/>
      </c>
      <c r="S679" s="73">
        <f t="shared" si="14"/>
        <v>-9.965301026</v>
      </c>
      <c r="T679" s="73">
        <f>SUM(AE679:AM679)-IFERROR(IFS(Projections!$I$17,AN679,Projections!$J$17,AO679),"")</f>
        <v>-9.965301026</v>
      </c>
      <c r="U679" s="73">
        <f t="shared" si="15"/>
        <v>0</v>
      </c>
      <c r="V679" s="73" t="str">
        <f t="array" ref="V679">INDIRECT("Update"&amp;Projections!$AH$17&amp;"!M"&amp;ROW(B660))</f>
        <v/>
      </c>
      <c r="W679" s="73" t="str">
        <f t="array" ref="W679">INDIRECT("Update"&amp;Projections!$AH$17&amp;"!L"&amp;ROW(B660))</f>
        <v/>
      </c>
      <c r="X679" s="73" t="str">
        <f t="array" ref="X679">INDIRECT("Update"&amp;Projections!$AH$17&amp;"!N"&amp;ROW(B660))</f>
        <v/>
      </c>
      <c r="Y679" s="73" t="str">
        <f t="array" ref="Y679">INDIRECT("Update"&amp;Projections!$AH$17&amp;"!O"&amp;ROW(B660))</f>
        <v/>
      </c>
      <c r="Z679" s="73" t="str">
        <f t="array" ref="Z679">INDIRECT("Update"&amp;Projections!$AH$17&amp;"!P"&amp;ROW(B660))</f>
        <v/>
      </c>
      <c r="AA679" s="73" t="str">
        <f t="array" ref="AA679">INDIRECT("Update"&amp;Projections!$AH$17&amp;"!Q"&amp;ROW(B660))</f>
        <v/>
      </c>
      <c r="AB679" s="107" t="str">
        <f t="array" ref="AB679">INDIRECT("Update"&amp;Projections!$AH$17&amp;"!I"&amp;ROW(B660))</f>
        <v/>
      </c>
      <c r="AC679" s="107" t="str">
        <f t="array" ref="AC679">INDIRECT("Update"&amp;Projections!$AH$17&amp;"!K"&amp;ROW(B660))</f>
        <v/>
      </c>
      <c r="AD679" s="73" t="str">
        <f t="array" ref="AD679">INDIRECT("Update"&amp;Projections!$AH$17&amp;"!R"&amp;ROW(B660))</f>
        <v/>
      </c>
      <c r="AE679" s="73">
        <f t="shared" si="16"/>
        <v>-3.155358621</v>
      </c>
      <c r="AF679" s="73">
        <f t="shared" si="17"/>
        <v>-1.740686581</v>
      </c>
      <c r="AG679" s="73">
        <f t="shared" si="18"/>
        <v>-2.380599106</v>
      </c>
      <c r="AH679" s="73">
        <f t="shared" si="19"/>
        <v>-1.79320266</v>
      </c>
      <c r="AI679" s="73">
        <f t="shared" si="20"/>
        <v>-3.240190514</v>
      </c>
      <c r="AJ679" s="73">
        <f t="shared" si="21"/>
        <v>-1.329092151</v>
      </c>
      <c r="AK679" s="73">
        <f t="shared" si="22"/>
        <v>0</v>
      </c>
      <c r="AL679" s="73">
        <f t="shared" si="23"/>
        <v>0</v>
      </c>
      <c r="AM679" s="73">
        <f t="shared" si="24"/>
        <v>0.433638093</v>
      </c>
      <c r="AN679" s="120">
        <f t="shared" si="25"/>
        <v>-3.240190514</v>
      </c>
      <c r="AO679" s="120">
        <f t="shared" si="26"/>
        <v>-6.395549135</v>
      </c>
      <c r="AP679" s="120" t="str">
        <f t="array" ref="AP679">INDIRECT("Update"&amp;Projections!$AH$17&amp;"!S"&amp;ROW(B660))</f>
        <v/>
      </c>
      <c r="AQ679" s="120" t="str">
        <f t="array" ref="AQ679">INDIRECT("Update"&amp;Projections!$AH$17&amp;"!T"&amp;ROW(B660))</f>
        <v/>
      </c>
      <c r="AR679" s="100">
        <f t="shared" si="27"/>
        <v>-9.965301026</v>
      </c>
    </row>
    <row r="680">
      <c r="A680" t="str">
        <f t="shared" si="3"/>
        <v/>
      </c>
      <c r="B680" s="42">
        <f t="shared" si="4"/>
        <v>-3.155358621</v>
      </c>
      <c r="C680" s="43">
        <f t="shared" si="5"/>
        <v>-1.740686581</v>
      </c>
      <c r="D680" s="42">
        <f t="shared" si="6"/>
        <v>-2.380599106</v>
      </c>
      <c r="E680" s="42">
        <f t="shared" si="7"/>
        <v>-1.79320266</v>
      </c>
      <c r="F680" s="42">
        <f t="shared" si="8"/>
        <v>-3.240190514</v>
      </c>
      <c r="G680" s="42">
        <f t="shared" si="9"/>
        <v>-1.329092151</v>
      </c>
      <c r="H680" s="42">
        <f t="shared" si="10"/>
        <v>0</v>
      </c>
      <c r="I680" s="42" t="str">
        <f>UpdateHashtag!S678</f>
        <v/>
      </c>
      <c r="J680" s="47">
        <f t="shared" si="11"/>
        <v>0</v>
      </c>
      <c r="K680" s="48" t="str">
        <f>UpdateHashtag!T678</f>
        <v/>
      </c>
      <c r="L680" s="42">
        <f t="shared" si="12"/>
        <v>-1.734552372</v>
      </c>
      <c r="N680" s="100">
        <f t="shared" si="13"/>
        <v>401</v>
      </c>
      <c r="O680" s="94" t="str">
        <f t="array" ref="O680">INDIRECT("Update"&amp;Projections!$AH$17&amp;"!B"&amp;ROW(B661))</f>
        <v/>
      </c>
      <c r="P680" s="414" t="str">
        <f t="array" ref="P680">INDIRECT("Update"&amp;Projections!$AH$17&amp;"!C"&amp;ROW(B661))</f>
        <v/>
      </c>
      <c r="Q680" s="94" t="str">
        <f>UpdateHashtag!F710</f>
        <v/>
      </c>
      <c r="R680" s="105" t="str">
        <f t="array" ref="R680">INDIRECT("Update"&amp;Projections!$AH$17&amp;"!D"&amp;ROW(B661))</f>
        <v/>
      </c>
      <c r="S680" s="73">
        <f t="shared" si="14"/>
        <v>-9.965301026</v>
      </c>
      <c r="T680" s="73">
        <f>SUM(AE680:AM680)-IFERROR(IFS(Projections!$I$17,AN680,Projections!$J$17,AO680),"")</f>
        <v>-9.965301026</v>
      </c>
      <c r="U680" s="73">
        <f t="shared" si="15"/>
        <v>0</v>
      </c>
      <c r="V680" s="73" t="str">
        <f t="array" ref="V680">INDIRECT("Update"&amp;Projections!$AH$17&amp;"!M"&amp;ROW(B661))</f>
        <v/>
      </c>
      <c r="W680" s="73" t="str">
        <f t="array" ref="W680">INDIRECT("Update"&amp;Projections!$AH$17&amp;"!L"&amp;ROW(B661))</f>
        <v/>
      </c>
      <c r="X680" s="73" t="str">
        <f t="array" ref="X680">INDIRECT("Update"&amp;Projections!$AH$17&amp;"!N"&amp;ROW(B661))</f>
        <v/>
      </c>
      <c r="Y680" s="73" t="str">
        <f t="array" ref="Y680">INDIRECT("Update"&amp;Projections!$AH$17&amp;"!O"&amp;ROW(B661))</f>
        <v/>
      </c>
      <c r="Z680" s="73" t="str">
        <f t="array" ref="Z680">INDIRECT("Update"&amp;Projections!$AH$17&amp;"!P"&amp;ROW(B661))</f>
        <v/>
      </c>
      <c r="AA680" s="73" t="str">
        <f t="array" ref="AA680">INDIRECT("Update"&amp;Projections!$AH$17&amp;"!Q"&amp;ROW(B661))</f>
        <v/>
      </c>
      <c r="AB680" s="107" t="str">
        <f t="array" ref="AB680">INDIRECT("Update"&amp;Projections!$AH$17&amp;"!I"&amp;ROW(B661))</f>
        <v/>
      </c>
      <c r="AC680" s="107" t="str">
        <f t="array" ref="AC680">INDIRECT("Update"&amp;Projections!$AH$17&amp;"!K"&amp;ROW(B661))</f>
        <v/>
      </c>
      <c r="AD680" s="73" t="str">
        <f t="array" ref="AD680">INDIRECT("Update"&amp;Projections!$AH$17&amp;"!R"&amp;ROW(B661))</f>
        <v/>
      </c>
      <c r="AE680" s="73">
        <f t="shared" si="16"/>
        <v>-3.155358621</v>
      </c>
      <c r="AF680" s="73">
        <f t="shared" si="17"/>
        <v>-1.740686581</v>
      </c>
      <c r="AG680" s="73">
        <f t="shared" si="18"/>
        <v>-2.380599106</v>
      </c>
      <c r="AH680" s="73">
        <f t="shared" si="19"/>
        <v>-1.79320266</v>
      </c>
      <c r="AI680" s="73">
        <f t="shared" si="20"/>
        <v>-3.240190514</v>
      </c>
      <c r="AJ680" s="73">
        <f t="shared" si="21"/>
        <v>-1.329092151</v>
      </c>
      <c r="AK680" s="73">
        <f t="shared" si="22"/>
        <v>0</v>
      </c>
      <c r="AL680" s="73">
        <f t="shared" si="23"/>
        <v>0</v>
      </c>
      <c r="AM680" s="73">
        <f t="shared" si="24"/>
        <v>0.433638093</v>
      </c>
      <c r="AN680" s="120">
        <f t="shared" si="25"/>
        <v>-3.240190514</v>
      </c>
      <c r="AO680" s="120">
        <f t="shared" si="26"/>
        <v>-6.395549135</v>
      </c>
      <c r="AP680" s="120" t="str">
        <f t="array" ref="AP680">INDIRECT("Update"&amp;Projections!$AH$17&amp;"!S"&amp;ROW(B661))</f>
        <v/>
      </c>
      <c r="AQ680" s="120" t="str">
        <f t="array" ref="AQ680">INDIRECT("Update"&amp;Projections!$AH$17&amp;"!T"&amp;ROW(B661))</f>
        <v/>
      </c>
      <c r="AR680" s="100">
        <f t="shared" si="27"/>
        <v>-9.965301026</v>
      </c>
    </row>
    <row r="681">
      <c r="A681" t="str">
        <f t="shared" si="3"/>
        <v/>
      </c>
      <c r="B681" s="42">
        <f t="shared" si="4"/>
        <v>-3.155358621</v>
      </c>
      <c r="C681" s="43">
        <f t="shared" si="5"/>
        <v>-1.740686581</v>
      </c>
      <c r="D681" s="42">
        <f t="shared" si="6"/>
        <v>-2.380599106</v>
      </c>
      <c r="E681" s="42">
        <f t="shared" si="7"/>
        <v>-1.79320266</v>
      </c>
      <c r="F681" s="42">
        <f t="shared" si="8"/>
        <v>-3.240190514</v>
      </c>
      <c r="G681" s="42">
        <f t="shared" si="9"/>
        <v>-1.329092151</v>
      </c>
      <c r="H681" s="42">
        <f t="shared" si="10"/>
        <v>0</v>
      </c>
      <c r="I681" s="42" t="str">
        <f>UpdateHashtag!S679</f>
        <v/>
      </c>
      <c r="J681" s="47">
        <f t="shared" si="11"/>
        <v>0</v>
      </c>
      <c r="K681" s="48" t="str">
        <f>UpdateHashtag!T679</f>
        <v/>
      </c>
      <c r="L681" s="42">
        <f t="shared" si="12"/>
        <v>-1.734552372</v>
      </c>
      <c r="N681" s="100">
        <f t="shared" si="13"/>
        <v>401</v>
      </c>
      <c r="O681" s="94" t="str">
        <f t="array" ref="O681">INDIRECT("Update"&amp;Projections!$AH$17&amp;"!B"&amp;ROW(B662))</f>
        <v/>
      </c>
      <c r="P681" s="414" t="str">
        <f t="array" ref="P681">INDIRECT("Update"&amp;Projections!$AH$17&amp;"!C"&amp;ROW(B662))</f>
        <v/>
      </c>
      <c r="Q681" s="94" t="str">
        <f>UpdateHashtag!F711</f>
        <v/>
      </c>
      <c r="R681" s="105" t="str">
        <f t="array" ref="R681">INDIRECT("Update"&amp;Projections!$AH$17&amp;"!D"&amp;ROW(B662))</f>
        <v/>
      </c>
      <c r="S681" s="73">
        <f t="shared" si="14"/>
        <v>-9.965301026</v>
      </c>
      <c r="T681" s="73">
        <f>SUM(AE681:AM681)-IFERROR(IFS(Projections!$I$17,AN681,Projections!$J$17,AO681),"")</f>
        <v>-9.965301026</v>
      </c>
      <c r="U681" s="73">
        <f t="shared" si="15"/>
        <v>0</v>
      </c>
      <c r="V681" s="73" t="str">
        <f t="array" ref="V681">INDIRECT("Update"&amp;Projections!$AH$17&amp;"!M"&amp;ROW(B662))</f>
        <v/>
      </c>
      <c r="W681" s="73" t="str">
        <f t="array" ref="W681">INDIRECT("Update"&amp;Projections!$AH$17&amp;"!L"&amp;ROW(B662))</f>
        <v/>
      </c>
      <c r="X681" s="73" t="str">
        <f t="array" ref="X681">INDIRECT("Update"&amp;Projections!$AH$17&amp;"!N"&amp;ROW(B662))</f>
        <v/>
      </c>
      <c r="Y681" s="73" t="str">
        <f t="array" ref="Y681">INDIRECT("Update"&amp;Projections!$AH$17&amp;"!O"&amp;ROW(B662))</f>
        <v/>
      </c>
      <c r="Z681" s="73" t="str">
        <f t="array" ref="Z681">INDIRECT("Update"&amp;Projections!$AH$17&amp;"!P"&amp;ROW(B662))</f>
        <v/>
      </c>
      <c r="AA681" s="73" t="str">
        <f t="array" ref="AA681">INDIRECT("Update"&amp;Projections!$AH$17&amp;"!Q"&amp;ROW(B662))</f>
        <v/>
      </c>
      <c r="AB681" s="107" t="str">
        <f t="array" ref="AB681">INDIRECT("Update"&amp;Projections!$AH$17&amp;"!I"&amp;ROW(B662))</f>
        <v/>
      </c>
      <c r="AC681" s="107" t="str">
        <f t="array" ref="AC681">INDIRECT("Update"&amp;Projections!$AH$17&amp;"!K"&amp;ROW(B662))</f>
        <v/>
      </c>
      <c r="AD681" s="73" t="str">
        <f t="array" ref="AD681">INDIRECT("Update"&amp;Projections!$AH$17&amp;"!R"&amp;ROW(B662))</f>
        <v/>
      </c>
      <c r="AE681" s="73">
        <f t="shared" si="16"/>
        <v>-3.155358621</v>
      </c>
      <c r="AF681" s="73">
        <f t="shared" si="17"/>
        <v>-1.740686581</v>
      </c>
      <c r="AG681" s="73">
        <f t="shared" si="18"/>
        <v>-2.380599106</v>
      </c>
      <c r="AH681" s="73">
        <f t="shared" si="19"/>
        <v>-1.79320266</v>
      </c>
      <c r="AI681" s="73">
        <f t="shared" si="20"/>
        <v>-3.240190514</v>
      </c>
      <c r="AJ681" s="73">
        <f t="shared" si="21"/>
        <v>-1.329092151</v>
      </c>
      <c r="AK681" s="73">
        <f t="shared" si="22"/>
        <v>0</v>
      </c>
      <c r="AL681" s="73">
        <f t="shared" si="23"/>
        <v>0</v>
      </c>
      <c r="AM681" s="73">
        <f t="shared" si="24"/>
        <v>0.433638093</v>
      </c>
      <c r="AN681" s="120">
        <f t="shared" si="25"/>
        <v>-3.240190514</v>
      </c>
      <c r="AO681" s="120">
        <f t="shared" si="26"/>
        <v>-6.395549135</v>
      </c>
      <c r="AP681" s="120" t="str">
        <f t="array" ref="AP681">INDIRECT("Update"&amp;Projections!$AH$17&amp;"!S"&amp;ROW(B662))</f>
        <v/>
      </c>
      <c r="AQ681" s="120" t="str">
        <f t="array" ref="AQ681">INDIRECT("Update"&amp;Projections!$AH$17&amp;"!T"&amp;ROW(B662))</f>
        <v/>
      </c>
      <c r="AR681" s="100">
        <f t="shared" si="27"/>
        <v>-9.965301026</v>
      </c>
    </row>
    <row r="682">
      <c r="A682" t="str">
        <f t="shared" si="3"/>
        <v/>
      </c>
      <c r="B682" s="42">
        <f t="shared" si="4"/>
        <v>-3.155358621</v>
      </c>
      <c r="C682" s="43">
        <f t="shared" si="5"/>
        <v>-1.740686581</v>
      </c>
      <c r="D682" s="42">
        <f t="shared" si="6"/>
        <v>-2.380599106</v>
      </c>
      <c r="E682" s="42">
        <f t="shared" si="7"/>
        <v>-1.79320266</v>
      </c>
      <c r="F682" s="42">
        <f t="shared" si="8"/>
        <v>-3.240190514</v>
      </c>
      <c r="G682" s="42">
        <f t="shared" si="9"/>
        <v>-1.329092151</v>
      </c>
      <c r="H682" s="42">
        <f t="shared" si="10"/>
        <v>0</v>
      </c>
      <c r="I682" s="42" t="str">
        <f>UpdateHashtag!S680</f>
        <v/>
      </c>
      <c r="J682" s="47">
        <f t="shared" si="11"/>
        <v>0</v>
      </c>
      <c r="K682" s="48" t="str">
        <f>UpdateHashtag!T680</f>
        <v/>
      </c>
      <c r="L682" s="42">
        <f t="shared" si="12"/>
        <v>-1.734552372</v>
      </c>
      <c r="N682" s="100">
        <f t="shared" si="13"/>
        <v>401</v>
      </c>
      <c r="O682" s="94" t="str">
        <f t="array" ref="O682">INDIRECT("Update"&amp;Projections!$AH$17&amp;"!B"&amp;ROW(B663))</f>
        <v/>
      </c>
      <c r="P682" s="414" t="str">
        <f t="array" ref="P682">INDIRECT("Update"&amp;Projections!$AH$17&amp;"!C"&amp;ROW(B663))</f>
        <v/>
      </c>
      <c r="Q682" s="94" t="str">
        <f>UpdateHashtag!F712</f>
        <v/>
      </c>
      <c r="R682" s="105" t="str">
        <f t="array" ref="R682">INDIRECT("Update"&amp;Projections!$AH$17&amp;"!D"&amp;ROW(B663))</f>
        <v/>
      </c>
      <c r="S682" s="73">
        <f t="shared" si="14"/>
        <v>-9.965301026</v>
      </c>
      <c r="T682" s="73">
        <f>SUM(AE682:AM682)-IFERROR(IFS(Projections!$I$17,AN682,Projections!$J$17,AO682),"")</f>
        <v>-9.965301026</v>
      </c>
      <c r="U682" s="73">
        <f t="shared" si="15"/>
        <v>0</v>
      </c>
      <c r="V682" s="73" t="str">
        <f t="array" ref="V682">INDIRECT("Update"&amp;Projections!$AH$17&amp;"!M"&amp;ROW(B663))</f>
        <v/>
      </c>
      <c r="W682" s="73" t="str">
        <f t="array" ref="W682">INDIRECT("Update"&amp;Projections!$AH$17&amp;"!L"&amp;ROW(B663))</f>
        <v/>
      </c>
      <c r="X682" s="73" t="str">
        <f t="array" ref="X682">INDIRECT("Update"&amp;Projections!$AH$17&amp;"!N"&amp;ROW(B663))</f>
        <v/>
      </c>
      <c r="Y682" s="73" t="str">
        <f t="array" ref="Y682">INDIRECT("Update"&amp;Projections!$AH$17&amp;"!O"&amp;ROW(B663))</f>
        <v/>
      </c>
      <c r="Z682" s="73" t="str">
        <f t="array" ref="Z682">INDIRECT("Update"&amp;Projections!$AH$17&amp;"!P"&amp;ROW(B663))</f>
        <v/>
      </c>
      <c r="AA682" s="73" t="str">
        <f t="array" ref="AA682">INDIRECT("Update"&amp;Projections!$AH$17&amp;"!Q"&amp;ROW(B663))</f>
        <v/>
      </c>
      <c r="AB682" s="107" t="str">
        <f t="array" ref="AB682">INDIRECT("Update"&amp;Projections!$AH$17&amp;"!I"&amp;ROW(B663))</f>
        <v/>
      </c>
      <c r="AC682" s="107" t="str">
        <f t="array" ref="AC682">INDIRECT("Update"&amp;Projections!$AH$17&amp;"!K"&amp;ROW(B663))</f>
        <v/>
      </c>
      <c r="AD682" s="73" t="str">
        <f t="array" ref="AD682">INDIRECT("Update"&amp;Projections!$AH$17&amp;"!R"&amp;ROW(B663))</f>
        <v/>
      </c>
      <c r="AE682" s="73">
        <f t="shared" si="16"/>
        <v>-3.155358621</v>
      </c>
      <c r="AF682" s="73">
        <f t="shared" si="17"/>
        <v>-1.740686581</v>
      </c>
      <c r="AG682" s="73">
        <f t="shared" si="18"/>
        <v>-2.380599106</v>
      </c>
      <c r="AH682" s="73">
        <f t="shared" si="19"/>
        <v>-1.79320266</v>
      </c>
      <c r="AI682" s="73">
        <f t="shared" si="20"/>
        <v>-3.240190514</v>
      </c>
      <c r="AJ682" s="73">
        <f t="shared" si="21"/>
        <v>-1.329092151</v>
      </c>
      <c r="AK682" s="73">
        <f t="shared" si="22"/>
        <v>0</v>
      </c>
      <c r="AL682" s="73">
        <f t="shared" si="23"/>
        <v>0</v>
      </c>
      <c r="AM682" s="73">
        <f t="shared" si="24"/>
        <v>0.433638093</v>
      </c>
      <c r="AN682" s="120">
        <f t="shared" si="25"/>
        <v>-3.240190514</v>
      </c>
      <c r="AO682" s="120">
        <f t="shared" si="26"/>
        <v>-6.395549135</v>
      </c>
      <c r="AP682" s="120" t="str">
        <f t="array" ref="AP682">INDIRECT("Update"&amp;Projections!$AH$17&amp;"!S"&amp;ROW(B663))</f>
        <v/>
      </c>
      <c r="AQ682" s="120" t="str">
        <f t="array" ref="AQ682">INDIRECT("Update"&amp;Projections!$AH$17&amp;"!T"&amp;ROW(B663))</f>
        <v/>
      </c>
      <c r="AR682" s="100">
        <f t="shared" si="27"/>
        <v>-9.965301026</v>
      </c>
    </row>
    <row r="683">
      <c r="A683" t="str">
        <f t="shared" si="3"/>
        <v/>
      </c>
      <c r="B683" s="42">
        <f t="shared" si="4"/>
        <v>-3.155358621</v>
      </c>
      <c r="C683" s="43">
        <f t="shared" si="5"/>
        <v>-1.740686581</v>
      </c>
      <c r="D683" s="42">
        <f t="shared" si="6"/>
        <v>-2.380599106</v>
      </c>
      <c r="E683" s="42">
        <f t="shared" si="7"/>
        <v>-1.79320266</v>
      </c>
      <c r="F683" s="42">
        <f t="shared" si="8"/>
        <v>-3.240190514</v>
      </c>
      <c r="G683" s="42">
        <f t="shared" si="9"/>
        <v>-1.329092151</v>
      </c>
      <c r="H683" s="42">
        <f t="shared" si="10"/>
        <v>0</v>
      </c>
      <c r="I683" s="42" t="str">
        <f>UpdateHashtag!S681</f>
        <v/>
      </c>
      <c r="J683" s="47">
        <f t="shared" si="11"/>
        <v>0</v>
      </c>
      <c r="K683" s="48" t="str">
        <f>UpdateHashtag!T681</f>
        <v/>
      </c>
      <c r="L683" s="42">
        <f t="shared" si="12"/>
        <v>-1.734552372</v>
      </c>
      <c r="N683" s="100">
        <f t="shared" si="13"/>
        <v>401</v>
      </c>
      <c r="O683" s="94" t="str">
        <f t="array" ref="O683">INDIRECT("Update"&amp;Projections!$AH$17&amp;"!B"&amp;ROW(B664))</f>
        <v/>
      </c>
      <c r="P683" s="414" t="str">
        <f t="array" ref="P683">INDIRECT("Update"&amp;Projections!$AH$17&amp;"!C"&amp;ROW(B664))</f>
        <v/>
      </c>
      <c r="Q683" s="94" t="str">
        <f>UpdateHashtag!F713</f>
        <v/>
      </c>
      <c r="R683" s="105" t="str">
        <f t="array" ref="R683">INDIRECT("Update"&amp;Projections!$AH$17&amp;"!D"&amp;ROW(B664))</f>
        <v/>
      </c>
      <c r="S683" s="73">
        <f t="shared" si="14"/>
        <v>-9.965301026</v>
      </c>
      <c r="T683" s="73">
        <f>SUM(AE683:AM683)-IFERROR(IFS(Projections!$I$17,AN683,Projections!$J$17,AO683),"")</f>
        <v>-9.965301026</v>
      </c>
      <c r="U683" s="73">
        <f t="shared" si="15"/>
        <v>0</v>
      </c>
      <c r="V683" s="73" t="str">
        <f t="array" ref="V683">INDIRECT("Update"&amp;Projections!$AH$17&amp;"!M"&amp;ROW(B664))</f>
        <v/>
      </c>
      <c r="W683" s="73" t="str">
        <f t="array" ref="W683">INDIRECT("Update"&amp;Projections!$AH$17&amp;"!L"&amp;ROW(B664))</f>
        <v/>
      </c>
      <c r="X683" s="73" t="str">
        <f t="array" ref="X683">INDIRECT("Update"&amp;Projections!$AH$17&amp;"!N"&amp;ROW(B664))</f>
        <v/>
      </c>
      <c r="Y683" s="73" t="str">
        <f t="array" ref="Y683">INDIRECT("Update"&amp;Projections!$AH$17&amp;"!O"&amp;ROW(B664))</f>
        <v/>
      </c>
      <c r="Z683" s="73" t="str">
        <f t="array" ref="Z683">INDIRECT("Update"&amp;Projections!$AH$17&amp;"!P"&amp;ROW(B664))</f>
        <v/>
      </c>
      <c r="AA683" s="73" t="str">
        <f t="array" ref="AA683">INDIRECT("Update"&amp;Projections!$AH$17&amp;"!Q"&amp;ROW(B664))</f>
        <v/>
      </c>
      <c r="AB683" s="107" t="str">
        <f t="array" ref="AB683">INDIRECT("Update"&amp;Projections!$AH$17&amp;"!I"&amp;ROW(B664))</f>
        <v/>
      </c>
      <c r="AC683" s="107" t="str">
        <f t="array" ref="AC683">INDIRECT("Update"&amp;Projections!$AH$17&amp;"!K"&amp;ROW(B664))</f>
        <v/>
      </c>
      <c r="AD683" s="73" t="str">
        <f t="array" ref="AD683">INDIRECT("Update"&amp;Projections!$AH$17&amp;"!R"&amp;ROW(B664))</f>
        <v/>
      </c>
      <c r="AE683" s="73">
        <f t="shared" si="16"/>
        <v>-3.155358621</v>
      </c>
      <c r="AF683" s="73">
        <f t="shared" si="17"/>
        <v>-1.740686581</v>
      </c>
      <c r="AG683" s="73">
        <f t="shared" si="18"/>
        <v>-2.380599106</v>
      </c>
      <c r="AH683" s="73">
        <f t="shared" si="19"/>
        <v>-1.79320266</v>
      </c>
      <c r="AI683" s="73">
        <f t="shared" si="20"/>
        <v>-3.240190514</v>
      </c>
      <c r="AJ683" s="73">
        <f t="shared" si="21"/>
        <v>-1.329092151</v>
      </c>
      <c r="AK683" s="73">
        <f t="shared" si="22"/>
        <v>0</v>
      </c>
      <c r="AL683" s="73">
        <f t="shared" si="23"/>
        <v>0</v>
      </c>
      <c r="AM683" s="73">
        <f t="shared" si="24"/>
        <v>0.433638093</v>
      </c>
      <c r="AN683" s="120">
        <f t="shared" si="25"/>
        <v>-3.240190514</v>
      </c>
      <c r="AO683" s="120">
        <f t="shared" si="26"/>
        <v>-6.395549135</v>
      </c>
      <c r="AP683" s="120" t="str">
        <f t="array" ref="AP683">INDIRECT("Update"&amp;Projections!$AH$17&amp;"!S"&amp;ROW(B664))</f>
        <v/>
      </c>
      <c r="AQ683" s="120" t="str">
        <f t="array" ref="AQ683">INDIRECT("Update"&amp;Projections!$AH$17&amp;"!T"&amp;ROW(B664))</f>
        <v/>
      </c>
      <c r="AR683" s="100">
        <f t="shared" si="27"/>
        <v>-9.965301026</v>
      </c>
    </row>
    <row r="684">
      <c r="A684" t="str">
        <f t="shared" si="3"/>
        <v/>
      </c>
      <c r="B684" s="42">
        <f t="shared" si="4"/>
        <v>-3.155358621</v>
      </c>
      <c r="C684" s="43">
        <f t="shared" si="5"/>
        <v>-1.740686581</v>
      </c>
      <c r="D684" s="42">
        <f t="shared" si="6"/>
        <v>-2.380599106</v>
      </c>
      <c r="E684" s="42">
        <f t="shared" si="7"/>
        <v>-1.79320266</v>
      </c>
      <c r="F684" s="42">
        <f t="shared" si="8"/>
        <v>-3.240190514</v>
      </c>
      <c r="G684" s="42">
        <f t="shared" si="9"/>
        <v>-1.329092151</v>
      </c>
      <c r="H684" s="42">
        <f t="shared" si="10"/>
        <v>0</v>
      </c>
      <c r="I684" s="42" t="str">
        <f>UpdateHashtag!S682</f>
        <v/>
      </c>
      <c r="J684" s="47">
        <f t="shared" si="11"/>
        <v>0</v>
      </c>
      <c r="K684" s="48" t="str">
        <f>UpdateHashtag!T682</f>
        <v/>
      </c>
      <c r="L684" s="42">
        <f t="shared" si="12"/>
        <v>-1.734552372</v>
      </c>
      <c r="N684" s="100">
        <f t="shared" si="13"/>
        <v>401</v>
      </c>
      <c r="O684" s="94" t="str">
        <f t="array" ref="O684">INDIRECT("Update"&amp;Projections!$AH$17&amp;"!B"&amp;ROW(B665))</f>
        <v/>
      </c>
      <c r="P684" s="414" t="str">
        <f t="array" ref="P684">INDIRECT("Update"&amp;Projections!$AH$17&amp;"!C"&amp;ROW(B665))</f>
        <v/>
      </c>
      <c r="Q684" s="94" t="str">
        <f>UpdateHashtag!F714</f>
        <v/>
      </c>
      <c r="R684" s="105" t="str">
        <f t="array" ref="R684">INDIRECT("Update"&amp;Projections!$AH$17&amp;"!D"&amp;ROW(B665))</f>
        <v/>
      </c>
      <c r="S684" s="73">
        <f t="shared" si="14"/>
        <v>-9.965301026</v>
      </c>
      <c r="T684" s="73">
        <f>SUM(AE684:AM684)-IFERROR(IFS(Projections!$I$17,AN684,Projections!$J$17,AO684),"")</f>
        <v>-9.965301026</v>
      </c>
      <c r="U684" s="73">
        <f t="shared" si="15"/>
        <v>0</v>
      </c>
      <c r="V684" s="73" t="str">
        <f t="array" ref="V684">INDIRECT("Update"&amp;Projections!$AH$17&amp;"!M"&amp;ROW(B665))</f>
        <v/>
      </c>
      <c r="W684" s="73" t="str">
        <f t="array" ref="W684">INDIRECT("Update"&amp;Projections!$AH$17&amp;"!L"&amp;ROW(B665))</f>
        <v/>
      </c>
      <c r="X684" s="73" t="str">
        <f t="array" ref="X684">INDIRECT("Update"&amp;Projections!$AH$17&amp;"!N"&amp;ROW(B665))</f>
        <v/>
      </c>
      <c r="Y684" s="73" t="str">
        <f t="array" ref="Y684">INDIRECT("Update"&amp;Projections!$AH$17&amp;"!O"&amp;ROW(B665))</f>
        <v/>
      </c>
      <c r="Z684" s="73" t="str">
        <f t="array" ref="Z684">INDIRECT("Update"&amp;Projections!$AH$17&amp;"!P"&amp;ROW(B665))</f>
        <v/>
      </c>
      <c r="AA684" s="73" t="str">
        <f t="array" ref="AA684">INDIRECT("Update"&amp;Projections!$AH$17&amp;"!Q"&amp;ROW(B665))</f>
        <v/>
      </c>
      <c r="AB684" s="107" t="str">
        <f t="array" ref="AB684">INDIRECT("Update"&amp;Projections!$AH$17&amp;"!I"&amp;ROW(B665))</f>
        <v/>
      </c>
      <c r="AC684" s="107" t="str">
        <f t="array" ref="AC684">INDIRECT("Update"&amp;Projections!$AH$17&amp;"!K"&amp;ROW(B665))</f>
        <v/>
      </c>
      <c r="AD684" s="73" t="str">
        <f t="array" ref="AD684">INDIRECT("Update"&amp;Projections!$AH$17&amp;"!R"&amp;ROW(B665))</f>
        <v/>
      </c>
      <c r="AE684" s="73">
        <f t="shared" si="16"/>
        <v>-3.155358621</v>
      </c>
      <c r="AF684" s="73">
        <f t="shared" si="17"/>
        <v>-1.740686581</v>
      </c>
      <c r="AG684" s="73">
        <f t="shared" si="18"/>
        <v>-2.380599106</v>
      </c>
      <c r="AH684" s="73">
        <f t="shared" si="19"/>
        <v>-1.79320266</v>
      </c>
      <c r="AI684" s="73">
        <f t="shared" si="20"/>
        <v>-3.240190514</v>
      </c>
      <c r="AJ684" s="73">
        <f t="shared" si="21"/>
        <v>-1.329092151</v>
      </c>
      <c r="AK684" s="73">
        <f t="shared" si="22"/>
        <v>0</v>
      </c>
      <c r="AL684" s="73">
        <f t="shared" si="23"/>
        <v>0</v>
      </c>
      <c r="AM684" s="73">
        <f t="shared" si="24"/>
        <v>0.433638093</v>
      </c>
      <c r="AN684" s="120">
        <f t="shared" si="25"/>
        <v>-3.240190514</v>
      </c>
      <c r="AO684" s="120">
        <f t="shared" si="26"/>
        <v>-6.395549135</v>
      </c>
      <c r="AP684" s="120" t="str">
        <f t="array" ref="AP684">INDIRECT("Update"&amp;Projections!$AH$17&amp;"!S"&amp;ROW(B665))</f>
        <v/>
      </c>
      <c r="AQ684" s="120" t="str">
        <f t="array" ref="AQ684">INDIRECT("Update"&amp;Projections!$AH$17&amp;"!T"&amp;ROW(B665))</f>
        <v/>
      </c>
      <c r="AR684" s="100">
        <f t="shared" si="27"/>
        <v>-9.965301026</v>
      </c>
    </row>
    <row r="685">
      <c r="A685" t="str">
        <f t="shared" si="3"/>
        <v/>
      </c>
      <c r="B685" s="42">
        <f t="shared" si="4"/>
        <v>-3.155358621</v>
      </c>
      <c r="C685" s="43">
        <f t="shared" si="5"/>
        <v>-1.740686581</v>
      </c>
      <c r="D685" s="42">
        <f t="shared" si="6"/>
        <v>-2.380599106</v>
      </c>
      <c r="E685" s="42">
        <f t="shared" si="7"/>
        <v>-1.79320266</v>
      </c>
      <c r="F685" s="42">
        <f t="shared" si="8"/>
        <v>-3.240190514</v>
      </c>
      <c r="G685" s="42">
        <f t="shared" si="9"/>
        <v>-1.329092151</v>
      </c>
      <c r="H685" s="42">
        <f t="shared" si="10"/>
        <v>0</v>
      </c>
      <c r="I685" s="42" t="str">
        <f>UpdateHashtag!S683</f>
        <v/>
      </c>
      <c r="J685" s="47">
        <f t="shared" si="11"/>
        <v>0</v>
      </c>
      <c r="K685" s="48" t="str">
        <f>UpdateHashtag!T683</f>
        <v/>
      </c>
      <c r="L685" s="42">
        <f t="shared" si="12"/>
        <v>-1.734552372</v>
      </c>
      <c r="N685" s="100">
        <f t="shared" si="13"/>
        <v>401</v>
      </c>
      <c r="O685" s="94" t="str">
        <f t="array" ref="O685">INDIRECT("Update"&amp;Projections!$AH$17&amp;"!B"&amp;ROW(B666))</f>
        <v/>
      </c>
      <c r="P685" s="414" t="str">
        <f t="array" ref="P685">INDIRECT("Update"&amp;Projections!$AH$17&amp;"!C"&amp;ROW(B666))</f>
        <v/>
      </c>
      <c r="Q685" s="94" t="str">
        <f>UpdateHashtag!F715</f>
        <v/>
      </c>
      <c r="R685" s="105" t="str">
        <f t="array" ref="R685">INDIRECT("Update"&amp;Projections!$AH$17&amp;"!D"&amp;ROW(B666))</f>
        <v/>
      </c>
      <c r="S685" s="73">
        <f t="shared" si="14"/>
        <v>-9.965301026</v>
      </c>
      <c r="T685" s="73">
        <f>SUM(AE685:AM685)-IFERROR(IFS(Projections!$I$17,AN685,Projections!$J$17,AO685),"")</f>
        <v>-9.965301026</v>
      </c>
      <c r="U685" s="73">
        <f t="shared" si="15"/>
        <v>0</v>
      </c>
      <c r="V685" s="73" t="str">
        <f t="array" ref="V685">INDIRECT("Update"&amp;Projections!$AH$17&amp;"!M"&amp;ROW(B666))</f>
        <v/>
      </c>
      <c r="W685" s="73" t="str">
        <f t="array" ref="W685">INDIRECT("Update"&amp;Projections!$AH$17&amp;"!L"&amp;ROW(B666))</f>
        <v/>
      </c>
      <c r="X685" s="73" t="str">
        <f t="array" ref="X685">INDIRECT("Update"&amp;Projections!$AH$17&amp;"!N"&amp;ROW(B666))</f>
        <v/>
      </c>
      <c r="Y685" s="73" t="str">
        <f t="array" ref="Y685">INDIRECT("Update"&amp;Projections!$AH$17&amp;"!O"&amp;ROW(B666))</f>
        <v/>
      </c>
      <c r="Z685" s="73" t="str">
        <f t="array" ref="Z685">INDIRECT("Update"&amp;Projections!$AH$17&amp;"!P"&amp;ROW(B666))</f>
        <v/>
      </c>
      <c r="AA685" s="73" t="str">
        <f t="array" ref="AA685">INDIRECT("Update"&amp;Projections!$AH$17&amp;"!Q"&amp;ROW(B666))</f>
        <v/>
      </c>
      <c r="AB685" s="107" t="str">
        <f t="array" ref="AB685">INDIRECT("Update"&amp;Projections!$AH$17&amp;"!I"&amp;ROW(B666))</f>
        <v/>
      </c>
      <c r="AC685" s="107" t="str">
        <f t="array" ref="AC685">INDIRECT("Update"&amp;Projections!$AH$17&amp;"!K"&amp;ROW(B666))</f>
        <v/>
      </c>
      <c r="AD685" s="73" t="str">
        <f t="array" ref="AD685">INDIRECT("Update"&amp;Projections!$AH$17&amp;"!R"&amp;ROW(B666))</f>
        <v/>
      </c>
      <c r="AE685" s="73">
        <f t="shared" si="16"/>
        <v>-3.155358621</v>
      </c>
      <c r="AF685" s="73">
        <f t="shared" si="17"/>
        <v>-1.740686581</v>
      </c>
      <c r="AG685" s="73">
        <f t="shared" si="18"/>
        <v>-2.380599106</v>
      </c>
      <c r="AH685" s="73">
        <f t="shared" si="19"/>
        <v>-1.79320266</v>
      </c>
      <c r="AI685" s="73">
        <f t="shared" si="20"/>
        <v>-3.240190514</v>
      </c>
      <c r="AJ685" s="73">
        <f t="shared" si="21"/>
        <v>-1.329092151</v>
      </c>
      <c r="AK685" s="73">
        <f t="shared" si="22"/>
        <v>0</v>
      </c>
      <c r="AL685" s="73">
        <f t="shared" si="23"/>
        <v>0</v>
      </c>
      <c r="AM685" s="73">
        <f t="shared" si="24"/>
        <v>0.433638093</v>
      </c>
      <c r="AN685" s="120">
        <f t="shared" si="25"/>
        <v>-3.240190514</v>
      </c>
      <c r="AO685" s="120">
        <f t="shared" si="26"/>
        <v>-6.395549135</v>
      </c>
      <c r="AP685" s="120" t="str">
        <f t="array" ref="AP685">INDIRECT("Update"&amp;Projections!$AH$17&amp;"!S"&amp;ROW(B666))</f>
        <v/>
      </c>
      <c r="AQ685" s="120" t="str">
        <f t="array" ref="AQ685">INDIRECT("Update"&amp;Projections!$AH$17&amp;"!T"&amp;ROW(B666))</f>
        <v/>
      </c>
      <c r="AR685" s="100">
        <f t="shared" si="27"/>
        <v>-9.965301026</v>
      </c>
    </row>
    <row r="686">
      <c r="A686" t="str">
        <f t="shared" si="3"/>
        <v/>
      </c>
      <c r="B686" s="42">
        <f t="shared" si="4"/>
        <v>-3.155358621</v>
      </c>
      <c r="C686" s="43">
        <f t="shared" si="5"/>
        <v>-1.740686581</v>
      </c>
      <c r="D686" s="42">
        <f t="shared" si="6"/>
        <v>-2.380599106</v>
      </c>
      <c r="E686" s="42">
        <f t="shared" si="7"/>
        <v>-1.79320266</v>
      </c>
      <c r="F686" s="42">
        <f t="shared" si="8"/>
        <v>-3.240190514</v>
      </c>
      <c r="G686" s="42">
        <f t="shared" si="9"/>
        <v>-1.329092151</v>
      </c>
      <c r="H686" s="42">
        <f t="shared" si="10"/>
        <v>0</v>
      </c>
      <c r="I686" s="42" t="str">
        <f>UpdateHashtag!S684</f>
        <v/>
      </c>
      <c r="J686" s="47">
        <f t="shared" si="11"/>
        <v>0</v>
      </c>
      <c r="K686" s="48" t="str">
        <f>UpdateHashtag!T684</f>
        <v/>
      </c>
      <c r="L686" s="42">
        <f t="shared" si="12"/>
        <v>-1.734552372</v>
      </c>
      <c r="N686" s="100">
        <f t="shared" si="13"/>
        <v>401</v>
      </c>
      <c r="O686" s="94" t="str">
        <f t="array" ref="O686">INDIRECT("Update"&amp;Projections!$AH$17&amp;"!B"&amp;ROW(B667))</f>
        <v/>
      </c>
      <c r="P686" s="414" t="str">
        <f t="array" ref="P686">INDIRECT("Update"&amp;Projections!$AH$17&amp;"!C"&amp;ROW(B667))</f>
        <v/>
      </c>
      <c r="Q686" s="94" t="str">
        <f>UpdateHashtag!F716</f>
        <v/>
      </c>
      <c r="R686" s="105" t="str">
        <f t="array" ref="R686">INDIRECT("Update"&amp;Projections!$AH$17&amp;"!D"&amp;ROW(B667))</f>
        <v/>
      </c>
      <c r="S686" s="73">
        <f t="shared" si="14"/>
        <v>-9.965301026</v>
      </c>
      <c r="T686" s="73">
        <f>SUM(AE686:AM686)-IFERROR(IFS(Projections!$I$17,AN686,Projections!$J$17,AO686),"")</f>
        <v>-9.965301026</v>
      </c>
      <c r="U686" s="73">
        <f t="shared" si="15"/>
        <v>0</v>
      </c>
      <c r="V686" s="73" t="str">
        <f t="array" ref="V686">INDIRECT("Update"&amp;Projections!$AH$17&amp;"!M"&amp;ROW(B667))</f>
        <v/>
      </c>
      <c r="W686" s="73" t="str">
        <f t="array" ref="W686">INDIRECT("Update"&amp;Projections!$AH$17&amp;"!L"&amp;ROW(B667))</f>
        <v/>
      </c>
      <c r="X686" s="73" t="str">
        <f t="array" ref="X686">INDIRECT("Update"&amp;Projections!$AH$17&amp;"!N"&amp;ROW(B667))</f>
        <v/>
      </c>
      <c r="Y686" s="73" t="str">
        <f t="array" ref="Y686">INDIRECT("Update"&amp;Projections!$AH$17&amp;"!O"&amp;ROW(B667))</f>
        <v/>
      </c>
      <c r="Z686" s="73" t="str">
        <f t="array" ref="Z686">INDIRECT("Update"&amp;Projections!$AH$17&amp;"!P"&amp;ROW(B667))</f>
        <v/>
      </c>
      <c r="AA686" s="73" t="str">
        <f t="array" ref="AA686">INDIRECT("Update"&amp;Projections!$AH$17&amp;"!Q"&amp;ROW(B667))</f>
        <v/>
      </c>
      <c r="AB686" s="107" t="str">
        <f t="array" ref="AB686">INDIRECT("Update"&amp;Projections!$AH$17&amp;"!I"&amp;ROW(B667))</f>
        <v/>
      </c>
      <c r="AC686" s="107" t="str">
        <f t="array" ref="AC686">INDIRECT("Update"&amp;Projections!$AH$17&amp;"!K"&amp;ROW(B667))</f>
        <v/>
      </c>
      <c r="AD686" s="73" t="str">
        <f t="array" ref="AD686">INDIRECT("Update"&amp;Projections!$AH$17&amp;"!R"&amp;ROW(B667))</f>
        <v/>
      </c>
      <c r="AE686" s="73">
        <f t="shared" si="16"/>
        <v>-3.155358621</v>
      </c>
      <c r="AF686" s="73">
        <f t="shared" si="17"/>
        <v>-1.740686581</v>
      </c>
      <c r="AG686" s="73">
        <f t="shared" si="18"/>
        <v>-2.380599106</v>
      </c>
      <c r="AH686" s="73">
        <f t="shared" si="19"/>
        <v>-1.79320266</v>
      </c>
      <c r="AI686" s="73">
        <f t="shared" si="20"/>
        <v>-3.240190514</v>
      </c>
      <c r="AJ686" s="73">
        <f t="shared" si="21"/>
        <v>-1.329092151</v>
      </c>
      <c r="AK686" s="73">
        <f t="shared" si="22"/>
        <v>0</v>
      </c>
      <c r="AL686" s="73">
        <f t="shared" si="23"/>
        <v>0</v>
      </c>
      <c r="AM686" s="73">
        <f t="shared" si="24"/>
        <v>0.433638093</v>
      </c>
      <c r="AN686" s="120">
        <f t="shared" si="25"/>
        <v>-3.240190514</v>
      </c>
      <c r="AO686" s="120">
        <f t="shared" si="26"/>
        <v>-6.395549135</v>
      </c>
      <c r="AP686" s="120" t="str">
        <f t="array" ref="AP686">INDIRECT("Update"&amp;Projections!$AH$17&amp;"!S"&amp;ROW(B667))</f>
        <v/>
      </c>
      <c r="AQ686" s="120" t="str">
        <f t="array" ref="AQ686">INDIRECT("Update"&amp;Projections!$AH$17&amp;"!T"&amp;ROW(B667))</f>
        <v/>
      </c>
      <c r="AR686" s="100">
        <f t="shared" si="27"/>
        <v>-9.965301026</v>
      </c>
    </row>
    <row r="687">
      <c r="A687" t="str">
        <f t="shared" si="3"/>
        <v/>
      </c>
      <c r="B687" s="42">
        <f t="shared" si="4"/>
        <v>-3.155358621</v>
      </c>
      <c r="C687" s="43">
        <f t="shared" si="5"/>
        <v>-1.740686581</v>
      </c>
      <c r="D687" s="42">
        <f t="shared" si="6"/>
        <v>-2.380599106</v>
      </c>
      <c r="E687" s="42">
        <f t="shared" si="7"/>
        <v>-1.79320266</v>
      </c>
      <c r="F687" s="42">
        <f t="shared" si="8"/>
        <v>-3.240190514</v>
      </c>
      <c r="G687" s="42">
        <f t="shared" si="9"/>
        <v>-1.329092151</v>
      </c>
      <c r="H687" s="42">
        <f t="shared" si="10"/>
        <v>0</v>
      </c>
      <c r="I687" s="42" t="str">
        <f>UpdateHashtag!S685</f>
        <v/>
      </c>
      <c r="J687" s="47">
        <f t="shared" si="11"/>
        <v>0</v>
      </c>
      <c r="K687" s="48" t="str">
        <f>UpdateHashtag!T685</f>
        <v/>
      </c>
      <c r="L687" s="42">
        <f t="shared" si="12"/>
        <v>-1.734552372</v>
      </c>
      <c r="N687" s="100">
        <f t="shared" si="13"/>
        <v>401</v>
      </c>
      <c r="O687" s="94" t="str">
        <f t="array" ref="O687">INDIRECT("Update"&amp;Projections!$AH$17&amp;"!B"&amp;ROW(B668))</f>
        <v/>
      </c>
      <c r="P687" s="414" t="str">
        <f t="array" ref="P687">INDIRECT("Update"&amp;Projections!$AH$17&amp;"!C"&amp;ROW(B668))</f>
        <v/>
      </c>
      <c r="Q687" s="94" t="str">
        <f>UpdateHashtag!F717</f>
        <v/>
      </c>
      <c r="R687" s="105" t="str">
        <f t="array" ref="R687">INDIRECT("Update"&amp;Projections!$AH$17&amp;"!D"&amp;ROW(B668))</f>
        <v/>
      </c>
      <c r="S687" s="73">
        <f t="shared" si="14"/>
        <v>-9.965301026</v>
      </c>
      <c r="T687" s="73">
        <f>SUM(AE687:AM687)-IFERROR(IFS(Projections!$I$17,AN687,Projections!$J$17,AO687),"")</f>
        <v>-9.965301026</v>
      </c>
      <c r="U687" s="73">
        <f t="shared" si="15"/>
        <v>0</v>
      </c>
      <c r="V687" s="73" t="str">
        <f t="array" ref="V687">INDIRECT("Update"&amp;Projections!$AH$17&amp;"!M"&amp;ROW(B668))</f>
        <v/>
      </c>
      <c r="W687" s="73" t="str">
        <f t="array" ref="W687">INDIRECT("Update"&amp;Projections!$AH$17&amp;"!L"&amp;ROW(B668))</f>
        <v/>
      </c>
      <c r="X687" s="73" t="str">
        <f t="array" ref="X687">INDIRECT("Update"&amp;Projections!$AH$17&amp;"!N"&amp;ROW(B668))</f>
        <v/>
      </c>
      <c r="Y687" s="73" t="str">
        <f t="array" ref="Y687">INDIRECT("Update"&amp;Projections!$AH$17&amp;"!O"&amp;ROW(B668))</f>
        <v/>
      </c>
      <c r="Z687" s="73" t="str">
        <f t="array" ref="Z687">INDIRECT("Update"&amp;Projections!$AH$17&amp;"!P"&amp;ROW(B668))</f>
        <v/>
      </c>
      <c r="AA687" s="73" t="str">
        <f t="array" ref="AA687">INDIRECT("Update"&amp;Projections!$AH$17&amp;"!Q"&amp;ROW(B668))</f>
        <v/>
      </c>
      <c r="AB687" s="107" t="str">
        <f t="array" ref="AB687">INDIRECT("Update"&amp;Projections!$AH$17&amp;"!I"&amp;ROW(B668))</f>
        <v/>
      </c>
      <c r="AC687" s="107" t="str">
        <f t="array" ref="AC687">INDIRECT("Update"&amp;Projections!$AH$17&amp;"!K"&amp;ROW(B668))</f>
        <v/>
      </c>
      <c r="AD687" s="73" t="str">
        <f t="array" ref="AD687">INDIRECT("Update"&amp;Projections!$AH$17&amp;"!R"&amp;ROW(B668))</f>
        <v/>
      </c>
      <c r="AE687" s="73">
        <f t="shared" si="16"/>
        <v>-3.155358621</v>
      </c>
      <c r="AF687" s="73">
        <f t="shared" si="17"/>
        <v>-1.740686581</v>
      </c>
      <c r="AG687" s="73">
        <f t="shared" si="18"/>
        <v>-2.380599106</v>
      </c>
      <c r="AH687" s="73">
        <f t="shared" si="19"/>
        <v>-1.79320266</v>
      </c>
      <c r="AI687" s="73">
        <f t="shared" si="20"/>
        <v>-3.240190514</v>
      </c>
      <c r="AJ687" s="73">
        <f t="shared" si="21"/>
        <v>-1.329092151</v>
      </c>
      <c r="AK687" s="73">
        <f t="shared" si="22"/>
        <v>0</v>
      </c>
      <c r="AL687" s="73">
        <f t="shared" si="23"/>
        <v>0</v>
      </c>
      <c r="AM687" s="73">
        <f t="shared" si="24"/>
        <v>0.433638093</v>
      </c>
      <c r="AN687" s="120">
        <f t="shared" si="25"/>
        <v>-3.240190514</v>
      </c>
      <c r="AO687" s="120">
        <f t="shared" si="26"/>
        <v>-6.395549135</v>
      </c>
      <c r="AP687" s="120" t="str">
        <f t="array" ref="AP687">INDIRECT("Update"&amp;Projections!$AH$17&amp;"!S"&amp;ROW(B668))</f>
        <v/>
      </c>
      <c r="AQ687" s="120" t="str">
        <f t="array" ref="AQ687">INDIRECT("Update"&amp;Projections!$AH$17&amp;"!T"&amp;ROW(B668))</f>
        <v/>
      </c>
      <c r="AR687" s="100">
        <f t="shared" si="27"/>
        <v>-9.965301026</v>
      </c>
    </row>
    <row r="688">
      <c r="A688" t="str">
        <f t="shared" si="3"/>
        <v/>
      </c>
      <c r="B688" s="42">
        <f t="shared" si="4"/>
        <v>-3.155358621</v>
      </c>
      <c r="C688" s="43">
        <f t="shared" si="5"/>
        <v>-1.740686581</v>
      </c>
      <c r="D688" s="42">
        <f t="shared" si="6"/>
        <v>-2.380599106</v>
      </c>
      <c r="E688" s="42">
        <f t="shared" si="7"/>
        <v>-1.79320266</v>
      </c>
      <c r="F688" s="42">
        <f t="shared" si="8"/>
        <v>-3.240190514</v>
      </c>
      <c r="G688" s="42">
        <f t="shared" si="9"/>
        <v>-1.329092151</v>
      </c>
      <c r="H688" s="42">
        <f t="shared" si="10"/>
        <v>0</v>
      </c>
      <c r="I688" s="42" t="str">
        <f>UpdateHashtag!S686</f>
        <v/>
      </c>
      <c r="J688" s="47">
        <f t="shared" si="11"/>
        <v>0</v>
      </c>
      <c r="K688" s="48" t="str">
        <f>UpdateHashtag!T686</f>
        <v/>
      </c>
      <c r="L688" s="42">
        <f t="shared" si="12"/>
        <v>-1.734552372</v>
      </c>
      <c r="N688" s="100">
        <f t="shared" si="13"/>
        <v>401</v>
      </c>
      <c r="O688" s="94" t="str">
        <f t="array" ref="O688">INDIRECT("Update"&amp;Projections!$AH$17&amp;"!B"&amp;ROW(B669))</f>
        <v/>
      </c>
      <c r="P688" s="414" t="str">
        <f t="array" ref="P688">INDIRECT("Update"&amp;Projections!$AH$17&amp;"!C"&amp;ROW(B669))</f>
        <v/>
      </c>
      <c r="Q688" s="94" t="str">
        <f>UpdateHashtag!F718</f>
        <v/>
      </c>
      <c r="R688" s="105" t="str">
        <f t="array" ref="R688">INDIRECT("Update"&amp;Projections!$AH$17&amp;"!D"&amp;ROW(B669))</f>
        <v/>
      </c>
      <c r="S688" s="73">
        <f t="shared" si="14"/>
        <v>-9.965301026</v>
      </c>
      <c r="T688" s="73">
        <f>SUM(AE688:AM688)-IFERROR(IFS(Projections!$I$17,AN688,Projections!$J$17,AO688),"")</f>
        <v>-9.965301026</v>
      </c>
      <c r="U688" s="73">
        <f t="shared" si="15"/>
        <v>0</v>
      </c>
      <c r="V688" s="73" t="str">
        <f t="array" ref="V688">INDIRECT("Update"&amp;Projections!$AH$17&amp;"!M"&amp;ROW(B669))</f>
        <v/>
      </c>
      <c r="W688" s="73" t="str">
        <f t="array" ref="W688">INDIRECT("Update"&amp;Projections!$AH$17&amp;"!L"&amp;ROW(B669))</f>
        <v/>
      </c>
      <c r="X688" s="73" t="str">
        <f t="array" ref="X688">INDIRECT("Update"&amp;Projections!$AH$17&amp;"!N"&amp;ROW(B669))</f>
        <v/>
      </c>
      <c r="Y688" s="73" t="str">
        <f t="array" ref="Y688">INDIRECT("Update"&amp;Projections!$AH$17&amp;"!O"&amp;ROW(B669))</f>
        <v/>
      </c>
      <c r="Z688" s="73" t="str">
        <f t="array" ref="Z688">INDIRECT("Update"&amp;Projections!$AH$17&amp;"!P"&amp;ROW(B669))</f>
        <v/>
      </c>
      <c r="AA688" s="73" t="str">
        <f t="array" ref="AA688">INDIRECT("Update"&amp;Projections!$AH$17&amp;"!Q"&amp;ROW(B669))</f>
        <v/>
      </c>
      <c r="AB688" s="107" t="str">
        <f t="array" ref="AB688">INDIRECT("Update"&amp;Projections!$AH$17&amp;"!I"&amp;ROW(B669))</f>
        <v/>
      </c>
      <c r="AC688" s="107" t="str">
        <f t="array" ref="AC688">INDIRECT("Update"&amp;Projections!$AH$17&amp;"!K"&amp;ROW(B669))</f>
        <v/>
      </c>
      <c r="AD688" s="73" t="str">
        <f t="array" ref="AD688">INDIRECT("Update"&amp;Projections!$AH$17&amp;"!R"&amp;ROW(B669))</f>
        <v/>
      </c>
      <c r="AE688" s="73">
        <f t="shared" si="16"/>
        <v>-3.155358621</v>
      </c>
      <c r="AF688" s="73">
        <f t="shared" si="17"/>
        <v>-1.740686581</v>
      </c>
      <c r="AG688" s="73">
        <f t="shared" si="18"/>
        <v>-2.380599106</v>
      </c>
      <c r="AH688" s="73">
        <f t="shared" si="19"/>
        <v>-1.79320266</v>
      </c>
      <c r="AI688" s="73">
        <f t="shared" si="20"/>
        <v>-3.240190514</v>
      </c>
      <c r="AJ688" s="73">
        <f t="shared" si="21"/>
        <v>-1.329092151</v>
      </c>
      <c r="AK688" s="73">
        <f t="shared" si="22"/>
        <v>0</v>
      </c>
      <c r="AL688" s="73">
        <f t="shared" si="23"/>
        <v>0</v>
      </c>
      <c r="AM688" s="73">
        <f t="shared" si="24"/>
        <v>0.433638093</v>
      </c>
      <c r="AN688" s="120">
        <f t="shared" si="25"/>
        <v>-3.240190514</v>
      </c>
      <c r="AO688" s="120">
        <f t="shared" si="26"/>
        <v>-6.395549135</v>
      </c>
      <c r="AP688" s="120" t="str">
        <f t="array" ref="AP688">INDIRECT("Update"&amp;Projections!$AH$17&amp;"!S"&amp;ROW(B669))</f>
        <v/>
      </c>
      <c r="AQ688" s="120" t="str">
        <f t="array" ref="AQ688">INDIRECT("Update"&amp;Projections!$AH$17&amp;"!T"&amp;ROW(B669))</f>
        <v/>
      </c>
      <c r="AR688" s="100">
        <f t="shared" si="27"/>
        <v>-9.965301026</v>
      </c>
    </row>
    <row r="689">
      <c r="A689" t="str">
        <f t="shared" si="3"/>
        <v/>
      </c>
      <c r="B689" s="42">
        <f t="shared" si="4"/>
        <v>-3.155358621</v>
      </c>
      <c r="C689" s="43">
        <f t="shared" si="5"/>
        <v>-1.740686581</v>
      </c>
      <c r="D689" s="42">
        <f t="shared" si="6"/>
        <v>-2.380599106</v>
      </c>
      <c r="E689" s="42">
        <f t="shared" si="7"/>
        <v>-1.79320266</v>
      </c>
      <c r="F689" s="42">
        <f t="shared" si="8"/>
        <v>-3.240190514</v>
      </c>
      <c r="G689" s="42">
        <f t="shared" si="9"/>
        <v>-1.329092151</v>
      </c>
      <c r="H689" s="42">
        <f t="shared" si="10"/>
        <v>0</v>
      </c>
      <c r="I689" s="42" t="str">
        <f>UpdateHashtag!S687</f>
        <v/>
      </c>
      <c r="J689" s="47">
        <f t="shared" si="11"/>
        <v>0</v>
      </c>
      <c r="K689" s="48" t="str">
        <f>UpdateHashtag!T687</f>
        <v/>
      </c>
      <c r="L689" s="42">
        <f t="shared" si="12"/>
        <v>-1.734552372</v>
      </c>
      <c r="N689" s="100">
        <f t="shared" si="13"/>
        <v>401</v>
      </c>
      <c r="O689" s="94" t="str">
        <f t="array" ref="O689">INDIRECT("Update"&amp;Projections!$AH$17&amp;"!B"&amp;ROW(B670))</f>
        <v/>
      </c>
      <c r="P689" s="414" t="str">
        <f t="array" ref="P689">INDIRECT("Update"&amp;Projections!$AH$17&amp;"!C"&amp;ROW(B670))</f>
        <v/>
      </c>
      <c r="Q689" s="94" t="str">
        <f>UpdateHashtag!F719</f>
        <v/>
      </c>
      <c r="R689" s="105" t="str">
        <f t="array" ref="R689">INDIRECT("Update"&amp;Projections!$AH$17&amp;"!D"&amp;ROW(B670))</f>
        <v/>
      </c>
      <c r="S689" s="73">
        <f t="shared" si="14"/>
        <v>-9.965301026</v>
      </c>
      <c r="T689" s="73">
        <f>SUM(AE689:AM689)-IFERROR(IFS(Projections!$I$17,AN689,Projections!$J$17,AO689),"")</f>
        <v>-9.965301026</v>
      </c>
      <c r="U689" s="73">
        <f t="shared" si="15"/>
        <v>0</v>
      </c>
      <c r="V689" s="73" t="str">
        <f t="array" ref="V689">INDIRECT("Update"&amp;Projections!$AH$17&amp;"!M"&amp;ROW(B670))</f>
        <v/>
      </c>
      <c r="W689" s="73" t="str">
        <f t="array" ref="W689">INDIRECT("Update"&amp;Projections!$AH$17&amp;"!L"&amp;ROW(B670))</f>
        <v/>
      </c>
      <c r="X689" s="73" t="str">
        <f t="array" ref="X689">INDIRECT("Update"&amp;Projections!$AH$17&amp;"!N"&amp;ROW(B670))</f>
        <v/>
      </c>
      <c r="Y689" s="73" t="str">
        <f t="array" ref="Y689">INDIRECT("Update"&amp;Projections!$AH$17&amp;"!O"&amp;ROW(B670))</f>
        <v/>
      </c>
      <c r="Z689" s="73" t="str">
        <f t="array" ref="Z689">INDIRECT("Update"&amp;Projections!$AH$17&amp;"!P"&amp;ROW(B670))</f>
        <v/>
      </c>
      <c r="AA689" s="73" t="str">
        <f t="array" ref="AA689">INDIRECT("Update"&amp;Projections!$AH$17&amp;"!Q"&amp;ROW(B670))</f>
        <v/>
      </c>
      <c r="AB689" s="107" t="str">
        <f t="array" ref="AB689">INDIRECT("Update"&amp;Projections!$AH$17&amp;"!I"&amp;ROW(B670))</f>
        <v/>
      </c>
      <c r="AC689" s="107" t="str">
        <f t="array" ref="AC689">INDIRECT("Update"&amp;Projections!$AH$17&amp;"!K"&amp;ROW(B670))</f>
        <v/>
      </c>
      <c r="AD689" s="73" t="str">
        <f t="array" ref="AD689">INDIRECT("Update"&amp;Projections!$AH$17&amp;"!R"&amp;ROW(B670))</f>
        <v/>
      </c>
      <c r="AE689" s="73">
        <f t="shared" si="16"/>
        <v>-3.155358621</v>
      </c>
      <c r="AF689" s="73">
        <f t="shared" si="17"/>
        <v>-1.740686581</v>
      </c>
      <c r="AG689" s="73">
        <f t="shared" si="18"/>
        <v>-2.380599106</v>
      </c>
      <c r="AH689" s="73">
        <f t="shared" si="19"/>
        <v>-1.79320266</v>
      </c>
      <c r="AI689" s="73">
        <f t="shared" si="20"/>
        <v>-3.240190514</v>
      </c>
      <c r="AJ689" s="73">
        <f t="shared" si="21"/>
        <v>-1.329092151</v>
      </c>
      <c r="AK689" s="73">
        <f t="shared" si="22"/>
        <v>0</v>
      </c>
      <c r="AL689" s="73">
        <f t="shared" si="23"/>
        <v>0</v>
      </c>
      <c r="AM689" s="73">
        <f t="shared" si="24"/>
        <v>0.433638093</v>
      </c>
      <c r="AN689" s="120">
        <f t="shared" si="25"/>
        <v>-3.240190514</v>
      </c>
      <c r="AO689" s="120">
        <f t="shared" si="26"/>
        <v>-6.395549135</v>
      </c>
      <c r="AP689" s="120" t="str">
        <f t="array" ref="AP689">INDIRECT("Update"&amp;Projections!$AH$17&amp;"!S"&amp;ROW(B670))</f>
        <v/>
      </c>
      <c r="AQ689" s="120" t="str">
        <f t="array" ref="AQ689">INDIRECT("Update"&amp;Projections!$AH$17&amp;"!T"&amp;ROW(B670))</f>
        <v/>
      </c>
      <c r="AR689" s="100">
        <f t="shared" si="27"/>
        <v>-9.965301026</v>
      </c>
    </row>
    <row r="690">
      <c r="A690" t="str">
        <f t="shared" si="3"/>
        <v/>
      </c>
      <c r="B690" s="42">
        <f t="shared" si="4"/>
        <v>-3.155358621</v>
      </c>
      <c r="C690" s="43">
        <f t="shared" si="5"/>
        <v>-1.740686581</v>
      </c>
      <c r="D690" s="42">
        <f t="shared" si="6"/>
        <v>-2.380599106</v>
      </c>
      <c r="E690" s="42">
        <f t="shared" si="7"/>
        <v>-1.79320266</v>
      </c>
      <c r="F690" s="42">
        <f t="shared" si="8"/>
        <v>-3.240190514</v>
      </c>
      <c r="G690" s="42">
        <f t="shared" si="9"/>
        <v>-1.329092151</v>
      </c>
      <c r="H690" s="42">
        <f t="shared" si="10"/>
        <v>0</v>
      </c>
      <c r="I690" s="42" t="str">
        <f>UpdateHashtag!S688</f>
        <v/>
      </c>
      <c r="J690" s="47">
        <f t="shared" si="11"/>
        <v>0</v>
      </c>
      <c r="K690" s="48" t="str">
        <f>UpdateHashtag!T688</f>
        <v/>
      </c>
      <c r="L690" s="42">
        <f t="shared" si="12"/>
        <v>-1.734552372</v>
      </c>
      <c r="N690" s="100">
        <f t="shared" si="13"/>
        <v>401</v>
      </c>
      <c r="O690" s="94" t="str">
        <f t="array" ref="O690">INDIRECT("Update"&amp;Projections!$AH$17&amp;"!B"&amp;ROW(B671))</f>
        <v/>
      </c>
      <c r="P690" s="414" t="str">
        <f t="array" ref="P690">INDIRECT("Update"&amp;Projections!$AH$17&amp;"!C"&amp;ROW(B671))</f>
        <v/>
      </c>
      <c r="Q690" s="94" t="str">
        <f>UpdateHashtag!F720</f>
        <v/>
      </c>
      <c r="R690" s="105" t="str">
        <f t="array" ref="R690">INDIRECT("Update"&amp;Projections!$AH$17&amp;"!D"&amp;ROW(B671))</f>
        <v/>
      </c>
      <c r="S690" s="73">
        <f t="shared" si="14"/>
        <v>-9.965301026</v>
      </c>
      <c r="T690" s="73">
        <f>SUM(AE690:AM690)-IFERROR(IFS(Projections!$I$17,AN690,Projections!$J$17,AO690),"")</f>
        <v>-9.965301026</v>
      </c>
      <c r="U690" s="73">
        <f t="shared" si="15"/>
        <v>0</v>
      </c>
      <c r="V690" s="73" t="str">
        <f t="array" ref="V690">INDIRECT("Update"&amp;Projections!$AH$17&amp;"!M"&amp;ROW(B671))</f>
        <v/>
      </c>
      <c r="W690" s="73" t="str">
        <f t="array" ref="W690">INDIRECT("Update"&amp;Projections!$AH$17&amp;"!L"&amp;ROW(B671))</f>
        <v/>
      </c>
      <c r="X690" s="73" t="str">
        <f t="array" ref="X690">INDIRECT("Update"&amp;Projections!$AH$17&amp;"!N"&amp;ROW(B671))</f>
        <v/>
      </c>
      <c r="Y690" s="73" t="str">
        <f t="array" ref="Y690">INDIRECT("Update"&amp;Projections!$AH$17&amp;"!O"&amp;ROW(B671))</f>
        <v/>
      </c>
      <c r="Z690" s="73" t="str">
        <f t="array" ref="Z690">INDIRECT("Update"&amp;Projections!$AH$17&amp;"!P"&amp;ROW(B671))</f>
        <v/>
      </c>
      <c r="AA690" s="73" t="str">
        <f t="array" ref="AA690">INDIRECT("Update"&amp;Projections!$AH$17&amp;"!Q"&amp;ROW(B671))</f>
        <v/>
      </c>
      <c r="AB690" s="107" t="str">
        <f t="array" ref="AB690">INDIRECT("Update"&amp;Projections!$AH$17&amp;"!I"&amp;ROW(B671))</f>
        <v/>
      </c>
      <c r="AC690" s="107" t="str">
        <f t="array" ref="AC690">INDIRECT("Update"&amp;Projections!$AH$17&amp;"!K"&amp;ROW(B671))</f>
        <v/>
      </c>
      <c r="AD690" s="73" t="str">
        <f t="array" ref="AD690">INDIRECT("Update"&amp;Projections!$AH$17&amp;"!R"&amp;ROW(B671))</f>
        <v/>
      </c>
      <c r="AE690" s="73">
        <f t="shared" si="16"/>
        <v>-3.155358621</v>
      </c>
      <c r="AF690" s="73">
        <f t="shared" si="17"/>
        <v>-1.740686581</v>
      </c>
      <c r="AG690" s="73">
        <f t="shared" si="18"/>
        <v>-2.380599106</v>
      </c>
      <c r="AH690" s="73">
        <f t="shared" si="19"/>
        <v>-1.79320266</v>
      </c>
      <c r="AI690" s="73">
        <f t="shared" si="20"/>
        <v>-3.240190514</v>
      </c>
      <c r="AJ690" s="73">
        <f t="shared" si="21"/>
        <v>-1.329092151</v>
      </c>
      <c r="AK690" s="73">
        <f t="shared" si="22"/>
        <v>0</v>
      </c>
      <c r="AL690" s="73">
        <f t="shared" si="23"/>
        <v>0</v>
      </c>
      <c r="AM690" s="73">
        <f t="shared" si="24"/>
        <v>0.433638093</v>
      </c>
      <c r="AN690" s="120">
        <f t="shared" si="25"/>
        <v>-3.240190514</v>
      </c>
      <c r="AO690" s="120">
        <f t="shared" si="26"/>
        <v>-6.395549135</v>
      </c>
      <c r="AP690" s="120" t="str">
        <f t="array" ref="AP690">INDIRECT("Update"&amp;Projections!$AH$17&amp;"!S"&amp;ROW(B671))</f>
        <v/>
      </c>
      <c r="AQ690" s="120" t="str">
        <f t="array" ref="AQ690">INDIRECT("Update"&amp;Projections!$AH$17&amp;"!T"&amp;ROW(B671))</f>
        <v/>
      </c>
      <c r="AR690" s="100">
        <f t="shared" si="27"/>
        <v>-9.965301026</v>
      </c>
    </row>
    <row r="691">
      <c r="A691" t="str">
        <f t="shared" si="3"/>
        <v/>
      </c>
      <c r="B691" s="42">
        <f t="shared" si="4"/>
        <v>-3.155358621</v>
      </c>
      <c r="C691" s="43">
        <f t="shared" si="5"/>
        <v>-1.740686581</v>
      </c>
      <c r="D691" s="42">
        <f t="shared" si="6"/>
        <v>-2.380599106</v>
      </c>
      <c r="E691" s="42">
        <f t="shared" si="7"/>
        <v>-1.79320266</v>
      </c>
      <c r="F691" s="42">
        <f t="shared" si="8"/>
        <v>-3.240190514</v>
      </c>
      <c r="G691" s="42">
        <f t="shared" si="9"/>
        <v>-1.329092151</v>
      </c>
      <c r="H691" s="42">
        <f t="shared" si="10"/>
        <v>0</v>
      </c>
      <c r="I691" s="42" t="str">
        <f>UpdateHashtag!S689</f>
        <v/>
      </c>
      <c r="J691" s="47">
        <f t="shared" si="11"/>
        <v>0</v>
      </c>
      <c r="K691" s="48" t="str">
        <f>UpdateHashtag!T689</f>
        <v/>
      </c>
      <c r="L691" s="42">
        <f t="shared" si="12"/>
        <v>-1.734552372</v>
      </c>
      <c r="N691" s="100">
        <f t="shared" si="13"/>
        <v>401</v>
      </c>
      <c r="O691" s="94" t="str">
        <f t="array" ref="O691">INDIRECT("Update"&amp;Projections!$AH$17&amp;"!B"&amp;ROW(B672))</f>
        <v/>
      </c>
      <c r="P691" s="414" t="str">
        <f t="array" ref="P691">INDIRECT("Update"&amp;Projections!$AH$17&amp;"!C"&amp;ROW(B672))</f>
        <v/>
      </c>
      <c r="Q691" s="94" t="str">
        <f>UpdateHashtag!F721</f>
        <v/>
      </c>
      <c r="R691" s="105" t="str">
        <f t="array" ref="R691">INDIRECT("Update"&amp;Projections!$AH$17&amp;"!D"&amp;ROW(B672))</f>
        <v/>
      </c>
      <c r="S691" s="73">
        <f t="shared" si="14"/>
        <v>-9.965301026</v>
      </c>
      <c r="T691" s="73">
        <f>SUM(AE691:AM691)-IFERROR(IFS(Projections!$I$17,AN691,Projections!$J$17,AO691),"")</f>
        <v>-9.965301026</v>
      </c>
      <c r="U691" s="73">
        <f t="shared" si="15"/>
        <v>0</v>
      </c>
      <c r="V691" s="73" t="str">
        <f t="array" ref="V691">INDIRECT("Update"&amp;Projections!$AH$17&amp;"!M"&amp;ROW(B672))</f>
        <v/>
      </c>
      <c r="W691" s="73" t="str">
        <f t="array" ref="W691">INDIRECT("Update"&amp;Projections!$AH$17&amp;"!L"&amp;ROW(B672))</f>
        <v/>
      </c>
      <c r="X691" s="73" t="str">
        <f t="array" ref="X691">INDIRECT("Update"&amp;Projections!$AH$17&amp;"!N"&amp;ROW(B672))</f>
        <v/>
      </c>
      <c r="Y691" s="73" t="str">
        <f t="array" ref="Y691">INDIRECT("Update"&amp;Projections!$AH$17&amp;"!O"&amp;ROW(B672))</f>
        <v/>
      </c>
      <c r="Z691" s="73" t="str">
        <f t="array" ref="Z691">INDIRECT("Update"&amp;Projections!$AH$17&amp;"!P"&amp;ROW(B672))</f>
        <v/>
      </c>
      <c r="AA691" s="73" t="str">
        <f t="array" ref="AA691">INDIRECT("Update"&amp;Projections!$AH$17&amp;"!Q"&amp;ROW(B672))</f>
        <v/>
      </c>
      <c r="AB691" s="107" t="str">
        <f t="array" ref="AB691">INDIRECT("Update"&amp;Projections!$AH$17&amp;"!I"&amp;ROW(B672))</f>
        <v/>
      </c>
      <c r="AC691" s="107" t="str">
        <f t="array" ref="AC691">INDIRECT("Update"&amp;Projections!$AH$17&amp;"!K"&amp;ROW(B672))</f>
        <v/>
      </c>
      <c r="AD691" s="73" t="str">
        <f t="array" ref="AD691">INDIRECT("Update"&amp;Projections!$AH$17&amp;"!R"&amp;ROW(B672))</f>
        <v/>
      </c>
      <c r="AE691" s="73">
        <f t="shared" si="16"/>
        <v>-3.155358621</v>
      </c>
      <c r="AF691" s="73">
        <f t="shared" si="17"/>
        <v>-1.740686581</v>
      </c>
      <c r="AG691" s="73">
        <f t="shared" si="18"/>
        <v>-2.380599106</v>
      </c>
      <c r="AH691" s="73">
        <f t="shared" si="19"/>
        <v>-1.79320266</v>
      </c>
      <c r="AI691" s="73">
        <f t="shared" si="20"/>
        <v>-3.240190514</v>
      </c>
      <c r="AJ691" s="73">
        <f t="shared" si="21"/>
        <v>-1.329092151</v>
      </c>
      <c r="AK691" s="73">
        <f t="shared" si="22"/>
        <v>0</v>
      </c>
      <c r="AL691" s="73">
        <f t="shared" si="23"/>
        <v>0</v>
      </c>
      <c r="AM691" s="73">
        <f t="shared" si="24"/>
        <v>0.433638093</v>
      </c>
      <c r="AN691" s="120">
        <f t="shared" si="25"/>
        <v>-3.240190514</v>
      </c>
      <c r="AO691" s="120">
        <f t="shared" si="26"/>
        <v>-6.395549135</v>
      </c>
      <c r="AP691" s="120" t="str">
        <f t="array" ref="AP691">INDIRECT("Update"&amp;Projections!$AH$17&amp;"!S"&amp;ROW(B672))</f>
        <v/>
      </c>
      <c r="AQ691" s="120" t="str">
        <f t="array" ref="AQ691">INDIRECT("Update"&amp;Projections!$AH$17&amp;"!T"&amp;ROW(B672))</f>
        <v/>
      </c>
      <c r="AR691" s="100">
        <f t="shared" si="27"/>
        <v>-9.965301026</v>
      </c>
    </row>
    <row r="692">
      <c r="A692" t="str">
        <f t="shared" si="3"/>
        <v/>
      </c>
      <c r="B692" s="42">
        <f t="shared" si="4"/>
        <v>-3.155358621</v>
      </c>
      <c r="C692" s="43">
        <f t="shared" si="5"/>
        <v>-1.740686581</v>
      </c>
      <c r="D692" s="42">
        <f t="shared" si="6"/>
        <v>-2.380599106</v>
      </c>
      <c r="E692" s="42">
        <f t="shared" si="7"/>
        <v>-1.79320266</v>
      </c>
      <c r="F692" s="42">
        <f t="shared" si="8"/>
        <v>-3.240190514</v>
      </c>
      <c r="G692" s="42">
        <f t="shared" si="9"/>
        <v>-1.329092151</v>
      </c>
      <c r="H692" s="42">
        <f t="shared" si="10"/>
        <v>0</v>
      </c>
      <c r="I692" s="42" t="str">
        <f>UpdateHashtag!S690</f>
        <v/>
      </c>
      <c r="J692" s="47">
        <f t="shared" si="11"/>
        <v>0</v>
      </c>
      <c r="K692" s="48" t="str">
        <f>UpdateHashtag!T690</f>
        <v/>
      </c>
      <c r="L692" s="42">
        <f t="shared" si="12"/>
        <v>-1.734552372</v>
      </c>
      <c r="N692" s="100">
        <f t="shared" si="13"/>
        <v>401</v>
      </c>
      <c r="O692" s="94" t="str">
        <f t="array" ref="O692">INDIRECT("Update"&amp;Projections!$AH$17&amp;"!B"&amp;ROW(B673))</f>
        <v/>
      </c>
      <c r="P692" s="414" t="str">
        <f t="array" ref="P692">INDIRECT("Update"&amp;Projections!$AH$17&amp;"!C"&amp;ROW(B673))</f>
        <v/>
      </c>
      <c r="Q692" s="94" t="str">
        <f>UpdateHashtag!F722</f>
        <v/>
      </c>
      <c r="R692" s="105" t="str">
        <f t="array" ref="R692">INDIRECT("Update"&amp;Projections!$AH$17&amp;"!D"&amp;ROW(B673))</f>
        <v/>
      </c>
      <c r="S692" s="73">
        <f t="shared" si="14"/>
        <v>-9.965301026</v>
      </c>
      <c r="T692" s="73">
        <f>SUM(AE692:AM692)-IFERROR(IFS(Projections!$I$17,AN692,Projections!$J$17,AO692),"")</f>
        <v>-9.965301026</v>
      </c>
      <c r="U692" s="73">
        <f t="shared" si="15"/>
        <v>0</v>
      </c>
      <c r="V692" s="73" t="str">
        <f t="array" ref="V692">INDIRECT("Update"&amp;Projections!$AH$17&amp;"!M"&amp;ROW(B673))</f>
        <v/>
      </c>
      <c r="W692" s="73" t="str">
        <f t="array" ref="W692">INDIRECT("Update"&amp;Projections!$AH$17&amp;"!L"&amp;ROW(B673))</f>
        <v/>
      </c>
      <c r="X692" s="73" t="str">
        <f t="array" ref="X692">INDIRECT("Update"&amp;Projections!$AH$17&amp;"!N"&amp;ROW(B673))</f>
        <v/>
      </c>
      <c r="Y692" s="73" t="str">
        <f t="array" ref="Y692">INDIRECT("Update"&amp;Projections!$AH$17&amp;"!O"&amp;ROW(B673))</f>
        <v/>
      </c>
      <c r="Z692" s="73" t="str">
        <f t="array" ref="Z692">INDIRECT("Update"&amp;Projections!$AH$17&amp;"!P"&amp;ROW(B673))</f>
        <v/>
      </c>
      <c r="AA692" s="73" t="str">
        <f t="array" ref="AA692">INDIRECT("Update"&amp;Projections!$AH$17&amp;"!Q"&amp;ROW(B673))</f>
        <v/>
      </c>
      <c r="AB692" s="107" t="str">
        <f t="array" ref="AB692">INDIRECT("Update"&amp;Projections!$AH$17&amp;"!I"&amp;ROW(B673))</f>
        <v/>
      </c>
      <c r="AC692" s="107" t="str">
        <f t="array" ref="AC692">INDIRECT("Update"&amp;Projections!$AH$17&amp;"!K"&amp;ROW(B673))</f>
        <v/>
      </c>
      <c r="AD692" s="73" t="str">
        <f t="array" ref="AD692">INDIRECT("Update"&amp;Projections!$AH$17&amp;"!R"&amp;ROW(B673))</f>
        <v/>
      </c>
      <c r="AE692" s="73">
        <f t="shared" si="16"/>
        <v>-3.155358621</v>
      </c>
      <c r="AF692" s="73">
        <f t="shared" si="17"/>
        <v>-1.740686581</v>
      </c>
      <c r="AG692" s="73">
        <f t="shared" si="18"/>
        <v>-2.380599106</v>
      </c>
      <c r="AH692" s="73">
        <f t="shared" si="19"/>
        <v>-1.79320266</v>
      </c>
      <c r="AI692" s="73">
        <f t="shared" si="20"/>
        <v>-3.240190514</v>
      </c>
      <c r="AJ692" s="73">
        <f t="shared" si="21"/>
        <v>-1.329092151</v>
      </c>
      <c r="AK692" s="73">
        <f t="shared" si="22"/>
        <v>0</v>
      </c>
      <c r="AL692" s="73">
        <f t="shared" si="23"/>
        <v>0</v>
      </c>
      <c r="AM692" s="73">
        <f t="shared" si="24"/>
        <v>0.433638093</v>
      </c>
      <c r="AN692" s="120">
        <f t="shared" si="25"/>
        <v>-3.240190514</v>
      </c>
      <c r="AO692" s="120">
        <f t="shared" si="26"/>
        <v>-6.395549135</v>
      </c>
      <c r="AP692" s="120" t="str">
        <f t="array" ref="AP692">INDIRECT("Update"&amp;Projections!$AH$17&amp;"!S"&amp;ROW(B673))</f>
        <v/>
      </c>
      <c r="AQ692" s="120" t="str">
        <f t="array" ref="AQ692">INDIRECT("Update"&amp;Projections!$AH$17&amp;"!T"&amp;ROW(B673))</f>
        <v/>
      </c>
      <c r="AR692" s="100">
        <f t="shared" si="27"/>
        <v>-9.965301026</v>
      </c>
    </row>
    <row r="693">
      <c r="A693" t="str">
        <f t="shared" si="3"/>
        <v/>
      </c>
      <c r="B693" s="42">
        <f t="shared" si="4"/>
        <v>-3.155358621</v>
      </c>
      <c r="C693" s="43">
        <f t="shared" si="5"/>
        <v>-1.740686581</v>
      </c>
      <c r="D693" s="42">
        <f t="shared" si="6"/>
        <v>-2.380599106</v>
      </c>
      <c r="E693" s="42">
        <f t="shared" si="7"/>
        <v>-1.79320266</v>
      </c>
      <c r="F693" s="42">
        <f t="shared" si="8"/>
        <v>-3.240190514</v>
      </c>
      <c r="G693" s="42">
        <f t="shared" si="9"/>
        <v>-1.329092151</v>
      </c>
      <c r="H693" s="42">
        <f t="shared" si="10"/>
        <v>0</v>
      </c>
      <c r="I693" s="42" t="str">
        <f>UpdateHashtag!S691</f>
        <v/>
      </c>
      <c r="J693" s="47">
        <f t="shared" si="11"/>
        <v>0</v>
      </c>
      <c r="K693" s="48" t="str">
        <f>UpdateHashtag!T691</f>
        <v/>
      </c>
      <c r="L693" s="42">
        <f t="shared" si="12"/>
        <v>-1.734552372</v>
      </c>
      <c r="N693" s="100">
        <f t="shared" si="13"/>
        <v>401</v>
      </c>
      <c r="O693" s="94" t="str">
        <f t="array" ref="O693">INDIRECT("Update"&amp;Projections!$AH$17&amp;"!B"&amp;ROW(B674))</f>
        <v/>
      </c>
      <c r="P693" s="414" t="str">
        <f t="array" ref="P693">INDIRECT("Update"&amp;Projections!$AH$17&amp;"!C"&amp;ROW(B674))</f>
        <v/>
      </c>
      <c r="Q693" s="94" t="str">
        <f>UpdateHashtag!F723</f>
        <v/>
      </c>
      <c r="R693" s="105" t="str">
        <f t="array" ref="R693">INDIRECT("Update"&amp;Projections!$AH$17&amp;"!D"&amp;ROW(B674))</f>
        <v/>
      </c>
      <c r="S693" s="73">
        <f t="shared" si="14"/>
        <v>-9.965301026</v>
      </c>
      <c r="T693" s="73">
        <f>SUM(AE693:AM693)-IFERROR(IFS(Projections!$I$17,AN693,Projections!$J$17,AO693),"")</f>
        <v>-9.965301026</v>
      </c>
      <c r="U693" s="73">
        <f t="shared" si="15"/>
        <v>0</v>
      </c>
      <c r="V693" s="73" t="str">
        <f t="array" ref="V693">INDIRECT("Update"&amp;Projections!$AH$17&amp;"!M"&amp;ROW(B674))</f>
        <v/>
      </c>
      <c r="W693" s="73" t="str">
        <f t="array" ref="W693">INDIRECT("Update"&amp;Projections!$AH$17&amp;"!L"&amp;ROW(B674))</f>
        <v/>
      </c>
      <c r="X693" s="73" t="str">
        <f t="array" ref="X693">INDIRECT("Update"&amp;Projections!$AH$17&amp;"!N"&amp;ROW(B674))</f>
        <v/>
      </c>
      <c r="Y693" s="73" t="str">
        <f t="array" ref="Y693">INDIRECT("Update"&amp;Projections!$AH$17&amp;"!O"&amp;ROW(B674))</f>
        <v/>
      </c>
      <c r="Z693" s="73" t="str">
        <f t="array" ref="Z693">INDIRECT("Update"&amp;Projections!$AH$17&amp;"!P"&amp;ROW(B674))</f>
        <v/>
      </c>
      <c r="AA693" s="73" t="str">
        <f t="array" ref="AA693">INDIRECT("Update"&amp;Projections!$AH$17&amp;"!Q"&amp;ROW(B674))</f>
        <v/>
      </c>
      <c r="AB693" s="107" t="str">
        <f t="array" ref="AB693">INDIRECT("Update"&amp;Projections!$AH$17&amp;"!I"&amp;ROW(B674))</f>
        <v/>
      </c>
      <c r="AC693" s="107" t="str">
        <f t="array" ref="AC693">INDIRECT("Update"&amp;Projections!$AH$17&amp;"!K"&amp;ROW(B674))</f>
        <v/>
      </c>
      <c r="AD693" s="73" t="str">
        <f t="array" ref="AD693">INDIRECT("Update"&amp;Projections!$AH$17&amp;"!R"&amp;ROW(B674))</f>
        <v/>
      </c>
      <c r="AE693" s="73">
        <f t="shared" si="16"/>
        <v>-3.155358621</v>
      </c>
      <c r="AF693" s="73">
        <f t="shared" si="17"/>
        <v>-1.740686581</v>
      </c>
      <c r="AG693" s="73">
        <f t="shared" si="18"/>
        <v>-2.380599106</v>
      </c>
      <c r="AH693" s="73">
        <f t="shared" si="19"/>
        <v>-1.79320266</v>
      </c>
      <c r="AI693" s="73">
        <f t="shared" si="20"/>
        <v>-3.240190514</v>
      </c>
      <c r="AJ693" s="73">
        <f t="shared" si="21"/>
        <v>-1.329092151</v>
      </c>
      <c r="AK693" s="73">
        <f t="shared" si="22"/>
        <v>0</v>
      </c>
      <c r="AL693" s="73">
        <f t="shared" si="23"/>
        <v>0</v>
      </c>
      <c r="AM693" s="73">
        <f t="shared" si="24"/>
        <v>0.433638093</v>
      </c>
      <c r="AN693" s="120">
        <f t="shared" si="25"/>
        <v>-3.240190514</v>
      </c>
      <c r="AO693" s="120">
        <f t="shared" si="26"/>
        <v>-6.395549135</v>
      </c>
      <c r="AP693" s="120" t="str">
        <f t="array" ref="AP693">INDIRECT("Update"&amp;Projections!$AH$17&amp;"!S"&amp;ROW(B674))</f>
        <v/>
      </c>
      <c r="AQ693" s="120" t="str">
        <f t="array" ref="AQ693">INDIRECT("Update"&amp;Projections!$AH$17&amp;"!T"&amp;ROW(B674))</f>
        <v/>
      </c>
      <c r="AR693" s="100">
        <f t="shared" si="27"/>
        <v>-9.965301026</v>
      </c>
    </row>
    <row r="694">
      <c r="A694" t="str">
        <f t="shared" si="3"/>
        <v/>
      </c>
      <c r="B694" s="42">
        <f t="shared" si="4"/>
        <v>-3.155358621</v>
      </c>
      <c r="C694" s="43">
        <f t="shared" si="5"/>
        <v>-1.740686581</v>
      </c>
      <c r="D694" s="42">
        <f t="shared" si="6"/>
        <v>-2.380599106</v>
      </c>
      <c r="E694" s="42">
        <f t="shared" si="7"/>
        <v>-1.79320266</v>
      </c>
      <c r="F694" s="42">
        <f t="shared" si="8"/>
        <v>-3.240190514</v>
      </c>
      <c r="G694" s="42">
        <f t="shared" si="9"/>
        <v>-1.329092151</v>
      </c>
      <c r="H694" s="42">
        <f t="shared" si="10"/>
        <v>0</v>
      </c>
      <c r="I694" s="42" t="str">
        <f>UpdateHashtag!S692</f>
        <v/>
      </c>
      <c r="J694" s="47">
        <f t="shared" si="11"/>
        <v>0</v>
      </c>
      <c r="K694" s="48" t="str">
        <f>UpdateHashtag!T692</f>
        <v/>
      </c>
      <c r="L694" s="42">
        <f t="shared" si="12"/>
        <v>-1.734552372</v>
      </c>
      <c r="N694" s="100">
        <f t="shared" si="13"/>
        <v>401</v>
      </c>
      <c r="O694" s="94" t="str">
        <f t="array" ref="O694">INDIRECT("Update"&amp;Projections!$AH$17&amp;"!B"&amp;ROW(B675))</f>
        <v/>
      </c>
      <c r="P694" s="414" t="str">
        <f t="array" ref="P694">INDIRECT("Update"&amp;Projections!$AH$17&amp;"!C"&amp;ROW(B675))</f>
        <v/>
      </c>
      <c r="Q694" s="94" t="str">
        <f>UpdateHashtag!F724</f>
        <v/>
      </c>
      <c r="R694" s="105" t="str">
        <f t="array" ref="R694">INDIRECT("Update"&amp;Projections!$AH$17&amp;"!D"&amp;ROW(B675))</f>
        <v/>
      </c>
      <c r="S694" s="73">
        <f t="shared" si="14"/>
        <v>-9.965301026</v>
      </c>
      <c r="T694" s="73">
        <f>SUM(AE694:AM694)-IFERROR(IFS(Projections!$I$17,AN694,Projections!$J$17,AO694),"")</f>
        <v>-9.965301026</v>
      </c>
      <c r="U694" s="73">
        <f t="shared" si="15"/>
        <v>0</v>
      </c>
      <c r="V694" s="73" t="str">
        <f t="array" ref="V694">INDIRECT("Update"&amp;Projections!$AH$17&amp;"!M"&amp;ROW(B675))</f>
        <v/>
      </c>
      <c r="W694" s="73" t="str">
        <f t="array" ref="W694">INDIRECT("Update"&amp;Projections!$AH$17&amp;"!L"&amp;ROW(B675))</f>
        <v/>
      </c>
      <c r="X694" s="73" t="str">
        <f t="array" ref="X694">INDIRECT("Update"&amp;Projections!$AH$17&amp;"!N"&amp;ROW(B675))</f>
        <v/>
      </c>
      <c r="Y694" s="73" t="str">
        <f t="array" ref="Y694">INDIRECT("Update"&amp;Projections!$AH$17&amp;"!O"&amp;ROW(B675))</f>
        <v/>
      </c>
      <c r="Z694" s="73" t="str">
        <f t="array" ref="Z694">INDIRECT("Update"&amp;Projections!$AH$17&amp;"!P"&amp;ROW(B675))</f>
        <v/>
      </c>
      <c r="AA694" s="73" t="str">
        <f t="array" ref="AA694">INDIRECT("Update"&amp;Projections!$AH$17&amp;"!Q"&amp;ROW(B675))</f>
        <v/>
      </c>
      <c r="AB694" s="107" t="str">
        <f t="array" ref="AB694">INDIRECT("Update"&amp;Projections!$AH$17&amp;"!I"&amp;ROW(B675))</f>
        <v/>
      </c>
      <c r="AC694" s="107" t="str">
        <f t="array" ref="AC694">INDIRECT("Update"&amp;Projections!$AH$17&amp;"!K"&amp;ROW(B675))</f>
        <v/>
      </c>
      <c r="AD694" s="73" t="str">
        <f t="array" ref="AD694">INDIRECT("Update"&amp;Projections!$AH$17&amp;"!R"&amp;ROW(B675))</f>
        <v/>
      </c>
      <c r="AE694" s="73">
        <f t="shared" si="16"/>
        <v>-3.155358621</v>
      </c>
      <c r="AF694" s="73">
        <f t="shared" si="17"/>
        <v>-1.740686581</v>
      </c>
      <c r="AG694" s="73">
        <f t="shared" si="18"/>
        <v>-2.380599106</v>
      </c>
      <c r="AH694" s="73">
        <f t="shared" si="19"/>
        <v>-1.79320266</v>
      </c>
      <c r="AI694" s="73">
        <f t="shared" si="20"/>
        <v>-3.240190514</v>
      </c>
      <c r="AJ694" s="73">
        <f t="shared" si="21"/>
        <v>-1.329092151</v>
      </c>
      <c r="AK694" s="73">
        <f t="shared" si="22"/>
        <v>0</v>
      </c>
      <c r="AL694" s="73">
        <f t="shared" si="23"/>
        <v>0</v>
      </c>
      <c r="AM694" s="73">
        <f t="shared" si="24"/>
        <v>0.433638093</v>
      </c>
      <c r="AN694" s="120">
        <f t="shared" si="25"/>
        <v>-3.240190514</v>
      </c>
      <c r="AO694" s="120">
        <f t="shared" si="26"/>
        <v>-6.395549135</v>
      </c>
      <c r="AP694" s="120" t="str">
        <f t="array" ref="AP694">INDIRECT("Update"&amp;Projections!$AH$17&amp;"!S"&amp;ROW(B675))</f>
        <v/>
      </c>
      <c r="AQ694" s="120" t="str">
        <f t="array" ref="AQ694">INDIRECT("Update"&amp;Projections!$AH$17&amp;"!T"&amp;ROW(B675))</f>
        <v/>
      </c>
      <c r="AR694" s="100">
        <f t="shared" si="27"/>
        <v>-9.965301026</v>
      </c>
    </row>
    <row r="695">
      <c r="A695" t="str">
        <f t="shared" si="3"/>
        <v/>
      </c>
      <c r="B695" s="42">
        <f t="shared" si="4"/>
        <v>-3.155358621</v>
      </c>
      <c r="C695" s="43">
        <f t="shared" si="5"/>
        <v>-1.740686581</v>
      </c>
      <c r="D695" s="42">
        <f t="shared" si="6"/>
        <v>-2.380599106</v>
      </c>
      <c r="E695" s="42">
        <f t="shared" si="7"/>
        <v>-1.79320266</v>
      </c>
      <c r="F695" s="42">
        <f t="shared" si="8"/>
        <v>-3.240190514</v>
      </c>
      <c r="G695" s="42">
        <f t="shared" si="9"/>
        <v>-1.329092151</v>
      </c>
      <c r="H695" s="42">
        <f t="shared" si="10"/>
        <v>0</v>
      </c>
      <c r="I695" s="42" t="str">
        <f>UpdateHashtag!S693</f>
        <v/>
      </c>
      <c r="J695" s="47">
        <f t="shared" si="11"/>
        <v>0</v>
      </c>
      <c r="K695" s="48" t="str">
        <f>UpdateHashtag!T693</f>
        <v/>
      </c>
      <c r="L695" s="42">
        <f t="shared" si="12"/>
        <v>-1.734552372</v>
      </c>
      <c r="N695" s="100">
        <f t="shared" si="13"/>
        <v>401</v>
      </c>
      <c r="O695" s="94" t="str">
        <f t="array" ref="O695">INDIRECT("Update"&amp;Projections!$AH$17&amp;"!B"&amp;ROW(B676))</f>
        <v/>
      </c>
      <c r="P695" s="414" t="str">
        <f t="array" ref="P695">INDIRECT("Update"&amp;Projections!$AH$17&amp;"!C"&amp;ROW(B676))</f>
        <v/>
      </c>
      <c r="Q695" s="94" t="str">
        <f>UpdateHashtag!F725</f>
        <v/>
      </c>
      <c r="R695" s="105" t="str">
        <f t="array" ref="R695">INDIRECT("Update"&amp;Projections!$AH$17&amp;"!D"&amp;ROW(B676))</f>
        <v/>
      </c>
      <c r="S695" s="73">
        <f t="shared" si="14"/>
        <v>-9.965301026</v>
      </c>
      <c r="T695" s="73">
        <f>SUM(AE695:AM695)-IFERROR(IFS(Projections!$I$17,AN695,Projections!$J$17,AO695),"")</f>
        <v>-9.965301026</v>
      </c>
      <c r="U695" s="73">
        <f t="shared" si="15"/>
        <v>0</v>
      </c>
      <c r="V695" s="73" t="str">
        <f t="array" ref="V695">INDIRECT("Update"&amp;Projections!$AH$17&amp;"!M"&amp;ROW(B676))</f>
        <v/>
      </c>
      <c r="W695" s="73" t="str">
        <f t="array" ref="W695">INDIRECT("Update"&amp;Projections!$AH$17&amp;"!L"&amp;ROW(B676))</f>
        <v/>
      </c>
      <c r="X695" s="73" t="str">
        <f t="array" ref="X695">INDIRECT("Update"&amp;Projections!$AH$17&amp;"!N"&amp;ROW(B676))</f>
        <v/>
      </c>
      <c r="Y695" s="73" t="str">
        <f t="array" ref="Y695">INDIRECT("Update"&amp;Projections!$AH$17&amp;"!O"&amp;ROW(B676))</f>
        <v/>
      </c>
      <c r="Z695" s="73" t="str">
        <f t="array" ref="Z695">INDIRECT("Update"&amp;Projections!$AH$17&amp;"!P"&amp;ROW(B676))</f>
        <v/>
      </c>
      <c r="AA695" s="73" t="str">
        <f t="array" ref="AA695">INDIRECT("Update"&amp;Projections!$AH$17&amp;"!Q"&amp;ROW(B676))</f>
        <v/>
      </c>
      <c r="AB695" s="107" t="str">
        <f t="array" ref="AB695">INDIRECT("Update"&amp;Projections!$AH$17&amp;"!I"&amp;ROW(B676))</f>
        <v/>
      </c>
      <c r="AC695" s="107" t="str">
        <f t="array" ref="AC695">INDIRECT("Update"&amp;Projections!$AH$17&amp;"!K"&amp;ROW(B676))</f>
        <v/>
      </c>
      <c r="AD695" s="73" t="str">
        <f t="array" ref="AD695">INDIRECT("Update"&amp;Projections!$AH$17&amp;"!R"&amp;ROW(B676))</f>
        <v/>
      </c>
      <c r="AE695" s="73">
        <f t="shared" si="16"/>
        <v>-3.155358621</v>
      </c>
      <c r="AF695" s="73">
        <f t="shared" si="17"/>
        <v>-1.740686581</v>
      </c>
      <c r="AG695" s="73">
        <f t="shared" si="18"/>
        <v>-2.380599106</v>
      </c>
      <c r="AH695" s="73">
        <f t="shared" si="19"/>
        <v>-1.79320266</v>
      </c>
      <c r="AI695" s="73">
        <f t="shared" si="20"/>
        <v>-3.240190514</v>
      </c>
      <c r="AJ695" s="73">
        <f t="shared" si="21"/>
        <v>-1.329092151</v>
      </c>
      <c r="AK695" s="73">
        <f t="shared" si="22"/>
        <v>0</v>
      </c>
      <c r="AL695" s="73">
        <f t="shared" si="23"/>
        <v>0</v>
      </c>
      <c r="AM695" s="73">
        <f t="shared" si="24"/>
        <v>0.433638093</v>
      </c>
      <c r="AN695" s="120">
        <f t="shared" si="25"/>
        <v>-3.240190514</v>
      </c>
      <c r="AO695" s="120">
        <f t="shared" si="26"/>
        <v>-6.395549135</v>
      </c>
      <c r="AP695" s="120" t="str">
        <f t="array" ref="AP695">INDIRECT("Update"&amp;Projections!$AH$17&amp;"!S"&amp;ROW(B676))</f>
        <v/>
      </c>
      <c r="AQ695" s="120" t="str">
        <f t="array" ref="AQ695">INDIRECT("Update"&amp;Projections!$AH$17&amp;"!T"&amp;ROW(B676))</f>
        <v/>
      </c>
      <c r="AR695" s="100">
        <f t="shared" si="27"/>
        <v>-9.965301026</v>
      </c>
    </row>
    <row r="696">
      <c r="A696" t="str">
        <f t="shared" si="3"/>
        <v/>
      </c>
      <c r="B696" s="42">
        <f t="shared" si="4"/>
        <v>-3.155358621</v>
      </c>
      <c r="C696" s="43">
        <f t="shared" si="5"/>
        <v>-1.740686581</v>
      </c>
      <c r="D696" s="42">
        <f t="shared" si="6"/>
        <v>-2.380599106</v>
      </c>
      <c r="E696" s="42">
        <f t="shared" si="7"/>
        <v>-1.79320266</v>
      </c>
      <c r="F696" s="42">
        <f t="shared" si="8"/>
        <v>-3.240190514</v>
      </c>
      <c r="G696" s="42">
        <f t="shared" si="9"/>
        <v>-1.329092151</v>
      </c>
      <c r="H696" s="42">
        <f t="shared" si="10"/>
        <v>0</v>
      </c>
      <c r="I696" s="42" t="str">
        <f>UpdateHashtag!S694</f>
        <v/>
      </c>
      <c r="J696" s="47">
        <f t="shared" si="11"/>
        <v>0</v>
      </c>
      <c r="K696" s="48" t="str">
        <f>UpdateHashtag!T694</f>
        <v/>
      </c>
      <c r="L696" s="42">
        <f t="shared" si="12"/>
        <v>-1.734552372</v>
      </c>
      <c r="N696" s="100">
        <f t="shared" si="13"/>
        <v>401</v>
      </c>
      <c r="O696" s="94" t="str">
        <f t="array" ref="O696">INDIRECT("Update"&amp;Projections!$AH$17&amp;"!B"&amp;ROW(B677))</f>
        <v/>
      </c>
      <c r="P696" s="414" t="str">
        <f t="array" ref="P696">INDIRECT("Update"&amp;Projections!$AH$17&amp;"!C"&amp;ROW(B677))</f>
        <v/>
      </c>
      <c r="Q696" s="94" t="str">
        <f>UpdateHashtag!F726</f>
        <v/>
      </c>
      <c r="R696" s="105" t="str">
        <f t="array" ref="R696">INDIRECT("Update"&amp;Projections!$AH$17&amp;"!D"&amp;ROW(B677))</f>
        <v/>
      </c>
      <c r="S696" s="73">
        <f t="shared" si="14"/>
        <v>-9.965301026</v>
      </c>
      <c r="T696" s="73">
        <f>SUM(AE696:AM696)-IFERROR(IFS(Projections!$I$17,AN696,Projections!$J$17,AO696),"")</f>
        <v>-9.965301026</v>
      </c>
      <c r="U696" s="73">
        <f t="shared" si="15"/>
        <v>0</v>
      </c>
      <c r="V696" s="73" t="str">
        <f t="array" ref="V696">INDIRECT("Update"&amp;Projections!$AH$17&amp;"!M"&amp;ROW(B677))</f>
        <v/>
      </c>
      <c r="W696" s="73" t="str">
        <f t="array" ref="W696">INDIRECT("Update"&amp;Projections!$AH$17&amp;"!L"&amp;ROW(B677))</f>
        <v/>
      </c>
      <c r="X696" s="73" t="str">
        <f t="array" ref="X696">INDIRECT("Update"&amp;Projections!$AH$17&amp;"!N"&amp;ROW(B677))</f>
        <v/>
      </c>
      <c r="Y696" s="73" t="str">
        <f t="array" ref="Y696">INDIRECT("Update"&amp;Projections!$AH$17&amp;"!O"&amp;ROW(B677))</f>
        <v/>
      </c>
      <c r="Z696" s="73" t="str">
        <f t="array" ref="Z696">INDIRECT("Update"&amp;Projections!$AH$17&amp;"!P"&amp;ROW(B677))</f>
        <v/>
      </c>
      <c r="AA696" s="73" t="str">
        <f t="array" ref="AA696">INDIRECT("Update"&amp;Projections!$AH$17&amp;"!Q"&amp;ROW(B677))</f>
        <v/>
      </c>
      <c r="AB696" s="107" t="str">
        <f t="array" ref="AB696">INDIRECT("Update"&amp;Projections!$AH$17&amp;"!I"&amp;ROW(B677))</f>
        <v/>
      </c>
      <c r="AC696" s="107" t="str">
        <f t="array" ref="AC696">INDIRECT("Update"&amp;Projections!$AH$17&amp;"!K"&amp;ROW(B677))</f>
        <v/>
      </c>
      <c r="AD696" s="73" t="str">
        <f t="array" ref="AD696">INDIRECT("Update"&amp;Projections!$AH$17&amp;"!R"&amp;ROW(B677))</f>
        <v/>
      </c>
      <c r="AE696" s="73">
        <f t="shared" si="16"/>
        <v>-3.155358621</v>
      </c>
      <c r="AF696" s="73">
        <f t="shared" si="17"/>
        <v>-1.740686581</v>
      </c>
      <c r="AG696" s="73">
        <f t="shared" si="18"/>
        <v>-2.380599106</v>
      </c>
      <c r="AH696" s="73">
        <f t="shared" si="19"/>
        <v>-1.79320266</v>
      </c>
      <c r="AI696" s="73">
        <f t="shared" si="20"/>
        <v>-3.240190514</v>
      </c>
      <c r="AJ696" s="73">
        <f t="shared" si="21"/>
        <v>-1.329092151</v>
      </c>
      <c r="AK696" s="73">
        <f t="shared" si="22"/>
        <v>0</v>
      </c>
      <c r="AL696" s="73">
        <f t="shared" si="23"/>
        <v>0</v>
      </c>
      <c r="AM696" s="73">
        <f t="shared" si="24"/>
        <v>0.433638093</v>
      </c>
      <c r="AN696" s="120">
        <f t="shared" si="25"/>
        <v>-3.240190514</v>
      </c>
      <c r="AO696" s="120">
        <f t="shared" si="26"/>
        <v>-6.395549135</v>
      </c>
      <c r="AP696" s="120" t="str">
        <f t="array" ref="AP696">INDIRECT("Update"&amp;Projections!$AH$17&amp;"!S"&amp;ROW(B677))</f>
        <v/>
      </c>
      <c r="AQ696" s="120" t="str">
        <f t="array" ref="AQ696">INDIRECT("Update"&amp;Projections!$AH$17&amp;"!T"&amp;ROW(B677))</f>
        <v/>
      </c>
      <c r="AR696" s="100">
        <f t="shared" si="27"/>
        <v>-9.965301026</v>
      </c>
    </row>
    <row r="697">
      <c r="A697" t="str">
        <f t="shared" si="3"/>
        <v/>
      </c>
      <c r="B697" s="42">
        <f t="shared" si="4"/>
        <v>-3.155358621</v>
      </c>
      <c r="C697" s="43">
        <f t="shared" si="5"/>
        <v>-1.740686581</v>
      </c>
      <c r="D697" s="42">
        <f t="shared" si="6"/>
        <v>-2.380599106</v>
      </c>
      <c r="E697" s="42">
        <f t="shared" si="7"/>
        <v>-1.79320266</v>
      </c>
      <c r="F697" s="42">
        <f t="shared" si="8"/>
        <v>-3.240190514</v>
      </c>
      <c r="G697" s="42">
        <f t="shared" si="9"/>
        <v>-1.329092151</v>
      </c>
      <c r="H697" s="42">
        <f t="shared" si="10"/>
        <v>0</v>
      </c>
      <c r="I697" s="42" t="str">
        <f>UpdateHashtag!S695</f>
        <v/>
      </c>
      <c r="J697" s="47">
        <f t="shared" si="11"/>
        <v>0</v>
      </c>
      <c r="K697" s="48" t="str">
        <f>UpdateHashtag!T695</f>
        <v/>
      </c>
      <c r="L697" s="42">
        <f t="shared" si="12"/>
        <v>-1.734552372</v>
      </c>
      <c r="N697" s="100">
        <f t="shared" si="13"/>
        <v>401</v>
      </c>
      <c r="O697" s="94" t="str">
        <f t="array" ref="O697">INDIRECT("Update"&amp;Projections!$AH$17&amp;"!B"&amp;ROW(B678))</f>
        <v/>
      </c>
      <c r="P697" s="414" t="str">
        <f t="array" ref="P697">INDIRECT("Update"&amp;Projections!$AH$17&amp;"!C"&amp;ROW(B678))</f>
        <v/>
      </c>
      <c r="Q697" s="94" t="str">
        <f>UpdateHashtag!F727</f>
        <v/>
      </c>
      <c r="R697" s="105" t="str">
        <f t="array" ref="R697">INDIRECT("Update"&amp;Projections!$AH$17&amp;"!D"&amp;ROW(B678))</f>
        <v/>
      </c>
      <c r="S697" s="73">
        <f t="shared" si="14"/>
        <v>-9.965301026</v>
      </c>
      <c r="T697" s="73">
        <f>SUM(AE697:AM697)-IFERROR(IFS(Projections!$I$17,AN697,Projections!$J$17,AO697),"")</f>
        <v>-9.965301026</v>
      </c>
      <c r="U697" s="73">
        <f t="shared" si="15"/>
        <v>0</v>
      </c>
      <c r="V697" s="73" t="str">
        <f t="array" ref="V697">INDIRECT("Update"&amp;Projections!$AH$17&amp;"!M"&amp;ROW(B678))</f>
        <v/>
      </c>
      <c r="W697" s="73" t="str">
        <f t="array" ref="W697">INDIRECT("Update"&amp;Projections!$AH$17&amp;"!L"&amp;ROW(B678))</f>
        <v/>
      </c>
      <c r="X697" s="73" t="str">
        <f t="array" ref="X697">INDIRECT("Update"&amp;Projections!$AH$17&amp;"!N"&amp;ROW(B678))</f>
        <v/>
      </c>
      <c r="Y697" s="73" t="str">
        <f t="array" ref="Y697">INDIRECT("Update"&amp;Projections!$AH$17&amp;"!O"&amp;ROW(B678))</f>
        <v/>
      </c>
      <c r="Z697" s="73" t="str">
        <f t="array" ref="Z697">INDIRECT("Update"&amp;Projections!$AH$17&amp;"!P"&amp;ROW(B678))</f>
        <v/>
      </c>
      <c r="AA697" s="73" t="str">
        <f t="array" ref="AA697">INDIRECT("Update"&amp;Projections!$AH$17&amp;"!Q"&amp;ROW(B678))</f>
        <v/>
      </c>
      <c r="AB697" s="107" t="str">
        <f t="array" ref="AB697">INDIRECT("Update"&amp;Projections!$AH$17&amp;"!I"&amp;ROW(B678))</f>
        <v/>
      </c>
      <c r="AC697" s="107" t="str">
        <f t="array" ref="AC697">INDIRECT("Update"&amp;Projections!$AH$17&amp;"!K"&amp;ROW(B678))</f>
        <v/>
      </c>
      <c r="AD697" s="73" t="str">
        <f t="array" ref="AD697">INDIRECT("Update"&amp;Projections!$AH$17&amp;"!R"&amp;ROW(B678))</f>
        <v/>
      </c>
      <c r="AE697" s="73">
        <f t="shared" si="16"/>
        <v>-3.155358621</v>
      </c>
      <c r="AF697" s="73">
        <f t="shared" si="17"/>
        <v>-1.740686581</v>
      </c>
      <c r="AG697" s="73">
        <f t="shared" si="18"/>
        <v>-2.380599106</v>
      </c>
      <c r="AH697" s="73">
        <f t="shared" si="19"/>
        <v>-1.79320266</v>
      </c>
      <c r="AI697" s="73">
        <f t="shared" si="20"/>
        <v>-3.240190514</v>
      </c>
      <c r="AJ697" s="73">
        <f t="shared" si="21"/>
        <v>-1.329092151</v>
      </c>
      <c r="AK697" s="73">
        <f t="shared" si="22"/>
        <v>0</v>
      </c>
      <c r="AL697" s="73">
        <f t="shared" si="23"/>
        <v>0</v>
      </c>
      <c r="AM697" s="73">
        <f t="shared" si="24"/>
        <v>0.433638093</v>
      </c>
      <c r="AN697" s="120">
        <f t="shared" si="25"/>
        <v>-3.240190514</v>
      </c>
      <c r="AO697" s="120">
        <f t="shared" si="26"/>
        <v>-6.395549135</v>
      </c>
      <c r="AP697" s="120" t="str">
        <f t="array" ref="AP697">INDIRECT("Update"&amp;Projections!$AH$17&amp;"!S"&amp;ROW(B678))</f>
        <v/>
      </c>
      <c r="AQ697" s="120" t="str">
        <f t="array" ref="AQ697">INDIRECT("Update"&amp;Projections!$AH$17&amp;"!T"&amp;ROW(B678))</f>
        <v/>
      </c>
      <c r="AR697" s="100">
        <f t="shared" si="27"/>
        <v>-9.965301026</v>
      </c>
    </row>
    <row r="698">
      <c r="A698" t="str">
        <f t="shared" si="3"/>
        <v/>
      </c>
      <c r="B698" s="42">
        <f t="shared" si="4"/>
        <v>-3.155358621</v>
      </c>
      <c r="C698" s="43">
        <f t="shared" si="5"/>
        <v>-1.740686581</v>
      </c>
      <c r="D698" s="42">
        <f t="shared" si="6"/>
        <v>-2.380599106</v>
      </c>
      <c r="E698" s="42">
        <f t="shared" si="7"/>
        <v>-1.79320266</v>
      </c>
      <c r="F698" s="42">
        <f t="shared" si="8"/>
        <v>-3.240190514</v>
      </c>
      <c r="G698" s="42">
        <f t="shared" si="9"/>
        <v>-1.329092151</v>
      </c>
      <c r="H698" s="42">
        <f t="shared" si="10"/>
        <v>0</v>
      </c>
      <c r="I698" s="42" t="str">
        <f>UpdateHashtag!S696</f>
        <v/>
      </c>
      <c r="J698" s="47">
        <f t="shared" si="11"/>
        <v>0</v>
      </c>
      <c r="K698" s="48" t="str">
        <f>UpdateHashtag!T696</f>
        <v/>
      </c>
      <c r="L698" s="42">
        <f t="shared" si="12"/>
        <v>-1.734552372</v>
      </c>
      <c r="N698" s="100">
        <f t="shared" si="13"/>
        <v>401</v>
      </c>
      <c r="O698" s="94" t="str">
        <f t="array" ref="O698">INDIRECT("Update"&amp;Projections!$AH$17&amp;"!B"&amp;ROW(B679))</f>
        <v/>
      </c>
      <c r="P698" s="414" t="str">
        <f t="array" ref="P698">INDIRECT("Update"&amp;Projections!$AH$17&amp;"!C"&amp;ROW(B679))</f>
        <v/>
      </c>
      <c r="Q698" s="94" t="str">
        <f>UpdateHashtag!F728</f>
        <v/>
      </c>
      <c r="R698" s="105" t="str">
        <f t="array" ref="R698">INDIRECT("Update"&amp;Projections!$AH$17&amp;"!D"&amp;ROW(B679))</f>
        <v/>
      </c>
      <c r="S698" s="73">
        <f t="shared" si="14"/>
        <v>-9.965301026</v>
      </c>
      <c r="T698" s="73">
        <f>SUM(AE698:AM698)-IFERROR(IFS(Projections!$I$17,AN698,Projections!$J$17,AO698),"")</f>
        <v>-9.965301026</v>
      </c>
      <c r="U698" s="73">
        <f t="shared" si="15"/>
        <v>0</v>
      </c>
      <c r="V698" s="73" t="str">
        <f t="array" ref="V698">INDIRECT("Update"&amp;Projections!$AH$17&amp;"!M"&amp;ROW(B679))</f>
        <v/>
      </c>
      <c r="W698" s="73" t="str">
        <f t="array" ref="W698">INDIRECT("Update"&amp;Projections!$AH$17&amp;"!L"&amp;ROW(B679))</f>
        <v/>
      </c>
      <c r="X698" s="73" t="str">
        <f t="array" ref="X698">INDIRECT("Update"&amp;Projections!$AH$17&amp;"!N"&amp;ROW(B679))</f>
        <v/>
      </c>
      <c r="Y698" s="73" t="str">
        <f t="array" ref="Y698">INDIRECT("Update"&amp;Projections!$AH$17&amp;"!O"&amp;ROW(B679))</f>
        <v/>
      </c>
      <c r="Z698" s="73" t="str">
        <f t="array" ref="Z698">INDIRECT("Update"&amp;Projections!$AH$17&amp;"!P"&amp;ROW(B679))</f>
        <v/>
      </c>
      <c r="AA698" s="73" t="str">
        <f t="array" ref="AA698">INDIRECT("Update"&amp;Projections!$AH$17&amp;"!Q"&amp;ROW(B679))</f>
        <v/>
      </c>
      <c r="AB698" s="107" t="str">
        <f t="array" ref="AB698">INDIRECT("Update"&amp;Projections!$AH$17&amp;"!I"&amp;ROW(B679))</f>
        <v/>
      </c>
      <c r="AC698" s="107" t="str">
        <f t="array" ref="AC698">INDIRECT("Update"&amp;Projections!$AH$17&amp;"!K"&amp;ROW(B679))</f>
        <v/>
      </c>
      <c r="AD698" s="73" t="str">
        <f t="array" ref="AD698">INDIRECT("Update"&amp;Projections!$AH$17&amp;"!R"&amp;ROW(B679))</f>
        <v/>
      </c>
      <c r="AE698" s="73">
        <f t="shared" si="16"/>
        <v>-3.155358621</v>
      </c>
      <c r="AF698" s="73">
        <f t="shared" si="17"/>
        <v>-1.740686581</v>
      </c>
      <c r="AG698" s="73">
        <f t="shared" si="18"/>
        <v>-2.380599106</v>
      </c>
      <c r="AH698" s="73">
        <f t="shared" si="19"/>
        <v>-1.79320266</v>
      </c>
      <c r="AI698" s="73">
        <f t="shared" si="20"/>
        <v>-3.240190514</v>
      </c>
      <c r="AJ698" s="73">
        <f t="shared" si="21"/>
        <v>-1.329092151</v>
      </c>
      <c r="AK698" s="73">
        <f t="shared" si="22"/>
        <v>0</v>
      </c>
      <c r="AL698" s="73">
        <f t="shared" si="23"/>
        <v>0</v>
      </c>
      <c r="AM698" s="73">
        <f t="shared" si="24"/>
        <v>0.433638093</v>
      </c>
      <c r="AN698" s="120">
        <f t="shared" si="25"/>
        <v>-3.240190514</v>
      </c>
      <c r="AO698" s="120">
        <f t="shared" si="26"/>
        <v>-6.395549135</v>
      </c>
      <c r="AP698" s="120" t="str">
        <f t="array" ref="AP698">INDIRECT("Update"&amp;Projections!$AH$17&amp;"!S"&amp;ROW(B679))</f>
        <v/>
      </c>
      <c r="AQ698" s="120" t="str">
        <f t="array" ref="AQ698">INDIRECT("Update"&amp;Projections!$AH$17&amp;"!T"&amp;ROW(B679))</f>
        <v/>
      </c>
      <c r="AR698" s="100">
        <f t="shared" si="27"/>
        <v>-9.965301026</v>
      </c>
    </row>
    <row r="699">
      <c r="A699" t="str">
        <f t="shared" si="3"/>
        <v/>
      </c>
      <c r="B699" s="42">
        <f t="shared" si="4"/>
        <v>-3.155358621</v>
      </c>
      <c r="C699" s="43">
        <f t="shared" si="5"/>
        <v>-1.740686581</v>
      </c>
      <c r="D699" s="42">
        <f t="shared" si="6"/>
        <v>-2.380599106</v>
      </c>
      <c r="E699" s="42">
        <f t="shared" si="7"/>
        <v>-1.79320266</v>
      </c>
      <c r="F699" s="42">
        <f t="shared" si="8"/>
        <v>-3.240190514</v>
      </c>
      <c r="G699" s="42">
        <f t="shared" si="9"/>
        <v>-1.329092151</v>
      </c>
      <c r="H699" s="42">
        <f t="shared" si="10"/>
        <v>0</v>
      </c>
      <c r="I699" s="42" t="str">
        <f>UpdateHashtag!S697</f>
        <v/>
      </c>
      <c r="J699" s="47">
        <f t="shared" si="11"/>
        <v>0</v>
      </c>
      <c r="K699" s="48" t="str">
        <f>UpdateHashtag!T697</f>
        <v/>
      </c>
      <c r="L699" s="42">
        <f t="shared" si="12"/>
        <v>-1.734552372</v>
      </c>
      <c r="N699" s="100">
        <f t="shared" si="13"/>
        <v>401</v>
      </c>
      <c r="O699" s="94" t="str">
        <f t="array" ref="O699">INDIRECT("Update"&amp;Projections!$AH$17&amp;"!B"&amp;ROW(B680))</f>
        <v/>
      </c>
      <c r="P699" s="414" t="str">
        <f t="array" ref="P699">INDIRECT("Update"&amp;Projections!$AH$17&amp;"!C"&amp;ROW(B680))</f>
        <v/>
      </c>
      <c r="Q699" s="94" t="str">
        <f>UpdateHashtag!F729</f>
        <v/>
      </c>
      <c r="R699" s="105" t="str">
        <f t="array" ref="R699">INDIRECT("Update"&amp;Projections!$AH$17&amp;"!D"&amp;ROW(B680))</f>
        <v/>
      </c>
      <c r="S699" s="73">
        <f t="shared" si="14"/>
        <v>-9.965301026</v>
      </c>
      <c r="T699" s="73">
        <f>SUM(AE699:AM699)-IFERROR(IFS(Projections!$I$17,AN699,Projections!$J$17,AO699),"")</f>
        <v>-9.965301026</v>
      </c>
      <c r="U699" s="73">
        <f t="shared" si="15"/>
        <v>0</v>
      </c>
      <c r="V699" s="73" t="str">
        <f t="array" ref="V699">INDIRECT("Update"&amp;Projections!$AH$17&amp;"!M"&amp;ROW(B680))</f>
        <v/>
      </c>
      <c r="W699" s="73" t="str">
        <f t="array" ref="W699">INDIRECT("Update"&amp;Projections!$AH$17&amp;"!L"&amp;ROW(B680))</f>
        <v/>
      </c>
      <c r="X699" s="73" t="str">
        <f t="array" ref="X699">INDIRECT("Update"&amp;Projections!$AH$17&amp;"!N"&amp;ROW(B680))</f>
        <v/>
      </c>
      <c r="Y699" s="73" t="str">
        <f t="array" ref="Y699">INDIRECT("Update"&amp;Projections!$AH$17&amp;"!O"&amp;ROW(B680))</f>
        <v/>
      </c>
      <c r="Z699" s="73" t="str">
        <f t="array" ref="Z699">INDIRECT("Update"&amp;Projections!$AH$17&amp;"!P"&amp;ROW(B680))</f>
        <v/>
      </c>
      <c r="AA699" s="73" t="str">
        <f t="array" ref="AA699">INDIRECT("Update"&amp;Projections!$AH$17&amp;"!Q"&amp;ROW(B680))</f>
        <v/>
      </c>
      <c r="AB699" s="107" t="str">
        <f t="array" ref="AB699">INDIRECT("Update"&amp;Projections!$AH$17&amp;"!I"&amp;ROW(B680))</f>
        <v/>
      </c>
      <c r="AC699" s="107" t="str">
        <f t="array" ref="AC699">INDIRECT("Update"&amp;Projections!$AH$17&amp;"!K"&amp;ROW(B680))</f>
        <v/>
      </c>
      <c r="AD699" s="73" t="str">
        <f t="array" ref="AD699">INDIRECT("Update"&amp;Projections!$AH$17&amp;"!R"&amp;ROW(B680))</f>
        <v/>
      </c>
      <c r="AE699" s="73">
        <f t="shared" si="16"/>
        <v>-3.155358621</v>
      </c>
      <c r="AF699" s="73">
        <f t="shared" si="17"/>
        <v>-1.740686581</v>
      </c>
      <c r="AG699" s="73">
        <f t="shared" si="18"/>
        <v>-2.380599106</v>
      </c>
      <c r="AH699" s="73">
        <f t="shared" si="19"/>
        <v>-1.79320266</v>
      </c>
      <c r="AI699" s="73">
        <f t="shared" si="20"/>
        <v>-3.240190514</v>
      </c>
      <c r="AJ699" s="73">
        <f t="shared" si="21"/>
        <v>-1.329092151</v>
      </c>
      <c r="AK699" s="73">
        <f t="shared" si="22"/>
        <v>0</v>
      </c>
      <c r="AL699" s="73">
        <f t="shared" si="23"/>
        <v>0</v>
      </c>
      <c r="AM699" s="73">
        <f t="shared" si="24"/>
        <v>0.433638093</v>
      </c>
      <c r="AN699" s="120">
        <f t="shared" si="25"/>
        <v>-3.240190514</v>
      </c>
      <c r="AO699" s="120">
        <f t="shared" si="26"/>
        <v>-6.395549135</v>
      </c>
      <c r="AP699" s="120" t="str">
        <f t="array" ref="AP699">INDIRECT("Update"&amp;Projections!$AH$17&amp;"!S"&amp;ROW(B680))</f>
        <v/>
      </c>
      <c r="AQ699" s="120" t="str">
        <f t="array" ref="AQ699">INDIRECT("Update"&amp;Projections!$AH$17&amp;"!T"&amp;ROW(B680))</f>
        <v/>
      </c>
      <c r="AR699" s="100">
        <f t="shared" si="27"/>
        <v>-9.965301026</v>
      </c>
    </row>
    <row r="700">
      <c r="A700" t="str">
        <f t="shared" si="3"/>
        <v/>
      </c>
      <c r="B700" s="42">
        <f t="shared" si="4"/>
        <v>-3.155358621</v>
      </c>
      <c r="C700" s="43">
        <f t="shared" si="5"/>
        <v>-1.740686581</v>
      </c>
      <c r="D700" s="42">
        <f t="shared" si="6"/>
        <v>-2.380599106</v>
      </c>
      <c r="E700" s="42">
        <f t="shared" si="7"/>
        <v>-1.79320266</v>
      </c>
      <c r="F700" s="42">
        <f t="shared" si="8"/>
        <v>-3.240190514</v>
      </c>
      <c r="G700" s="42">
        <f t="shared" si="9"/>
        <v>-1.329092151</v>
      </c>
      <c r="H700" s="42">
        <f t="shared" si="10"/>
        <v>0</v>
      </c>
      <c r="I700" s="42" t="str">
        <f>UpdateHashtag!S698</f>
        <v/>
      </c>
      <c r="J700" s="47">
        <f t="shared" si="11"/>
        <v>0</v>
      </c>
      <c r="K700" s="48" t="str">
        <f>UpdateHashtag!T698</f>
        <v/>
      </c>
      <c r="L700" s="42">
        <f t="shared" si="12"/>
        <v>-1.734552372</v>
      </c>
      <c r="N700" s="100">
        <f t="shared" si="13"/>
        <v>401</v>
      </c>
      <c r="O700" s="94" t="str">
        <f t="array" ref="O700">INDIRECT("Update"&amp;Projections!$AH$17&amp;"!B"&amp;ROW(B681))</f>
        <v/>
      </c>
      <c r="P700" s="414" t="str">
        <f t="array" ref="P700">INDIRECT("Update"&amp;Projections!$AH$17&amp;"!C"&amp;ROW(B681))</f>
        <v/>
      </c>
      <c r="Q700" s="94" t="str">
        <f>UpdateHashtag!F730</f>
        <v/>
      </c>
      <c r="R700" s="105" t="str">
        <f t="array" ref="R700">INDIRECT("Update"&amp;Projections!$AH$17&amp;"!D"&amp;ROW(B681))</f>
        <v/>
      </c>
      <c r="S700" s="73">
        <f t="shared" si="14"/>
        <v>-9.965301026</v>
      </c>
      <c r="T700" s="73">
        <f>SUM(AE700:AM700)-IFERROR(IFS(Projections!$I$17,AN700,Projections!$J$17,AO700),"")</f>
        <v>-9.965301026</v>
      </c>
      <c r="U700" s="73">
        <f t="shared" si="15"/>
        <v>0</v>
      </c>
      <c r="V700" s="73" t="str">
        <f t="array" ref="V700">INDIRECT("Update"&amp;Projections!$AH$17&amp;"!M"&amp;ROW(B681))</f>
        <v/>
      </c>
      <c r="W700" s="73" t="str">
        <f t="array" ref="W700">INDIRECT("Update"&amp;Projections!$AH$17&amp;"!L"&amp;ROW(B681))</f>
        <v/>
      </c>
      <c r="X700" s="73" t="str">
        <f t="array" ref="X700">INDIRECT("Update"&amp;Projections!$AH$17&amp;"!N"&amp;ROW(B681))</f>
        <v/>
      </c>
      <c r="Y700" s="73" t="str">
        <f t="array" ref="Y700">INDIRECT("Update"&amp;Projections!$AH$17&amp;"!O"&amp;ROW(B681))</f>
        <v/>
      </c>
      <c r="Z700" s="73" t="str">
        <f t="array" ref="Z700">INDIRECT("Update"&amp;Projections!$AH$17&amp;"!P"&amp;ROW(B681))</f>
        <v/>
      </c>
      <c r="AA700" s="73" t="str">
        <f t="array" ref="AA700">INDIRECT("Update"&amp;Projections!$AH$17&amp;"!Q"&amp;ROW(B681))</f>
        <v/>
      </c>
      <c r="AB700" s="107" t="str">
        <f t="array" ref="AB700">INDIRECT("Update"&amp;Projections!$AH$17&amp;"!I"&amp;ROW(B681))</f>
        <v/>
      </c>
      <c r="AC700" s="107" t="str">
        <f t="array" ref="AC700">INDIRECT("Update"&amp;Projections!$AH$17&amp;"!K"&amp;ROW(B681))</f>
        <v/>
      </c>
      <c r="AD700" s="73" t="str">
        <f t="array" ref="AD700">INDIRECT("Update"&amp;Projections!$AH$17&amp;"!R"&amp;ROW(B681))</f>
        <v/>
      </c>
      <c r="AE700" s="73">
        <f t="shared" si="16"/>
        <v>-3.155358621</v>
      </c>
      <c r="AF700" s="73">
        <f t="shared" si="17"/>
        <v>-1.740686581</v>
      </c>
      <c r="AG700" s="73">
        <f t="shared" si="18"/>
        <v>-2.380599106</v>
      </c>
      <c r="AH700" s="73">
        <f t="shared" si="19"/>
        <v>-1.79320266</v>
      </c>
      <c r="AI700" s="73">
        <f t="shared" si="20"/>
        <v>-3.240190514</v>
      </c>
      <c r="AJ700" s="73">
        <f t="shared" si="21"/>
        <v>-1.329092151</v>
      </c>
      <c r="AK700" s="73">
        <f t="shared" si="22"/>
        <v>0</v>
      </c>
      <c r="AL700" s="73">
        <f t="shared" si="23"/>
        <v>0</v>
      </c>
      <c r="AM700" s="73">
        <f t="shared" si="24"/>
        <v>0.433638093</v>
      </c>
      <c r="AN700" s="120">
        <f t="shared" si="25"/>
        <v>-3.240190514</v>
      </c>
      <c r="AO700" s="120">
        <f t="shared" si="26"/>
        <v>-6.395549135</v>
      </c>
      <c r="AP700" s="120" t="str">
        <f t="array" ref="AP700">INDIRECT("Update"&amp;Projections!$AH$17&amp;"!S"&amp;ROW(B681))</f>
        <v/>
      </c>
      <c r="AQ700" s="120" t="str">
        <f t="array" ref="AQ700">INDIRECT("Update"&amp;Projections!$AH$17&amp;"!T"&amp;ROW(B681))</f>
        <v/>
      </c>
      <c r="AR700" s="100">
        <f t="shared" si="27"/>
        <v>-9.965301026</v>
      </c>
    </row>
    <row r="701">
      <c r="A701" t="str">
        <f t="shared" si="3"/>
        <v/>
      </c>
      <c r="B701" s="42">
        <f t="shared" si="4"/>
        <v>-3.155358621</v>
      </c>
      <c r="C701" s="43">
        <f t="shared" si="5"/>
        <v>-1.740686581</v>
      </c>
      <c r="D701" s="42">
        <f t="shared" si="6"/>
        <v>-2.380599106</v>
      </c>
      <c r="E701" s="42">
        <f t="shared" si="7"/>
        <v>-1.79320266</v>
      </c>
      <c r="F701" s="42">
        <f t="shared" si="8"/>
        <v>-3.240190514</v>
      </c>
      <c r="G701" s="42">
        <f t="shared" si="9"/>
        <v>-1.329092151</v>
      </c>
      <c r="H701" s="42">
        <f t="shared" si="10"/>
        <v>0</v>
      </c>
      <c r="I701" s="42" t="str">
        <f>UpdateHashtag!S699</f>
        <v/>
      </c>
      <c r="J701" s="47">
        <f t="shared" si="11"/>
        <v>0</v>
      </c>
      <c r="K701" s="48" t="str">
        <f>UpdateHashtag!T699</f>
        <v/>
      </c>
      <c r="L701" s="42">
        <f t="shared" si="12"/>
        <v>-1.734552372</v>
      </c>
      <c r="N701" s="100">
        <f t="shared" si="13"/>
        <v>401</v>
      </c>
      <c r="O701" s="94" t="str">
        <f t="array" ref="O701">INDIRECT("Update"&amp;Projections!$AH$17&amp;"!B"&amp;ROW(B682))</f>
        <v/>
      </c>
      <c r="P701" s="414" t="str">
        <f t="array" ref="P701">INDIRECT("Update"&amp;Projections!$AH$17&amp;"!C"&amp;ROW(B682))</f>
        <v/>
      </c>
      <c r="Q701" s="94" t="str">
        <f>UpdateHashtag!F731</f>
        <v/>
      </c>
      <c r="R701" s="105" t="str">
        <f t="array" ref="R701">INDIRECT("Update"&amp;Projections!$AH$17&amp;"!D"&amp;ROW(B682))</f>
        <v/>
      </c>
      <c r="S701" s="73">
        <f t="shared" si="14"/>
        <v>-9.965301026</v>
      </c>
      <c r="T701" s="73">
        <f>SUM(AE701:AM701)-IFERROR(IFS(Projections!$I$17,AN701,Projections!$J$17,AO701),"")</f>
        <v>-9.965301026</v>
      </c>
      <c r="U701" s="73">
        <f t="shared" si="15"/>
        <v>0</v>
      </c>
      <c r="V701" s="73" t="str">
        <f t="array" ref="V701">INDIRECT("Update"&amp;Projections!$AH$17&amp;"!M"&amp;ROW(B682))</f>
        <v/>
      </c>
      <c r="W701" s="73" t="str">
        <f t="array" ref="W701">INDIRECT("Update"&amp;Projections!$AH$17&amp;"!L"&amp;ROW(B682))</f>
        <v/>
      </c>
      <c r="X701" s="73" t="str">
        <f t="array" ref="X701">INDIRECT("Update"&amp;Projections!$AH$17&amp;"!N"&amp;ROW(B682))</f>
        <v/>
      </c>
      <c r="Y701" s="73" t="str">
        <f t="array" ref="Y701">INDIRECT("Update"&amp;Projections!$AH$17&amp;"!O"&amp;ROW(B682))</f>
        <v/>
      </c>
      <c r="Z701" s="73" t="str">
        <f t="array" ref="Z701">INDIRECT("Update"&amp;Projections!$AH$17&amp;"!P"&amp;ROW(B682))</f>
        <v/>
      </c>
      <c r="AA701" s="73" t="str">
        <f t="array" ref="AA701">INDIRECT("Update"&amp;Projections!$AH$17&amp;"!Q"&amp;ROW(B682))</f>
        <v/>
      </c>
      <c r="AB701" s="107" t="str">
        <f t="array" ref="AB701">INDIRECT("Update"&amp;Projections!$AH$17&amp;"!I"&amp;ROW(B682))</f>
        <v/>
      </c>
      <c r="AC701" s="107" t="str">
        <f t="array" ref="AC701">INDIRECT("Update"&amp;Projections!$AH$17&amp;"!K"&amp;ROW(B682))</f>
        <v/>
      </c>
      <c r="AD701" s="73" t="str">
        <f t="array" ref="AD701">INDIRECT("Update"&amp;Projections!$AH$17&amp;"!R"&amp;ROW(B682))</f>
        <v/>
      </c>
      <c r="AE701" s="73">
        <f t="shared" si="16"/>
        <v>-3.155358621</v>
      </c>
      <c r="AF701" s="73">
        <f t="shared" si="17"/>
        <v>-1.740686581</v>
      </c>
      <c r="AG701" s="73">
        <f t="shared" si="18"/>
        <v>-2.380599106</v>
      </c>
      <c r="AH701" s="73">
        <f t="shared" si="19"/>
        <v>-1.79320266</v>
      </c>
      <c r="AI701" s="73">
        <f t="shared" si="20"/>
        <v>-3.240190514</v>
      </c>
      <c r="AJ701" s="73">
        <f t="shared" si="21"/>
        <v>-1.329092151</v>
      </c>
      <c r="AK701" s="73">
        <f t="shared" si="22"/>
        <v>0</v>
      </c>
      <c r="AL701" s="73">
        <f t="shared" si="23"/>
        <v>0</v>
      </c>
      <c r="AM701" s="73">
        <f t="shared" si="24"/>
        <v>0.433638093</v>
      </c>
      <c r="AN701" s="120">
        <f t="shared" si="25"/>
        <v>-3.240190514</v>
      </c>
      <c r="AO701" s="120">
        <f t="shared" si="26"/>
        <v>-6.395549135</v>
      </c>
      <c r="AP701" s="120" t="str">
        <f t="array" ref="AP701">INDIRECT("Update"&amp;Projections!$AH$17&amp;"!S"&amp;ROW(B682))</f>
        <v/>
      </c>
      <c r="AQ701" s="120" t="str">
        <f t="array" ref="AQ701">INDIRECT("Update"&amp;Projections!$AH$17&amp;"!T"&amp;ROW(B682))</f>
        <v/>
      </c>
      <c r="AR701" s="100">
        <f t="shared" si="27"/>
        <v>-9.965301026</v>
      </c>
    </row>
    <row r="702">
      <c r="A702" t="str">
        <f t="shared" si="3"/>
        <v/>
      </c>
      <c r="B702" s="42">
        <f t="shared" si="4"/>
        <v>-3.155358621</v>
      </c>
      <c r="C702" s="43">
        <f t="shared" si="5"/>
        <v>-1.740686581</v>
      </c>
      <c r="D702" s="42">
        <f t="shared" si="6"/>
        <v>-2.380599106</v>
      </c>
      <c r="E702" s="42">
        <f t="shared" si="7"/>
        <v>-1.79320266</v>
      </c>
      <c r="F702" s="42">
        <f t="shared" si="8"/>
        <v>-3.240190514</v>
      </c>
      <c r="G702" s="42">
        <f t="shared" si="9"/>
        <v>-1.329092151</v>
      </c>
      <c r="H702" s="42">
        <f t="shared" si="10"/>
        <v>0</v>
      </c>
      <c r="I702" s="42" t="str">
        <f>UpdateHashtag!S700</f>
        <v/>
      </c>
      <c r="J702" s="47">
        <f t="shared" si="11"/>
        <v>0</v>
      </c>
      <c r="K702" s="48" t="str">
        <f>UpdateHashtag!T700</f>
        <v/>
      </c>
      <c r="L702" s="42">
        <f t="shared" si="12"/>
        <v>-1.734552372</v>
      </c>
      <c r="N702" s="100">
        <f t="shared" si="13"/>
        <v>401</v>
      </c>
      <c r="O702" s="94" t="str">
        <f t="array" ref="O702">INDIRECT("Update"&amp;Projections!$AH$17&amp;"!B"&amp;ROW(B683))</f>
        <v/>
      </c>
      <c r="P702" s="414" t="str">
        <f t="array" ref="P702">INDIRECT("Update"&amp;Projections!$AH$17&amp;"!C"&amp;ROW(B683))</f>
        <v/>
      </c>
      <c r="Q702" s="94" t="str">
        <f>UpdateHashtag!F732</f>
        <v/>
      </c>
      <c r="R702" s="105" t="str">
        <f t="array" ref="R702">INDIRECT("Update"&amp;Projections!$AH$17&amp;"!D"&amp;ROW(B683))</f>
        <v/>
      </c>
      <c r="S702" s="73">
        <f t="shared" si="14"/>
        <v>-9.965301026</v>
      </c>
      <c r="T702" s="73">
        <f>SUM(AE702:AM702)-IFERROR(IFS(Projections!$I$17,AN702,Projections!$J$17,AO702),"")</f>
        <v>-9.965301026</v>
      </c>
      <c r="U702" s="73">
        <f t="shared" si="15"/>
        <v>0</v>
      </c>
      <c r="V702" s="73" t="str">
        <f t="array" ref="V702">INDIRECT("Update"&amp;Projections!$AH$17&amp;"!M"&amp;ROW(B683))</f>
        <v/>
      </c>
      <c r="W702" s="73" t="str">
        <f t="array" ref="W702">INDIRECT("Update"&amp;Projections!$AH$17&amp;"!L"&amp;ROW(B683))</f>
        <v/>
      </c>
      <c r="X702" s="73" t="str">
        <f t="array" ref="X702">INDIRECT("Update"&amp;Projections!$AH$17&amp;"!N"&amp;ROW(B683))</f>
        <v/>
      </c>
      <c r="Y702" s="73" t="str">
        <f t="array" ref="Y702">INDIRECT("Update"&amp;Projections!$AH$17&amp;"!O"&amp;ROW(B683))</f>
        <v/>
      </c>
      <c r="Z702" s="73" t="str">
        <f t="array" ref="Z702">INDIRECT("Update"&amp;Projections!$AH$17&amp;"!P"&amp;ROW(B683))</f>
        <v/>
      </c>
      <c r="AA702" s="73" t="str">
        <f t="array" ref="AA702">INDIRECT("Update"&amp;Projections!$AH$17&amp;"!Q"&amp;ROW(B683))</f>
        <v/>
      </c>
      <c r="AB702" s="107" t="str">
        <f t="array" ref="AB702">INDIRECT("Update"&amp;Projections!$AH$17&amp;"!I"&amp;ROW(B683))</f>
        <v/>
      </c>
      <c r="AC702" s="107" t="str">
        <f t="array" ref="AC702">INDIRECT("Update"&amp;Projections!$AH$17&amp;"!K"&amp;ROW(B683))</f>
        <v/>
      </c>
      <c r="AD702" s="73" t="str">
        <f t="array" ref="AD702">INDIRECT("Update"&amp;Projections!$AH$17&amp;"!R"&amp;ROW(B683))</f>
        <v/>
      </c>
      <c r="AE702" s="73">
        <f t="shared" si="16"/>
        <v>-3.155358621</v>
      </c>
      <c r="AF702" s="73">
        <f t="shared" si="17"/>
        <v>-1.740686581</v>
      </c>
      <c r="AG702" s="73">
        <f t="shared" si="18"/>
        <v>-2.380599106</v>
      </c>
      <c r="AH702" s="73">
        <f t="shared" si="19"/>
        <v>-1.79320266</v>
      </c>
      <c r="AI702" s="73">
        <f t="shared" si="20"/>
        <v>-3.240190514</v>
      </c>
      <c r="AJ702" s="73">
        <f t="shared" si="21"/>
        <v>-1.329092151</v>
      </c>
      <c r="AK702" s="73">
        <f t="shared" si="22"/>
        <v>0</v>
      </c>
      <c r="AL702" s="73">
        <f t="shared" si="23"/>
        <v>0</v>
      </c>
      <c r="AM702" s="73">
        <f t="shared" si="24"/>
        <v>0.433638093</v>
      </c>
      <c r="AN702" s="120">
        <f t="shared" si="25"/>
        <v>-3.240190514</v>
      </c>
      <c r="AO702" s="120">
        <f t="shared" si="26"/>
        <v>-6.395549135</v>
      </c>
      <c r="AP702" s="120" t="str">
        <f t="array" ref="AP702">INDIRECT("Update"&amp;Projections!$AH$17&amp;"!S"&amp;ROW(B683))</f>
        <v/>
      </c>
      <c r="AQ702" s="120" t="str">
        <f t="array" ref="AQ702">INDIRECT("Update"&amp;Projections!$AH$17&amp;"!T"&amp;ROW(B683))</f>
        <v/>
      </c>
      <c r="AR702" s="100">
        <f t="shared" si="27"/>
        <v>-9.965301026</v>
      </c>
    </row>
    <row r="703">
      <c r="A703" t="str">
        <f t="shared" si="3"/>
        <v/>
      </c>
      <c r="B703" s="42">
        <f t="shared" si="4"/>
        <v>-3.155358621</v>
      </c>
      <c r="C703" s="43">
        <f t="shared" si="5"/>
        <v>-1.740686581</v>
      </c>
      <c r="D703" s="42">
        <f t="shared" si="6"/>
        <v>-2.380599106</v>
      </c>
      <c r="E703" s="42">
        <f t="shared" si="7"/>
        <v>-1.79320266</v>
      </c>
      <c r="F703" s="42">
        <f t="shared" si="8"/>
        <v>-3.240190514</v>
      </c>
      <c r="G703" s="42">
        <f t="shared" si="9"/>
        <v>-1.329092151</v>
      </c>
      <c r="H703" s="42">
        <f t="shared" si="10"/>
        <v>0</v>
      </c>
      <c r="I703" s="42" t="str">
        <f>UpdateHashtag!S701</f>
        <v/>
      </c>
      <c r="J703" s="47">
        <f t="shared" si="11"/>
        <v>0</v>
      </c>
      <c r="K703" s="48" t="str">
        <f>UpdateHashtag!T701</f>
        <v/>
      </c>
      <c r="L703" s="42">
        <f t="shared" si="12"/>
        <v>-1.734552372</v>
      </c>
      <c r="N703" s="100">
        <f t="shared" si="13"/>
        <v>401</v>
      </c>
      <c r="O703" s="94" t="str">
        <f t="array" ref="O703">INDIRECT("Update"&amp;Projections!$AH$17&amp;"!B"&amp;ROW(B684))</f>
        <v/>
      </c>
      <c r="P703" s="414" t="str">
        <f t="array" ref="P703">INDIRECT("Update"&amp;Projections!$AH$17&amp;"!C"&amp;ROW(B684))</f>
        <v/>
      </c>
      <c r="Q703" s="94" t="str">
        <f>UpdateHashtag!F733</f>
        <v/>
      </c>
      <c r="R703" s="105" t="str">
        <f t="array" ref="R703">INDIRECT("Update"&amp;Projections!$AH$17&amp;"!D"&amp;ROW(B684))</f>
        <v/>
      </c>
      <c r="S703" s="73">
        <f t="shared" si="14"/>
        <v>-9.965301026</v>
      </c>
      <c r="T703" s="73">
        <f>SUM(AE703:AM703)-IFERROR(IFS(Projections!$I$17,AN703,Projections!$J$17,AO703),"")</f>
        <v>-9.965301026</v>
      </c>
      <c r="U703" s="73">
        <f t="shared" si="15"/>
        <v>0</v>
      </c>
      <c r="V703" s="73" t="str">
        <f t="array" ref="V703">INDIRECT("Update"&amp;Projections!$AH$17&amp;"!M"&amp;ROW(B684))</f>
        <v/>
      </c>
      <c r="W703" s="73" t="str">
        <f t="array" ref="W703">INDIRECT("Update"&amp;Projections!$AH$17&amp;"!L"&amp;ROW(B684))</f>
        <v/>
      </c>
      <c r="X703" s="73" t="str">
        <f t="array" ref="X703">INDIRECT("Update"&amp;Projections!$AH$17&amp;"!N"&amp;ROW(B684))</f>
        <v/>
      </c>
      <c r="Y703" s="73" t="str">
        <f t="array" ref="Y703">INDIRECT("Update"&amp;Projections!$AH$17&amp;"!O"&amp;ROW(B684))</f>
        <v/>
      </c>
      <c r="Z703" s="73" t="str">
        <f t="array" ref="Z703">INDIRECT("Update"&amp;Projections!$AH$17&amp;"!P"&amp;ROW(B684))</f>
        <v/>
      </c>
      <c r="AA703" s="73" t="str">
        <f t="array" ref="AA703">INDIRECT("Update"&amp;Projections!$AH$17&amp;"!Q"&amp;ROW(B684))</f>
        <v/>
      </c>
      <c r="AB703" s="107" t="str">
        <f t="array" ref="AB703">INDIRECT("Update"&amp;Projections!$AH$17&amp;"!I"&amp;ROW(B684))</f>
        <v/>
      </c>
      <c r="AC703" s="107" t="str">
        <f t="array" ref="AC703">INDIRECT("Update"&amp;Projections!$AH$17&amp;"!K"&amp;ROW(B684))</f>
        <v/>
      </c>
      <c r="AD703" s="73" t="str">
        <f t="array" ref="AD703">INDIRECT("Update"&amp;Projections!$AH$17&amp;"!R"&amp;ROW(B684))</f>
        <v/>
      </c>
      <c r="AE703" s="73">
        <f t="shared" si="16"/>
        <v>-3.155358621</v>
      </c>
      <c r="AF703" s="73">
        <f t="shared" si="17"/>
        <v>-1.740686581</v>
      </c>
      <c r="AG703" s="73">
        <f t="shared" si="18"/>
        <v>-2.380599106</v>
      </c>
      <c r="AH703" s="73">
        <f t="shared" si="19"/>
        <v>-1.79320266</v>
      </c>
      <c r="AI703" s="73">
        <f t="shared" si="20"/>
        <v>-3.240190514</v>
      </c>
      <c r="AJ703" s="73">
        <f t="shared" si="21"/>
        <v>-1.329092151</v>
      </c>
      <c r="AK703" s="73">
        <f t="shared" si="22"/>
        <v>0</v>
      </c>
      <c r="AL703" s="73">
        <f t="shared" si="23"/>
        <v>0</v>
      </c>
      <c r="AM703" s="73">
        <f t="shared" si="24"/>
        <v>0.433638093</v>
      </c>
      <c r="AN703" s="120">
        <f t="shared" si="25"/>
        <v>-3.240190514</v>
      </c>
      <c r="AO703" s="120">
        <f t="shared" si="26"/>
        <v>-6.395549135</v>
      </c>
      <c r="AP703" s="120" t="str">
        <f t="array" ref="AP703">INDIRECT("Update"&amp;Projections!$AH$17&amp;"!S"&amp;ROW(B684))</f>
        <v/>
      </c>
      <c r="AQ703" s="120" t="str">
        <f t="array" ref="AQ703">INDIRECT("Update"&amp;Projections!$AH$17&amp;"!T"&amp;ROW(B684))</f>
        <v/>
      </c>
      <c r="AR703" s="100">
        <f t="shared" si="27"/>
        <v>-9.965301026</v>
      </c>
    </row>
    <row r="704">
      <c r="A704" t="str">
        <f t="shared" si="3"/>
        <v/>
      </c>
      <c r="B704" s="42">
        <f t="shared" si="4"/>
        <v>-3.155358621</v>
      </c>
      <c r="C704" s="43">
        <f t="shared" si="5"/>
        <v>-1.740686581</v>
      </c>
      <c r="D704" s="42">
        <f t="shared" si="6"/>
        <v>-2.380599106</v>
      </c>
      <c r="E704" s="42">
        <f t="shared" si="7"/>
        <v>-1.79320266</v>
      </c>
      <c r="F704" s="42">
        <f t="shared" si="8"/>
        <v>-3.240190514</v>
      </c>
      <c r="G704" s="42">
        <f t="shared" si="9"/>
        <v>-1.329092151</v>
      </c>
      <c r="H704" s="42">
        <f t="shared" si="10"/>
        <v>0</v>
      </c>
      <c r="I704" s="42" t="str">
        <f>UpdateHashtag!S702</f>
        <v/>
      </c>
      <c r="J704" s="47">
        <f t="shared" si="11"/>
        <v>0</v>
      </c>
      <c r="K704" s="48" t="str">
        <f>UpdateHashtag!T702</f>
        <v/>
      </c>
      <c r="L704" s="42">
        <f t="shared" si="12"/>
        <v>-1.734552372</v>
      </c>
      <c r="N704" s="100">
        <f t="shared" si="13"/>
        <v>401</v>
      </c>
      <c r="O704" s="94" t="str">
        <f t="array" ref="O704">INDIRECT("Update"&amp;Projections!$AH$17&amp;"!B"&amp;ROW(B685))</f>
        <v/>
      </c>
      <c r="P704" s="414" t="str">
        <f t="array" ref="P704">INDIRECT("Update"&amp;Projections!$AH$17&amp;"!C"&amp;ROW(B685))</f>
        <v/>
      </c>
      <c r="Q704" s="94" t="str">
        <f>UpdateHashtag!F734</f>
        <v/>
      </c>
      <c r="R704" s="105" t="str">
        <f t="array" ref="R704">INDIRECT("Update"&amp;Projections!$AH$17&amp;"!D"&amp;ROW(B685))</f>
        <v/>
      </c>
      <c r="S704" s="73">
        <f t="shared" si="14"/>
        <v>-9.965301026</v>
      </c>
      <c r="T704" s="73">
        <f>SUM(AE704:AM704)-IFERROR(IFS(Projections!$I$17,AN704,Projections!$J$17,AO704),"")</f>
        <v>-9.965301026</v>
      </c>
      <c r="U704" s="73">
        <f t="shared" si="15"/>
        <v>0</v>
      </c>
      <c r="V704" s="73" t="str">
        <f t="array" ref="V704">INDIRECT("Update"&amp;Projections!$AH$17&amp;"!M"&amp;ROW(B685))</f>
        <v/>
      </c>
      <c r="W704" s="73" t="str">
        <f t="array" ref="W704">INDIRECT("Update"&amp;Projections!$AH$17&amp;"!L"&amp;ROW(B685))</f>
        <v/>
      </c>
      <c r="X704" s="73" t="str">
        <f t="array" ref="X704">INDIRECT("Update"&amp;Projections!$AH$17&amp;"!N"&amp;ROW(B685))</f>
        <v/>
      </c>
      <c r="Y704" s="73" t="str">
        <f t="array" ref="Y704">INDIRECT("Update"&amp;Projections!$AH$17&amp;"!O"&amp;ROW(B685))</f>
        <v/>
      </c>
      <c r="Z704" s="73" t="str">
        <f t="array" ref="Z704">INDIRECT("Update"&amp;Projections!$AH$17&amp;"!P"&amp;ROW(B685))</f>
        <v/>
      </c>
      <c r="AA704" s="73" t="str">
        <f t="array" ref="AA704">INDIRECT("Update"&amp;Projections!$AH$17&amp;"!Q"&amp;ROW(B685))</f>
        <v/>
      </c>
      <c r="AB704" s="107" t="str">
        <f t="array" ref="AB704">INDIRECT("Update"&amp;Projections!$AH$17&amp;"!I"&amp;ROW(B685))</f>
        <v/>
      </c>
      <c r="AC704" s="107" t="str">
        <f t="array" ref="AC704">INDIRECT("Update"&amp;Projections!$AH$17&amp;"!K"&amp;ROW(B685))</f>
        <v/>
      </c>
      <c r="AD704" s="73" t="str">
        <f t="array" ref="AD704">INDIRECT("Update"&amp;Projections!$AH$17&amp;"!R"&amp;ROW(B685))</f>
        <v/>
      </c>
      <c r="AE704" s="73">
        <f t="shared" si="16"/>
        <v>-3.155358621</v>
      </c>
      <c r="AF704" s="73">
        <f t="shared" si="17"/>
        <v>-1.740686581</v>
      </c>
      <c r="AG704" s="73">
        <f t="shared" si="18"/>
        <v>-2.380599106</v>
      </c>
      <c r="AH704" s="73">
        <f t="shared" si="19"/>
        <v>-1.79320266</v>
      </c>
      <c r="AI704" s="73">
        <f t="shared" si="20"/>
        <v>-3.240190514</v>
      </c>
      <c r="AJ704" s="73">
        <f t="shared" si="21"/>
        <v>-1.329092151</v>
      </c>
      <c r="AK704" s="73">
        <f t="shared" si="22"/>
        <v>0</v>
      </c>
      <c r="AL704" s="73">
        <f t="shared" si="23"/>
        <v>0</v>
      </c>
      <c r="AM704" s="73">
        <f t="shared" si="24"/>
        <v>0.433638093</v>
      </c>
      <c r="AN704" s="120">
        <f t="shared" si="25"/>
        <v>-3.240190514</v>
      </c>
      <c r="AO704" s="120">
        <f t="shared" si="26"/>
        <v>-6.395549135</v>
      </c>
      <c r="AP704" s="120" t="str">
        <f t="array" ref="AP704">INDIRECT("Update"&amp;Projections!$AH$17&amp;"!S"&amp;ROW(B685))</f>
        <v/>
      </c>
      <c r="AQ704" s="120" t="str">
        <f t="array" ref="AQ704">INDIRECT("Update"&amp;Projections!$AH$17&amp;"!T"&amp;ROW(B685))</f>
        <v/>
      </c>
      <c r="AR704" s="100">
        <f t="shared" si="27"/>
        <v>-9.965301026</v>
      </c>
    </row>
    <row r="705">
      <c r="A705" t="str">
        <f t="shared" si="3"/>
        <v/>
      </c>
      <c r="B705" s="42">
        <f t="shared" si="4"/>
        <v>-3.155358621</v>
      </c>
      <c r="C705" s="43">
        <f t="shared" si="5"/>
        <v>-1.740686581</v>
      </c>
      <c r="D705" s="42">
        <f t="shared" si="6"/>
        <v>-2.380599106</v>
      </c>
      <c r="E705" s="42">
        <f t="shared" si="7"/>
        <v>-1.79320266</v>
      </c>
      <c r="F705" s="42">
        <f t="shared" si="8"/>
        <v>-3.240190514</v>
      </c>
      <c r="G705" s="42">
        <f t="shared" si="9"/>
        <v>-1.329092151</v>
      </c>
      <c r="H705" s="42">
        <f t="shared" si="10"/>
        <v>0</v>
      </c>
      <c r="I705" s="42" t="str">
        <f>UpdateHashtag!S703</f>
        <v/>
      </c>
      <c r="J705" s="47">
        <f t="shared" si="11"/>
        <v>0</v>
      </c>
      <c r="K705" s="48" t="str">
        <f>UpdateHashtag!T703</f>
        <v/>
      </c>
      <c r="L705" s="42">
        <f t="shared" si="12"/>
        <v>-1.734552372</v>
      </c>
      <c r="N705" s="100">
        <f t="shared" si="13"/>
        <v>401</v>
      </c>
      <c r="O705" s="94" t="str">
        <f t="array" ref="O705">INDIRECT("Update"&amp;Projections!$AH$17&amp;"!B"&amp;ROW(B686))</f>
        <v/>
      </c>
      <c r="P705" s="414" t="str">
        <f t="array" ref="P705">INDIRECT("Update"&amp;Projections!$AH$17&amp;"!C"&amp;ROW(B686))</f>
        <v/>
      </c>
      <c r="Q705" s="94" t="str">
        <f>UpdateHashtag!F735</f>
        <v/>
      </c>
      <c r="R705" s="105" t="str">
        <f t="array" ref="R705">INDIRECT("Update"&amp;Projections!$AH$17&amp;"!D"&amp;ROW(B686))</f>
        <v/>
      </c>
      <c r="S705" s="73">
        <f t="shared" si="14"/>
        <v>-9.965301026</v>
      </c>
      <c r="T705" s="73">
        <f>SUM(AE705:AM705)-IFERROR(IFS(Projections!$I$17,AN705,Projections!$J$17,AO705),"")</f>
        <v>-9.965301026</v>
      </c>
      <c r="U705" s="73">
        <f t="shared" si="15"/>
        <v>0</v>
      </c>
      <c r="V705" s="73" t="str">
        <f t="array" ref="V705">INDIRECT("Update"&amp;Projections!$AH$17&amp;"!M"&amp;ROW(B686))</f>
        <v/>
      </c>
      <c r="W705" s="73" t="str">
        <f t="array" ref="W705">INDIRECT("Update"&amp;Projections!$AH$17&amp;"!L"&amp;ROW(B686))</f>
        <v/>
      </c>
      <c r="X705" s="73" t="str">
        <f t="array" ref="X705">INDIRECT("Update"&amp;Projections!$AH$17&amp;"!N"&amp;ROW(B686))</f>
        <v/>
      </c>
      <c r="Y705" s="73" t="str">
        <f t="array" ref="Y705">INDIRECT("Update"&amp;Projections!$AH$17&amp;"!O"&amp;ROW(B686))</f>
        <v/>
      </c>
      <c r="Z705" s="73" t="str">
        <f t="array" ref="Z705">INDIRECT("Update"&amp;Projections!$AH$17&amp;"!P"&amp;ROW(B686))</f>
        <v/>
      </c>
      <c r="AA705" s="73" t="str">
        <f t="array" ref="AA705">INDIRECT("Update"&amp;Projections!$AH$17&amp;"!Q"&amp;ROW(B686))</f>
        <v/>
      </c>
      <c r="AB705" s="107" t="str">
        <f t="array" ref="AB705">INDIRECT("Update"&amp;Projections!$AH$17&amp;"!I"&amp;ROW(B686))</f>
        <v/>
      </c>
      <c r="AC705" s="107" t="str">
        <f t="array" ref="AC705">INDIRECT("Update"&amp;Projections!$AH$17&amp;"!K"&amp;ROW(B686))</f>
        <v/>
      </c>
      <c r="AD705" s="73" t="str">
        <f t="array" ref="AD705">INDIRECT("Update"&amp;Projections!$AH$17&amp;"!R"&amp;ROW(B686))</f>
        <v/>
      </c>
      <c r="AE705" s="73">
        <f t="shared" si="16"/>
        <v>-3.155358621</v>
      </c>
      <c r="AF705" s="73">
        <f t="shared" si="17"/>
        <v>-1.740686581</v>
      </c>
      <c r="AG705" s="73">
        <f t="shared" si="18"/>
        <v>-2.380599106</v>
      </c>
      <c r="AH705" s="73">
        <f t="shared" si="19"/>
        <v>-1.79320266</v>
      </c>
      <c r="AI705" s="73">
        <f t="shared" si="20"/>
        <v>-3.240190514</v>
      </c>
      <c r="AJ705" s="73">
        <f t="shared" si="21"/>
        <v>-1.329092151</v>
      </c>
      <c r="AK705" s="73">
        <f t="shared" si="22"/>
        <v>0</v>
      </c>
      <c r="AL705" s="73">
        <f t="shared" si="23"/>
        <v>0</v>
      </c>
      <c r="AM705" s="73">
        <f t="shared" si="24"/>
        <v>0.433638093</v>
      </c>
      <c r="AN705" s="120">
        <f t="shared" si="25"/>
        <v>-3.240190514</v>
      </c>
      <c r="AO705" s="120">
        <f t="shared" si="26"/>
        <v>-6.395549135</v>
      </c>
      <c r="AP705" s="120" t="str">
        <f t="array" ref="AP705">INDIRECT("Update"&amp;Projections!$AH$17&amp;"!S"&amp;ROW(B686))</f>
        <v/>
      </c>
      <c r="AQ705" s="120" t="str">
        <f t="array" ref="AQ705">INDIRECT("Update"&amp;Projections!$AH$17&amp;"!T"&amp;ROW(B686))</f>
        <v/>
      </c>
      <c r="AR705" s="100">
        <f t="shared" si="27"/>
        <v>-9.965301026</v>
      </c>
    </row>
    <row r="706">
      <c r="A706" t="str">
        <f t="shared" si="3"/>
        <v/>
      </c>
      <c r="B706" s="42">
        <f t="shared" si="4"/>
        <v>-3.155358621</v>
      </c>
      <c r="C706" s="43">
        <f t="shared" si="5"/>
        <v>-1.740686581</v>
      </c>
      <c r="D706" s="42">
        <f t="shared" si="6"/>
        <v>-2.380599106</v>
      </c>
      <c r="E706" s="42">
        <f t="shared" si="7"/>
        <v>-1.79320266</v>
      </c>
      <c r="F706" s="42">
        <f t="shared" si="8"/>
        <v>-3.240190514</v>
      </c>
      <c r="G706" s="42">
        <f t="shared" si="9"/>
        <v>-1.329092151</v>
      </c>
      <c r="H706" s="42">
        <f t="shared" si="10"/>
        <v>0</v>
      </c>
      <c r="I706" s="42" t="str">
        <f>UpdateHashtag!S704</f>
        <v/>
      </c>
      <c r="J706" s="47">
        <f t="shared" si="11"/>
        <v>0</v>
      </c>
      <c r="K706" s="48" t="str">
        <f>UpdateHashtag!T704</f>
        <v/>
      </c>
      <c r="L706" s="42">
        <f t="shared" si="12"/>
        <v>-1.734552372</v>
      </c>
      <c r="N706" s="100">
        <f t="shared" si="13"/>
        <v>401</v>
      </c>
      <c r="O706" s="94" t="str">
        <f t="array" ref="O706">INDIRECT("Update"&amp;Projections!$AH$17&amp;"!B"&amp;ROW(B687))</f>
        <v/>
      </c>
      <c r="P706" s="414" t="str">
        <f t="array" ref="P706">INDIRECT("Update"&amp;Projections!$AH$17&amp;"!C"&amp;ROW(B687))</f>
        <v/>
      </c>
      <c r="Q706" s="94" t="str">
        <f>UpdateHashtag!F736</f>
        <v/>
      </c>
      <c r="R706" s="105" t="str">
        <f t="array" ref="R706">INDIRECT("Update"&amp;Projections!$AH$17&amp;"!D"&amp;ROW(B687))</f>
        <v/>
      </c>
      <c r="S706" s="73">
        <f t="shared" si="14"/>
        <v>-9.965301026</v>
      </c>
      <c r="T706" s="73">
        <f>SUM(AE706:AM706)-IFERROR(IFS(Projections!$I$17,AN706,Projections!$J$17,AO706),"")</f>
        <v>-9.965301026</v>
      </c>
      <c r="U706" s="73">
        <f t="shared" si="15"/>
        <v>0</v>
      </c>
      <c r="V706" s="73" t="str">
        <f t="array" ref="V706">INDIRECT("Update"&amp;Projections!$AH$17&amp;"!M"&amp;ROW(B687))</f>
        <v/>
      </c>
      <c r="W706" s="73" t="str">
        <f t="array" ref="W706">INDIRECT("Update"&amp;Projections!$AH$17&amp;"!L"&amp;ROW(B687))</f>
        <v/>
      </c>
      <c r="X706" s="73" t="str">
        <f t="array" ref="X706">INDIRECT("Update"&amp;Projections!$AH$17&amp;"!N"&amp;ROW(B687))</f>
        <v/>
      </c>
      <c r="Y706" s="73" t="str">
        <f t="array" ref="Y706">INDIRECT("Update"&amp;Projections!$AH$17&amp;"!O"&amp;ROW(B687))</f>
        <v/>
      </c>
      <c r="Z706" s="73" t="str">
        <f t="array" ref="Z706">INDIRECT("Update"&amp;Projections!$AH$17&amp;"!P"&amp;ROW(B687))</f>
        <v/>
      </c>
      <c r="AA706" s="73" t="str">
        <f t="array" ref="AA706">INDIRECT("Update"&amp;Projections!$AH$17&amp;"!Q"&amp;ROW(B687))</f>
        <v/>
      </c>
      <c r="AB706" s="107" t="str">
        <f t="array" ref="AB706">INDIRECT("Update"&amp;Projections!$AH$17&amp;"!I"&amp;ROW(B687))</f>
        <v/>
      </c>
      <c r="AC706" s="107" t="str">
        <f t="array" ref="AC706">INDIRECT("Update"&amp;Projections!$AH$17&amp;"!K"&amp;ROW(B687))</f>
        <v/>
      </c>
      <c r="AD706" s="73" t="str">
        <f t="array" ref="AD706">INDIRECT("Update"&amp;Projections!$AH$17&amp;"!R"&amp;ROW(B687))</f>
        <v/>
      </c>
      <c r="AE706" s="73">
        <f t="shared" si="16"/>
        <v>-3.155358621</v>
      </c>
      <c r="AF706" s="73">
        <f t="shared" si="17"/>
        <v>-1.740686581</v>
      </c>
      <c r="AG706" s="73">
        <f t="shared" si="18"/>
        <v>-2.380599106</v>
      </c>
      <c r="AH706" s="73">
        <f t="shared" si="19"/>
        <v>-1.79320266</v>
      </c>
      <c r="AI706" s="73">
        <f t="shared" si="20"/>
        <v>-3.240190514</v>
      </c>
      <c r="AJ706" s="73">
        <f t="shared" si="21"/>
        <v>-1.329092151</v>
      </c>
      <c r="AK706" s="73">
        <f t="shared" si="22"/>
        <v>0</v>
      </c>
      <c r="AL706" s="73">
        <f t="shared" si="23"/>
        <v>0</v>
      </c>
      <c r="AM706" s="73">
        <f t="shared" si="24"/>
        <v>0.433638093</v>
      </c>
      <c r="AN706" s="120">
        <f t="shared" si="25"/>
        <v>-3.240190514</v>
      </c>
      <c r="AO706" s="120">
        <f t="shared" si="26"/>
        <v>-6.395549135</v>
      </c>
      <c r="AP706" s="120" t="str">
        <f t="array" ref="AP706">INDIRECT("Update"&amp;Projections!$AH$17&amp;"!S"&amp;ROW(B687))</f>
        <v/>
      </c>
      <c r="AQ706" s="120" t="str">
        <f t="array" ref="AQ706">INDIRECT("Update"&amp;Projections!$AH$17&amp;"!T"&amp;ROW(B687))</f>
        <v/>
      </c>
      <c r="AR706" s="100">
        <f t="shared" si="27"/>
        <v>-9.965301026</v>
      </c>
    </row>
    <row r="707">
      <c r="A707" t="str">
        <f t="shared" si="3"/>
        <v/>
      </c>
      <c r="B707" s="42">
        <f t="shared" si="4"/>
        <v>-3.155358621</v>
      </c>
      <c r="C707" s="43">
        <f t="shared" si="5"/>
        <v>-1.740686581</v>
      </c>
      <c r="D707" s="42">
        <f t="shared" si="6"/>
        <v>-2.380599106</v>
      </c>
      <c r="E707" s="42">
        <f t="shared" si="7"/>
        <v>-1.79320266</v>
      </c>
      <c r="F707" s="42">
        <f t="shared" si="8"/>
        <v>-3.240190514</v>
      </c>
      <c r="G707" s="42">
        <f t="shared" si="9"/>
        <v>-1.329092151</v>
      </c>
      <c r="H707" s="42">
        <f t="shared" si="10"/>
        <v>0</v>
      </c>
      <c r="I707" s="42" t="str">
        <f>UpdateHashtag!S705</f>
        <v/>
      </c>
      <c r="J707" s="47">
        <f t="shared" si="11"/>
        <v>0</v>
      </c>
      <c r="K707" s="48" t="str">
        <f>UpdateHashtag!T705</f>
        <v/>
      </c>
      <c r="L707" s="42">
        <f t="shared" si="12"/>
        <v>-1.734552372</v>
      </c>
      <c r="N707" s="100">
        <f t="shared" si="13"/>
        <v>401</v>
      </c>
      <c r="O707" s="94" t="str">
        <f t="array" ref="O707">INDIRECT("Update"&amp;Projections!$AH$17&amp;"!B"&amp;ROW(B688))</f>
        <v/>
      </c>
      <c r="P707" s="414" t="str">
        <f t="array" ref="P707">INDIRECT("Update"&amp;Projections!$AH$17&amp;"!C"&amp;ROW(B688))</f>
        <v/>
      </c>
      <c r="Q707" s="94" t="str">
        <f>UpdateHashtag!F737</f>
        <v/>
      </c>
      <c r="R707" s="105" t="str">
        <f t="array" ref="R707">INDIRECT("Update"&amp;Projections!$AH$17&amp;"!D"&amp;ROW(B688))</f>
        <v/>
      </c>
      <c r="S707" s="73">
        <f t="shared" si="14"/>
        <v>-9.965301026</v>
      </c>
      <c r="T707" s="73">
        <f>SUM(AE707:AM707)-IFERROR(IFS(Projections!$I$17,AN707,Projections!$J$17,AO707),"")</f>
        <v>-9.965301026</v>
      </c>
      <c r="U707" s="73">
        <f t="shared" si="15"/>
        <v>0</v>
      </c>
      <c r="V707" s="73" t="str">
        <f t="array" ref="V707">INDIRECT("Update"&amp;Projections!$AH$17&amp;"!M"&amp;ROW(B688))</f>
        <v/>
      </c>
      <c r="W707" s="73" t="str">
        <f t="array" ref="W707">INDIRECT("Update"&amp;Projections!$AH$17&amp;"!L"&amp;ROW(B688))</f>
        <v/>
      </c>
      <c r="X707" s="73" t="str">
        <f t="array" ref="X707">INDIRECT("Update"&amp;Projections!$AH$17&amp;"!N"&amp;ROW(B688))</f>
        <v/>
      </c>
      <c r="Y707" s="73" t="str">
        <f t="array" ref="Y707">INDIRECT("Update"&amp;Projections!$AH$17&amp;"!O"&amp;ROW(B688))</f>
        <v/>
      </c>
      <c r="Z707" s="73" t="str">
        <f t="array" ref="Z707">INDIRECT("Update"&amp;Projections!$AH$17&amp;"!P"&amp;ROW(B688))</f>
        <v/>
      </c>
      <c r="AA707" s="73" t="str">
        <f t="array" ref="AA707">INDIRECT("Update"&amp;Projections!$AH$17&amp;"!Q"&amp;ROW(B688))</f>
        <v/>
      </c>
      <c r="AB707" s="107" t="str">
        <f t="array" ref="AB707">INDIRECT("Update"&amp;Projections!$AH$17&amp;"!I"&amp;ROW(B688))</f>
        <v/>
      </c>
      <c r="AC707" s="107" t="str">
        <f t="array" ref="AC707">INDIRECT("Update"&amp;Projections!$AH$17&amp;"!K"&amp;ROW(B688))</f>
        <v/>
      </c>
      <c r="AD707" s="73" t="str">
        <f t="array" ref="AD707">INDIRECT("Update"&amp;Projections!$AH$17&amp;"!R"&amp;ROW(B688))</f>
        <v/>
      </c>
      <c r="AE707" s="73">
        <f t="shared" si="16"/>
        <v>-3.155358621</v>
      </c>
      <c r="AF707" s="73">
        <f t="shared" si="17"/>
        <v>-1.740686581</v>
      </c>
      <c r="AG707" s="73">
        <f t="shared" si="18"/>
        <v>-2.380599106</v>
      </c>
      <c r="AH707" s="73">
        <f t="shared" si="19"/>
        <v>-1.79320266</v>
      </c>
      <c r="AI707" s="73">
        <f t="shared" si="20"/>
        <v>-3.240190514</v>
      </c>
      <c r="AJ707" s="73">
        <f t="shared" si="21"/>
        <v>-1.329092151</v>
      </c>
      <c r="AK707" s="73">
        <f t="shared" si="22"/>
        <v>0</v>
      </c>
      <c r="AL707" s="73">
        <f t="shared" si="23"/>
        <v>0</v>
      </c>
      <c r="AM707" s="73">
        <f t="shared" si="24"/>
        <v>0.433638093</v>
      </c>
      <c r="AN707" s="120">
        <f t="shared" si="25"/>
        <v>-3.240190514</v>
      </c>
      <c r="AO707" s="120">
        <f t="shared" si="26"/>
        <v>-6.395549135</v>
      </c>
      <c r="AP707" s="120" t="str">
        <f t="array" ref="AP707">INDIRECT("Update"&amp;Projections!$AH$17&amp;"!S"&amp;ROW(B688))</f>
        <v/>
      </c>
      <c r="AQ707" s="120" t="str">
        <f t="array" ref="AQ707">INDIRECT("Update"&amp;Projections!$AH$17&amp;"!T"&amp;ROW(B688))</f>
        <v/>
      </c>
      <c r="AR707" s="100">
        <f t="shared" si="27"/>
        <v>-9.965301026</v>
      </c>
    </row>
    <row r="708">
      <c r="A708" t="str">
        <f t="shared" si="3"/>
        <v/>
      </c>
      <c r="B708" s="42">
        <f t="shared" si="4"/>
        <v>-3.155358621</v>
      </c>
      <c r="C708" s="43">
        <f t="shared" si="5"/>
        <v>-1.740686581</v>
      </c>
      <c r="D708" s="42">
        <f t="shared" si="6"/>
        <v>-2.380599106</v>
      </c>
      <c r="E708" s="42">
        <f t="shared" si="7"/>
        <v>-1.79320266</v>
      </c>
      <c r="F708" s="42">
        <f t="shared" si="8"/>
        <v>-3.240190514</v>
      </c>
      <c r="G708" s="42">
        <f t="shared" si="9"/>
        <v>-1.329092151</v>
      </c>
      <c r="H708" s="42">
        <f t="shared" si="10"/>
        <v>0</v>
      </c>
      <c r="I708" s="42" t="str">
        <f>UpdateHashtag!S706</f>
        <v/>
      </c>
      <c r="J708" s="47">
        <f t="shared" si="11"/>
        <v>0</v>
      </c>
      <c r="K708" s="48" t="str">
        <f>UpdateHashtag!T706</f>
        <v/>
      </c>
      <c r="L708" s="42">
        <f t="shared" si="12"/>
        <v>-1.734552372</v>
      </c>
      <c r="N708" s="100">
        <f t="shared" si="13"/>
        <v>401</v>
      </c>
      <c r="O708" s="94" t="str">
        <f t="array" ref="O708">INDIRECT("Update"&amp;Projections!$AH$17&amp;"!B"&amp;ROW(B689))</f>
        <v/>
      </c>
      <c r="P708" s="414" t="str">
        <f t="array" ref="P708">INDIRECT("Update"&amp;Projections!$AH$17&amp;"!C"&amp;ROW(B689))</f>
        <v/>
      </c>
      <c r="Q708" s="94" t="str">
        <f>UpdateHashtag!F738</f>
        <v/>
      </c>
      <c r="R708" s="105" t="str">
        <f t="array" ref="R708">INDIRECT("Update"&amp;Projections!$AH$17&amp;"!D"&amp;ROW(B689))</f>
        <v/>
      </c>
      <c r="S708" s="73">
        <f t="shared" si="14"/>
        <v>-9.965301026</v>
      </c>
      <c r="T708" s="73">
        <f>SUM(AE708:AM708)-IFERROR(IFS(Projections!$I$17,AN708,Projections!$J$17,AO708),"")</f>
        <v>-9.965301026</v>
      </c>
      <c r="U708" s="73">
        <f t="shared" si="15"/>
        <v>0</v>
      </c>
      <c r="V708" s="73" t="str">
        <f t="array" ref="V708">INDIRECT("Update"&amp;Projections!$AH$17&amp;"!M"&amp;ROW(B689))</f>
        <v/>
      </c>
      <c r="W708" s="73" t="str">
        <f t="array" ref="W708">INDIRECT("Update"&amp;Projections!$AH$17&amp;"!L"&amp;ROW(B689))</f>
        <v/>
      </c>
      <c r="X708" s="73" t="str">
        <f t="array" ref="X708">INDIRECT("Update"&amp;Projections!$AH$17&amp;"!N"&amp;ROW(B689))</f>
        <v/>
      </c>
      <c r="Y708" s="73" t="str">
        <f t="array" ref="Y708">INDIRECT("Update"&amp;Projections!$AH$17&amp;"!O"&amp;ROW(B689))</f>
        <v/>
      </c>
      <c r="Z708" s="73" t="str">
        <f t="array" ref="Z708">INDIRECT("Update"&amp;Projections!$AH$17&amp;"!P"&amp;ROW(B689))</f>
        <v/>
      </c>
      <c r="AA708" s="73" t="str">
        <f t="array" ref="AA708">INDIRECT("Update"&amp;Projections!$AH$17&amp;"!Q"&amp;ROW(B689))</f>
        <v/>
      </c>
      <c r="AB708" s="107" t="str">
        <f t="array" ref="AB708">INDIRECT("Update"&amp;Projections!$AH$17&amp;"!I"&amp;ROW(B689))</f>
        <v/>
      </c>
      <c r="AC708" s="107" t="str">
        <f t="array" ref="AC708">INDIRECT("Update"&amp;Projections!$AH$17&amp;"!K"&amp;ROW(B689))</f>
        <v/>
      </c>
      <c r="AD708" s="73" t="str">
        <f t="array" ref="AD708">INDIRECT("Update"&amp;Projections!$AH$17&amp;"!R"&amp;ROW(B689))</f>
        <v/>
      </c>
      <c r="AE708" s="73">
        <f t="shared" si="16"/>
        <v>-3.155358621</v>
      </c>
      <c r="AF708" s="73">
        <f t="shared" si="17"/>
        <v>-1.740686581</v>
      </c>
      <c r="AG708" s="73">
        <f t="shared" si="18"/>
        <v>-2.380599106</v>
      </c>
      <c r="AH708" s="73">
        <f t="shared" si="19"/>
        <v>-1.79320266</v>
      </c>
      <c r="AI708" s="73">
        <f t="shared" si="20"/>
        <v>-3.240190514</v>
      </c>
      <c r="AJ708" s="73">
        <f t="shared" si="21"/>
        <v>-1.329092151</v>
      </c>
      <c r="AK708" s="73">
        <f t="shared" si="22"/>
        <v>0</v>
      </c>
      <c r="AL708" s="73">
        <f t="shared" si="23"/>
        <v>0</v>
      </c>
      <c r="AM708" s="73">
        <f t="shared" si="24"/>
        <v>0.433638093</v>
      </c>
      <c r="AN708" s="120">
        <f t="shared" si="25"/>
        <v>-3.240190514</v>
      </c>
      <c r="AO708" s="120">
        <f t="shared" si="26"/>
        <v>-6.395549135</v>
      </c>
      <c r="AP708" s="120" t="str">
        <f t="array" ref="AP708">INDIRECT("Update"&amp;Projections!$AH$17&amp;"!S"&amp;ROW(B689))</f>
        <v/>
      </c>
      <c r="AQ708" s="120" t="str">
        <f t="array" ref="AQ708">INDIRECT("Update"&amp;Projections!$AH$17&amp;"!T"&amp;ROW(B689))</f>
        <v/>
      </c>
      <c r="AR708" s="100">
        <f t="shared" si="27"/>
        <v>-9.965301026</v>
      </c>
    </row>
    <row r="709">
      <c r="A709" t="str">
        <f t="shared" si="3"/>
        <v/>
      </c>
      <c r="B709" s="42">
        <f t="shared" si="4"/>
        <v>-3.155358621</v>
      </c>
      <c r="C709" s="43">
        <f t="shared" si="5"/>
        <v>-1.740686581</v>
      </c>
      <c r="D709" s="42">
        <f t="shared" si="6"/>
        <v>-2.380599106</v>
      </c>
      <c r="E709" s="42">
        <f t="shared" si="7"/>
        <v>-1.79320266</v>
      </c>
      <c r="F709" s="42">
        <f t="shared" si="8"/>
        <v>-3.240190514</v>
      </c>
      <c r="G709" s="42">
        <f t="shared" si="9"/>
        <v>-1.329092151</v>
      </c>
      <c r="H709" s="42">
        <f t="shared" si="10"/>
        <v>0</v>
      </c>
      <c r="I709" s="42" t="str">
        <f>UpdateHashtag!S707</f>
        <v/>
      </c>
      <c r="J709" s="47">
        <f t="shared" si="11"/>
        <v>0</v>
      </c>
      <c r="K709" s="48" t="str">
        <f>UpdateHashtag!T707</f>
        <v/>
      </c>
      <c r="L709" s="42">
        <f t="shared" si="12"/>
        <v>-1.734552372</v>
      </c>
      <c r="N709" s="100">
        <f t="shared" si="13"/>
        <v>401</v>
      </c>
      <c r="O709" s="94" t="str">
        <f t="array" ref="O709">INDIRECT("Update"&amp;Projections!$AH$17&amp;"!B"&amp;ROW(B690))</f>
        <v/>
      </c>
      <c r="P709" s="414" t="str">
        <f t="array" ref="P709">INDIRECT("Update"&amp;Projections!$AH$17&amp;"!C"&amp;ROW(B690))</f>
        <v/>
      </c>
      <c r="Q709" s="94" t="str">
        <f>UpdateHashtag!F739</f>
        <v/>
      </c>
      <c r="R709" s="105" t="str">
        <f t="array" ref="R709">INDIRECT("Update"&amp;Projections!$AH$17&amp;"!D"&amp;ROW(B690))</f>
        <v/>
      </c>
      <c r="S709" s="73">
        <f t="shared" si="14"/>
        <v>-9.965301026</v>
      </c>
      <c r="T709" s="73">
        <f>SUM(AE709:AM709)-IFERROR(IFS(Projections!$I$17,AN709,Projections!$J$17,AO709),"")</f>
        <v>-9.965301026</v>
      </c>
      <c r="U709" s="73">
        <f t="shared" si="15"/>
        <v>0</v>
      </c>
      <c r="V709" s="73" t="str">
        <f t="array" ref="V709">INDIRECT("Update"&amp;Projections!$AH$17&amp;"!M"&amp;ROW(B690))</f>
        <v/>
      </c>
      <c r="W709" s="73" t="str">
        <f t="array" ref="W709">INDIRECT("Update"&amp;Projections!$AH$17&amp;"!L"&amp;ROW(B690))</f>
        <v/>
      </c>
      <c r="X709" s="73" t="str">
        <f t="array" ref="X709">INDIRECT("Update"&amp;Projections!$AH$17&amp;"!N"&amp;ROW(B690))</f>
        <v/>
      </c>
      <c r="Y709" s="73" t="str">
        <f t="array" ref="Y709">INDIRECT("Update"&amp;Projections!$AH$17&amp;"!O"&amp;ROW(B690))</f>
        <v/>
      </c>
      <c r="Z709" s="73" t="str">
        <f t="array" ref="Z709">INDIRECT("Update"&amp;Projections!$AH$17&amp;"!P"&amp;ROW(B690))</f>
        <v/>
      </c>
      <c r="AA709" s="73" t="str">
        <f t="array" ref="AA709">INDIRECT("Update"&amp;Projections!$AH$17&amp;"!Q"&amp;ROW(B690))</f>
        <v/>
      </c>
      <c r="AB709" s="107" t="str">
        <f t="array" ref="AB709">INDIRECT("Update"&amp;Projections!$AH$17&amp;"!I"&amp;ROW(B690))</f>
        <v/>
      </c>
      <c r="AC709" s="107" t="str">
        <f t="array" ref="AC709">INDIRECT("Update"&amp;Projections!$AH$17&amp;"!K"&amp;ROW(B690))</f>
        <v/>
      </c>
      <c r="AD709" s="73" t="str">
        <f t="array" ref="AD709">INDIRECT("Update"&amp;Projections!$AH$17&amp;"!R"&amp;ROW(B690))</f>
        <v/>
      </c>
      <c r="AE709" s="73">
        <f t="shared" si="16"/>
        <v>-3.155358621</v>
      </c>
      <c r="AF709" s="73">
        <f t="shared" si="17"/>
        <v>-1.740686581</v>
      </c>
      <c r="AG709" s="73">
        <f t="shared" si="18"/>
        <v>-2.380599106</v>
      </c>
      <c r="AH709" s="73">
        <f t="shared" si="19"/>
        <v>-1.79320266</v>
      </c>
      <c r="AI709" s="73">
        <f t="shared" si="20"/>
        <v>-3.240190514</v>
      </c>
      <c r="AJ709" s="73">
        <f t="shared" si="21"/>
        <v>-1.329092151</v>
      </c>
      <c r="AK709" s="73">
        <f t="shared" si="22"/>
        <v>0</v>
      </c>
      <c r="AL709" s="73">
        <f t="shared" si="23"/>
        <v>0</v>
      </c>
      <c r="AM709" s="73">
        <f t="shared" si="24"/>
        <v>0.433638093</v>
      </c>
      <c r="AN709" s="120">
        <f t="shared" si="25"/>
        <v>-3.240190514</v>
      </c>
      <c r="AO709" s="120">
        <f t="shared" si="26"/>
        <v>-6.395549135</v>
      </c>
      <c r="AP709" s="120" t="str">
        <f t="array" ref="AP709">INDIRECT("Update"&amp;Projections!$AH$17&amp;"!S"&amp;ROW(B690))</f>
        <v/>
      </c>
      <c r="AQ709" s="120" t="str">
        <f t="array" ref="AQ709">INDIRECT("Update"&amp;Projections!$AH$17&amp;"!T"&amp;ROW(B690))</f>
        <v/>
      </c>
      <c r="AR709" s="100">
        <f t="shared" si="27"/>
        <v>-9.965301026</v>
      </c>
    </row>
    <row r="710">
      <c r="A710" t="str">
        <f t="shared" si="3"/>
        <v/>
      </c>
      <c r="B710" s="42">
        <f t="shared" si="4"/>
        <v>-3.155358621</v>
      </c>
      <c r="C710" s="43">
        <f t="shared" si="5"/>
        <v>-1.740686581</v>
      </c>
      <c r="D710" s="42">
        <f t="shared" si="6"/>
        <v>-2.380599106</v>
      </c>
      <c r="E710" s="42">
        <f t="shared" si="7"/>
        <v>-1.79320266</v>
      </c>
      <c r="F710" s="42">
        <f t="shared" si="8"/>
        <v>-3.240190514</v>
      </c>
      <c r="G710" s="42">
        <f t="shared" si="9"/>
        <v>-1.329092151</v>
      </c>
      <c r="H710" s="42">
        <f t="shared" si="10"/>
        <v>0</v>
      </c>
      <c r="I710" s="42" t="str">
        <f>UpdateHashtag!S708</f>
        <v/>
      </c>
      <c r="J710" s="47">
        <f t="shared" si="11"/>
        <v>0</v>
      </c>
      <c r="K710" s="48" t="str">
        <f>UpdateHashtag!T708</f>
        <v/>
      </c>
      <c r="L710" s="42">
        <f t="shared" si="12"/>
        <v>-1.734552372</v>
      </c>
      <c r="N710" s="100">
        <f t="shared" si="13"/>
        <v>401</v>
      </c>
      <c r="O710" s="94" t="str">
        <f t="array" ref="O710">INDIRECT("Update"&amp;Projections!$AH$17&amp;"!B"&amp;ROW(B691))</f>
        <v/>
      </c>
      <c r="P710" s="414" t="str">
        <f t="array" ref="P710">INDIRECT("Update"&amp;Projections!$AH$17&amp;"!C"&amp;ROW(B691))</f>
        <v/>
      </c>
      <c r="Q710" s="94" t="str">
        <f>UpdateHashtag!F740</f>
        <v/>
      </c>
      <c r="R710" s="105" t="str">
        <f t="array" ref="R710">INDIRECT("Update"&amp;Projections!$AH$17&amp;"!D"&amp;ROW(B691))</f>
        <v/>
      </c>
      <c r="S710" s="73">
        <f t="shared" si="14"/>
        <v>-9.965301026</v>
      </c>
      <c r="T710" s="73">
        <f>SUM(AE710:AM710)-IFERROR(IFS(Projections!$I$17,AN710,Projections!$J$17,AO710),"")</f>
        <v>-9.965301026</v>
      </c>
      <c r="U710" s="73">
        <f t="shared" si="15"/>
        <v>0</v>
      </c>
      <c r="V710" s="73" t="str">
        <f t="array" ref="V710">INDIRECT("Update"&amp;Projections!$AH$17&amp;"!M"&amp;ROW(B691))</f>
        <v/>
      </c>
      <c r="W710" s="73" t="str">
        <f t="array" ref="W710">INDIRECT("Update"&amp;Projections!$AH$17&amp;"!L"&amp;ROW(B691))</f>
        <v/>
      </c>
      <c r="X710" s="73" t="str">
        <f t="array" ref="X710">INDIRECT("Update"&amp;Projections!$AH$17&amp;"!N"&amp;ROW(B691))</f>
        <v/>
      </c>
      <c r="Y710" s="73" t="str">
        <f t="array" ref="Y710">INDIRECT("Update"&amp;Projections!$AH$17&amp;"!O"&amp;ROW(B691))</f>
        <v/>
      </c>
      <c r="Z710" s="73" t="str">
        <f t="array" ref="Z710">INDIRECT("Update"&amp;Projections!$AH$17&amp;"!P"&amp;ROW(B691))</f>
        <v/>
      </c>
      <c r="AA710" s="73" t="str">
        <f t="array" ref="AA710">INDIRECT("Update"&amp;Projections!$AH$17&amp;"!Q"&amp;ROW(B691))</f>
        <v/>
      </c>
      <c r="AB710" s="107" t="str">
        <f t="array" ref="AB710">INDIRECT("Update"&amp;Projections!$AH$17&amp;"!I"&amp;ROW(B691))</f>
        <v/>
      </c>
      <c r="AC710" s="107" t="str">
        <f t="array" ref="AC710">INDIRECT("Update"&amp;Projections!$AH$17&amp;"!K"&amp;ROW(B691))</f>
        <v/>
      </c>
      <c r="AD710" s="73" t="str">
        <f t="array" ref="AD710">INDIRECT("Update"&amp;Projections!$AH$17&amp;"!R"&amp;ROW(B691))</f>
        <v/>
      </c>
      <c r="AE710" s="73">
        <f t="shared" si="16"/>
        <v>-3.155358621</v>
      </c>
      <c r="AF710" s="73">
        <f t="shared" si="17"/>
        <v>-1.740686581</v>
      </c>
      <c r="AG710" s="73">
        <f t="shared" si="18"/>
        <v>-2.380599106</v>
      </c>
      <c r="AH710" s="73">
        <f t="shared" si="19"/>
        <v>-1.79320266</v>
      </c>
      <c r="AI710" s="73">
        <f t="shared" si="20"/>
        <v>-3.240190514</v>
      </c>
      <c r="AJ710" s="73">
        <f t="shared" si="21"/>
        <v>-1.329092151</v>
      </c>
      <c r="AK710" s="73">
        <f t="shared" si="22"/>
        <v>0</v>
      </c>
      <c r="AL710" s="73">
        <f t="shared" si="23"/>
        <v>0</v>
      </c>
      <c r="AM710" s="73">
        <f t="shared" si="24"/>
        <v>0.433638093</v>
      </c>
      <c r="AN710" s="120">
        <f t="shared" si="25"/>
        <v>-3.240190514</v>
      </c>
      <c r="AO710" s="120">
        <f t="shared" si="26"/>
        <v>-6.395549135</v>
      </c>
      <c r="AP710" s="120" t="str">
        <f t="array" ref="AP710">INDIRECT("Update"&amp;Projections!$AH$17&amp;"!S"&amp;ROW(B691))</f>
        <v/>
      </c>
      <c r="AQ710" s="120" t="str">
        <f t="array" ref="AQ710">INDIRECT("Update"&amp;Projections!$AH$17&amp;"!T"&amp;ROW(B691))</f>
        <v/>
      </c>
      <c r="AR710" s="100">
        <f t="shared" si="27"/>
        <v>-9.965301026</v>
      </c>
    </row>
    <row r="711">
      <c r="A711" t="str">
        <f t="shared" si="3"/>
        <v/>
      </c>
      <c r="B711" s="42">
        <f t="shared" si="4"/>
        <v>-3.155358621</v>
      </c>
      <c r="C711" s="43">
        <f t="shared" si="5"/>
        <v>-1.740686581</v>
      </c>
      <c r="D711" s="42">
        <f t="shared" si="6"/>
        <v>-2.380599106</v>
      </c>
      <c r="E711" s="42">
        <f t="shared" si="7"/>
        <v>-1.79320266</v>
      </c>
      <c r="F711" s="42">
        <f t="shared" si="8"/>
        <v>-3.240190514</v>
      </c>
      <c r="G711" s="42">
        <f t="shared" si="9"/>
        <v>-1.329092151</v>
      </c>
      <c r="H711" s="42">
        <f t="shared" si="10"/>
        <v>0</v>
      </c>
      <c r="I711" s="42" t="str">
        <f>UpdateHashtag!S709</f>
        <v/>
      </c>
      <c r="J711" s="47">
        <f t="shared" si="11"/>
        <v>0</v>
      </c>
      <c r="K711" s="48" t="str">
        <f>UpdateHashtag!T709</f>
        <v/>
      </c>
      <c r="L711" s="42">
        <f t="shared" si="12"/>
        <v>-1.734552372</v>
      </c>
      <c r="N711" s="100">
        <f t="shared" si="13"/>
        <v>401</v>
      </c>
      <c r="O711" s="94" t="str">
        <f t="array" ref="O711">INDIRECT("Update"&amp;Projections!$AH$17&amp;"!B"&amp;ROW(B692))</f>
        <v/>
      </c>
      <c r="P711" s="414" t="str">
        <f t="array" ref="P711">INDIRECT("Update"&amp;Projections!$AH$17&amp;"!C"&amp;ROW(B692))</f>
        <v/>
      </c>
      <c r="Q711" s="94" t="str">
        <f>UpdateHashtag!F741</f>
        <v/>
      </c>
      <c r="R711" s="105" t="str">
        <f t="array" ref="R711">INDIRECT("Update"&amp;Projections!$AH$17&amp;"!D"&amp;ROW(B692))</f>
        <v/>
      </c>
      <c r="S711" s="73">
        <f t="shared" si="14"/>
        <v>-9.965301026</v>
      </c>
      <c r="T711" s="73">
        <f>SUM(AE711:AM711)-IFERROR(IFS(Projections!$I$17,AN711,Projections!$J$17,AO711),"")</f>
        <v>-9.965301026</v>
      </c>
      <c r="U711" s="73">
        <f t="shared" si="15"/>
        <v>0</v>
      </c>
      <c r="V711" s="73" t="str">
        <f t="array" ref="V711">INDIRECT("Update"&amp;Projections!$AH$17&amp;"!M"&amp;ROW(B692))</f>
        <v/>
      </c>
      <c r="W711" s="73" t="str">
        <f t="array" ref="W711">INDIRECT("Update"&amp;Projections!$AH$17&amp;"!L"&amp;ROW(B692))</f>
        <v/>
      </c>
      <c r="X711" s="73" t="str">
        <f t="array" ref="X711">INDIRECT("Update"&amp;Projections!$AH$17&amp;"!N"&amp;ROW(B692))</f>
        <v/>
      </c>
      <c r="Y711" s="73" t="str">
        <f t="array" ref="Y711">INDIRECT("Update"&amp;Projections!$AH$17&amp;"!O"&amp;ROW(B692))</f>
        <v/>
      </c>
      <c r="Z711" s="73" t="str">
        <f t="array" ref="Z711">INDIRECT("Update"&amp;Projections!$AH$17&amp;"!P"&amp;ROW(B692))</f>
        <v/>
      </c>
      <c r="AA711" s="73" t="str">
        <f t="array" ref="AA711">INDIRECT("Update"&amp;Projections!$AH$17&amp;"!Q"&amp;ROW(B692))</f>
        <v/>
      </c>
      <c r="AB711" s="107" t="str">
        <f t="array" ref="AB711">INDIRECT("Update"&amp;Projections!$AH$17&amp;"!I"&amp;ROW(B692))</f>
        <v/>
      </c>
      <c r="AC711" s="107" t="str">
        <f t="array" ref="AC711">INDIRECT("Update"&amp;Projections!$AH$17&amp;"!K"&amp;ROW(B692))</f>
        <v/>
      </c>
      <c r="AD711" s="73" t="str">
        <f t="array" ref="AD711">INDIRECT("Update"&amp;Projections!$AH$17&amp;"!R"&amp;ROW(B692))</f>
        <v/>
      </c>
      <c r="AE711" s="73">
        <f t="shared" si="16"/>
        <v>-3.155358621</v>
      </c>
      <c r="AF711" s="73">
        <f t="shared" si="17"/>
        <v>-1.740686581</v>
      </c>
      <c r="AG711" s="73">
        <f t="shared" si="18"/>
        <v>-2.380599106</v>
      </c>
      <c r="AH711" s="73">
        <f t="shared" si="19"/>
        <v>-1.79320266</v>
      </c>
      <c r="AI711" s="73">
        <f t="shared" si="20"/>
        <v>-3.240190514</v>
      </c>
      <c r="AJ711" s="73">
        <f t="shared" si="21"/>
        <v>-1.329092151</v>
      </c>
      <c r="AK711" s="73">
        <f t="shared" si="22"/>
        <v>0</v>
      </c>
      <c r="AL711" s="73">
        <f t="shared" si="23"/>
        <v>0</v>
      </c>
      <c r="AM711" s="73">
        <f t="shared" si="24"/>
        <v>0.433638093</v>
      </c>
      <c r="AN711" s="120">
        <f t="shared" si="25"/>
        <v>-3.240190514</v>
      </c>
      <c r="AO711" s="120">
        <f t="shared" si="26"/>
        <v>-6.395549135</v>
      </c>
      <c r="AP711" s="120" t="str">
        <f t="array" ref="AP711">INDIRECT("Update"&amp;Projections!$AH$17&amp;"!S"&amp;ROW(B692))</f>
        <v/>
      </c>
      <c r="AQ711" s="120" t="str">
        <f t="array" ref="AQ711">INDIRECT("Update"&amp;Projections!$AH$17&amp;"!T"&amp;ROW(B692))</f>
        <v/>
      </c>
      <c r="AR711" s="100">
        <f t="shared" si="27"/>
        <v>-9.965301026</v>
      </c>
    </row>
    <row r="712">
      <c r="A712" t="str">
        <f t="shared" si="3"/>
        <v/>
      </c>
      <c r="B712" s="42">
        <f t="shared" si="4"/>
        <v>-3.155358621</v>
      </c>
      <c r="C712" s="43">
        <f t="shared" si="5"/>
        <v>-1.740686581</v>
      </c>
      <c r="D712" s="42">
        <f t="shared" si="6"/>
        <v>-2.380599106</v>
      </c>
      <c r="E712" s="42">
        <f t="shared" si="7"/>
        <v>-1.79320266</v>
      </c>
      <c r="F712" s="42">
        <f t="shared" si="8"/>
        <v>-3.240190514</v>
      </c>
      <c r="G712" s="42">
        <f t="shared" si="9"/>
        <v>-1.329092151</v>
      </c>
      <c r="H712" s="42">
        <f t="shared" si="10"/>
        <v>0</v>
      </c>
      <c r="I712" s="42" t="str">
        <f>UpdateHashtag!S710</f>
        <v/>
      </c>
      <c r="J712" s="47">
        <f t="shared" si="11"/>
        <v>0</v>
      </c>
      <c r="K712" s="48" t="str">
        <f>UpdateHashtag!T710</f>
        <v/>
      </c>
      <c r="L712" s="42">
        <f t="shared" si="12"/>
        <v>-1.734552372</v>
      </c>
      <c r="N712" s="100">
        <f t="shared" si="13"/>
        <v>401</v>
      </c>
      <c r="O712" s="94" t="str">
        <f t="array" ref="O712">INDIRECT("Update"&amp;Projections!$AH$17&amp;"!B"&amp;ROW(B693))</f>
        <v/>
      </c>
      <c r="P712" s="414" t="str">
        <f t="array" ref="P712">INDIRECT("Update"&amp;Projections!$AH$17&amp;"!C"&amp;ROW(B693))</f>
        <v/>
      </c>
      <c r="Q712" s="94" t="str">
        <f>UpdateHashtag!F742</f>
        <v/>
      </c>
      <c r="R712" s="105" t="str">
        <f t="array" ref="R712">INDIRECT("Update"&amp;Projections!$AH$17&amp;"!D"&amp;ROW(B693))</f>
        <v/>
      </c>
      <c r="S712" s="73">
        <f t="shared" si="14"/>
        <v>-9.965301026</v>
      </c>
      <c r="T712" s="73">
        <f>SUM(AE712:AM712)-IFERROR(IFS(Projections!$I$17,AN712,Projections!$J$17,AO712),"")</f>
        <v>-9.965301026</v>
      </c>
      <c r="U712" s="73">
        <f t="shared" si="15"/>
        <v>0</v>
      </c>
      <c r="V712" s="73" t="str">
        <f t="array" ref="V712">INDIRECT("Update"&amp;Projections!$AH$17&amp;"!M"&amp;ROW(B693))</f>
        <v/>
      </c>
      <c r="W712" s="73" t="str">
        <f t="array" ref="W712">INDIRECT("Update"&amp;Projections!$AH$17&amp;"!L"&amp;ROW(B693))</f>
        <v/>
      </c>
      <c r="X712" s="73" t="str">
        <f t="array" ref="X712">INDIRECT("Update"&amp;Projections!$AH$17&amp;"!N"&amp;ROW(B693))</f>
        <v/>
      </c>
      <c r="Y712" s="73" t="str">
        <f t="array" ref="Y712">INDIRECT("Update"&amp;Projections!$AH$17&amp;"!O"&amp;ROW(B693))</f>
        <v/>
      </c>
      <c r="Z712" s="73" t="str">
        <f t="array" ref="Z712">INDIRECT("Update"&amp;Projections!$AH$17&amp;"!P"&amp;ROW(B693))</f>
        <v/>
      </c>
      <c r="AA712" s="73" t="str">
        <f t="array" ref="AA712">INDIRECT("Update"&amp;Projections!$AH$17&amp;"!Q"&amp;ROW(B693))</f>
        <v/>
      </c>
      <c r="AB712" s="107" t="str">
        <f t="array" ref="AB712">INDIRECT("Update"&amp;Projections!$AH$17&amp;"!I"&amp;ROW(B693))</f>
        <v/>
      </c>
      <c r="AC712" s="107" t="str">
        <f t="array" ref="AC712">INDIRECT("Update"&amp;Projections!$AH$17&amp;"!K"&amp;ROW(B693))</f>
        <v/>
      </c>
      <c r="AD712" s="73" t="str">
        <f t="array" ref="AD712">INDIRECT("Update"&amp;Projections!$AH$17&amp;"!R"&amp;ROW(B693))</f>
        <v/>
      </c>
      <c r="AE712" s="73">
        <f t="shared" si="16"/>
        <v>-3.155358621</v>
      </c>
      <c r="AF712" s="73">
        <f t="shared" si="17"/>
        <v>-1.740686581</v>
      </c>
      <c r="AG712" s="73">
        <f t="shared" si="18"/>
        <v>-2.380599106</v>
      </c>
      <c r="AH712" s="73">
        <f t="shared" si="19"/>
        <v>-1.79320266</v>
      </c>
      <c r="AI712" s="73">
        <f t="shared" si="20"/>
        <v>-3.240190514</v>
      </c>
      <c r="AJ712" s="73">
        <f t="shared" si="21"/>
        <v>-1.329092151</v>
      </c>
      <c r="AK712" s="73">
        <f t="shared" si="22"/>
        <v>0</v>
      </c>
      <c r="AL712" s="73">
        <f t="shared" si="23"/>
        <v>0</v>
      </c>
      <c r="AM712" s="73">
        <f t="shared" si="24"/>
        <v>0.433638093</v>
      </c>
      <c r="AN712" s="120">
        <f t="shared" si="25"/>
        <v>-3.240190514</v>
      </c>
      <c r="AO712" s="120">
        <f t="shared" si="26"/>
        <v>-6.395549135</v>
      </c>
      <c r="AP712" s="120" t="str">
        <f t="array" ref="AP712">INDIRECT("Update"&amp;Projections!$AH$17&amp;"!S"&amp;ROW(B693))</f>
        <v/>
      </c>
      <c r="AQ712" s="120" t="str">
        <f t="array" ref="AQ712">INDIRECT("Update"&amp;Projections!$AH$17&amp;"!T"&amp;ROW(B693))</f>
        <v/>
      </c>
      <c r="AR712" s="100">
        <f t="shared" si="27"/>
        <v>-9.965301026</v>
      </c>
    </row>
    <row r="713">
      <c r="A713" t="str">
        <f t="shared" si="3"/>
        <v/>
      </c>
      <c r="B713" s="42">
        <f t="shared" si="4"/>
        <v>-3.155358621</v>
      </c>
      <c r="C713" s="43">
        <f t="shared" si="5"/>
        <v>-1.740686581</v>
      </c>
      <c r="D713" s="42">
        <f t="shared" si="6"/>
        <v>-2.380599106</v>
      </c>
      <c r="E713" s="42">
        <f t="shared" si="7"/>
        <v>-1.79320266</v>
      </c>
      <c r="F713" s="42">
        <f t="shared" si="8"/>
        <v>-3.240190514</v>
      </c>
      <c r="G713" s="42">
        <f t="shared" si="9"/>
        <v>-1.329092151</v>
      </c>
      <c r="H713" s="42">
        <f t="shared" si="10"/>
        <v>0</v>
      </c>
      <c r="I713" s="42" t="str">
        <f>UpdateHashtag!S711</f>
        <v/>
      </c>
      <c r="J713" s="47">
        <f t="shared" si="11"/>
        <v>0</v>
      </c>
      <c r="K713" s="48" t="str">
        <f>UpdateHashtag!T711</f>
        <v/>
      </c>
      <c r="L713" s="42">
        <f t="shared" si="12"/>
        <v>-1.734552372</v>
      </c>
      <c r="N713" s="100">
        <f t="shared" si="13"/>
        <v>401</v>
      </c>
      <c r="O713" s="94" t="str">
        <f t="array" ref="O713">INDIRECT("Update"&amp;Projections!$AH$17&amp;"!B"&amp;ROW(B694))</f>
        <v/>
      </c>
      <c r="P713" s="414" t="str">
        <f t="array" ref="P713">INDIRECT("Update"&amp;Projections!$AH$17&amp;"!C"&amp;ROW(B694))</f>
        <v/>
      </c>
      <c r="Q713" s="94" t="str">
        <f>UpdateHashtag!F743</f>
        <v/>
      </c>
      <c r="R713" s="105" t="str">
        <f t="array" ref="R713">INDIRECT("Update"&amp;Projections!$AH$17&amp;"!D"&amp;ROW(B694))</f>
        <v/>
      </c>
      <c r="S713" s="73">
        <f t="shared" si="14"/>
        <v>-9.965301026</v>
      </c>
      <c r="T713" s="73">
        <f>SUM(AE713:AM713)-IFERROR(IFS(Projections!$I$17,AN713,Projections!$J$17,AO713),"")</f>
        <v>-9.965301026</v>
      </c>
      <c r="U713" s="73">
        <f t="shared" si="15"/>
        <v>0</v>
      </c>
      <c r="V713" s="73" t="str">
        <f t="array" ref="V713">INDIRECT("Update"&amp;Projections!$AH$17&amp;"!M"&amp;ROW(B694))</f>
        <v/>
      </c>
      <c r="W713" s="73" t="str">
        <f t="array" ref="W713">INDIRECT("Update"&amp;Projections!$AH$17&amp;"!L"&amp;ROW(B694))</f>
        <v/>
      </c>
      <c r="X713" s="73" t="str">
        <f t="array" ref="X713">INDIRECT("Update"&amp;Projections!$AH$17&amp;"!N"&amp;ROW(B694))</f>
        <v/>
      </c>
      <c r="Y713" s="73" t="str">
        <f t="array" ref="Y713">INDIRECT("Update"&amp;Projections!$AH$17&amp;"!O"&amp;ROW(B694))</f>
        <v/>
      </c>
      <c r="Z713" s="73" t="str">
        <f t="array" ref="Z713">INDIRECT("Update"&amp;Projections!$AH$17&amp;"!P"&amp;ROW(B694))</f>
        <v/>
      </c>
      <c r="AA713" s="73" t="str">
        <f t="array" ref="AA713">INDIRECT("Update"&amp;Projections!$AH$17&amp;"!Q"&amp;ROW(B694))</f>
        <v/>
      </c>
      <c r="AB713" s="107" t="str">
        <f t="array" ref="AB713">INDIRECT("Update"&amp;Projections!$AH$17&amp;"!I"&amp;ROW(B694))</f>
        <v/>
      </c>
      <c r="AC713" s="107" t="str">
        <f t="array" ref="AC713">INDIRECT("Update"&amp;Projections!$AH$17&amp;"!K"&amp;ROW(B694))</f>
        <v/>
      </c>
      <c r="AD713" s="73" t="str">
        <f t="array" ref="AD713">INDIRECT("Update"&amp;Projections!$AH$17&amp;"!R"&amp;ROW(B694))</f>
        <v/>
      </c>
      <c r="AE713" s="73">
        <f t="shared" si="16"/>
        <v>-3.155358621</v>
      </c>
      <c r="AF713" s="73">
        <f t="shared" si="17"/>
        <v>-1.740686581</v>
      </c>
      <c r="AG713" s="73">
        <f t="shared" si="18"/>
        <v>-2.380599106</v>
      </c>
      <c r="AH713" s="73">
        <f t="shared" si="19"/>
        <v>-1.79320266</v>
      </c>
      <c r="AI713" s="73">
        <f t="shared" si="20"/>
        <v>-3.240190514</v>
      </c>
      <c r="AJ713" s="73">
        <f t="shared" si="21"/>
        <v>-1.329092151</v>
      </c>
      <c r="AK713" s="73">
        <f t="shared" si="22"/>
        <v>0</v>
      </c>
      <c r="AL713" s="73">
        <f t="shared" si="23"/>
        <v>0</v>
      </c>
      <c r="AM713" s="73">
        <f t="shared" si="24"/>
        <v>0.433638093</v>
      </c>
      <c r="AN713" s="120">
        <f t="shared" si="25"/>
        <v>-3.240190514</v>
      </c>
      <c r="AO713" s="120">
        <f t="shared" si="26"/>
        <v>-6.395549135</v>
      </c>
      <c r="AP713" s="120" t="str">
        <f t="array" ref="AP713">INDIRECT("Update"&amp;Projections!$AH$17&amp;"!S"&amp;ROW(B694))</f>
        <v/>
      </c>
      <c r="AQ713" s="120" t="str">
        <f t="array" ref="AQ713">INDIRECT("Update"&amp;Projections!$AH$17&amp;"!T"&amp;ROW(B694))</f>
        <v/>
      </c>
      <c r="AR713" s="100">
        <f t="shared" si="27"/>
        <v>-9.965301026</v>
      </c>
    </row>
    <row r="714">
      <c r="A714" t="str">
        <f t="shared" si="3"/>
        <v/>
      </c>
      <c r="B714" s="42">
        <f t="shared" si="4"/>
        <v>-3.155358621</v>
      </c>
      <c r="C714" s="43">
        <f t="shared" si="5"/>
        <v>-1.740686581</v>
      </c>
      <c r="D714" s="42">
        <f t="shared" si="6"/>
        <v>-2.380599106</v>
      </c>
      <c r="E714" s="42">
        <f t="shared" si="7"/>
        <v>-1.79320266</v>
      </c>
      <c r="F714" s="42">
        <f t="shared" si="8"/>
        <v>-3.240190514</v>
      </c>
      <c r="G714" s="42">
        <f t="shared" si="9"/>
        <v>-1.329092151</v>
      </c>
      <c r="H714" s="42">
        <f t="shared" si="10"/>
        <v>0</v>
      </c>
      <c r="I714" s="42" t="str">
        <f>UpdateHashtag!S712</f>
        <v/>
      </c>
      <c r="J714" s="47">
        <f t="shared" si="11"/>
        <v>0</v>
      </c>
      <c r="K714" s="48" t="str">
        <f>UpdateHashtag!T712</f>
        <v/>
      </c>
      <c r="L714" s="42">
        <f t="shared" si="12"/>
        <v>-1.734552372</v>
      </c>
      <c r="N714" s="100">
        <f t="shared" si="13"/>
        <v>401</v>
      </c>
      <c r="O714" s="94" t="str">
        <f t="array" ref="O714">INDIRECT("Update"&amp;Projections!$AH$17&amp;"!B"&amp;ROW(B695))</f>
        <v/>
      </c>
      <c r="P714" s="414" t="str">
        <f t="array" ref="P714">INDIRECT("Update"&amp;Projections!$AH$17&amp;"!C"&amp;ROW(B695))</f>
        <v/>
      </c>
      <c r="Q714" s="94" t="str">
        <f>UpdateHashtag!F744</f>
        <v/>
      </c>
      <c r="R714" s="105" t="str">
        <f t="array" ref="R714">INDIRECT("Update"&amp;Projections!$AH$17&amp;"!D"&amp;ROW(B695))</f>
        <v/>
      </c>
      <c r="S714" s="73">
        <f t="shared" si="14"/>
        <v>-9.965301026</v>
      </c>
      <c r="T714" s="73">
        <f>SUM(AE714:AM714)-IFERROR(IFS(Projections!$I$17,AN714,Projections!$J$17,AO714),"")</f>
        <v>-9.965301026</v>
      </c>
      <c r="U714" s="73">
        <f t="shared" si="15"/>
        <v>0</v>
      </c>
      <c r="V714" s="73" t="str">
        <f t="array" ref="V714">INDIRECT("Update"&amp;Projections!$AH$17&amp;"!M"&amp;ROW(B695))</f>
        <v/>
      </c>
      <c r="W714" s="73" t="str">
        <f t="array" ref="W714">INDIRECT("Update"&amp;Projections!$AH$17&amp;"!L"&amp;ROW(B695))</f>
        <v/>
      </c>
      <c r="X714" s="73" t="str">
        <f t="array" ref="X714">INDIRECT("Update"&amp;Projections!$AH$17&amp;"!N"&amp;ROW(B695))</f>
        <v/>
      </c>
      <c r="Y714" s="73" t="str">
        <f t="array" ref="Y714">INDIRECT("Update"&amp;Projections!$AH$17&amp;"!O"&amp;ROW(B695))</f>
        <v/>
      </c>
      <c r="Z714" s="73" t="str">
        <f t="array" ref="Z714">INDIRECT("Update"&amp;Projections!$AH$17&amp;"!P"&amp;ROW(B695))</f>
        <v/>
      </c>
      <c r="AA714" s="73" t="str">
        <f t="array" ref="AA714">INDIRECT("Update"&amp;Projections!$AH$17&amp;"!Q"&amp;ROW(B695))</f>
        <v/>
      </c>
      <c r="AB714" s="107" t="str">
        <f t="array" ref="AB714">INDIRECT("Update"&amp;Projections!$AH$17&amp;"!I"&amp;ROW(B695))</f>
        <v/>
      </c>
      <c r="AC714" s="107" t="str">
        <f t="array" ref="AC714">INDIRECT("Update"&amp;Projections!$AH$17&amp;"!K"&amp;ROW(B695))</f>
        <v/>
      </c>
      <c r="AD714" s="73" t="str">
        <f t="array" ref="AD714">INDIRECT("Update"&amp;Projections!$AH$17&amp;"!R"&amp;ROW(B695))</f>
        <v/>
      </c>
      <c r="AE714" s="73">
        <f t="shared" si="16"/>
        <v>-3.155358621</v>
      </c>
      <c r="AF714" s="73">
        <f t="shared" si="17"/>
        <v>-1.740686581</v>
      </c>
      <c r="AG714" s="73">
        <f t="shared" si="18"/>
        <v>-2.380599106</v>
      </c>
      <c r="AH714" s="73">
        <f t="shared" si="19"/>
        <v>-1.79320266</v>
      </c>
      <c r="AI714" s="73">
        <f t="shared" si="20"/>
        <v>-3.240190514</v>
      </c>
      <c r="AJ714" s="73">
        <f t="shared" si="21"/>
        <v>-1.329092151</v>
      </c>
      <c r="AK714" s="73">
        <f t="shared" si="22"/>
        <v>0</v>
      </c>
      <c r="AL714" s="73">
        <f t="shared" si="23"/>
        <v>0</v>
      </c>
      <c r="AM714" s="73">
        <f t="shared" si="24"/>
        <v>0.433638093</v>
      </c>
      <c r="AN714" s="120">
        <f t="shared" si="25"/>
        <v>-3.240190514</v>
      </c>
      <c r="AO714" s="120">
        <f t="shared" si="26"/>
        <v>-6.395549135</v>
      </c>
      <c r="AP714" s="120" t="str">
        <f t="array" ref="AP714">INDIRECT("Update"&amp;Projections!$AH$17&amp;"!S"&amp;ROW(B695))</f>
        <v/>
      </c>
      <c r="AQ714" s="120" t="str">
        <f t="array" ref="AQ714">INDIRECT("Update"&amp;Projections!$AH$17&amp;"!T"&amp;ROW(B695))</f>
        <v/>
      </c>
      <c r="AR714" s="100">
        <f t="shared" si="27"/>
        <v>-9.965301026</v>
      </c>
    </row>
    <row r="715">
      <c r="A715" t="str">
        <f t="shared" si="3"/>
        <v/>
      </c>
      <c r="B715" s="42">
        <f t="shared" si="4"/>
        <v>-3.155358621</v>
      </c>
      <c r="C715" s="43">
        <f t="shared" si="5"/>
        <v>-1.740686581</v>
      </c>
      <c r="D715" s="42">
        <f t="shared" si="6"/>
        <v>-2.380599106</v>
      </c>
      <c r="E715" s="42">
        <f t="shared" si="7"/>
        <v>-1.79320266</v>
      </c>
      <c r="F715" s="42">
        <f t="shared" si="8"/>
        <v>-3.240190514</v>
      </c>
      <c r="G715" s="42">
        <f t="shared" si="9"/>
        <v>-1.329092151</v>
      </c>
      <c r="H715" s="42">
        <f t="shared" si="10"/>
        <v>0</v>
      </c>
      <c r="I715" s="42" t="str">
        <f>UpdateHashtag!S713</f>
        <v/>
      </c>
      <c r="J715" s="47">
        <f t="shared" si="11"/>
        <v>0</v>
      </c>
      <c r="K715" s="48" t="str">
        <f>UpdateHashtag!T713</f>
        <v/>
      </c>
      <c r="L715" s="42">
        <f t="shared" si="12"/>
        <v>-1.734552372</v>
      </c>
      <c r="N715" s="100">
        <f t="shared" si="13"/>
        <v>401</v>
      </c>
      <c r="O715" s="94" t="str">
        <f t="array" ref="O715">INDIRECT("Update"&amp;Projections!$AH$17&amp;"!B"&amp;ROW(B696))</f>
        <v/>
      </c>
      <c r="P715" s="414" t="str">
        <f t="array" ref="P715">INDIRECT("Update"&amp;Projections!$AH$17&amp;"!C"&amp;ROW(B696))</f>
        <v/>
      </c>
      <c r="Q715" s="94" t="str">
        <f>UpdateHashtag!F745</f>
        <v/>
      </c>
      <c r="R715" s="105" t="str">
        <f t="array" ref="R715">INDIRECT("Update"&amp;Projections!$AH$17&amp;"!D"&amp;ROW(B696))</f>
        <v/>
      </c>
      <c r="S715" s="73">
        <f t="shared" si="14"/>
        <v>-9.965301026</v>
      </c>
      <c r="T715" s="73">
        <f>SUM(AE715:AM715)-IFERROR(IFS(Projections!$I$17,AN715,Projections!$J$17,AO715),"")</f>
        <v>-9.965301026</v>
      </c>
      <c r="U715" s="73">
        <f t="shared" si="15"/>
        <v>0</v>
      </c>
      <c r="V715" s="73" t="str">
        <f t="array" ref="V715">INDIRECT("Update"&amp;Projections!$AH$17&amp;"!M"&amp;ROW(B696))</f>
        <v/>
      </c>
      <c r="W715" s="73" t="str">
        <f t="array" ref="W715">INDIRECT("Update"&amp;Projections!$AH$17&amp;"!L"&amp;ROW(B696))</f>
        <v/>
      </c>
      <c r="X715" s="73" t="str">
        <f t="array" ref="X715">INDIRECT("Update"&amp;Projections!$AH$17&amp;"!N"&amp;ROW(B696))</f>
        <v/>
      </c>
      <c r="Y715" s="73" t="str">
        <f t="array" ref="Y715">INDIRECT("Update"&amp;Projections!$AH$17&amp;"!O"&amp;ROW(B696))</f>
        <v/>
      </c>
      <c r="Z715" s="73" t="str">
        <f t="array" ref="Z715">INDIRECT("Update"&amp;Projections!$AH$17&amp;"!P"&amp;ROW(B696))</f>
        <v/>
      </c>
      <c r="AA715" s="73" t="str">
        <f t="array" ref="AA715">INDIRECT("Update"&amp;Projections!$AH$17&amp;"!Q"&amp;ROW(B696))</f>
        <v/>
      </c>
      <c r="AB715" s="107" t="str">
        <f t="array" ref="AB715">INDIRECT("Update"&amp;Projections!$AH$17&amp;"!I"&amp;ROW(B696))</f>
        <v/>
      </c>
      <c r="AC715" s="107" t="str">
        <f t="array" ref="AC715">INDIRECT("Update"&amp;Projections!$AH$17&amp;"!K"&amp;ROW(B696))</f>
        <v/>
      </c>
      <c r="AD715" s="73" t="str">
        <f t="array" ref="AD715">INDIRECT("Update"&amp;Projections!$AH$17&amp;"!R"&amp;ROW(B696))</f>
        <v/>
      </c>
      <c r="AE715" s="73">
        <f t="shared" si="16"/>
        <v>-3.155358621</v>
      </c>
      <c r="AF715" s="73">
        <f t="shared" si="17"/>
        <v>-1.740686581</v>
      </c>
      <c r="AG715" s="73">
        <f t="shared" si="18"/>
        <v>-2.380599106</v>
      </c>
      <c r="AH715" s="73">
        <f t="shared" si="19"/>
        <v>-1.79320266</v>
      </c>
      <c r="AI715" s="73">
        <f t="shared" si="20"/>
        <v>-3.240190514</v>
      </c>
      <c r="AJ715" s="73">
        <f t="shared" si="21"/>
        <v>-1.329092151</v>
      </c>
      <c r="AK715" s="73">
        <f t="shared" si="22"/>
        <v>0</v>
      </c>
      <c r="AL715" s="73">
        <f t="shared" si="23"/>
        <v>0</v>
      </c>
      <c r="AM715" s="73">
        <f t="shared" si="24"/>
        <v>0.433638093</v>
      </c>
      <c r="AN715" s="120">
        <f t="shared" si="25"/>
        <v>-3.240190514</v>
      </c>
      <c r="AO715" s="120">
        <f t="shared" si="26"/>
        <v>-6.395549135</v>
      </c>
      <c r="AP715" s="120" t="str">
        <f t="array" ref="AP715">INDIRECT("Update"&amp;Projections!$AH$17&amp;"!S"&amp;ROW(B696))</f>
        <v/>
      </c>
      <c r="AQ715" s="120" t="str">
        <f t="array" ref="AQ715">INDIRECT("Update"&amp;Projections!$AH$17&amp;"!T"&amp;ROW(B696))</f>
        <v/>
      </c>
      <c r="AR715" s="100">
        <f t="shared" si="27"/>
        <v>-9.965301026</v>
      </c>
    </row>
    <row r="716">
      <c r="A716" t="str">
        <f t="shared" si="3"/>
        <v/>
      </c>
      <c r="B716" s="42">
        <f t="shared" si="4"/>
        <v>-3.155358621</v>
      </c>
      <c r="C716" s="43">
        <f t="shared" si="5"/>
        <v>-1.740686581</v>
      </c>
      <c r="D716" s="42">
        <f t="shared" si="6"/>
        <v>-2.380599106</v>
      </c>
      <c r="E716" s="42">
        <f t="shared" si="7"/>
        <v>-1.79320266</v>
      </c>
      <c r="F716" s="42">
        <f t="shared" si="8"/>
        <v>-3.240190514</v>
      </c>
      <c r="G716" s="42">
        <f t="shared" si="9"/>
        <v>-1.329092151</v>
      </c>
      <c r="H716" s="42">
        <f t="shared" si="10"/>
        <v>0</v>
      </c>
      <c r="I716" s="42" t="str">
        <f>UpdateHashtag!S714</f>
        <v/>
      </c>
      <c r="J716" s="47">
        <f t="shared" si="11"/>
        <v>0</v>
      </c>
      <c r="K716" s="48" t="str">
        <f>UpdateHashtag!T714</f>
        <v/>
      </c>
      <c r="L716" s="42">
        <f t="shared" si="12"/>
        <v>-1.734552372</v>
      </c>
      <c r="N716" s="100">
        <f t="shared" si="13"/>
        <v>401</v>
      </c>
      <c r="O716" s="94" t="str">
        <f t="array" ref="O716">INDIRECT("Update"&amp;Projections!$AH$17&amp;"!B"&amp;ROW(B697))</f>
        <v/>
      </c>
      <c r="P716" s="414" t="str">
        <f t="array" ref="P716">INDIRECT("Update"&amp;Projections!$AH$17&amp;"!C"&amp;ROW(B697))</f>
        <v/>
      </c>
      <c r="Q716" s="94" t="str">
        <f>UpdateHashtag!F746</f>
        <v/>
      </c>
      <c r="R716" s="105" t="str">
        <f t="array" ref="R716">INDIRECT("Update"&amp;Projections!$AH$17&amp;"!D"&amp;ROW(B697))</f>
        <v/>
      </c>
      <c r="S716" s="73">
        <f t="shared" si="14"/>
        <v>-9.965301026</v>
      </c>
      <c r="T716" s="73">
        <f>SUM(AE716:AM716)-IFERROR(IFS(Projections!$I$17,AN716,Projections!$J$17,AO716),"")</f>
        <v>-9.965301026</v>
      </c>
      <c r="U716" s="73">
        <f t="shared" si="15"/>
        <v>0</v>
      </c>
      <c r="V716" s="73" t="str">
        <f t="array" ref="V716">INDIRECT("Update"&amp;Projections!$AH$17&amp;"!M"&amp;ROW(B697))</f>
        <v/>
      </c>
      <c r="W716" s="73" t="str">
        <f t="array" ref="W716">INDIRECT("Update"&amp;Projections!$AH$17&amp;"!L"&amp;ROW(B697))</f>
        <v/>
      </c>
      <c r="X716" s="73" t="str">
        <f t="array" ref="X716">INDIRECT("Update"&amp;Projections!$AH$17&amp;"!N"&amp;ROW(B697))</f>
        <v/>
      </c>
      <c r="Y716" s="73" t="str">
        <f t="array" ref="Y716">INDIRECT("Update"&amp;Projections!$AH$17&amp;"!O"&amp;ROW(B697))</f>
        <v/>
      </c>
      <c r="Z716" s="73" t="str">
        <f t="array" ref="Z716">INDIRECT("Update"&amp;Projections!$AH$17&amp;"!P"&amp;ROW(B697))</f>
        <v/>
      </c>
      <c r="AA716" s="73" t="str">
        <f t="array" ref="AA716">INDIRECT("Update"&amp;Projections!$AH$17&amp;"!Q"&amp;ROW(B697))</f>
        <v/>
      </c>
      <c r="AB716" s="107" t="str">
        <f t="array" ref="AB716">INDIRECT("Update"&amp;Projections!$AH$17&amp;"!I"&amp;ROW(B697))</f>
        <v/>
      </c>
      <c r="AC716" s="107" t="str">
        <f t="array" ref="AC716">INDIRECT("Update"&amp;Projections!$AH$17&amp;"!K"&amp;ROW(B697))</f>
        <v/>
      </c>
      <c r="AD716" s="73" t="str">
        <f t="array" ref="AD716">INDIRECT("Update"&amp;Projections!$AH$17&amp;"!R"&amp;ROW(B697))</f>
        <v/>
      </c>
      <c r="AE716" s="73">
        <f t="shared" si="16"/>
        <v>-3.155358621</v>
      </c>
      <c r="AF716" s="73">
        <f t="shared" si="17"/>
        <v>-1.740686581</v>
      </c>
      <c r="AG716" s="73">
        <f t="shared" si="18"/>
        <v>-2.380599106</v>
      </c>
      <c r="AH716" s="73">
        <f t="shared" si="19"/>
        <v>-1.79320266</v>
      </c>
      <c r="AI716" s="73">
        <f t="shared" si="20"/>
        <v>-3.240190514</v>
      </c>
      <c r="AJ716" s="73">
        <f t="shared" si="21"/>
        <v>-1.329092151</v>
      </c>
      <c r="AK716" s="73">
        <f t="shared" si="22"/>
        <v>0</v>
      </c>
      <c r="AL716" s="73">
        <f t="shared" si="23"/>
        <v>0</v>
      </c>
      <c r="AM716" s="73">
        <f t="shared" si="24"/>
        <v>0.433638093</v>
      </c>
      <c r="AN716" s="120">
        <f t="shared" si="25"/>
        <v>-3.240190514</v>
      </c>
      <c r="AO716" s="120">
        <f t="shared" si="26"/>
        <v>-6.395549135</v>
      </c>
      <c r="AP716" s="120" t="str">
        <f t="array" ref="AP716">INDIRECT("Update"&amp;Projections!$AH$17&amp;"!S"&amp;ROW(B697))</f>
        <v/>
      </c>
      <c r="AQ716" s="120" t="str">
        <f t="array" ref="AQ716">INDIRECT("Update"&amp;Projections!$AH$17&amp;"!T"&amp;ROW(B697))</f>
        <v/>
      </c>
      <c r="AR716" s="100">
        <f t="shared" si="27"/>
        <v>-9.965301026</v>
      </c>
    </row>
    <row r="717">
      <c r="A717" t="str">
        <f t="shared" si="3"/>
        <v/>
      </c>
      <c r="B717" s="42">
        <f t="shared" si="4"/>
        <v>-3.155358621</v>
      </c>
      <c r="C717" s="43">
        <f t="shared" si="5"/>
        <v>-1.740686581</v>
      </c>
      <c r="D717" s="42">
        <f t="shared" si="6"/>
        <v>-2.380599106</v>
      </c>
      <c r="E717" s="42">
        <f t="shared" si="7"/>
        <v>-1.79320266</v>
      </c>
      <c r="F717" s="42">
        <f t="shared" si="8"/>
        <v>-3.240190514</v>
      </c>
      <c r="G717" s="42">
        <f t="shared" si="9"/>
        <v>-1.329092151</v>
      </c>
      <c r="H717" s="42">
        <f t="shared" si="10"/>
        <v>0</v>
      </c>
      <c r="I717" s="42" t="str">
        <f>UpdateHashtag!S715</f>
        <v/>
      </c>
      <c r="J717" s="47">
        <f t="shared" si="11"/>
        <v>0</v>
      </c>
      <c r="K717" s="48" t="str">
        <f>UpdateHashtag!T715</f>
        <v/>
      </c>
      <c r="L717" s="42">
        <f t="shared" si="12"/>
        <v>-1.734552372</v>
      </c>
      <c r="N717" s="100">
        <f t="shared" si="13"/>
        <v>401</v>
      </c>
      <c r="O717" s="94" t="str">
        <f t="array" ref="O717">INDIRECT("Update"&amp;Projections!$AH$17&amp;"!B"&amp;ROW(B698))</f>
        <v/>
      </c>
      <c r="P717" s="414" t="str">
        <f t="array" ref="P717">INDIRECT("Update"&amp;Projections!$AH$17&amp;"!C"&amp;ROW(B698))</f>
        <v/>
      </c>
      <c r="Q717" s="94" t="str">
        <f>UpdateHashtag!F747</f>
        <v/>
      </c>
      <c r="R717" s="105" t="str">
        <f t="array" ref="R717">INDIRECT("Update"&amp;Projections!$AH$17&amp;"!D"&amp;ROW(B698))</f>
        <v/>
      </c>
      <c r="S717" s="73">
        <f t="shared" si="14"/>
        <v>-9.965301026</v>
      </c>
      <c r="T717" s="73">
        <f>SUM(AE717:AM717)-IFERROR(IFS(Projections!$I$17,AN717,Projections!$J$17,AO717),"")</f>
        <v>-9.965301026</v>
      </c>
      <c r="U717" s="73">
        <f t="shared" si="15"/>
        <v>0</v>
      </c>
      <c r="V717" s="73" t="str">
        <f t="array" ref="V717">INDIRECT("Update"&amp;Projections!$AH$17&amp;"!M"&amp;ROW(B698))</f>
        <v/>
      </c>
      <c r="W717" s="73" t="str">
        <f t="array" ref="W717">INDIRECT("Update"&amp;Projections!$AH$17&amp;"!L"&amp;ROW(B698))</f>
        <v/>
      </c>
      <c r="X717" s="73" t="str">
        <f t="array" ref="X717">INDIRECT("Update"&amp;Projections!$AH$17&amp;"!N"&amp;ROW(B698))</f>
        <v/>
      </c>
      <c r="Y717" s="73" t="str">
        <f t="array" ref="Y717">INDIRECT("Update"&amp;Projections!$AH$17&amp;"!O"&amp;ROW(B698))</f>
        <v/>
      </c>
      <c r="Z717" s="73" t="str">
        <f t="array" ref="Z717">INDIRECT("Update"&amp;Projections!$AH$17&amp;"!P"&amp;ROW(B698))</f>
        <v/>
      </c>
      <c r="AA717" s="73" t="str">
        <f t="array" ref="AA717">INDIRECT("Update"&amp;Projections!$AH$17&amp;"!Q"&amp;ROW(B698))</f>
        <v/>
      </c>
      <c r="AB717" s="107" t="str">
        <f t="array" ref="AB717">INDIRECT("Update"&amp;Projections!$AH$17&amp;"!I"&amp;ROW(B698))</f>
        <v/>
      </c>
      <c r="AC717" s="107" t="str">
        <f t="array" ref="AC717">INDIRECT("Update"&amp;Projections!$AH$17&amp;"!K"&amp;ROW(B698))</f>
        <v/>
      </c>
      <c r="AD717" s="73" t="str">
        <f t="array" ref="AD717">INDIRECT("Update"&amp;Projections!$AH$17&amp;"!R"&amp;ROW(B698))</f>
        <v/>
      </c>
      <c r="AE717" s="73">
        <f t="shared" si="16"/>
        <v>-3.155358621</v>
      </c>
      <c r="AF717" s="73">
        <f t="shared" si="17"/>
        <v>-1.740686581</v>
      </c>
      <c r="AG717" s="73">
        <f t="shared" si="18"/>
        <v>-2.380599106</v>
      </c>
      <c r="AH717" s="73">
        <f t="shared" si="19"/>
        <v>-1.79320266</v>
      </c>
      <c r="AI717" s="73">
        <f t="shared" si="20"/>
        <v>-3.240190514</v>
      </c>
      <c r="AJ717" s="73">
        <f t="shared" si="21"/>
        <v>-1.329092151</v>
      </c>
      <c r="AK717" s="73">
        <f t="shared" si="22"/>
        <v>0</v>
      </c>
      <c r="AL717" s="73">
        <f t="shared" si="23"/>
        <v>0</v>
      </c>
      <c r="AM717" s="73">
        <f t="shared" si="24"/>
        <v>0.433638093</v>
      </c>
      <c r="AN717" s="120">
        <f t="shared" si="25"/>
        <v>-3.240190514</v>
      </c>
      <c r="AO717" s="120">
        <f t="shared" si="26"/>
        <v>-6.395549135</v>
      </c>
      <c r="AP717" s="120" t="str">
        <f t="array" ref="AP717">INDIRECT("Update"&amp;Projections!$AH$17&amp;"!S"&amp;ROW(B698))</f>
        <v/>
      </c>
      <c r="AQ717" s="120" t="str">
        <f t="array" ref="AQ717">INDIRECT("Update"&amp;Projections!$AH$17&amp;"!T"&amp;ROW(B698))</f>
        <v/>
      </c>
      <c r="AR717" s="100">
        <f t="shared" si="27"/>
        <v>-9.965301026</v>
      </c>
    </row>
    <row r="718">
      <c r="A718" t="str">
        <f t="shared" si="3"/>
        <v/>
      </c>
      <c r="B718" s="42">
        <f t="shared" si="4"/>
        <v>-3.155358621</v>
      </c>
      <c r="C718" s="43">
        <f t="shared" si="5"/>
        <v>-1.740686581</v>
      </c>
      <c r="D718" s="42">
        <f t="shared" si="6"/>
        <v>-2.380599106</v>
      </c>
      <c r="E718" s="42">
        <f t="shared" si="7"/>
        <v>-1.79320266</v>
      </c>
      <c r="F718" s="42">
        <f t="shared" si="8"/>
        <v>-3.240190514</v>
      </c>
      <c r="G718" s="42">
        <f t="shared" si="9"/>
        <v>-1.329092151</v>
      </c>
      <c r="H718" s="42">
        <f t="shared" si="10"/>
        <v>0</v>
      </c>
      <c r="I718" s="42" t="str">
        <f>UpdateHashtag!S716</f>
        <v/>
      </c>
      <c r="J718" s="47">
        <f t="shared" si="11"/>
        <v>0</v>
      </c>
      <c r="K718" s="48" t="str">
        <f>UpdateHashtag!T716</f>
        <v/>
      </c>
      <c r="L718" s="42">
        <f t="shared" si="12"/>
        <v>-1.734552372</v>
      </c>
      <c r="N718" s="100">
        <f t="shared" si="13"/>
        <v>401</v>
      </c>
      <c r="O718" s="94" t="str">
        <f t="array" ref="O718">INDIRECT("Update"&amp;Projections!$AH$17&amp;"!B"&amp;ROW(B699))</f>
        <v/>
      </c>
      <c r="P718" s="414" t="str">
        <f t="array" ref="P718">INDIRECT("Update"&amp;Projections!$AH$17&amp;"!C"&amp;ROW(B699))</f>
        <v/>
      </c>
      <c r="Q718" s="94" t="str">
        <f>UpdateHashtag!F748</f>
        <v/>
      </c>
      <c r="R718" s="105" t="str">
        <f t="array" ref="R718">INDIRECT("Update"&amp;Projections!$AH$17&amp;"!D"&amp;ROW(B699))</f>
        <v/>
      </c>
      <c r="S718" s="73">
        <f t="shared" si="14"/>
        <v>-9.965301026</v>
      </c>
      <c r="T718" s="73">
        <f>SUM(AE718:AM718)-IFERROR(IFS(Projections!$I$17,AN718,Projections!$J$17,AO718),"")</f>
        <v>-9.965301026</v>
      </c>
      <c r="U718" s="73">
        <f t="shared" si="15"/>
        <v>0</v>
      </c>
      <c r="V718" s="73" t="str">
        <f t="array" ref="V718">INDIRECT("Update"&amp;Projections!$AH$17&amp;"!M"&amp;ROW(B699))</f>
        <v/>
      </c>
      <c r="W718" s="73" t="str">
        <f t="array" ref="W718">INDIRECT("Update"&amp;Projections!$AH$17&amp;"!L"&amp;ROW(B699))</f>
        <v/>
      </c>
      <c r="X718" s="73" t="str">
        <f t="array" ref="X718">INDIRECT("Update"&amp;Projections!$AH$17&amp;"!N"&amp;ROW(B699))</f>
        <v/>
      </c>
      <c r="Y718" s="73" t="str">
        <f t="array" ref="Y718">INDIRECT("Update"&amp;Projections!$AH$17&amp;"!O"&amp;ROW(B699))</f>
        <v/>
      </c>
      <c r="Z718" s="73" t="str">
        <f t="array" ref="Z718">INDIRECT("Update"&amp;Projections!$AH$17&amp;"!P"&amp;ROW(B699))</f>
        <v/>
      </c>
      <c r="AA718" s="73" t="str">
        <f t="array" ref="AA718">INDIRECT("Update"&amp;Projections!$AH$17&amp;"!Q"&amp;ROW(B699))</f>
        <v/>
      </c>
      <c r="AB718" s="107" t="str">
        <f t="array" ref="AB718">INDIRECT("Update"&amp;Projections!$AH$17&amp;"!I"&amp;ROW(B699))</f>
        <v/>
      </c>
      <c r="AC718" s="107" t="str">
        <f t="array" ref="AC718">INDIRECT("Update"&amp;Projections!$AH$17&amp;"!K"&amp;ROW(B699))</f>
        <v/>
      </c>
      <c r="AD718" s="73" t="str">
        <f t="array" ref="AD718">INDIRECT("Update"&amp;Projections!$AH$17&amp;"!R"&amp;ROW(B699))</f>
        <v/>
      </c>
      <c r="AE718" s="73">
        <f t="shared" si="16"/>
        <v>-3.155358621</v>
      </c>
      <c r="AF718" s="73">
        <f t="shared" si="17"/>
        <v>-1.740686581</v>
      </c>
      <c r="AG718" s="73">
        <f t="shared" si="18"/>
        <v>-2.380599106</v>
      </c>
      <c r="AH718" s="73">
        <f t="shared" si="19"/>
        <v>-1.79320266</v>
      </c>
      <c r="AI718" s="73">
        <f t="shared" si="20"/>
        <v>-3.240190514</v>
      </c>
      <c r="AJ718" s="73">
        <f t="shared" si="21"/>
        <v>-1.329092151</v>
      </c>
      <c r="AK718" s="73">
        <f t="shared" si="22"/>
        <v>0</v>
      </c>
      <c r="AL718" s="73">
        <f t="shared" si="23"/>
        <v>0</v>
      </c>
      <c r="AM718" s="73">
        <f t="shared" si="24"/>
        <v>0.433638093</v>
      </c>
      <c r="AN718" s="120">
        <f t="shared" si="25"/>
        <v>-3.240190514</v>
      </c>
      <c r="AO718" s="120">
        <f t="shared" si="26"/>
        <v>-6.395549135</v>
      </c>
      <c r="AP718" s="120" t="str">
        <f t="array" ref="AP718">INDIRECT("Update"&amp;Projections!$AH$17&amp;"!S"&amp;ROW(B699))</f>
        <v/>
      </c>
      <c r="AQ718" s="120" t="str">
        <f t="array" ref="AQ718">INDIRECT("Update"&amp;Projections!$AH$17&amp;"!T"&amp;ROW(B699))</f>
        <v/>
      </c>
      <c r="AR718" s="100">
        <f t="shared" si="27"/>
        <v>-9.965301026</v>
      </c>
    </row>
    <row r="719">
      <c r="A719" t="str">
        <f t="shared" si="3"/>
        <v/>
      </c>
      <c r="B719" s="42">
        <f t="shared" si="4"/>
        <v>-3.155358621</v>
      </c>
      <c r="C719" s="43">
        <f t="shared" si="5"/>
        <v>-1.740686581</v>
      </c>
      <c r="D719" s="42">
        <f t="shared" si="6"/>
        <v>-2.380599106</v>
      </c>
      <c r="E719" s="42">
        <f t="shared" si="7"/>
        <v>-1.79320266</v>
      </c>
      <c r="F719" s="42">
        <f t="shared" si="8"/>
        <v>-3.240190514</v>
      </c>
      <c r="G719" s="42">
        <f t="shared" si="9"/>
        <v>-1.329092151</v>
      </c>
      <c r="H719" s="42">
        <f t="shared" si="10"/>
        <v>0</v>
      </c>
      <c r="I719" s="42" t="str">
        <f>UpdateHashtag!S717</f>
        <v/>
      </c>
      <c r="J719" s="47">
        <f t="shared" si="11"/>
        <v>0</v>
      </c>
      <c r="K719" s="48" t="str">
        <f>UpdateHashtag!T717</f>
        <v/>
      </c>
      <c r="L719" s="42">
        <f t="shared" si="12"/>
        <v>-1.734552372</v>
      </c>
      <c r="N719" s="100">
        <f t="shared" si="13"/>
        <v>401</v>
      </c>
      <c r="O719" s="94" t="str">
        <f t="array" ref="O719">INDIRECT("Update"&amp;Projections!$AH$17&amp;"!B"&amp;ROW(B700))</f>
        <v/>
      </c>
      <c r="P719" s="414" t="str">
        <f t="array" ref="P719">INDIRECT("Update"&amp;Projections!$AH$17&amp;"!C"&amp;ROW(B700))</f>
        <v/>
      </c>
      <c r="Q719" s="94" t="str">
        <f>UpdateHashtag!F749</f>
        <v/>
      </c>
      <c r="R719" s="105" t="str">
        <f t="array" ref="R719">INDIRECT("Update"&amp;Projections!$AH$17&amp;"!D"&amp;ROW(B700))</f>
        <v/>
      </c>
      <c r="S719" s="73">
        <f t="shared" si="14"/>
        <v>-9.965301026</v>
      </c>
      <c r="T719" s="73">
        <f>SUM(AE719:AM719)-IFERROR(IFS(Projections!$I$17,AN719,Projections!$J$17,AO719),"")</f>
        <v>-9.965301026</v>
      </c>
      <c r="U719" s="73">
        <f t="shared" si="15"/>
        <v>0</v>
      </c>
      <c r="V719" s="73" t="str">
        <f t="array" ref="V719">INDIRECT("Update"&amp;Projections!$AH$17&amp;"!M"&amp;ROW(B700))</f>
        <v/>
      </c>
      <c r="W719" s="73" t="str">
        <f t="array" ref="W719">INDIRECT("Update"&amp;Projections!$AH$17&amp;"!L"&amp;ROW(B700))</f>
        <v/>
      </c>
      <c r="X719" s="73" t="str">
        <f t="array" ref="X719">INDIRECT("Update"&amp;Projections!$AH$17&amp;"!N"&amp;ROW(B700))</f>
        <v/>
      </c>
      <c r="Y719" s="73" t="str">
        <f t="array" ref="Y719">INDIRECT("Update"&amp;Projections!$AH$17&amp;"!O"&amp;ROW(B700))</f>
        <v/>
      </c>
      <c r="Z719" s="73" t="str">
        <f t="array" ref="Z719">INDIRECT("Update"&amp;Projections!$AH$17&amp;"!P"&amp;ROW(B700))</f>
        <v/>
      </c>
      <c r="AA719" s="73" t="str">
        <f t="array" ref="AA719">INDIRECT("Update"&amp;Projections!$AH$17&amp;"!Q"&amp;ROW(B700))</f>
        <v/>
      </c>
      <c r="AB719" s="107" t="str">
        <f t="array" ref="AB719">INDIRECT("Update"&amp;Projections!$AH$17&amp;"!I"&amp;ROW(B700))</f>
        <v/>
      </c>
      <c r="AC719" s="107" t="str">
        <f t="array" ref="AC719">INDIRECT("Update"&amp;Projections!$AH$17&amp;"!K"&amp;ROW(B700))</f>
        <v/>
      </c>
      <c r="AD719" s="73" t="str">
        <f t="array" ref="AD719">INDIRECT("Update"&amp;Projections!$AH$17&amp;"!R"&amp;ROW(B700))</f>
        <v/>
      </c>
      <c r="AE719" s="73">
        <f t="shared" si="16"/>
        <v>-3.155358621</v>
      </c>
      <c r="AF719" s="73">
        <f t="shared" si="17"/>
        <v>-1.740686581</v>
      </c>
      <c r="AG719" s="73">
        <f t="shared" si="18"/>
        <v>-2.380599106</v>
      </c>
      <c r="AH719" s="73">
        <f t="shared" si="19"/>
        <v>-1.79320266</v>
      </c>
      <c r="AI719" s="73">
        <f t="shared" si="20"/>
        <v>-3.240190514</v>
      </c>
      <c r="AJ719" s="73">
        <f t="shared" si="21"/>
        <v>-1.329092151</v>
      </c>
      <c r="AK719" s="73">
        <f t="shared" si="22"/>
        <v>0</v>
      </c>
      <c r="AL719" s="73">
        <f t="shared" si="23"/>
        <v>0</v>
      </c>
      <c r="AM719" s="73">
        <f t="shared" si="24"/>
        <v>0.433638093</v>
      </c>
      <c r="AN719" s="120">
        <f t="shared" si="25"/>
        <v>-3.240190514</v>
      </c>
      <c r="AO719" s="120">
        <f t="shared" si="26"/>
        <v>-6.395549135</v>
      </c>
      <c r="AP719" s="120" t="str">
        <f t="array" ref="AP719">INDIRECT("Update"&amp;Projections!$AH$17&amp;"!S"&amp;ROW(B700))</f>
        <v/>
      </c>
      <c r="AQ719" s="120" t="str">
        <f t="array" ref="AQ719">INDIRECT("Update"&amp;Projections!$AH$17&amp;"!T"&amp;ROW(B700))</f>
        <v/>
      </c>
      <c r="AR719" s="100">
        <f t="shared" si="27"/>
        <v>-9.965301026</v>
      </c>
    </row>
    <row r="720">
      <c r="A720" t="str">
        <f t="shared" si="3"/>
        <v/>
      </c>
      <c r="B720" s="42">
        <f t="shared" si="4"/>
        <v>-3.155358621</v>
      </c>
      <c r="C720" s="43">
        <f t="shared" si="5"/>
        <v>-1.740686581</v>
      </c>
      <c r="D720" s="42">
        <f t="shared" si="6"/>
        <v>-2.380599106</v>
      </c>
      <c r="E720" s="42">
        <f t="shared" si="7"/>
        <v>-1.79320266</v>
      </c>
      <c r="F720" s="42">
        <f t="shared" si="8"/>
        <v>-3.240190514</v>
      </c>
      <c r="G720" s="42">
        <f t="shared" si="9"/>
        <v>-1.329092151</v>
      </c>
      <c r="H720" s="42">
        <f t="shared" si="10"/>
        <v>0</v>
      </c>
      <c r="I720" s="42" t="str">
        <f>UpdateHashtag!S718</f>
        <v/>
      </c>
      <c r="J720" s="47">
        <f t="shared" si="11"/>
        <v>0</v>
      </c>
      <c r="K720" s="48" t="str">
        <f>UpdateHashtag!T718</f>
        <v/>
      </c>
      <c r="L720" s="42">
        <f t="shared" si="12"/>
        <v>-1.734552372</v>
      </c>
      <c r="N720" s="100">
        <f t="shared" si="13"/>
        <v>401</v>
      </c>
      <c r="O720" s="94" t="str">
        <f t="array" ref="O720">INDIRECT("Update"&amp;Projections!$AH$17&amp;"!B"&amp;ROW(B701))</f>
        <v/>
      </c>
      <c r="P720" s="414" t="str">
        <f t="array" ref="P720">INDIRECT("Update"&amp;Projections!$AH$17&amp;"!C"&amp;ROW(B701))</f>
        <v/>
      </c>
      <c r="Q720" s="94" t="str">
        <f>UpdateHashtag!F750</f>
        <v/>
      </c>
      <c r="R720" s="105" t="str">
        <f t="array" ref="R720">INDIRECT("Update"&amp;Projections!$AH$17&amp;"!D"&amp;ROW(B701))</f>
        <v/>
      </c>
      <c r="S720" s="73">
        <f t="shared" si="14"/>
        <v>-9.965301026</v>
      </c>
      <c r="T720" s="73">
        <f>SUM(AE720:AM720)-IFERROR(IFS(Projections!$I$17,AN720,Projections!$J$17,AO720),"")</f>
        <v>-9.965301026</v>
      </c>
      <c r="U720" s="73">
        <f t="shared" si="15"/>
        <v>0</v>
      </c>
      <c r="V720" s="73" t="str">
        <f t="array" ref="V720">INDIRECT("Update"&amp;Projections!$AH$17&amp;"!M"&amp;ROW(B701))</f>
        <v/>
      </c>
      <c r="W720" s="73" t="str">
        <f t="array" ref="W720">INDIRECT("Update"&amp;Projections!$AH$17&amp;"!L"&amp;ROW(B701))</f>
        <v/>
      </c>
      <c r="X720" s="73" t="str">
        <f t="array" ref="X720">INDIRECT("Update"&amp;Projections!$AH$17&amp;"!N"&amp;ROW(B701))</f>
        <v/>
      </c>
      <c r="Y720" s="73" t="str">
        <f t="array" ref="Y720">INDIRECT("Update"&amp;Projections!$AH$17&amp;"!O"&amp;ROW(B701))</f>
        <v/>
      </c>
      <c r="Z720" s="73" t="str">
        <f t="array" ref="Z720">INDIRECT("Update"&amp;Projections!$AH$17&amp;"!P"&amp;ROW(B701))</f>
        <v/>
      </c>
      <c r="AA720" s="73" t="str">
        <f t="array" ref="AA720">INDIRECT("Update"&amp;Projections!$AH$17&amp;"!Q"&amp;ROW(B701))</f>
        <v/>
      </c>
      <c r="AB720" s="107" t="str">
        <f t="array" ref="AB720">INDIRECT("Update"&amp;Projections!$AH$17&amp;"!I"&amp;ROW(B701))</f>
        <v/>
      </c>
      <c r="AC720" s="107" t="str">
        <f t="array" ref="AC720">INDIRECT("Update"&amp;Projections!$AH$17&amp;"!K"&amp;ROW(B701))</f>
        <v/>
      </c>
      <c r="AD720" s="73" t="str">
        <f t="array" ref="AD720">INDIRECT("Update"&amp;Projections!$AH$17&amp;"!R"&amp;ROW(B701))</f>
        <v/>
      </c>
      <c r="AE720" s="73">
        <f t="shared" si="16"/>
        <v>-3.155358621</v>
      </c>
      <c r="AF720" s="73">
        <f t="shared" si="17"/>
        <v>-1.740686581</v>
      </c>
      <c r="AG720" s="73">
        <f t="shared" si="18"/>
        <v>-2.380599106</v>
      </c>
      <c r="AH720" s="73">
        <f t="shared" si="19"/>
        <v>-1.79320266</v>
      </c>
      <c r="AI720" s="73">
        <f t="shared" si="20"/>
        <v>-3.240190514</v>
      </c>
      <c r="AJ720" s="73">
        <f t="shared" si="21"/>
        <v>-1.329092151</v>
      </c>
      <c r="AK720" s="73">
        <f t="shared" si="22"/>
        <v>0</v>
      </c>
      <c r="AL720" s="73">
        <f t="shared" si="23"/>
        <v>0</v>
      </c>
      <c r="AM720" s="73">
        <f t="shared" si="24"/>
        <v>0.433638093</v>
      </c>
      <c r="AN720" s="120">
        <f t="shared" si="25"/>
        <v>-3.240190514</v>
      </c>
      <c r="AO720" s="120">
        <f t="shared" si="26"/>
        <v>-6.395549135</v>
      </c>
      <c r="AP720" s="120" t="str">
        <f t="array" ref="AP720">INDIRECT("Update"&amp;Projections!$AH$17&amp;"!S"&amp;ROW(B701))</f>
        <v/>
      </c>
      <c r="AQ720" s="120" t="str">
        <f t="array" ref="AQ720">INDIRECT("Update"&amp;Projections!$AH$17&amp;"!T"&amp;ROW(B701))</f>
        <v/>
      </c>
      <c r="AR720" s="100">
        <f t="shared" si="27"/>
        <v>-9.965301026</v>
      </c>
    </row>
    <row r="721">
      <c r="A721" t="str">
        <f t="shared" si="3"/>
        <v/>
      </c>
      <c r="B721" s="42">
        <f t="shared" si="4"/>
        <v>-3.155358621</v>
      </c>
      <c r="C721" s="43">
        <f t="shared" si="5"/>
        <v>-1.740686581</v>
      </c>
      <c r="D721" s="42">
        <f t="shared" si="6"/>
        <v>-2.380599106</v>
      </c>
      <c r="E721" s="42">
        <f t="shared" si="7"/>
        <v>-1.79320266</v>
      </c>
      <c r="F721" s="42">
        <f t="shared" si="8"/>
        <v>-3.240190514</v>
      </c>
      <c r="G721" s="42">
        <f t="shared" si="9"/>
        <v>-1.329092151</v>
      </c>
      <c r="H721" s="42">
        <f t="shared" si="10"/>
        <v>0</v>
      </c>
      <c r="I721" s="42" t="str">
        <f>UpdateHashtag!S719</f>
        <v/>
      </c>
      <c r="J721" s="47">
        <f t="shared" si="11"/>
        <v>0</v>
      </c>
      <c r="K721" s="48" t="str">
        <f>UpdateHashtag!T719</f>
        <v/>
      </c>
      <c r="L721" s="42">
        <f t="shared" si="12"/>
        <v>-1.734552372</v>
      </c>
      <c r="N721" s="100">
        <f t="shared" si="13"/>
        <v>401</v>
      </c>
      <c r="O721" s="94" t="str">
        <f t="array" ref="O721">INDIRECT("Update"&amp;Projections!$AH$17&amp;"!B"&amp;ROW(B702))</f>
        <v/>
      </c>
      <c r="P721" s="414" t="str">
        <f t="array" ref="P721">INDIRECT("Update"&amp;Projections!$AH$17&amp;"!C"&amp;ROW(B702))</f>
        <v/>
      </c>
      <c r="Q721" s="94" t="str">
        <f>UpdateHashtag!F751</f>
        <v/>
      </c>
      <c r="R721" s="105" t="str">
        <f t="array" ref="R721">INDIRECT("Update"&amp;Projections!$AH$17&amp;"!D"&amp;ROW(B702))</f>
        <v/>
      </c>
      <c r="S721" s="73">
        <f t="shared" si="14"/>
        <v>-9.965301026</v>
      </c>
      <c r="T721" s="73">
        <f>SUM(AE721:AM721)-IFERROR(IFS(Projections!$I$17,AN721,Projections!$J$17,AO721),"")</f>
        <v>-9.965301026</v>
      </c>
      <c r="U721" s="73">
        <f t="shared" si="15"/>
        <v>0</v>
      </c>
      <c r="V721" s="73" t="str">
        <f t="array" ref="V721">INDIRECT("Update"&amp;Projections!$AH$17&amp;"!M"&amp;ROW(B702))</f>
        <v/>
      </c>
      <c r="W721" s="73" t="str">
        <f t="array" ref="W721">INDIRECT("Update"&amp;Projections!$AH$17&amp;"!L"&amp;ROW(B702))</f>
        <v/>
      </c>
      <c r="X721" s="73" t="str">
        <f t="array" ref="X721">INDIRECT("Update"&amp;Projections!$AH$17&amp;"!N"&amp;ROW(B702))</f>
        <v/>
      </c>
      <c r="Y721" s="73" t="str">
        <f t="array" ref="Y721">INDIRECT("Update"&amp;Projections!$AH$17&amp;"!O"&amp;ROW(B702))</f>
        <v/>
      </c>
      <c r="Z721" s="73" t="str">
        <f t="array" ref="Z721">INDIRECT("Update"&amp;Projections!$AH$17&amp;"!P"&amp;ROW(B702))</f>
        <v/>
      </c>
      <c r="AA721" s="73" t="str">
        <f t="array" ref="AA721">INDIRECT("Update"&amp;Projections!$AH$17&amp;"!Q"&amp;ROW(B702))</f>
        <v/>
      </c>
      <c r="AB721" s="107" t="str">
        <f t="array" ref="AB721">INDIRECT("Update"&amp;Projections!$AH$17&amp;"!I"&amp;ROW(B702))</f>
        <v/>
      </c>
      <c r="AC721" s="107" t="str">
        <f t="array" ref="AC721">INDIRECT("Update"&amp;Projections!$AH$17&amp;"!K"&amp;ROW(B702))</f>
        <v/>
      </c>
      <c r="AD721" s="73" t="str">
        <f t="array" ref="AD721">INDIRECT("Update"&amp;Projections!$AH$17&amp;"!R"&amp;ROW(B702))</f>
        <v/>
      </c>
      <c r="AE721" s="73">
        <f t="shared" si="16"/>
        <v>-3.155358621</v>
      </c>
      <c r="AF721" s="73">
        <f t="shared" si="17"/>
        <v>-1.740686581</v>
      </c>
      <c r="AG721" s="73">
        <f t="shared" si="18"/>
        <v>-2.380599106</v>
      </c>
      <c r="AH721" s="73">
        <f t="shared" si="19"/>
        <v>-1.79320266</v>
      </c>
      <c r="AI721" s="73">
        <f t="shared" si="20"/>
        <v>-3.240190514</v>
      </c>
      <c r="AJ721" s="73">
        <f t="shared" si="21"/>
        <v>-1.329092151</v>
      </c>
      <c r="AK721" s="73">
        <f t="shared" si="22"/>
        <v>0</v>
      </c>
      <c r="AL721" s="73">
        <f t="shared" si="23"/>
        <v>0</v>
      </c>
      <c r="AM721" s="73">
        <f t="shared" si="24"/>
        <v>0.433638093</v>
      </c>
      <c r="AN721" s="120">
        <f t="shared" si="25"/>
        <v>-3.240190514</v>
      </c>
      <c r="AO721" s="120">
        <f t="shared" si="26"/>
        <v>-6.395549135</v>
      </c>
      <c r="AP721" s="120" t="str">
        <f t="array" ref="AP721">INDIRECT("Update"&amp;Projections!$AH$17&amp;"!S"&amp;ROW(B702))</f>
        <v/>
      </c>
      <c r="AQ721" s="120" t="str">
        <f t="array" ref="AQ721">INDIRECT("Update"&amp;Projections!$AH$17&amp;"!T"&amp;ROW(B702))</f>
        <v/>
      </c>
      <c r="AR721" s="100">
        <f t="shared" si="27"/>
        <v>-9.965301026</v>
      </c>
    </row>
    <row r="722">
      <c r="A722" t="str">
        <f t="shared" si="3"/>
        <v/>
      </c>
      <c r="B722" s="42">
        <f t="shared" si="4"/>
        <v>-3.155358621</v>
      </c>
      <c r="C722" s="43">
        <f t="shared" si="5"/>
        <v>-1.740686581</v>
      </c>
      <c r="D722" s="42">
        <f t="shared" si="6"/>
        <v>-2.380599106</v>
      </c>
      <c r="E722" s="42">
        <f t="shared" si="7"/>
        <v>-1.79320266</v>
      </c>
      <c r="F722" s="42">
        <f t="shared" si="8"/>
        <v>-3.240190514</v>
      </c>
      <c r="G722" s="42">
        <f t="shared" si="9"/>
        <v>-1.329092151</v>
      </c>
      <c r="H722" s="42">
        <f t="shared" si="10"/>
        <v>0</v>
      </c>
      <c r="I722" s="42" t="str">
        <f>UpdateHashtag!S720</f>
        <v/>
      </c>
      <c r="J722" s="47">
        <f t="shared" si="11"/>
        <v>0</v>
      </c>
      <c r="K722" s="48" t="str">
        <f>UpdateHashtag!T720</f>
        <v/>
      </c>
      <c r="L722" s="42">
        <f t="shared" si="12"/>
        <v>-1.734552372</v>
      </c>
      <c r="N722" s="100">
        <f t="shared" si="13"/>
        <v>401</v>
      </c>
      <c r="O722" s="94" t="str">
        <f t="array" ref="O722">INDIRECT("Update"&amp;Projections!$AH$17&amp;"!B"&amp;ROW(B703))</f>
        <v/>
      </c>
      <c r="P722" s="414" t="str">
        <f t="array" ref="P722">INDIRECT("Update"&amp;Projections!$AH$17&amp;"!C"&amp;ROW(B703))</f>
        <v/>
      </c>
      <c r="Q722" s="94" t="str">
        <f>UpdateHashtag!F752</f>
        <v/>
      </c>
      <c r="R722" s="105" t="str">
        <f t="array" ref="R722">INDIRECT("Update"&amp;Projections!$AH$17&amp;"!D"&amp;ROW(B703))</f>
        <v/>
      </c>
      <c r="S722" s="73">
        <f t="shared" si="14"/>
        <v>-9.965301026</v>
      </c>
      <c r="T722" s="73">
        <f>SUM(AE722:AM722)-IFERROR(IFS(Projections!$I$17,AN722,Projections!$J$17,AO722),"")</f>
        <v>-9.965301026</v>
      </c>
      <c r="U722" s="73">
        <f t="shared" si="15"/>
        <v>0</v>
      </c>
      <c r="V722" s="73" t="str">
        <f t="array" ref="V722">INDIRECT("Update"&amp;Projections!$AH$17&amp;"!M"&amp;ROW(B703))</f>
        <v/>
      </c>
      <c r="W722" s="73" t="str">
        <f t="array" ref="W722">INDIRECT("Update"&amp;Projections!$AH$17&amp;"!L"&amp;ROW(B703))</f>
        <v/>
      </c>
      <c r="X722" s="73" t="str">
        <f t="array" ref="X722">INDIRECT("Update"&amp;Projections!$AH$17&amp;"!N"&amp;ROW(B703))</f>
        <v/>
      </c>
      <c r="Y722" s="73" t="str">
        <f t="array" ref="Y722">INDIRECT("Update"&amp;Projections!$AH$17&amp;"!O"&amp;ROW(B703))</f>
        <v/>
      </c>
      <c r="Z722" s="73" t="str">
        <f t="array" ref="Z722">INDIRECT("Update"&amp;Projections!$AH$17&amp;"!P"&amp;ROW(B703))</f>
        <v/>
      </c>
      <c r="AA722" s="73" t="str">
        <f t="array" ref="AA722">INDIRECT("Update"&amp;Projections!$AH$17&amp;"!Q"&amp;ROW(B703))</f>
        <v/>
      </c>
      <c r="AB722" s="107" t="str">
        <f t="array" ref="AB722">INDIRECT("Update"&amp;Projections!$AH$17&amp;"!I"&amp;ROW(B703))</f>
        <v/>
      </c>
      <c r="AC722" s="107" t="str">
        <f t="array" ref="AC722">INDIRECT("Update"&amp;Projections!$AH$17&amp;"!K"&amp;ROW(B703))</f>
        <v/>
      </c>
      <c r="AD722" s="73" t="str">
        <f t="array" ref="AD722">INDIRECT("Update"&amp;Projections!$AH$17&amp;"!R"&amp;ROW(B703))</f>
        <v/>
      </c>
      <c r="AE722" s="73">
        <f t="shared" si="16"/>
        <v>-3.155358621</v>
      </c>
      <c r="AF722" s="73">
        <f t="shared" si="17"/>
        <v>-1.740686581</v>
      </c>
      <c r="AG722" s="73">
        <f t="shared" si="18"/>
        <v>-2.380599106</v>
      </c>
      <c r="AH722" s="73">
        <f t="shared" si="19"/>
        <v>-1.79320266</v>
      </c>
      <c r="AI722" s="73">
        <f t="shared" si="20"/>
        <v>-3.240190514</v>
      </c>
      <c r="AJ722" s="73">
        <f t="shared" si="21"/>
        <v>-1.329092151</v>
      </c>
      <c r="AK722" s="73">
        <f t="shared" si="22"/>
        <v>0</v>
      </c>
      <c r="AL722" s="73">
        <f t="shared" si="23"/>
        <v>0</v>
      </c>
      <c r="AM722" s="73">
        <f t="shared" si="24"/>
        <v>0.433638093</v>
      </c>
      <c r="AN722" s="120">
        <f t="shared" si="25"/>
        <v>-3.240190514</v>
      </c>
      <c r="AO722" s="120">
        <f t="shared" si="26"/>
        <v>-6.395549135</v>
      </c>
      <c r="AP722" s="120" t="str">
        <f t="array" ref="AP722">INDIRECT("Update"&amp;Projections!$AH$17&amp;"!S"&amp;ROW(B703))</f>
        <v/>
      </c>
      <c r="AQ722" s="120" t="str">
        <f t="array" ref="AQ722">INDIRECT("Update"&amp;Projections!$AH$17&amp;"!T"&amp;ROW(B703))</f>
        <v/>
      </c>
      <c r="AR722" s="100">
        <f t="shared" si="27"/>
        <v>-9.965301026</v>
      </c>
    </row>
    <row r="723">
      <c r="A723" t="str">
        <f t="shared" si="3"/>
        <v/>
      </c>
      <c r="B723" s="42">
        <f t="shared" si="4"/>
        <v>-3.155358621</v>
      </c>
      <c r="C723" s="43">
        <f t="shared" si="5"/>
        <v>-1.740686581</v>
      </c>
      <c r="D723" s="42">
        <f t="shared" si="6"/>
        <v>-2.380599106</v>
      </c>
      <c r="E723" s="42">
        <f t="shared" si="7"/>
        <v>-1.79320266</v>
      </c>
      <c r="F723" s="42">
        <f t="shared" si="8"/>
        <v>-3.240190514</v>
      </c>
      <c r="G723" s="42">
        <f t="shared" si="9"/>
        <v>-1.329092151</v>
      </c>
      <c r="H723" s="42">
        <f t="shared" si="10"/>
        <v>0</v>
      </c>
      <c r="I723" s="42" t="str">
        <f>UpdateHashtag!S721</f>
        <v/>
      </c>
      <c r="J723" s="47">
        <f t="shared" si="11"/>
        <v>0</v>
      </c>
      <c r="K723" s="48" t="str">
        <f>UpdateHashtag!T721</f>
        <v/>
      </c>
      <c r="L723" s="42">
        <f t="shared" si="12"/>
        <v>-1.734552372</v>
      </c>
      <c r="N723" s="100">
        <f t="shared" si="13"/>
        <v>401</v>
      </c>
      <c r="O723" s="94" t="str">
        <f t="array" ref="O723">INDIRECT("Update"&amp;Projections!$AH$17&amp;"!B"&amp;ROW(B704))</f>
        <v/>
      </c>
      <c r="P723" s="414" t="str">
        <f t="array" ref="P723">INDIRECT("Update"&amp;Projections!$AH$17&amp;"!C"&amp;ROW(B704))</f>
        <v/>
      </c>
      <c r="Q723" s="94" t="str">
        <f>UpdateHashtag!F753</f>
        <v/>
      </c>
      <c r="R723" s="105" t="str">
        <f t="array" ref="R723">INDIRECT("Update"&amp;Projections!$AH$17&amp;"!D"&amp;ROW(B704))</f>
        <v/>
      </c>
      <c r="S723" s="73">
        <f t="shared" si="14"/>
        <v>-9.965301026</v>
      </c>
      <c r="T723" s="73">
        <f>SUM(AE723:AM723)-IFERROR(IFS(Projections!$I$17,AN723,Projections!$J$17,AO723),"")</f>
        <v>-9.965301026</v>
      </c>
      <c r="U723" s="73">
        <f t="shared" si="15"/>
        <v>0</v>
      </c>
      <c r="V723" s="73" t="str">
        <f t="array" ref="V723">INDIRECT("Update"&amp;Projections!$AH$17&amp;"!M"&amp;ROW(B704))</f>
        <v/>
      </c>
      <c r="W723" s="73" t="str">
        <f t="array" ref="W723">INDIRECT("Update"&amp;Projections!$AH$17&amp;"!L"&amp;ROW(B704))</f>
        <v/>
      </c>
      <c r="X723" s="73" t="str">
        <f t="array" ref="X723">INDIRECT("Update"&amp;Projections!$AH$17&amp;"!N"&amp;ROW(B704))</f>
        <v/>
      </c>
      <c r="Y723" s="73" t="str">
        <f t="array" ref="Y723">INDIRECT("Update"&amp;Projections!$AH$17&amp;"!O"&amp;ROW(B704))</f>
        <v/>
      </c>
      <c r="Z723" s="73" t="str">
        <f t="array" ref="Z723">INDIRECT("Update"&amp;Projections!$AH$17&amp;"!P"&amp;ROW(B704))</f>
        <v/>
      </c>
      <c r="AA723" s="73" t="str">
        <f t="array" ref="AA723">INDIRECT("Update"&amp;Projections!$AH$17&amp;"!Q"&amp;ROW(B704))</f>
        <v/>
      </c>
      <c r="AB723" s="107" t="str">
        <f t="array" ref="AB723">INDIRECT("Update"&amp;Projections!$AH$17&amp;"!I"&amp;ROW(B704))</f>
        <v/>
      </c>
      <c r="AC723" s="107" t="str">
        <f t="array" ref="AC723">INDIRECT("Update"&amp;Projections!$AH$17&amp;"!K"&amp;ROW(B704))</f>
        <v/>
      </c>
      <c r="AD723" s="73" t="str">
        <f t="array" ref="AD723">INDIRECT("Update"&amp;Projections!$AH$17&amp;"!R"&amp;ROW(B704))</f>
        <v/>
      </c>
      <c r="AE723" s="73">
        <f t="shared" si="16"/>
        <v>-3.155358621</v>
      </c>
      <c r="AF723" s="73">
        <f t="shared" si="17"/>
        <v>-1.740686581</v>
      </c>
      <c r="AG723" s="73">
        <f t="shared" si="18"/>
        <v>-2.380599106</v>
      </c>
      <c r="AH723" s="73">
        <f t="shared" si="19"/>
        <v>-1.79320266</v>
      </c>
      <c r="AI723" s="73">
        <f t="shared" si="20"/>
        <v>-3.240190514</v>
      </c>
      <c r="AJ723" s="73">
        <f t="shared" si="21"/>
        <v>-1.329092151</v>
      </c>
      <c r="AK723" s="73">
        <f t="shared" si="22"/>
        <v>0</v>
      </c>
      <c r="AL723" s="73">
        <f t="shared" si="23"/>
        <v>0</v>
      </c>
      <c r="AM723" s="73">
        <f t="shared" si="24"/>
        <v>0.433638093</v>
      </c>
      <c r="AN723" s="120">
        <f t="shared" si="25"/>
        <v>-3.240190514</v>
      </c>
      <c r="AO723" s="120">
        <f t="shared" si="26"/>
        <v>-6.395549135</v>
      </c>
      <c r="AP723" s="120" t="str">
        <f t="array" ref="AP723">INDIRECT("Update"&amp;Projections!$AH$17&amp;"!S"&amp;ROW(B704))</f>
        <v/>
      </c>
      <c r="AQ723" s="120" t="str">
        <f t="array" ref="AQ723">INDIRECT("Update"&amp;Projections!$AH$17&amp;"!T"&amp;ROW(B704))</f>
        <v/>
      </c>
      <c r="AR723" s="100">
        <f t="shared" si="27"/>
        <v>-9.965301026</v>
      </c>
    </row>
    <row r="724">
      <c r="A724" t="str">
        <f t="shared" si="3"/>
        <v/>
      </c>
      <c r="B724" s="42">
        <f t="shared" si="4"/>
        <v>-3.155358621</v>
      </c>
      <c r="C724" s="43">
        <f t="shared" si="5"/>
        <v>-1.740686581</v>
      </c>
      <c r="D724" s="42">
        <f t="shared" si="6"/>
        <v>-2.380599106</v>
      </c>
      <c r="E724" s="42">
        <f t="shared" si="7"/>
        <v>-1.79320266</v>
      </c>
      <c r="F724" s="42">
        <f t="shared" si="8"/>
        <v>-3.240190514</v>
      </c>
      <c r="G724" s="42">
        <f t="shared" si="9"/>
        <v>-1.329092151</v>
      </c>
      <c r="H724" s="42">
        <f t="shared" si="10"/>
        <v>0</v>
      </c>
      <c r="I724" s="42" t="str">
        <f>UpdateHashtag!S722</f>
        <v/>
      </c>
      <c r="J724" s="47">
        <f t="shared" si="11"/>
        <v>0</v>
      </c>
      <c r="K724" s="48" t="str">
        <f>UpdateHashtag!T722</f>
        <v/>
      </c>
      <c r="L724" s="42">
        <f t="shared" si="12"/>
        <v>-1.734552372</v>
      </c>
      <c r="N724" s="100">
        <f t="shared" si="13"/>
        <v>401</v>
      </c>
      <c r="O724" s="94" t="str">
        <f t="array" ref="O724">INDIRECT("Update"&amp;Projections!$AH$17&amp;"!B"&amp;ROW(B705))</f>
        <v/>
      </c>
      <c r="P724" s="414" t="str">
        <f t="array" ref="P724">INDIRECT("Update"&amp;Projections!$AH$17&amp;"!C"&amp;ROW(B705))</f>
        <v/>
      </c>
      <c r="Q724" s="94" t="str">
        <f>UpdateHashtag!F754</f>
        <v/>
      </c>
      <c r="R724" s="105" t="str">
        <f t="array" ref="R724">INDIRECT("Update"&amp;Projections!$AH$17&amp;"!D"&amp;ROW(B705))</f>
        <v/>
      </c>
      <c r="S724" s="73">
        <f t="shared" si="14"/>
        <v>-9.965301026</v>
      </c>
      <c r="T724" s="73">
        <f>SUM(AE724:AM724)-IFERROR(IFS(Projections!$I$17,AN724,Projections!$J$17,AO724),"")</f>
        <v>-9.965301026</v>
      </c>
      <c r="U724" s="73">
        <f t="shared" si="15"/>
        <v>0</v>
      </c>
      <c r="V724" s="73" t="str">
        <f t="array" ref="V724">INDIRECT("Update"&amp;Projections!$AH$17&amp;"!M"&amp;ROW(B705))</f>
        <v/>
      </c>
      <c r="W724" s="73" t="str">
        <f t="array" ref="W724">INDIRECT("Update"&amp;Projections!$AH$17&amp;"!L"&amp;ROW(B705))</f>
        <v/>
      </c>
      <c r="X724" s="73" t="str">
        <f t="array" ref="X724">INDIRECT("Update"&amp;Projections!$AH$17&amp;"!N"&amp;ROW(B705))</f>
        <v/>
      </c>
      <c r="Y724" s="73" t="str">
        <f t="array" ref="Y724">INDIRECT("Update"&amp;Projections!$AH$17&amp;"!O"&amp;ROW(B705))</f>
        <v/>
      </c>
      <c r="Z724" s="73" t="str">
        <f t="array" ref="Z724">INDIRECT("Update"&amp;Projections!$AH$17&amp;"!P"&amp;ROW(B705))</f>
        <v/>
      </c>
      <c r="AA724" s="73" t="str">
        <f t="array" ref="AA724">INDIRECT("Update"&amp;Projections!$AH$17&amp;"!Q"&amp;ROW(B705))</f>
        <v/>
      </c>
      <c r="AB724" s="107" t="str">
        <f t="array" ref="AB724">INDIRECT("Update"&amp;Projections!$AH$17&amp;"!I"&amp;ROW(B705))</f>
        <v/>
      </c>
      <c r="AC724" s="107" t="str">
        <f t="array" ref="AC724">INDIRECT("Update"&amp;Projections!$AH$17&amp;"!K"&amp;ROW(B705))</f>
        <v/>
      </c>
      <c r="AD724" s="73" t="str">
        <f t="array" ref="AD724">INDIRECT("Update"&amp;Projections!$AH$17&amp;"!R"&amp;ROW(B705))</f>
        <v/>
      </c>
      <c r="AE724" s="73">
        <f t="shared" si="16"/>
        <v>-3.155358621</v>
      </c>
      <c r="AF724" s="73">
        <f t="shared" si="17"/>
        <v>-1.740686581</v>
      </c>
      <c r="AG724" s="73">
        <f t="shared" si="18"/>
        <v>-2.380599106</v>
      </c>
      <c r="AH724" s="73">
        <f t="shared" si="19"/>
        <v>-1.79320266</v>
      </c>
      <c r="AI724" s="73">
        <f t="shared" si="20"/>
        <v>-3.240190514</v>
      </c>
      <c r="AJ724" s="73">
        <f t="shared" si="21"/>
        <v>-1.329092151</v>
      </c>
      <c r="AK724" s="73">
        <f t="shared" si="22"/>
        <v>0</v>
      </c>
      <c r="AL724" s="73">
        <f t="shared" si="23"/>
        <v>0</v>
      </c>
      <c r="AM724" s="73">
        <f t="shared" si="24"/>
        <v>0.433638093</v>
      </c>
      <c r="AN724" s="120">
        <f t="shared" si="25"/>
        <v>-3.240190514</v>
      </c>
      <c r="AO724" s="120">
        <f t="shared" si="26"/>
        <v>-6.395549135</v>
      </c>
      <c r="AP724" s="120" t="str">
        <f t="array" ref="AP724">INDIRECT("Update"&amp;Projections!$AH$17&amp;"!S"&amp;ROW(B705))</f>
        <v/>
      </c>
      <c r="AQ724" s="120" t="str">
        <f t="array" ref="AQ724">INDIRECT("Update"&amp;Projections!$AH$17&amp;"!T"&amp;ROW(B705))</f>
        <v/>
      </c>
      <c r="AR724" s="100">
        <f t="shared" si="27"/>
        <v>-9.965301026</v>
      </c>
    </row>
    <row r="725">
      <c r="A725" t="str">
        <f t="shared" si="3"/>
        <v/>
      </c>
      <c r="B725" s="42">
        <f t="shared" si="4"/>
        <v>-3.155358621</v>
      </c>
      <c r="C725" s="43">
        <f t="shared" si="5"/>
        <v>-1.740686581</v>
      </c>
      <c r="D725" s="42">
        <f t="shared" si="6"/>
        <v>-2.380599106</v>
      </c>
      <c r="E725" s="42">
        <f t="shared" si="7"/>
        <v>-1.79320266</v>
      </c>
      <c r="F725" s="42">
        <f t="shared" si="8"/>
        <v>-3.240190514</v>
      </c>
      <c r="G725" s="42">
        <f t="shared" si="9"/>
        <v>-1.329092151</v>
      </c>
      <c r="H725" s="42">
        <f t="shared" si="10"/>
        <v>0</v>
      </c>
      <c r="I725" s="42" t="str">
        <f>UpdateHashtag!S723</f>
        <v/>
      </c>
      <c r="J725" s="47">
        <f t="shared" si="11"/>
        <v>0</v>
      </c>
      <c r="K725" s="48" t="str">
        <f>UpdateHashtag!T723</f>
        <v/>
      </c>
      <c r="L725" s="42">
        <f t="shared" si="12"/>
        <v>-1.734552372</v>
      </c>
      <c r="N725" s="100">
        <f t="shared" si="13"/>
        <v>401</v>
      </c>
      <c r="O725" s="94" t="str">
        <f t="array" ref="O725">INDIRECT("Update"&amp;Projections!$AH$17&amp;"!B"&amp;ROW(B706))</f>
        <v/>
      </c>
      <c r="P725" s="414" t="str">
        <f t="array" ref="P725">INDIRECT("Update"&amp;Projections!$AH$17&amp;"!C"&amp;ROW(B706))</f>
        <v/>
      </c>
      <c r="Q725" s="94" t="str">
        <f>UpdateHashtag!F755</f>
        <v/>
      </c>
      <c r="R725" s="105" t="str">
        <f t="array" ref="R725">INDIRECT("Update"&amp;Projections!$AH$17&amp;"!D"&amp;ROW(B706))</f>
        <v/>
      </c>
      <c r="S725" s="73">
        <f t="shared" si="14"/>
        <v>-9.965301026</v>
      </c>
      <c r="T725" s="73">
        <f>SUM(AE725:AM725)-IFERROR(IFS(Projections!$I$17,AN725,Projections!$J$17,AO725),"")</f>
        <v>-9.965301026</v>
      </c>
      <c r="U725" s="73">
        <f t="shared" si="15"/>
        <v>0</v>
      </c>
      <c r="V725" s="73" t="str">
        <f t="array" ref="V725">INDIRECT("Update"&amp;Projections!$AH$17&amp;"!M"&amp;ROW(B706))</f>
        <v/>
      </c>
      <c r="W725" s="73" t="str">
        <f t="array" ref="W725">INDIRECT("Update"&amp;Projections!$AH$17&amp;"!L"&amp;ROW(B706))</f>
        <v/>
      </c>
      <c r="X725" s="73" t="str">
        <f t="array" ref="X725">INDIRECT("Update"&amp;Projections!$AH$17&amp;"!N"&amp;ROW(B706))</f>
        <v/>
      </c>
      <c r="Y725" s="73" t="str">
        <f t="array" ref="Y725">INDIRECT("Update"&amp;Projections!$AH$17&amp;"!O"&amp;ROW(B706))</f>
        <v/>
      </c>
      <c r="Z725" s="73" t="str">
        <f t="array" ref="Z725">INDIRECT("Update"&amp;Projections!$AH$17&amp;"!P"&amp;ROW(B706))</f>
        <v/>
      </c>
      <c r="AA725" s="73" t="str">
        <f t="array" ref="AA725">INDIRECT("Update"&amp;Projections!$AH$17&amp;"!Q"&amp;ROW(B706))</f>
        <v/>
      </c>
      <c r="AB725" s="107" t="str">
        <f t="array" ref="AB725">INDIRECT("Update"&amp;Projections!$AH$17&amp;"!I"&amp;ROW(B706))</f>
        <v/>
      </c>
      <c r="AC725" s="107" t="str">
        <f t="array" ref="AC725">INDIRECT("Update"&amp;Projections!$AH$17&amp;"!K"&amp;ROW(B706))</f>
        <v/>
      </c>
      <c r="AD725" s="73" t="str">
        <f t="array" ref="AD725">INDIRECT("Update"&amp;Projections!$AH$17&amp;"!R"&amp;ROW(B706))</f>
        <v/>
      </c>
      <c r="AE725" s="73">
        <f t="shared" si="16"/>
        <v>-3.155358621</v>
      </c>
      <c r="AF725" s="73">
        <f t="shared" si="17"/>
        <v>-1.740686581</v>
      </c>
      <c r="AG725" s="73">
        <f t="shared" si="18"/>
        <v>-2.380599106</v>
      </c>
      <c r="AH725" s="73">
        <f t="shared" si="19"/>
        <v>-1.79320266</v>
      </c>
      <c r="AI725" s="73">
        <f t="shared" si="20"/>
        <v>-3.240190514</v>
      </c>
      <c r="AJ725" s="73">
        <f t="shared" si="21"/>
        <v>-1.329092151</v>
      </c>
      <c r="AK725" s="73">
        <f t="shared" si="22"/>
        <v>0</v>
      </c>
      <c r="AL725" s="73">
        <f t="shared" si="23"/>
        <v>0</v>
      </c>
      <c r="AM725" s="73">
        <f t="shared" si="24"/>
        <v>0.433638093</v>
      </c>
      <c r="AN725" s="120">
        <f t="shared" si="25"/>
        <v>-3.240190514</v>
      </c>
      <c r="AO725" s="120">
        <f t="shared" si="26"/>
        <v>-6.395549135</v>
      </c>
      <c r="AP725" s="120" t="str">
        <f t="array" ref="AP725">INDIRECT("Update"&amp;Projections!$AH$17&amp;"!S"&amp;ROW(B706))</f>
        <v/>
      </c>
      <c r="AQ725" s="120" t="str">
        <f t="array" ref="AQ725">INDIRECT("Update"&amp;Projections!$AH$17&amp;"!T"&amp;ROW(B706))</f>
        <v/>
      </c>
      <c r="AR725" s="100">
        <f t="shared" si="27"/>
        <v>-9.965301026</v>
      </c>
    </row>
    <row r="726">
      <c r="A726" t="str">
        <f t="shared" si="3"/>
        <v/>
      </c>
      <c r="B726" s="42">
        <f t="shared" si="4"/>
        <v>-3.155358621</v>
      </c>
      <c r="C726" s="43">
        <f t="shared" si="5"/>
        <v>-1.740686581</v>
      </c>
      <c r="D726" s="42">
        <f t="shared" si="6"/>
        <v>-2.380599106</v>
      </c>
      <c r="E726" s="42">
        <f t="shared" si="7"/>
        <v>-1.79320266</v>
      </c>
      <c r="F726" s="42">
        <f t="shared" si="8"/>
        <v>-3.240190514</v>
      </c>
      <c r="G726" s="42">
        <f t="shared" si="9"/>
        <v>-1.329092151</v>
      </c>
      <c r="H726" s="42">
        <f t="shared" si="10"/>
        <v>0</v>
      </c>
      <c r="I726" s="42" t="str">
        <f>UpdateHashtag!S724</f>
        <v/>
      </c>
      <c r="J726" s="47">
        <f t="shared" si="11"/>
        <v>0</v>
      </c>
      <c r="K726" s="48" t="str">
        <f>UpdateHashtag!T724</f>
        <v/>
      </c>
      <c r="L726" s="42">
        <f t="shared" si="12"/>
        <v>-1.734552372</v>
      </c>
      <c r="N726" s="100">
        <f t="shared" si="13"/>
        <v>401</v>
      </c>
      <c r="O726" s="94" t="str">
        <f t="array" ref="O726">INDIRECT("Update"&amp;Projections!$AH$17&amp;"!B"&amp;ROW(B707))</f>
        <v/>
      </c>
      <c r="P726" s="414" t="str">
        <f t="array" ref="P726">INDIRECT("Update"&amp;Projections!$AH$17&amp;"!C"&amp;ROW(B707))</f>
        <v/>
      </c>
      <c r="Q726" s="94" t="str">
        <f>UpdateHashtag!F756</f>
        <v/>
      </c>
      <c r="R726" s="105" t="str">
        <f t="array" ref="R726">INDIRECT("Update"&amp;Projections!$AH$17&amp;"!D"&amp;ROW(B707))</f>
        <v/>
      </c>
      <c r="S726" s="73">
        <f t="shared" si="14"/>
        <v>-9.965301026</v>
      </c>
      <c r="T726" s="73">
        <f>SUM(AE726:AM726)-IFERROR(IFS(Projections!$I$17,AN726,Projections!$J$17,AO726),"")</f>
        <v>-9.965301026</v>
      </c>
      <c r="U726" s="73">
        <f t="shared" si="15"/>
        <v>0</v>
      </c>
      <c r="V726" s="73" t="str">
        <f t="array" ref="V726">INDIRECT("Update"&amp;Projections!$AH$17&amp;"!M"&amp;ROW(B707))</f>
        <v/>
      </c>
      <c r="W726" s="73" t="str">
        <f t="array" ref="W726">INDIRECT("Update"&amp;Projections!$AH$17&amp;"!L"&amp;ROW(B707))</f>
        <v/>
      </c>
      <c r="X726" s="73" t="str">
        <f t="array" ref="X726">INDIRECT("Update"&amp;Projections!$AH$17&amp;"!N"&amp;ROW(B707))</f>
        <v/>
      </c>
      <c r="Y726" s="73" t="str">
        <f t="array" ref="Y726">INDIRECT("Update"&amp;Projections!$AH$17&amp;"!O"&amp;ROW(B707))</f>
        <v/>
      </c>
      <c r="Z726" s="73" t="str">
        <f t="array" ref="Z726">INDIRECT("Update"&amp;Projections!$AH$17&amp;"!P"&amp;ROW(B707))</f>
        <v/>
      </c>
      <c r="AA726" s="73" t="str">
        <f t="array" ref="AA726">INDIRECT("Update"&amp;Projections!$AH$17&amp;"!Q"&amp;ROW(B707))</f>
        <v/>
      </c>
      <c r="AB726" s="107" t="str">
        <f t="array" ref="AB726">INDIRECT("Update"&amp;Projections!$AH$17&amp;"!I"&amp;ROW(B707))</f>
        <v/>
      </c>
      <c r="AC726" s="107" t="str">
        <f t="array" ref="AC726">INDIRECT("Update"&amp;Projections!$AH$17&amp;"!K"&amp;ROW(B707))</f>
        <v/>
      </c>
      <c r="AD726" s="73" t="str">
        <f t="array" ref="AD726">INDIRECT("Update"&amp;Projections!$AH$17&amp;"!R"&amp;ROW(B707))</f>
        <v/>
      </c>
      <c r="AE726" s="73">
        <f t="shared" si="16"/>
        <v>-3.155358621</v>
      </c>
      <c r="AF726" s="73">
        <f t="shared" si="17"/>
        <v>-1.740686581</v>
      </c>
      <c r="AG726" s="73">
        <f t="shared" si="18"/>
        <v>-2.380599106</v>
      </c>
      <c r="AH726" s="73">
        <f t="shared" si="19"/>
        <v>-1.79320266</v>
      </c>
      <c r="AI726" s="73">
        <f t="shared" si="20"/>
        <v>-3.240190514</v>
      </c>
      <c r="AJ726" s="73">
        <f t="shared" si="21"/>
        <v>-1.329092151</v>
      </c>
      <c r="AK726" s="73">
        <f t="shared" si="22"/>
        <v>0</v>
      </c>
      <c r="AL726" s="73">
        <f t="shared" si="23"/>
        <v>0</v>
      </c>
      <c r="AM726" s="73">
        <f t="shared" si="24"/>
        <v>0.433638093</v>
      </c>
      <c r="AN726" s="120">
        <f t="shared" si="25"/>
        <v>-3.240190514</v>
      </c>
      <c r="AO726" s="120">
        <f t="shared" si="26"/>
        <v>-6.395549135</v>
      </c>
      <c r="AP726" s="120" t="str">
        <f t="array" ref="AP726">INDIRECT("Update"&amp;Projections!$AH$17&amp;"!S"&amp;ROW(B707))</f>
        <v/>
      </c>
      <c r="AQ726" s="120" t="str">
        <f t="array" ref="AQ726">INDIRECT("Update"&amp;Projections!$AH$17&amp;"!T"&amp;ROW(B707))</f>
        <v/>
      </c>
      <c r="AR726" s="100">
        <f t="shared" si="27"/>
        <v>-9.965301026</v>
      </c>
    </row>
    <row r="727">
      <c r="A727" t="str">
        <f t="shared" si="3"/>
        <v/>
      </c>
      <c r="B727" s="42">
        <f t="shared" si="4"/>
        <v>-3.155358621</v>
      </c>
      <c r="C727" s="43">
        <f t="shared" si="5"/>
        <v>-1.740686581</v>
      </c>
      <c r="D727" s="42">
        <f t="shared" si="6"/>
        <v>-2.380599106</v>
      </c>
      <c r="E727" s="42">
        <f t="shared" si="7"/>
        <v>-1.79320266</v>
      </c>
      <c r="F727" s="42">
        <f t="shared" si="8"/>
        <v>-3.240190514</v>
      </c>
      <c r="G727" s="42">
        <f t="shared" si="9"/>
        <v>-1.329092151</v>
      </c>
      <c r="H727" s="42">
        <f t="shared" si="10"/>
        <v>0</v>
      </c>
      <c r="I727" s="42" t="str">
        <f>UpdateHashtag!S725</f>
        <v/>
      </c>
      <c r="J727" s="47">
        <f t="shared" si="11"/>
        <v>0</v>
      </c>
      <c r="K727" s="48" t="str">
        <f>UpdateHashtag!T725</f>
        <v/>
      </c>
      <c r="L727" s="42">
        <f t="shared" si="12"/>
        <v>-1.734552372</v>
      </c>
      <c r="N727" s="100">
        <f t="shared" si="13"/>
        <v>401</v>
      </c>
      <c r="O727" s="94" t="str">
        <f t="array" ref="O727">INDIRECT("Update"&amp;Projections!$AH$17&amp;"!B"&amp;ROW(B708))</f>
        <v/>
      </c>
      <c r="P727" s="414" t="str">
        <f t="array" ref="P727">INDIRECT("Update"&amp;Projections!$AH$17&amp;"!C"&amp;ROW(B708))</f>
        <v/>
      </c>
      <c r="Q727" s="94" t="str">
        <f>UpdateHashtag!F757</f>
        <v/>
      </c>
      <c r="R727" s="105" t="str">
        <f t="array" ref="R727">INDIRECT("Update"&amp;Projections!$AH$17&amp;"!D"&amp;ROW(B708))</f>
        <v/>
      </c>
      <c r="S727" s="73">
        <f t="shared" si="14"/>
        <v>-9.965301026</v>
      </c>
      <c r="T727" s="73">
        <f>SUM(AE727:AM727)-IFERROR(IFS(Projections!$I$17,AN727,Projections!$J$17,AO727),"")</f>
        <v>-9.965301026</v>
      </c>
      <c r="U727" s="73">
        <f t="shared" si="15"/>
        <v>0</v>
      </c>
      <c r="V727" s="73" t="str">
        <f t="array" ref="V727">INDIRECT("Update"&amp;Projections!$AH$17&amp;"!M"&amp;ROW(B708))</f>
        <v/>
      </c>
      <c r="W727" s="73" t="str">
        <f t="array" ref="W727">INDIRECT("Update"&amp;Projections!$AH$17&amp;"!L"&amp;ROW(B708))</f>
        <v/>
      </c>
      <c r="X727" s="73" t="str">
        <f t="array" ref="X727">INDIRECT("Update"&amp;Projections!$AH$17&amp;"!N"&amp;ROW(B708))</f>
        <v/>
      </c>
      <c r="Y727" s="73" t="str">
        <f t="array" ref="Y727">INDIRECT("Update"&amp;Projections!$AH$17&amp;"!O"&amp;ROW(B708))</f>
        <v/>
      </c>
      <c r="Z727" s="73" t="str">
        <f t="array" ref="Z727">INDIRECT("Update"&amp;Projections!$AH$17&amp;"!P"&amp;ROW(B708))</f>
        <v/>
      </c>
      <c r="AA727" s="73" t="str">
        <f t="array" ref="AA727">INDIRECT("Update"&amp;Projections!$AH$17&amp;"!Q"&amp;ROW(B708))</f>
        <v/>
      </c>
      <c r="AB727" s="107" t="str">
        <f t="array" ref="AB727">INDIRECT("Update"&amp;Projections!$AH$17&amp;"!I"&amp;ROW(B708))</f>
        <v/>
      </c>
      <c r="AC727" s="107" t="str">
        <f t="array" ref="AC727">INDIRECT("Update"&amp;Projections!$AH$17&amp;"!K"&amp;ROW(B708))</f>
        <v/>
      </c>
      <c r="AD727" s="73" t="str">
        <f t="array" ref="AD727">INDIRECT("Update"&amp;Projections!$AH$17&amp;"!R"&amp;ROW(B708))</f>
        <v/>
      </c>
      <c r="AE727" s="73">
        <f t="shared" si="16"/>
        <v>-3.155358621</v>
      </c>
      <c r="AF727" s="73">
        <f t="shared" si="17"/>
        <v>-1.740686581</v>
      </c>
      <c r="AG727" s="73">
        <f t="shared" si="18"/>
        <v>-2.380599106</v>
      </c>
      <c r="AH727" s="73">
        <f t="shared" si="19"/>
        <v>-1.79320266</v>
      </c>
      <c r="AI727" s="73">
        <f t="shared" si="20"/>
        <v>-3.240190514</v>
      </c>
      <c r="AJ727" s="73">
        <f t="shared" si="21"/>
        <v>-1.329092151</v>
      </c>
      <c r="AK727" s="73">
        <f t="shared" si="22"/>
        <v>0</v>
      </c>
      <c r="AL727" s="73">
        <f t="shared" si="23"/>
        <v>0</v>
      </c>
      <c r="AM727" s="73">
        <f t="shared" si="24"/>
        <v>0.433638093</v>
      </c>
      <c r="AN727" s="120">
        <f t="shared" si="25"/>
        <v>-3.240190514</v>
      </c>
      <c r="AO727" s="120">
        <f t="shared" si="26"/>
        <v>-6.395549135</v>
      </c>
      <c r="AP727" s="120" t="str">
        <f t="array" ref="AP727">INDIRECT("Update"&amp;Projections!$AH$17&amp;"!S"&amp;ROW(B708))</f>
        <v/>
      </c>
      <c r="AQ727" s="120" t="str">
        <f t="array" ref="AQ727">INDIRECT("Update"&amp;Projections!$AH$17&amp;"!T"&amp;ROW(B708))</f>
        <v/>
      </c>
      <c r="AR727" s="100">
        <f t="shared" si="27"/>
        <v>-9.965301026</v>
      </c>
    </row>
    <row r="728">
      <c r="A728" t="str">
        <f t="shared" si="3"/>
        <v/>
      </c>
      <c r="B728" s="42">
        <f t="shared" si="4"/>
        <v>-3.155358621</v>
      </c>
      <c r="C728" s="43">
        <f t="shared" si="5"/>
        <v>-1.740686581</v>
      </c>
      <c r="D728" s="42">
        <f t="shared" si="6"/>
        <v>-2.380599106</v>
      </c>
      <c r="E728" s="42">
        <f t="shared" si="7"/>
        <v>-1.79320266</v>
      </c>
      <c r="F728" s="42">
        <f t="shared" si="8"/>
        <v>-3.240190514</v>
      </c>
      <c r="G728" s="42">
        <f t="shared" si="9"/>
        <v>-1.329092151</v>
      </c>
      <c r="H728" s="42">
        <f t="shared" si="10"/>
        <v>0</v>
      </c>
      <c r="I728" s="42" t="str">
        <f>UpdateHashtag!S726</f>
        <v/>
      </c>
      <c r="J728" s="47">
        <f t="shared" si="11"/>
        <v>0</v>
      </c>
      <c r="K728" s="48" t="str">
        <f>UpdateHashtag!T726</f>
        <v/>
      </c>
      <c r="L728" s="42">
        <f t="shared" si="12"/>
        <v>-1.734552372</v>
      </c>
      <c r="N728" s="100">
        <f t="shared" si="13"/>
        <v>401</v>
      </c>
      <c r="O728" s="94" t="str">
        <f t="array" ref="O728">INDIRECT("Update"&amp;Projections!$AH$17&amp;"!B"&amp;ROW(B709))</f>
        <v/>
      </c>
      <c r="P728" s="414" t="str">
        <f t="array" ref="P728">INDIRECT("Update"&amp;Projections!$AH$17&amp;"!C"&amp;ROW(B709))</f>
        <v/>
      </c>
      <c r="Q728" s="94" t="str">
        <f>UpdateHashtag!F758</f>
        <v/>
      </c>
      <c r="R728" s="105" t="str">
        <f t="array" ref="R728">INDIRECT("Update"&amp;Projections!$AH$17&amp;"!D"&amp;ROW(B709))</f>
        <v/>
      </c>
      <c r="S728" s="73">
        <f t="shared" si="14"/>
        <v>-9.965301026</v>
      </c>
      <c r="T728" s="73">
        <f>SUM(AE728:AM728)-IFERROR(IFS(Projections!$I$17,AN728,Projections!$J$17,AO728),"")</f>
        <v>-9.965301026</v>
      </c>
      <c r="U728" s="73">
        <f t="shared" si="15"/>
        <v>0</v>
      </c>
      <c r="V728" s="73" t="str">
        <f t="array" ref="V728">INDIRECT("Update"&amp;Projections!$AH$17&amp;"!M"&amp;ROW(B709))</f>
        <v/>
      </c>
      <c r="W728" s="73" t="str">
        <f t="array" ref="W728">INDIRECT("Update"&amp;Projections!$AH$17&amp;"!L"&amp;ROW(B709))</f>
        <v/>
      </c>
      <c r="X728" s="73" t="str">
        <f t="array" ref="X728">INDIRECT("Update"&amp;Projections!$AH$17&amp;"!N"&amp;ROW(B709))</f>
        <v/>
      </c>
      <c r="Y728" s="73" t="str">
        <f t="array" ref="Y728">INDIRECT("Update"&amp;Projections!$AH$17&amp;"!O"&amp;ROW(B709))</f>
        <v/>
      </c>
      <c r="Z728" s="73" t="str">
        <f t="array" ref="Z728">INDIRECT("Update"&amp;Projections!$AH$17&amp;"!P"&amp;ROW(B709))</f>
        <v/>
      </c>
      <c r="AA728" s="73" t="str">
        <f t="array" ref="AA728">INDIRECT("Update"&amp;Projections!$AH$17&amp;"!Q"&amp;ROW(B709))</f>
        <v/>
      </c>
      <c r="AB728" s="107" t="str">
        <f t="array" ref="AB728">INDIRECT("Update"&amp;Projections!$AH$17&amp;"!I"&amp;ROW(B709))</f>
        <v/>
      </c>
      <c r="AC728" s="107" t="str">
        <f t="array" ref="AC728">INDIRECT("Update"&amp;Projections!$AH$17&amp;"!K"&amp;ROW(B709))</f>
        <v/>
      </c>
      <c r="AD728" s="73" t="str">
        <f t="array" ref="AD728">INDIRECT("Update"&amp;Projections!$AH$17&amp;"!R"&amp;ROW(B709))</f>
        <v/>
      </c>
      <c r="AE728" s="73">
        <f t="shared" si="16"/>
        <v>-3.155358621</v>
      </c>
      <c r="AF728" s="73">
        <f t="shared" si="17"/>
        <v>-1.740686581</v>
      </c>
      <c r="AG728" s="73">
        <f t="shared" si="18"/>
        <v>-2.380599106</v>
      </c>
      <c r="AH728" s="73">
        <f t="shared" si="19"/>
        <v>-1.79320266</v>
      </c>
      <c r="AI728" s="73">
        <f t="shared" si="20"/>
        <v>-3.240190514</v>
      </c>
      <c r="AJ728" s="73">
        <f t="shared" si="21"/>
        <v>-1.329092151</v>
      </c>
      <c r="AK728" s="73">
        <f t="shared" si="22"/>
        <v>0</v>
      </c>
      <c r="AL728" s="73">
        <f t="shared" si="23"/>
        <v>0</v>
      </c>
      <c r="AM728" s="73">
        <f t="shared" si="24"/>
        <v>0.433638093</v>
      </c>
      <c r="AN728" s="120">
        <f t="shared" si="25"/>
        <v>-3.240190514</v>
      </c>
      <c r="AO728" s="120">
        <f t="shared" si="26"/>
        <v>-6.395549135</v>
      </c>
      <c r="AP728" s="120" t="str">
        <f t="array" ref="AP728">INDIRECT("Update"&amp;Projections!$AH$17&amp;"!S"&amp;ROW(B709))</f>
        <v/>
      </c>
      <c r="AQ728" s="120" t="str">
        <f t="array" ref="AQ728">INDIRECT("Update"&amp;Projections!$AH$17&amp;"!T"&amp;ROW(B709))</f>
        <v/>
      </c>
      <c r="AR728" s="100">
        <f t="shared" si="27"/>
        <v>-9.965301026</v>
      </c>
    </row>
    <row r="729">
      <c r="A729" t="str">
        <f t="shared" si="3"/>
        <v/>
      </c>
      <c r="B729" s="42">
        <f t="shared" si="4"/>
        <v>-3.155358621</v>
      </c>
      <c r="C729" s="43">
        <f t="shared" si="5"/>
        <v>-1.740686581</v>
      </c>
      <c r="D729" s="42">
        <f t="shared" si="6"/>
        <v>-2.380599106</v>
      </c>
      <c r="E729" s="42">
        <f t="shared" si="7"/>
        <v>-1.79320266</v>
      </c>
      <c r="F729" s="42">
        <f t="shared" si="8"/>
        <v>-3.240190514</v>
      </c>
      <c r="G729" s="42">
        <f t="shared" si="9"/>
        <v>-1.329092151</v>
      </c>
      <c r="H729" s="42">
        <f t="shared" si="10"/>
        <v>0</v>
      </c>
      <c r="I729" s="42" t="str">
        <f>UpdateHashtag!S727</f>
        <v/>
      </c>
      <c r="J729" s="47">
        <f t="shared" si="11"/>
        <v>0</v>
      </c>
      <c r="K729" s="48" t="str">
        <f>UpdateHashtag!T727</f>
        <v/>
      </c>
      <c r="L729" s="42">
        <f t="shared" si="12"/>
        <v>-1.734552372</v>
      </c>
      <c r="N729" s="100">
        <f t="shared" si="13"/>
        <v>401</v>
      </c>
      <c r="O729" s="94" t="str">
        <f t="array" ref="O729">INDIRECT("Update"&amp;Projections!$AH$17&amp;"!B"&amp;ROW(B710))</f>
        <v/>
      </c>
      <c r="P729" s="414" t="str">
        <f t="array" ref="P729">INDIRECT("Update"&amp;Projections!$AH$17&amp;"!C"&amp;ROW(B710))</f>
        <v/>
      </c>
      <c r="Q729" s="94" t="str">
        <f>UpdateHashtag!F759</f>
        <v/>
      </c>
      <c r="R729" s="105" t="str">
        <f t="array" ref="R729">INDIRECT("Update"&amp;Projections!$AH$17&amp;"!D"&amp;ROW(B710))</f>
        <v/>
      </c>
      <c r="S729" s="73">
        <f t="shared" si="14"/>
        <v>-9.965301026</v>
      </c>
      <c r="T729" s="73">
        <f>SUM(AE729:AM729)-IFERROR(IFS(Projections!$I$17,AN729,Projections!$J$17,AO729),"")</f>
        <v>-9.965301026</v>
      </c>
      <c r="U729" s="73">
        <f t="shared" si="15"/>
        <v>0</v>
      </c>
      <c r="V729" s="73" t="str">
        <f t="array" ref="V729">INDIRECT("Update"&amp;Projections!$AH$17&amp;"!M"&amp;ROW(B710))</f>
        <v/>
      </c>
      <c r="W729" s="73" t="str">
        <f t="array" ref="W729">INDIRECT("Update"&amp;Projections!$AH$17&amp;"!L"&amp;ROW(B710))</f>
        <v/>
      </c>
      <c r="X729" s="73" t="str">
        <f t="array" ref="X729">INDIRECT("Update"&amp;Projections!$AH$17&amp;"!N"&amp;ROW(B710))</f>
        <v/>
      </c>
      <c r="Y729" s="73" t="str">
        <f t="array" ref="Y729">INDIRECT("Update"&amp;Projections!$AH$17&amp;"!O"&amp;ROW(B710))</f>
        <v/>
      </c>
      <c r="Z729" s="73" t="str">
        <f t="array" ref="Z729">INDIRECT("Update"&amp;Projections!$AH$17&amp;"!P"&amp;ROW(B710))</f>
        <v/>
      </c>
      <c r="AA729" s="73" t="str">
        <f t="array" ref="AA729">INDIRECT("Update"&amp;Projections!$AH$17&amp;"!Q"&amp;ROW(B710))</f>
        <v/>
      </c>
      <c r="AB729" s="107" t="str">
        <f t="array" ref="AB729">INDIRECT("Update"&amp;Projections!$AH$17&amp;"!I"&amp;ROW(B710))</f>
        <v/>
      </c>
      <c r="AC729" s="107" t="str">
        <f t="array" ref="AC729">INDIRECT("Update"&amp;Projections!$AH$17&amp;"!K"&amp;ROW(B710))</f>
        <v/>
      </c>
      <c r="AD729" s="73" t="str">
        <f t="array" ref="AD729">INDIRECT("Update"&amp;Projections!$AH$17&amp;"!R"&amp;ROW(B710))</f>
        <v/>
      </c>
      <c r="AE729" s="73">
        <f t="shared" si="16"/>
        <v>-3.155358621</v>
      </c>
      <c r="AF729" s="73">
        <f t="shared" si="17"/>
        <v>-1.740686581</v>
      </c>
      <c r="AG729" s="73">
        <f t="shared" si="18"/>
        <v>-2.380599106</v>
      </c>
      <c r="AH729" s="73">
        <f t="shared" si="19"/>
        <v>-1.79320266</v>
      </c>
      <c r="AI729" s="73">
        <f t="shared" si="20"/>
        <v>-3.240190514</v>
      </c>
      <c r="AJ729" s="73">
        <f t="shared" si="21"/>
        <v>-1.329092151</v>
      </c>
      <c r="AK729" s="73">
        <f t="shared" si="22"/>
        <v>0</v>
      </c>
      <c r="AL729" s="73">
        <f t="shared" si="23"/>
        <v>0</v>
      </c>
      <c r="AM729" s="73">
        <f t="shared" si="24"/>
        <v>0.433638093</v>
      </c>
      <c r="AN729" s="120">
        <f t="shared" si="25"/>
        <v>-3.240190514</v>
      </c>
      <c r="AO729" s="120">
        <f t="shared" si="26"/>
        <v>-6.395549135</v>
      </c>
      <c r="AP729" s="120" t="str">
        <f t="array" ref="AP729">INDIRECT("Update"&amp;Projections!$AH$17&amp;"!S"&amp;ROW(B710))</f>
        <v/>
      </c>
      <c r="AQ729" s="120" t="str">
        <f t="array" ref="AQ729">INDIRECT("Update"&amp;Projections!$AH$17&amp;"!T"&amp;ROW(B710))</f>
        <v/>
      </c>
      <c r="AR729" s="100">
        <f t="shared" si="27"/>
        <v>-9.965301026</v>
      </c>
    </row>
    <row r="730">
      <c r="A730" t="str">
        <f t="shared" si="3"/>
        <v/>
      </c>
      <c r="B730" s="42">
        <f t="shared" si="4"/>
        <v>-3.155358621</v>
      </c>
      <c r="C730" s="43">
        <f t="shared" si="5"/>
        <v>-1.740686581</v>
      </c>
      <c r="D730" s="42">
        <f t="shared" si="6"/>
        <v>-2.380599106</v>
      </c>
      <c r="E730" s="42">
        <f t="shared" si="7"/>
        <v>-1.79320266</v>
      </c>
      <c r="F730" s="42">
        <f t="shared" si="8"/>
        <v>-3.240190514</v>
      </c>
      <c r="G730" s="42">
        <f t="shared" si="9"/>
        <v>-1.329092151</v>
      </c>
      <c r="H730" s="42">
        <f t="shared" si="10"/>
        <v>0</v>
      </c>
      <c r="I730" s="42" t="str">
        <f>UpdateHashtag!S728</f>
        <v/>
      </c>
      <c r="J730" s="47">
        <f t="shared" si="11"/>
        <v>0</v>
      </c>
      <c r="K730" s="48" t="str">
        <f>UpdateHashtag!T728</f>
        <v/>
      </c>
      <c r="L730" s="42">
        <f t="shared" si="12"/>
        <v>-1.734552372</v>
      </c>
      <c r="N730" s="100">
        <f t="shared" si="13"/>
        <v>401</v>
      </c>
      <c r="O730" s="94" t="str">
        <f t="array" ref="O730">INDIRECT("Update"&amp;Projections!$AH$17&amp;"!B"&amp;ROW(B711))</f>
        <v/>
      </c>
      <c r="P730" s="414" t="str">
        <f t="array" ref="P730">INDIRECT("Update"&amp;Projections!$AH$17&amp;"!C"&amp;ROW(B711))</f>
        <v/>
      </c>
      <c r="Q730" s="94" t="str">
        <f>UpdateHashtag!F760</f>
        <v/>
      </c>
      <c r="R730" s="105" t="str">
        <f t="array" ref="R730">INDIRECT("Update"&amp;Projections!$AH$17&amp;"!D"&amp;ROW(B711))</f>
        <v/>
      </c>
      <c r="S730" s="73">
        <f t="shared" si="14"/>
        <v>-9.965301026</v>
      </c>
      <c r="T730" s="73">
        <f>SUM(AE730:AM730)-IFERROR(IFS(Projections!$I$17,AN730,Projections!$J$17,AO730),"")</f>
        <v>-9.965301026</v>
      </c>
      <c r="U730" s="73">
        <f t="shared" si="15"/>
        <v>0</v>
      </c>
      <c r="V730" s="73" t="str">
        <f t="array" ref="V730">INDIRECT("Update"&amp;Projections!$AH$17&amp;"!M"&amp;ROW(B711))</f>
        <v/>
      </c>
      <c r="W730" s="73" t="str">
        <f t="array" ref="W730">INDIRECT("Update"&amp;Projections!$AH$17&amp;"!L"&amp;ROW(B711))</f>
        <v/>
      </c>
      <c r="X730" s="73" t="str">
        <f t="array" ref="X730">INDIRECT("Update"&amp;Projections!$AH$17&amp;"!N"&amp;ROW(B711))</f>
        <v/>
      </c>
      <c r="Y730" s="73" t="str">
        <f t="array" ref="Y730">INDIRECT("Update"&amp;Projections!$AH$17&amp;"!O"&amp;ROW(B711))</f>
        <v/>
      </c>
      <c r="Z730" s="73" t="str">
        <f t="array" ref="Z730">INDIRECT("Update"&amp;Projections!$AH$17&amp;"!P"&amp;ROW(B711))</f>
        <v/>
      </c>
      <c r="AA730" s="73" t="str">
        <f t="array" ref="AA730">INDIRECT("Update"&amp;Projections!$AH$17&amp;"!Q"&amp;ROW(B711))</f>
        <v/>
      </c>
      <c r="AB730" s="107" t="str">
        <f t="array" ref="AB730">INDIRECT("Update"&amp;Projections!$AH$17&amp;"!I"&amp;ROW(B711))</f>
        <v/>
      </c>
      <c r="AC730" s="107" t="str">
        <f t="array" ref="AC730">INDIRECT("Update"&amp;Projections!$AH$17&amp;"!K"&amp;ROW(B711))</f>
        <v/>
      </c>
      <c r="AD730" s="73" t="str">
        <f t="array" ref="AD730">INDIRECT("Update"&amp;Projections!$AH$17&amp;"!R"&amp;ROW(B711))</f>
        <v/>
      </c>
      <c r="AE730" s="73">
        <f t="shared" si="16"/>
        <v>-3.155358621</v>
      </c>
      <c r="AF730" s="73">
        <f t="shared" si="17"/>
        <v>-1.740686581</v>
      </c>
      <c r="AG730" s="73">
        <f t="shared" si="18"/>
        <v>-2.380599106</v>
      </c>
      <c r="AH730" s="73">
        <f t="shared" si="19"/>
        <v>-1.79320266</v>
      </c>
      <c r="AI730" s="73">
        <f t="shared" si="20"/>
        <v>-3.240190514</v>
      </c>
      <c r="AJ730" s="73">
        <f t="shared" si="21"/>
        <v>-1.329092151</v>
      </c>
      <c r="AK730" s="73">
        <f t="shared" si="22"/>
        <v>0</v>
      </c>
      <c r="AL730" s="73">
        <f t="shared" si="23"/>
        <v>0</v>
      </c>
      <c r="AM730" s="73">
        <f t="shared" si="24"/>
        <v>0.433638093</v>
      </c>
      <c r="AN730" s="120">
        <f t="shared" si="25"/>
        <v>-3.240190514</v>
      </c>
      <c r="AO730" s="120">
        <f t="shared" si="26"/>
        <v>-6.395549135</v>
      </c>
      <c r="AP730" s="120" t="str">
        <f t="array" ref="AP730">INDIRECT("Update"&amp;Projections!$AH$17&amp;"!S"&amp;ROW(B711))</f>
        <v/>
      </c>
      <c r="AQ730" s="120" t="str">
        <f t="array" ref="AQ730">INDIRECT("Update"&amp;Projections!$AH$17&amp;"!T"&amp;ROW(B711))</f>
        <v/>
      </c>
      <c r="AR730" s="100">
        <f t="shared" si="27"/>
        <v>-9.965301026</v>
      </c>
    </row>
    <row r="731">
      <c r="A731" t="str">
        <f t="shared" si="3"/>
        <v/>
      </c>
      <c r="B731" s="42">
        <f t="shared" si="4"/>
        <v>-3.155358621</v>
      </c>
      <c r="C731" s="43">
        <f t="shared" si="5"/>
        <v>-1.740686581</v>
      </c>
      <c r="D731" s="42">
        <f t="shared" si="6"/>
        <v>-2.380599106</v>
      </c>
      <c r="E731" s="42">
        <f t="shared" si="7"/>
        <v>-1.79320266</v>
      </c>
      <c r="F731" s="42">
        <f t="shared" si="8"/>
        <v>-3.240190514</v>
      </c>
      <c r="G731" s="42">
        <f t="shared" si="9"/>
        <v>-1.329092151</v>
      </c>
      <c r="H731" s="42">
        <f t="shared" si="10"/>
        <v>0</v>
      </c>
      <c r="I731" s="42" t="str">
        <f>UpdateHashtag!S729</f>
        <v/>
      </c>
      <c r="J731" s="47">
        <f t="shared" si="11"/>
        <v>0</v>
      </c>
      <c r="K731" s="48" t="str">
        <f>UpdateHashtag!T729</f>
        <v/>
      </c>
      <c r="L731" s="42">
        <f t="shared" si="12"/>
        <v>-1.734552372</v>
      </c>
      <c r="N731" s="100">
        <f t="shared" si="13"/>
        <v>401</v>
      </c>
      <c r="O731" s="94" t="str">
        <f t="array" ref="O731">INDIRECT("Update"&amp;Projections!$AH$17&amp;"!B"&amp;ROW(B712))</f>
        <v/>
      </c>
      <c r="P731" s="414" t="str">
        <f t="array" ref="P731">INDIRECT("Update"&amp;Projections!$AH$17&amp;"!C"&amp;ROW(B712))</f>
        <v/>
      </c>
      <c r="Q731" s="94" t="str">
        <f>UpdateHashtag!F761</f>
        <v/>
      </c>
      <c r="R731" s="105" t="str">
        <f t="array" ref="R731">INDIRECT("Update"&amp;Projections!$AH$17&amp;"!D"&amp;ROW(B712))</f>
        <v/>
      </c>
      <c r="S731" s="73">
        <f t="shared" si="14"/>
        <v>-9.965301026</v>
      </c>
      <c r="T731" s="73">
        <f>SUM(AE731:AM731)-IFERROR(IFS(Projections!$I$17,AN731,Projections!$J$17,AO731),"")</f>
        <v>-9.965301026</v>
      </c>
      <c r="U731" s="73">
        <f t="shared" si="15"/>
        <v>0</v>
      </c>
      <c r="V731" s="73" t="str">
        <f t="array" ref="V731">INDIRECT("Update"&amp;Projections!$AH$17&amp;"!M"&amp;ROW(B712))</f>
        <v/>
      </c>
      <c r="W731" s="73" t="str">
        <f t="array" ref="W731">INDIRECT("Update"&amp;Projections!$AH$17&amp;"!L"&amp;ROW(B712))</f>
        <v/>
      </c>
      <c r="X731" s="73" t="str">
        <f t="array" ref="X731">INDIRECT("Update"&amp;Projections!$AH$17&amp;"!N"&amp;ROW(B712))</f>
        <v/>
      </c>
      <c r="Y731" s="73" t="str">
        <f t="array" ref="Y731">INDIRECT("Update"&amp;Projections!$AH$17&amp;"!O"&amp;ROW(B712))</f>
        <v/>
      </c>
      <c r="Z731" s="73" t="str">
        <f t="array" ref="Z731">INDIRECT("Update"&amp;Projections!$AH$17&amp;"!P"&amp;ROW(B712))</f>
        <v/>
      </c>
      <c r="AA731" s="73" t="str">
        <f t="array" ref="AA731">INDIRECT("Update"&amp;Projections!$AH$17&amp;"!Q"&amp;ROW(B712))</f>
        <v/>
      </c>
      <c r="AB731" s="107" t="str">
        <f t="array" ref="AB731">INDIRECT("Update"&amp;Projections!$AH$17&amp;"!I"&amp;ROW(B712))</f>
        <v/>
      </c>
      <c r="AC731" s="107" t="str">
        <f t="array" ref="AC731">INDIRECT("Update"&amp;Projections!$AH$17&amp;"!K"&amp;ROW(B712))</f>
        <v/>
      </c>
      <c r="AD731" s="73" t="str">
        <f t="array" ref="AD731">INDIRECT("Update"&amp;Projections!$AH$17&amp;"!R"&amp;ROW(B712))</f>
        <v/>
      </c>
      <c r="AE731" s="73">
        <f t="shared" si="16"/>
        <v>-3.155358621</v>
      </c>
      <c r="AF731" s="73">
        <f t="shared" si="17"/>
        <v>-1.740686581</v>
      </c>
      <c r="AG731" s="73">
        <f t="shared" si="18"/>
        <v>-2.380599106</v>
      </c>
      <c r="AH731" s="73">
        <f t="shared" si="19"/>
        <v>-1.79320266</v>
      </c>
      <c r="AI731" s="73">
        <f t="shared" si="20"/>
        <v>-3.240190514</v>
      </c>
      <c r="AJ731" s="73">
        <f t="shared" si="21"/>
        <v>-1.329092151</v>
      </c>
      <c r="AK731" s="73">
        <f t="shared" si="22"/>
        <v>0</v>
      </c>
      <c r="AL731" s="73">
        <f t="shared" si="23"/>
        <v>0</v>
      </c>
      <c r="AM731" s="73">
        <f t="shared" si="24"/>
        <v>0.433638093</v>
      </c>
      <c r="AN731" s="120">
        <f t="shared" si="25"/>
        <v>-3.240190514</v>
      </c>
      <c r="AO731" s="120">
        <f t="shared" si="26"/>
        <v>-6.395549135</v>
      </c>
      <c r="AP731" s="120" t="str">
        <f t="array" ref="AP731">INDIRECT("Update"&amp;Projections!$AH$17&amp;"!S"&amp;ROW(B712))</f>
        <v/>
      </c>
      <c r="AQ731" s="120" t="str">
        <f t="array" ref="AQ731">INDIRECT("Update"&amp;Projections!$AH$17&amp;"!T"&amp;ROW(B712))</f>
        <v/>
      </c>
      <c r="AR731" s="100">
        <f t="shared" si="27"/>
        <v>-9.965301026</v>
      </c>
    </row>
    <row r="732">
      <c r="A732" t="str">
        <f t="shared" si="3"/>
        <v/>
      </c>
      <c r="B732" s="42">
        <f t="shared" si="4"/>
        <v>-3.155358621</v>
      </c>
      <c r="C732" s="43">
        <f t="shared" si="5"/>
        <v>-1.740686581</v>
      </c>
      <c r="D732" s="42">
        <f t="shared" si="6"/>
        <v>-2.380599106</v>
      </c>
      <c r="E732" s="42">
        <f t="shared" si="7"/>
        <v>-1.79320266</v>
      </c>
      <c r="F732" s="42">
        <f t="shared" si="8"/>
        <v>-3.240190514</v>
      </c>
      <c r="G732" s="42">
        <f t="shared" si="9"/>
        <v>-1.329092151</v>
      </c>
      <c r="H732" s="42">
        <f t="shared" si="10"/>
        <v>0</v>
      </c>
      <c r="I732" s="42" t="str">
        <f>UpdateHashtag!S730</f>
        <v/>
      </c>
      <c r="J732" s="47">
        <f t="shared" si="11"/>
        <v>0</v>
      </c>
      <c r="K732" s="48" t="str">
        <f>UpdateHashtag!T730</f>
        <v/>
      </c>
      <c r="L732" s="42">
        <f t="shared" si="12"/>
        <v>-1.734552372</v>
      </c>
      <c r="N732" s="100">
        <f t="shared" si="13"/>
        <v>401</v>
      </c>
      <c r="O732" s="94" t="str">
        <f t="array" ref="O732">INDIRECT("Update"&amp;Projections!$AH$17&amp;"!B"&amp;ROW(B713))</f>
        <v/>
      </c>
      <c r="P732" s="414" t="str">
        <f t="array" ref="P732">INDIRECT("Update"&amp;Projections!$AH$17&amp;"!C"&amp;ROW(B713))</f>
        <v/>
      </c>
      <c r="Q732" s="94" t="str">
        <f>UpdateHashtag!F762</f>
        <v/>
      </c>
      <c r="R732" s="105" t="str">
        <f t="array" ref="R732">INDIRECT("Update"&amp;Projections!$AH$17&amp;"!D"&amp;ROW(B713))</f>
        <v/>
      </c>
      <c r="S732" s="73">
        <f t="shared" si="14"/>
        <v>-9.965301026</v>
      </c>
      <c r="T732" s="73">
        <f>SUM(AE732:AM732)-IFERROR(IFS(Projections!$I$17,AN732,Projections!$J$17,AO732),"")</f>
        <v>-9.965301026</v>
      </c>
      <c r="U732" s="73">
        <f t="shared" si="15"/>
        <v>0</v>
      </c>
      <c r="V732" s="73" t="str">
        <f t="array" ref="V732">INDIRECT("Update"&amp;Projections!$AH$17&amp;"!M"&amp;ROW(B713))</f>
        <v/>
      </c>
      <c r="W732" s="73" t="str">
        <f t="array" ref="W732">INDIRECT("Update"&amp;Projections!$AH$17&amp;"!L"&amp;ROW(B713))</f>
        <v/>
      </c>
      <c r="X732" s="73" t="str">
        <f t="array" ref="X732">INDIRECT("Update"&amp;Projections!$AH$17&amp;"!N"&amp;ROW(B713))</f>
        <v/>
      </c>
      <c r="Y732" s="73" t="str">
        <f t="array" ref="Y732">INDIRECT("Update"&amp;Projections!$AH$17&amp;"!O"&amp;ROW(B713))</f>
        <v/>
      </c>
      <c r="Z732" s="73" t="str">
        <f t="array" ref="Z732">INDIRECT("Update"&amp;Projections!$AH$17&amp;"!P"&amp;ROW(B713))</f>
        <v/>
      </c>
      <c r="AA732" s="73" t="str">
        <f t="array" ref="AA732">INDIRECT("Update"&amp;Projections!$AH$17&amp;"!Q"&amp;ROW(B713))</f>
        <v/>
      </c>
      <c r="AB732" s="107" t="str">
        <f t="array" ref="AB732">INDIRECT("Update"&amp;Projections!$AH$17&amp;"!I"&amp;ROW(B713))</f>
        <v/>
      </c>
      <c r="AC732" s="107" t="str">
        <f t="array" ref="AC732">INDIRECT("Update"&amp;Projections!$AH$17&amp;"!K"&amp;ROW(B713))</f>
        <v/>
      </c>
      <c r="AD732" s="73" t="str">
        <f t="array" ref="AD732">INDIRECT("Update"&amp;Projections!$AH$17&amp;"!R"&amp;ROW(B713))</f>
        <v/>
      </c>
      <c r="AE732" s="73">
        <f t="shared" si="16"/>
        <v>-3.155358621</v>
      </c>
      <c r="AF732" s="73">
        <f t="shared" si="17"/>
        <v>-1.740686581</v>
      </c>
      <c r="AG732" s="73">
        <f t="shared" si="18"/>
        <v>-2.380599106</v>
      </c>
      <c r="AH732" s="73">
        <f t="shared" si="19"/>
        <v>-1.79320266</v>
      </c>
      <c r="AI732" s="73">
        <f t="shared" si="20"/>
        <v>-3.240190514</v>
      </c>
      <c r="AJ732" s="73">
        <f t="shared" si="21"/>
        <v>-1.329092151</v>
      </c>
      <c r="AK732" s="73">
        <f t="shared" si="22"/>
        <v>0</v>
      </c>
      <c r="AL732" s="73">
        <f t="shared" si="23"/>
        <v>0</v>
      </c>
      <c r="AM732" s="73">
        <f t="shared" si="24"/>
        <v>0.433638093</v>
      </c>
      <c r="AN732" s="120">
        <f t="shared" si="25"/>
        <v>-3.240190514</v>
      </c>
      <c r="AO732" s="120">
        <f t="shared" si="26"/>
        <v>-6.395549135</v>
      </c>
      <c r="AP732" s="120" t="str">
        <f t="array" ref="AP732">INDIRECT("Update"&amp;Projections!$AH$17&amp;"!S"&amp;ROW(B713))</f>
        <v/>
      </c>
      <c r="AQ732" s="120" t="str">
        <f t="array" ref="AQ732">INDIRECT("Update"&amp;Projections!$AH$17&amp;"!T"&amp;ROW(B713))</f>
        <v/>
      </c>
      <c r="AR732" s="100">
        <f t="shared" si="27"/>
        <v>-9.965301026</v>
      </c>
    </row>
    <row r="733">
      <c r="A733" t="str">
        <f t="shared" si="3"/>
        <v/>
      </c>
      <c r="B733" s="42">
        <f t="shared" si="4"/>
        <v>-3.155358621</v>
      </c>
      <c r="C733" s="43">
        <f t="shared" si="5"/>
        <v>-1.740686581</v>
      </c>
      <c r="D733" s="42">
        <f t="shared" si="6"/>
        <v>-2.380599106</v>
      </c>
      <c r="E733" s="42">
        <f t="shared" si="7"/>
        <v>-1.79320266</v>
      </c>
      <c r="F733" s="42">
        <f t="shared" si="8"/>
        <v>-3.240190514</v>
      </c>
      <c r="G733" s="42">
        <f t="shared" si="9"/>
        <v>-1.329092151</v>
      </c>
      <c r="H733" s="42">
        <f t="shared" si="10"/>
        <v>0</v>
      </c>
      <c r="I733" s="42" t="str">
        <f>UpdateHashtag!S731</f>
        <v/>
      </c>
      <c r="J733" s="47">
        <f t="shared" si="11"/>
        <v>0</v>
      </c>
      <c r="K733" s="48" t="str">
        <f>UpdateHashtag!T731</f>
        <v/>
      </c>
      <c r="L733" s="42">
        <f t="shared" si="12"/>
        <v>-1.734552372</v>
      </c>
      <c r="N733" s="100">
        <f t="shared" si="13"/>
        <v>401</v>
      </c>
      <c r="O733" s="94" t="str">
        <f t="array" ref="O733">INDIRECT("Update"&amp;Projections!$AH$17&amp;"!B"&amp;ROW(B714))</f>
        <v/>
      </c>
      <c r="P733" s="414" t="str">
        <f t="array" ref="P733">INDIRECT("Update"&amp;Projections!$AH$17&amp;"!C"&amp;ROW(B714))</f>
        <v/>
      </c>
      <c r="Q733" s="94" t="str">
        <f>UpdateHashtag!F763</f>
        <v/>
      </c>
      <c r="R733" s="105" t="str">
        <f t="array" ref="R733">INDIRECT("Update"&amp;Projections!$AH$17&amp;"!D"&amp;ROW(B714))</f>
        <v/>
      </c>
      <c r="S733" s="73">
        <f t="shared" si="14"/>
        <v>-9.965301026</v>
      </c>
      <c r="T733" s="73">
        <f>SUM(AE733:AM733)-IFERROR(IFS(Projections!$I$17,AN733,Projections!$J$17,AO733),"")</f>
        <v>-9.965301026</v>
      </c>
      <c r="U733" s="73">
        <f t="shared" si="15"/>
        <v>0</v>
      </c>
      <c r="V733" s="73" t="str">
        <f t="array" ref="V733">INDIRECT("Update"&amp;Projections!$AH$17&amp;"!M"&amp;ROW(B714))</f>
        <v/>
      </c>
      <c r="W733" s="73" t="str">
        <f t="array" ref="W733">INDIRECT("Update"&amp;Projections!$AH$17&amp;"!L"&amp;ROW(B714))</f>
        <v/>
      </c>
      <c r="X733" s="73" t="str">
        <f t="array" ref="X733">INDIRECT("Update"&amp;Projections!$AH$17&amp;"!N"&amp;ROW(B714))</f>
        <v/>
      </c>
      <c r="Y733" s="73" t="str">
        <f t="array" ref="Y733">INDIRECT("Update"&amp;Projections!$AH$17&amp;"!O"&amp;ROW(B714))</f>
        <v/>
      </c>
      <c r="Z733" s="73" t="str">
        <f t="array" ref="Z733">INDIRECT("Update"&amp;Projections!$AH$17&amp;"!P"&amp;ROW(B714))</f>
        <v/>
      </c>
      <c r="AA733" s="73" t="str">
        <f t="array" ref="AA733">INDIRECT("Update"&amp;Projections!$AH$17&amp;"!Q"&amp;ROW(B714))</f>
        <v/>
      </c>
      <c r="AB733" s="107" t="str">
        <f t="array" ref="AB733">INDIRECT("Update"&amp;Projections!$AH$17&amp;"!I"&amp;ROW(B714))</f>
        <v/>
      </c>
      <c r="AC733" s="107" t="str">
        <f t="array" ref="AC733">INDIRECT("Update"&amp;Projections!$AH$17&amp;"!K"&amp;ROW(B714))</f>
        <v/>
      </c>
      <c r="AD733" s="73" t="str">
        <f t="array" ref="AD733">INDIRECT("Update"&amp;Projections!$AH$17&amp;"!R"&amp;ROW(B714))</f>
        <v/>
      </c>
      <c r="AE733" s="73">
        <f t="shared" si="16"/>
        <v>-3.155358621</v>
      </c>
      <c r="AF733" s="73">
        <f t="shared" si="17"/>
        <v>-1.740686581</v>
      </c>
      <c r="AG733" s="73">
        <f t="shared" si="18"/>
        <v>-2.380599106</v>
      </c>
      <c r="AH733" s="73">
        <f t="shared" si="19"/>
        <v>-1.79320266</v>
      </c>
      <c r="AI733" s="73">
        <f t="shared" si="20"/>
        <v>-3.240190514</v>
      </c>
      <c r="AJ733" s="73">
        <f t="shared" si="21"/>
        <v>-1.329092151</v>
      </c>
      <c r="AK733" s="73">
        <f t="shared" si="22"/>
        <v>0</v>
      </c>
      <c r="AL733" s="73">
        <f t="shared" si="23"/>
        <v>0</v>
      </c>
      <c r="AM733" s="73">
        <f t="shared" si="24"/>
        <v>0.433638093</v>
      </c>
      <c r="AN733" s="120">
        <f t="shared" si="25"/>
        <v>-3.240190514</v>
      </c>
      <c r="AO733" s="120">
        <f t="shared" si="26"/>
        <v>-6.395549135</v>
      </c>
      <c r="AP733" s="120" t="str">
        <f t="array" ref="AP733">INDIRECT("Update"&amp;Projections!$AH$17&amp;"!S"&amp;ROW(B714))</f>
        <v/>
      </c>
      <c r="AQ733" s="120" t="str">
        <f t="array" ref="AQ733">INDIRECT("Update"&amp;Projections!$AH$17&amp;"!T"&amp;ROW(B714))</f>
        <v/>
      </c>
      <c r="AR733" s="100">
        <f t="shared" si="27"/>
        <v>-9.965301026</v>
      </c>
    </row>
    <row r="734">
      <c r="A734" t="str">
        <f t="shared" si="3"/>
        <v/>
      </c>
      <c r="B734" s="42">
        <f t="shared" si="4"/>
        <v>-3.155358621</v>
      </c>
      <c r="C734" s="43">
        <f t="shared" si="5"/>
        <v>-1.740686581</v>
      </c>
      <c r="D734" s="42">
        <f t="shared" si="6"/>
        <v>-2.380599106</v>
      </c>
      <c r="E734" s="42">
        <f t="shared" si="7"/>
        <v>-1.79320266</v>
      </c>
      <c r="F734" s="42">
        <f t="shared" si="8"/>
        <v>-3.240190514</v>
      </c>
      <c r="G734" s="42">
        <f t="shared" si="9"/>
        <v>-1.329092151</v>
      </c>
      <c r="H734" s="42">
        <f t="shared" si="10"/>
        <v>0</v>
      </c>
      <c r="I734" s="42" t="str">
        <f>UpdateHashtag!S732</f>
        <v/>
      </c>
      <c r="J734" s="47">
        <f t="shared" si="11"/>
        <v>0</v>
      </c>
      <c r="K734" s="48" t="str">
        <f>UpdateHashtag!T732</f>
        <v/>
      </c>
      <c r="L734" s="42">
        <f t="shared" si="12"/>
        <v>-1.734552372</v>
      </c>
      <c r="N734" s="100">
        <f t="shared" si="13"/>
        <v>401</v>
      </c>
      <c r="O734" s="94" t="str">
        <f t="array" ref="O734">INDIRECT("Update"&amp;Projections!$AH$17&amp;"!B"&amp;ROW(B715))</f>
        <v/>
      </c>
      <c r="P734" s="414" t="str">
        <f t="array" ref="P734">INDIRECT("Update"&amp;Projections!$AH$17&amp;"!C"&amp;ROW(B715))</f>
        <v/>
      </c>
      <c r="Q734" s="94" t="str">
        <f>UpdateHashtag!F764</f>
        <v/>
      </c>
      <c r="R734" s="105" t="str">
        <f t="array" ref="R734">INDIRECT("Update"&amp;Projections!$AH$17&amp;"!D"&amp;ROW(B715))</f>
        <v/>
      </c>
      <c r="S734" s="73">
        <f t="shared" si="14"/>
        <v>-9.965301026</v>
      </c>
      <c r="T734" s="73">
        <f>SUM(AE734:AM734)-IFERROR(IFS(Projections!$I$17,AN734,Projections!$J$17,AO734),"")</f>
        <v>-9.965301026</v>
      </c>
      <c r="U734" s="73">
        <f t="shared" si="15"/>
        <v>0</v>
      </c>
      <c r="V734" s="73" t="str">
        <f t="array" ref="V734">INDIRECT("Update"&amp;Projections!$AH$17&amp;"!M"&amp;ROW(B715))</f>
        <v/>
      </c>
      <c r="W734" s="73" t="str">
        <f t="array" ref="W734">INDIRECT("Update"&amp;Projections!$AH$17&amp;"!L"&amp;ROW(B715))</f>
        <v/>
      </c>
      <c r="X734" s="73" t="str">
        <f t="array" ref="X734">INDIRECT("Update"&amp;Projections!$AH$17&amp;"!N"&amp;ROW(B715))</f>
        <v/>
      </c>
      <c r="Y734" s="73" t="str">
        <f t="array" ref="Y734">INDIRECT("Update"&amp;Projections!$AH$17&amp;"!O"&amp;ROW(B715))</f>
        <v/>
      </c>
      <c r="Z734" s="73" t="str">
        <f t="array" ref="Z734">INDIRECT("Update"&amp;Projections!$AH$17&amp;"!P"&amp;ROW(B715))</f>
        <v/>
      </c>
      <c r="AA734" s="73" t="str">
        <f t="array" ref="AA734">INDIRECT("Update"&amp;Projections!$AH$17&amp;"!Q"&amp;ROW(B715))</f>
        <v/>
      </c>
      <c r="AB734" s="107" t="str">
        <f t="array" ref="AB734">INDIRECT("Update"&amp;Projections!$AH$17&amp;"!I"&amp;ROW(B715))</f>
        <v/>
      </c>
      <c r="AC734" s="107" t="str">
        <f t="array" ref="AC734">INDIRECT("Update"&amp;Projections!$AH$17&amp;"!K"&amp;ROW(B715))</f>
        <v/>
      </c>
      <c r="AD734" s="73" t="str">
        <f t="array" ref="AD734">INDIRECT("Update"&amp;Projections!$AH$17&amp;"!R"&amp;ROW(B715))</f>
        <v/>
      </c>
      <c r="AE734" s="73">
        <f t="shared" si="16"/>
        <v>-3.155358621</v>
      </c>
      <c r="AF734" s="73">
        <f t="shared" si="17"/>
        <v>-1.740686581</v>
      </c>
      <c r="AG734" s="73">
        <f t="shared" si="18"/>
        <v>-2.380599106</v>
      </c>
      <c r="AH734" s="73">
        <f t="shared" si="19"/>
        <v>-1.79320266</v>
      </c>
      <c r="AI734" s="73">
        <f t="shared" si="20"/>
        <v>-3.240190514</v>
      </c>
      <c r="AJ734" s="73">
        <f t="shared" si="21"/>
        <v>-1.329092151</v>
      </c>
      <c r="AK734" s="73">
        <f t="shared" si="22"/>
        <v>0</v>
      </c>
      <c r="AL734" s="73">
        <f t="shared" si="23"/>
        <v>0</v>
      </c>
      <c r="AM734" s="73">
        <f t="shared" si="24"/>
        <v>0.433638093</v>
      </c>
      <c r="AN734" s="120">
        <f t="shared" si="25"/>
        <v>-3.240190514</v>
      </c>
      <c r="AO734" s="120">
        <f t="shared" si="26"/>
        <v>-6.395549135</v>
      </c>
      <c r="AP734" s="120" t="str">
        <f t="array" ref="AP734">INDIRECT("Update"&amp;Projections!$AH$17&amp;"!S"&amp;ROW(B715))</f>
        <v/>
      </c>
      <c r="AQ734" s="120" t="str">
        <f t="array" ref="AQ734">INDIRECT("Update"&amp;Projections!$AH$17&amp;"!T"&amp;ROW(B715))</f>
        <v/>
      </c>
      <c r="AR734" s="100">
        <f t="shared" si="27"/>
        <v>-9.965301026</v>
      </c>
    </row>
    <row r="735">
      <c r="A735" t="str">
        <f t="shared" si="3"/>
        <v/>
      </c>
      <c r="B735" s="42">
        <f t="shared" si="4"/>
        <v>-3.155358621</v>
      </c>
      <c r="C735" s="43">
        <f t="shared" si="5"/>
        <v>-1.740686581</v>
      </c>
      <c r="D735" s="42">
        <f t="shared" si="6"/>
        <v>-2.380599106</v>
      </c>
      <c r="E735" s="42">
        <f t="shared" si="7"/>
        <v>-1.79320266</v>
      </c>
      <c r="F735" s="42">
        <f t="shared" si="8"/>
        <v>-3.240190514</v>
      </c>
      <c r="G735" s="42">
        <f t="shared" si="9"/>
        <v>-1.329092151</v>
      </c>
      <c r="H735" s="42">
        <f t="shared" si="10"/>
        <v>0</v>
      </c>
      <c r="I735" s="42" t="str">
        <f>UpdateHashtag!S733</f>
        <v/>
      </c>
      <c r="J735" s="47">
        <f t="shared" si="11"/>
        <v>0</v>
      </c>
      <c r="K735" s="48" t="str">
        <f>UpdateHashtag!T733</f>
        <v/>
      </c>
      <c r="L735" s="42">
        <f t="shared" si="12"/>
        <v>-1.734552372</v>
      </c>
      <c r="N735" s="100">
        <f t="shared" si="13"/>
        <v>401</v>
      </c>
      <c r="O735" s="94" t="str">
        <f t="array" ref="O735">INDIRECT("Update"&amp;Projections!$AH$17&amp;"!B"&amp;ROW(B716))</f>
        <v/>
      </c>
      <c r="P735" s="414" t="str">
        <f t="array" ref="P735">INDIRECT("Update"&amp;Projections!$AH$17&amp;"!C"&amp;ROW(B716))</f>
        <v/>
      </c>
      <c r="Q735" s="94" t="str">
        <f>UpdateHashtag!F765</f>
        <v/>
      </c>
      <c r="R735" s="105" t="str">
        <f t="array" ref="R735">INDIRECT("Update"&amp;Projections!$AH$17&amp;"!D"&amp;ROW(B716))</f>
        <v/>
      </c>
      <c r="S735" s="73">
        <f t="shared" si="14"/>
        <v>-9.965301026</v>
      </c>
      <c r="T735" s="73">
        <f>SUM(AE735:AM735)-IFERROR(IFS(Projections!$I$17,AN735,Projections!$J$17,AO735),"")</f>
        <v>-9.965301026</v>
      </c>
      <c r="U735" s="73">
        <f t="shared" si="15"/>
        <v>0</v>
      </c>
      <c r="V735" s="73" t="str">
        <f t="array" ref="V735">INDIRECT("Update"&amp;Projections!$AH$17&amp;"!M"&amp;ROW(B716))</f>
        <v/>
      </c>
      <c r="W735" s="73" t="str">
        <f t="array" ref="W735">INDIRECT("Update"&amp;Projections!$AH$17&amp;"!L"&amp;ROW(B716))</f>
        <v/>
      </c>
      <c r="X735" s="73" t="str">
        <f t="array" ref="X735">INDIRECT("Update"&amp;Projections!$AH$17&amp;"!N"&amp;ROW(B716))</f>
        <v/>
      </c>
      <c r="Y735" s="73" t="str">
        <f t="array" ref="Y735">INDIRECT("Update"&amp;Projections!$AH$17&amp;"!O"&amp;ROW(B716))</f>
        <v/>
      </c>
      <c r="Z735" s="73" t="str">
        <f t="array" ref="Z735">INDIRECT("Update"&amp;Projections!$AH$17&amp;"!P"&amp;ROW(B716))</f>
        <v/>
      </c>
      <c r="AA735" s="73" t="str">
        <f t="array" ref="AA735">INDIRECT("Update"&amp;Projections!$AH$17&amp;"!Q"&amp;ROW(B716))</f>
        <v/>
      </c>
      <c r="AB735" s="107" t="str">
        <f t="array" ref="AB735">INDIRECT("Update"&amp;Projections!$AH$17&amp;"!I"&amp;ROW(B716))</f>
        <v/>
      </c>
      <c r="AC735" s="107" t="str">
        <f t="array" ref="AC735">INDIRECT("Update"&amp;Projections!$AH$17&amp;"!K"&amp;ROW(B716))</f>
        <v/>
      </c>
      <c r="AD735" s="73" t="str">
        <f t="array" ref="AD735">INDIRECT("Update"&amp;Projections!$AH$17&amp;"!R"&amp;ROW(B716))</f>
        <v/>
      </c>
      <c r="AE735" s="73">
        <f t="shared" si="16"/>
        <v>-3.155358621</v>
      </c>
      <c r="AF735" s="73">
        <f t="shared" si="17"/>
        <v>-1.740686581</v>
      </c>
      <c r="AG735" s="73">
        <f t="shared" si="18"/>
        <v>-2.380599106</v>
      </c>
      <c r="AH735" s="73">
        <f t="shared" si="19"/>
        <v>-1.79320266</v>
      </c>
      <c r="AI735" s="73">
        <f t="shared" si="20"/>
        <v>-3.240190514</v>
      </c>
      <c r="AJ735" s="73">
        <f t="shared" si="21"/>
        <v>-1.329092151</v>
      </c>
      <c r="AK735" s="73">
        <f t="shared" si="22"/>
        <v>0</v>
      </c>
      <c r="AL735" s="73">
        <f t="shared" si="23"/>
        <v>0</v>
      </c>
      <c r="AM735" s="73">
        <f t="shared" si="24"/>
        <v>0.433638093</v>
      </c>
      <c r="AN735" s="120">
        <f t="shared" si="25"/>
        <v>-3.240190514</v>
      </c>
      <c r="AO735" s="120">
        <f t="shared" si="26"/>
        <v>-6.395549135</v>
      </c>
      <c r="AP735" s="120" t="str">
        <f t="array" ref="AP735">INDIRECT("Update"&amp;Projections!$AH$17&amp;"!S"&amp;ROW(B716))</f>
        <v/>
      </c>
      <c r="AQ735" s="120" t="str">
        <f t="array" ref="AQ735">INDIRECT("Update"&amp;Projections!$AH$17&amp;"!T"&amp;ROW(B716))</f>
        <v/>
      </c>
      <c r="AR735" s="100">
        <f t="shared" si="27"/>
        <v>-9.965301026</v>
      </c>
    </row>
    <row r="736">
      <c r="A736" t="str">
        <f t="shared" si="3"/>
        <v/>
      </c>
      <c r="B736" s="42">
        <f t="shared" si="4"/>
        <v>-3.155358621</v>
      </c>
      <c r="C736" s="43">
        <f t="shared" si="5"/>
        <v>-1.740686581</v>
      </c>
      <c r="D736" s="42">
        <f t="shared" si="6"/>
        <v>-2.380599106</v>
      </c>
      <c r="E736" s="42">
        <f t="shared" si="7"/>
        <v>-1.79320266</v>
      </c>
      <c r="F736" s="42">
        <f t="shared" si="8"/>
        <v>-3.240190514</v>
      </c>
      <c r="G736" s="42">
        <f t="shared" si="9"/>
        <v>-1.329092151</v>
      </c>
      <c r="H736" s="42">
        <f t="shared" si="10"/>
        <v>0</v>
      </c>
      <c r="I736" s="42" t="str">
        <f>UpdateHashtag!S734</f>
        <v/>
      </c>
      <c r="J736" s="47">
        <f t="shared" si="11"/>
        <v>0</v>
      </c>
      <c r="K736" s="48" t="str">
        <f>UpdateHashtag!T734</f>
        <v/>
      </c>
      <c r="L736" s="42">
        <f t="shared" si="12"/>
        <v>-1.734552372</v>
      </c>
      <c r="N736" s="100">
        <f t="shared" si="13"/>
        <v>401</v>
      </c>
      <c r="O736" s="94" t="str">
        <f t="array" ref="O736">INDIRECT("Update"&amp;Projections!$AH$17&amp;"!B"&amp;ROW(B717))</f>
        <v/>
      </c>
      <c r="P736" s="414" t="str">
        <f t="array" ref="P736">INDIRECT("Update"&amp;Projections!$AH$17&amp;"!C"&amp;ROW(B717))</f>
        <v/>
      </c>
      <c r="Q736" s="94" t="str">
        <f>UpdateHashtag!F766</f>
        <v/>
      </c>
      <c r="R736" s="105" t="str">
        <f t="array" ref="R736">INDIRECT("Update"&amp;Projections!$AH$17&amp;"!D"&amp;ROW(B717))</f>
        <v/>
      </c>
      <c r="S736" s="73">
        <f t="shared" si="14"/>
        <v>-9.965301026</v>
      </c>
      <c r="T736" s="73">
        <f>SUM(AE736:AM736)-IFERROR(IFS(Projections!$I$17,AN736,Projections!$J$17,AO736),"")</f>
        <v>-9.965301026</v>
      </c>
      <c r="U736" s="73">
        <f t="shared" si="15"/>
        <v>0</v>
      </c>
      <c r="V736" s="73" t="str">
        <f t="array" ref="V736">INDIRECT("Update"&amp;Projections!$AH$17&amp;"!M"&amp;ROW(B717))</f>
        <v/>
      </c>
      <c r="W736" s="73" t="str">
        <f t="array" ref="W736">INDIRECT("Update"&amp;Projections!$AH$17&amp;"!L"&amp;ROW(B717))</f>
        <v/>
      </c>
      <c r="X736" s="73" t="str">
        <f t="array" ref="X736">INDIRECT("Update"&amp;Projections!$AH$17&amp;"!N"&amp;ROW(B717))</f>
        <v/>
      </c>
      <c r="Y736" s="73" t="str">
        <f t="array" ref="Y736">INDIRECT("Update"&amp;Projections!$AH$17&amp;"!O"&amp;ROW(B717))</f>
        <v/>
      </c>
      <c r="Z736" s="73" t="str">
        <f t="array" ref="Z736">INDIRECT("Update"&amp;Projections!$AH$17&amp;"!P"&amp;ROW(B717))</f>
        <v/>
      </c>
      <c r="AA736" s="73" t="str">
        <f t="array" ref="AA736">INDIRECT("Update"&amp;Projections!$AH$17&amp;"!Q"&amp;ROW(B717))</f>
        <v/>
      </c>
      <c r="AB736" s="107" t="str">
        <f t="array" ref="AB736">INDIRECT("Update"&amp;Projections!$AH$17&amp;"!I"&amp;ROW(B717))</f>
        <v/>
      </c>
      <c r="AC736" s="107" t="str">
        <f t="array" ref="AC736">INDIRECT("Update"&amp;Projections!$AH$17&amp;"!K"&amp;ROW(B717))</f>
        <v/>
      </c>
      <c r="AD736" s="73" t="str">
        <f t="array" ref="AD736">INDIRECT("Update"&amp;Projections!$AH$17&amp;"!R"&amp;ROW(B717))</f>
        <v/>
      </c>
      <c r="AE736" s="73">
        <f t="shared" si="16"/>
        <v>-3.155358621</v>
      </c>
      <c r="AF736" s="73">
        <f t="shared" si="17"/>
        <v>-1.740686581</v>
      </c>
      <c r="AG736" s="73">
        <f t="shared" si="18"/>
        <v>-2.380599106</v>
      </c>
      <c r="AH736" s="73">
        <f t="shared" si="19"/>
        <v>-1.79320266</v>
      </c>
      <c r="AI736" s="73">
        <f t="shared" si="20"/>
        <v>-3.240190514</v>
      </c>
      <c r="AJ736" s="73">
        <f t="shared" si="21"/>
        <v>-1.329092151</v>
      </c>
      <c r="AK736" s="73">
        <f t="shared" si="22"/>
        <v>0</v>
      </c>
      <c r="AL736" s="73">
        <f t="shared" si="23"/>
        <v>0</v>
      </c>
      <c r="AM736" s="73">
        <f t="shared" si="24"/>
        <v>0.433638093</v>
      </c>
      <c r="AN736" s="120">
        <f t="shared" si="25"/>
        <v>-3.240190514</v>
      </c>
      <c r="AO736" s="120">
        <f t="shared" si="26"/>
        <v>-6.395549135</v>
      </c>
      <c r="AP736" s="120" t="str">
        <f t="array" ref="AP736">INDIRECT("Update"&amp;Projections!$AH$17&amp;"!S"&amp;ROW(B717))</f>
        <v/>
      </c>
      <c r="AQ736" s="120" t="str">
        <f t="array" ref="AQ736">INDIRECT("Update"&amp;Projections!$AH$17&amp;"!T"&amp;ROW(B717))</f>
        <v/>
      </c>
      <c r="AR736" s="100">
        <f t="shared" si="27"/>
        <v>-9.965301026</v>
      </c>
    </row>
    <row r="737">
      <c r="A737" t="str">
        <f t="shared" si="3"/>
        <v/>
      </c>
      <c r="B737" s="42">
        <f t="shared" si="4"/>
        <v>-3.155358621</v>
      </c>
      <c r="C737" s="43">
        <f t="shared" si="5"/>
        <v>-1.740686581</v>
      </c>
      <c r="D737" s="42">
        <f t="shared" si="6"/>
        <v>-2.380599106</v>
      </c>
      <c r="E737" s="42">
        <f t="shared" si="7"/>
        <v>-1.79320266</v>
      </c>
      <c r="F737" s="42">
        <f t="shared" si="8"/>
        <v>-3.240190514</v>
      </c>
      <c r="G737" s="42">
        <f t="shared" si="9"/>
        <v>-1.329092151</v>
      </c>
      <c r="H737" s="42">
        <f t="shared" si="10"/>
        <v>0</v>
      </c>
      <c r="I737" s="42" t="str">
        <f>UpdateHashtag!S735</f>
        <v/>
      </c>
      <c r="J737" s="47">
        <f t="shared" si="11"/>
        <v>0</v>
      </c>
      <c r="K737" s="48" t="str">
        <f>UpdateHashtag!T735</f>
        <v/>
      </c>
      <c r="L737" s="42">
        <f t="shared" si="12"/>
        <v>-1.734552372</v>
      </c>
      <c r="N737" s="100">
        <f t="shared" si="13"/>
        <v>401</v>
      </c>
      <c r="O737" s="94" t="str">
        <f t="array" ref="O737">INDIRECT("Update"&amp;Projections!$AH$17&amp;"!B"&amp;ROW(B718))</f>
        <v/>
      </c>
      <c r="P737" s="414" t="str">
        <f t="array" ref="P737">INDIRECT("Update"&amp;Projections!$AH$17&amp;"!C"&amp;ROW(B718))</f>
        <v/>
      </c>
      <c r="Q737" s="94" t="str">
        <f>UpdateHashtag!F767</f>
        <v/>
      </c>
      <c r="R737" s="105" t="str">
        <f t="array" ref="R737">INDIRECT("Update"&amp;Projections!$AH$17&amp;"!D"&amp;ROW(B718))</f>
        <v/>
      </c>
      <c r="S737" s="73">
        <f t="shared" si="14"/>
        <v>-9.965301026</v>
      </c>
      <c r="T737" s="73">
        <f>SUM(AE737:AM737)-IFERROR(IFS(Projections!$I$17,AN737,Projections!$J$17,AO737),"")</f>
        <v>-9.965301026</v>
      </c>
      <c r="U737" s="73">
        <f t="shared" si="15"/>
        <v>0</v>
      </c>
      <c r="V737" s="73" t="str">
        <f t="array" ref="V737">INDIRECT("Update"&amp;Projections!$AH$17&amp;"!M"&amp;ROW(B718))</f>
        <v/>
      </c>
      <c r="W737" s="73" t="str">
        <f t="array" ref="W737">INDIRECT("Update"&amp;Projections!$AH$17&amp;"!L"&amp;ROW(B718))</f>
        <v/>
      </c>
      <c r="X737" s="73" t="str">
        <f t="array" ref="X737">INDIRECT("Update"&amp;Projections!$AH$17&amp;"!N"&amp;ROW(B718))</f>
        <v/>
      </c>
      <c r="Y737" s="73" t="str">
        <f t="array" ref="Y737">INDIRECT("Update"&amp;Projections!$AH$17&amp;"!O"&amp;ROW(B718))</f>
        <v/>
      </c>
      <c r="Z737" s="73" t="str">
        <f t="array" ref="Z737">INDIRECT("Update"&amp;Projections!$AH$17&amp;"!P"&amp;ROW(B718))</f>
        <v/>
      </c>
      <c r="AA737" s="73" t="str">
        <f t="array" ref="AA737">INDIRECT("Update"&amp;Projections!$AH$17&amp;"!Q"&amp;ROW(B718))</f>
        <v/>
      </c>
      <c r="AB737" s="107" t="str">
        <f t="array" ref="AB737">INDIRECT("Update"&amp;Projections!$AH$17&amp;"!I"&amp;ROW(B718))</f>
        <v/>
      </c>
      <c r="AC737" s="107" t="str">
        <f t="array" ref="AC737">INDIRECT("Update"&amp;Projections!$AH$17&amp;"!K"&amp;ROW(B718))</f>
        <v/>
      </c>
      <c r="AD737" s="73" t="str">
        <f t="array" ref="AD737">INDIRECT("Update"&amp;Projections!$AH$17&amp;"!R"&amp;ROW(B718))</f>
        <v/>
      </c>
      <c r="AE737" s="73">
        <f t="shared" si="16"/>
        <v>-3.155358621</v>
      </c>
      <c r="AF737" s="73">
        <f t="shared" si="17"/>
        <v>-1.740686581</v>
      </c>
      <c r="AG737" s="73">
        <f t="shared" si="18"/>
        <v>-2.380599106</v>
      </c>
      <c r="AH737" s="73">
        <f t="shared" si="19"/>
        <v>-1.79320266</v>
      </c>
      <c r="AI737" s="73">
        <f t="shared" si="20"/>
        <v>-3.240190514</v>
      </c>
      <c r="AJ737" s="73">
        <f t="shared" si="21"/>
        <v>-1.329092151</v>
      </c>
      <c r="AK737" s="73">
        <f t="shared" si="22"/>
        <v>0</v>
      </c>
      <c r="AL737" s="73">
        <f t="shared" si="23"/>
        <v>0</v>
      </c>
      <c r="AM737" s="73">
        <f t="shared" si="24"/>
        <v>0.433638093</v>
      </c>
      <c r="AN737" s="120">
        <f t="shared" si="25"/>
        <v>-3.240190514</v>
      </c>
      <c r="AO737" s="120">
        <f t="shared" si="26"/>
        <v>-6.395549135</v>
      </c>
      <c r="AP737" s="120" t="str">
        <f t="array" ref="AP737">INDIRECT("Update"&amp;Projections!$AH$17&amp;"!S"&amp;ROW(B718))</f>
        <v/>
      </c>
      <c r="AQ737" s="120" t="str">
        <f t="array" ref="AQ737">INDIRECT("Update"&amp;Projections!$AH$17&amp;"!T"&amp;ROW(B718))</f>
        <v/>
      </c>
      <c r="AR737" s="100">
        <f t="shared" si="27"/>
        <v>-9.965301026</v>
      </c>
    </row>
    <row r="738">
      <c r="A738" t="str">
        <f t="shared" si="3"/>
        <v/>
      </c>
      <c r="B738" s="42">
        <f t="shared" si="4"/>
        <v>-3.155358621</v>
      </c>
      <c r="C738" s="43">
        <f t="shared" si="5"/>
        <v>-1.740686581</v>
      </c>
      <c r="D738" s="42">
        <f t="shared" si="6"/>
        <v>-2.380599106</v>
      </c>
      <c r="E738" s="42">
        <f t="shared" si="7"/>
        <v>-1.79320266</v>
      </c>
      <c r="F738" s="42">
        <f t="shared" si="8"/>
        <v>-3.240190514</v>
      </c>
      <c r="G738" s="42">
        <f t="shared" si="9"/>
        <v>-1.329092151</v>
      </c>
      <c r="H738" s="42">
        <f t="shared" si="10"/>
        <v>0</v>
      </c>
      <c r="I738" s="42" t="str">
        <f>UpdateHashtag!S736</f>
        <v/>
      </c>
      <c r="J738" s="47">
        <f t="shared" si="11"/>
        <v>0</v>
      </c>
      <c r="K738" s="48" t="str">
        <f>UpdateHashtag!T736</f>
        <v/>
      </c>
      <c r="L738" s="42">
        <f t="shared" si="12"/>
        <v>-1.734552372</v>
      </c>
      <c r="N738" s="100">
        <f t="shared" si="13"/>
        <v>401</v>
      </c>
      <c r="O738" s="94" t="str">
        <f t="array" ref="O738">INDIRECT("Update"&amp;Projections!$AH$17&amp;"!B"&amp;ROW(B719))</f>
        <v/>
      </c>
      <c r="P738" s="414" t="str">
        <f t="array" ref="P738">INDIRECT("Update"&amp;Projections!$AH$17&amp;"!C"&amp;ROW(B719))</f>
        <v/>
      </c>
      <c r="Q738" s="94" t="str">
        <f>UpdateHashtag!F768</f>
        <v/>
      </c>
      <c r="R738" s="105" t="str">
        <f t="array" ref="R738">INDIRECT("Update"&amp;Projections!$AH$17&amp;"!D"&amp;ROW(B719))</f>
        <v/>
      </c>
      <c r="S738" s="73">
        <f t="shared" si="14"/>
        <v>-9.965301026</v>
      </c>
      <c r="T738" s="73">
        <f>SUM(AE738:AM738)-IFERROR(IFS(Projections!$I$17,AN738,Projections!$J$17,AO738),"")</f>
        <v>-9.965301026</v>
      </c>
      <c r="U738" s="73">
        <f t="shared" si="15"/>
        <v>0</v>
      </c>
      <c r="V738" s="73" t="str">
        <f t="array" ref="V738">INDIRECT("Update"&amp;Projections!$AH$17&amp;"!M"&amp;ROW(B719))</f>
        <v/>
      </c>
      <c r="W738" s="73" t="str">
        <f t="array" ref="W738">INDIRECT("Update"&amp;Projections!$AH$17&amp;"!L"&amp;ROW(B719))</f>
        <v/>
      </c>
      <c r="X738" s="73" t="str">
        <f t="array" ref="X738">INDIRECT("Update"&amp;Projections!$AH$17&amp;"!N"&amp;ROW(B719))</f>
        <v/>
      </c>
      <c r="Y738" s="73" t="str">
        <f t="array" ref="Y738">INDIRECT("Update"&amp;Projections!$AH$17&amp;"!O"&amp;ROW(B719))</f>
        <v/>
      </c>
      <c r="Z738" s="73" t="str">
        <f t="array" ref="Z738">INDIRECT("Update"&amp;Projections!$AH$17&amp;"!P"&amp;ROW(B719))</f>
        <v/>
      </c>
      <c r="AA738" s="73" t="str">
        <f t="array" ref="AA738">INDIRECT("Update"&amp;Projections!$AH$17&amp;"!Q"&amp;ROW(B719))</f>
        <v/>
      </c>
      <c r="AB738" s="107" t="str">
        <f t="array" ref="AB738">INDIRECT("Update"&amp;Projections!$AH$17&amp;"!I"&amp;ROW(B719))</f>
        <v/>
      </c>
      <c r="AC738" s="107" t="str">
        <f t="array" ref="AC738">INDIRECT("Update"&amp;Projections!$AH$17&amp;"!K"&amp;ROW(B719))</f>
        <v/>
      </c>
      <c r="AD738" s="73" t="str">
        <f t="array" ref="AD738">INDIRECT("Update"&amp;Projections!$AH$17&amp;"!R"&amp;ROW(B719))</f>
        <v/>
      </c>
      <c r="AE738" s="73">
        <f t="shared" si="16"/>
        <v>-3.155358621</v>
      </c>
      <c r="AF738" s="73">
        <f t="shared" si="17"/>
        <v>-1.740686581</v>
      </c>
      <c r="AG738" s="73">
        <f t="shared" si="18"/>
        <v>-2.380599106</v>
      </c>
      <c r="AH738" s="73">
        <f t="shared" si="19"/>
        <v>-1.79320266</v>
      </c>
      <c r="AI738" s="73">
        <f t="shared" si="20"/>
        <v>-3.240190514</v>
      </c>
      <c r="AJ738" s="73">
        <f t="shared" si="21"/>
        <v>-1.329092151</v>
      </c>
      <c r="AK738" s="73">
        <f t="shared" si="22"/>
        <v>0</v>
      </c>
      <c r="AL738" s="73">
        <f t="shared" si="23"/>
        <v>0</v>
      </c>
      <c r="AM738" s="73">
        <f t="shared" si="24"/>
        <v>0.433638093</v>
      </c>
      <c r="AN738" s="120">
        <f t="shared" si="25"/>
        <v>-3.240190514</v>
      </c>
      <c r="AO738" s="120">
        <f t="shared" si="26"/>
        <v>-6.395549135</v>
      </c>
      <c r="AP738" s="120" t="str">
        <f t="array" ref="AP738">INDIRECT("Update"&amp;Projections!$AH$17&amp;"!S"&amp;ROW(B719))</f>
        <v/>
      </c>
      <c r="AQ738" s="120" t="str">
        <f t="array" ref="AQ738">INDIRECT("Update"&amp;Projections!$AH$17&amp;"!T"&amp;ROW(B719))</f>
        <v/>
      </c>
      <c r="AR738" s="100">
        <f t="shared" si="27"/>
        <v>-9.965301026</v>
      </c>
    </row>
    <row r="739">
      <c r="A739" t="str">
        <f t="shared" si="3"/>
        <v/>
      </c>
      <c r="B739" s="42">
        <f t="shared" si="4"/>
        <v>-3.155358621</v>
      </c>
      <c r="C739" s="43">
        <f t="shared" si="5"/>
        <v>-1.740686581</v>
      </c>
      <c r="D739" s="42">
        <f t="shared" si="6"/>
        <v>-2.380599106</v>
      </c>
      <c r="E739" s="42">
        <f t="shared" si="7"/>
        <v>-1.79320266</v>
      </c>
      <c r="F739" s="42">
        <f t="shared" si="8"/>
        <v>-3.240190514</v>
      </c>
      <c r="G739" s="42">
        <f t="shared" si="9"/>
        <v>-1.329092151</v>
      </c>
      <c r="H739" s="42">
        <f t="shared" si="10"/>
        <v>0</v>
      </c>
      <c r="I739" s="42" t="str">
        <f>UpdateHashtag!S737</f>
        <v/>
      </c>
      <c r="J739" s="47">
        <f t="shared" si="11"/>
        <v>0</v>
      </c>
      <c r="K739" s="48" t="str">
        <f>UpdateHashtag!T737</f>
        <v/>
      </c>
      <c r="L739" s="42">
        <f t="shared" si="12"/>
        <v>-1.734552372</v>
      </c>
      <c r="N739" s="100">
        <f t="shared" si="13"/>
        <v>401</v>
      </c>
      <c r="O739" s="94" t="str">
        <f t="array" ref="O739">INDIRECT("Update"&amp;Projections!$AH$17&amp;"!B"&amp;ROW(B720))</f>
        <v/>
      </c>
      <c r="P739" s="414" t="str">
        <f t="array" ref="P739">INDIRECT("Update"&amp;Projections!$AH$17&amp;"!C"&amp;ROW(B720))</f>
        <v/>
      </c>
      <c r="Q739" s="94" t="str">
        <f>UpdateHashtag!F769</f>
        <v/>
      </c>
      <c r="R739" s="105" t="str">
        <f t="array" ref="R739">INDIRECT("Update"&amp;Projections!$AH$17&amp;"!D"&amp;ROW(B720))</f>
        <v/>
      </c>
      <c r="S739" s="73">
        <f t="shared" si="14"/>
        <v>-9.965301026</v>
      </c>
      <c r="T739" s="73">
        <f>SUM(AE739:AM739)-IFERROR(IFS(Projections!$I$17,AN739,Projections!$J$17,AO739),"")</f>
        <v>-9.965301026</v>
      </c>
      <c r="U739" s="73">
        <f t="shared" si="15"/>
        <v>0</v>
      </c>
      <c r="V739" s="73" t="str">
        <f t="array" ref="V739">INDIRECT("Update"&amp;Projections!$AH$17&amp;"!M"&amp;ROW(B720))</f>
        <v/>
      </c>
      <c r="W739" s="73" t="str">
        <f t="array" ref="W739">INDIRECT("Update"&amp;Projections!$AH$17&amp;"!L"&amp;ROW(B720))</f>
        <v/>
      </c>
      <c r="X739" s="73" t="str">
        <f t="array" ref="X739">INDIRECT("Update"&amp;Projections!$AH$17&amp;"!N"&amp;ROW(B720))</f>
        <v/>
      </c>
      <c r="Y739" s="73" t="str">
        <f t="array" ref="Y739">INDIRECT("Update"&amp;Projections!$AH$17&amp;"!O"&amp;ROW(B720))</f>
        <v/>
      </c>
      <c r="Z739" s="73" t="str">
        <f t="array" ref="Z739">INDIRECT("Update"&amp;Projections!$AH$17&amp;"!P"&amp;ROW(B720))</f>
        <v/>
      </c>
      <c r="AA739" s="73" t="str">
        <f t="array" ref="AA739">INDIRECT("Update"&amp;Projections!$AH$17&amp;"!Q"&amp;ROW(B720))</f>
        <v/>
      </c>
      <c r="AB739" s="107" t="str">
        <f t="array" ref="AB739">INDIRECT("Update"&amp;Projections!$AH$17&amp;"!I"&amp;ROW(B720))</f>
        <v/>
      </c>
      <c r="AC739" s="107" t="str">
        <f t="array" ref="AC739">INDIRECT("Update"&amp;Projections!$AH$17&amp;"!K"&amp;ROW(B720))</f>
        <v/>
      </c>
      <c r="AD739" s="73" t="str">
        <f t="array" ref="AD739">INDIRECT("Update"&amp;Projections!$AH$17&amp;"!R"&amp;ROW(B720))</f>
        <v/>
      </c>
      <c r="AE739" s="73">
        <f t="shared" si="16"/>
        <v>-3.155358621</v>
      </c>
      <c r="AF739" s="73">
        <f t="shared" si="17"/>
        <v>-1.740686581</v>
      </c>
      <c r="AG739" s="73">
        <f t="shared" si="18"/>
        <v>-2.380599106</v>
      </c>
      <c r="AH739" s="73">
        <f t="shared" si="19"/>
        <v>-1.79320266</v>
      </c>
      <c r="AI739" s="73">
        <f t="shared" si="20"/>
        <v>-3.240190514</v>
      </c>
      <c r="AJ739" s="73">
        <f t="shared" si="21"/>
        <v>-1.329092151</v>
      </c>
      <c r="AK739" s="73">
        <f t="shared" si="22"/>
        <v>0</v>
      </c>
      <c r="AL739" s="73">
        <f t="shared" si="23"/>
        <v>0</v>
      </c>
      <c r="AM739" s="73">
        <f t="shared" si="24"/>
        <v>0.433638093</v>
      </c>
      <c r="AN739" s="120">
        <f t="shared" si="25"/>
        <v>-3.240190514</v>
      </c>
      <c r="AO739" s="120">
        <f t="shared" si="26"/>
        <v>-6.395549135</v>
      </c>
      <c r="AP739" s="120" t="str">
        <f t="array" ref="AP739">INDIRECT("Update"&amp;Projections!$AH$17&amp;"!S"&amp;ROW(B720))</f>
        <v/>
      </c>
      <c r="AQ739" s="120" t="str">
        <f t="array" ref="AQ739">INDIRECT("Update"&amp;Projections!$AH$17&amp;"!T"&amp;ROW(B720))</f>
        <v/>
      </c>
      <c r="AR739" s="100">
        <f t="shared" si="27"/>
        <v>-9.965301026</v>
      </c>
    </row>
    <row r="740">
      <c r="A740" t="str">
        <f t="shared" si="3"/>
        <v/>
      </c>
      <c r="B740" s="42">
        <f t="shared" si="4"/>
        <v>-3.155358621</v>
      </c>
      <c r="C740" s="43">
        <f t="shared" si="5"/>
        <v>-1.740686581</v>
      </c>
      <c r="D740" s="42">
        <f t="shared" si="6"/>
        <v>-2.380599106</v>
      </c>
      <c r="E740" s="42">
        <f t="shared" si="7"/>
        <v>-1.79320266</v>
      </c>
      <c r="F740" s="42">
        <f t="shared" si="8"/>
        <v>-3.240190514</v>
      </c>
      <c r="G740" s="42">
        <f t="shared" si="9"/>
        <v>-1.329092151</v>
      </c>
      <c r="H740" s="42">
        <f t="shared" si="10"/>
        <v>0</v>
      </c>
      <c r="I740" s="42" t="str">
        <f>UpdateHashtag!S738</f>
        <v/>
      </c>
      <c r="J740" s="47">
        <f t="shared" si="11"/>
        <v>0</v>
      </c>
      <c r="K740" s="48" t="str">
        <f>UpdateHashtag!T738</f>
        <v/>
      </c>
      <c r="L740" s="42">
        <f t="shared" si="12"/>
        <v>-1.734552372</v>
      </c>
      <c r="N740" s="100">
        <f t="shared" si="13"/>
        <v>401</v>
      </c>
      <c r="O740" s="94" t="str">
        <f t="array" ref="O740">INDIRECT("Update"&amp;Projections!$AH$17&amp;"!B"&amp;ROW(B721))</f>
        <v/>
      </c>
      <c r="P740" s="414" t="str">
        <f t="array" ref="P740">INDIRECT("Update"&amp;Projections!$AH$17&amp;"!C"&amp;ROW(B721))</f>
        <v/>
      </c>
      <c r="Q740" s="94" t="str">
        <f>UpdateHashtag!F770</f>
        <v/>
      </c>
      <c r="R740" s="105" t="str">
        <f t="array" ref="R740">INDIRECT("Update"&amp;Projections!$AH$17&amp;"!D"&amp;ROW(B721))</f>
        <v/>
      </c>
      <c r="S740" s="73">
        <f t="shared" si="14"/>
        <v>-9.965301026</v>
      </c>
      <c r="T740" s="73">
        <f>SUM(AE740:AM740)-IFERROR(IFS(Projections!$I$17,AN740,Projections!$J$17,AO740),"")</f>
        <v>-9.965301026</v>
      </c>
      <c r="U740" s="73">
        <f t="shared" si="15"/>
        <v>0</v>
      </c>
      <c r="V740" s="73" t="str">
        <f t="array" ref="V740">INDIRECT("Update"&amp;Projections!$AH$17&amp;"!M"&amp;ROW(B721))</f>
        <v/>
      </c>
      <c r="W740" s="73" t="str">
        <f t="array" ref="W740">INDIRECT("Update"&amp;Projections!$AH$17&amp;"!L"&amp;ROW(B721))</f>
        <v/>
      </c>
      <c r="X740" s="73" t="str">
        <f t="array" ref="X740">INDIRECT("Update"&amp;Projections!$AH$17&amp;"!N"&amp;ROW(B721))</f>
        <v/>
      </c>
      <c r="Y740" s="73" t="str">
        <f t="array" ref="Y740">INDIRECT("Update"&amp;Projections!$AH$17&amp;"!O"&amp;ROW(B721))</f>
        <v/>
      </c>
      <c r="Z740" s="73" t="str">
        <f t="array" ref="Z740">INDIRECT("Update"&amp;Projections!$AH$17&amp;"!P"&amp;ROW(B721))</f>
        <v/>
      </c>
      <c r="AA740" s="73" t="str">
        <f t="array" ref="AA740">INDIRECT("Update"&amp;Projections!$AH$17&amp;"!Q"&amp;ROW(B721))</f>
        <v/>
      </c>
      <c r="AB740" s="107" t="str">
        <f t="array" ref="AB740">INDIRECT("Update"&amp;Projections!$AH$17&amp;"!I"&amp;ROW(B721))</f>
        <v/>
      </c>
      <c r="AC740" s="107" t="str">
        <f t="array" ref="AC740">INDIRECT("Update"&amp;Projections!$AH$17&amp;"!K"&amp;ROW(B721))</f>
        <v/>
      </c>
      <c r="AD740" s="73" t="str">
        <f t="array" ref="AD740">INDIRECT("Update"&amp;Projections!$AH$17&amp;"!R"&amp;ROW(B721))</f>
        <v/>
      </c>
      <c r="AE740" s="73">
        <f t="shared" si="16"/>
        <v>-3.155358621</v>
      </c>
      <c r="AF740" s="73">
        <f t="shared" si="17"/>
        <v>-1.740686581</v>
      </c>
      <c r="AG740" s="73">
        <f t="shared" si="18"/>
        <v>-2.380599106</v>
      </c>
      <c r="AH740" s="73">
        <f t="shared" si="19"/>
        <v>-1.79320266</v>
      </c>
      <c r="AI740" s="73">
        <f t="shared" si="20"/>
        <v>-3.240190514</v>
      </c>
      <c r="AJ740" s="73">
        <f t="shared" si="21"/>
        <v>-1.329092151</v>
      </c>
      <c r="AK740" s="73">
        <f t="shared" si="22"/>
        <v>0</v>
      </c>
      <c r="AL740" s="73">
        <f t="shared" si="23"/>
        <v>0</v>
      </c>
      <c r="AM740" s="73">
        <f t="shared" si="24"/>
        <v>0.433638093</v>
      </c>
      <c r="AN740" s="120">
        <f t="shared" si="25"/>
        <v>-3.240190514</v>
      </c>
      <c r="AO740" s="120">
        <f t="shared" si="26"/>
        <v>-6.395549135</v>
      </c>
      <c r="AP740" s="120" t="str">
        <f t="array" ref="AP740">INDIRECT("Update"&amp;Projections!$AH$17&amp;"!S"&amp;ROW(B721))</f>
        <v/>
      </c>
      <c r="AQ740" s="120" t="str">
        <f t="array" ref="AQ740">INDIRECT("Update"&amp;Projections!$AH$17&amp;"!T"&amp;ROW(B721))</f>
        <v/>
      </c>
      <c r="AR740" s="100">
        <f t="shared" si="27"/>
        <v>-9.965301026</v>
      </c>
    </row>
    <row r="741">
      <c r="A741" t="str">
        <f t="shared" si="3"/>
        <v/>
      </c>
      <c r="B741" s="42">
        <f t="shared" si="4"/>
        <v>-3.155358621</v>
      </c>
      <c r="C741" s="43">
        <f t="shared" si="5"/>
        <v>-1.740686581</v>
      </c>
      <c r="D741" s="42">
        <f t="shared" si="6"/>
        <v>-2.380599106</v>
      </c>
      <c r="E741" s="42">
        <f t="shared" si="7"/>
        <v>-1.79320266</v>
      </c>
      <c r="F741" s="42">
        <f t="shared" si="8"/>
        <v>-3.240190514</v>
      </c>
      <c r="G741" s="42">
        <f t="shared" si="9"/>
        <v>-1.329092151</v>
      </c>
      <c r="H741" s="42">
        <f t="shared" si="10"/>
        <v>0</v>
      </c>
      <c r="I741" s="42" t="str">
        <f>UpdateHashtag!S739</f>
        <v/>
      </c>
      <c r="J741" s="47">
        <f t="shared" si="11"/>
        <v>0</v>
      </c>
      <c r="K741" s="48" t="str">
        <f>UpdateHashtag!T739</f>
        <v/>
      </c>
      <c r="L741" s="42">
        <f t="shared" si="12"/>
        <v>-1.734552372</v>
      </c>
      <c r="N741" s="100">
        <f t="shared" si="13"/>
        <v>401</v>
      </c>
      <c r="O741" s="94" t="str">
        <f t="array" ref="O741">INDIRECT("Update"&amp;Projections!$AH$17&amp;"!B"&amp;ROW(B722))</f>
        <v/>
      </c>
      <c r="P741" s="414" t="str">
        <f t="array" ref="P741">INDIRECT("Update"&amp;Projections!$AH$17&amp;"!C"&amp;ROW(B722))</f>
        <v/>
      </c>
      <c r="Q741" s="94" t="str">
        <f>UpdateHashtag!F771</f>
        <v/>
      </c>
      <c r="R741" s="105" t="str">
        <f t="array" ref="R741">INDIRECT("Update"&amp;Projections!$AH$17&amp;"!D"&amp;ROW(B722))</f>
        <v/>
      </c>
      <c r="S741" s="73">
        <f t="shared" si="14"/>
        <v>-9.965301026</v>
      </c>
      <c r="T741" s="73">
        <f>SUM(AE741:AM741)-IFERROR(IFS(Projections!$I$17,AN741,Projections!$J$17,AO741),"")</f>
        <v>-9.965301026</v>
      </c>
      <c r="U741" s="73">
        <f t="shared" si="15"/>
        <v>0</v>
      </c>
      <c r="V741" s="73" t="str">
        <f t="array" ref="V741">INDIRECT("Update"&amp;Projections!$AH$17&amp;"!M"&amp;ROW(B722))</f>
        <v/>
      </c>
      <c r="W741" s="73" t="str">
        <f t="array" ref="W741">INDIRECT("Update"&amp;Projections!$AH$17&amp;"!L"&amp;ROW(B722))</f>
        <v/>
      </c>
      <c r="X741" s="73" t="str">
        <f t="array" ref="X741">INDIRECT("Update"&amp;Projections!$AH$17&amp;"!N"&amp;ROW(B722))</f>
        <v/>
      </c>
      <c r="Y741" s="73" t="str">
        <f t="array" ref="Y741">INDIRECT("Update"&amp;Projections!$AH$17&amp;"!O"&amp;ROW(B722))</f>
        <v/>
      </c>
      <c r="Z741" s="73" t="str">
        <f t="array" ref="Z741">INDIRECT("Update"&amp;Projections!$AH$17&amp;"!P"&amp;ROW(B722))</f>
        <v/>
      </c>
      <c r="AA741" s="73" t="str">
        <f t="array" ref="AA741">INDIRECT("Update"&amp;Projections!$AH$17&amp;"!Q"&amp;ROW(B722))</f>
        <v/>
      </c>
      <c r="AB741" s="107" t="str">
        <f t="array" ref="AB741">INDIRECT("Update"&amp;Projections!$AH$17&amp;"!I"&amp;ROW(B722))</f>
        <v/>
      </c>
      <c r="AC741" s="107" t="str">
        <f t="array" ref="AC741">INDIRECT("Update"&amp;Projections!$AH$17&amp;"!K"&amp;ROW(B722))</f>
        <v/>
      </c>
      <c r="AD741" s="73" t="str">
        <f t="array" ref="AD741">INDIRECT("Update"&amp;Projections!$AH$17&amp;"!R"&amp;ROW(B722))</f>
        <v/>
      </c>
      <c r="AE741" s="73">
        <f t="shared" si="16"/>
        <v>-3.155358621</v>
      </c>
      <c r="AF741" s="73">
        <f t="shared" si="17"/>
        <v>-1.740686581</v>
      </c>
      <c r="AG741" s="73">
        <f t="shared" si="18"/>
        <v>-2.380599106</v>
      </c>
      <c r="AH741" s="73">
        <f t="shared" si="19"/>
        <v>-1.79320266</v>
      </c>
      <c r="AI741" s="73">
        <f t="shared" si="20"/>
        <v>-3.240190514</v>
      </c>
      <c r="AJ741" s="73">
        <f t="shared" si="21"/>
        <v>-1.329092151</v>
      </c>
      <c r="AK741" s="73">
        <f t="shared" si="22"/>
        <v>0</v>
      </c>
      <c r="AL741" s="73">
        <f t="shared" si="23"/>
        <v>0</v>
      </c>
      <c r="AM741" s="73">
        <f t="shared" si="24"/>
        <v>0.433638093</v>
      </c>
      <c r="AN741" s="120">
        <f t="shared" si="25"/>
        <v>-3.240190514</v>
      </c>
      <c r="AO741" s="120">
        <f t="shared" si="26"/>
        <v>-6.395549135</v>
      </c>
      <c r="AP741" s="120" t="str">
        <f t="array" ref="AP741">INDIRECT("Update"&amp;Projections!$AH$17&amp;"!S"&amp;ROW(B722))</f>
        <v/>
      </c>
      <c r="AQ741" s="120" t="str">
        <f t="array" ref="AQ741">INDIRECT("Update"&amp;Projections!$AH$17&amp;"!T"&amp;ROW(B722))</f>
        <v/>
      </c>
      <c r="AR741" s="100">
        <f t="shared" si="27"/>
        <v>-9.965301026</v>
      </c>
    </row>
    <row r="742">
      <c r="A742" t="str">
        <f t="shared" si="3"/>
        <v/>
      </c>
      <c r="B742" s="42">
        <f t="shared" si="4"/>
        <v>-3.155358621</v>
      </c>
      <c r="C742" s="43">
        <f t="shared" si="5"/>
        <v>-1.740686581</v>
      </c>
      <c r="D742" s="42">
        <f t="shared" si="6"/>
        <v>-2.380599106</v>
      </c>
      <c r="E742" s="42">
        <f t="shared" si="7"/>
        <v>-1.79320266</v>
      </c>
      <c r="F742" s="42">
        <f t="shared" si="8"/>
        <v>-3.240190514</v>
      </c>
      <c r="G742" s="42">
        <f t="shared" si="9"/>
        <v>-1.329092151</v>
      </c>
      <c r="H742" s="42">
        <f t="shared" si="10"/>
        <v>0</v>
      </c>
      <c r="I742" s="42" t="str">
        <f>UpdateHashtag!S740</f>
        <v/>
      </c>
      <c r="J742" s="47">
        <f t="shared" si="11"/>
        <v>0</v>
      </c>
      <c r="K742" s="48" t="str">
        <f>UpdateHashtag!T740</f>
        <v/>
      </c>
      <c r="L742" s="42">
        <f t="shared" si="12"/>
        <v>-1.734552372</v>
      </c>
      <c r="N742" s="100">
        <f t="shared" si="13"/>
        <v>401</v>
      </c>
      <c r="O742" s="94" t="str">
        <f t="array" ref="O742">INDIRECT("Update"&amp;Projections!$AH$17&amp;"!B"&amp;ROW(B723))</f>
        <v/>
      </c>
      <c r="P742" s="414" t="str">
        <f t="array" ref="P742">INDIRECT("Update"&amp;Projections!$AH$17&amp;"!C"&amp;ROW(B723))</f>
        <v/>
      </c>
      <c r="Q742" s="94" t="str">
        <f>UpdateHashtag!F772</f>
        <v/>
      </c>
      <c r="R742" s="105" t="str">
        <f t="array" ref="R742">INDIRECT("Update"&amp;Projections!$AH$17&amp;"!D"&amp;ROW(B723))</f>
        <v/>
      </c>
      <c r="S742" s="73">
        <f t="shared" si="14"/>
        <v>-9.965301026</v>
      </c>
      <c r="T742" s="73">
        <f>SUM(AE742:AM742)-IFERROR(IFS(Projections!$I$17,AN742,Projections!$J$17,AO742),"")</f>
        <v>-9.965301026</v>
      </c>
      <c r="U742" s="73">
        <f t="shared" si="15"/>
        <v>0</v>
      </c>
      <c r="V742" s="73" t="str">
        <f t="array" ref="V742">INDIRECT("Update"&amp;Projections!$AH$17&amp;"!M"&amp;ROW(B723))</f>
        <v/>
      </c>
      <c r="W742" s="73" t="str">
        <f t="array" ref="W742">INDIRECT("Update"&amp;Projections!$AH$17&amp;"!L"&amp;ROW(B723))</f>
        <v/>
      </c>
      <c r="X742" s="73" t="str">
        <f t="array" ref="X742">INDIRECT("Update"&amp;Projections!$AH$17&amp;"!N"&amp;ROW(B723))</f>
        <v/>
      </c>
      <c r="Y742" s="73" t="str">
        <f t="array" ref="Y742">INDIRECT("Update"&amp;Projections!$AH$17&amp;"!O"&amp;ROW(B723))</f>
        <v/>
      </c>
      <c r="Z742" s="73" t="str">
        <f t="array" ref="Z742">INDIRECT("Update"&amp;Projections!$AH$17&amp;"!P"&amp;ROW(B723))</f>
        <v/>
      </c>
      <c r="AA742" s="73" t="str">
        <f t="array" ref="AA742">INDIRECT("Update"&amp;Projections!$AH$17&amp;"!Q"&amp;ROW(B723))</f>
        <v/>
      </c>
      <c r="AB742" s="107" t="str">
        <f t="array" ref="AB742">INDIRECT("Update"&amp;Projections!$AH$17&amp;"!I"&amp;ROW(B723))</f>
        <v/>
      </c>
      <c r="AC742" s="107" t="str">
        <f t="array" ref="AC742">INDIRECT("Update"&amp;Projections!$AH$17&amp;"!K"&amp;ROW(B723))</f>
        <v/>
      </c>
      <c r="AD742" s="73" t="str">
        <f t="array" ref="AD742">INDIRECT("Update"&amp;Projections!$AH$17&amp;"!R"&amp;ROW(B723))</f>
        <v/>
      </c>
      <c r="AE742" s="73">
        <f t="shared" si="16"/>
        <v>-3.155358621</v>
      </c>
      <c r="AF742" s="73">
        <f t="shared" si="17"/>
        <v>-1.740686581</v>
      </c>
      <c r="AG742" s="73">
        <f t="shared" si="18"/>
        <v>-2.380599106</v>
      </c>
      <c r="AH742" s="73">
        <f t="shared" si="19"/>
        <v>-1.79320266</v>
      </c>
      <c r="AI742" s="73">
        <f t="shared" si="20"/>
        <v>-3.240190514</v>
      </c>
      <c r="AJ742" s="73">
        <f t="shared" si="21"/>
        <v>-1.329092151</v>
      </c>
      <c r="AK742" s="73">
        <f t="shared" si="22"/>
        <v>0</v>
      </c>
      <c r="AL742" s="73">
        <f t="shared" si="23"/>
        <v>0</v>
      </c>
      <c r="AM742" s="73">
        <f t="shared" si="24"/>
        <v>0.433638093</v>
      </c>
      <c r="AN742" s="120">
        <f t="shared" si="25"/>
        <v>-3.240190514</v>
      </c>
      <c r="AO742" s="120">
        <f t="shared" si="26"/>
        <v>-6.395549135</v>
      </c>
      <c r="AP742" s="120" t="str">
        <f t="array" ref="AP742">INDIRECT("Update"&amp;Projections!$AH$17&amp;"!S"&amp;ROW(B723))</f>
        <v/>
      </c>
      <c r="AQ742" s="120" t="str">
        <f t="array" ref="AQ742">INDIRECT("Update"&amp;Projections!$AH$17&amp;"!T"&amp;ROW(B723))</f>
        <v/>
      </c>
      <c r="AR742" s="100">
        <f t="shared" si="27"/>
        <v>-9.965301026</v>
      </c>
    </row>
    <row r="743">
      <c r="A743" t="str">
        <f t="shared" si="3"/>
        <v/>
      </c>
      <c r="B743" s="42">
        <f t="shared" si="4"/>
        <v>-3.155358621</v>
      </c>
      <c r="C743" s="43">
        <f t="shared" si="5"/>
        <v>-1.740686581</v>
      </c>
      <c r="D743" s="42">
        <f t="shared" si="6"/>
        <v>-2.380599106</v>
      </c>
      <c r="E743" s="42">
        <f t="shared" si="7"/>
        <v>-1.79320266</v>
      </c>
      <c r="F743" s="42">
        <f t="shared" si="8"/>
        <v>-3.240190514</v>
      </c>
      <c r="G743" s="42">
        <f t="shared" si="9"/>
        <v>-1.329092151</v>
      </c>
      <c r="H743" s="42">
        <f t="shared" si="10"/>
        <v>0</v>
      </c>
      <c r="I743" s="42" t="str">
        <f>UpdateHashtag!S741</f>
        <v/>
      </c>
      <c r="J743" s="47">
        <f t="shared" si="11"/>
        <v>0</v>
      </c>
      <c r="K743" s="48" t="str">
        <f>UpdateHashtag!T741</f>
        <v/>
      </c>
      <c r="L743" s="42">
        <f t="shared" si="12"/>
        <v>-1.734552372</v>
      </c>
      <c r="N743" s="100">
        <f t="shared" si="13"/>
        <v>401</v>
      </c>
      <c r="O743" s="94" t="str">
        <f t="array" ref="O743">INDIRECT("Update"&amp;Projections!$AH$17&amp;"!B"&amp;ROW(B724))</f>
        <v/>
      </c>
      <c r="P743" s="414" t="str">
        <f t="array" ref="P743">INDIRECT("Update"&amp;Projections!$AH$17&amp;"!C"&amp;ROW(B724))</f>
        <v/>
      </c>
      <c r="Q743" s="94" t="str">
        <f>UpdateHashtag!F773</f>
        <v/>
      </c>
      <c r="R743" s="105" t="str">
        <f t="array" ref="R743">INDIRECT("Update"&amp;Projections!$AH$17&amp;"!D"&amp;ROW(B724))</f>
        <v/>
      </c>
      <c r="S743" s="73">
        <f t="shared" si="14"/>
        <v>-9.965301026</v>
      </c>
      <c r="T743" s="73">
        <f>SUM(AE743:AM743)-IFERROR(IFS(Projections!$I$17,AN743,Projections!$J$17,AO743),"")</f>
        <v>-9.965301026</v>
      </c>
      <c r="U743" s="73">
        <f t="shared" si="15"/>
        <v>0</v>
      </c>
      <c r="V743" s="73" t="str">
        <f t="array" ref="V743">INDIRECT("Update"&amp;Projections!$AH$17&amp;"!M"&amp;ROW(B724))</f>
        <v/>
      </c>
      <c r="W743" s="73" t="str">
        <f t="array" ref="W743">INDIRECT("Update"&amp;Projections!$AH$17&amp;"!L"&amp;ROW(B724))</f>
        <v/>
      </c>
      <c r="X743" s="73" t="str">
        <f t="array" ref="X743">INDIRECT("Update"&amp;Projections!$AH$17&amp;"!N"&amp;ROW(B724))</f>
        <v/>
      </c>
      <c r="Y743" s="73" t="str">
        <f t="array" ref="Y743">INDIRECT("Update"&amp;Projections!$AH$17&amp;"!O"&amp;ROW(B724))</f>
        <v/>
      </c>
      <c r="Z743" s="73" t="str">
        <f t="array" ref="Z743">INDIRECT("Update"&amp;Projections!$AH$17&amp;"!P"&amp;ROW(B724))</f>
        <v/>
      </c>
      <c r="AA743" s="73" t="str">
        <f t="array" ref="AA743">INDIRECT("Update"&amp;Projections!$AH$17&amp;"!Q"&amp;ROW(B724))</f>
        <v/>
      </c>
      <c r="AB743" s="107" t="str">
        <f t="array" ref="AB743">INDIRECT("Update"&amp;Projections!$AH$17&amp;"!I"&amp;ROW(B724))</f>
        <v/>
      </c>
      <c r="AC743" s="107" t="str">
        <f t="array" ref="AC743">INDIRECT("Update"&amp;Projections!$AH$17&amp;"!K"&amp;ROW(B724))</f>
        <v/>
      </c>
      <c r="AD743" s="73" t="str">
        <f t="array" ref="AD743">INDIRECT("Update"&amp;Projections!$AH$17&amp;"!R"&amp;ROW(B724))</f>
        <v/>
      </c>
      <c r="AE743" s="73">
        <f t="shared" si="16"/>
        <v>-3.155358621</v>
      </c>
      <c r="AF743" s="73">
        <f t="shared" si="17"/>
        <v>-1.740686581</v>
      </c>
      <c r="AG743" s="73">
        <f t="shared" si="18"/>
        <v>-2.380599106</v>
      </c>
      <c r="AH743" s="73">
        <f t="shared" si="19"/>
        <v>-1.79320266</v>
      </c>
      <c r="AI743" s="73">
        <f t="shared" si="20"/>
        <v>-3.240190514</v>
      </c>
      <c r="AJ743" s="73">
        <f t="shared" si="21"/>
        <v>-1.329092151</v>
      </c>
      <c r="AK743" s="73">
        <f t="shared" si="22"/>
        <v>0</v>
      </c>
      <c r="AL743" s="73">
        <f t="shared" si="23"/>
        <v>0</v>
      </c>
      <c r="AM743" s="73">
        <f t="shared" si="24"/>
        <v>0.433638093</v>
      </c>
      <c r="AN743" s="120">
        <f t="shared" si="25"/>
        <v>-3.240190514</v>
      </c>
      <c r="AO743" s="120">
        <f t="shared" si="26"/>
        <v>-6.395549135</v>
      </c>
      <c r="AP743" s="120" t="str">
        <f t="array" ref="AP743">INDIRECT("Update"&amp;Projections!$AH$17&amp;"!S"&amp;ROW(B724))</f>
        <v/>
      </c>
      <c r="AQ743" s="120" t="str">
        <f t="array" ref="AQ743">INDIRECT("Update"&amp;Projections!$AH$17&amp;"!T"&amp;ROW(B724))</f>
        <v/>
      </c>
      <c r="AR743" s="100">
        <f t="shared" si="27"/>
        <v>-9.965301026</v>
      </c>
    </row>
    <row r="744">
      <c r="A744" t="str">
        <f t="shared" si="3"/>
        <v/>
      </c>
      <c r="B744" s="42">
        <f t="shared" si="4"/>
        <v>-3.155358621</v>
      </c>
      <c r="C744" s="43">
        <f t="shared" si="5"/>
        <v>-1.740686581</v>
      </c>
      <c r="D744" s="42">
        <f t="shared" si="6"/>
        <v>-2.380599106</v>
      </c>
      <c r="E744" s="42">
        <f t="shared" si="7"/>
        <v>-1.79320266</v>
      </c>
      <c r="F744" s="42">
        <f t="shared" si="8"/>
        <v>-3.240190514</v>
      </c>
      <c r="G744" s="42">
        <f t="shared" si="9"/>
        <v>-1.329092151</v>
      </c>
      <c r="H744" s="42">
        <f t="shared" si="10"/>
        <v>0</v>
      </c>
      <c r="I744" s="42" t="str">
        <f>UpdateHashtag!S742</f>
        <v/>
      </c>
      <c r="J744" s="47">
        <f t="shared" si="11"/>
        <v>0</v>
      </c>
      <c r="K744" s="48" t="str">
        <f>UpdateHashtag!T742</f>
        <v/>
      </c>
      <c r="L744" s="42">
        <f t="shared" si="12"/>
        <v>-1.734552372</v>
      </c>
      <c r="N744" s="100">
        <f t="shared" si="13"/>
        <v>401</v>
      </c>
      <c r="O744" s="94" t="str">
        <f t="array" ref="O744">INDIRECT("Update"&amp;Projections!$AH$17&amp;"!B"&amp;ROW(B725))</f>
        <v/>
      </c>
      <c r="P744" s="414" t="str">
        <f t="array" ref="P744">INDIRECT("Update"&amp;Projections!$AH$17&amp;"!C"&amp;ROW(B725))</f>
        <v/>
      </c>
      <c r="Q744" s="94" t="str">
        <f>UpdateHashtag!F774</f>
        <v/>
      </c>
      <c r="R744" s="105" t="str">
        <f t="array" ref="R744">INDIRECT("Update"&amp;Projections!$AH$17&amp;"!D"&amp;ROW(B725))</f>
        <v/>
      </c>
      <c r="S744" s="73">
        <f t="shared" si="14"/>
        <v>-9.965301026</v>
      </c>
      <c r="T744" s="73">
        <f>SUM(AE744:AM744)-IFERROR(IFS(Projections!$I$17,AN744,Projections!$J$17,AO744),"")</f>
        <v>-9.965301026</v>
      </c>
      <c r="U744" s="73">
        <f t="shared" si="15"/>
        <v>0</v>
      </c>
      <c r="V744" s="73" t="str">
        <f t="array" ref="V744">INDIRECT("Update"&amp;Projections!$AH$17&amp;"!M"&amp;ROW(B725))</f>
        <v/>
      </c>
      <c r="W744" s="73" t="str">
        <f t="array" ref="W744">INDIRECT("Update"&amp;Projections!$AH$17&amp;"!L"&amp;ROW(B725))</f>
        <v/>
      </c>
      <c r="X744" s="73" t="str">
        <f t="array" ref="X744">INDIRECT("Update"&amp;Projections!$AH$17&amp;"!N"&amp;ROW(B725))</f>
        <v/>
      </c>
      <c r="Y744" s="73" t="str">
        <f t="array" ref="Y744">INDIRECT("Update"&amp;Projections!$AH$17&amp;"!O"&amp;ROW(B725))</f>
        <v/>
      </c>
      <c r="Z744" s="73" t="str">
        <f t="array" ref="Z744">INDIRECT("Update"&amp;Projections!$AH$17&amp;"!P"&amp;ROW(B725))</f>
        <v/>
      </c>
      <c r="AA744" s="73" t="str">
        <f t="array" ref="AA744">INDIRECT("Update"&amp;Projections!$AH$17&amp;"!Q"&amp;ROW(B725))</f>
        <v/>
      </c>
      <c r="AB744" s="107" t="str">
        <f t="array" ref="AB744">INDIRECT("Update"&amp;Projections!$AH$17&amp;"!I"&amp;ROW(B725))</f>
        <v/>
      </c>
      <c r="AC744" s="107" t="str">
        <f t="array" ref="AC744">INDIRECT("Update"&amp;Projections!$AH$17&amp;"!K"&amp;ROW(B725))</f>
        <v/>
      </c>
      <c r="AD744" s="73" t="str">
        <f t="array" ref="AD744">INDIRECT("Update"&amp;Projections!$AH$17&amp;"!R"&amp;ROW(B725))</f>
        <v/>
      </c>
      <c r="AE744" s="73">
        <f t="shared" si="16"/>
        <v>-3.155358621</v>
      </c>
      <c r="AF744" s="73">
        <f t="shared" si="17"/>
        <v>-1.740686581</v>
      </c>
      <c r="AG744" s="73">
        <f t="shared" si="18"/>
        <v>-2.380599106</v>
      </c>
      <c r="AH744" s="73">
        <f t="shared" si="19"/>
        <v>-1.79320266</v>
      </c>
      <c r="AI744" s="73">
        <f t="shared" si="20"/>
        <v>-3.240190514</v>
      </c>
      <c r="AJ744" s="73">
        <f t="shared" si="21"/>
        <v>-1.329092151</v>
      </c>
      <c r="AK744" s="73">
        <f t="shared" si="22"/>
        <v>0</v>
      </c>
      <c r="AL744" s="73">
        <f t="shared" si="23"/>
        <v>0</v>
      </c>
      <c r="AM744" s="73">
        <f t="shared" si="24"/>
        <v>0.433638093</v>
      </c>
      <c r="AN744" s="120">
        <f t="shared" si="25"/>
        <v>-3.240190514</v>
      </c>
      <c r="AO744" s="120">
        <f t="shared" si="26"/>
        <v>-6.395549135</v>
      </c>
      <c r="AP744" s="120" t="str">
        <f t="array" ref="AP744">INDIRECT("Update"&amp;Projections!$AH$17&amp;"!S"&amp;ROW(B725))</f>
        <v/>
      </c>
      <c r="AQ744" s="120" t="str">
        <f t="array" ref="AQ744">INDIRECT("Update"&amp;Projections!$AH$17&amp;"!T"&amp;ROW(B725))</f>
        <v/>
      </c>
      <c r="AR744" s="100">
        <f t="shared" si="27"/>
        <v>-9.965301026</v>
      </c>
    </row>
    <row r="745">
      <c r="A745" t="str">
        <f t="shared" si="3"/>
        <v/>
      </c>
      <c r="B745" s="42">
        <f t="shared" si="4"/>
        <v>-3.155358621</v>
      </c>
      <c r="C745" s="43">
        <f t="shared" si="5"/>
        <v>-1.740686581</v>
      </c>
      <c r="D745" s="42">
        <f t="shared" si="6"/>
        <v>-2.380599106</v>
      </c>
      <c r="E745" s="42">
        <f t="shared" si="7"/>
        <v>-1.79320266</v>
      </c>
      <c r="F745" s="42">
        <f t="shared" si="8"/>
        <v>-3.240190514</v>
      </c>
      <c r="G745" s="42">
        <f t="shared" si="9"/>
        <v>-1.329092151</v>
      </c>
      <c r="H745" s="42">
        <f t="shared" si="10"/>
        <v>0</v>
      </c>
      <c r="I745" s="42" t="str">
        <f>UpdateHashtag!S743</f>
        <v/>
      </c>
      <c r="J745" s="47">
        <f t="shared" si="11"/>
        <v>0</v>
      </c>
      <c r="K745" s="48" t="str">
        <f>UpdateHashtag!T743</f>
        <v/>
      </c>
      <c r="L745" s="42">
        <f t="shared" si="12"/>
        <v>-1.734552372</v>
      </c>
      <c r="N745" s="100">
        <f t="shared" si="13"/>
        <v>401</v>
      </c>
      <c r="O745" s="94" t="str">
        <f t="array" ref="O745">INDIRECT("Update"&amp;Projections!$AH$17&amp;"!B"&amp;ROW(B726))</f>
        <v/>
      </c>
      <c r="P745" s="414" t="str">
        <f t="array" ref="P745">INDIRECT("Update"&amp;Projections!$AH$17&amp;"!C"&amp;ROW(B726))</f>
        <v/>
      </c>
      <c r="Q745" s="94" t="str">
        <f>UpdateHashtag!F775</f>
        <v/>
      </c>
      <c r="R745" s="105" t="str">
        <f t="array" ref="R745">INDIRECT("Update"&amp;Projections!$AH$17&amp;"!D"&amp;ROW(B726))</f>
        <v/>
      </c>
      <c r="S745" s="73">
        <f t="shared" si="14"/>
        <v>-9.965301026</v>
      </c>
      <c r="T745" s="73">
        <f>SUM(AE745:AM745)-IFERROR(IFS(Projections!$I$17,AN745,Projections!$J$17,AO745),"")</f>
        <v>-9.965301026</v>
      </c>
      <c r="U745" s="73">
        <f t="shared" si="15"/>
        <v>0</v>
      </c>
      <c r="V745" s="73" t="str">
        <f t="array" ref="V745">INDIRECT("Update"&amp;Projections!$AH$17&amp;"!M"&amp;ROW(B726))</f>
        <v/>
      </c>
      <c r="W745" s="73" t="str">
        <f t="array" ref="W745">INDIRECT("Update"&amp;Projections!$AH$17&amp;"!L"&amp;ROW(B726))</f>
        <v/>
      </c>
      <c r="X745" s="73" t="str">
        <f t="array" ref="X745">INDIRECT("Update"&amp;Projections!$AH$17&amp;"!N"&amp;ROW(B726))</f>
        <v/>
      </c>
      <c r="Y745" s="73" t="str">
        <f t="array" ref="Y745">INDIRECT("Update"&amp;Projections!$AH$17&amp;"!O"&amp;ROW(B726))</f>
        <v/>
      </c>
      <c r="Z745" s="73" t="str">
        <f t="array" ref="Z745">INDIRECT("Update"&amp;Projections!$AH$17&amp;"!P"&amp;ROW(B726))</f>
        <v/>
      </c>
      <c r="AA745" s="73" t="str">
        <f t="array" ref="AA745">INDIRECT("Update"&amp;Projections!$AH$17&amp;"!Q"&amp;ROW(B726))</f>
        <v/>
      </c>
      <c r="AB745" s="107" t="str">
        <f t="array" ref="AB745">INDIRECT("Update"&amp;Projections!$AH$17&amp;"!I"&amp;ROW(B726))</f>
        <v/>
      </c>
      <c r="AC745" s="107" t="str">
        <f t="array" ref="AC745">INDIRECT("Update"&amp;Projections!$AH$17&amp;"!K"&amp;ROW(B726))</f>
        <v/>
      </c>
      <c r="AD745" s="73" t="str">
        <f t="array" ref="AD745">INDIRECT("Update"&amp;Projections!$AH$17&amp;"!R"&amp;ROW(B726))</f>
        <v/>
      </c>
      <c r="AE745" s="73">
        <f t="shared" si="16"/>
        <v>-3.155358621</v>
      </c>
      <c r="AF745" s="73">
        <f t="shared" si="17"/>
        <v>-1.740686581</v>
      </c>
      <c r="AG745" s="73">
        <f t="shared" si="18"/>
        <v>-2.380599106</v>
      </c>
      <c r="AH745" s="73">
        <f t="shared" si="19"/>
        <v>-1.79320266</v>
      </c>
      <c r="AI745" s="73">
        <f t="shared" si="20"/>
        <v>-3.240190514</v>
      </c>
      <c r="AJ745" s="73">
        <f t="shared" si="21"/>
        <v>-1.329092151</v>
      </c>
      <c r="AK745" s="73">
        <f t="shared" si="22"/>
        <v>0</v>
      </c>
      <c r="AL745" s="73">
        <f t="shared" si="23"/>
        <v>0</v>
      </c>
      <c r="AM745" s="73">
        <f t="shared" si="24"/>
        <v>0.433638093</v>
      </c>
      <c r="AN745" s="120">
        <f t="shared" si="25"/>
        <v>-3.240190514</v>
      </c>
      <c r="AO745" s="120">
        <f t="shared" si="26"/>
        <v>-6.395549135</v>
      </c>
      <c r="AP745" s="120" t="str">
        <f t="array" ref="AP745">INDIRECT("Update"&amp;Projections!$AH$17&amp;"!S"&amp;ROW(B726))</f>
        <v/>
      </c>
      <c r="AQ745" s="120" t="str">
        <f t="array" ref="AQ745">INDIRECT("Update"&amp;Projections!$AH$17&amp;"!T"&amp;ROW(B726))</f>
        <v/>
      </c>
      <c r="AR745" s="100">
        <f t="shared" si="27"/>
        <v>-9.965301026</v>
      </c>
    </row>
    <row r="746">
      <c r="A746" t="str">
        <f t="shared" si="3"/>
        <v/>
      </c>
      <c r="B746" s="42">
        <f t="shared" si="4"/>
        <v>-3.155358621</v>
      </c>
      <c r="C746" s="43">
        <f t="shared" si="5"/>
        <v>-1.740686581</v>
      </c>
      <c r="D746" s="42">
        <f t="shared" si="6"/>
        <v>-2.380599106</v>
      </c>
      <c r="E746" s="42">
        <f t="shared" si="7"/>
        <v>-1.79320266</v>
      </c>
      <c r="F746" s="42">
        <f t="shared" si="8"/>
        <v>-3.240190514</v>
      </c>
      <c r="G746" s="42">
        <f t="shared" si="9"/>
        <v>-1.329092151</v>
      </c>
      <c r="H746" s="42">
        <f t="shared" si="10"/>
        <v>0</v>
      </c>
      <c r="I746" s="42" t="str">
        <f>UpdateHashtag!S744</f>
        <v/>
      </c>
      <c r="J746" s="47">
        <f t="shared" si="11"/>
        <v>0</v>
      </c>
      <c r="K746" s="48" t="str">
        <f>UpdateHashtag!T744</f>
        <v/>
      </c>
      <c r="L746" s="42">
        <f t="shared" si="12"/>
        <v>-1.734552372</v>
      </c>
      <c r="N746" s="100">
        <f t="shared" si="13"/>
        <v>401</v>
      </c>
      <c r="O746" s="94" t="str">
        <f t="array" ref="O746">INDIRECT("Update"&amp;Projections!$AH$17&amp;"!B"&amp;ROW(B727))</f>
        <v/>
      </c>
      <c r="P746" s="414" t="str">
        <f t="array" ref="P746">INDIRECT("Update"&amp;Projections!$AH$17&amp;"!C"&amp;ROW(B727))</f>
        <v/>
      </c>
      <c r="Q746" s="94" t="str">
        <f>UpdateHashtag!F776</f>
        <v/>
      </c>
      <c r="R746" s="105" t="str">
        <f t="array" ref="R746">INDIRECT("Update"&amp;Projections!$AH$17&amp;"!D"&amp;ROW(B727))</f>
        <v/>
      </c>
      <c r="S746" s="73">
        <f t="shared" si="14"/>
        <v>-9.965301026</v>
      </c>
      <c r="T746" s="73">
        <f>SUM(AE746:AM746)-IFERROR(IFS(Projections!$I$17,AN746,Projections!$J$17,AO746),"")</f>
        <v>-9.965301026</v>
      </c>
      <c r="U746" s="73">
        <f t="shared" si="15"/>
        <v>0</v>
      </c>
      <c r="V746" s="73" t="str">
        <f t="array" ref="V746">INDIRECT("Update"&amp;Projections!$AH$17&amp;"!M"&amp;ROW(B727))</f>
        <v/>
      </c>
      <c r="W746" s="73" t="str">
        <f t="array" ref="W746">INDIRECT("Update"&amp;Projections!$AH$17&amp;"!L"&amp;ROW(B727))</f>
        <v/>
      </c>
      <c r="X746" s="73" t="str">
        <f t="array" ref="X746">INDIRECT("Update"&amp;Projections!$AH$17&amp;"!N"&amp;ROW(B727))</f>
        <v/>
      </c>
      <c r="Y746" s="73" t="str">
        <f t="array" ref="Y746">INDIRECT("Update"&amp;Projections!$AH$17&amp;"!O"&amp;ROW(B727))</f>
        <v/>
      </c>
      <c r="Z746" s="73" t="str">
        <f t="array" ref="Z746">INDIRECT("Update"&amp;Projections!$AH$17&amp;"!P"&amp;ROW(B727))</f>
        <v/>
      </c>
      <c r="AA746" s="73" t="str">
        <f t="array" ref="AA746">INDIRECT("Update"&amp;Projections!$AH$17&amp;"!Q"&amp;ROW(B727))</f>
        <v/>
      </c>
      <c r="AB746" s="107" t="str">
        <f t="array" ref="AB746">INDIRECT("Update"&amp;Projections!$AH$17&amp;"!I"&amp;ROW(B727))</f>
        <v/>
      </c>
      <c r="AC746" s="107" t="str">
        <f t="array" ref="AC746">INDIRECT("Update"&amp;Projections!$AH$17&amp;"!K"&amp;ROW(B727))</f>
        <v/>
      </c>
      <c r="AD746" s="73" t="str">
        <f t="array" ref="AD746">INDIRECT("Update"&amp;Projections!$AH$17&amp;"!R"&amp;ROW(B727))</f>
        <v/>
      </c>
      <c r="AE746" s="73">
        <f t="shared" si="16"/>
        <v>-3.155358621</v>
      </c>
      <c r="AF746" s="73">
        <f t="shared" si="17"/>
        <v>-1.740686581</v>
      </c>
      <c r="AG746" s="73">
        <f t="shared" si="18"/>
        <v>-2.380599106</v>
      </c>
      <c r="AH746" s="73">
        <f t="shared" si="19"/>
        <v>-1.79320266</v>
      </c>
      <c r="AI746" s="73">
        <f t="shared" si="20"/>
        <v>-3.240190514</v>
      </c>
      <c r="AJ746" s="73">
        <f t="shared" si="21"/>
        <v>-1.329092151</v>
      </c>
      <c r="AK746" s="73">
        <f t="shared" si="22"/>
        <v>0</v>
      </c>
      <c r="AL746" s="73">
        <f t="shared" si="23"/>
        <v>0</v>
      </c>
      <c r="AM746" s="73">
        <f t="shared" si="24"/>
        <v>0.433638093</v>
      </c>
      <c r="AN746" s="120">
        <f t="shared" si="25"/>
        <v>-3.240190514</v>
      </c>
      <c r="AO746" s="120">
        <f t="shared" si="26"/>
        <v>-6.395549135</v>
      </c>
      <c r="AP746" s="120" t="str">
        <f t="array" ref="AP746">INDIRECT("Update"&amp;Projections!$AH$17&amp;"!S"&amp;ROW(B727))</f>
        <v/>
      </c>
      <c r="AQ746" s="120" t="str">
        <f t="array" ref="AQ746">INDIRECT("Update"&amp;Projections!$AH$17&amp;"!T"&amp;ROW(B727))</f>
        <v/>
      </c>
      <c r="AR746" s="100">
        <f t="shared" si="27"/>
        <v>-9.965301026</v>
      </c>
    </row>
    <row r="747">
      <c r="A747" t="str">
        <f t="shared" si="3"/>
        <v/>
      </c>
      <c r="B747" s="42">
        <f t="shared" si="4"/>
        <v>-3.155358621</v>
      </c>
      <c r="C747" s="43">
        <f t="shared" si="5"/>
        <v>-1.740686581</v>
      </c>
      <c r="D747" s="42">
        <f t="shared" si="6"/>
        <v>-2.380599106</v>
      </c>
      <c r="E747" s="42">
        <f t="shared" si="7"/>
        <v>-1.79320266</v>
      </c>
      <c r="F747" s="42">
        <f t="shared" si="8"/>
        <v>-3.240190514</v>
      </c>
      <c r="G747" s="42">
        <f t="shared" si="9"/>
        <v>-1.329092151</v>
      </c>
      <c r="H747" s="42">
        <f t="shared" si="10"/>
        <v>0</v>
      </c>
      <c r="I747" s="42" t="str">
        <f>UpdateHashtag!S745</f>
        <v/>
      </c>
      <c r="J747" s="47">
        <f t="shared" si="11"/>
        <v>0</v>
      </c>
      <c r="K747" s="48" t="str">
        <f>UpdateHashtag!T745</f>
        <v/>
      </c>
      <c r="L747" s="42">
        <f t="shared" si="12"/>
        <v>-1.734552372</v>
      </c>
      <c r="N747" s="100">
        <f t="shared" si="13"/>
        <v>401</v>
      </c>
      <c r="O747" s="94" t="str">
        <f t="array" ref="O747">INDIRECT("Update"&amp;Projections!$AH$17&amp;"!B"&amp;ROW(B728))</f>
        <v/>
      </c>
      <c r="P747" s="414" t="str">
        <f t="array" ref="P747">INDIRECT("Update"&amp;Projections!$AH$17&amp;"!C"&amp;ROW(B728))</f>
        <v/>
      </c>
      <c r="Q747" s="94" t="str">
        <f>UpdateHashtag!F777</f>
        <v/>
      </c>
      <c r="R747" s="105" t="str">
        <f t="array" ref="R747">INDIRECT("Update"&amp;Projections!$AH$17&amp;"!D"&amp;ROW(B728))</f>
        <v/>
      </c>
      <c r="S747" s="73">
        <f t="shared" si="14"/>
        <v>-9.965301026</v>
      </c>
      <c r="T747" s="73">
        <f>SUM(AE747:AM747)-IFERROR(IFS(Projections!$I$17,AN747,Projections!$J$17,AO747),"")</f>
        <v>-9.965301026</v>
      </c>
      <c r="U747" s="73">
        <f t="shared" si="15"/>
        <v>0</v>
      </c>
      <c r="V747" s="73" t="str">
        <f t="array" ref="V747">INDIRECT("Update"&amp;Projections!$AH$17&amp;"!M"&amp;ROW(B728))</f>
        <v/>
      </c>
      <c r="W747" s="73" t="str">
        <f t="array" ref="W747">INDIRECT("Update"&amp;Projections!$AH$17&amp;"!L"&amp;ROW(B728))</f>
        <v/>
      </c>
      <c r="X747" s="73" t="str">
        <f t="array" ref="X747">INDIRECT("Update"&amp;Projections!$AH$17&amp;"!N"&amp;ROW(B728))</f>
        <v/>
      </c>
      <c r="Y747" s="73" t="str">
        <f t="array" ref="Y747">INDIRECT("Update"&amp;Projections!$AH$17&amp;"!O"&amp;ROW(B728))</f>
        <v/>
      </c>
      <c r="Z747" s="73" t="str">
        <f t="array" ref="Z747">INDIRECT("Update"&amp;Projections!$AH$17&amp;"!P"&amp;ROW(B728))</f>
        <v/>
      </c>
      <c r="AA747" s="73" t="str">
        <f t="array" ref="AA747">INDIRECT("Update"&amp;Projections!$AH$17&amp;"!Q"&amp;ROW(B728))</f>
        <v/>
      </c>
      <c r="AB747" s="107" t="str">
        <f t="array" ref="AB747">INDIRECT("Update"&amp;Projections!$AH$17&amp;"!I"&amp;ROW(B728))</f>
        <v/>
      </c>
      <c r="AC747" s="107" t="str">
        <f t="array" ref="AC747">INDIRECT("Update"&amp;Projections!$AH$17&amp;"!K"&amp;ROW(B728))</f>
        <v/>
      </c>
      <c r="AD747" s="73" t="str">
        <f t="array" ref="AD747">INDIRECT("Update"&amp;Projections!$AH$17&amp;"!R"&amp;ROW(B728))</f>
        <v/>
      </c>
      <c r="AE747" s="73">
        <f t="shared" si="16"/>
        <v>-3.155358621</v>
      </c>
      <c r="AF747" s="73">
        <f t="shared" si="17"/>
        <v>-1.740686581</v>
      </c>
      <c r="AG747" s="73">
        <f t="shared" si="18"/>
        <v>-2.380599106</v>
      </c>
      <c r="AH747" s="73">
        <f t="shared" si="19"/>
        <v>-1.79320266</v>
      </c>
      <c r="AI747" s="73">
        <f t="shared" si="20"/>
        <v>-3.240190514</v>
      </c>
      <c r="AJ747" s="73">
        <f t="shared" si="21"/>
        <v>-1.329092151</v>
      </c>
      <c r="AK747" s="73">
        <f t="shared" si="22"/>
        <v>0</v>
      </c>
      <c r="AL747" s="73">
        <f t="shared" si="23"/>
        <v>0</v>
      </c>
      <c r="AM747" s="73">
        <f t="shared" si="24"/>
        <v>0.433638093</v>
      </c>
      <c r="AN747" s="120">
        <f t="shared" si="25"/>
        <v>-3.240190514</v>
      </c>
      <c r="AO747" s="120">
        <f t="shared" si="26"/>
        <v>-6.395549135</v>
      </c>
      <c r="AP747" s="120" t="str">
        <f t="array" ref="AP747">INDIRECT("Update"&amp;Projections!$AH$17&amp;"!S"&amp;ROW(B728))</f>
        <v/>
      </c>
      <c r="AQ747" s="120" t="str">
        <f t="array" ref="AQ747">INDIRECT("Update"&amp;Projections!$AH$17&amp;"!T"&amp;ROW(B728))</f>
        <v/>
      </c>
      <c r="AR747" s="100">
        <f t="shared" si="27"/>
        <v>-9.965301026</v>
      </c>
    </row>
    <row r="748">
      <c r="A748" t="str">
        <f t="shared" si="3"/>
        <v/>
      </c>
      <c r="B748" s="42">
        <f t="shared" si="4"/>
        <v>-3.155358621</v>
      </c>
      <c r="C748" s="43">
        <f t="shared" si="5"/>
        <v>-1.740686581</v>
      </c>
      <c r="D748" s="42">
        <f t="shared" si="6"/>
        <v>-2.380599106</v>
      </c>
      <c r="E748" s="42">
        <f t="shared" si="7"/>
        <v>-1.79320266</v>
      </c>
      <c r="F748" s="42">
        <f t="shared" si="8"/>
        <v>-3.240190514</v>
      </c>
      <c r="G748" s="42">
        <f t="shared" si="9"/>
        <v>-1.329092151</v>
      </c>
      <c r="H748" s="42">
        <f t="shared" si="10"/>
        <v>0</v>
      </c>
      <c r="I748" s="42" t="str">
        <f>UpdateHashtag!S746</f>
        <v/>
      </c>
      <c r="J748" s="47">
        <f t="shared" si="11"/>
        <v>0</v>
      </c>
      <c r="K748" s="48" t="str">
        <f>UpdateHashtag!T746</f>
        <v/>
      </c>
      <c r="L748" s="42">
        <f t="shared" si="12"/>
        <v>-1.734552372</v>
      </c>
      <c r="N748" s="100">
        <f t="shared" si="13"/>
        <v>401</v>
      </c>
      <c r="O748" s="94" t="str">
        <f t="array" ref="O748">INDIRECT("Update"&amp;Projections!$AH$17&amp;"!B"&amp;ROW(B729))</f>
        <v/>
      </c>
      <c r="P748" s="414" t="str">
        <f t="array" ref="P748">INDIRECT("Update"&amp;Projections!$AH$17&amp;"!C"&amp;ROW(B729))</f>
        <v/>
      </c>
      <c r="Q748" s="94" t="str">
        <f>UpdateHashtag!F778</f>
        <v/>
      </c>
      <c r="R748" s="105" t="str">
        <f t="array" ref="R748">INDIRECT("Update"&amp;Projections!$AH$17&amp;"!D"&amp;ROW(B729))</f>
        <v/>
      </c>
      <c r="S748" s="73">
        <f t="shared" si="14"/>
        <v>-9.965301026</v>
      </c>
      <c r="T748" s="73">
        <f>SUM(AE748:AM748)-IFERROR(IFS(Projections!$I$17,AN748,Projections!$J$17,AO748),"")</f>
        <v>-9.965301026</v>
      </c>
      <c r="U748" s="73">
        <f t="shared" si="15"/>
        <v>0</v>
      </c>
      <c r="V748" s="73" t="str">
        <f t="array" ref="V748">INDIRECT("Update"&amp;Projections!$AH$17&amp;"!M"&amp;ROW(B729))</f>
        <v/>
      </c>
      <c r="W748" s="73" t="str">
        <f t="array" ref="W748">INDIRECT("Update"&amp;Projections!$AH$17&amp;"!L"&amp;ROW(B729))</f>
        <v/>
      </c>
      <c r="X748" s="73" t="str">
        <f t="array" ref="X748">INDIRECT("Update"&amp;Projections!$AH$17&amp;"!N"&amp;ROW(B729))</f>
        <v/>
      </c>
      <c r="Y748" s="73" t="str">
        <f t="array" ref="Y748">INDIRECT("Update"&amp;Projections!$AH$17&amp;"!O"&amp;ROW(B729))</f>
        <v/>
      </c>
      <c r="Z748" s="73" t="str">
        <f t="array" ref="Z748">INDIRECT("Update"&amp;Projections!$AH$17&amp;"!P"&amp;ROW(B729))</f>
        <v/>
      </c>
      <c r="AA748" s="73" t="str">
        <f t="array" ref="AA748">INDIRECT("Update"&amp;Projections!$AH$17&amp;"!Q"&amp;ROW(B729))</f>
        <v/>
      </c>
      <c r="AB748" s="107" t="str">
        <f t="array" ref="AB748">INDIRECT("Update"&amp;Projections!$AH$17&amp;"!I"&amp;ROW(B729))</f>
        <v/>
      </c>
      <c r="AC748" s="107" t="str">
        <f t="array" ref="AC748">INDIRECT("Update"&amp;Projections!$AH$17&amp;"!K"&amp;ROW(B729))</f>
        <v/>
      </c>
      <c r="AD748" s="73" t="str">
        <f t="array" ref="AD748">INDIRECT("Update"&amp;Projections!$AH$17&amp;"!R"&amp;ROW(B729))</f>
        <v/>
      </c>
      <c r="AE748" s="73">
        <f t="shared" si="16"/>
        <v>-3.155358621</v>
      </c>
      <c r="AF748" s="73">
        <f t="shared" si="17"/>
        <v>-1.740686581</v>
      </c>
      <c r="AG748" s="73">
        <f t="shared" si="18"/>
        <v>-2.380599106</v>
      </c>
      <c r="AH748" s="73">
        <f t="shared" si="19"/>
        <v>-1.79320266</v>
      </c>
      <c r="AI748" s="73">
        <f t="shared" si="20"/>
        <v>-3.240190514</v>
      </c>
      <c r="AJ748" s="73">
        <f t="shared" si="21"/>
        <v>-1.329092151</v>
      </c>
      <c r="AK748" s="73">
        <f t="shared" si="22"/>
        <v>0</v>
      </c>
      <c r="AL748" s="73">
        <f t="shared" si="23"/>
        <v>0</v>
      </c>
      <c r="AM748" s="73">
        <f t="shared" si="24"/>
        <v>0.433638093</v>
      </c>
      <c r="AN748" s="120">
        <f t="shared" si="25"/>
        <v>-3.240190514</v>
      </c>
      <c r="AO748" s="120">
        <f t="shared" si="26"/>
        <v>-6.395549135</v>
      </c>
      <c r="AP748" s="120" t="str">
        <f t="array" ref="AP748">INDIRECT("Update"&amp;Projections!$AH$17&amp;"!S"&amp;ROW(B729))</f>
        <v/>
      </c>
      <c r="AQ748" s="120" t="str">
        <f t="array" ref="AQ748">INDIRECT("Update"&amp;Projections!$AH$17&amp;"!T"&amp;ROW(B729))</f>
        <v/>
      </c>
      <c r="AR748" s="100">
        <f t="shared" si="27"/>
        <v>-9.965301026</v>
      </c>
    </row>
    <row r="749">
      <c r="A749" t="str">
        <f t="shared" si="3"/>
        <v/>
      </c>
      <c r="B749" s="42">
        <f t="shared" si="4"/>
        <v>-3.155358621</v>
      </c>
      <c r="C749" s="43">
        <f t="shared" si="5"/>
        <v>-1.740686581</v>
      </c>
      <c r="D749" s="42">
        <f t="shared" si="6"/>
        <v>-2.380599106</v>
      </c>
      <c r="E749" s="42">
        <f t="shared" si="7"/>
        <v>-1.79320266</v>
      </c>
      <c r="F749" s="42">
        <f t="shared" si="8"/>
        <v>-3.240190514</v>
      </c>
      <c r="G749" s="42">
        <f t="shared" si="9"/>
        <v>-1.329092151</v>
      </c>
      <c r="H749" s="42">
        <f t="shared" si="10"/>
        <v>0</v>
      </c>
      <c r="I749" s="42" t="str">
        <f>UpdateHashtag!S747</f>
        <v/>
      </c>
      <c r="J749" s="47">
        <f t="shared" si="11"/>
        <v>0</v>
      </c>
      <c r="K749" s="48" t="str">
        <f>UpdateHashtag!T747</f>
        <v/>
      </c>
      <c r="L749" s="42">
        <f t="shared" si="12"/>
        <v>-1.734552372</v>
      </c>
      <c r="N749" s="100">
        <f t="shared" si="13"/>
        <v>401</v>
      </c>
      <c r="O749" s="94" t="str">
        <f t="array" ref="O749">INDIRECT("Update"&amp;Projections!$AH$17&amp;"!B"&amp;ROW(B730))</f>
        <v/>
      </c>
      <c r="P749" s="414" t="str">
        <f t="array" ref="P749">INDIRECT("Update"&amp;Projections!$AH$17&amp;"!C"&amp;ROW(B730))</f>
        <v/>
      </c>
      <c r="Q749" s="94" t="str">
        <f>UpdateHashtag!F779</f>
        <v/>
      </c>
      <c r="R749" s="105" t="str">
        <f t="array" ref="R749">INDIRECT("Update"&amp;Projections!$AH$17&amp;"!D"&amp;ROW(B730))</f>
        <v/>
      </c>
      <c r="S749" s="73">
        <f t="shared" si="14"/>
        <v>-9.965301026</v>
      </c>
      <c r="T749" s="73">
        <f>SUM(AE749:AM749)-IFERROR(IFS(Projections!$I$17,AN749,Projections!$J$17,AO749),"")</f>
        <v>-9.965301026</v>
      </c>
      <c r="U749" s="73">
        <f t="shared" si="15"/>
        <v>0</v>
      </c>
      <c r="V749" s="73" t="str">
        <f t="array" ref="V749">INDIRECT("Update"&amp;Projections!$AH$17&amp;"!M"&amp;ROW(B730))</f>
        <v/>
      </c>
      <c r="W749" s="73" t="str">
        <f t="array" ref="W749">INDIRECT("Update"&amp;Projections!$AH$17&amp;"!L"&amp;ROW(B730))</f>
        <v/>
      </c>
      <c r="X749" s="73" t="str">
        <f t="array" ref="X749">INDIRECT("Update"&amp;Projections!$AH$17&amp;"!N"&amp;ROW(B730))</f>
        <v/>
      </c>
      <c r="Y749" s="73" t="str">
        <f t="array" ref="Y749">INDIRECT("Update"&amp;Projections!$AH$17&amp;"!O"&amp;ROW(B730))</f>
        <v/>
      </c>
      <c r="Z749" s="73" t="str">
        <f t="array" ref="Z749">INDIRECT("Update"&amp;Projections!$AH$17&amp;"!P"&amp;ROW(B730))</f>
        <v/>
      </c>
      <c r="AA749" s="73" t="str">
        <f t="array" ref="AA749">INDIRECT("Update"&amp;Projections!$AH$17&amp;"!Q"&amp;ROW(B730))</f>
        <v/>
      </c>
      <c r="AB749" s="107" t="str">
        <f t="array" ref="AB749">INDIRECT("Update"&amp;Projections!$AH$17&amp;"!I"&amp;ROW(B730))</f>
        <v/>
      </c>
      <c r="AC749" s="107" t="str">
        <f t="array" ref="AC749">INDIRECT("Update"&amp;Projections!$AH$17&amp;"!K"&amp;ROW(B730))</f>
        <v/>
      </c>
      <c r="AD749" s="73" t="str">
        <f t="array" ref="AD749">INDIRECT("Update"&amp;Projections!$AH$17&amp;"!R"&amp;ROW(B730))</f>
        <v/>
      </c>
      <c r="AE749" s="73">
        <f t="shared" si="16"/>
        <v>-3.155358621</v>
      </c>
      <c r="AF749" s="73">
        <f t="shared" si="17"/>
        <v>-1.740686581</v>
      </c>
      <c r="AG749" s="73">
        <f t="shared" si="18"/>
        <v>-2.380599106</v>
      </c>
      <c r="AH749" s="73">
        <f t="shared" si="19"/>
        <v>-1.79320266</v>
      </c>
      <c r="AI749" s="73">
        <f t="shared" si="20"/>
        <v>-3.240190514</v>
      </c>
      <c r="AJ749" s="73">
        <f t="shared" si="21"/>
        <v>-1.329092151</v>
      </c>
      <c r="AK749" s="73">
        <f t="shared" si="22"/>
        <v>0</v>
      </c>
      <c r="AL749" s="73">
        <f t="shared" si="23"/>
        <v>0</v>
      </c>
      <c r="AM749" s="73">
        <f t="shared" si="24"/>
        <v>0.433638093</v>
      </c>
      <c r="AN749" s="120">
        <f t="shared" si="25"/>
        <v>-3.240190514</v>
      </c>
      <c r="AO749" s="120">
        <f t="shared" si="26"/>
        <v>-6.395549135</v>
      </c>
      <c r="AP749" s="120" t="str">
        <f t="array" ref="AP749">INDIRECT("Update"&amp;Projections!$AH$17&amp;"!S"&amp;ROW(B730))</f>
        <v/>
      </c>
      <c r="AQ749" s="120" t="str">
        <f t="array" ref="AQ749">INDIRECT("Update"&amp;Projections!$AH$17&amp;"!T"&amp;ROW(B730))</f>
        <v/>
      </c>
      <c r="AR749" s="100">
        <f t="shared" si="27"/>
        <v>-9.965301026</v>
      </c>
    </row>
    <row r="750">
      <c r="A750" t="str">
        <f t="shared" si="3"/>
        <v/>
      </c>
      <c r="B750" s="42">
        <f t="shared" si="4"/>
        <v>-3.155358621</v>
      </c>
      <c r="C750" s="43">
        <f t="shared" si="5"/>
        <v>-1.740686581</v>
      </c>
      <c r="D750" s="42">
        <f t="shared" si="6"/>
        <v>-2.380599106</v>
      </c>
      <c r="E750" s="42">
        <f t="shared" si="7"/>
        <v>-1.79320266</v>
      </c>
      <c r="F750" s="42">
        <f t="shared" si="8"/>
        <v>-3.240190514</v>
      </c>
      <c r="G750" s="42">
        <f t="shared" si="9"/>
        <v>-1.329092151</v>
      </c>
      <c r="H750" s="42">
        <f t="shared" si="10"/>
        <v>0</v>
      </c>
      <c r="I750" s="42" t="str">
        <f>UpdateHashtag!S748</f>
        <v/>
      </c>
      <c r="J750" s="47">
        <f t="shared" si="11"/>
        <v>0</v>
      </c>
      <c r="K750" s="48" t="str">
        <f>UpdateHashtag!T748</f>
        <v/>
      </c>
      <c r="L750" s="42">
        <f t="shared" si="12"/>
        <v>-1.734552372</v>
      </c>
      <c r="N750" s="100">
        <f t="shared" si="13"/>
        <v>401</v>
      </c>
      <c r="O750" s="94" t="str">
        <f t="array" ref="O750">INDIRECT("Update"&amp;Projections!$AH$17&amp;"!B"&amp;ROW(B731))</f>
        <v/>
      </c>
      <c r="P750" s="414" t="str">
        <f t="array" ref="P750">INDIRECT("Update"&amp;Projections!$AH$17&amp;"!C"&amp;ROW(B731))</f>
        <v/>
      </c>
      <c r="Q750" s="94" t="str">
        <f>UpdateHashtag!F780</f>
        <v/>
      </c>
      <c r="R750" s="105" t="str">
        <f t="array" ref="R750">INDIRECT("Update"&amp;Projections!$AH$17&amp;"!D"&amp;ROW(B731))</f>
        <v/>
      </c>
      <c r="S750" s="73">
        <f t="shared" si="14"/>
        <v>-9.965301026</v>
      </c>
      <c r="T750" s="73">
        <f>SUM(AE750:AM750)-IFERROR(IFS(Projections!$I$17,AN750,Projections!$J$17,AO750),"")</f>
        <v>-9.965301026</v>
      </c>
      <c r="U750" s="73">
        <f t="shared" si="15"/>
        <v>0</v>
      </c>
      <c r="V750" s="73" t="str">
        <f t="array" ref="V750">INDIRECT("Update"&amp;Projections!$AH$17&amp;"!M"&amp;ROW(B731))</f>
        <v/>
      </c>
      <c r="W750" s="73" t="str">
        <f t="array" ref="W750">INDIRECT("Update"&amp;Projections!$AH$17&amp;"!L"&amp;ROW(B731))</f>
        <v/>
      </c>
      <c r="X750" s="73" t="str">
        <f t="array" ref="X750">INDIRECT("Update"&amp;Projections!$AH$17&amp;"!N"&amp;ROW(B731))</f>
        <v/>
      </c>
      <c r="Y750" s="73" t="str">
        <f t="array" ref="Y750">INDIRECT("Update"&amp;Projections!$AH$17&amp;"!O"&amp;ROW(B731))</f>
        <v/>
      </c>
      <c r="Z750" s="73" t="str">
        <f t="array" ref="Z750">INDIRECT("Update"&amp;Projections!$AH$17&amp;"!P"&amp;ROW(B731))</f>
        <v/>
      </c>
      <c r="AA750" s="73" t="str">
        <f t="array" ref="AA750">INDIRECT("Update"&amp;Projections!$AH$17&amp;"!Q"&amp;ROW(B731))</f>
        <v/>
      </c>
      <c r="AB750" s="107" t="str">
        <f t="array" ref="AB750">INDIRECT("Update"&amp;Projections!$AH$17&amp;"!I"&amp;ROW(B731))</f>
        <v/>
      </c>
      <c r="AC750" s="107" t="str">
        <f t="array" ref="AC750">INDIRECT("Update"&amp;Projections!$AH$17&amp;"!K"&amp;ROW(B731))</f>
        <v/>
      </c>
      <c r="AD750" s="73" t="str">
        <f t="array" ref="AD750">INDIRECT("Update"&amp;Projections!$AH$17&amp;"!R"&amp;ROW(B731))</f>
        <v/>
      </c>
      <c r="AE750" s="73">
        <f t="shared" si="16"/>
        <v>-3.155358621</v>
      </c>
      <c r="AF750" s="73">
        <f t="shared" si="17"/>
        <v>-1.740686581</v>
      </c>
      <c r="AG750" s="73">
        <f t="shared" si="18"/>
        <v>-2.380599106</v>
      </c>
      <c r="AH750" s="73">
        <f t="shared" si="19"/>
        <v>-1.79320266</v>
      </c>
      <c r="AI750" s="73">
        <f t="shared" si="20"/>
        <v>-3.240190514</v>
      </c>
      <c r="AJ750" s="73">
        <f t="shared" si="21"/>
        <v>-1.329092151</v>
      </c>
      <c r="AK750" s="73">
        <f t="shared" si="22"/>
        <v>0</v>
      </c>
      <c r="AL750" s="73">
        <f t="shared" si="23"/>
        <v>0</v>
      </c>
      <c r="AM750" s="73">
        <f t="shared" si="24"/>
        <v>0.433638093</v>
      </c>
      <c r="AN750" s="120">
        <f t="shared" si="25"/>
        <v>-3.240190514</v>
      </c>
      <c r="AO750" s="120">
        <f t="shared" si="26"/>
        <v>-6.395549135</v>
      </c>
      <c r="AP750" s="120" t="str">
        <f t="array" ref="AP750">INDIRECT("Update"&amp;Projections!$AH$17&amp;"!S"&amp;ROW(B731))</f>
        <v/>
      </c>
      <c r="AQ750" s="120" t="str">
        <f t="array" ref="AQ750">INDIRECT("Update"&amp;Projections!$AH$17&amp;"!T"&amp;ROW(B731))</f>
        <v/>
      </c>
      <c r="AR750" s="100">
        <f t="shared" si="27"/>
        <v>-9.965301026</v>
      </c>
    </row>
    <row r="751">
      <c r="A751" t="str">
        <f t="shared" si="3"/>
        <v/>
      </c>
      <c r="B751" s="42">
        <f t="shared" si="4"/>
        <v>-3.155358621</v>
      </c>
      <c r="C751" s="43">
        <f t="shared" si="5"/>
        <v>-1.740686581</v>
      </c>
      <c r="D751" s="42">
        <f t="shared" si="6"/>
        <v>-2.380599106</v>
      </c>
      <c r="E751" s="42">
        <f t="shared" si="7"/>
        <v>-1.79320266</v>
      </c>
      <c r="F751" s="42">
        <f t="shared" si="8"/>
        <v>-3.240190514</v>
      </c>
      <c r="G751" s="42">
        <f t="shared" si="9"/>
        <v>-1.329092151</v>
      </c>
      <c r="H751" s="42">
        <f t="shared" si="10"/>
        <v>0</v>
      </c>
      <c r="I751" s="42" t="str">
        <f>UpdateHashtag!S749</f>
        <v/>
      </c>
      <c r="J751" s="47">
        <f t="shared" si="11"/>
        <v>0</v>
      </c>
      <c r="K751" s="48" t="str">
        <f>UpdateHashtag!T749</f>
        <v/>
      </c>
      <c r="L751" s="42">
        <f t="shared" si="12"/>
        <v>-1.734552372</v>
      </c>
      <c r="N751" s="100">
        <f t="shared" si="13"/>
        <v>401</v>
      </c>
      <c r="O751" s="94" t="str">
        <f t="array" ref="O751">INDIRECT("Update"&amp;Projections!$AH$17&amp;"!B"&amp;ROW(B732))</f>
        <v/>
      </c>
      <c r="P751" s="414" t="str">
        <f t="array" ref="P751">INDIRECT("Update"&amp;Projections!$AH$17&amp;"!C"&amp;ROW(B732))</f>
        <v/>
      </c>
      <c r="Q751" s="94" t="str">
        <f>UpdateHashtag!F781</f>
        <v/>
      </c>
      <c r="R751" s="105" t="str">
        <f t="array" ref="R751">INDIRECT("Update"&amp;Projections!$AH$17&amp;"!D"&amp;ROW(B732))</f>
        <v/>
      </c>
      <c r="S751" s="73">
        <f t="shared" si="14"/>
        <v>-9.965301026</v>
      </c>
      <c r="T751" s="73">
        <f>SUM(AE751:AM751)-IFERROR(IFS(Projections!$I$17,AN751,Projections!$J$17,AO751),"")</f>
        <v>-9.965301026</v>
      </c>
      <c r="U751" s="73">
        <f t="shared" si="15"/>
        <v>0</v>
      </c>
      <c r="V751" s="73" t="str">
        <f t="array" ref="V751">INDIRECT("Update"&amp;Projections!$AH$17&amp;"!M"&amp;ROW(B732))</f>
        <v/>
      </c>
      <c r="W751" s="73" t="str">
        <f t="array" ref="W751">INDIRECT("Update"&amp;Projections!$AH$17&amp;"!L"&amp;ROW(B732))</f>
        <v/>
      </c>
      <c r="X751" s="73" t="str">
        <f t="array" ref="X751">INDIRECT("Update"&amp;Projections!$AH$17&amp;"!N"&amp;ROW(B732))</f>
        <v/>
      </c>
      <c r="Y751" s="73" t="str">
        <f t="array" ref="Y751">INDIRECT("Update"&amp;Projections!$AH$17&amp;"!O"&amp;ROW(B732))</f>
        <v/>
      </c>
      <c r="Z751" s="73" t="str">
        <f t="array" ref="Z751">INDIRECT("Update"&amp;Projections!$AH$17&amp;"!P"&amp;ROW(B732))</f>
        <v/>
      </c>
      <c r="AA751" s="73" t="str">
        <f t="array" ref="AA751">INDIRECT("Update"&amp;Projections!$AH$17&amp;"!Q"&amp;ROW(B732))</f>
        <v/>
      </c>
      <c r="AB751" s="107" t="str">
        <f t="array" ref="AB751">INDIRECT("Update"&amp;Projections!$AH$17&amp;"!I"&amp;ROW(B732))</f>
        <v/>
      </c>
      <c r="AC751" s="107" t="str">
        <f t="array" ref="AC751">INDIRECT("Update"&amp;Projections!$AH$17&amp;"!K"&amp;ROW(B732))</f>
        <v/>
      </c>
      <c r="AD751" s="73" t="str">
        <f t="array" ref="AD751">INDIRECT("Update"&amp;Projections!$AH$17&amp;"!R"&amp;ROW(B732))</f>
        <v/>
      </c>
      <c r="AE751" s="73">
        <f t="shared" si="16"/>
        <v>-3.155358621</v>
      </c>
      <c r="AF751" s="73">
        <f t="shared" si="17"/>
        <v>-1.740686581</v>
      </c>
      <c r="AG751" s="73">
        <f t="shared" si="18"/>
        <v>-2.380599106</v>
      </c>
      <c r="AH751" s="73">
        <f t="shared" si="19"/>
        <v>-1.79320266</v>
      </c>
      <c r="AI751" s="73">
        <f t="shared" si="20"/>
        <v>-3.240190514</v>
      </c>
      <c r="AJ751" s="73">
        <f t="shared" si="21"/>
        <v>-1.329092151</v>
      </c>
      <c r="AK751" s="73">
        <f t="shared" si="22"/>
        <v>0</v>
      </c>
      <c r="AL751" s="73">
        <f t="shared" si="23"/>
        <v>0</v>
      </c>
      <c r="AM751" s="73">
        <f t="shared" si="24"/>
        <v>0.433638093</v>
      </c>
      <c r="AN751" s="120">
        <f t="shared" si="25"/>
        <v>-3.240190514</v>
      </c>
      <c r="AO751" s="120">
        <f t="shared" si="26"/>
        <v>-6.395549135</v>
      </c>
      <c r="AP751" s="120" t="str">
        <f t="array" ref="AP751">INDIRECT("Update"&amp;Projections!$AH$17&amp;"!S"&amp;ROW(B732))</f>
        <v/>
      </c>
      <c r="AQ751" s="120" t="str">
        <f t="array" ref="AQ751">INDIRECT("Update"&amp;Projections!$AH$17&amp;"!T"&amp;ROW(B732))</f>
        <v/>
      </c>
      <c r="AR751" s="100">
        <f t="shared" si="27"/>
        <v>-9.965301026</v>
      </c>
    </row>
    <row r="752">
      <c r="A752" t="str">
        <f t="shared" si="3"/>
        <v/>
      </c>
      <c r="B752" s="42">
        <f t="shared" si="4"/>
        <v>-3.155358621</v>
      </c>
      <c r="C752" s="43">
        <f t="shared" si="5"/>
        <v>-1.740686581</v>
      </c>
      <c r="D752" s="42">
        <f t="shared" si="6"/>
        <v>-2.380599106</v>
      </c>
      <c r="E752" s="42">
        <f t="shared" si="7"/>
        <v>-1.79320266</v>
      </c>
      <c r="F752" s="42">
        <f t="shared" si="8"/>
        <v>-3.240190514</v>
      </c>
      <c r="G752" s="42">
        <f t="shared" si="9"/>
        <v>-1.329092151</v>
      </c>
      <c r="H752" s="42">
        <f t="shared" si="10"/>
        <v>0</v>
      </c>
      <c r="I752" s="42" t="str">
        <f>UpdateHashtag!S750</f>
        <v/>
      </c>
      <c r="J752" s="47">
        <f t="shared" si="11"/>
        <v>0</v>
      </c>
      <c r="K752" s="48" t="str">
        <f>UpdateHashtag!T750</f>
        <v/>
      </c>
      <c r="L752" s="42">
        <f t="shared" si="12"/>
        <v>-1.734552372</v>
      </c>
      <c r="N752" s="100">
        <f t="shared" si="13"/>
        <v>401</v>
      </c>
      <c r="O752" s="94" t="str">
        <f t="array" ref="O752">INDIRECT("Update"&amp;Projections!$AH$17&amp;"!B"&amp;ROW(B733))</f>
        <v/>
      </c>
      <c r="P752" s="414" t="str">
        <f t="array" ref="P752">INDIRECT("Update"&amp;Projections!$AH$17&amp;"!C"&amp;ROW(B733))</f>
        <v/>
      </c>
      <c r="Q752" s="94" t="str">
        <f>UpdateHashtag!F782</f>
        <v/>
      </c>
      <c r="R752" s="105" t="str">
        <f t="array" ref="R752">INDIRECT("Update"&amp;Projections!$AH$17&amp;"!D"&amp;ROW(B733))</f>
        <v/>
      </c>
      <c r="S752" s="73">
        <f t="shared" si="14"/>
        <v>-9.965301026</v>
      </c>
      <c r="T752" s="73">
        <f>SUM(AE752:AM752)-IFERROR(IFS(Projections!$I$17,AN752,Projections!$J$17,AO752),"")</f>
        <v>-9.965301026</v>
      </c>
      <c r="U752" s="73">
        <f t="shared" si="15"/>
        <v>0</v>
      </c>
      <c r="V752" s="73" t="str">
        <f t="array" ref="V752">INDIRECT("Update"&amp;Projections!$AH$17&amp;"!M"&amp;ROW(B733))</f>
        <v/>
      </c>
      <c r="W752" s="73" t="str">
        <f t="array" ref="W752">INDIRECT("Update"&amp;Projections!$AH$17&amp;"!L"&amp;ROW(B733))</f>
        <v/>
      </c>
      <c r="X752" s="73" t="str">
        <f t="array" ref="X752">INDIRECT("Update"&amp;Projections!$AH$17&amp;"!N"&amp;ROW(B733))</f>
        <v/>
      </c>
      <c r="Y752" s="73" t="str">
        <f t="array" ref="Y752">INDIRECT("Update"&amp;Projections!$AH$17&amp;"!O"&amp;ROW(B733))</f>
        <v/>
      </c>
      <c r="Z752" s="73" t="str">
        <f t="array" ref="Z752">INDIRECT("Update"&amp;Projections!$AH$17&amp;"!P"&amp;ROW(B733))</f>
        <v/>
      </c>
      <c r="AA752" s="73" t="str">
        <f t="array" ref="AA752">INDIRECT("Update"&amp;Projections!$AH$17&amp;"!Q"&amp;ROW(B733))</f>
        <v/>
      </c>
      <c r="AB752" s="107" t="str">
        <f t="array" ref="AB752">INDIRECT("Update"&amp;Projections!$AH$17&amp;"!I"&amp;ROW(B733))</f>
        <v/>
      </c>
      <c r="AC752" s="107" t="str">
        <f t="array" ref="AC752">INDIRECT("Update"&amp;Projections!$AH$17&amp;"!K"&amp;ROW(B733))</f>
        <v/>
      </c>
      <c r="AD752" s="73" t="str">
        <f t="array" ref="AD752">INDIRECT("Update"&amp;Projections!$AH$17&amp;"!R"&amp;ROW(B733))</f>
        <v/>
      </c>
      <c r="AE752" s="73">
        <f t="shared" si="16"/>
        <v>-3.155358621</v>
      </c>
      <c r="AF752" s="73">
        <f t="shared" si="17"/>
        <v>-1.740686581</v>
      </c>
      <c r="AG752" s="73">
        <f t="shared" si="18"/>
        <v>-2.380599106</v>
      </c>
      <c r="AH752" s="73">
        <f t="shared" si="19"/>
        <v>-1.79320266</v>
      </c>
      <c r="AI752" s="73">
        <f t="shared" si="20"/>
        <v>-3.240190514</v>
      </c>
      <c r="AJ752" s="73">
        <f t="shared" si="21"/>
        <v>-1.329092151</v>
      </c>
      <c r="AK752" s="73">
        <f t="shared" si="22"/>
        <v>0</v>
      </c>
      <c r="AL752" s="73">
        <f t="shared" si="23"/>
        <v>0</v>
      </c>
      <c r="AM752" s="73">
        <f t="shared" si="24"/>
        <v>0.433638093</v>
      </c>
      <c r="AN752" s="120">
        <f t="shared" si="25"/>
        <v>-3.240190514</v>
      </c>
      <c r="AO752" s="120">
        <f t="shared" si="26"/>
        <v>-6.395549135</v>
      </c>
      <c r="AP752" s="120" t="str">
        <f t="array" ref="AP752">INDIRECT("Update"&amp;Projections!$AH$17&amp;"!S"&amp;ROW(B733))</f>
        <v/>
      </c>
      <c r="AQ752" s="120" t="str">
        <f t="array" ref="AQ752">INDIRECT("Update"&amp;Projections!$AH$17&amp;"!T"&amp;ROW(B733))</f>
        <v/>
      </c>
      <c r="AR752" s="100">
        <f t="shared" si="27"/>
        <v>-9.965301026</v>
      </c>
    </row>
    <row r="753">
      <c r="A753" t="str">
        <f t="shared" si="3"/>
        <v/>
      </c>
      <c r="B753" s="42">
        <f t="shared" si="4"/>
        <v>-3.155358621</v>
      </c>
      <c r="C753" s="43">
        <f t="shared" si="5"/>
        <v>-1.740686581</v>
      </c>
      <c r="D753" s="42">
        <f t="shared" si="6"/>
        <v>-2.380599106</v>
      </c>
      <c r="E753" s="42">
        <f t="shared" si="7"/>
        <v>-1.79320266</v>
      </c>
      <c r="F753" s="42">
        <f t="shared" si="8"/>
        <v>-3.240190514</v>
      </c>
      <c r="G753" s="42">
        <f t="shared" si="9"/>
        <v>-1.329092151</v>
      </c>
      <c r="H753" s="42">
        <f t="shared" si="10"/>
        <v>0</v>
      </c>
      <c r="I753" s="42" t="str">
        <f>UpdateHashtag!S751</f>
        <v/>
      </c>
      <c r="J753" s="47">
        <f t="shared" si="11"/>
        <v>0</v>
      </c>
      <c r="K753" s="48" t="str">
        <f>UpdateHashtag!T751</f>
        <v/>
      </c>
      <c r="L753" s="42">
        <f t="shared" si="12"/>
        <v>-1.734552372</v>
      </c>
      <c r="N753" s="100">
        <f t="shared" si="13"/>
        <v>401</v>
      </c>
      <c r="O753" s="94" t="str">
        <f t="array" ref="O753">INDIRECT("Update"&amp;Projections!$AH$17&amp;"!B"&amp;ROW(B734))</f>
        <v/>
      </c>
      <c r="P753" s="414" t="str">
        <f t="array" ref="P753">INDIRECT("Update"&amp;Projections!$AH$17&amp;"!C"&amp;ROW(B734))</f>
        <v/>
      </c>
      <c r="Q753" s="94" t="str">
        <f>UpdateHashtag!F783</f>
        <v/>
      </c>
      <c r="R753" s="105" t="str">
        <f t="array" ref="R753">INDIRECT("Update"&amp;Projections!$AH$17&amp;"!D"&amp;ROW(B734))</f>
        <v/>
      </c>
      <c r="S753" s="73">
        <f t="shared" si="14"/>
        <v>-9.965301026</v>
      </c>
      <c r="T753" s="73">
        <f>SUM(AE753:AM753)-IFERROR(IFS(Projections!$I$17,AN753,Projections!$J$17,AO753),"")</f>
        <v>-9.965301026</v>
      </c>
      <c r="U753" s="73">
        <f t="shared" si="15"/>
        <v>0</v>
      </c>
      <c r="V753" s="73" t="str">
        <f t="array" ref="V753">INDIRECT("Update"&amp;Projections!$AH$17&amp;"!M"&amp;ROW(B734))</f>
        <v/>
      </c>
      <c r="W753" s="73" t="str">
        <f t="array" ref="W753">INDIRECT("Update"&amp;Projections!$AH$17&amp;"!L"&amp;ROW(B734))</f>
        <v/>
      </c>
      <c r="X753" s="73" t="str">
        <f t="array" ref="X753">INDIRECT("Update"&amp;Projections!$AH$17&amp;"!N"&amp;ROW(B734))</f>
        <v/>
      </c>
      <c r="Y753" s="73" t="str">
        <f t="array" ref="Y753">INDIRECT("Update"&amp;Projections!$AH$17&amp;"!O"&amp;ROW(B734))</f>
        <v/>
      </c>
      <c r="Z753" s="73" t="str">
        <f t="array" ref="Z753">INDIRECT("Update"&amp;Projections!$AH$17&amp;"!P"&amp;ROW(B734))</f>
        <v/>
      </c>
      <c r="AA753" s="73" t="str">
        <f t="array" ref="AA753">INDIRECT("Update"&amp;Projections!$AH$17&amp;"!Q"&amp;ROW(B734))</f>
        <v/>
      </c>
      <c r="AB753" s="107" t="str">
        <f t="array" ref="AB753">INDIRECT("Update"&amp;Projections!$AH$17&amp;"!I"&amp;ROW(B734))</f>
        <v/>
      </c>
      <c r="AC753" s="107" t="str">
        <f t="array" ref="AC753">INDIRECT("Update"&amp;Projections!$AH$17&amp;"!K"&amp;ROW(B734))</f>
        <v/>
      </c>
      <c r="AD753" s="73" t="str">
        <f t="array" ref="AD753">INDIRECT("Update"&amp;Projections!$AH$17&amp;"!R"&amp;ROW(B734))</f>
        <v/>
      </c>
      <c r="AE753" s="73">
        <f t="shared" si="16"/>
        <v>-3.155358621</v>
      </c>
      <c r="AF753" s="73">
        <f t="shared" si="17"/>
        <v>-1.740686581</v>
      </c>
      <c r="AG753" s="73">
        <f t="shared" si="18"/>
        <v>-2.380599106</v>
      </c>
      <c r="AH753" s="73">
        <f t="shared" si="19"/>
        <v>-1.79320266</v>
      </c>
      <c r="AI753" s="73">
        <f t="shared" si="20"/>
        <v>-3.240190514</v>
      </c>
      <c r="AJ753" s="73">
        <f t="shared" si="21"/>
        <v>-1.329092151</v>
      </c>
      <c r="AK753" s="73">
        <f t="shared" si="22"/>
        <v>0</v>
      </c>
      <c r="AL753" s="73">
        <f t="shared" si="23"/>
        <v>0</v>
      </c>
      <c r="AM753" s="73">
        <f t="shared" si="24"/>
        <v>0.433638093</v>
      </c>
      <c r="AN753" s="120">
        <f t="shared" si="25"/>
        <v>-3.240190514</v>
      </c>
      <c r="AO753" s="120">
        <f t="shared" si="26"/>
        <v>-6.395549135</v>
      </c>
      <c r="AP753" s="120" t="str">
        <f t="array" ref="AP753">INDIRECT("Update"&amp;Projections!$AH$17&amp;"!S"&amp;ROW(B734))</f>
        <v/>
      </c>
      <c r="AQ753" s="120" t="str">
        <f t="array" ref="AQ753">INDIRECT("Update"&amp;Projections!$AH$17&amp;"!T"&amp;ROW(B734))</f>
        <v/>
      </c>
      <c r="AR753" s="100">
        <f t="shared" si="27"/>
        <v>-9.965301026</v>
      </c>
    </row>
    <row r="754">
      <c r="A754" t="str">
        <f t="shared" si="3"/>
        <v/>
      </c>
      <c r="B754" s="42">
        <f t="shared" si="4"/>
        <v>-3.155358621</v>
      </c>
      <c r="C754" s="43">
        <f t="shared" si="5"/>
        <v>-1.740686581</v>
      </c>
      <c r="D754" s="42">
        <f t="shared" si="6"/>
        <v>-2.380599106</v>
      </c>
      <c r="E754" s="42">
        <f t="shared" si="7"/>
        <v>-1.79320266</v>
      </c>
      <c r="F754" s="42">
        <f t="shared" si="8"/>
        <v>-3.240190514</v>
      </c>
      <c r="G754" s="42">
        <f t="shared" si="9"/>
        <v>-1.329092151</v>
      </c>
      <c r="H754" s="42">
        <f t="shared" si="10"/>
        <v>0</v>
      </c>
      <c r="I754" s="42" t="str">
        <f>UpdateHashtag!S752</f>
        <v/>
      </c>
      <c r="J754" s="47">
        <f t="shared" si="11"/>
        <v>0</v>
      </c>
      <c r="K754" s="48" t="str">
        <f>UpdateHashtag!T752</f>
        <v/>
      </c>
      <c r="L754" s="42">
        <f t="shared" si="12"/>
        <v>-1.734552372</v>
      </c>
      <c r="N754" s="100">
        <f t="shared" si="13"/>
        <v>401</v>
      </c>
      <c r="O754" s="94" t="str">
        <f t="array" ref="O754">INDIRECT("Update"&amp;Projections!$AH$17&amp;"!B"&amp;ROW(B735))</f>
        <v/>
      </c>
      <c r="P754" s="414" t="str">
        <f t="array" ref="P754">INDIRECT("Update"&amp;Projections!$AH$17&amp;"!C"&amp;ROW(B735))</f>
        <v/>
      </c>
      <c r="Q754" s="94" t="str">
        <f>UpdateHashtag!F784</f>
        <v/>
      </c>
      <c r="R754" s="105" t="str">
        <f t="array" ref="R754">INDIRECT("Update"&amp;Projections!$AH$17&amp;"!D"&amp;ROW(B735))</f>
        <v/>
      </c>
      <c r="S754" s="73">
        <f t="shared" si="14"/>
        <v>-9.965301026</v>
      </c>
      <c r="T754" s="73">
        <f>SUM(AE754:AM754)-IFERROR(IFS(Projections!$I$17,AN754,Projections!$J$17,AO754),"")</f>
        <v>-9.965301026</v>
      </c>
      <c r="U754" s="73">
        <f t="shared" si="15"/>
        <v>0</v>
      </c>
      <c r="V754" s="73" t="str">
        <f t="array" ref="V754">INDIRECT("Update"&amp;Projections!$AH$17&amp;"!M"&amp;ROW(B735))</f>
        <v/>
      </c>
      <c r="W754" s="73" t="str">
        <f t="array" ref="W754">INDIRECT("Update"&amp;Projections!$AH$17&amp;"!L"&amp;ROW(B735))</f>
        <v/>
      </c>
      <c r="X754" s="73" t="str">
        <f t="array" ref="X754">INDIRECT("Update"&amp;Projections!$AH$17&amp;"!N"&amp;ROW(B735))</f>
        <v/>
      </c>
      <c r="Y754" s="73" t="str">
        <f t="array" ref="Y754">INDIRECT("Update"&amp;Projections!$AH$17&amp;"!O"&amp;ROW(B735))</f>
        <v/>
      </c>
      <c r="Z754" s="73" t="str">
        <f t="array" ref="Z754">INDIRECT("Update"&amp;Projections!$AH$17&amp;"!P"&amp;ROW(B735))</f>
        <v/>
      </c>
      <c r="AA754" s="73" t="str">
        <f t="array" ref="AA754">INDIRECT("Update"&amp;Projections!$AH$17&amp;"!Q"&amp;ROW(B735))</f>
        <v/>
      </c>
      <c r="AB754" s="107" t="str">
        <f t="array" ref="AB754">INDIRECT("Update"&amp;Projections!$AH$17&amp;"!I"&amp;ROW(B735))</f>
        <v/>
      </c>
      <c r="AC754" s="107" t="str">
        <f t="array" ref="AC754">INDIRECT("Update"&amp;Projections!$AH$17&amp;"!K"&amp;ROW(B735))</f>
        <v/>
      </c>
      <c r="AD754" s="73" t="str">
        <f t="array" ref="AD754">INDIRECT("Update"&amp;Projections!$AH$17&amp;"!R"&amp;ROW(B735))</f>
        <v/>
      </c>
      <c r="AE754" s="73">
        <f t="shared" si="16"/>
        <v>-3.155358621</v>
      </c>
      <c r="AF754" s="73">
        <f t="shared" si="17"/>
        <v>-1.740686581</v>
      </c>
      <c r="AG754" s="73">
        <f t="shared" si="18"/>
        <v>-2.380599106</v>
      </c>
      <c r="AH754" s="73">
        <f t="shared" si="19"/>
        <v>-1.79320266</v>
      </c>
      <c r="AI754" s="73">
        <f t="shared" si="20"/>
        <v>-3.240190514</v>
      </c>
      <c r="AJ754" s="73">
        <f t="shared" si="21"/>
        <v>-1.329092151</v>
      </c>
      <c r="AK754" s="73">
        <f t="shared" si="22"/>
        <v>0</v>
      </c>
      <c r="AL754" s="73">
        <f t="shared" si="23"/>
        <v>0</v>
      </c>
      <c r="AM754" s="73">
        <f t="shared" si="24"/>
        <v>0.433638093</v>
      </c>
      <c r="AN754" s="120">
        <f t="shared" si="25"/>
        <v>-3.240190514</v>
      </c>
      <c r="AO754" s="120">
        <f t="shared" si="26"/>
        <v>-6.395549135</v>
      </c>
      <c r="AP754" s="120" t="str">
        <f t="array" ref="AP754">INDIRECT("Update"&amp;Projections!$AH$17&amp;"!S"&amp;ROW(B735))</f>
        <v/>
      </c>
      <c r="AQ754" s="120" t="str">
        <f t="array" ref="AQ754">INDIRECT("Update"&amp;Projections!$AH$17&amp;"!T"&amp;ROW(B735))</f>
        <v/>
      </c>
      <c r="AR754" s="100">
        <f t="shared" si="27"/>
        <v>-9.965301026</v>
      </c>
    </row>
    <row r="755">
      <c r="A755" t="str">
        <f t="shared" si="3"/>
        <v/>
      </c>
      <c r="B755" s="42">
        <f t="shared" si="4"/>
        <v>-3.155358621</v>
      </c>
      <c r="C755" s="43">
        <f t="shared" si="5"/>
        <v>-1.740686581</v>
      </c>
      <c r="D755" s="42">
        <f t="shared" si="6"/>
        <v>-2.380599106</v>
      </c>
      <c r="E755" s="42">
        <f t="shared" si="7"/>
        <v>-1.79320266</v>
      </c>
      <c r="F755" s="42">
        <f t="shared" si="8"/>
        <v>-3.240190514</v>
      </c>
      <c r="G755" s="42">
        <f t="shared" si="9"/>
        <v>-1.329092151</v>
      </c>
      <c r="H755" s="42">
        <f t="shared" si="10"/>
        <v>0</v>
      </c>
      <c r="I755" s="42" t="str">
        <f>UpdateHashtag!S753</f>
        <v/>
      </c>
      <c r="J755" s="47">
        <f t="shared" si="11"/>
        <v>0</v>
      </c>
      <c r="K755" s="48" t="str">
        <f>UpdateHashtag!T753</f>
        <v/>
      </c>
      <c r="L755" s="42">
        <f t="shared" si="12"/>
        <v>-1.734552372</v>
      </c>
      <c r="N755" s="100">
        <f t="shared" si="13"/>
        <v>401</v>
      </c>
      <c r="O755" s="94" t="str">
        <f t="array" ref="O755">INDIRECT("Update"&amp;Projections!$AH$17&amp;"!B"&amp;ROW(B736))</f>
        <v/>
      </c>
      <c r="P755" s="414" t="str">
        <f t="array" ref="P755">INDIRECT("Update"&amp;Projections!$AH$17&amp;"!C"&amp;ROW(B736))</f>
        <v/>
      </c>
      <c r="Q755" s="94" t="str">
        <f>UpdateHashtag!F785</f>
        <v/>
      </c>
      <c r="R755" s="105" t="str">
        <f t="array" ref="R755">INDIRECT("Update"&amp;Projections!$AH$17&amp;"!D"&amp;ROW(B736))</f>
        <v/>
      </c>
      <c r="S755" s="73">
        <f t="shared" si="14"/>
        <v>-9.965301026</v>
      </c>
      <c r="T755" s="73">
        <f>SUM(AE755:AM755)-IFERROR(IFS(Projections!$I$17,AN755,Projections!$J$17,AO755),"")</f>
        <v>-9.965301026</v>
      </c>
      <c r="U755" s="73">
        <f t="shared" si="15"/>
        <v>0</v>
      </c>
      <c r="V755" s="73" t="str">
        <f t="array" ref="V755">INDIRECT("Update"&amp;Projections!$AH$17&amp;"!M"&amp;ROW(B736))</f>
        <v/>
      </c>
      <c r="W755" s="73" t="str">
        <f t="array" ref="W755">INDIRECT("Update"&amp;Projections!$AH$17&amp;"!L"&amp;ROW(B736))</f>
        <v/>
      </c>
      <c r="X755" s="73" t="str">
        <f t="array" ref="X755">INDIRECT("Update"&amp;Projections!$AH$17&amp;"!N"&amp;ROW(B736))</f>
        <v/>
      </c>
      <c r="Y755" s="73" t="str">
        <f t="array" ref="Y755">INDIRECT("Update"&amp;Projections!$AH$17&amp;"!O"&amp;ROW(B736))</f>
        <v/>
      </c>
      <c r="Z755" s="73" t="str">
        <f t="array" ref="Z755">INDIRECT("Update"&amp;Projections!$AH$17&amp;"!P"&amp;ROW(B736))</f>
        <v/>
      </c>
      <c r="AA755" s="73" t="str">
        <f t="array" ref="AA755">INDIRECT("Update"&amp;Projections!$AH$17&amp;"!Q"&amp;ROW(B736))</f>
        <v/>
      </c>
      <c r="AB755" s="107" t="str">
        <f t="array" ref="AB755">INDIRECT("Update"&amp;Projections!$AH$17&amp;"!I"&amp;ROW(B736))</f>
        <v/>
      </c>
      <c r="AC755" s="107" t="str">
        <f t="array" ref="AC755">INDIRECT("Update"&amp;Projections!$AH$17&amp;"!K"&amp;ROW(B736))</f>
        <v/>
      </c>
      <c r="AD755" s="73" t="str">
        <f t="array" ref="AD755">INDIRECT("Update"&amp;Projections!$AH$17&amp;"!R"&amp;ROW(B736))</f>
        <v/>
      </c>
      <c r="AE755" s="73">
        <f t="shared" si="16"/>
        <v>-3.155358621</v>
      </c>
      <c r="AF755" s="73">
        <f t="shared" si="17"/>
        <v>-1.740686581</v>
      </c>
      <c r="AG755" s="73">
        <f t="shared" si="18"/>
        <v>-2.380599106</v>
      </c>
      <c r="AH755" s="73">
        <f t="shared" si="19"/>
        <v>-1.79320266</v>
      </c>
      <c r="AI755" s="73">
        <f t="shared" si="20"/>
        <v>-3.240190514</v>
      </c>
      <c r="AJ755" s="73">
        <f t="shared" si="21"/>
        <v>-1.329092151</v>
      </c>
      <c r="AK755" s="73">
        <f t="shared" si="22"/>
        <v>0</v>
      </c>
      <c r="AL755" s="73">
        <f t="shared" si="23"/>
        <v>0</v>
      </c>
      <c r="AM755" s="73">
        <f t="shared" si="24"/>
        <v>0.433638093</v>
      </c>
      <c r="AN755" s="120">
        <f t="shared" si="25"/>
        <v>-3.240190514</v>
      </c>
      <c r="AO755" s="120">
        <f t="shared" si="26"/>
        <v>-6.395549135</v>
      </c>
      <c r="AP755" s="120" t="str">
        <f t="array" ref="AP755">INDIRECT("Update"&amp;Projections!$AH$17&amp;"!S"&amp;ROW(B736))</f>
        <v/>
      </c>
      <c r="AQ755" s="120" t="str">
        <f t="array" ref="AQ755">INDIRECT("Update"&amp;Projections!$AH$17&amp;"!T"&amp;ROW(B736))</f>
        <v/>
      </c>
      <c r="AR755" s="100">
        <f t="shared" si="27"/>
        <v>-9.965301026</v>
      </c>
    </row>
    <row r="756">
      <c r="A756" t="str">
        <f t="shared" si="3"/>
        <v/>
      </c>
      <c r="B756" s="42">
        <f t="shared" si="4"/>
        <v>-3.155358621</v>
      </c>
      <c r="C756" s="43">
        <f t="shared" si="5"/>
        <v>-1.740686581</v>
      </c>
      <c r="D756" s="42">
        <f t="shared" si="6"/>
        <v>-2.380599106</v>
      </c>
      <c r="E756" s="42">
        <f t="shared" si="7"/>
        <v>-1.79320266</v>
      </c>
      <c r="F756" s="42">
        <f t="shared" si="8"/>
        <v>-3.240190514</v>
      </c>
      <c r="G756" s="42">
        <f t="shared" si="9"/>
        <v>-1.329092151</v>
      </c>
      <c r="H756" s="42">
        <f t="shared" si="10"/>
        <v>0</v>
      </c>
      <c r="I756" s="42" t="str">
        <f>UpdateHashtag!S754</f>
        <v/>
      </c>
      <c r="J756" s="47">
        <f t="shared" si="11"/>
        <v>0</v>
      </c>
      <c r="K756" s="48" t="str">
        <f>UpdateHashtag!T754</f>
        <v/>
      </c>
      <c r="L756" s="42">
        <f t="shared" si="12"/>
        <v>-1.734552372</v>
      </c>
      <c r="N756" s="100">
        <f t="shared" si="13"/>
        <v>401</v>
      </c>
      <c r="O756" s="94" t="str">
        <f t="array" ref="O756">INDIRECT("Update"&amp;Projections!$AH$17&amp;"!B"&amp;ROW(B737))</f>
        <v/>
      </c>
      <c r="P756" s="414" t="str">
        <f t="array" ref="P756">INDIRECT("Update"&amp;Projections!$AH$17&amp;"!C"&amp;ROW(B737))</f>
        <v/>
      </c>
      <c r="Q756" s="94" t="str">
        <f>UpdateHashtag!F786</f>
        <v/>
      </c>
      <c r="R756" s="105" t="str">
        <f t="array" ref="R756">INDIRECT("Update"&amp;Projections!$AH$17&amp;"!D"&amp;ROW(B737))</f>
        <v/>
      </c>
      <c r="S756" s="73">
        <f t="shared" si="14"/>
        <v>-9.965301026</v>
      </c>
      <c r="T756" s="73">
        <f>SUM(AE756:AM756)-IFERROR(IFS(Projections!$I$17,AN756,Projections!$J$17,AO756),"")</f>
        <v>-9.965301026</v>
      </c>
      <c r="U756" s="73">
        <f t="shared" si="15"/>
        <v>0</v>
      </c>
      <c r="V756" s="73" t="str">
        <f t="array" ref="V756">INDIRECT("Update"&amp;Projections!$AH$17&amp;"!M"&amp;ROW(B737))</f>
        <v/>
      </c>
      <c r="W756" s="73" t="str">
        <f t="array" ref="W756">INDIRECT("Update"&amp;Projections!$AH$17&amp;"!L"&amp;ROW(B737))</f>
        <v/>
      </c>
      <c r="X756" s="73" t="str">
        <f t="array" ref="X756">INDIRECT("Update"&amp;Projections!$AH$17&amp;"!N"&amp;ROW(B737))</f>
        <v/>
      </c>
      <c r="Y756" s="73" t="str">
        <f t="array" ref="Y756">INDIRECT("Update"&amp;Projections!$AH$17&amp;"!O"&amp;ROW(B737))</f>
        <v/>
      </c>
      <c r="Z756" s="73" t="str">
        <f t="array" ref="Z756">INDIRECT("Update"&amp;Projections!$AH$17&amp;"!P"&amp;ROW(B737))</f>
        <v/>
      </c>
      <c r="AA756" s="73" t="str">
        <f t="array" ref="AA756">INDIRECT("Update"&amp;Projections!$AH$17&amp;"!Q"&amp;ROW(B737))</f>
        <v/>
      </c>
      <c r="AB756" s="107" t="str">
        <f t="array" ref="AB756">INDIRECT("Update"&amp;Projections!$AH$17&amp;"!I"&amp;ROW(B737))</f>
        <v/>
      </c>
      <c r="AC756" s="107" t="str">
        <f t="array" ref="AC756">INDIRECT("Update"&amp;Projections!$AH$17&amp;"!K"&amp;ROW(B737))</f>
        <v/>
      </c>
      <c r="AD756" s="73" t="str">
        <f t="array" ref="AD756">INDIRECT("Update"&amp;Projections!$AH$17&amp;"!R"&amp;ROW(B737))</f>
        <v/>
      </c>
      <c r="AE756" s="73">
        <f t="shared" si="16"/>
        <v>-3.155358621</v>
      </c>
      <c r="AF756" s="73">
        <f t="shared" si="17"/>
        <v>-1.740686581</v>
      </c>
      <c r="AG756" s="73">
        <f t="shared" si="18"/>
        <v>-2.380599106</v>
      </c>
      <c r="AH756" s="73">
        <f t="shared" si="19"/>
        <v>-1.79320266</v>
      </c>
      <c r="AI756" s="73">
        <f t="shared" si="20"/>
        <v>-3.240190514</v>
      </c>
      <c r="AJ756" s="73">
        <f t="shared" si="21"/>
        <v>-1.329092151</v>
      </c>
      <c r="AK756" s="73">
        <f t="shared" si="22"/>
        <v>0</v>
      </c>
      <c r="AL756" s="73">
        <f t="shared" si="23"/>
        <v>0</v>
      </c>
      <c r="AM756" s="73">
        <f t="shared" si="24"/>
        <v>0.433638093</v>
      </c>
      <c r="AN756" s="120">
        <f t="shared" si="25"/>
        <v>-3.240190514</v>
      </c>
      <c r="AO756" s="120">
        <f t="shared" si="26"/>
        <v>-6.395549135</v>
      </c>
      <c r="AP756" s="120" t="str">
        <f t="array" ref="AP756">INDIRECT("Update"&amp;Projections!$AH$17&amp;"!S"&amp;ROW(B737))</f>
        <v/>
      </c>
      <c r="AQ756" s="120" t="str">
        <f t="array" ref="AQ756">INDIRECT("Update"&amp;Projections!$AH$17&amp;"!T"&amp;ROW(B737))</f>
        <v/>
      </c>
      <c r="AR756" s="100">
        <f t="shared" si="27"/>
        <v>-9.965301026</v>
      </c>
    </row>
    <row r="757">
      <c r="A757" t="str">
        <f t="shared" si="3"/>
        <v/>
      </c>
      <c r="B757" s="42">
        <f t="shared" si="4"/>
        <v>-3.155358621</v>
      </c>
      <c r="C757" s="43">
        <f t="shared" si="5"/>
        <v>-1.740686581</v>
      </c>
      <c r="D757" s="42">
        <f t="shared" si="6"/>
        <v>-2.380599106</v>
      </c>
      <c r="E757" s="42">
        <f t="shared" si="7"/>
        <v>-1.79320266</v>
      </c>
      <c r="F757" s="42">
        <f t="shared" si="8"/>
        <v>-3.240190514</v>
      </c>
      <c r="G757" s="42">
        <f t="shared" si="9"/>
        <v>-1.329092151</v>
      </c>
      <c r="H757" s="42">
        <f t="shared" si="10"/>
        <v>0</v>
      </c>
      <c r="I757" s="42" t="str">
        <f>UpdateHashtag!S755</f>
        <v/>
      </c>
      <c r="J757" s="47">
        <f t="shared" si="11"/>
        <v>0</v>
      </c>
      <c r="K757" s="48" t="str">
        <f>UpdateHashtag!T755</f>
        <v/>
      </c>
      <c r="L757" s="42">
        <f t="shared" si="12"/>
        <v>-1.734552372</v>
      </c>
      <c r="N757" s="100">
        <f t="shared" si="13"/>
        <v>401</v>
      </c>
      <c r="O757" s="94" t="str">
        <f t="array" ref="O757">INDIRECT("Update"&amp;Projections!$AH$17&amp;"!B"&amp;ROW(B738))</f>
        <v/>
      </c>
      <c r="P757" s="414" t="str">
        <f t="array" ref="P757">INDIRECT("Update"&amp;Projections!$AH$17&amp;"!C"&amp;ROW(B738))</f>
        <v/>
      </c>
      <c r="Q757" s="94" t="str">
        <f>UpdateHashtag!F787</f>
        <v/>
      </c>
      <c r="R757" s="105" t="str">
        <f t="array" ref="R757">INDIRECT("Update"&amp;Projections!$AH$17&amp;"!D"&amp;ROW(B738))</f>
        <v/>
      </c>
      <c r="S757" s="73">
        <f t="shared" si="14"/>
        <v>-9.965301026</v>
      </c>
      <c r="T757" s="73">
        <f>SUM(AE757:AM757)-IFERROR(IFS(Projections!$I$17,AN757,Projections!$J$17,AO757),"")</f>
        <v>-9.965301026</v>
      </c>
      <c r="U757" s="73">
        <f t="shared" si="15"/>
        <v>0</v>
      </c>
      <c r="V757" s="73" t="str">
        <f t="array" ref="V757">INDIRECT("Update"&amp;Projections!$AH$17&amp;"!M"&amp;ROW(B738))</f>
        <v/>
      </c>
      <c r="W757" s="73" t="str">
        <f t="array" ref="W757">INDIRECT("Update"&amp;Projections!$AH$17&amp;"!L"&amp;ROW(B738))</f>
        <v/>
      </c>
      <c r="X757" s="73" t="str">
        <f t="array" ref="X757">INDIRECT("Update"&amp;Projections!$AH$17&amp;"!N"&amp;ROW(B738))</f>
        <v/>
      </c>
      <c r="Y757" s="73" t="str">
        <f t="array" ref="Y757">INDIRECT("Update"&amp;Projections!$AH$17&amp;"!O"&amp;ROW(B738))</f>
        <v/>
      </c>
      <c r="Z757" s="73" t="str">
        <f t="array" ref="Z757">INDIRECT("Update"&amp;Projections!$AH$17&amp;"!P"&amp;ROW(B738))</f>
        <v/>
      </c>
      <c r="AA757" s="73" t="str">
        <f t="array" ref="AA757">INDIRECT("Update"&amp;Projections!$AH$17&amp;"!Q"&amp;ROW(B738))</f>
        <v/>
      </c>
      <c r="AB757" s="107" t="str">
        <f t="array" ref="AB757">INDIRECT("Update"&amp;Projections!$AH$17&amp;"!I"&amp;ROW(B738))</f>
        <v/>
      </c>
      <c r="AC757" s="107" t="str">
        <f t="array" ref="AC757">INDIRECT("Update"&amp;Projections!$AH$17&amp;"!K"&amp;ROW(B738))</f>
        <v/>
      </c>
      <c r="AD757" s="73" t="str">
        <f t="array" ref="AD757">INDIRECT("Update"&amp;Projections!$AH$17&amp;"!R"&amp;ROW(B738))</f>
        <v/>
      </c>
      <c r="AE757" s="73">
        <f t="shared" si="16"/>
        <v>-3.155358621</v>
      </c>
      <c r="AF757" s="73">
        <f t="shared" si="17"/>
        <v>-1.740686581</v>
      </c>
      <c r="AG757" s="73">
        <f t="shared" si="18"/>
        <v>-2.380599106</v>
      </c>
      <c r="AH757" s="73">
        <f t="shared" si="19"/>
        <v>-1.79320266</v>
      </c>
      <c r="AI757" s="73">
        <f t="shared" si="20"/>
        <v>-3.240190514</v>
      </c>
      <c r="AJ757" s="73">
        <f t="shared" si="21"/>
        <v>-1.329092151</v>
      </c>
      <c r="AK757" s="73">
        <f t="shared" si="22"/>
        <v>0</v>
      </c>
      <c r="AL757" s="73">
        <f t="shared" si="23"/>
        <v>0</v>
      </c>
      <c r="AM757" s="73">
        <f t="shared" si="24"/>
        <v>0.433638093</v>
      </c>
      <c r="AN757" s="120">
        <f t="shared" si="25"/>
        <v>-3.240190514</v>
      </c>
      <c r="AO757" s="120">
        <f t="shared" si="26"/>
        <v>-6.395549135</v>
      </c>
      <c r="AP757" s="120" t="str">
        <f t="array" ref="AP757">INDIRECT("Update"&amp;Projections!$AH$17&amp;"!S"&amp;ROW(B738))</f>
        <v/>
      </c>
      <c r="AQ757" s="120" t="str">
        <f t="array" ref="AQ757">INDIRECT("Update"&amp;Projections!$AH$17&amp;"!T"&amp;ROW(B738))</f>
        <v/>
      </c>
      <c r="AR757" s="100">
        <f t="shared" si="27"/>
        <v>-9.965301026</v>
      </c>
    </row>
    <row r="758">
      <c r="A758" t="str">
        <f t="shared" si="3"/>
        <v/>
      </c>
      <c r="B758" s="42">
        <f t="shared" si="4"/>
        <v>-3.155358621</v>
      </c>
      <c r="C758" s="43">
        <f t="shared" si="5"/>
        <v>-1.740686581</v>
      </c>
      <c r="D758" s="42">
        <f t="shared" si="6"/>
        <v>-2.380599106</v>
      </c>
      <c r="E758" s="42">
        <f t="shared" si="7"/>
        <v>-1.79320266</v>
      </c>
      <c r="F758" s="42">
        <f t="shared" si="8"/>
        <v>-3.240190514</v>
      </c>
      <c r="G758" s="42">
        <f t="shared" si="9"/>
        <v>-1.329092151</v>
      </c>
      <c r="H758" s="42">
        <f t="shared" si="10"/>
        <v>0</v>
      </c>
      <c r="I758" s="42" t="str">
        <f>UpdateHashtag!S756</f>
        <v/>
      </c>
      <c r="J758" s="47">
        <f t="shared" si="11"/>
        <v>0</v>
      </c>
      <c r="K758" s="48" t="str">
        <f>UpdateHashtag!T756</f>
        <v/>
      </c>
      <c r="L758" s="42">
        <f t="shared" si="12"/>
        <v>-1.734552372</v>
      </c>
      <c r="N758" s="100">
        <f t="shared" si="13"/>
        <v>401</v>
      </c>
      <c r="O758" s="94" t="str">
        <f t="array" ref="O758">INDIRECT("Update"&amp;Projections!$AH$17&amp;"!B"&amp;ROW(B739))</f>
        <v/>
      </c>
      <c r="P758" s="414" t="str">
        <f t="array" ref="P758">INDIRECT("Update"&amp;Projections!$AH$17&amp;"!C"&amp;ROW(B739))</f>
        <v/>
      </c>
      <c r="Q758" s="94" t="str">
        <f>UpdateHashtag!F788</f>
        <v/>
      </c>
      <c r="R758" s="105" t="str">
        <f t="array" ref="R758">INDIRECT("Update"&amp;Projections!$AH$17&amp;"!D"&amp;ROW(B739))</f>
        <v/>
      </c>
      <c r="S758" s="73">
        <f t="shared" si="14"/>
        <v>-9.965301026</v>
      </c>
      <c r="T758" s="73">
        <f>SUM(AE758:AM758)-IFERROR(IFS(Projections!$I$17,AN758,Projections!$J$17,AO758),"")</f>
        <v>-9.965301026</v>
      </c>
      <c r="U758" s="73">
        <f t="shared" si="15"/>
        <v>0</v>
      </c>
      <c r="V758" s="73" t="str">
        <f t="array" ref="V758">INDIRECT("Update"&amp;Projections!$AH$17&amp;"!M"&amp;ROW(B739))</f>
        <v/>
      </c>
      <c r="W758" s="73" t="str">
        <f t="array" ref="W758">INDIRECT("Update"&amp;Projections!$AH$17&amp;"!L"&amp;ROW(B739))</f>
        <v/>
      </c>
      <c r="X758" s="73" t="str">
        <f t="array" ref="X758">INDIRECT("Update"&amp;Projections!$AH$17&amp;"!N"&amp;ROW(B739))</f>
        <v/>
      </c>
      <c r="Y758" s="73" t="str">
        <f t="array" ref="Y758">INDIRECT("Update"&amp;Projections!$AH$17&amp;"!O"&amp;ROW(B739))</f>
        <v/>
      </c>
      <c r="Z758" s="73" t="str">
        <f t="array" ref="Z758">INDIRECT("Update"&amp;Projections!$AH$17&amp;"!P"&amp;ROW(B739))</f>
        <v/>
      </c>
      <c r="AA758" s="73" t="str">
        <f t="array" ref="AA758">INDIRECT("Update"&amp;Projections!$AH$17&amp;"!Q"&amp;ROW(B739))</f>
        <v/>
      </c>
      <c r="AB758" s="107" t="str">
        <f t="array" ref="AB758">INDIRECT("Update"&amp;Projections!$AH$17&amp;"!I"&amp;ROW(B739))</f>
        <v/>
      </c>
      <c r="AC758" s="107" t="str">
        <f t="array" ref="AC758">INDIRECT("Update"&amp;Projections!$AH$17&amp;"!K"&amp;ROW(B739))</f>
        <v/>
      </c>
      <c r="AD758" s="73" t="str">
        <f t="array" ref="AD758">INDIRECT("Update"&amp;Projections!$AH$17&amp;"!R"&amp;ROW(B739))</f>
        <v/>
      </c>
      <c r="AE758" s="73">
        <f t="shared" si="16"/>
        <v>-3.155358621</v>
      </c>
      <c r="AF758" s="73">
        <f t="shared" si="17"/>
        <v>-1.740686581</v>
      </c>
      <c r="AG758" s="73">
        <f t="shared" si="18"/>
        <v>-2.380599106</v>
      </c>
      <c r="AH758" s="73">
        <f t="shared" si="19"/>
        <v>-1.79320266</v>
      </c>
      <c r="AI758" s="73">
        <f t="shared" si="20"/>
        <v>-3.240190514</v>
      </c>
      <c r="AJ758" s="73">
        <f t="shared" si="21"/>
        <v>-1.329092151</v>
      </c>
      <c r="AK758" s="73">
        <f t="shared" si="22"/>
        <v>0</v>
      </c>
      <c r="AL758" s="73">
        <f t="shared" si="23"/>
        <v>0</v>
      </c>
      <c r="AM758" s="73">
        <f t="shared" si="24"/>
        <v>0.433638093</v>
      </c>
      <c r="AN758" s="120">
        <f t="shared" si="25"/>
        <v>-3.240190514</v>
      </c>
      <c r="AO758" s="120">
        <f t="shared" si="26"/>
        <v>-6.395549135</v>
      </c>
      <c r="AP758" s="120" t="str">
        <f t="array" ref="AP758">INDIRECT("Update"&amp;Projections!$AH$17&amp;"!S"&amp;ROW(B739))</f>
        <v/>
      </c>
      <c r="AQ758" s="120" t="str">
        <f t="array" ref="AQ758">INDIRECT("Update"&amp;Projections!$AH$17&amp;"!T"&amp;ROW(B739))</f>
        <v/>
      </c>
      <c r="AR758" s="100">
        <f t="shared" si="27"/>
        <v>-9.965301026</v>
      </c>
    </row>
    <row r="759">
      <c r="A759" t="str">
        <f t="shared" si="3"/>
        <v/>
      </c>
      <c r="B759" s="42">
        <f t="shared" si="4"/>
        <v>-3.155358621</v>
      </c>
      <c r="C759" s="43">
        <f t="shared" si="5"/>
        <v>-1.740686581</v>
      </c>
      <c r="D759" s="42">
        <f t="shared" si="6"/>
        <v>-2.380599106</v>
      </c>
      <c r="E759" s="42">
        <f t="shared" si="7"/>
        <v>-1.79320266</v>
      </c>
      <c r="F759" s="42">
        <f t="shared" si="8"/>
        <v>-3.240190514</v>
      </c>
      <c r="G759" s="42">
        <f t="shared" si="9"/>
        <v>-1.329092151</v>
      </c>
      <c r="H759" s="42">
        <f t="shared" si="10"/>
        <v>0</v>
      </c>
      <c r="I759" s="42" t="str">
        <f>UpdateHashtag!S757</f>
        <v/>
      </c>
      <c r="J759" s="47">
        <f t="shared" si="11"/>
        <v>0</v>
      </c>
      <c r="K759" s="48" t="str">
        <f>UpdateHashtag!T757</f>
        <v/>
      </c>
      <c r="L759" s="42">
        <f t="shared" si="12"/>
        <v>-1.734552372</v>
      </c>
      <c r="N759" s="100">
        <f t="shared" si="13"/>
        <v>401</v>
      </c>
      <c r="O759" s="94" t="str">
        <f t="array" ref="O759">INDIRECT("Update"&amp;Projections!$AH$17&amp;"!B"&amp;ROW(B740))</f>
        <v/>
      </c>
      <c r="P759" s="414" t="str">
        <f t="array" ref="P759">INDIRECT("Update"&amp;Projections!$AH$17&amp;"!C"&amp;ROW(B740))</f>
        <v/>
      </c>
      <c r="Q759" s="94" t="str">
        <f>UpdateHashtag!F789</f>
        <v/>
      </c>
      <c r="R759" s="105" t="str">
        <f t="array" ref="R759">INDIRECT("Update"&amp;Projections!$AH$17&amp;"!D"&amp;ROW(B740))</f>
        <v/>
      </c>
      <c r="S759" s="73">
        <f t="shared" si="14"/>
        <v>-9.965301026</v>
      </c>
      <c r="T759" s="73">
        <f>SUM(AE759:AM759)-IFERROR(IFS(Projections!$I$17,AN759,Projections!$J$17,AO759),"")</f>
        <v>-9.965301026</v>
      </c>
      <c r="U759" s="73">
        <f t="shared" si="15"/>
        <v>0</v>
      </c>
      <c r="V759" s="73" t="str">
        <f t="array" ref="V759">INDIRECT("Update"&amp;Projections!$AH$17&amp;"!M"&amp;ROW(B740))</f>
        <v/>
      </c>
      <c r="W759" s="73" t="str">
        <f t="array" ref="W759">INDIRECT("Update"&amp;Projections!$AH$17&amp;"!L"&amp;ROW(B740))</f>
        <v/>
      </c>
      <c r="X759" s="73" t="str">
        <f t="array" ref="X759">INDIRECT("Update"&amp;Projections!$AH$17&amp;"!N"&amp;ROW(B740))</f>
        <v/>
      </c>
      <c r="Y759" s="73" t="str">
        <f t="array" ref="Y759">INDIRECT("Update"&amp;Projections!$AH$17&amp;"!O"&amp;ROW(B740))</f>
        <v/>
      </c>
      <c r="Z759" s="73" t="str">
        <f t="array" ref="Z759">INDIRECT("Update"&amp;Projections!$AH$17&amp;"!P"&amp;ROW(B740))</f>
        <v/>
      </c>
      <c r="AA759" s="73" t="str">
        <f t="array" ref="AA759">INDIRECT("Update"&amp;Projections!$AH$17&amp;"!Q"&amp;ROW(B740))</f>
        <v/>
      </c>
      <c r="AB759" s="107" t="str">
        <f t="array" ref="AB759">INDIRECT("Update"&amp;Projections!$AH$17&amp;"!I"&amp;ROW(B740))</f>
        <v/>
      </c>
      <c r="AC759" s="107" t="str">
        <f t="array" ref="AC759">INDIRECT("Update"&amp;Projections!$AH$17&amp;"!K"&amp;ROW(B740))</f>
        <v/>
      </c>
      <c r="AD759" s="73" t="str">
        <f t="array" ref="AD759">INDIRECT("Update"&amp;Projections!$AH$17&amp;"!R"&amp;ROW(B740))</f>
        <v/>
      </c>
      <c r="AE759" s="73">
        <f t="shared" si="16"/>
        <v>-3.155358621</v>
      </c>
      <c r="AF759" s="73">
        <f t="shared" si="17"/>
        <v>-1.740686581</v>
      </c>
      <c r="AG759" s="73">
        <f t="shared" si="18"/>
        <v>-2.380599106</v>
      </c>
      <c r="AH759" s="73">
        <f t="shared" si="19"/>
        <v>-1.79320266</v>
      </c>
      <c r="AI759" s="73">
        <f t="shared" si="20"/>
        <v>-3.240190514</v>
      </c>
      <c r="AJ759" s="73">
        <f t="shared" si="21"/>
        <v>-1.329092151</v>
      </c>
      <c r="AK759" s="73">
        <f t="shared" si="22"/>
        <v>0</v>
      </c>
      <c r="AL759" s="73">
        <f t="shared" si="23"/>
        <v>0</v>
      </c>
      <c r="AM759" s="73">
        <f t="shared" si="24"/>
        <v>0.433638093</v>
      </c>
      <c r="AN759" s="120">
        <f t="shared" si="25"/>
        <v>-3.240190514</v>
      </c>
      <c r="AO759" s="120">
        <f t="shared" si="26"/>
        <v>-6.395549135</v>
      </c>
      <c r="AP759" s="120" t="str">
        <f t="array" ref="AP759">INDIRECT("Update"&amp;Projections!$AH$17&amp;"!S"&amp;ROW(B740))</f>
        <v/>
      </c>
      <c r="AQ759" s="120" t="str">
        <f t="array" ref="AQ759">INDIRECT("Update"&amp;Projections!$AH$17&amp;"!T"&amp;ROW(B740))</f>
        <v/>
      </c>
      <c r="AR759" s="100">
        <f t="shared" si="27"/>
        <v>-9.965301026</v>
      </c>
    </row>
    <row r="760">
      <c r="A760" t="str">
        <f t="shared" si="3"/>
        <v/>
      </c>
      <c r="B760" s="42">
        <f t="shared" si="4"/>
        <v>-3.155358621</v>
      </c>
      <c r="C760" s="43">
        <f t="shared" si="5"/>
        <v>-1.740686581</v>
      </c>
      <c r="D760" s="42">
        <f t="shared" si="6"/>
        <v>-2.380599106</v>
      </c>
      <c r="E760" s="42">
        <f t="shared" si="7"/>
        <v>-1.79320266</v>
      </c>
      <c r="F760" s="42">
        <f t="shared" si="8"/>
        <v>-3.240190514</v>
      </c>
      <c r="G760" s="42">
        <f t="shared" si="9"/>
        <v>-1.329092151</v>
      </c>
      <c r="H760" s="42">
        <f t="shared" si="10"/>
        <v>0</v>
      </c>
      <c r="I760" s="42" t="str">
        <f>UpdateHashtag!S758</f>
        <v/>
      </c>
      <c r="J760" s="47">
        <f t="shared" si="11"/>
        <v>0</v>
      </c>
      <c r="K760" s="48" t="str">
        <f>UpdateHashtag!T758</f>
        <v/>
      </c>
      <c r="L760" s="42">
        <f t="shared" si="12"/>
        <v>-1.734552372</v>
      </c>
      <c r="N760" s="100">
        <f t="shared" si="13"/>
        <v>401</v>
      </c>
      <c r="O760" s="94" t="str">
        <f t="array" ref="O760">INDIRECT("Update"&amp;Projections!$AH$17&amp;"!B"&amp;ROW(B741))</f>
        <v/>
      </c>
      <c r="P760" s="414" t="str">
        <f t="array" ref="P760">INDIRECT("Update"&amp;Projections!$AH$17&amp;"!C"&amp;ROW(B741))</f>
        <v/>
      </c>
      <c r="Q760" s="94" t="str">
        <f>UpdateHashtag!F790</f>
        <v/>
      </c>
      <c r="R760" s="105" t="str">
        <f t="array" ref="R760">INDIRECT("Update"&amp;Projections!$AH$17&amp;"!D"&amp;ROW(B741))</f>
        <v/>
      </c>
      <c r="S760" s="73">
        <f t="shared" si="14"/>
        <v>-9.965301026</v>
      </c>
      <c r="T760" s="73">
        <f>SUM(AE760:AM760)-IFERROR(IFS(Projections!$I$17,AN760,Projections!$J$17,AO760),"")</f>
        <v>-9.965301026</v>
      </c>
      <c r="U760" s="73">
        <f t="shared" si="15"/>
        <v>0</v>
      </c>
      <c r="V760" s="73" t="str">
        <f t="array" ref="V760">INDIRECT("Update"&amp;Projections!$AH$17&amp;"!M"&amp;ROW(B741))</f>
        <v/>
      </c>
      <c r="W760" s="73" t="str">
        <f t="array" ref="W760">INDIRECT("Update"&amp;Projections!$AH$17&amp;"!L"&amp;ROW(B741))</f>
        <v/>
      </c>
      <c r="X760" s="73" t="str">
        <f t="array" ref="X760">INDIRECT("Update"&amp;Projections!$AH$17&amp;"!N"&amp;ROW(B741))</f>
        <v/>
      </c>
      <c r="Y760" s="73" t="str">
        <f t="array" ref="Y760">INDIRECT("Update"&amp;Projections!$AH$17&amp;"!O"&amp;ROW(B741))</f>
        <v/>
      </c>
      <c r="Z760" s="73" t="str">
        <f t="array" ref="Z760">INDIRECT("Update"&amp;Projections!$AH$17&amp;"!P"&amp;ROW(B741))</f>
        <v/>
      </c>
      <c r="AA760" s="73" t="str">
        <f t="array" ref="AA760">INDIRECT("Update"&amp;Projections!$AH$17&amp;"!Q"&amp;ROW(B741))</f>
        <v/>
      </c>
      <c r="AB760" s="107" t="str">
        <f t="array" ref="AB760">INDIRECT("Update"&amp;Projections!$AH$17&amp;"!I"&amp;ROW(B741))</f>
        <v/>
      </c>
      <c r="AC760" s="107" t="str">
        <f t="array" ref="AC760">INDIRECT("Update"&amp;Projections!$AH$17&amp;"!K"&amp;ROW(B741))</f>
        <v/>
      </c>
      <c r="AD760" s="73" t="str">
        <f t="array" ref="AD760">INDIRECT("Update"&amp;Projections!$AH$17&amp;"!R"&amp;ROW(B741))</f>
        <v/>
      </c>
      <c r="AE760" s="73">
        <f t="shared" si="16"/>
        <v>-3.155358621</v>
      </c>
      <c r="AF760" s="73">
        <f t="shared" si="17"/>
        <v>-1.740686581</v>
      </c>
      <c r="AG760" s="73">
        <f t="shared" si="18"/>
        <v>-2.380599106</v>
      </c>
      <c r="AH760" s="73">
        <f t="shared" si="19"/>
        <v>-1.79320266</v>
      </c>
      <c r="AI760" s="73">
        <f t="shared" si="20"/>
        <v>-3.240190514</v>
      </c>
      <c r="AJ760" s="73">
        <f t="shared" si="21"/>
        <v>-1.329092151</v>
      </c>
      <c r="AK760" s="73">
        <f t="shared" si="22"/>
        <v>0</v>
      </c>
      <c r="AL760" s="73">
        <f t="shared" si="23"/>
        <v>0</v>
      </c>
      <c r="AM760" s="73">
        <f t="shared" si="24"/>
        <v>0.433638093</v>
      </c>
      <c r="AN760" s="120">
        <f t="shared" si="25"/>
        <v>-3.240190514</v>
      </c>
      <c r="AO760" s="120">
        <f t="shared" si="26"/>
        <v>-6.395549135</v>
      </c>
      <c r="AP760" s="120" t="str">
        <f t="array" ref="AP760">INDIRECT("Update"&amp;Projections!$AH$17&amp;"!S"&amp;ROW(B741))</f>
        <v/>
      </c>
      <c r="AQ760" s="120" t="str">
        <f t="array" ref="AQ760">INDIRECT("Update"&amp;Projections!$AH$17&amp;"!T"&amp;ROW(B741))</f>
        <v/>
      </c>
      <c r="AR760" s="100">
        <f t="shared" si="27"/>
        <v>-9.965301026</v>
      </c>
    </row>
    <row r="761">
      <c r="A761" t="str">
        <f t="shared" si="3"/>
        <v/>
      </c>
      <c r="B761" s="42">
        <f t="shared" si="4"/>
        <v>-3.155358621</v>
      </c>
      <c r="C761" s="43">
        <f t="shared" si="5"/>
        <v>-1.740686581</v>
      </c>
      <c r="D761" s="42">
        <f t="shared" si="6"/>
        <v>-2.380599106</v>
      </c>
      <c r="E761" s="42">
        <f t="shared" si="7"/>
        <v>-1.79320266</v>
      </c>
      <c r="F761" s="42">
        <f t="shared" si="8"/>
        <v>-3.240190514</v>
      </c>
      <c r="G761" s="42">
        <f t="shared" si="9"/>
        <v>-1.329092151</v>
      </c>
      <c r="H761" s="42">
        <f t="shared" si="10"/>
        <v>0</v>
      </c>
      <c r="I761" s="42" t="str">
        <f>UpdateHashtag!S759</f>
        <v/>
      </c>
      <c r="J761" s="47">
        <f t="shared" si="11"/>
        <v>0</v>
      </c>
      <c r="K761" s="48" t="str">
        <f>UpdateHashtag!T759</f>
        <v/>
      </c>
      <c r="L761" s="42">
        <f t="shared" si="12"/>
        <v>-1.734552372</v>
      </c>
      <c r="N761" s="100">
        <f t="shared" si="13"/>
        <v>401</v>
      </c>
      <c r="O761" s="94" t="str">
        <f t="array" ref="O761">INDIRECT("Update"&amp;Projections!$AH$17&amp;"!B"&amp;ROW(B742))</f>
        <v/>
      </c>
      <c r="P761" s="414" t="str">
        <f t="array" ref="P761">INDIRECT("Update"&amp;Projections!$AH$17&amp;"!C"&amp;ROW(B742))</f>
        <v/>
      </c>
      <c r="Q761" s="94" t="str">
        <f>UpdateHashtag!F791</f>
        <v/>
      </c>
      <c r="R761" s="105" t="str">
        <f t="array" ref="R761">INDIRECT("Update"&amp;Projections!$AH$17&amp;"!D"&amp;ROW(B742))</f>
        <v/>
      </c>
      <c r="S761" s="73">
        <f t="shared" si="14"/>
        <v>-9.965301026</v>
      </c>
      <c r="T761" s="73">
        <f>SUM(AE761:AM761)-IFERROR(IFS(Projections!$I$17,AN761,Projections!$J$17,AO761),"")</f>
        <v>-9.965301026</v>
      </c>
      <c r="U761" s="73">
        <f t="shared" si="15"/>
        <v>0</v>
      </c>
      <c r="V761" s="73" t="str">
        <f t="array" ref="V761">INDIRECT("Update"&amp;Projections!$AH$17&amp;"!M"&amp;ROW(B742))</f>
        <v/>
      </c>
      <c r="W761" s="73" t="str">
        <f t="array" ref="W761">INDIRECT("Update"&amp;Projections!$AH$17&amp;"!L"&amp;ROW(B742))</f>
        <v/>
      </c>
      <c r="X761" s="73" t="str">
        <f t="array" ref="X761">INDIRECT("Update"&amp;Projections!$AH$17&amp;"!N"&amp;ROW(B742))</f>
        <v/>
      </c>
      <c r="Y761" s="73" t="str">
        <f t="array" ref="Y761">INDIRECT("Update"&amp;Projections!$AH$17&amp;"!O"&amp;ROW(B742))</f>
        <v/>
      </c>
      <c r="Z761" s="73" t="str">
        <f t="array" ref="Z761">INDIRECT("Update"&amp;Projections!$AH$17&amp;"!P"&amp;ROW(B742))</f>
        <v/>
      </c>
      <c r="AA761" s="73" t="str">
        <f t="array" ref="AA761">INDIRECT("Update"&amp;Projections!$AH$17&amp;"!Q"&amp;ROW(B742))</f>
        <v/>
      </c>
      <c r="AB761" s="107" t="str">
        <f t="array" ref="AB761">INDIRECT("Update"&amp;Projections!$AH$17&amp;"!I"&amp;ROW(B742))</f>
        <v/>
      </c>
      <c r="AC761" s="107" t="str">
        <f t="array" ref="AC761">INDIRECT("Update"&amp;Projections!$AH$17&amp;"!K"&amp;ROW(B742))</f>
        <v/>
      </c>
      <c r="AD761" s="73" t="str">
        <f t="array" ref="AD761">INDIRECT("Update"&amp;Projections!$AH$17&amp;"!R"&amp;ROW(B742))</f>
        <v/>
      </c>
      <c r="AE761" s="73">
        <f t="shared" si="16"/>
        <v>-3.155358621</v>
      </c>
      <c r="AF761" s="73">
        <f t="shared" si="17"/>
        <v>-1.740686581</v>
      </c>
      <c r="AG761" s="73">
        <f t="shared" si="18"/>
        <v>-2.380599106</v>
      </c>
      <c r="AH761" s="73">
        <f t="shared" si="19"/>
        <v>-1.79320266</v>
      </c>
      <c r="AI761" s="73">
        <f t="shared" si="20"/>
        <v>-3.240190514</v>
      </c>
      <c r="AJ761" s="73">
        <f t="shared" si="21"/>
        <v>-1.329092151</v>
      </c>
      <c r="AK761" s="73">
        <f t="shared" si="22"/>
        <v>0</v>
      </c>
      <c r="AL761" s="73">
        <f t="shared" si="23"/>
        <v>0</v>
      </c>
      <c r="AM761" s="73">
        <f t="shared" si="24"/>
        <v>0.433638093</v>
      </c>
      <c r="AN761" s="120">
        <f t="shared" si="25"/>
        <v>-3.240190514</v>
      </c>
      <c r="AO761" s="120">
        <f t="shared" si="26"/>
        <v>-6.395549135</v>
      </c>
      <c r="AP761" s="120" t="str">
        <f t="array" ref="AP761">INDIRECT("Update"&amp;Projections!$AH$17&amp;"!S"&amp;ROW(B742))</f>
        <v/>
      </c>
      <c r="AQ761" s="120" t="str">
        <f t="array" ref="AQ761">INDIRECT("Update"&amp;Projections!$AH$17&amp;"!T"&amp;ROW(B742))</f>
        <v/>
      </c>
      <c r="AR761" s="100">
        <f t="shared" si="27"/>
        <v>-9.965301026</v>
      </c>
    </row>
    <row r="762">
      <c r="A762" t="str">
        <f t="shared" si="3"/>
        <v/>
      </c>
      <c r="B762" s="42">
        <f t="shared" si="4"/>
        <v>-3.155358621</v>
      </c>
      <c r="C762" s="43">
        <f t="shared" si="5"/>
        <v>-1.740686581</v>
      </c>
      <c r="D762" s="42">
        <f t="shared" si="6"/>
        <v>-2.380599106</v>
      </c>
      <c r="E762" s="42">
        <f t="shared" si="7"/>
        <v>-1.79320266</v>
      </c>
      <c r="F762" s="42">
        <f t="shared" si="8"/>
        <v>-3.240190514</v>
      </c>
      <c r="G762" s="42">
        <f t="shared" si="9"/>
        <v>-1.329092151</v>
      </c>
      <c r="H762" s="42">
        <f t="shared" si="10"/>
        <v>0</v>
      </c>
      <c r="I762" s="42" t="str">
        <f>UpdateHashtag!S760</f>
        <v/>
      </c>
      <c r="J762" s="47">
        <f t="shared" si="11"/>
        <v>0</v>
      </c>
      <c r="K762" s="48" t="str">
        <f>UpdateHashtag!T760</f>
        <v/>
      </c>
      <c r="L762" s="42">
        <f t="shared" si="12"/>
        <v>-1.734552372</v>
      </c>
      <c r="N762" s="100">
        <f t="shared" si="13"/>
        <v>401</v>
      </c>
      <c r="O762" s="94" t="str">
        <f t="array" ref="O762">INDIRECT("Update"&amp;Projections!$AH$17&amp;"!B"&amp;ROW(B743))</f>
        <v/>
      </c>
      <c r="P762" s="414" t="str">
        <f t="array" ref="P762">INDIRECT("Update"&amp;Projections!$AH$17&amp;"!C"&amp;ROW(B743))</f>
        <v/>
      </c>
      <c r="Q762" s="94" t="str">
        <f>UpdateHashtag!F792</f>
        <v/>
      </c>
      <c r="R762" s="105" t="str">
        <f t="array" ref="R762">INDIRECT("Update"&amp;Projections!$AH$17&amp;"!D"&amp;ROW(B743))</f>
        <v/>
      </c>
      <c r="S762" s="73">
        <f t="shared" si="14"/>
        <v>-9.965301026</v>
      </c>
      <c r="T762" s="73">
        <f>SUM(AE762:AM762)-IFERROR(IFS(Projections!$I$17,AN762,Projections!$J$17,AO762),"")</f>
        <v>-9.965301026</v>
      </c>
      <c r="U762" s="73">
        <f t="shared" si="15"/>
        <v>0</v>
      </c>
      <c r="V762" s="73" t="str">
        <f t="array" ref="V762">INDIRECT("Update"&amp;Projections!$AH$17&amp;"!M"&amp;ROW(B743))</f>
        <v/>
      </c>
      <c r="W762" s="73" t="str">
        <f t="array" ref="W762">INDIRECT("Update"&amp;Projections!$AH$17&amp;"!L"&amp;ROW(B743))</f>
        <v/>
      </c>
      <c r="X762" s="73" t="str">
        <f t="array" ref="X762">INDIRECT("Update"&amp;Projections!$AH$17&amp;"!N"&amp;ROW(B743))</f>
        <v/>
      </c>
      <c r="Y762" s="73" t="str">
        <f t="array" ref="Y762">INDIRECT("Update"&amp;Projections!$AH$17&amp;"!O"&amp;ROW(B743))</f>
        <v/>
      </c>
      <c r="Z762" s="73" t="str">
        <f t="array" ref="Z762">INDIRECT("Update"&amp;Projections!$AH$17&amp;"!P"&amp;ROW(B743))</f>
        <v/>
      </c>
      <c r="AA762" s="73" t="str">
        <f t="array" ref="AA762">INDIRECT("Update"&amp;Projections!$AH$17&amp;"!Q"&amp;ROW(B743))</f>
        <v/>
      </c>
      <c r="AB762" s="107" t="str">
        <f t="array" ref="AB762">INDIRECT("Update"&amp;Projections!$AH$17&amp;"!I"&amp;ROW(B743))</f>
        <v/>
      </c>
      <c r="AC762" s="107" t="str">
        <f t="array" ref="AC762">INDIRECT("Update"&amp;Projections!$AH$17&amp;"!K"&amp;ROW(B743))</f>
        <v/>
      </c>
      <c r="AD762" s="73" t="str">
        <f t="array" ref="AD762">INDIRECT("Update"&amp;Projections!$AH$17&amp;"!R"&amp;ROW(B743))</f>
        <v/>
      </c>
      <c r="AE762" s="73">
        <f t="shared" si="16"/>
        <v>-3.155358621</v>
      </c>
      <c r="AF762" s="73">
        <f t="shared" si="17"/>
        <v>-1.740686581</v>
      </c>
      <c r="AG762" s="73">
        <f t="shared" si="18"/>
        <v>-2.380599106</v>
      </c>
      <c r="AH762" s="73">
        <f t="shared" si="19"/>
        <v>-1.79320266</v>
      </c>
      <c r="AI762" s="73">
        <f t="shared" si="20"/>
        <v>-3.240190514</v>
      </c>
      <c r="AJ762" s="73">
        <f t="shared" si="21"/>
        <v>-1.329092151</v>
      </c>
      <c r="AK762" s="73">
        <f t="shared" si="22"/>
        <v>0</v>
      </c>
      <c r="AL762" s="73">
        <f t="shared" si="23"/>
        <v>0</v>
      </c>
      <c r="AM762" s="73">
        <f t="shared" si="24"/>
        <v>0.433638093</v>
      </c>
      <c r="AN762" s="120">
        <f t="shared" si="25"/>
        <v>-3.240190514</v>
      </c>
      <c r="AO762" s="120">
        <f t="shared" si="26"/>
        <v>-6.395549135</v>
      </c>
      <c r="AP762" s="120" t="str">
        <f t="array" ref="AP762">INDIRECT("Update"&amp;Projections!$AH$17&amp;"!S"&amp;ROW(B743))</f>
        <v/>
      </c>
      <c r="AQ762" s="120" t="str">
        <f t="array" ref="AQ762">INDIRECT("Update"&amp;Projections!$AH$17&amp;"!T"&amp;ROW(B743))</f>
        <v/>
      </c>
      <c r="AR762" s="100">
        <f t="shared" si="27"/>
        <v>-9.965301026</v>
      </c>
    </row>
    <row r="763">
      <c r="A763" t="str">
        <f t="shared" si="3"/>
        <v/>
      </c>
      <c r="B763" s="42">
        <f t="shared" si="4"/>
        <v>-3.155358621</v>
      </c>
      <c r="C763" s="43">
        <f t="shared" si="5"/>
        <v>-1.740686581</v>
      </c>
      <c r="D763" s="42">
        <f t="shared" si="6"/>
        <v>-2.380599106</v>
      </c>
      <c r="E763" s="42">
        <f t="shared" si="7"/>
        <v>-1.79320266</v>
      </c>
      <c r="F763" s="42">
        <f t="shared" si="8"/>
        <v>-3.240190514</v>
      </c>
      <c r="G763" s="42">
        <f t="shared" si="9"/>
        <v>-1.329092151</v>
      </c>
      <c r="H763" s="42">
        <f t="shared" si="10"/>
        <v>0</v>
      </c>
      <c r="I763" s="42" t="str">
        <f>UpdateHashtag!S761</f>
        <v/>
      </c>
      <c r="J763" s="47">
        <f t="shared" si="11"/>
        <v>0</v>
      </c>
      <c r="K763" s="48" t="str">
        <f>UpdateHashtag!T761</f>
        <v/>
      </c>
      <c r="L763" s="42">
        <f t="shared" si="12"/>
        <v>-1.734552372</v>
      </c>
      <c r="N763" s="100">
        <f t="shared" si="13"/>
        <v>401</v>
      </c>
      <c r="O763" s="94" t="str">
        <f t="array" ref="O763">INDIRECT("Update"&amp;Projections!$AH$17&amp;"!B"&amp;ROW(B744))</f>
        <v/>
      </c>
      <c r="P763" s="414" t="str">
        <f t="array" ref="P763">INDIRECT("Update"&amp;Projections!$AH$17&amp;"!C"&amp;ROW(B744))</f>
        <v/>
      </c>
      <c r="Q763" s="94" t="str">
        <f>UpdateHashtag!F793</f>
        <v/>
      </c>
      <c r="R763" s="105" t="str">
        <f t="array" ref="R763">INDIRECT("Update"&amp;Projections!$AH$17&amp;"!D"&amp;ROW(B744))</f>
        <v/>
      </c>
      <c r="S763" s="73">
        <f t="shared" si="14"/>
        <v>-9.965301026</v>
      </c>
      <c r="T763" s="73">
        <f>SUM(AE763:AM763)-IFERROR(IFS(Projections!$I$17,AN763,Projections!$J$17,AO763),"")</f>
        <v>-9.965301026</v>
      </c>
      <c r="U763" s="73">
        <f t="shared" si="15"/>
        <v>0</v>
      </c>
      <c r="V763" s="73" t="str">
        <f t="array" ref="V763">INDIRECT("Update"&amp;Projections!$AH$17&amp;"!M"&amp;ROW(B744))</f>
        <v/>
      </c>
      <c r="W763" s="73" t="str">
        <f t="array" ref="W763">INDIRECT("Update"&amp;Projections!$AH$17&amp;"!L"&amp;ROW(B744))</f>
        <v/>
      </c>
      <c r="X763" s="73" t="str">
        <f t="array" ref="X763">INDIRECT("Update"&amp;Projections!$AH$17&amp;"!N"&amp;ROW(B744))</f>
        <v/>
      </c>
      <c r="Y763" s="73" t="str">
        <f t="array" ref="Y763">INDIRECT("Update"&amp;Projections!$AH$17&amp;"!O"&amp;ROW(B744))</f>
        <v/>
      </c>
      <c r="Z763" s="73" t="str">
        <f t="array" ref="Z763">INDIRECT("Update"&amp;Projections!$AH$17&amp;"!P"&amp;ROW(B744))</f>
        <v/>
      </c>
      <c r="AA763" s="73" t="str">
        <f t="array" ref="AA763">INDIRECT("Update"&amp;Projections!$AH$17&amp;"!Q"&amp;ROW(B744))</f>
        <v/>
      </c>
      <c r="AB763" s="107" t="str">
        <f t="array" ref="AB763">INDIRECT("Update"&amp;Projections!$AH$17&amp;"!I"&amp;ROW(B744))</f>
        <v/>
      </c>
      <c r="AC763" s="107" t="str">
        <f t="array" ref="AC763">INDIRECT("Update"&amp;Projections!$AH$17&amp;"!K"&amp;ROW(B744))</f>
        <v/>
      </c>
      <c r="AD763" s="73" t="str">
        <f t="array" ref="AD763">INDIRECT("Update"&amp;Projections!$AH$17&amp;"!R"&amp;ROW(B744))</f>
        <v/>
      </c>
      <c r="AE763" s="73">
        <f t="shared" si="16"/>
        <v>-3.155358621</v>
      </c>
      <c r="AF763" s="73">
        <f t="shared" si="17"/>
        <v>-1.740686581</v>
      </c>
      <c r="AG763" s="73">
        <f t="shared" si="18"/>
        <v>-2.380599106</v>
      </c>
      <c r="AH763" s="73">
        <f t="shared" si="19"/>
        <v>-1.79320266</v>
      </c>
      <c r="AI763" s="73">
        <f t="shared" si="20"/>
        <v>-3.240190514</v>
      </c>
      <c r="AJ763" s="73">
        <f t="shared" si="21"/>
        <v>-1.329092151</v>
      </c>
      <c r="AK763" s="73">
        <f t="shared" si="22"/>
        <v>0</v>
      </c>
      <c r="AL763" s="73">
        <f t="shared" si="23"/>
        <v>0</v>
      </c>
      <c r="AM763" s="73">
        <f t="shared" si="24"/>
        <v>0.433638093</v>
      </c>
      <c r="AN763" s="120">
        <f t="shared" si="25"/>
        <v>-3.240190514</v>
      </c>
      <c r="AO763" s="120">
        <f t="shared" si="26"/>
        <v>-6.395549135</v>
      </c>
      <c r="AP763" s="120" t="str">
        <f t="array" ref="AP763">INDIRECT("Update"&amp;Projections!$AH$17&amp;"!S"&amp;ROW(B744))</f>
        <v/>
      </c>
      <c r="AQ763" s="120" t="str">
        <f t="array" ref="AQ763">INDIRECT("Update"&amp;Projections!$AH$17&amp;"!T"&amp;ROW(B744))</f>
        <v/>
      </c>
      <c r="AR763" s="100">
        <f t="shared" si="27"/>
        <v>-9.965301026</v>
      </c>
    </row>
    <row r="764">
      <c r="A764" t="str">
        <f t="shared" si="3"/>
        <v/>
      </c>
      <c r="B764" s="42">
        <f t="shared" si="4"/>
        <v>-3.155358621</v>
      </c>
      <c r="C764" s="43">
        <f t="shared" si="5"/>
        <v>-1.740686581</v>
      </c>
      <c r="D764" s="42">
        <f t="shared" si="6"/>
        <v>-2.380599106</v>
      </c>
      <c r="E764" s="42">
        <f t="shared" si="7"/>
        <v>-1.79320266</v>
      </c>
      <c r="F764" s="42">
        <f t="shared" si="8"/>
        <v>-3.240190514</v>
      </c>
      <c r="G764" s="42">
        <f t="shared" si="9"/>
        <v>-1.329092151</v>
      </c>
      <c r="H764" s="42">
        <f t="shared" si="10"/>
        <v>0</v>
      </c>
      <c r="I764" s="42" t="str">
        <f>UpdateHashtag!S762</f>
        <v/>
      </c>
      <c r="J764" s="47">
        <f t="shared" si="11"/>
        <v>0</v>
      </c>
      <c r="K764" s="48" t="str">
        <f>UpdateHashtag!T762</f>
        <v/>
      </c>
      <c r="L764" s="42">
        <f t="shared" si="12"/>
        <v>-1.734552372</v>
      </c>
      <c r="N764" s="100">
        <f t="shared" si="13"/>
        <v>401</v>
      </c>
      <c r="O764" s="94" t="str">
        <f t="array" ref="O764">INDIRECT("Update"&amp;Projections!$AH$17&amp;"!B"&amp;ROW(B745))</f>
        <v/>
      </c>
      <c r="P764" s="414" t="str">
        <f t="array" ref="P764">INDIRECT("Update"&amp;Projections!$AH$17&amp;"!C"&amp;ROW(B745))</f>
        <v/>
      </c>
      <c r="Q764" s="94" t="str">
        <f>UpdateHashtag!F794</f>
        <v/>
      </c>
      <c r="R764" s="105" t="str">
        <f t="array" ref="R764">INDIRECT("Update"&amp;Projections!$AH$17&amp;"!D"&amp;ROW(B745))</f>
        <v/>
      </c>
      <c r="S764" s="73">
        <f t="shared" si="14"/>
        <v>-9.965301026</v>
      </c>
      <c r="T764" s="73">
        <f>SUM(AE764:AM764)-IFERROR(IFS(Projections!$I$17,AN764,Projections!$J$17,AO764),"")</f>
        <v>-9.965301026</v>
      </c>
      <c r="U764" s="73">
        <f t="shared" si="15"/>
        <v>0</v>
      </c>
      <c r="V764" s="73" t="str">
        <f t="array" ref="V764">INDIRECT("Update"&amp;Projections!$AH$17&amp;"!M"&amp;ROW(B745))</f>
        <v/>
      </c>
      <c r="W764" s="73" t="str">
        <f t="array" ref="W764">INDIRECT("Update"&amp;Projections!$AH$17&amp;"!L"&amp;ROW(B745))</f>
        <v/>
      </c>
      <c r="X764" s="73" t="str">
        <f t="array" ref="X764">INDIRECT("Update"&amp;Projections!$AH$17&amp;"!N"&amp;ROW(B745))</f>
        <v/>
      </c>
      <c r="Y764" s="73" t="str">
        <f t="array" ref="Y764">INDIRECT("Update"&amp;Projections!$AH$17&amp;"!O"&amp;ROW(B745))</f>
        <v/>
      </c>
      <c r="Z764" s="73" t="str">
        <f t="array" ref="Z764">INDIRECT("Update"&amp;Projections!$AH$17&amp;"!P"&amp;ROW(B745))</f>
        <v/>
      </c>
      <c r="AA764" s="73" t="str">
        <f t="array" ref="AA764">INDIRECT("Update"&amp;Projections!$AH$17&amp;"!Q"&amp;ROW(B745))</f>
        <v/>
      </c>
      <c r="AB764" s="107" t="str">
        <f t="array" ref="AB764">INDIRECT("Update"&amp;Projections!$AH$17&amp;"!I"&amp;ROW(B745))</f>
        <v/>
      </c>
      <c r="AC764" s="107" t="str">
        <f t="array" ref="AC764">INDIRECT("Update"&amp;Projections!$AH$17&amp;"!K"&amp;ROW(B745))</f>
        <v/>
      </c>
      <c r="AD764" s="73" t="str">
        <f t="array" ref="AD764">INDIRECT("Update"&amp;Projections!$AH$17&amp;"!R"&amp;ROW(B745))</f>
        <v/>
      </c>
      <c r="AE764" s="73">
        <f t="shared" si="16"/>
        <v>-3.155358621</v>
      </c>
      <c r="AF764" s="73">
        <f t="shared" si="17"/>
        <v>-1.740686581</v>
      </c>
      <c r="AG764" s="73">
        <f t="shared" si="18"/>
        <v>-2.380599106</v>
      </c>
      <c r="AH764" s="73">
        <f t="shared" si="19"/>
        <v>-1.79320266</v>
      </c>
      <c r="AI764" s="73">
        <f t="shared" si="20"/>
        <v>-3.240190514</v>
      </c>
      <c r="AJ764" s="73">
        <f t="shared" si="21"/>
        <v>-1.329092151</v>
      </c>
      <c r="AK764" s="73">
        <f t="shared" si="22"/>
        <v>0</v>
      </c>
      <c r="AL764" s="73">
        <f t="shared" si="23"/>
        <v>0</v>
      </c>
      <c r="AM764" s="73">
        <f t="shared" si="24"/>
        <v>0.433638093</v>
      </c>
      <c r="AN764" s="120">
        <f t="shared" si="25"/>
        <v>-3.240190514</v>
      </c>
      <c r="AO764" s="120">
        <f t="shared" si="26"/>
        <v>-6.395549135</v>
      </c>
      <c r="AP764" s="120" t="str">
        <f t="array" ref="AP764">INDIRECT("Update"&amp;Projections!$AH$17&amp;"!S"&amp;ROW(B745))</f>
        <v/>
      </c>
      <c r="AQ764" s="120" t="str">
        <f t="array" ref="AQ764">INDIRECT("Update"&amp;Projections!$AH$17&amp;"!T"&amp;ROW(B745))</f>
        <v/>
      </c>
      <c r="AR764" s="100">
        <f t="shared" si="27"/>
        <v>-9.965301026</v>
      </c>
    </row>
    <row r="765">
      <c r="A765" t="str">
        <f t="shared" si="3"/>
        <v/>
      </c>
      <c r="B765" s="42">
        <f t="shared" si="4"/>
        <v>-3.155358621</v>
      </c>
      <c r="C765" s="43">
        <f t="shared" si="5"/>
        <v>-1.740686581</v>
      </c>
      <c r="D765" s="42">
        <f t="shared" si="6"/>
        <v>-2.380599106</v>
      </c>
      <c r="E765" s="42">
        <f t="shared" si="7"/>
        <v>-1.79320266</v>
      </c>
      <c r="F765" s="42">
        <f t="shared" si="8"/>
        <v>-3.240190514</v>
      </c>
      <c r="G765" s="42">
        <f t="shared" si="9"/>
        <v>-1.329092151</v>
      </c>
      <c r="H765" s="42">
        <f t="shared" si="10"/>
        <v>0</v>
      </c>
      <c r="I765" s="42" t="str">
        <f>UpdateHashtag!S763</f>
        <v/>
      </c>
      <c r="J765" s="47">
        <f t="shared" si="11"/>
        <v>0</v>
      </c>
      <c r="K765" s="48" t="str">
        <f>UpdateHashtag!T763</f>
        <v/>
      </c>
      <c r="L765" s="42">
        <f t="shared" si="12"/>
        <v>-1.734552372</v>
      </c>
      <c r="N765" s="100">
        <f t="shared" si="13"/>
        <v>401</v>
      </c>
      <c r="O765" s="94" t="str">
        <f t="array" ref="O765">INDIRECT("Update"&amp;Projections!$AH$17&amp;"!B"&amp;ROW(B746))</f>
        <v/>
      </c>
      <c r="P765" s="414" t="str">
        <f t="array" ref="P765">INDIRECT("Update"&amp;Projections!$AH$17&amp;"!C"&amp;ROW(B746))</f>
        <v/>
      </c>
      <c r="Q765" s="94" t="str">
        <f>UpdateHashtag!F795</f>
        <v/>
      </c>
      <c r="R765" s="105" t="str">
        <f t="array" ref="R765">INDIRECT("Update"&amp;Projections!$AH$17&amp;"!D"&amp;ROW(B746))</f>
        <v/>
      </c>
      <c r="S765" s="73">
        <f t="shared" si="14"/>
        <v>-9.965301026</v>
      </c>
      <c r="T765" s="73">
        <f>SUM(AE765:AM765)-IFERROR(IFS(Projections!$I$17,AN765,Projections!$J$17,AO765),"")</f>
        <v>-9.965301026</v>
      </c>
      <c r="U765" s="73">
        <f t="shared" si="15"/>
        <v>0</v>
      </c>
      <c r="V765" s="73" t="str">
        <f t="array" ref="V765">INDIRECT("Update"&amp;Projections!$AH$17&amp;"!M"&amp;ROW(B746))</f>
        <v/>
      </c>
      <c r="W765" s="73" t="str">
        <f t="array" ref="W765">INDIRECT("Update"&amp;Projections!$AH$17&amp;"!L"&amp;ROW(B746))</f>
        <v/>
      </c>
      <c r="X765" s="73" t="str">
        <f t="array" ref="X765">INDIRECT("Update"&amp;Projections!$AH$17&amp;"!N"&amp;ROW(B746))</f>
        <v/>
      </c>
      <c r="Y765" s="73" t="str">
        <f t="array" ref="Y765">INDIRECT("Update"&amp;Projections!$AH$17&amp;"!O"&amp;ROW(B746))</f>
        <v/>
      </c>
      <c r="Z765" s="73" t="str">
        <f t="array" ref="Z765">INDIRECT("Update"&amp;Projections!$AH$17&amp;"!P"&amp;ROW(B746))</f>
        <v/>
      </c>
      <c r="AA765" s="73" t="str">
        <f t="array" ref="AA765">INDIRECT("Update"&amp;Projections!$AH$17&amp;"!Q"&amp;ROW(B746))</f>
        <v/>
      </c>
      <c r="AB765" s="107" t="str">
        <f t="array" ref="AB765">INDIRECT("Update"&amp;Projections!$AH$17&amp;"!I"&amp;ROW(B746))</f>
        <v/>
      </c>
      <c r="AC765" s="107" t="str">
        <f t="array" ref="AC765">INDIRECT("Update"&amp;Projections!$AH$17&amp;"!K"&amp;ROW(B746))</f>
        <v/>
      </c>
      <c r="AD765" s="73" t="str">
        <f t="array" ref="AD765">INDIRECT("Update"&amp;Projections!$AH$17&amp;"!R"&amp;ROW(B746))</f>
        <v/>
      </c>
      <c r="AE765" s="73">
        <f t="shared" si="16"/>
        <v>-3.155358621</v>
      </c>
      <c r="AF765" s="73">
        <f t="shared" si="17"/>
        <v>-1.740686581</v>
      </c>
      <c r="AG765" s="73">
        <f t="shared" si="18"/>
        <v>-2.380599106</v>
      </c>
      <c r="AH765" s="73">
        <f t="shared" si="19"/>
        <v>-1.79320266</v>
      </c>
      <c r="AI765" s="73">
        <f t="shared" si="20"/>
        <v>-3.240190514</v>
      </c>
      <c r="AJ765" s="73">
        <f t="shared" si="21"/>
        <v>-1.329092151</v>
      </c>
      <c r="AK765" s="73">
        <f t="shared" si="22"/>
        <v>0</v>
      </c>
      <c r="AL765" s="73">
        <f t="shared" si="23"/>
        <v>0</v>
      </c>
      <c r="AM765" s="73">
        <f t="shared" si="24"/>
        <v>0.433638093</v>
      </c>
      <c r="AN765" s="120">
        <f t="shared" si="25"/>
        <v>-3.240190514</v>
      </c>
      <c r="AO765" s="120">
        <f t="shared" si="26"/>
        <v>-6.395549135</v>
      </c>
      <c r="AP765" s="120" t="str">
        <f t="array" ref="AP765">INDIRECT("Update"&amp;Projections!$AH$17&amp;"!S"&amp;ROW(B746))</f>
        <v/>
      </c>
      <c r="AQ765" s="120" t="str">
        <f t="array" ref="AQ765">INDIRECT("Update"&amp;Projections!$AH$17&amp;"!T"&amp;ROW(B746))</f>
        <v/>
      </c>
      <c r="AR765" s="100">
        <f t="shared" si="27"/>
        <v>-9.965301026</v>
      </c>
    </row>
    <row r="766">
      <c r="A766" t="str">
        <f t="shared" si="3"/>
        <v/>
      </c>
      <c r="B766" s="42">
        <f t="shared" si="4"/>
        <v>-3.155358621</v>
      </c>
      <c r="C766" s="43">
        <f t="shared" si="5"/>
        <v>-1.740686581</v>
      </c>
      <c r="D766" s="42">
        <f t="shared" si="6"/>
        <v>-2.380599106</v>
      </c>
      <c r="E766" s="42">
        <f t="shared" si="7"/>
        <v>-1.79320266</v>
      </c>
      <c r="F766" s="42">
        <f t="shared" si="8"/>
        <v>-3.240190514</v>
      </c>
      <c r="G766" s="42">
        <f t="shared" si="9"/>
        <v>-1.329092151</v>
      </c>
      <c r="H766" s="42">
        <f t="shared" si="10"/>
        <v>0</v>
      </c>
      <c r="I766" s="42" t="str">
        <f>UpdateHashtag!S764</f>
        <v/>
      </c>
      <c r="J766" s="47">
        <f t="shared" si="11"/>
        <v>0</v>
      </c>
      <c r="K766" s="48" t="str">
        <f>UpdateHashtag!T764</f>
        <v/>
      </c>
      <c r="L766" s="42">
        <f t="shared" si="12"/>
        <v>-1.734552372</v>
      </c>
      <c r="N766" s="100">
        <f t="shared" si="13"/>
        <v>401</v>
      </c>
      <c r="O766" s="94" t="str">
        <f t="array" ref="O766">INDIRECT("Update"&amp;Projections!$AH$17&amp;"!B"&amp;ROW(B747))</f>
        <v/>
      </c>
      <c r="P766" s="414" t="str">
        <f t="array" ref="P766">INDIRECT("Update"&amp;Projections!$AH$17&amp;"!C"&amp;ROW(B747))</f>
        <v/>
      </c>
      <c r="Q766" s="94" t="str">
        <f>UpdateHashtag!F796</f>
        <v/>
      </c>
      <c r="R766" s="105" t="str">
        <f t="array" ref="R766">INDIRECT("Update"&amp;Projections!$AH$17&amp;"!D"&amp;ROW(B747))</f>
        <v/>
      </c>
      <c r="S766" s="73">
        <f t="shared" si="14"/>
        <v>-9.965301026</v>
      </c>
      <c r="T766" s="73">
        <f>SUM(AE766:AM766)-IFERROR(IFS(Projections!$I$17,AN766,Projections!$J$17,AO766),"")</f>
        <v>-9.965301026</v>
      </c>
      <c r="U766" s="73">
        <f t="shared" si="15"/>
        <v>0</v>
      </c>
      <c r="V766" s="73" t="str">
        <f t="array" ref="V766">INDIRECT("Update"&amp;Projections!$AH$17&amp;"!M"&amp;ROW(B747))</f>
        <v/>
      </c>
      <c r="W766" s="73" t="str">
        <f t="array" ref="W766">INDIRECT("Update"&amp;Projections!$AH$17&amp;"!L"&amp;ROW(B747))</f>
        <v/>
      </c>
      <c r="X766" s="73" t="str">
        <f t="array" ref="X766">INDIRECT("Update"&amp;Projections!$AH$17&amp;"!N"&amp;ROW(B747))</f>
        <v/>
      </c>
      <c r="Y766" s="73" t="str">
        <f t="array" ref="Y766">INDIRECT("Update"&amp;Projections!$AH$17&amp;"!O"&amp;ROW(B747))</f>
        <v/>
      </c>
      <c r="Z766" s="73" t="str">
        <f t="array" ref="Z766">INDIRECT("Update"&amp;Projections!$AH$17&amp;"!P"&amp;ROW(B747))</f>
        <v/>
      </c>
      <c r="AA766" s="73" t="str">
        <f t="array" ref="AA766">INDIRECT("Update"&amp;Projections!$AH$17&amp;"!Q"&amp;ROW(B747))</f>
        <v/>
      </c>
      <c r="AB766" s="107" t="str">
        <f t="array" ref="AB766">INDIRECT("Update"&amp;Projections!$AH$17&amp;"!I"&amp;ROW(B747))</f>
        <v/>
      </c>
      <c r="AC766" s="107" t="str">
        <f t="array" ref="AC766">INDIRECT("Update"&amp;Projections!$AH$17&amp;"!K"&amp;ROW(B747))</f>
        <v/>
      </c>
      <c r="AD766" s="73" t="str">
        <f t="array" ref="AD766">INDIRECT("Update"&amp;Projections!$AH$17&amp;"!R"&amp;ROW(B747))</f>
        <v/>
      </c>
      <c r="AE766" s="73">
        <f t="shared" si="16"/>
        <v>-3.155358621</v>
      </c>
      <c r="AF766" s="73">
        <f t="shared" si="17"/>
        <v>-1.740686581</v>
      </c>
      <c r="AG766" s="73">
        <f t="shared" si="18"/>
        <v>-2.380599106</v>
      </c>
      <c r="AH766" s="73">
        <f t="shared" si="19"/>
        <v>-1.79320266</v>
      </c>
      <c r="AI766" s="73">
        <f t="shared" si="20"/>
        <v>-3.240190514</v>
      </c>
      <c r="AJ766" s="73">
        <f t="shared" si="21"/>
        <v>-1.329092151</v>
      </c>
      <c r="AK766" s="73">
        <f t="shared" si="22"/>
        <v>0</v>
      </c>
      <c r="AL766" s="73">
        <f t="shared" si="23"/>
        <v>0</v>
      </c>
      <c r="AM766" s="73">
        <f t="shared" si="24"/>
        <v>0.433638093</v>
      </c>
      <c r="AN766" s="120">
        <f t="shared" si="25"/>
        <v>-3.240190514</v>
      </c>
      <c r="AO766" s="120">
        <f t="shared" si="26"/>
        <v>-6.395549135</v>
      </c>
      <c r="AP766" s="120" t="str">
        <f t="array" ref="AP766">INDIRECT("Update"&amp;Projections!$AH$17&amp;"!S"&amp;ROW(B747))</f>
        <v/>
      </c>
      <c r="AQ766" s="120" t="str">
        <f t="array" ref="AQ766">INDIRECT("Update"&amp;Projections!$AH$17&amp;"!T"&amp;ROW(B747))</f>
        <v/>
      </c>
      <c r="AR766" s="100">
        <f t="shared" si="27"/>
        <v>-9.965301026</v>
      </c>
    </row>
    <row r="767">
      <c r="A767" t="str">
        <f t="shared" si="3"/>
        <v/>
      </c>
      <c r="B767" s="42">
        <f t="shared" si="4"/>
        <v>-3.155358621</v>
      </c>
      <c r="C767" s="43">
        <f t="shared" si="5"/>
        <v>-1.740686581</v>
      </c>
      <c r="D767" s="42">
        <f t="shared" si="6"/>
        <v>-2.380599106</v>
      </c>
      <c r="E767" s="42">
        <f t="shared" si="7"/>
        <v>-1.79320266</v>
      </c>
      <c r="F767" s="42">
        <f t="shared" si="8"/>
        <v>-3.240190514</v>
      </c>
      <c r="G767" s="42">
        <f t="shared" si="9"/>
        <v>-1.329092151</v>
      </c>
      <c r="H767" s="42">
        <f t="shared" si="10"/>
        <v>0</v>
      </c>
      <c r="I767" s="42" t="str">
        <f>UpdateHashtag!S765</f>
        <v/>
      </c>
      <c r="J767" s="47">
        <f t="shared" si="11"/>
        <v>0</v>
      </c>
      <c r="K767" s="48" t="str">
        <f>UpdateHashtag!T765</f>
        <v/>
      </c>
      <c r="L767" s="42">
        <f t="shared" si="12"/>
        <v>-1.734552372</v>
      </c>
      <c r="N767" s="100">
        <f t="shared" si="13"/>
        <v>401</v>
      </c>
      <c r="O767" s="94" t="str">
        <f t="array" ref="O767">INDIRECT("Update"&amp;Projections!$AH$17&amp;"!B"&amp;ROW(B748))</f>
        <v/>
      </c>
      <c r="P767" s="414" t="str">
        <f t="array" ref="P767">INDIRECT("Update"&amp;Projections!$AH$17&amp;"!C"&amp;ROW(B748))</f>
        <v/>
      </c>
      <c r="Q767" s="94" t="str">
        <f>UpdateHashtag!F797</f>
        <v/>
      </c>
      <c r="R767" s="105" t="str">
        <f t="array" ref="R767">INDIRECT("Update"&amp;Projections!$AH$17&amp;"!D"&amp;ROW(B748))</f>
        <v/>
      </c>
      <c r="S767" s="73">
        <f t="shared" si="14"/>
        <v>-9.965301026</v>
      </c>
      <c r="T767" s="73">
        <f>SUM(AE767:AM767)-IFERROR(IFS(Projections!$I$17,AN767,Projections!$J$17,AO767),"")</f>
        <v>-9.965301026</v>
      </c>
      <c r="U767" s="73">
        <f t="shared" si="15"/>
        <v>0</v>
      </c>
      <c r="V767" s="73" t="str">
        <f t="array" ref="V767">INDIRECT("Update"&amp;Projections!$AH$17&amp;"!M"&amp;ROW(B748))</f>
        <v/>
      </c>
      <c r="W767" s="73" t="str">
        <f t="array" ref="W767">INDIRECT("Update"&amp;Projections!$AH$17&amp;"!L"&amp;ROW(B748))</f>
        <v/>
      </c>
      <c r="X767" s="73" t="str">
        <f t="array" ref="X767">INDIRECT("Update"&amp;Projections!$AH$17&amp;"!N"&amp;ROW(B748))</f>
        <v/>
      </c>
      <c r="Y767" s="73" t="str">
        <f t="array" ref="Y767">INDIRECT("Update"&amp;Projections!$AH$17&amp;"!O"&amp;ROW(B748))</f>
        <v/>
      </c>
      <c r="Z767" s="73" t="str">
        <f t="array" ref="Z767">INDIRECT("Update"&amp;Projections!$AH$17&amp;"!P"&amp;ROW(B748))</f>
        <v/>
      </c>
      <c r="AA767" s="73" t="str">
        <f t="array" ref="AA767">INDIRECT("Update"&amp;Projections!$AH$17&amp;"!Q"&amp;ROW(B748))</f>
        <v/>
      </c>
      <c r="AB767" s="107" t="str">
        <f t="array" ref="AB767">INDIRECT("Update"&amp;Projections!$AH$17&amp;"!I"&amp;ROW(B748))</f>
        <v/>
      </c>
      <c r="AC767" s="107" t="str">
        <f t="array" ref="AC767">INDIRECT("Update"&amp;Projections!$AH$17&amp;"!K"&amp;ROW(B748))</f>
        <v/>
      </c>
      <c r="AD767" s="73" t="str">
        <f t="array" ref="AD767">INDIRECT("Update"&amp;Projections!$AH$17&amp;"!R"&amp;ROW(B748))</f>
        <v/>
      </c>
      <c r="AE767" s="73">
        <f t="shared" si="16"/>
        <v>-3.155358621</v>
      </c>
      <c r="AF767" s="73">
        <f t="shared" si="17"/>
        <v>-1.740686581</v>
      </c>
      <c r="AG767" s="73">
        <f t="shared" si="18"/>
        <v>-2.380599106</v>
      </c>
      <c r="AH767" s="73">
        <f t="shared" si="19"/>
        <v>-1.79320266</v>
      </c>
      <c r="AI767" s="73">
        <f t="shared" si="20"/>
        <v>-3.240190514</v>
      </c>
      <c r="AJ767" s="73">
        <f t="shared" si="21"/>
        <v>-1.329092151</v>
      </c>
      <c r="AK767" s="73">
        <f t="shared" si="22"/>
        <v>0</v>
      </c>
      <c r="AL767" s="73">
        <f t="shared" si="23"/>
        <v>0</v>
      </c>
      <c r="AM767" s="73">
        <f t="shared" si="24"/>
        <v>0.433638093</v>
      </c>
      <c r="AN767" s="120">
        <f t="shared" si="25"/>
        <v>-3.240190514</v>
      </c>
      <c r="AO767" s="120">
        <f t="shared" si="26"/>
        <v>-6.395549135</v>
      </c>
      <c r="AP767" s="120" t="str">
        <f t="array" ref="AP767">INDIRECT("Update"&amp;Projections!$AH$17&amp;"!S"&amp;ROW(B748))</f>
        <v/>
      </c>
      <c r="AQ767" s="120" t="str">
        <f t="array" ref="AQ767">INDIRECT("Update"&amp;Projections!$AH$17&amp;"!T"&amp;ROW(B748))</f>
        <v/>
      </c>
      <c r="AR767" s="100">
        <f t="shared" si="27"/>
        <v>-9.965301026</v>
      </c>
    </row>
    <row r="768">
      <c r="A768" t="str">
        <f t="shared" si="3"/>
        <v/>
      </c>
      <c r="B768" s="42">
        <f t="shared" si="4"/>
        <v>-3.155358621</v>
      </c>
      <c r="C768" s="43">
        <f t="shared" si="5"/>
        <v>-1.740686581</v>
      </c>
      <c r="D768" s="42">
        <f t="shared" si="6"/>
        <v>-2.380599106</v>
      </c>
      <c r="E768" s="42">
        <f t="shared" si="7"/>
        <v>-1.79320266</v>
      </c>
      <c r="F768" s="42">
        <f t="shared" si="8"/>
        <v>-3.240190514</v>
      </c>
      <c r="G768" s="42">
        <f t="shared" si="9"/>
        <v>-1.329092151</v>
      </c>
      <c r="H768" s="42">
        <f t="shared" si="10"/>
        <v>0</v>
      </c>
      <c r="I768" s="42" t="str">
        <f>UpdateHashtag!S766</f>
        <v/>
      </c>
      <c r="J768" s="47">
        <f t="shared" si="11"/>
        <v>0</v>
      </c>
      <c r="K768" s="48" t="str">
        <f>UpdateHashtag!T766</f>
        <v/>
      </c>
      <c r="L768" s="42">
        <f t="shared" si="12"/>
        <v>-1.734552372</v>
      </c>
      <c r="N768" s="100">
        <f t="shared" si="13"/>
        <v>401</v>
      </c>
      <c r="O768" s="94" t="str">
        <f t="array" ref="O768">INDIRECT("Update"&amp;Projections!$AH$17&amp;"!B"&amp;ROW(B749))</f>
        <v/>
      </c>
      <c r="P768" s="414" t="str">
        <f t="array" ref="P768">INDIRECT("Update"&amp;Projections!$AH$17&amp;"!C"&amp;ROW(B749))</f>
        <v/>
      </c>
      <c r="Q768" s="94" t="str">
        <f>UpdateHashtag!F798</f>
        <v/>
      </c>
      <c r="R768" s="105" t="str">
        <f t="array" ref="R768">INDIRECT("Update"&amp;Projections!$AH$17&amp;"!D"&amp;ROW(B749))</f>
        <v/>
      </c>
      <c r="S768" s="73">
        <f t="shared" si="14"/>
        <v>-9.965301026</v>
      </c>
      <c r="T768" s="73">
        <f>SUM(AE768:AM768)-IFERROR(IFS(Projections!$I$17,AN768,Projections!$J$17,AO768),"")</f>
        <v>-9.965301026</v>
      </c>
      <c r="U768" s="73">
        <f t="shared" si="15"/>
        <v>0</v>
      </c>
      <c r="V768" s="73" t="str">
        <f t="array" ref="V768">INDIRECT("Update"&amp;Projections!$AH$17&amp;"!M"&amp;ROW(B749))</f>
        <v/>
      </c>
      <c r="W768" s="73" t="str">
        <f t="array" ref="W768">INDIRECT("Update"&amp;Projections!$AH$17&amp;"!L"&amp;ROW(B749))</f>
        <v/>
      </c>
      <c r="X768" s="73" t="str">
        <f t="array" ref="X768">INDIRECT("Update"&amp;Projections!$AH$17&amp;"!N"&amp;ROW(B749))</f>
        <v/>
      </c>
      <c r="Y768" s="73" t="str">
        <f t="array" ref="Y768">INDIRECT("Update"&amp;Projections!$AH$17&amp;"!O"&amp;ROW(B749))</f>
        <v/>
      </c>
      <c r="Z768" s="73" t="str">
        <f t="array" ref="Z768">INDIRECT("Update"&amp;Projections!$AH$17&amp;"!P"&amp;ROW(B749))</f>
        <v/>
      </c>
      <c r="AA768" s="73" t="str">
        <f t="array" ref="AA768">INDIRECT("Update"&amp;Projections!$AH$17&amp;"!Q"&amp;ROW(B749))</f>
        <v/>
      </c>
      <c r="AB768" s="107" t="str">
        <f t="array" ref="AB768">INDIRECT("Update"&amp;Projections!$AH$17&amp;"!I"&amp;ROW(B749))</f>
        <v/>
      </c>
      <c r="AC768" s="107" t="str">
        <f t="array" ref="AC768">INDIRECT("Update"&amp;Projections!$AH$17&amp;"!K"&amp;ROW(B749))</f>
        <v/>
      </c>
      <c r="AD768" s="73" t="str">
        <f t="array" ref="AD768">INDIRECT("Update"&amp;Projections!$AH$17&amp;"!R"&amp;ROW(B749))</f>
        <v/>
      </c>
      <c r="AE768" s="73">
        <f t="shared" si="16"/>
        <v>-3.155358621</v>
      </c>
      <c r="AF768" s="73">
        <f t="shared" si="17"/>
        <v>-1.740686581</v>
      </c>
      <c r="AG768" s="73">
        <f t="shared" si="18"/>
        <v>-2.380599106</v>
      </c>
      <c r="AH768" s="73">
        <f t="shared" si="19"/>
        <v>-1.79320266</v>
      </c>
      <c r="AI768" s="73">
        <f t="shared" si="20"/>
        <v>-3.240190514</v>
      </c>
      <c r="AJ768" s="73">
        <f t="shared" si="21"/>
        <v>-1.329092151</v>
      </c>
      <c r="AK768" s="73">
        <f t="shared" si="22"/>
        <v>0</v>
      </c>
      <c r="AL768" s="73">
        <f t="shared" si="23"/>
        <v>0</v>
      </c>
      <c r="AM768" s="73">
        <f t="shared" si="24"/>
        <v>0.433638093</v>
      </c>
      <c r="AN768" s="120">
        <f t="shared" si="25"/>
        <v>-3.240190514</v>
      </c>
      <c r="AO768" s="120">
        <f t="shared" si="26"/>
        <v>-6.395549135</v>
      </c>
      <c r="AP768" s="120" t="str">
        <f t="array" ref="AP768">INDIRECT("Update"&amp;Projections!$AH$17&amp;"!S"&amp;ROW(B749))</f>
        <v/>
      </c>
      <c r="AQ768" s="120" t="str">
        <f t="array" ref="AQ768">INDIRECT("Update"&amp;Projections!$AH$17&amp;"!T"&amp;ROW(B749))</f>
        <v/>
      </c>
      <c r="AR768" s="100">
        <f t="shared" si="27"/>
        <v>-9.965301026</v>
      </c>
    </row>
    <row r="769">
      <c r="A769" t="str">
        <f t="shared" si="3"/>
        <v/>
      </c>
      <c r="B769" s="42">
        <f t="shared" si="4"/>
        <v>-3.155358621</v>
      </c>
      <c r="C769" s="43">
        <f t="shared" si="5"/>
        <v>-1.740686581</v>
      </c>
      <c r="D769" s="42">
        <f t="shared" si="6"/>
        <v>-2.380599106</v>
      </c>
      <c r="E769" s="42">
        <f t="shared" si="7"/>
        <v>-1.79320266</v>
      </c>
      <c r="F769" s="42">
        <f t="shared" si="8"/>
        <v>-3.240190514</v>
      </c>
      <c r="G769" s="42">
        <f t="shared" si="9"/>
        <v>-1.329092151</v>
      </c>
      <c r="H769" s="42">
        <f t="shared" si="10"/>
        <v>0</v>
      </c>
      <c r="I769" s="42" t="str">
        <f>UpdateHashtag!S767</f>
        <v/>
      </c>
      <c r="J769" s="47">
        <f t="shared" si="11"/>
        <v>0</v>
      </c>
      <c r="K769" s="48" t="str">
        <f>UpdateHashtag!T767</f>
        <v/>
      </c>
      <c r="L769" s="42">
        <f t="shared" si="12"/>
        <v>-1.734552372</v>
      </c>
      <c r="N769" s="100">
        <f t="shared" si="13"/>
        <v>401</v>
      </c>
      <c r="O769" s="94" t="str">
        <f t="array" ref="O769">INDIRECT("Update"&amp;Projections!$AH$17&amp;"!B"&amp;ROW(B750))</f>
        <v/>
      </c>
      <c r="P769" s="414" t="str">
        <f t="array" ref="P769">INDIRECT("Update"&amp;Projections!$AH$17&amp;"!C"&amp;ROW(B750))</f>
        <v/>
      </c>
      <c r="Q769" s="94" t="str">
        <f>UpdateHashtag!F799</f>
        <v/>
      </c>
      <c r="R769" s="105" t="str">
        <f t="array" ref="R769">INDIRECT("Update"&amp;Projections!$AH$17&amp;"!D"&amp;ROW(B750))</f>
        <v/>
      </c>
      <c r="S769" s="73">
        <f t="shared" si="14"/>
        <v>-9.965301026</v>
      </c>
      <c r="T769" s="73">
        <f>SUM(AE769:AM769)-IFERROR(IFS(Projections!$I$17,AN769,Projections!$J$17,AO769),"")</f>
        <v>-9.965301026</v>
      </c>
      <c r="U769" s="73">
        <f t="shared" si="15"/>
        <v>0</v>
      </c>
      <c r="V769" s="73" t="str">
        <f t="array" ref="V769">INDIRECT("Update"&amp;Projections!$AH$17&amp;"!M"&amp;ROW(B750))</f>
        <v/>
      </c>
      <c r="W769" s="73" t="str">
        <f t="array" ref="W769">INDIRECT("Update"&amp;Projections!$AH$17&amp;"!L"&amp;ROW(B750))</f>
        <v/>
      </c>
      <c r="X769" s="73" t="str">
        <f t="array" ref="X769">INDIRECT("Update"&amp;Projections!$AH$17&amp;"!N"&amp;ROW(B750))</f>
        <v/>
      </c>
      <c r="Y769" s="73" t="str">
        <f t="array" ref="Y769">INDIRECT("Update"&amp;Projections!$AH$17&amp;"!O"&amp;ROW(B750))</f>
        <v/>
      </c>
      <c r="Z769" s="73" t="str">
        <f t="array" ref="Z769">INDIRECT("Update"&amp;Projections!$AH$17&amp;"!P"&amp;ROW(B750))</f>
        <v/>
      </c>
      <c r="AA769" s="73" t="str">
        <f t="array" ref="AA769">INDIRECT("Update"&amp;Projections!$AH$17&amp;"!Q"&amp;ROW(B750))</f>
        <v/>
      </c>
      <c r="AB769" s="107" t="str">
        <f t="array" ref="AB769">INDIRECT("Update"&amp;Projections!$AH$17&amp;"!I"&amp;ROW(B750))</f>
        <v/>
      </c>
      <c r="AC769" s="107" t="str">
        <f t="array" ref="AC769">INDIRECT("Update"&amp;Projections!$AH$17&amp;"!K"&amp;ROW(B750))</f>
        <v/>
      </c>
      <c r="AD769" s="73" t="str">
        <f t="array" ref="AD769">INDIRECT("Update"&amp;Projections!$AH$17&amp;"!R"&amp;ROW(B750))</f>
        <v/>
      </c>
      <c r="AE769" s="73">
        <f t="shared" si="16"/>
        <v>-3.155358621</v>
      </c>
      <c r="AF769" s="73">
        <f t="shared" si="17"/>
        <v>-1.740686581</v>
      </c>
      <c r="AG769" s="73">
        <f t="shared" si="18"/>
        <v>-2.380599106</v>
      </c>
      <c r="AH769" s="73">
        <f t="shared" si="19"/>
        <v>-1.79320266</v>
      </c>
      <c r="AI769" s="73">
        <f t="shared" si="20"/>
        <v>-3.240190514</v>
      </c>
      <c r="AJ769" s="73">
        <f t="shared" si="21"/>
        <v>-1.329092151</v>
      </c>
      <c r="AK769" s="73">
        <f t="shared" si="22"/>
        <v>0</v>
      </c>
      <c r="AL769" s="73">
        <f t="shared" si="23"/>
        <v>0</v>
      </c>
      <c r="AM769" s="73">
        <f t="shared" si="24"/>
        <v>0.433638093</v>
      </c>
      <c r="AN769" s="120">
        <f t="shared" si="25"/>
        <v>-3.240190514</v>
      </c>
      <c r="AO769" s="120">
        <f t="shared" si="26"/>
        <v>-6.395549135</v>
      </c>
      <c r="AP769" s="120" t="str">
        <f t="array" ref="AP769">INDIRECT("Update"&amp;Projections!$AH$17&amp;"!S"&amp;ROW(B750))</f>
        <v/>
      </c>
      <c r="AQ769" s="120" t="str">
        <f t="array" ref="AQ769">INDIRECT("Update"&amp;Projections!$AH$17&amp;"!T"&amp;ROW(B750))</f>
        <v/>
      </c>
      <c r="AR769" s="100">
        <f t="shared" si="27"/>
        <v>-9.965301026</v>
      </c>
    </row>
    <row r="770">
      <c r="A770" t="str">
        <f t="shared" si="3"/>
        <v/>
      </c>
      <c r="B770" s="42">
        <f t="shared" si="4"/>
        <v>-3.155358621</v>
      </c>
      <c r="C770" s="43">
        <f t="shared" si="5"/>
        <v>-1.740686581</v>
      </c>
      <c r="D770" s="42">
        <f t="shared" si="6"/>
        <v>-2.380599106</v>
      </c>
      <c r="E770" s="42">
        <f t="shared" si="7"/>
        <v>-1.79320266</v>
      </c>
      <c r="F770" s="42">
        <f t="shared" si="8"/>
        <v>-3.240190514</v>
      </c>
      <c r="G770" s="42">
        <f t="shared" si="9"/>
        <v>-1.329092151</v>
      </c>
      <c r="H770" s="42">
        <f t="shared" si="10"/>
        <v>0</v>
      </c>
      <c r="I770" s="42" t="str">
        <f>UpdateHashtag!S768</f>
        <v/>
      </c>
      <c r="J770" s="47">
        <f t="shared" si="11"/>
        <v>0</v>
      </c>
      <c r="K770" s="48" t="str">
        <f>UpdateHashtag!T768</f>
        <v/>
      </c>
      <c r="L770" s="42">
        <f t="shared" si="12"/>
        <v>-1.734552372</v>
      </c>
      <c r="N770" s="100">
        <f t="shared" si="13"/>
        <v>401</v>
      </c>
      <c r="O770" s="94" t="str">
        <f t="array" ref="O770">INDIRECT("Update"&amp;Projections!$AH$17&amp;"!B"&amp;ROW(B751))</f>
        <v/>
      </c>
      <c r="P770" s="414" t="str">
        <f t="array" ref="P770">INDIRECT("Update"&amp;Projections!$AH$17&amp;"!C"&amp;ROW(B751))</f>
        <v/>
      </c>
      <c r="Q770" s="94" t="str">
        <f>UpdateHashtag!F800</f>
        <v/>
      </c>
      <c r="R770" s="105" t="str">
        <f t="array" ref="R770">INDIRECT("Update"&amp;Projections!$AH$17&amp;"!D"&amp;ROW(B751))</f>
        <v/>
      </c>
      <c r="S770" s="73">
        <f t="shared" si="14"/>
        <v>-9.965301026</v>
      </c>
      <c r="T770" s="73">
        <f>SUM(AE770:AM770)-IFERROR(IFS(Projections!$I$17,AN770,Projections!$J$17,AO770),"")</f>
        <v>-9.965301026</v>
      </c>
      <c r="U770" s="73">
        <f t="shared" si="15"/>
        <v>0</v>
      </c>
      <c r="V770" s="73" t="str">
        <f t="array" ref="V770">INDIRECT("Update"&amp;Projections!$AH$17&amp;"!M"&amp;ROW(B751))</f>
        <v/>
      </c>
      <c r="W770" s="73" t="str">
        <f t="array" ref="W770">INDIRECT("Update"&amp;Projections!$AH$17&amp;"!L"&amp;ROW(B751))</f>
        <v/>
      </c>
      <c r="X770" s="73" t="str">
        <f t="array" ref="X770">INDIRECT("Update"&amp;Projections!$AH$17&amp;"!N"&amp;ROW(B751))</f>
        <v/>
      </c>
      <c r="Y770" s="73" t="str">
        <f t="array" ref="Y770">INDIRECT("Update"&amp;Projections!$AH$17&amp;"!O"&amp;ROW(B751))</f>
        <v/>
      </c>
      <c r="Z770" s="73" t="str">
        <f t="array" ref="Z770">INDIRECT("Update"&amp;Projections!$AH$17&amp;"!P"&amp;ROW(B751))</f>
        <v/>
      </c>
      <c r="AA770" s="73" t="str">
        <f t="array" ref="AA770">INDIRECT("Update"&amp;Projections!$AH$17&amp;"!Q"&amp;ROW(B751))</f>
        <v/>
      </c>
      <c r="AB770" s="107" t="str">
        <f t="array" ref="AB770">INDIRECT("Update"&amp;Projections!$AH$17&amp;"!I"&amp;ROW(B751))</f>
        <v/>
      </c>
      <c r="AC770" s="107" t="str">
        <f t="array" ref="AC770">INDIRECT("Update"&amp;Projections!$AH$17&amp;"!K"&amp;ROW(B751))</f>
        <v/>
      </c>
      <c r="AD770" s="73" t="str">
        <f t="array" ref="AD770">INDIRECT("Update"&amp;Projections!$AH$17&amp;"!R"&amp;ROW(B751))</f>
        <v/>
      </c>
      <c r="AE770" s="73">
        <f t="shared" si="16"/>
        <v>-3.155358621</v>
      </c>
      <c r="AF770" s="73">
        <f t="shared" si="17"/>
        <v>-1.740686581</v>
      </c>
      <c r="AG770" s="73">
        <f t="shared" si="18"/>
        <v>-2.380599106</v>
      </c>
      <c r="AH770" s="73">
        <f t="shared" si="19"/>
        <v>-1.79320266</v>
      </c>
      <c r="AI770" s="73">
        <f t="shared" si="20"/>
        <v>-3.240190514</v>
      </c>
      <c r="AJ770" s="73">
        <f t="shared" si="21"/>
        <v>-1.329092151</v>
      </c>
      <c r="AK770" s="73">
        <f t="shared" si="22"/>
        <v>0</v>
      </c>
      <c r="AL770" s="73">
        <f t="shared" si="23"/>
        <v>0</v>
      </c>
      <c r="AM770" s="73">
        <f t="shared" si="24"/>
        <v>0.433638093</v>
      </c>
      <c r="AN770" s="120">
        <f t="shared" si="25"/>
        <v>-3.240190514</v>
      </c>
      <c r="AO770" s="120">
        <f t="shared" si="26"/>
        <v>-6.395549135</v>
      </c>
      <c r="AP770" s="120" t="str">
        <f t="array" ref="AP770">INDIRECT("Update"&amp;Projections!$AH$17&amp;"!S"&amp;ROW(B751))</f>
        <v/>
      </c>
      <c r="AQ770" s="120" t="str">
        <f t="array" ref="AQ770">INDIRECT("Update"&amp;Projections!$AH$17&amp;"!T"&amp;ROW(B751))</f>
        <v/>
      </c>
      <c r="AR770" s="100">
        <f t="shared" si="27"/>
        <v>-9.965301026</v>
      </c>
    </row>
    <row r="771">
      <c r="A771" t="str">
        <f t="shared" si="3"/>
        <v/>
      </c>
      <c r="B771" s="42">
        <f t="shared" si="4"/>
        <v>-3.155358621</v>
      </c>
      <c r="C771" s="43">
        <f t="shared" si="5"/>
        <v>-1.740686581</v>
      </c>
      <c r="D771" s="42">
        <f t="shared" si="6"/>
        <v>-2.380599106</v>
      </c>
      <c r="E771" s="42">
        <f t="shared" si="7"/>
        <v>-1.79320266</v>
      </c>
      <c r="F771" s="42">
        <f t="shared" si="8"/>
        <v>-3.240190514</v>
      </c>
      <c r="G771" s="42">
        <f t="shared" si="9"/>
        <v>-1.329092151</v>
      </c>
      <c r="H771" s="42">
        <f t="shared" si="10"/>
        <v>0</v>
      </c>
      <c r="I771" s="42" t="str">
        <f>UpdateHashtag!S769</f>
        <v/>
      </c>
      <c r="J771" s="47">
        <f t="shared" si="11"/>
        <v>0</v>
      </c>
      <c r="K771" s="48" t="str">
        <f>UpdateHashtag!T769</f>
        <v/>
      </c>
      <c r="L771" s="42">
        <f t="shared" si="12"/>
        <v>-1.734552372</v>
      </c>
      <c r="N771" s="100">
        <f t="shared" si="13"/>
        <v>401</v>
      </c>
      <c r="O771" s="94" t="str">
        <f t="array" ref="O771">INDIRECT("Update"&amp;Projections!$AH$17&amp;"!B"&amp;ROW(B752))</f>
        <v/>
      </c>
      <c r="P771" s="414" t="str">
        <f t="array" ref="P771">INDIRECT("Update"&amp;Projections!$AH$17&amp;"!C"&amp;ROW(B752))</f>
        <v/>
      </c>
      <c r="Q771" s="94" t="str">
        <f>UpdateHashtag!F801</f>
        <v/>
      </c>
      <c r="R771" s="105" t="str">
        <f t="array" ref="R771">INDIRECT("Update"&amp;Projections!$AH$17&amp;"!D"&amp;ROW(B752))</f>
        <v/>
      </c>
      <c r="S771" s="73">
        <f t="shared" si="14"/>
        <v>-9.965301026</v>
      </c>
      <c r="T771" s="73">
        <f>SUM(AE771:AM771)-IFERROR(IFS(Projections!$I$17,AN771,Projections!$J$17,AO771),"")</f>
        <v>-9.965301026</v>
      </c>
      <c r="U771" s="73">
        <f t="shared" si="15"/>
        <v>0</v>
      </c>
      <c r="V771" s="73" t="str">
        <f t="array" ref="V771">INDIRECT("Update"&amp;Projections!$AH$17&amp;"!M"&amp;ROW(B752))</f>
        <v/>
      </c>
      <c r="W771" s="73" t="str">
        <f t="array" ref="W771">INDIRECT("Update"&amp;Projections!$AH$17&amp;"!L"&amp;ROW(B752))</f>
        <v/>
      </c>
      <c r="X771" s="73" t="str">
        <f t="array" ref="X771">INDIRECT("Update"&amp;Projections!$AH$17&amp;"!N"&amp;ROW(B752))</f>
        <v/>
      </c>
      <c r="Y771" s="73" t="str">
        <f t="array" ref="Y771">INDIRECT("Update"&amp;Projections!$AH$17&amp;"!O"&amp;ROW(B752))</f>
        <v/>
      </c>
      <c r="Z771" s="73" t="str">
        <f t="array" ref="Z771">INDIRECT("Update"&amp;Projections!$AH$17&amp;"!P"&amp;ROW(B752))</f>
        <v/>
      </c>
      <c r="AA771" s="73" t="str">
        <f t="array" ref="AA771">INDIRECT("Update"&amp;Projections!$AH$17&amp;"!Q"&amp;ROW(B752))</f>
        <v/>
      </c>
      <c r="AB771" s="107" t="str">
        <f t="array" ref="AB771">INDIRECT("Update"&amp;Projections!$AH$17&amp;"!I"&amp;ROW(B752))</f>
        <v/>
      </c>
      <c r="AC771" s="107" t="str">
        <f t="array" ref="AC771">INDIRECT("Update"&amp;Projections!$AH$17&amp;"!K"&amp;ROW(B752))</f>
        <v/>
      </c>
      <c r="AD771" s="73" t="str">
        <f t="array" ref="AD771">INDIRECT("Update"&amp;Projections!$AH$17&amp;"!R"&amp;ROW(B752))</f>
        <v/>
      </c>
      <c r="AE771" s="73">
        <f t="shared" si="16"/>
        <v>-3.155358621</v>
      </c>
      <c r="AF771" s="73">
        <f t="shared" si="17"/>
        <v>-1.740686581</v>
      </c>
      <c r="AG771" s="73">
        <f t="shared" si="18"/>
        <v>-2.380599106</v>
      </c>
      <c r="AH771" s="73">
        <f t="shared" si="19"/>
        <v>-1.79320266</v>
      </c>
      <c r="AI771" s="73">
        <f t="shared" si="20"/>
        <v>-3.240190514</v>
      </c>
      <c r="AJ771" s="73">
        <f t="shared" si="21"/>
        <v>-1.329092151</v>
      </c>
      <c r="AK771" s="73">
        <f t="shared" si="22"/>
        <v>0</v>
      </c>
      <c r="AL771" s="73">
        <f t="shared" si="23"/>
        <v>0</v>
      </c>
      <c r="AM771" s="73">
        <f t="shared" si="24"/>
        <v>0.433638093</v>
      </c>
      <c r="AN771" s="120">
        <f t="shared" si="25"/>
        <v>-3.240190514</v>
      </c>
      <c r="AO771" s="120">
        <f t="shared" si="26"/>
        <v>-6.395549135</v>
      </c>
      <c r="AP771" s="120" t="str">
        <f t="array" ref="AP771">INDIRECT("Update"&amp;Projections!$AH$17&amp;"!S"&amp;ROW(B752))</f>
        <v/>
      </c>
      <c r="AQ771" s="120" t="str">
        <f t="array" ref="AQ771">INDIRECT("Update"&amp;Projections!$AH$17&amp;"!T"&amp;ROW(B752))</f>
        <v/>
      </c>
      <c r="AR771" s="100">
        <f t="shared" si="27"/>
        <v>-9.965301026</v>
      </c>
    </row>
    <row r="772">
      <c r="A772" t="str">
        <f t="shared" si="3"/>
        <v/>
      </c>
      <c r="B772" s="42">
        <f t="shared" si="4"/>
        <v>-3.155358621</v>
      </c>
      <c r="C772" s="43">
        <f t="shared" si="5"/>
        <v>-1.740686581</v>
      </c>
      <c r="D772" s="42">
        <f t="shared" si="6"/>
        <v>-2.380599106</v>
      </c>
      <c r="E772" s="42">
        <f t="shared" si="7"/>
        <v>-1.79320266</v>
      </c>
      <c r="F772" s="42">
        <f t="shared" si="8"/>
        <v>-3.240190514</v>
      </c>
      <c r="G772" s="42">
        <f t="shared" si="9"/>
        <v>-1.329092151</v>
      </c>
      <c r="H772" s="42">
        <f t="shared" si="10"/>
        <v>0</v>
      </c>
      <c r="I772" s="42" t="str">
        <f>UpdateHashtag!S770</f>
        <v/>
      </c>
      <c r="J772" s="47">
        <f t="shared" si="11"/>
        <v>0</v>
      </c>
      <c r="K772" s="48" t="str">
        <f>UpdateHashtag!T770</f>
        <v/>
      </c>
      <c r="L772" s="42">
        <f t="shared" si="12"/>
        <v>-1.734552372</v>
      </c>
      <c r="N772" s="100">
        <f t="shared" si="13"/>
        <v>401</v>
      </c>
      <c r="O772" s="94" t="str">
        <f t="array" ref="O772">INDIRECT("Update"&amp;Projections!$AH$17&amp;"!B"&amp;ROW(B753))</f>
        <v/>
      </c>
      <c r="P772" s="414" t="str">
        <f t="array" ref="P772">INDIRECT("Update"&amp;Projections!$AH$17&amp;"!C"&amp;ROW(B753))</f>
        <v/>
      </c>
      <c r="Q772" s="94" t="str">
        <f>UpdateHashtag!F802</f>
        <v/>
      </c>
      <c r="R772" s="105" t="str">
        <f t="array" ref="R772">INDIRECT("Update"&amp;Projections!$AH$17&amp;"!D"&amp;ROW(B753))</f>
        <v/>
      </c>
      <c r="S772" s="73">
        <f t="shared" si="14"/>
        <v>-9.965301026</v>
      </c>
      <c r="T772" s="73">
        <f>SUM(AE772:AM772)-IFERROR(IFS(Projections!$I$17,AN772,Projections!$J$17,AO772),"")</f>
        <v>-9.965301026</v>
      </c>
      <c r="U772" s="73">
        <f t="shared" si="15"/>
        <v>0</v>
      </c>
      <c r="V772" s="73" t="str">
        <f t="array" ref="V772">INDIRECT("Update"&amp;Projections!$AH$17&amp;"!M"&amp;ROW(B753))</f>
        <v/>
      </c>
      <c r="W772" s="73" t="str">
        <f t="array" ref="W772">INDIRECT("Update"&amp;Projections!$AH$17&amp;"!L"&amp;ROW(B753))</f>
        <v/>
      </c>
      <c r="X772" s="73" t="str">
        <f t="array" ref="X772">INDIRECT("Update"&amp;Projections!$AH$17&amp;"!N"&amp;ROW(B753))</f>
        <v/>
      </c>
      <c r="Y772" s="73" t="str">
        <f t="array" ref="Y772">INDIRECT("Update"&amp;Projections!$AH$17&amp;"!O"&amp;ROW(B753))</f>
        <v/>
      </c>
      <c r="Z772" s="73" t="str">
        <f t="array" ref="Z772">INDIRECT("Update"&amp;Projections!$AH$17&amp;"!P"&amp;ROW(B753))</f>
        <v/>
      </c>
      <c r="AA772" s="73" t="str">
        <f t="array" ref="AA772">INDIRECT("Update"&amp;Projections!$AH$17&amp;"!Q"&amp;ROW(B753))</f>
        <v/>
      </c>
      <c r="AB772" s="107" t="str">
        <f t="array" ref="AB772">INDIRECT("Update"&amp;Projections!$AH$17&amp;"!I"&amp;ROW(B753))</f>
        <v/>
      </c>
      <c r="AC772" s="107" t="str">
        <f t="array" ref="AC772">INDIRECT("Update"&amp;Projections!$AH$17&amp;"!K"&amp;ROW(B753))</f>
        <v/>
      </c>
      <c r="AD772" s="73" t="str">
        <f t="array" ref="AD772">INDIRECT("Update"&amp;Projections!$AH$17&amp;"!R"&amp;ROW(B753))</f>
        <v/>
      </c>
      <c r="AE772" s="73">
        <f t="shared" si="16"/>
        <v>-3.155358621</v>
      </c>
      <c r="AF772" s="73">
        <f t="shared" si="17"/>
        <v>-1.740686581</v>
      </c>
      <c r="AG772" s="73">
        <f t="shared" si="18"/>
        <v>-2.380599106</v>
      </c>
      <c r="AH772" s="73">
        <f t="shared" si="19"/>
        <v>-1.79320266</v>
      </c>
      <c r="AI772" s="73">
        <f t="shared" si="20"/>
        <v>-3.240190514</v>
      </c>
      <c r="AJ772" s="73">
        <f t="shared" si="21"/>
        <v>-1.329092151</v>
      </c>
      <c r="AK772" s="73">
        <f t="shared" si="22"/>
        <v>0</v>
      </c>
      <c r="AL772" s="73">
        <f t="shared" si="23"/>
        <v>0</v>
      </c>
      <c r="AM772" s="73">
        <f t="shared" si="24"/>
        <v>0.433638093</v>
      </c>
      <c r="AN772" s="120">
        <f t="shared" si="25"/>
        <v>-3.240190514</v>
      </c>
      <c r="AO772" s="120">
        <f t="shared" si="26"/>
        <v>-6.395549135</v>
      </c>
      <c r="AP772" s="120" t="str">
        <f t="array" ref="AP772">INDIRECT("Update"&amp;Projections!$AH$17&amp;"!S"&amp;ROW(B753))</f>
        <v/>
      </c>
      <c r="AQ772" s="120" t="str">
        <f t="array" ref="AQ772">INDIRECT("Update"&amp;Projections!$AH$17&amp;"!T"&amp;ROW(B753))</f>
        <v/>
      </c>
      <c r="AR772" s="100">
        <f t="shared" si="27"/>
        <v>-9.965301026</v>
      </c>
    </row>
    <row r="773">
      <c r="A773" t="str">
        <f t="shared" si="3"/>
        <v/>
      </c>
      <c r="B773" s="42">
        <f t="shared" si="4"/>
        <v>-3.155358621</v>
      </c>
      <c r="C773" s="43">
        <f t="shared" si="5"/>
        <v>-1.740686581</v>
      </c>
      <c r="D773" s="42">
        <f t="shared" si="6"/>
        <v>-2.380599106</v>
      </c>
      <c r="E773" s="42">
        <f t="shared" si="7"/>
        <v>-1.79320266</v>
      </c>
      <c r="F773" s="42">
        <f t="shared" si="8"/>
        <v>-3.240190514</v>
      </c>
      <c r="G773" s="42">
        <f t="shared" si="9"/>
        <v>-1.329092151</v>
      </c>
      <c r="H773" s="42">
        <f t="shared" si="10"/>
        <v>0</v>
      </c>
      <c r="I773" s="42" t="str">
        <f>UpdateHashtag!S771</f>
        <v/>
      </c>
      <c r="J773" s="47">
        <f t="shared" si="11"/>
        <v>0</v>
      </c>
      <c r="K773" s="48" t="str">
        <f>UpdateHashtag!T771</f>
        <v/>
      </c>
      <c r="L773" s="42">
        <f t="shared" si="12"/>
        <v>-1.734552372</v>
      </c>
      <c r="N773" s="100">
        <f t="shared" si="13"/>
        <v>401</v>
      </c>
      <c r="O773" s="94" t="str">
        <f t="array" ref="O773">INDIRECT("Update"&amp;Projections!$AH$17&amp;"!B"&amp;ROW(B754))</f>
        <v/>
      </c>
      <c r="P773" s="414" t="str">
        <f t="array" ref="P773">INDIRECT("Update"&amp;Projections!$AH$17&amp;"!C"&amp;ROW(B754))</f>
        <v/>
      </c>
      <c r="Q773" s="94" t="str">
        <f>UpdateHashtag!F803</f>
        <v/>
      </c>
      <c r="R773" s="105" t="str">
        <f t="array" ref="R773">INDIRECT("Update"&amp;Projections!$AH$17&amp;"!D"&amp;ROW(B754))</f>
        <v/>
      </c>
      <c r="S773" s="73">
        <f t="shared" si="14"/>
        <v>-9.965301026</v>
      </c>
      <c r="T773" s="73">
        <f>SUM(AE773:AM773)-IFERROR(IFS(Projections!$I$17,AN773,Projections!$J$17,AO773),"")</f>
        <v>-9.965301026</v>
      </c>
      <c r="U773" s="73">
        <f t="shared" si="15"/>
        <v>0</v>
      </c>
      <c r="V773" s="73" t="str">
        <f t="array" ref="V773">INDIRECT("Update"&amp;Projections!$AH$17&amp;"!M"&amp;ROW(B754))</f>
        <v/>
      </c>
      <c r="W773" s="73" t="str">
        <f t="array" ref="W773">INDIRECT("Update"&amp;Projections!$AH$17&amp;"!L"&amp;ROW(B754))</f>
        <v/>
      </c>
      <c r="X773" s="73" t="str">
        <f t="array" ref="X773">INDIRECT("Update"&amp;Projections!$AH$17&amp;"!N"&amp;ROW(B754))</f>
        <v/>
      </c>
      <c r="Y773" s="73" t="str">
        <f t="array" ref="Y773">INDIRECT("Update"&amp;Projections!$AH$17&amp;"!O"&amp;ROW(B754))</f>
        <v/>
      </c>
      <c r="Z773" s="73" t="str">
        <f t="array" ref="Z773">INDIRECT("Update"&amp;Projections!$AH$17&amp;"!P"&amp;ROW(B754))</f>
        <v/>
      </c>
      <c r="AA773" s="73" t="str">
        <f t="array" ref="AA773">INDIRECT("Update"&amp;Projections!$AH$17&amp;"!Q"&amp;ROW(B754))</f>
        <v/>
      </c>
      <c r="AB773" s="107" t="str">
        <f t="array" ref="AB773">INDIRECT("Update"&amp;Projections!$AH$17&amp;"!I"&amp;ROW(B754))</f>
        <v/>
      </c>
      <c r="AC773" s="107" t="str">
        <f t="array" ref="AC773">INDIRECT("Update"&amp;Projections!$AH$17&amp;"!K"&amp;ROW(B754))</f>
        <v/>
      </c>
      <c r="AD773" s="73" t="str">
        <f t="array" ref="AD773">INDIRECT("Update"&amp;Projections!$AH$17&amp;"!R"&amp;ROW(B754))</f>
        <v/>
      </c>
      <c r="AE773" s="73">
        <f t="shared" si="16"/>
        <v>-3.155358621</v>
      </c>
      <c r="AF773" s="73">
        <f t="shared" si="17"/>
        <v>-1.740686581</v>
      </c>
      <c r="AG773" s="73">
        <f t="shared" si="18"/>
        <v>-2.380599106</v>
      </c>
      <c r="AH773" s="73">
        <f t="shared" si="19"/>
        <v>-1.79320266</v>
      </c>
      <c r="AI773" s="73">
        <f t="shared" si="20"/>
        <v>-3.240190514</v>
      </c>
      <c r="AJ773" s="73">
        <f t="shared" si="21"/>
        <v>-1.329092151</v>
      </c>
      <c r="AK773" s="73">
        <f t="shared" si="22"/>
        <v>0</v>
      </c>
      <c r="AL773" s="73">
        <f t="shared" si="23"/>
        <v>0</v>
      </c>
      <c r="AM773" s="73">
        <f t="shared" si="24"/>
        <v>0.433638093</v>
      </c>
      <c r="AN773" s="120">
        <f t="shared" si="25"/>
        <v>-3.240190514</v>
      </c>
      <c r="AO773" s="120">
        <f t="shared" si="26"/>
        <v>-6.395549135</v>
      </c>
      <c r="AP773" s="120" t="str">
        <f t="array" ref="AP773">INDIRECT("Update"&amp;Projections!$AH$17&amp;"!S"&amp;ROW(B754))</f>
        <v/>
      </c>
      <c r="AQ773" s="120" t="str">
        <f t="array" ref="AQ773">INDIRECT("Update"&amp;Projections!$AH$17&amp;"!T"&amp;ROW(B754))</f>
        <v/>
      </c>
      <c r="AR773" s="100">
        <f t="shared" si="27"/>
        <v>-9.965301026</v>
      </c>
    </row>
    <row r="774">
      <c r="A774" t="str">
        <f t="shared" si="3"/>
        <v/>
      </c>
      <c r="B774" s="42">
        <f t="shared" si="4"/>
        <v>-3.155358621</v>
      </c>
      <c r="C774" s="43">
        <f t="shared" si="5"/>
        <v>-1.740686581</v>
      </c>
      <c r="D774" s="42">
        <f t="shared" si="6"/>
        <v>-2.380599106</v>
      </c>
      <c r="E774" s="42">
        <f t="shared" si="7"/>
        <v>-1.79320266</v>
      </c>
      <c r="F774" s="42">
        <f t="shared" si="8"/>
        <v>-3.240190514</v>
      </c>
      <c r="G774" s="42">
        <f t="shared" si="9"/>
        <v>-1.329092151</v>
      </c>
      <c r="H774" s="42">
        <f t="shared" si="10"/>
        <v>0</v>
      </c>
      <c r="I774" s="42" t="str">
        <f>UpdateHashtag!S772</f>
        <v/>
      </c>
      <c r="J774" s="47">
        <f t="shared" si="11"/>
        <v>0</v>
      </c>
      <c r="K774" s="48" t="str">
        <f>UpdateHashtag!T772</f>
        <v/>
      </c>
      <c r="L774" s="42">
        <f t="shared" si="12"/>
        <v>-1.734552372</v>
      </c>
      <c r="N774" s="100">
        <f t="shared" si="13"/>
        <v>401</v>
      </c>
      <c r="O774" s="94" t="str">
        <f t="array" ref="O774">INDIRECT("Update"&amp;Projections!$AH$17&amp;"!B"&amp;ROW(B755))</f>
        <v/>
      </c>
      <c r="P774" s="414" t="str">
        <f t="array" ref="P774">INDIRECT("Update"&amp;Projections!$AH$17&amp;"!C"&amp;ROW(B755))</f>
        <v/>
      </c>
      <c r="Q774" s="94" t="str">
        <f>UpdateHashtag!F804</f>
        <v/>
      </c>
      <c r="R774" s="105" t="str">
        <f t="array" ref="R774">INDIRECT("Update"&amp;Projections!$AH$17&amp;"!D"&amp;ROW(B755))</f>
        <v/>
      </c>
      <c r="S774" s="73">
        <f t="shared" si="14"/>
        <v>-9.965301026</v>
      </c>
      <c r="T774" s="73">
        <f>SUM(AE774:AM774)-IFERROR(IFS(Projections!$I$17,AN774,Projections!$J$17,AO774),"")</f>
        <v>-9.965301026</v>
      </c>
      <c r="U774" s="73">
        <f t="shared" si="15"/>
        <v>0</v>
      </c>
      <c r="V774" s="73" t="str">
        <f t="array" ref="V774">INDIRECT("Update"&amp;Projections!$AH$17&amp;"!M"&amp;ROW(B755))</f>
        <v/>
      </c>
      <c r="W774" s="73" t="str">
        <f t="array" ref="W774">INDIRECT("Update"&amp;Projections!$AH$17&amp;"!L"&amp;ROW(B755))</f>
        <v/>
      </c>
      <c r="X774" s="73" t="str">
        <f t="array" ref="X774">INDIRECT("Update"&amp;Projections!$AH$17&amp;"!N"&amp;ROW(B755))</f>
        <v/>
      </c>
      <c r="Y774" s="73" t="str">
        <f t="array" ref="Y774">INDIRECT("Update"&amp;Projections!$AH$17&amp;"!O"&amp;ROW(B755))</f>
        <v/>
      </c>
      <c r="Z774" s="73" t="str">
        <f t="array" ref="Z774">INDIRECT("Update"&amp;Projections!$AH$17&amp;"!P"&amp;ROW(B755))</f>
        <v/>
      </c>
      <c r="AA774" s="73" t="str">
        <f t="array" ref="AA774">INDIRECT("Update"&amp;Projections!$AH$17&amp;"!Q"&amp;ROW(B755))</f>
        <v/>
      </c>
      <c r="AB774" s="107" t="str">
        <f t="array" ref="AB774">INDIRECT("Update"&amp;Projections!$AH$17&amp;"!I"&amp;ROW(B755))</f>
        <v/>
      </c>
      <c r="AC774" s="107" t="str">
        <f t="array" ref="AC774">INDIRECT("Update"&amp;Projections!$AH$17&amp;"!K"&amp;ROW(B755))</f>
        <v/>
      </c>
      <c r="AD774" s="73" t="str">
        <f t="array" ref="AD774">INDIRECT("Update"&amp;Projections!$AH$17&amp;"!R"&amp;ROW(B755))</f>
        <v/>
      </c>
      <c r="AE774" s="73">
        <f t="shared" si="16"/>
        <v>-3.155358621</v>
      </c>
      <c r="AF774" s="73">
        <f t="shared" si="17"/>
        <v>-1.740686581</v>
      </c>
      <c r="AG774" s="73">
        <f t="shared" si="18"/>
        <v>-2.380599106</v>
      </c>
      <c r="AH774" s="73">
        <f t="shared" si="19"/>
        <v>-1.79320266</v>
      </c>
      <c r="AI774" s="73">
        <f t="shared" si="20"/>
        <v>-3.240190514</v>
      </c>
      <c r="AJ774" s="73">
        <f t="shared" si="21"/>
        <v>-1.329092151</v>
      </c>
      <c r="AK774" s="73">
        <f t="shared" si="22"/>
        <v>0</v>
      </c>
      <c r="AL774" s="73">
        <f t="shared" si="23"/>
        <v>0</v>
      </c>
      <c r="AM774" s="73">
        <f t="shared" si="24"/>
        <v>0.433638093</v>
      </c>
      <c r="AN774" s="120">
        <f t="shared" si="25"/>
        <v>-3.240190514</v>
      </c>
      <c r="AO774" s="120">
        <f t="shared" si="26"/>
        <v>-6.395549135</v>
      </c>
      <c r="AP774" s="120" t="str">
        <f t="array" ref="AP774">INDIRECT("Update"&amp;Projections!$AH$17&amp;"!S"&amp;ROW(B755))</f>
        <v/>
      </c>
      <c r="AQ774" s="120" t="str">
        <f t="array" ref="AQ774">INDIRECT("Update"&amp;Projections!$AH$17&amp;"!T"&amp;ROW(B755))</f>
        <v/>
      </c>
      <c r="AR774" s="100">
        <f t="shared" si="27"/>
        <v>-9.965301026</v>
      </c>
    </row>
    <row r="775">
      <c r="A775" t="str">
        <f t="shared" si="3"/>
        <v/>
      </c>
      <c r="B775" s="42">
        <f t="shared" si="4"/>
        <v>-3.155358621</v>
      </c>
      <c r="C775" s="43">
        <f t="shared" si="5"/>
        <v>-1.740686581</v>
      </c>
      <c r="D775" s="42">
        <f t="shared" si="6"/>
        <v>-2.380599106</v>
      </c>
      <c r="E775" s="42">
        <f t="shared" si="7"/>
        <v>-1.79320266</v>
      </c>
      <c r="F775" s="42">
        <f t="shared" si="8"/>
        <v>-3.240190514</v>
      </c>
      <c r="G775" s="42">
        <f t="shared" si="9"/>
        <v>-1.329092151</v>
      </c>
      <c r="H775" s="42">
        <f t="shared" si="10"/>
        <v>0</v>
      </c>
      <c r="I775" s="42" t="str">
        <f>UpdateHashtag!S773</f>
        <v/>
      </c>
      <c r="J775" s="47">
        <f t="shared" si="11"/>
        <v>0</v>
      </c>
      <c r="K775" s="48" t="str">
        <f>UpdateHashtag!T773</f>
        <v/>
      </c>
      <c r="L775" s="42">
        <f t="shared" si="12"/>
        <v>-1.734552372</v>
      </c>
      <c r="N775" s="100">
        <f t="shared" si="13"/>
        <v>401</v>
      </c>
      <c r="O775" s="94" t="str">
        <f t="array" ref="O775">INDIRECT("Update"&amp;Projections!$AH$17&amp;"!B"&amp;ROW(B756))</f>
        <v/>
      </c>
      <c r="P775" s="414" t="str">
        <f t="array" ref="P775">INDIRECT("Update"&amp;Projections!$AH$17&amp;"!C"&amp;ROW(B756))</f>
        <v/>
      </c>
      <c r="Q775" s="94" t="str">
        <f>UpdateHashtag!F805</f>
        <v/>
      </c>
      <c r="R775" s="105" t="str">
        <f t="array" ref="R775">INDIRECT("Update"&amp;Projections!$AH$17&amp;"!D"&amp;ROW(B756))</f>
        <v/>
      </c>
      <c r="S775" s="73">
        <f t="shared" si="14"/>
        <v>-9.965301026</v>
      </c>
      <c r="T775" s="73">
        <f>SUM(AE775:AM775)-IFERROR(IFS(Projections!$I$17,AN775,Projections!$J$17,AO775),"")</f>
        <v>-9.965301026</v>
      </c>
      <c r="U775" s="73">
        <f t="shared" si="15"/>
        <v>0</v>
      </c>
      <c r="V775" s="73" t="str">
        <f t="array" ref="V775">INDIRECT("Update"&amp;Projections!$AH$17&amp;"!M"&amp;ROW(B756))</f>
        <v/>
      </c>
      <c r="W775" s="73" t="str">
        <f t="array" ref="W775">INDIRECT("Update"&amp;Projections!$AH$17&amp;"!L"&amp;ROW(B756))</f>
        <v/>
      </c>
      <c r="X775" s="73" t="str">
        <f t="array" ref="X775">INDIRECT("Update"&amp;Projections!$AH$17&amp;"!N"&amp;ROW(B756))</f>
        <v/>
      </c>
      <c r="Y775" s="73" t="str">
        <f t="array" ref="Y775">INDIRECT("Update"&amp;Projections!$AH$17&amp;"!O"&amp;ROW(B756))</f>
        <v/>
      </c>
      <c r="Z775" s="73" t="str">
        <f t="array" ref="Z775">INDIRECT("Update"&amp;Projections!$AH$17&amp;"!P"&amp;ROW(B756))</f>
        <v/>
      </c>
      <c r="AA775" s="73" t="str">
        <f t="array" ref="AA775">INDIRECT("Update"&amp;Projections!$AH$17&amp;"!Q"&amp;ROW(B756))</f>
        <v/>
      </c>
      <c r="AB775" s="107" t="str">
        <f t="array" ref="AB775">INDIRECT("Update"&amp;Projections!$AH$17&amp;"!I"&amp;ROW(B756))</f>
        <v/>
      </c>
      <c r="AC775" s="107" t="str">
        <f t="array" ref="AC775">INDIRECT("Update"&amp;Projections!$AH$17&amp;"!K"&amp;ROW(B756))</f>
        <v/>
      </c>
      <c r="AD775" s="73" t="str">
        <f t="array" ref="AD775">INDIRECT("Update"&amp;Projections!$AH$17&amp;"!R"&amp;ROW(B756))</f>
        <v/>
      </c>
      <c r="AE775" s="73">
        <f t="shared" si="16"/>
        <v>-3.155358621</v>
      </c>
      <c r="AF775" s="73">
        <f t="shared" si="17"/>
        <v>-1.740686581</v>
      </c>
      <c r="AG775" s="73">
        <f t="shared" si="18"/>
        <v>-2.380599106</v>
      </c>
      <c r="AH775" s="73">
        <f t="shared" si="19"/>
        <v>-1.79320266</v>
      </c>
      <c r="AI775" s="73">
        <f t="shared" si="20"/>
        <v>-3.240190514</v>
      </c>
      <c r="AJ775" s="73">
        <f t="shared" si="21"/>
        <v>-1.329092151</v>
      </c>
      <c r="AK775" s="73">
        <f t="shared" si="22"/>
        <v>0</v>
      </c>
      <c r="AL775" s="73">
        <f t="shared" si="23"/>
        <v>0</v>
      </c>
      <c r="AM775" s="73">
        <f t="shared" si="24"/>
        <v>0.433638093</v>
      </c>
      <c r="AN775" s="120">
        <f t="shared" si="25"/>
        <v>-3.240190514</v>
      </c>
      <c r="AO775" s="120">
        <f t="shared" si="26"/>
        <v>-6.395549135</v>
      </c>
      <c r="AP775" s="120" t="str">
        <f t="array" ref="AP775">INDIRECT("Update"&amp;Projections!$AH$17&amp;"!S"&amp;ROW(B756))</f>
        <v/>
      </c>
      <c r="AQ775" s="120" t="str">
        <f t="array" ref="AQ775">INDIRECT("Update"&amp;Projections!$AH$17&amp;"!T"&amp;ROW(B756))</f>
        <v/>
      </c>
      <c r="AR775" s="100">
        <f t="shared" si="27"/>
        <v>-9.965301026</v>
      </c>
    </row>
    <row r="776">
      <c r="A776" t="str">
        <f t="shared" si="3"/>
        <v/>
      </c>
      <c r="B776" s="42">
        <f t="shared" si="4"/>
        <v>-3.155358621</v>
      </c>
      <c r="C776" s="43">
        <f t="shared" si="5"/>
        <v>-1.740686581</v>
      </c>
      <c r="D776" s="42">
        <f t="shared" si="6"/>
        <v>-2.380599106</v>
      </c>
      <c r="E776" s="42">
        <f t="shared" si="7"/>
        <v>-1.79320266</v>
      </c>
      <c r="F776" s="42">
        <f t="shared" si="8"/>
        <v>-3.240190514</v>
      </c>
      <c r="G776" s="42">
        <f t="shared" si="9"/>
        <v>-1.329092151</v>
      </c>
      <c r="H776" s="42">
        <f t="shared" si="10"/>
        <v>0</v>
      </c>
      <c r="I776" s="42" t="str">
        <f>UpdateHashtag!S774</f>
        <v/>
      </c>
      <c r="J776" s="47">
        <f t="shared" si="11"/>
        <v>0</v>
      </c>
      <c r="K776" s="48" t="str">
        <f>UpdateHashtag!T774</f>
        <v/>
      </c>
      <c r="L776" s="42">
        <f t="shared" si="12"/>
        <v>-1.734552372</v>
      </c>
      <c r="N776" s="100">
        <f t="shared" si="13"/>
        <v>401</v>
      </c>
      <c r="O776" s="94" t="str">
        <f t="array" ref="O776">INDIRECT("Update"&amp;Projections!$AH$17&amp;"!B"&amp;ROW(B757))</f>
        <v/>
      </c>
      <c r="P776" s="414" t="str">
        <f t="array" ref="P776">INDIRECT("Update"&amp;Projections!$AH$17&amp;"!C"&amp;ROW(B757))</f>
        <v/>
      </c>
      <c r="Q776" s="94" t="str">
        <f>UpdateHashtag!F806</f>
        <v/>
      </c>
      <c r="R776" s="105" t="str">
        <f t="array" ref="R776">INDIRECT("Update"&amp;Projections!$AH$17&amp;"!D"&amp;ROW(B757))</f>
        <v/>
      </c>
      <c r="S776" s="73">
        <f t="shared" si="14"/>
        <v>-9.965301026</v>
      </c>
      <c r="T776" s="73">
        <f>SUM(AE776:AM776)-IFERROR(IFS(Projections!$I$17,AN776,Projections!$J$17,AO776),"")</f>
        <v>-9.965301026</v>
      </c>
      <c r="U776" s="73">
        <f t="shared" si="15"/>
        <v>0</v>
      </c>
      <c r="V776" s="73" t="str">
        <f t="array" ref="V776">INDIRECT("Update"&amp;Projections!$AH$17&amp;"!M"&amp;ROW(B757))</f>
        <v/>
      </c>
      <c r="W776" s="73" t="str">
        <f t="array" ref="W776">INDIRECT("Update"&amp;Projections!$AH$17&amp;"!L"&amp;ROW(B757))</f>
        <v/>
      </c>
      <c r="X776" s="73" t="str">
        <f t="array" ref="X776">INDIRECT("Update"&amp;Projections!$AH$17&amp;"!N"&amp;ROW(B757))</f>
        <v/>
      </c>
      <c r="Y776" s="73" t="str">
        <f t="array" ref="Y776">INDIRECT("Update"&amp;Projections!$AH$17&amp;"!O"&amp;ROW(B757))</f>
        <v/>
      </c>
      <c r="Z776" s="73" t="str">
        <f t="array" ref="Z776">INDIRECT("Update"&amp;Projections!$AH$17&amp;"!P"&amp;ROW(B757))</f>
        <v/>
      </c>
      <c r="AA776" s="73" t="str">
        <f t="array" ref="AA776">INDIRECT("Update"&amp;Projections!$AH$17&amp;"!Q"&amp;ROW(B757))</f>
        <v/>
      </c>
      <c r="AB776" s="107" t="str">
        <f t="array" ref="AB776">INDIRECT("Update"&amp;Projections!$AH$17&amp;"!I"&amp;ROW(B757))</f>
        <v/>
      </c>
      <c r="AC776" s="107" t="str">
        <f t="array" ref="AC776">INDIRECT("Update"&amp;Projections!$AH$17&amp;"!K"&amp;ROW(B757))</f>
        <v/>
      </c>
      <c r="AD776" s="73" t="str">
        <f t="array" ref="AD776">INDIRECT("Update"&amp;Projections!$AH$17&amp;"!R"&amp;ROW(B757))</f>
        <v/>
      </c>
      <c r="AE776" s="73">
        <f t="shared" si="16"/>
        <v>-3.155358621</v>
      </c>
      <c r="AF776" s="73">
        <f t="shared" si="17"/>
        <v>-1.740686581</v>
      </c>
      <c r="AG776" s="73">
        <f t="shared" si="18"/>
        <v>-2.380599106</v>
      </c>
      <c r="AH776" s="73">
        <f t="shared" si="19"/>
        <v>-1.79320266</v>
      </c>
      <c r="AI776" s="73">
        <f t="shared" si="20"/>
        <v>-3.240190514</v>
      </c>
      <c r="AJ776" s="73">
        <f t="shared" si="21"/>
        <v>-1.329092151</v>
      </c>
      <c r="AK776" s="73">
        <f t="shared" si="22"/>
        <v>0</v>
      </c>
      <c r="AL776" s="73">
        <f t="shared" si="23"/>
        <v>0</v>
      </c>
      <c r="AM776" s="73">
        <f t="shared" si="24"/>
        <v>0.433638093</v>
      </c>
      <c r="AN776" s="120">
        <f t="shared" si="25"/>
        <v>-3.240190514</v>
      </c>
      <c r="AO776" s="120">
        <f t="shared" si="26"/>
        <v>-6.395549135</v>
      </c>
      <c r="AP776" s="120" t="str">
        <f t="array" ref="AP776">INDIRECT("Update"&amp;Projections!$AH$17&amp;"!S"&amp;ROW(B757))</f>
        <v/>
      </c>
      <c r="AQ776" s="120" t="str">
        <f t="array" ref="AQ776">INDIRECT("Update"&amp;Projections!$AH$17&amp;"!T"&amp;ROW(B757))</f>
        <v/>
      </c>
      <c r="AR776" s="100">
        <f t="shared" si="27"/>
        <v>-9.965301026</v>
      </c>
    </row>
    <row r="777">
      <c r="A777" t="str">
        <f t="shared" si="3"/>
        <v/>
      </c>
      <c r="B777" s="42">
        <f t="shared" si="4"/>
        <v>-3.155358621</v>
      </c>
      <c r="C777" s="43">
        <f t="shared" si="5"/>
        <v>-1.740686581</v>
      </c>
      <c r="D777" s="42">
        <f t="shared" si="6"/>
        <v>-2.380599106</v>
      </c>
      <c r="E777" s="42">
        <f t="shared" si="7"/>
        <v>-1.79320266</v>
      </c>
      <c r="F777" s="42">
        <f t="shared" si="8"/>
        <v>-3.240190514</v>
      </c>
      <c r="G777" s="42">
        <f t="shared" si="9"/>
        <v>-1.329092151</v>
      </c>
      <c r="H777" s="42">
        <f t="shared" si="10"/>
        <v>0</v>
      </c>
      <c r="I777" s="42" t="str">
        <f>UpdateHashtag!S775</f>
        <v/>
      </c>
      <c r="J777" s="47">
        <f t="shared" si="11"/>
        <v>0</v>
      </c>
      <c r="K777" s="48" t="str">
        <f>UpdateHashtag!T775</f>
        <v/>
      </c>
      <c r="L777" s="42">
        <f t="shared" si="12"/>
        <v>-1.734552372</v>
      </c>
      <c r="N777" s="100">
        <f t="shared" si="13"/>
        <v>401</v>
      </c>
      <c r="O777" s="94" t="str">
        <f t="array" ref="O777">INDIRECT("Update"&amp;Projections!$AH$17&amp;"!B"&amp;ROW(B758))</f>
        <v/>
      </c>
      <c r="P777" s="414" t="str">
        <f t="array" ref="P777">INDIRECT("Update"&amp;Projections!$AH$17&amp;"!C"&amp;ROW(B758))</f>
        <v/>
      </c>
      <c r="Q777" s="94" t="str">
        <f>UpdateHashtag!F807</f>
        <v/>
      </c>
      <c r="R777" s="105" t="str">
        <f t="array" ref="R777">INDIRECT("Update"&amp;Projections!$AH$17&amp;"!D"&amp;ROW(B758))</f>
        <v/>
      </c>
      <c r="S777" s="73">
        <f t="shared" si="14"/>
        <v>-9.965301026</v>
      </c>
      <c r="T777" s="73">
        <f>SUM(AE777:AM777)-IFERROR(IFS(Projections!$I$17,AN777,Projections!$J$17,AO777),"")</f>
        <v>-9.965301026</v>
      </c>
      <c r="U777" s="73">
        <f t="shared" si="15"/>
        <v>0</v>
      </c>
      <c r="V777" s="73" t="str">
        <f t="array" ref="V777">INDIRECT("Update"&amp;Projections!$AH$17&amp;"!M"&amp;ROW(B758))</f>
        <v/>
      </c>
      <c r="W777" s="73" t="str">
        <f t="array" ref="W777">INDIRECT("Update"&amp;Projections!$AH$17&amp;"!L"&amp;ROW(B758))</f>
        <v/>
      </c>
      <c r="X777" s="73" t="str">
        <f t="array" ref="X777">INDIRECT("Update"&amp;Projections!$AH$17&amp;"!N"&amp;ROW(B758))</f>
        <v/>
      </c>
      <c r="Y777" s="73" t="str">
        <f t="array" ref="Y777">INDIRECT("Update"&amp;Projections!$AH$17&amp;"!O"&amp;ROW(B758))</f>
        <v/>
      </c>
      <c r="Z777" s="73" t="str">
        <f t="array" ref="Z777">INDIRECT("Update"&amp;Projections!$AH$17&amp;"!P"&amp;ROW(B758))</f>
        <v/>
      </c>
      <c r="AA777" s="73" t="str">
        <f t="array" ref="AA777">INDIRECT("Update"&amp;Projections!$AH$17&amp;"!Q"&amp;ROW(B758))</f>
        <v/>
      </c>
      <c r="AB777" s="107" t="str">
        <f t="array" ref="AB777">INDIRECT("Update"&amp;Projections!$AH$17&amp;"!I"&amp;ROW(B758))</f>
        <v/>
      </c>
      <c r="AC777" s="107" t="str">
        <f t="array" ref="AC777">INDIRECT("Update"&amp;Projections!$AH$17&amp;"!K"&amp;ROW(B758))</f>
        <v/>
      </c>
      <c r="AD777" s="73" t="str">
        <f t="array" ref="AD777">INDIRECT("Update"&amp;Projections!$AH$17&amp;"!R"&amp;ROW(B758))</f>
        <v/>
      </c>
      <c r="AE777" s="73">
        <f t="shared" si="16"/>
        <v>-3.155358621</v>
      </c>
      <c r="AF777" s="73">
        <f t="shared" si="17"/>
        <v>-1.740686581</v>
      </c>
      <c r="AG777" s="73">
        <f t="shared" si="18"/>
        <v>-2.380599106</v>
      </c>
      <c r="AH777" s="73">
        <f t="shared" si="19"/>
        <v>-1.79320266</v>
      </c>
      <c r="AI777" s="73">
        <f t="shared" si="20"/>
        <v>-3.240190514</v>
      </c>
      <c r="AJ777" s="73">
        <f t="shared" si="21"/>
        <v>-1.329092151</v>
      </c>
      <c r="AK777" s="73">
        <f t="shared" si="22"/>
        <v>0</v>
      </c>
      <c r="AL777" s="73">
        <f t="shared" si="23"/>
        <v>0</v>
      </c>
      <c r="AM777" s="73">
        <f t="shared" si="24"/>
        <v>0.433638093</v>
      </c>
      <c r="AN777" s="120">
        <f t="shared" si="25"/>
        <v>-3.240190514</v>
      </c>
      <c r="AO777" s="120">
        <f t="shared" si="26"/>
        <v>-6.395549135</v>
      </c>
      <c r="AP777" s="120" t="str">
        <f t="array" ref="AP777">INDIRECT("Update"&amp;Projections!$AH$17&amp;"!S"&amp;ROW(B758))</f>
        <v/>
      </c>
      <c r="AQ777" s="120" t="str">
        <f t="array" ref="AQ777">INDIRECT("Update"&amp;Projections!$AH$17&amp;"!T"&amp;ROW(B758))</f>
        <v/>
      </c>
      <c r="AR777" s="100">
        <f t="shared" si="27"/>
        <v>-9.965301026</v>
      </c>
    </row>
    <row r="778">
      <c r="A778" t="str">
        <f t="shared" si="3"/>
        <v/>
      </c>
      <c r="B778" s="42">
        <f t="shared" si="4"/>
        <v>-3.155358621</v>
      </c>
      <c r="C778" s="43">
        <f t="shared" si="5"/>
        <v>-1.740686581</v>
      </c>
      <c r="D778" s="42">
        <f t="shared" si="6"/>
        <v>-2.380599106</v>
      </c>
      <c r="E778" s="42">
        <f t="shared" si="7"/>
        <v>-1.79320266</v>
      </c>
      <c r="F778" s="42">
        <f t="shared" si="8"/>
        <v>-3.240190514</v>
      </c>
      <c r="G778" s="42">
        <f t="shared" si="9"/>
        <v>-1.329092151</v>
      </c>
      <c r="H778" s="42">
        <f t="shared" si="10"/>
        <v>0</v>
      </c>
      <c r="I778" s="42" t="str">
        <f>UpdateHashtag!S776</f>
        <v/>
      </c>
      <c r="J778" s="47">
        <f t="shared" si="11"/>
        <v>0</v>
      </c>
      <c r="K778" s="48" t="str">
        <f>UpdateHashtag!T776</f>
        <v/>
      </c>
      <c r="L778" s="42">
        <f t="shared" si="12"/>
        <v>-1.734552372</v>
      </c>
      <c r="N778" s="100">
        <f t="shared" si="13"/>
        <v>401</v>
      </c>
      <c r="O778" s="94" t="str">
        <f t="array" ref="O778">INDIRECT("Update"&amp;Projections!$AH$17&amp;"!B"&amp;ROW(B759))</f>
        <v/>
      </c>
      <c r="P778" s="414" t="str">
        <f t="array" ref="P778">INDIRECT("Update"&amp;Projections!$AH$17&amp;"!C"&amp;ROW(B759))</f>
        <v/>
      </c>
      <c r="Q778" s="94" t="str">
        <f>UpdateHashtag!F808</f>
        <v/>
      </c>
      <c r="R778" s="105" t="str">
        <f t="array" ref="R778">INDIRECT("Update"&amp;Projections!$AH$17&amp;"!D"&amp;ROW(B759))</f>
        <v/>
      </c>
      <c r="S778" s="73">
        <f t="shared" si="14"/>
        <v>-9.965301026</v>
      </c>
      <c r="T778" s="73">
        <f>SUM(AE778:AM778)-IFERROR(IFS(Projections!$I$17,AN778,Projections!$J$17,AO778),"")</f>
        <v>-9.965301026</v>
      </c>
      <c r="U778" s="73">
        <f t="shared" si="15"/>
        <v>0</v>
      </c>
      <c r="V778" s="73" t="str">
        <f t="array" ref="V778">INDIRECT("Update"&amp;Projections!$AH$17&amp;"!M"&amp;ROW(B759))</f>
        <v/>
      </c>
      <c r="W778" s="73" t="str">
        <f t="array" ref="W778">INDIRECT("Update"&amp;Projections!$AH$17&amp;"!L"&amp;ROW(B759))</f>
        <v/>
      </c>
      <c r="X778" s="73" t="str">
        <f t="array" ref="X778">INDIRECT("Update"&amp;Projections!$AH$17&amp;"!N"&amp;ROW(B759))</f>
        <v/>
      </c>
      <c r="Y778" s="73" t="str">
        <f t="array" ref="Y778">INDIRECT("Update"&amp;Projections!$AH$17&amp;"!O"&amp;ROW(B759))</f>
        <v/>
      </c>
      <c r="Z778" s="73" t="str">
        <f t="array" ref="Z778">INDIRECT("Update"&amp;Projections!$AH$17&amp;"!P"&amp;ROW(B759))</f>
        <v/>
      </c>
      <c r="AA778" s="73" t="str">
        <f t="array" ref="AA778">INDIRECT("Update"&amp;Projections!$AH$17&amp;"!Q"&amp;ROW(B759))</f>
        <v/>
      </c>
      <c r="AB778" s="107" t="str">
        <f t="array" ref="AB778">INDIRECT("Update"&amp;Projections!$AH$17&amp;"!I"&amp;ROW(B759))</f>
        <v/>
      </c>
      <c r="AC778" s="107" t="str">
        <f t="array" ref="AC778">INDIRECT("Update"&amp;Projections!$AH$17&amp;"!K"&amp;ROW(B759))</f>
        <v/>
      </c>
      <c r="AD778" s="73" t="str">
        <f t="array" ref="AD778">INDIRECT("Update"&amp;Projections!$AH$17&amp;"!R"&amp;ROW(B759))</f>
        <v/>
      </c>
      <c r="AE778" s="73">
        <f t="shared" si="16"/>
        <v>-3.155358621</v>
      </c>
      <c r="AF778" s="73">
        <f t="shared" si="17"/>
        <v>-1.740686581</v>
      </c>
      <c r="AG778" s="73">
        <f t="shared" si="18"/>
        <v>-2.380599106</v>
      </c>
      <c r="AH778" s="73">
        <f t="shared" si="19"/>
        <v>-1.79320266</v>
      </c>
      <c r="AI778" s="73">
        <f t="shared" si="20"/>
        <v>-3.240190514</v>
      </c>
      <c r="AJ778" s="73">
        <f t="shared" si="21"/>
        <v>-1.329092151</v>
      </c>
      <c r="AK778" s="73">
        <f t="shared" si="22"/>
        <v>0</v>
      </c>
      <c r="AL778" s="73">
        <f t="shared" si="23"/>
        <v>0</v>
      </c>
      <c r="AM778" s="73">
        <f t="shared" si="24"/>
        <v>0.433638093</v>
      </c>
      <c r="AN778" s="120">
        <f t="shared" si="25"/>
        <v>-3.240190514</v>
      </c>
      <c r="AO778" s="120">
        <f t="shared" si="26"/>
        <v>-6.395549135</v>
      </c>
      <c r="AP778" s="120" t="str">
        <f t="array" ref="AP778">INDIRECT("Update"&amp;Projections!$AH$17&amp;"!S"&amp;ROW(B759))</f>
        <v/>
      </c>
      <c r="AQ778" s="120" t="str">
        <f t="array" ref="AQ778">INDIRECT("Update"&amp;Projections!$AH$17&amp;"!T"&amp;ROW(B759))</f>
        <v/>
      </c>
      <c r="AR778" s="100">
        <f t="shared" si="27"/>
        <v>-9.965301026</v>
      </c>
    </row>
    <row r="779">
      <c r="A779" t="str">
        <f t="shared" si="3"/>
        <v/>
      </c>
      <c r="B779" s="42">
        <f t="shared" si="4"/>
        <v>-3.155358621</v>
      </c>
      <c r="C779" s="43">
        <f t="shared" si="5"/>
        <v>-1.740686581</v>
      </c>
      <c r="D779" s="42">
        <f t="shared" si="6"/>
        <v>-2.380599106</v>
      </c>
      <c r="E779" s="42">
        <f t="shared" si="7"/>
        <v>-1.79320266</v>
      </c>
      <c r="F779" s="42">
        <f t="shared" si="8"/>
        <v>-3.240190514</v>
      </c>
      <c r="G779" s="42">
        <f t="shared" si="9"/>
        <v>-1.329092151</v>
      </c>
      <c r="H779" s="42">
        <f t="shared" si="10"/>
        <v>0</v>
      </c>
      <c r="I779" s="42" t="str">
        <f>UpdateHashtag!S777</f>
        <v/>
      </c>
      <c r="J779" s="47">
        <f t="shared" si="11"/>
        <v>0</v>
      </c>
      <c r="K779" s="48" t="str">
        <f>UpdateHashtag!T777</f>
        <v/>
      </c>
      <c r="L779" s="42">
        <f t="shared" si="12"/>
        <v>-1.734552372</v>
      </c>
      <c r="N779" s="100">
        <f t="shared" si="13"/>
        <v>401</v>
      </c>
      <c r="O779" s="94" t="str">
        <f t="array" ref="O779">INDIRECT("Update"&amp;Projections!$AH$17&amp;"!B"&amp;ROW(B760))</f>
        <v/>
      </c>
      <c r="P779" s="414" t="str">
        <f t="array" ref="P779">INDIRECT("Update"&amp;Projections!$AH$17&amp;"!C"&amp;ROW(B760))</f>
        <v/>
      </c>
      <c r="Q779" s="94" t="str">
        <f>UpdateHashtag!F809</f>
        <v/>
      </c>
      <c r="R779" s="105" t="str">
        <f t="array" ref="R779">INDIRECT("Update"&amp;Projections!$AH$17&amp;"!D"&amp;ROW(B760))</f>
        <v/>
      </c>
      <c r="S779" s="73">
        <f t="shared" si="14"/>
        <v>-9.965301026</v>
      </c>
      <c r="T779" s="73">
        <f>SUM(AE779:AM779)-IFERROR(IFS(Projections!$I$17,AN779,Projections!$J$17,AO779),"")</f>
        <v>-9.965301026</v>
      </c>
      <c r="U779" s="73">
        <f t="shared" si="15"/>
        <v>0</v>
      </c>
      <c r="V779" s="73" t="str">
        <f t="array" ref="V779">INDIRECT("Update"&amp;Projections!$AH$17&amp;"!M"&amp;ROW(B760))</f>
        <v/>
      </c>
      <c r="W779" s="73" t="str">
        <f t="array" ref="W779">INDIRECT("Update"&amp;Projections!$AH$17&amp;"!L"&amp;ROW(B760))</f>
        <v/>
      </c>
      <c r="X779" s="73" t="str">
        <f t="array" ref="X779">INDIRECT("Update"&amp;Projections!$AH$17&amp;"!N"&amp;ROW(B760))</f>
        <v/>
      </c>
      <c r="Y779" s="73" t="str">
        <f t="array" ref="Y779">INDIRECT("Update"&amp;Projections!$AH$17&amp;"!O"&amp;ROW(B760))</f>
        <v/>
      </c>
      <c r="Z779" s="73" t="str">
        <f t="array" ref="Z779">INDIRECT("Update"&amp;Projections!$AH$17&amp;"!P"&amp;ROW(B760))</f>
        <v/>
      </c>
      <c r="AA779" s="73" t="str">
        <f t="array" ref="AA779">INDIRECT("Update"&amp;Projections!$AH$17&amp;"!Q"&amp;ROW(B760))</f>
        <v/>
      </c>
      <c r="AB779" s="107" t="str">
        <f t="array" ref="AB779">INDIRECT("Update"&amp;Projections!$AH$17&amp;"!I"&amp;ROW(B760))</f>
        <v/>
      </c>
      <c r="AC779" s="107" t="str">
        <f t="array" ref="AC779">INDIRECT("Update"&amp;Projections!$AH$17&amp;"!K"&amp;ROW(B760))</f>
        <v/>
      </c>
      <c r="AD779" s="73" t="str">
        <f t="array" ref="AD779">INDIRECT("Update"&amp;Projections!$AH$17&amp;"!R"&amp;ROW(B760))</f>
        <v/>
      </c>
      <c r="AE779" s="73">
        <f t="shared" si="16"/>
        <v>-3.155358621</v>
      </c>
      <c r="AF779" s="73">
        <f t="shared" si="17"/>
        <v>-1.740686581</v>
      </c>
      <c r="AG779" s="73">
        <f t="shared" si="18"/>
        <v>-2.380599106</v>
      </c>
      <c r="AH779" s="73">
        <f t="shared" si="19"/>
        <v>-1.79320266</v>
      </c>
      <c r="AI779" s="73">
        <f t="shared" si="20"/>
        <v>-3.240190514</v>
      </c>
      <c r="AJ779" s="73">
        <f t="shared" si="21"/>
        <v>-1.329092151</v>
      </c>
      <c r="AK779" s="73">
        <f t="shared" si="22"/>
        <v>0</v>
      </c>
      <c r="AL779" s="73">
        <f t="shared" si="23"/>
        <v>0</v>
      </c>
      <c r="AM779" s="73">
        <f t="shared" si="24"/>
        <v>0.433638093</v>
      </c>
      <c r="AN779" s="120">
        <f t="shared" si="25"/>
        <v>-3.240190514</v>
      </c>
      <c r="AO779" s="120">
        <f t="shared" si="26"/>
        <v>-6.395549135</v>
      </c>
      <c r="AP779" s="120" t="str">
        <f t="array" ref="AP779">INDIRECT("Update"&amp;Projections!$AH$17&amp;"!S"&amp;ROW(B760))</f>
        <v/>
      </c>
      <c r="AQ779" s="120" t="str">
        <f t="array" ref="AQ779">INDIRECT("Update"&amp;Projections!$AH$17&amp;"!T"&amp;ROW(B760))</f>
        <v/>
      </c>
      <c r="AR779" s="100">
        <f t="shared" si="27"/>
        <v>-9.965301026</v>
      </c>
    </row>
    <row r="780">
      <c r="A780" t="str">
        <f t="shared" si="3"/>
        <v/>
      </c>
      <c r="B780" s="42">
        <f t="shared" si="4"/>
        <v>-3.155358621</v>
      </c>
      <c r="C780" s="43">
        <f t="shared" si="5"/>
        <v>-1.740686581</v>
      </c>
      <c r="D780" s="42">
        <f t="shared" si="6"/>
        <v>-2.380599106</v>
      </c>
      <c r="E780" s="42">
        <f t="shared" si="7"/>
        <v>-1.79320266</v>
      </c>
      <c r="F780" s="42">
        <f t="shared" si="8"/>
        <v>-3.240190514</v>
      </c>
      <c r="G780" s="42">
        <f t="shared" si="9"/>
        <v>-1.329092151</v>
      </c>
      <c r="H780" s="42">
        <f t="shared" si="10"/>
        <v>0</v>
      </c>
      <c r="I780" s="42" t="str">
        <f>UpdateHashtag!S778</f>
        <v/>
      </c>
      <c r="J780" s="47">
        <f t="shared" si="11"/>
        <v>0</v>
      </c>
      <c r="K780" s="48" t="str">
        <f>UpdateHashtag!T778</f>
        <v/>
      </c>
      <c r="L780" s="42">
        <f t="shared" si="12"/>
        <v>-1.734552372</v>
      </c>
      <c r="N780" s="100">
        <f t="shared" si="13"/>
        <v>401</v>
      </c>
      <c r="O780" s="94" t="str">
        <f t="array" ref="O780">INDIRECT("Update"&amp;Projections!$AH$17&amp;"!B"&amp;ROW(B761))</f>
        <v/>
      </c>
      <c r="P780" s="414" t="str">
        <f t="array" ref="P780">INDIRECT("Update"&amp;Projections!$AH$17&amp;"!C"&amp;ROW(B761))</f>
        <v/>
      </c>
      <c r="Q780" s="94" t="str">
        <f>UpdateHashtag!F810</f>
        <v/>
      </c>
      <c r="R780" s="105" t="str">
        <f t="array" ref="R780">INDIRECT("Update"&amp;Projections!$AH$17&amp;"!D"&amp;ROW(B761))</f>
        <v/>
      </c>
      <c r="S780" s="73">
        <f t="shared" si="14"/>
        <v>-9.965301026</v>
      </c>
      <c r="T780" s="73">
        <f>SUM(AE780:AM780)-IFERROR(IFS(Projections!$I$17,AN780,Projections!$J$17,AO780),"")</f>
        <v>-9.965301026</v>
      </c>
      <c r="U780" s="73">
        <f t="shared" si="15"/>
        <v>0</v>
      </c>
      <c r="V780" s="73" t="str">
        <f t="array" ref="V780">INDIRECT("Update"&amp;Projections!$AH$17&amp;"!M"&amp;ROW(B761))</f>
        <v/>
      </c>
      <c r="W780" s="73" t="str">
        <f t="array" ref="W780">INDIRECT("Update"&amp;Projections!$AH$17&amp;"!L"&amp;ROW(B761))</f>
        <v/>
      </c>
      <c r="X780" s="73" t="str">
        <f t="array" ref="X780">INDIRECT("Update"&amp;Projections!$AH$17&amp;"!N"&amp;ROW(B761))</f>
        <v/>
      </c>
      <c r="Y780" s="73" t="str">
        <f t="array" ref="Y780">INDIRECT("Update"&amp;Projections!$AH$17&amp;"!O"&amp;ROW(B761))</f>
        <v/>
      </c>
      <c r="Z780" s="73" t="str">
        <f t="array" ref="Z780">INDIRECT("Update"&amp;Projections!$AH$17&amp;"!P"&amp;ROW(B761))</f>
        <v/>
      </c>
      <c r="AA780" s="73" t="str">
        <f t="array" ref="AA780">INDIRECT("Update"&amp;Projections!$AH$17&amp;"!Q"&amp;ROW(B761))</f>
        <v/>
      </c>
      <c r="AB780" s="107" t="str">
        <f t="array" ref="AB780">INDIRECT("Update"&amp;Projections!$AH$17&amp;"!I"&amp;ROW(B761))</f>
        <v/>
      </c>
      <c r="AC780" s="107" t="str">
        <f t="array" ref="AC780">INDIRECT("Update"&amp;Projections!$AH$17&amp;"!K"&amp;ROW(B761))</f>
        <v/>
      </c>
      <c r="AD780" s="73" t="str">
        <f t="array" ref="AD780">INDIRECT("Update"&amp;Projections!$AH$17&amp;"!R"&amp;ROW(B761))</f>
        <v/>
      </c>
      <c r="AE780" s="73">
        <f t="shared" si="16"/>
        <v>-3.155358621</v>
      </c>
      <c r="AF780" s="73">
        <f t="shared" si="17"/>
        <v>-1.740686581</v>
      </c>
      <c r="AG780" s="73">
        <f t="shared" si="18"/>
        <v>-2.380599106</v>
      </c>
      <c r="AH780" s="73">
        <f t="shared" si="19"/>
        <v>-1.79320266</v>
      </c>
      <c r="AI780" s="73">
        <f t="shared" si="20"/>
        <v>-3.240190514</v>
      </c>
      <c r="AJ780" s="73">
        <f t="shared" si="21"/>
        <v>-1.329092151</v>
      </c>
      <c r="AK780" s="73">
        <f t="shared" si="22"/>
        <v>0</v>
      </c>
      <c r="AL780" s="73">
        <f t="shared" si="23"/>
        <v>0</v>
      </c>
      <c r="AM780" s="73">
        <f t="shared" si="24"/>
        <v>0.433638093</v>
      </c>
      <c r="AN780" s="120">
        <f t="shared" si="25"/>
        <v>-3.240190514</v>
      </c>
      <c r="AO780" s="120">
        <f t="shared" si="26"/>
        <v>-6.395549135</v>
      </c>
      <c r="AP780" s="120" t="str">
        <f t="array" ref="AP780">INDIRECT("Update"&amp;Projections!$AH$17&amp;"!S"&amp;ROW(B761))</f>
        <v/>
      </c>
      <c r="AQ780" s="120" t="str">
        <f t="array" ref="AQ780">INDIRECT("Update"&amp;Projections!$AH$17&amp;"!T"&amp;ROW(B761))</f>
        <v/>
      </c>
      <c r="AR780" s="100">
        <f t="shared" si="27"/>
        <v>-9.965301026</v>
      </c>
    </row>
    <row r="781">
      <c r="A781" t="str">
        <f t="shared" si="3"/>
        <v/>
      </c>
      <c r="B781" s="42">
        <f t="shared" si="4"/>
        <v>-3.155358621</v>
      </c>
      <c r="C781" s="43">
        <f t="shared" si="5"/>
        <v>-1.740686581</v>
      </c>
      <c r="D781" s="42">
        <f t="shared" si="6"/>
        <v>-2.380599106</v>
      </c>
      <c r="E781" s="42">
        <f t="shared" si="7"/>
        <v>-1.79320266</v>
      </c>
      <c r="F781" s="42">
        <f t="shared" si="8"/>
        <v>-3.240190514</v>
      </c>
      <c r="G781" s="42">
        <f t="shared" si="9"/>
        <v>-1.329092151</v>
      </c>
      <c r="H781" s="42">
        <f t="shared" si="10"/>
        <v>0</v>
      </c>
      <c r="I781" s="42" t="str">
        <f>UpdateHashtag!S779</f>
        <v/>
      </c>
      <c r="J781" s="47">
        <f t="shared" si="11"/>
        <v>0</v>
      </c>
      <c r="K781" s="48" t="str">
        <f>UpdateHashtag!T779</f>
        <v/>
      </c>
      <c r="L781" s="42">
        <f t="shared" si="12"/>
        <v>-1.734552372</v>
      </c>
      <c r="N781" s="100">
        <f t="shared" si="13"/>
        <v>401</v>
      </c>
      <c r="O781" s="94" t="str">
        <f t="array" ref="O781">INDIRECT("Update"&amp;Projections!$AH$17&amp;"!B"&amp;ROW(B762))</f>
        <v/>
      </c>
      <c r="P781" s="414" t="str">
        <f t="array" ref="P781">INDIRECT("Update"&amp;Projections!$AH$17&amp;"!C"&amp;ROW(B762))</f>
        <v/>
      </c>
      <c r="Q781" s="94" t="str">
        <f>UpdateHashtag!F811</f>
        <v/>
      </c>
      <c r="R781" s="105" t="str">
        <f t="array" ref="R781">INDIRECT("Update"&amp;Projections!$AH$17&amp;"!D"&amp;ROW(B762))</f>
        <v/>
      </c>
      <c r="S781" s="73">
        <f t="shared" si="14"/>
        <v>-9.965301026</v>
      </c>
      <c r="T781" s="73">
        <f>SUM(AE781:AM781)-IFERROR(IFS(Projections!$I$17,AN781,Projections!$J$17,AO781),"")</f>
        <v>-9.965301026</v>
      </c>
      <c r="U781" s="73">
        <f t="shared" si="15"/>
        <v>0</v>
      </c>
      <c r="V781" s="73" t="str">
        <f t="array" ref="V781">INDIRECT("Update"&amp;Projections!$AH$17&amp;"!M"&amp;ROW(B762))</f>
        <v/>
      </c>
      <c r="W781" s="73" t="str">
        <f t="array" ref="W781">INDIRECT("Update"&amp;Projections!$AH$17&amp;"!L"&amp;ROW(B762))</f>
        <v/>
      </c>
      <c r="X781" s="73" t="str">
        <f t="array" ref="X781">INDIRECT("Update"&amp;Projections!$AH$17&amp;"!N"&amp;ROW(B762))</f>
        <v/>
      </c>
      <c r="Y781" s="73" t="str">
        <f t="array" ref="Y781">INDIRECT("Update"&amp;Projections!$AH$17&amp;"!O"&amp;ROW(B762))</f>
        <v/>
      </c>
      <c r="Z781" s="73" t="str">
        <f t="array" ref="Z781">INDIRECT("Update"&amp;Projections!$AH$17&amp;"!P"&amp;ROW(B762))</f>
        <v/>
      </c>
      <c r="AA781" s="73" t="str">
        <f t="array" ref="AA781">INDIRECT("Update"&amp;Projections!$AH$17&amp;"!Q"&amp;ROW(B762))</f>
        <v/>
      </c>
      <c r="AB781" s="107" t="str">
        <f t="array" ref="AB781">INDIRECT("Update"&amp;Projections!$AH$17&amp;"!I"&amp;ROW(B762))</f>
        <v/>
      </c>
      <c r="AC781" s="107" t="str">
        <f t="array" ref="AC781">INDIRECT("Update"&amp;Projections!$AH$17&amp;"!K"&amp;ROW(B762))</f>
        <v/>
      </c>
      <c r="AD781" s="73" t="str">
        <f t="array" ref="AD781">INDIRECT("Update"&amp;Projections!$AH$17&amp;"!R"&amp;ROW(B762))</f>
        <v/>
      </c>
      <c r="AE781" s="73">
        <f t="shared" si="16"/>
        <v>-3.155358621</v>
      </c>
      <c r="AF781" s="73">
        <f t="shared" si="17"/>
        <v>-1.740686581</v>
      </c>
      <c r="AG781" s="73">
        <f t="shared" si="18"/>
        <v>-2.380599106</v>
      </c>
      <c r="AH781" s="73">
        <f t="shared" si="19"/>
        <v>-1.79320266</v>
      </c>
      <c r="AI781" s="73">
        <f t="shared" si="20"/>
        <v>-3.240190514</v>
      </c>
      <c r="AJ781" s="73">
        <f t="shared" si="21"/>
        <v>-1.329092151</v>
      </c>
      <c r="AK781" s="73">
        <f t="shared" si="22"/>
        <v>0</v>
      </c>
      <c r="AL781" s="73">
        <f t="shared" si="23"/>
        <v>0</v>
      </c>
      <c r="AM781" s="73">
        <f t="shared" si="24"/>
        <v>0.433638093</v>
      </c>
      <c r="AN781" s="120">
        <f t="shared" si="25"/>
        <v>-3.240190514</v>
      </c>
      <c r="AO781" s="120">
        <f t="shared" si="26"/>
        <v>-6.395549135</v>
      </c>
      <c r="AP781" s="120" t="str">
        <f t="array" ref="AP781">INDIRECT("Update"&amp;Projections!$AH$17&amp;"!S"&amp;ROW(B762))</f>
        <v/>
      </c>
      <c r="AQ781" s="120" t="str">
        <f t="array" ref="AQ781">INDIRECT("Update"&amp;Projections!$AH$17&amp;"!T"&amp;ROW(B762))</f>
        <v/>
      </c>
      <c r="AR781" s="100">
        <f t="shared" si="27"/>
        <v>-9.965301026</v>
      </c>
    </row>
    <row r="782">
      <c r="A782" t="str">
        <f t="shared" si="3"/>
        <v/>
      </c>
      <c r="B782" s="42">
        <f t="shared" si="4"/>
        <v>-3.155358621</v>
      </c>
      <c r="C782" s="43">
        <f t="shared" si="5"/>
        <v>-1.740686581</v>
      </c>
      <c r="D782" s="42">
        <f t="shared" si="6"/>
        <v>-2.380599106</v>
      </c>
      <c r="E782" s="42">
        <f t="shared" si="7"/>
        <v>-1.79320266</v>
      </c>
      <c r="F782" s="42">
        <f t="shared" si="8"/>
        <v>-3.240190514</v>
      </c>
      <c r="G782" s="42">
        <f t="shared" si="9"/>
        <v>-1.329092151</v>
      </c>
      <c r="H782" s="42">
        <f t="shared" si="10"/>
        <v>0</v>
      </c>
      <c r="I782" s="42" t="str">
        <f>UpdateHashtag!S780</f>
        <v/>
      </c>
      <c r="J782" s="47">
        <f t="shared" si="11"/>
        <v>0</v>
      </c>
      <c r="K782" s="48" t="str">
        <f>UpdateHashtag!T780</f>
        <v/>
      </c>
      <c r="L782" s="42">
        <f t="shared" si="12"/>
        <v>-1.734552372</v>
      </c>
      <c r="N782" s="100">
        <f t="shared" si="13"/>
        <v>401</v>
      </c>
      <c r="O782" s="94" t="str">
        <f t="array" ref="O782">INDIRECT("Update"&amp;Projections!$AH$17&amp;"!B"&amp;ROW(B763))</f>
        <v/>
      </c>
      <c r="P782" s="414" t="str">
        <f t="array" ref="P782">INDIRECT("Update"&amp;Projections!$AH$17&amp;"!C"&amp;ROW(B763))</f>
        <v/>
      </c>
      <c r="Q782" s="94" t="str">
        <f>UpdateHashtag!F812</f>
        <v/>
      </c>
      <c r="R782" s="105" t="str">
        <f t="array" ref="R782">INDIRECT("Update"&amp;Projections!$AH$17&amp;"!D"&amp;ROW(B763))</f>
        <v/>
      </c>
      <c r="S782" s="73">
        <f t="shared" si="14"/>
        <v>-9.965301026</v>
      </c>
      <c r="T782" s="73">
        <f>SUM(AE782:AM782)-IFERROR(IFS(Projections!$I$17,AN782,Projections!$J$17,AO782),"")</f>
        <v>-9.965301026</v>
      </c>
      <c r="U782" s="73">
        <f t="shared" si="15"/>
        <v>0</v>
      </c>
      <c r="V782" s="73" t="str">
        <f t="array" ref="V782">INDIRECT("Update"&amp;Projections!$AH$17&amp;"!M"&amp;ROW(B763))</f>
        <v/>
      </c>
      <c r="W782" s="73" t="str">
        <f t="array" ref="W782">INDIRECT("Update"&amp;Projections!$AH$17&amp;"!L"&amp;ROW(B763))</f>
        <v/>
      </c>
      <c r="X782" s="73" t="str">
        <f t="array" ref="X782">INDIRECT("Update"&amp;Projections!$AH$17&amp;"!N"&amp;ROW(B763))</f>
        <v/>
      </c>
      <c r="Y782" s="73" t="str">
        <f t="array" ref="Y782">INDIRECT("Update"&amp;Projections!$AH$17&amp;"!O"&amp;ROW(B763))</f>
        <v/>
      </c>
      <c r="Z782" s="73" t="str">
        <f t="array" ref="Z782">INDIRECT("Update"&amp;Projections!$AH$17&amp;"!P"&amp;ROW(B763))</f>
        <v/>
      </c>
      <c r="AA782" s="73" t="str">
        <f t="array" ref="AA782">INDIRECT("Update"&amp;Projections!$AH$17&amp;"!Q"&amp;ROW(B763))</f>
        <v/>
      </c>
      <c r="AB782" s="107" t="str">
        <f t="array" ref="AB782">INDIRECT("Update"&amp;Projections!$AH$17&amp;"!I"&amp;ROW(B763))</f>
        <v/>
      </c>
      <c r="AC782" s="107" t="str">
        <f t="array" ref="AC782">INDIRECT("Update"&amp;Projections!$AH$17&amp;"!K"&amp;ROW(B763))</f>
        <v/>
      </c>
      <c r="AD782" s="73" t="str">
        <f t="array" ref="AD782">INDIRECT("Update"&amp;Projections!$AH$17&amp;"!R"&amp;ROW(B763))</f>
        <v/>
      </c>
      <c r="AE782" s="73">
        <f t="shared" si="16"/>
        <v>-3.155358621</v>
      </c>
      <c r="AF782" s="73">
        <f t="shared" si="17"/>
        <v>-1.740686581</v>
      </c>
      <c r="AG782" s="73">
        <f t="shared" si="18"/>
        <v>-2.380599106</v>
      </c>
      <c r="AH782" s="73">
        <f t="shared" si="19"/>
        <v>-1.79320266</v>
      </c>
      <c r="AI782" s="73">
        <f t="shared" si="20"/>
        <v>-3.240190514</v>
      </c>
      <c r="AJ782" s="73">
        <f t="shared" si="21"/>
        <v>-1.329092151</v>
      </c>
      <c r="AK782" s="73">
        <f t="shared" si="22"/>
        <v>0</v>
      </c>
      <c r="AL782" s="73">
        <f t="shared" si="23"/>
        <v>0</v>
      </c>
      <c r="AM782" s="73">
        <f t="shared" si="24"/>
        <v>0.433638093</v>
      </c>
      <c r="AN782" s="120">
        <f t="shared" si="25"/>
        <v>-3.240190514</v>
      </c>
      <c r="AO782" s="120">
        <f t="shared" si="26"/>
        <v>-6.395549135</v>
      </c>
      <c r="AP782" s="120" t="str">
        <f t="array" ref="AP782">INDIRECT("Update"&amp;Projections!$AH$17&amp;"!S"&amp;ROW(B763))</f>
        <v/>
      </c>
      <c r="AQ782" s="120" t="str">
        <f t="array" ref="AQ782">INDIRECT("Update"&amp;Projections!$AH$17&amp;"!T"&amp;ROW(B763))</f>
        <v/>
      </c>
      <c r="AR782" s="100">
        <f t="shared" si="27"/>
        <v>-9.965301026</v>
      </c>
    </row>
    <row r="783">
      <c r="A783" t="str">
        <f t="shared" si="3"/>
        <v/>
      </c>
      <c r="B783" s="42">
        <f t="shared" si="4"/>
        <v>-3.155358621</v>
      </c>
      <c r="C783" s="43">
        <f t="shared" si="5"/>
        <v>-1.740686581</v>
      </c>
      <c r="D783" s="42">
        <f t="shared" si="6"/>
        <v>-2.380599106</v>
      </c>
      <c r="E783" s="42">
        <f t="shared" si="7"/>
        <v>-1.79320266</v>
      </c>
      <c r="F783" s="42">
        <f t="shared" si="8"/>
        <v>-3.240190514</v>
      </c>
      <c r="G783" s="42">
        <f t="shared" si="9"/>
        <v>-1.329092151</v>
      </c>
      <c r="H783" s="42">
        <f t="shared" si="10"/>
        <v>0</v>
      </c>
      <c r="I783" s="42" t="str">
        <f>UpdateHashtag!S781</f>
        <v/>
      </c>
      <c r="J783" s="47">
        <f t="shared" si="11"/>
        <v>0</v>
      </c>
      <c r="K783" s="48" t="str">
        <f>UpdateHashtag!T781</f>
        <v/>
      </c>
      <c r="L783" s="42">
        <f t="shared" si="12"/>
        <v>-1.734552372</v>
      </c>
      <c r="N783" s="100">
        <f t="shared" si="13"/>
        <v>401</v>
      </c>
      <c r="O783" s="94" t="str">
        <f t="array" ref="O783">INDIRECT("Update"&amp;Projections!$AH$17&amp;"!B"&amp;ROW(B764))</f>
        <v/>
      </c>
      <c r="P783" s="414" t="str">
        <f t="array" ref="P783">INDIRECT("Update"&amp;Projections!$AH$17&amp;"!C"&amp;ROW(B764))</f>
        <v/>
      </c>
      <c r="Q783" s="94" t="str">
        <f>UpdateHashtag!F813</f>
        <v/>
      </c>
      <c r="R783" s="105" t="str">
        <f t="array" ref="R783">INDIRECT("Update"&amp;Projections!$AH$17&amp;"!D"&amp;ROW(B764))</f>
        <v/>
      </c>
      <c r="S783" s="73">
        <f t="shared" si="14"/>
        <v>-9.965301026</v>
      </c>
      <c r="T783" s="73">
        <f>SUM(AE783:AM783)-IFERROR(IFS(Projections!$I$17,AN783,Projections!$J$17,AO783),"")</f>
        <v>-9.965301026</v>
      </c>
      <c r="U783" s="73">
        <f t="shared" si="15"/>
        <v>0</v>
      </c>
      <c r="V783" s="73" t="str">
        <f t="array" ref="V783">INDIRECT("Update"&amp;Projections!$AH$17&amp;"!M"&amp;ROW(B764))</f>
        <v/>
      </c>
      <c r="W783" s="73" t="str">
        <f t="array" ref="W783">INDIRECT("Update"&amp;Projections!$AH$17&amp;"!L"&amp;ROW(B764))</f>
        <v/>
      </c>
      <c r="X783" s="73" t="str">
        <f t="array" ref="X783">INDIRECT("Update"&amp;Projections!$AH$17&amp;"!N"&amp;ROW(B764))</f>
        <v/>
      </c>
      <c r="Y783" s="73" t="str">
        <f t="array" ref="Y783">INDIRECT("Update"&amp;Projections!$AH$17&amp;"!O"&amp;ROW(B764))</f>
        <v/>
      </c>
      <c r="Z783" s="73" t="str">
        <f t="array" ref="Z783">INDIRECT("Update"&amp;Projections!$AH$17&amp;"!P"&amp;ROW(B764))</f>
        <v/>
      </c>
      <c r="AA783" s="73" t="str">
        <f t="array" ref="AA783">INDIRECT("Update"&amp;Projections!$AH$17&amp;"!Q"&amp;ROW(B764))</f>
        <v/>
      </c>
      <c r="AB783" s="107" t="str">
        <f t="array" ref="AB783">INDIRECT("Update"&amp;Projections!$AH$17&amp;"!I"&amp;ROW(B764))</f>
        <v/>
      </c>
      <c r="AC783" s="107" t="str">
        <f t="array" ref="AC783">INDIRECT("Update"&amp;Projections!$AH$17&amp;"!K"&amp;ROW(B764))</f>
        <v/>
      </c>
      <c r="AD783" s="73" t="str">
        <f t="array" ref="AD783">INDIRECT("Update"&amp;Projections!$AH$17&amp;"!R"&amp;ROW(B764))</f>
        <v/>
      </c>
      <c r="AE783" s="73">
        <f t="shared" si="16"/>
        <v>-3.155358621</v>
      </c>
      <c r="AF783" s="73">
        <f t="shared" si="17"/>
        <v>-1.740686581</v>
      </c>
      <c r="AG783" s="73">
        <f t="shared" si="18"/>
        <v>-2.380599106</v>
      </c>
      <c r="AH783" s="73">
        <f t="shared" si="19"/>
        <v>-1.79320266</v>
      </c>
      <c r="AI783" s="73">
        <f t="shared" si="20"/>
        <v>-3.240190514</v>
      </c>
      <c r="AJ783" s="73">
        <f t="shared" si="21"/>
        <v>-1.329092151</v>
      </c>
      <c r="AK783" s="73">
        <f t="shared" si="22"/>
        <v>0</v>
      </c>
      <c r="AL783" s="73">
        <f t="shared" si="23"/>
        <v>0</v>
      </c>
      <c r="AM783" s="73">
        <f t="shared" si="24"/>
        <v>0.433638093</v>
      </c>
      <c r="AN783" s="120">
        <f t="shared" si="25"/>
        <v>-3.240190514</v>
      </c>
      <c r="AO783" s="120">
        <f t="shared" si="26"/>
        <v>-6.395549135</v>
      </c>
      <c r="AP783" s="120" t="str">
        <f t="array" ref="AP783">INDIRECT("Update"&amp;Projections!$AH$17&amp;"!S"&amp;ROW(B764))</f>
        <v/>
      </c>
      <c r="AQ783" s="120" t="str">
        <f t="array" ref="AQ783">INDIRECT("Update"&amp;Projections!$AH$17&amp;"!T"&amp;ROW(B764))</f>
        <v/>
      </c>
      <c r="AR783" s="100">
        <f t="shared" si="27"/>
        <v>-9.965301026</v>
      </c>
    </row>
    <row r="784">
      <c r="A784" t="str">
        <f t="shared" si="3"/>
        <v/>
      </c>
      <c r="B784" s="42">
        <f t="shared" si="4"/>
        <v>-3.155358621</v>
      </c>
      <c r="C784" s="43">
        <f t="shared" si="5"/>
        <v>-1.740686581</v>
      </c>
      <c r="D784" s="42">
        <f t="shared" si="6"/>
        <v>-2.380599106</v>
      </c>
      <c r="E784" s="42">
        <f t="shared" si="7"/>
        <v>-1.79320266</v>
      </c>
      <c r="F784" s="42">
        <f t="shared" si="8"/>
        <v>-3.240190514</v>
      </c>
      <c r="G784" s="42">
        <f t="shared" si="9"/>
        <v>-1.329092151</v>
      </c>
      <c r="H784" s="42">
        <f t="shared" si="10"/>
        <v>0</v>
      </c>
      <c r="I784" s="42" t="str">
        <f>UpdateHashtag!S782</f>
        <v/>
      </c>
      <c r="J784" s="47">
        <f t="shared" si="11"/>
        <v>0</v>
      </c>
      <c r="K784" s="48" t="str">
        <f>UpdateHashtag!T782</f>
        <v/>
      </c>
      <c r="L784" s="42">
        <f t="shared" si="12"/>
        <v>-1.734552372</v>
      </c>
      <c r="N784" s="100">
        <f t="shared" si="13"/>
        <v>401</v>
      </c>
      <c r="O784" s="94" t="str">
        <f t="array" ref="O784">INDIRECT("Update"&amp;Projections!$AH$17&amp;"!B"&amp;ROW(B765))</f>
        <v/>
      </c>
      <c r="P784" s="414" t="str">
        <f t="array" ref="P784">INDIRECT("Update"&amp;Projections!$AH$17&amp;"!C"&amp;ROW(B765))</f>
        <v/>
      </c>
      <c r="Q784" s="94" t="str">
        <f>UpdateHashtag!F814</f>
        <v/>
      </c>
      <c r="R784" s="105" t="str">
        <f t="array" ref="R784">INDIRECT("Update"&amp;Projections!$AH$17&amp;"!D"&amp;ROW(B765))</f>
        <v/>
      </c>
      <c r="S784" s="73">
        <f t="shared" si="14"/>
        <v>-9.965301026</v>
      </c>
      <c r="T784" s="73">
        <f>SUM(AE784:AM784)-IFERROR(IFS(Projections!$I$17,AN784,Projections!$J$17,AO784),"")</f>
        <v>-9.965301026</v>
      </c>
      <c r="U784" s="73">
        <f t="shared" si="15"/>
        <v>0</v>
      </c>
      <c r="V784" s="73" t="str">
        <f t="array" ref="V784">INDIRECT("Update"&amp;Projections!$AH$17&amp;"!M"&amp;ROW(B765))</f>
        <v/>
      </c>
      <c r="W784" s="73" t="str">
        <f t="array" ref="W784">INDIRECT("Update"&amp;Projections!$AH$17&amp;"!L"&amp;ROW(B765))</f>
        <v/>
      </c>
      <c r="X784" s="73" t="str">
        <f t="array" ref="X784">INDIRECT("Update"&amp;Projections!$AH$17&amp;"!N"&amp;ROW(B765))</f>
        <v/>
      </c>
      <c r="Y784" s="73" t="str">
        <f t="array" ref="Y784">INDIRECT("Update"&amp;Projections!$AH$17&amp;"!O"&amp;ROW(B765))</f>
        <v/>
      </c>
      <c r="Z784" s="73" t="str">
        <f t="array" ref="Z784">INDIRECT("Update"&amp;Projections!$AH$17&amp;"!P"&amp;ROW(B765))</f>
        <v/>
      </c>
      <c r="AA784" s="73" t="str">
        <f t="array" ref="AA784">INDIRECT("Update"&amp;Projections!$AH$17&amp;"!Q"&amp;ROW(B765))</f>
        <v/>
      </c>
      <c r="AB784" s="107" t="str">
        <f t="array" ref="AB784">INDIRECT("Update"&amp;Projections!$AH$17&amp;"!I"&amp;ROW(B765))</f>
        <v/>
      </c>
      <c r="AC784" s="107" t="str">
        <f t="array" ref="AC784">INDIRECT("Update"&amp;Projections!$AH$17&amp;"!K"&amp;ROW(B765))</f>
        <v/>
      </c>
      <c r="AD784" s="73" t="str">
        <f t="array" ref="AD784">INDIRECT("Update"&amp;Projections!$AH$17&amp;"!R"&amp;ROW(B765))</f>
        <v/>
      </c>
      <c r="AE784" s="73">
        <f t="shared" si="16"/>
        <v>-3.155358621</v>
      </c>
      <c r="AF784" s="73">
        <f t="shared" si="17"/>
        <v>-1.740686581</v>
      </c>
      <c r="AG784" s="73">
        <f t="shared" si="18"/>
        <v>-2.380599106</v>
      </c>
      <c r="AH784" s="73">
        <f t="shared" si="19"/>
        <v>-1.79320266</v>
      </c>
      <c r="AI784" s="73">
        <f t="shared" si="20"/>
        <v>-3.240190514</v>
      </c>
      <c r="AJ784" s="73">
        <f t="shared" si="21"/>
        <v>-1.329092151</v>
      </c>
      <c r="AK784" s="73">
        <f t="shared" si="22"/>
        <v>0</v>
      </c>
      <c r="AL784" s="73">
        <f t="shared" si="23"/>
        <v>0</v>
      </c>
      <c r="AM784" s="73">
        <f t="shared" si="24"/>
        <v>0.433638093</v>
      </c>
      <c r="AN784" s="120">
        <f t="shared" si="25"/>
        <v>-3.240190514</v>
      </c>
      <c r="AO784" s="120">
        <f t="shared" si="26"/>
        <v>-6.395549135</v>
      </c>
      <c r="AP784" s="120" t="str">
        <f t="array" ref="AP784">INDIRECT("Update"&amp;Projections!$AH$17&amp;"!S"&amp;ROW(B765))</f>
        <v/>
      </c>
      <c r="AQ784" s="120" t="str">
        <f t="array" ref="AQ784">INDIRECT("Update"&amp;Projections!$AH$17&amp;"!T"&amp;ROW(B765))</f>
        <v/>
      </c>
      <c r="AR784" s="100">
        <f t="shared" si="27"/>
        <v>-9.965301026</v>
      </c>
    </row>
    <row r="785">
      <c r="A785" t="str">
        <f t="shared" si="3"/>
        <v/>
      </c>
      <c r="B785" s="42">
        <f t="shared" si="4"/>
        <v>-3.155358621</v>
      </c>
      <c r="C785" s="43">
        <f t="shared" si="5"/>
        <v>-1.740686581</v>
      </c>
      <c r="D785" s="42">
        <f t="shared" si="6"/>
        <v>-2.380599106</v>
      </c>
      <c r="E785" s="42">
        <f t="shared" si="7"/>
        <v>-1.79320266</v>
      </c>
      <c r="F785" s="42">
        <f t="shared" si="8"/>
        <v>-3.240190514</v>
      </c>
      <c r="G785" s="42">
        <f t="shared" si="9"/>
        <v>-1.329092151</v>
      </c>
      <c r="H785" s="42">
        <f t="shared" si="10"/>
        <v>0</v>
      </c>
      <c r="I785" s="42" t="str">
        <f>UpdateHashtag!S783</f>
        <v/>
      </c>
      <c r="J785" s="47">
        <f t="shared" si="11"/>
        <v>0</v>
      </c>
      <c r="K785" s="48" t="str">
        <f>UpdateHashtag!T783</f>
        <v/>
      </c>
      <c r="L785" s="42">
        <f t="shared" si="12"/>
        <v>-1.734552372</v>
      </c>
      <c r="N785" s="100">
        <f t="shared" si="13"/>
        <v>401</v>
      </c>
      <c r="O785" s="94" t="str">
        <f t="array" ref="O785">INDIRECT("Update"&amp;Projections!$AH$17&amp;"!B"&amp;ROW(B766))</f>
        <v/>
      </c>
      <c r="P785" s="414" t="str">
        <f t="array" ref="P785">INDIRECT("Update"&amp;Projections!$AH$17&amp;"!C"&amp;ROW(B766))</f>
        <v/>
      </c>
      <c r="Q785" s="94" t="str">
        <f>UpdateHashtag!F815</f>
        <v/>
      </c>
      <c r="R785" s="105" t="str">
        <f t="array" ref="R785">INDIRECT("Update"&amp;Projections!$AH$17&amp;"!D"&amp;ROW(B766))</f>
        <v/>
      </c>
      <c r="S785" s="73">
        <f t="shared" si="14"/>
        <v>-9.965301026</v>
      </c>
      <c r="T785" s="73">
        <f>SUM(AE785:AM785)-IFERROR(IFS(Projections!$I$17,AN785,Projections!$J$17,AO785),"")</f>
        <v>-9.965301026</v>
      </c>
      <c r="U785" s="73">
        <f t="shared" si="15"/>
        <v>0</v>
      </c>
      <c r="V785" s="73" t="str">
        <f t="array" ref="V785">INDIRECT("Update"&amp;Projections!$AH$17&amp;"!M"&amp;ROW(B766))</f>
        <v/>
      </c>
      <c r="W785" s="73" t="str">
        <f t="array" ref="W785">INDIRECT("Update"&amp;Projections!$AH$17&amp;"!L"&amp;ROW(B766))</f>
        <v/>
      </c>
      <c r="X785" s="73" t="str">
        <f t="array" ref="X785">INDIRECT("Update"&amp;Projections!$AH$17&amp;"!N"&amp;ROW(B766))</f>
        <v/>
      </c>
      <c r="Y785" s="73" t="str">
        <f t="array" ref="Y785">INDIRECT("Update"&amp;Projections!$AH$17&amp;"!O"&amp;ROW(B766))</f>
        <v/>
      </c>
      <c r="Z785" s="73" t="str">
        <f t="array" ref="Z785">INDIRECT("Update"&amp;Projections!$AH$17&amp;"!P"&amp;ROW(B766))</f>
        <v/>
      </c>
      <c r="AA785" s="73" t="str">
        <f t="array" ref="AA785">INDIRECT("Update"&amp;Projections!$AH$17&amp;"!Q"&amp;ROW(B766))</f>
        <v/>
      </c>
      <c r="AB785" s="107" t="str">
        <f t="array" ref="AB785">INDIRECT("Update"&amp;Projections!$AH$17&amp;"!I"&amp;ROW(B766))</f>
        <v/>
      </c>
      <c r="AC785" s="107" t="str">
        <f t="array" ref="AC785">INDIRECT("Update"&amp;Projections!$AH$17&amp;"!K"&amp;ROW(B766))</f>
        <v/>
      </c>
      <c r="AD785" s="73" t="str">
        <f t="array" ref="AD785">INDIRECT("Update"&amp;Projections!$AH$17&amp;"!R"&amp;ROW(B766))</f>
        <v/>
      </c>
      <c r="AE785" s="73">
        <f t="shared" si="16"/>
        <v>-3.155358621</v>
      </c>
      <c r="AF785" s="73">
        <f t="shared" si="17"/>
        <v>-1.740686581</v>
      </c>
      <c r="AG785" s="73">
        <f t="shared" si="18"/>
        <v>-2.380599106</v>
      </c>
      <c r="AH785" s="73">
        <f t="shared" si="19"/>
        <v>-1.79320266</v>
      </c>
      <c r="AI785" s="73">
        <f t="shared" si="20"/>
        <v>-3.240190514</v>
      </c>
      <c r="AJ785" s="73">
        <f t="shared" si="21"/>
        <v>-1.329092151</v>
      </c>
      <c r="AK785" s="73">
        <f t="shared" si="22"/>
        <v>0</v>
      </c>
      <c r="AL785" s="73">
        <f t="shared" si="23"/>
        <v>0</v>
      </c>
      <c r="AM785" s="73">
        <f t="shared" si="24"/>
        <v>0.433638093</v>
      </c>
      <c r="AN785" s="120">
        <f t="shared" si="25"/>
        <v>-3.240190514</v>
      </c>
      <c r="AO785" s="120">
        <f t="shared" si="26"/>
        <v>-6.395549135</v>
      </c>
      <c r="AP785" s="120" t="str">
        <f t="array" ref="AP785">INDIRECT("Update"&amp;Projections!$AH$17&amp;"!S"&amp;ROW(B766))</f>
        <v/>
      </c>
      <c r="AQ785" s="120" t="str">
        <f t="array" ref="AQ785">INDIRECT("Update"&amp;Projections!$AH$17&amp;"!T"&amp;ROW(B766))</f>
        <v/>
      </c>
      <c r="AR785" s="100">
        <f t="shared" si="27"/>
        <v>-9.965301026</v>
      </c>
    </row>
    <row r="786">
      <c r="A786" t="str">
        <f t="shared" si="3"/>
        <v/>
      </c>
      <c r="B786" s="42">
        <f t="shared" si="4"/>
        <v>-3.155358621</v>
      </c>
      <c r="C786" s="43">
        <f t="shared" si="5"/>
        <v>-1.740686581</v>
      </c>
      <c r="D786" s="42">
        <f t="shared" si="6"/>
        <v>-2.380599106</v>
      </c>
      <c r="E786" s="42">
        <f t="shared" si="7"/>
        <v>-1.79320266</v>
      </c>
      <c r="F786" s="42">
        <f t="shared" si="8"/>
        <v>-3.240190514</v>
      </c>
      <c r="G786" s="42">
        <f t="shared" si="9"/>
        <v>-1.329092151</v>
      </c>
      <c r="H786" s="42">
        <f t="shared" si="10"/>
        <v>0</v>
      </c>
      <c r="I786" s="42" t="str">
        <f>UpdateHashtag!S784</f>
        <v/>
      </c>
      <c r="J786" s="47">
        <f t="shared" si="11"/>
        <v>0</v>
      </c>
      <c r="K786" s="48" t="str">
        <f>UpdateHashtag!T784</f>
        <v/>
      </c>
      <c r="L786" s="42">
        <f t="shared" si="12"/>
        <v>-1.734552372</v>
      </c>
      <c r="N786" s="100">
        <f t="shared" si="13"/>
        <v>401</v>
      </c>
      <c r="O786" s="94" t="str">
        <f t="array" ref="O786">INDIRECT("Update"&amp;Projections!$AH$17&amp;"!B"&amp;ROW(B767))</f>
        <v/>
      </c>
      <c r="P786" s="414" t="str">
        <f t="array" ref="P786">INDIRECT("Update"&amp;Projections!$AH$17&amp;"!C"&amp;ROW(B767))</f>
        <v/>
      </c>
      <c r="Q786" s="94" t="str">
        <f>UpdateHashtag!F816</f>
        <v/>
      </c>
      <c r="R786" s="105" t="str">
        <f t="array" ref="R786">INDIRECT("Update"&amp;Projections!$AH$17&amp;"!D"&amp;ROW(B767))</f>
        <v/>
      </c>
      <c r="S786" s="73">
        <f t="shared" si="14"/>
        <v>-9.965301026</v>
      </c>
      <c r="T786" s="73">
        <f>SUM(AE786:AM786)-IFERROR(IFS(Projections!$I$17,AN786,Projections!$J$17,AO786),"")</f>
        <v>-9.965301026</v>
      </c>
      <c r="U786" s="73">
        <f t="shared" si="15"/>
        <v>0</v>
      </c>
      <c r="V786" s="73" t="str">
        <f t="array" ref="V786">INDIRECT("Update"&amp;Projections!$AH$17&amp;"!M"&amp;ROW(B767))</f>
        <v/>
      </c>
      <c r="W786" s="73" t="str">
        <f t="array" ref="W786">INDIRECT("Update"&amp;Projections!$AH$17&amp;"!L"&amp;ROW(B767))</f>
        <v/>
      </c>
      <c r="X786" s="73" t="str">
        <f t="array" ref="X786">INDIRECT("Update"&amp;Projections!$AH$17&amp;"!N"&amp;ROW(B767))</f>
        <v/>
      </c>
      <c r="Y786" s="73" t="str">
        <f t="array" ref="Y786">INDIRECT("Update"&amp;Projections!$AH$17&amp;"!O"&amp;ROW(B767))</f>
        <v/>
      </c>
      <c r="Z786" s="73" t="str">
        <f t="array" ref="Z786">INDIRECT("Update"&amp;Projections!$AH$17&amp;"!P"&amp;ROW(B767))</f>
        <v/>
      </c>
      <c r="AA786" s="73" t="str">
        <f t="array" ref="AA786">INDIRECT("Update"&amp;Projections!$AH$17&amp;"!Q"&amp;ROW(B767))</f>
        <v/>
      </c>
      <c r="AB786" s="107" t="str">
        <f t="array" ref="AB786">INDIRECT("Update"&amp;Projections!$AH$17&amp;"!I"&amp;ROW(B767))</f>
        <v/>
      </c>
      <c r="AC786" s="107" t="str">
        <f t="array" ref="AC786">INDIRECT("Update"&amp;Projections!$AH$17&amp;"!K"&amp;ROW(B767))</f>
        <v/>
      </c>
      <c r="AD786" s="73" t="str">
        <f t="array" ref="AD786">INDIRECT("Update"&amp;Projections!$AH$17&amp;"!R"&amp;ROW(B767))</f>
        <v/>
      </c>
      <c r="AE786" s="73">
        <f t="shared" si="16"/>
        <v>-3.155358621</v>
      </c>
      <c r="AF786" s="73">
        <f t="shared" si="17"/>
        <v>-1.740686581</v>
      </c>
      <c r="AG786" s="73">
        <f t="shared" si="18"/>
        <v>-2.380599106</v>
      </c>
      <c r="AH786" s="73">
        <f t="shared" si="19"/>
        <v>-1.79320266</v>
      </c>
      <c r="AI786" s="73">
        <f t="shared" si="20"/>
        <v>-3.240190514</v>
      </c>
      <c r="AJ786" s="73">
        <f t="shared" si="21"/>
        <v>-1.329092151</v>
      </c>
      <c r="AK786" s="73">
        <f t="shared" si="22"/>
        <v>0</v>
      </c>
      <c r="AL786" s="73">
        <f t="shared" si="23"/>
        <v>0</v>
      </c>
      <c r="AM786" s="73">
        <f t="shared" si="24"/>
        <v>0.433638093</v>
      </c>
      <c r="AN786" s="120">
        <f t="shared" si="25"/>
        <v>-3.240190514</v>
      </c>
      <c r="AO786" s="120">
        <f t="shared" si="26"/>
        <v>-6.395549135</v>
      </c>
      <c r="AP786" s="120" t="str">
        <f t="array" ref="AP786">INDIRECT("Update"&amp;Projections!$AH$17&amp;"!S"&amp;ROW(B767))</f>
        <v/>
      </c>
      <c r="AQ786" s="120" t="str">
        <f t="array" ref="AQ786">INDIRECT("Update"&amp;Projections!$AH$17&amp;"!T"&amp;ROW(B767))</f>
        <v/>
      </c>
      <c r="AR786" s="100">
        <f t="shared" si="27"/>
        <v>-9.965301026</v>
      </c>
    </row>
    <row r="787">
      <c r="A787" t="str">
        <f t="shared" si="3"/>
        <v/>
      </c>
      <c r="B787" s="42">
        <f t="shared" si="4"/>
        <v>-3.155358621</v>
      </c>
      <c r="C787" s="43">
        <f t="shared" si="5"/>
        <v>-1.740686581</v>
      </c>
      <c r="D787" s="42">
        <f t="shared" si="6"/>
        <v>-2.380599106</v>
      </c>
      <c r="E787" s="42">
        <f t="shared" si="7"/>
        <v>-1.79320266</v>
      </c>
      <c r="F787" s="42">
        <f t="shared" si="8"/>
        <v>-3.240190514</v>
      </c>
      <c r="G787" s="42">
        <f t="shared" si="9"/>
        <v>-1.329092151</v>
      </c>
      <c r="H787" s="42">
        <f t="shared" si="10"/>
        <v>0</v>
      </c>
      <c r="I787" s="42" t="str">
        <f>UpdateHashtag!S785</f>
        <v/>
      </c>
      <c r="J787" s="47">
        <f t="shared" si="11"/>
        <v>0</v>
      </c>
      <c r="K787" s="48" t="str">
        <f>UpdateHashtag!T785</f>
        <v/>
      </c>
      <c r="L787" s="42">
        <f t="shared" si="12"/>
        <v>-1.734552372</v>
      </c>
      <c r="N787" s="100">
        <f t="shared" si="13"/>
        <v>401</v>
      </c>
      <c r="O787" s="94" t="str">
        <f t="array" ref="O787">INDIRECT("Update"&amp;Projections!$AH$17&amp;"!B"&amp;ROW(B768))</f>
        <v/>
      </c>
      <c r="P787" s="414" t="str">
        <f t="array" ref="P787">INDIRECT("Update"&amp;Projections!$AH$17&amp;"!C"&amp;ROW(B768))</f>
        <v/>
      </c>
      <c r="Q787" s="94" t="str">
        <f>UpdateHashtag!F817</f>
        <v/>
      </c>
      <c r="R787" s="105" t="str">
        <f t="array" ref="R787">INDIRECT("Update"&amp;Projections!$AH$17&amp;"!D"&amp;ROW(B768))</f>
        <v/>
      </c>
      <c r="S787" s="73">
        <f t="shared" si="14"/>
        <v>-9.965301026</v>
      </c>
      <c r="T787" s="73">
        <f>SUM(AE787:AM787)-IFERROR(IFS(Projections!$I$17,AN787,Projections!$J$17,AO787),"")</f>
        <v>-9.965301026</v>
      </c>
      <c r="U787" s="73">
        <f t="shared" si="15"/>
        <v>0</v>
      </c>
      <c r="V787" s="73" t="str">
        <f t="array" ref="V787">INDIRECT("Update"&amp;Projections!$AH$17&amp;"!M"&amp;ROW(B768))</f>
        <v/>
      </c>
      <c r="W787" s="73" t="str">
        <f t="array" ref="W787">INDIRECT("Update"&amp;Projections!$AH$17&amp;"!L"&amp;ROW(B768))</f>
        <v/>
      </c>
      <c r="X787" s="73" t="str">
        <f t="array" ref="X787">INDIRECT("Update"&amp;Projections!$AH$17&amp;"!N"&amp;ROW(B768))</f>
        <v/>
      </c>
      <c r="Y787" s="73" t="str">
        <f t="array" ref="Y787">INDIRECT("Update"&amp;Projections!$AH$17&amp;"!O"&amp;ROW(B768))</f>
        <v/>
      </c>
      <c r="Z787" s="73" t="str">
        <f t="array" ref="Z787">INDIRECT("Update"&amp;Projections!$AH$17&amp;"!P"&amp;ROW(B768))</f>
        <v/>
      </c>
      <c r="AA787" s="73" t="str">
        <f t="array" ref="AA787">INDIRECT("Update"&amp;Projections!$AH$17&amp;"!Q"&amp;ROW(B768))</f>
        <v/>
      </c>
      <c r="AB787" s="107" t="str">
        <f t="array" ref="AB787">INDIRECT("Update"&amp;Projections!$AH$17&amp;"!I"&amp;ROW(B768))</f>
        <v/>
      </c>
      <c r="AC787" s="107" t="str">
        <f t="array" ref="AC787">INDIRECT("Update"&amp;Projections!$AH$17&amp;"!K"&amp;ROW(B768))</f>
        <v/>
      </c>
      <c r="AD787" s="73" t="str">
        <f t="array" ref="AD787">INDIRECT("Update"&amp;Projections!$AH$17&amp;"!R"&amp;ROW(B768))</f>
        <v/>
      </c>
      <c r="AE787" s="73">
        <f t="shared" si="16"/>
        <v>-3.155358621</v>
      </c>
      <c r="AF787" s="73">
        <f t="shared" si="17"/>
        <v>-1.740686581</v>
      </c>
      <c r="AG787" s="73">
        <f t="shared" si="18"/>
        <v>-2.380599106</v>
      </c>
      <c r="AH787" s="73">
        <f t="shared" si="19"/>
        <v>-1.79320266</v>
      </c>
      <c r="AI787" s="73">
        <f t="shared" si="20"/>
        <v>-3.240190514</v>
      </c>
      <c r="AJ787" s="73">
        <f t="shared" si="21"/>
        <v>-1.329092151</v>
      </c>
      <c r="AK787" s="73">
        <f t="shared" si="22"/>
        <v>0</v>
      </c>
      <c r="AL787" s="73">
        <f t="shared" si="23"/>
        <v>0</v>
      </c>
      <c r="AM787" s="73">
        <f t="shared" si="24"/>
        <v>0.433638093</v>
      </c>
      <c r="AN787" s="120">
        <f t="shared" si="25"/>
        <v>-3.240190514</v>
      </c>
      <c r="AO787" s="120">
        <f t="shared" si="26"/>
        <v>-6.395549135</v>
      </c>
      <c r="AP787" s="120" t="str">
        <f t="array" ref="AP787">INDIRECT("Update"&amp;Projections!$AH$17&amp;"!S"&amp;ROW(B768))</f>
        <v/>
      </c>
      <c r="AQ787" s="120" t="str">
        <f t="array" ref="AQ787">INDIRECT("Update"&amp;Projections!$AH$17&amp;"!T"&amp;ROW(B768))</f>
        <v/>
      </c>
      <c r="AR787" s="100">
        <f t="shared" si="27"/>
        <v>-9.965301026</v>
      </c>
    </row>
    <row r="788">
      <c r="A788" t="str">
        <f t="shared" si="3"/>
        <v/>
      </c>
      <c r="B788" s="42">
        <f t="shared" si="4"/>
        <v>-3.155358621</v>
      </c>
      <c r="C788" s="43">
        <f t="shared" si="5"/>
        <v>-1.740686581</v>
      </c>
      <c r="D788" s="42">
        <f t="shared" si="6"/>
        <v>-2.380599106</v>
      </c>
      <c r="E788" s="42">
        <f t="shared" si="7"/>
        <v>-1.79320266</v>
      </c>
      <c r="F788" s="42">
        <f t="shared" si="8"/>
        <v>-3.240190514</v>
      </c>
      <c r="G788" s="42">
        <f t="shared" si="9"/>
        <v>-1.329092151</v>
      </c>
      <c r="H788" s="42">
        <f t="shared" si="10"/>
        <v>0</v>
      </c>
      <c r="I788" s="42" t="str">
        <f>UpdateHashtag!S786</f>
        <v/>
      </c>
      <c r="J788" s="47">
        <f t="shared" si="11"/>
        <v>0</v>
      </c>
      <c r="K788" s="48" t="str">
        <f>UpdateHashtag!T786</f>
        <v/>
      </c>
      <c r="L788" s="42">
        <f t="shared" si="12"/>
        <v>-1.734552372</v>
      </c>
      <c r="N788" s="100">
        <f t="shared" si="13"/>
        <v>401</v>
      </c>
      <c r="O788" s="94" t="str">
        <f t="array" ref="O788">INDIRECT("Update"&amp;Projections!$AH$17&amp;"!B"&amp;ROW(B769))</f>
        <v/>
      </c>
      <c r="P788" s="414" t="str">
        <f t="array" ref="P788">INDIRECT("Update"&amp;Projections!$AH$17&amp;"!C"&amp;ROW(B769))</f>
        <v/>
      </c>
      <c r="Q788" s="94" t="str">
        <f>UpdateHashtag!F818</f>
        <v/>
      </c>
      <c r="R788" s="105" t="str">
        <f t="array" ref="R788">INDIRECT("Update"&amp;Projections!$AH$17&amp;"!D"&amp;ROW(B769))</f>
        <v/>
      </c>
      <c r="S788" s="73">
        <f t="shared" si="14"/>
        <v>-9.965301026</v>
      </c>
      <c r="T788" s="73">
        <f>SUM(AE788:AM788)-IFERROR(IFS(Projections!$I$17,AN788,Projections!$J$17,AO788),"")</f>
        <v>-9.965301026</v>
      </c>
      <c r="U788" s="73">
        <f t="shared" si="15"/>
        <v>0</v>
      </c>
      <c r="V788" s="73" t="str">
        <f t="array" ref="V788">INDIRECT("Update"&amp;Projections!$AH$17&amp;"!M"&amp;ROW(B769))</f>
        <v/>
      </c>
      <c r="W788" s="73" t="str">
        <f t="array" ref="W788">INDIRECT("Update"&amp;Projections!$AH$17&amp;"!L"&amp;ROW(B769))</f>
        <v/>
      </c>
      <c r="X788" s="73" t="str">
        <f t="array" ref="X788">INDIRECT("Update"&amp;Projections!$AH$17&amp;"!N"&amp;ROW(B769))</f>
        <v/>
      </c>
      <c r="Y788" s="73" t="str">
        <f t="array" ref="Y788">INDIRECT("Update"&amp;Projections!$AH$17&amp;"!O"&amp;ROW(B769))</f>
        <v/>
      </c>
      <c r="Z788" s="73" t="str">
        <f t="array" ref="Z788">INDIRECT("Update"&amp;Projections!$AH$17&amp;"!P"&amp;ROW(B769))</f>
        <v/>
      </c>
      <c r="AA788" s="73" t="str">
        <f t="array" ref="AA788">INDIRECT("Update"&amp;Projections!$AH$17&amp;"!Q"&amp;ROW(B769))</f>
        <v/>
      </c>
      <c r="AB788" s="107" t="str">
        <f t="array" ref="AB788">INDIRECT("Update"&amp;Projections!$AH$17&amp;"!I"&amp;ROW(B769))</f>
        <v/>
      </c>
      <c r="AC788" s="107" t="str">
        <f t="array" ref="AC788">INDIRECT("Update"&amp;Projections!$AH$17&amp;"!K"&amp;ROW(B769))</f>
        <v/>
      </c>
      <c r="AD788" s="73" t="str">
        <f t="array" ref="AD788">INDIRECT("Update"&amp;Projections!$AH$17&amp;"!R"&amp;ROW(B769))</f>
        <v/>
      </c>
      <c r="AE788" s="73">
        <f t="shared" si="16"/>
        <v>-3.155358621</v>
      </c>
      <c r="AF788" s="73">
        <f t="shared" si="17"/>
        <v>-1.740686581</v>
      </c>
      <c r="AG788" s="73">
        <f t="shared" si="18"/>
        <v>-2.380599106</v>
      </c>
      <c r="AH788" s="73">
        <f t="shared" si="19"/>
        <v>-1.79320266</v>
      </c>
      <c r="AI788" s="73">
        <f t="shared" si="20"/>
        <v>-3.240190514</v>
      </c>
      <c r="AJ788" s="73">
        <f t="shared" si="21"/>
        <v>-1.329092151</v>
      </c>
      <c r="AK788" s="73">
        <f t="shared" si="22"/>
        <v>0</v>
      </c>
      <c r="AL788" s="73">
        <f t="shared" si="23"/>
        <v>0</v>
      </c>
      <c r="AM788" s="73">
        <f t="shared" si="24"/>
        <v>0.433638093</v>
      </c>
      <c r="AN788" s="120">
        <f t="shared" si="25"/>
        <v>-3.240190514</v>
      </c>
      <c r="AO788" s="120">
        <f t="shared" si="26"/>
        <v>-6.395549135</v>
      </c>
      <c r="AP788" s="120" t="str">
        <f t="array" ref="AP788">INDIRECT("Update"&amp;Projections!$AH$17&amp;"!S"&amp;ROW(B769))</f>
        <v/>
      </c>
      <c r="AQ788" s="120" t="str">
        <f t="array" ref="AQ788">INDIRECT("Update"&amp;Projections!$AH$17&amp;"!T"&amp;ROW(B769))</f>
        <v/>
      </c>
      <c r="AR788" s="100">
        <f t="shared" si="27"/>
        <v>-9.965301026</v>
      </c>
    </row>
    <row r="789">
      <c r="A789" t="str">
        <f t="shared" si="3"/>
        <v/>
      </c>
      <c r="B789" s="42">
        <f t="shared" si="4"/>
        <v>-3.155358621</v>
      </c>
      <c r="C789" s="43">
        <f t="shared" si="5"/>
        <v>-1.740686581</v>
      </c>
      <c r="D789" s="42">
        <f t="shared" si="6"/>
        <v>-2.380599106</v>
      </c>
      <c r="E789" s="42">
        <f t="shared" si="7"/>
        <v>-1.79320266</v>
      </c>
      <c r="F789" s="42">
        <f t="shared" si="8"/>
        <v>-3.240190514</v>
      </c>
      <c r="G789" s="42">
        <f t="shared" si="9"/>
        <v>-1.329092151</v>
      </c>
      <c r="H789" s="42">
        <f t="shared" si="10"/>
        <v>0</v>
      </c>
      <c r="I789" s="42" t="str">
        <f>UpdateHashtag!S787</f>
        <v/>
      </c>
      <c r="J789" s="47">
        <f t="shared" si="11"/>
        <v>0</v>
      </c>
      <c r="K789" s="48" t="str">
        <f>UpdateHashtag!T787</f>
        <v/>
      </c>
      <c r="L789" s="42">
        <f t="shared" si="12"/>
        <v>-1.734552372</v>
      </c>
      <c r="N789" s="100">
        <f t="shared" si="13"/>
        <v>401</v>
      </c>
      <c r="O789" s="94" t="str">
        <f t="array" ref="O789">INDIRECT("Update"&amp;Projections!$AH$17&amp;"!B"&amp;ROW(B770))</f>
        <v/>
      </c>
      <c r="P789" s="414" t="str">
        <f t="array" ref="P789">INDIRECT("Update"&amp;Projections!$AH$17&amp;"!C"&amp;ROW(B770))</f>
        <v/>
      </c>
      <c r="Q789" s="94" t="str">
        <f>UpdateHashtag!F819</f>
        <v/>
      </c>
      <c r="R789" s="105" t="str">
        <f t="array" ref="R789">INDIRECT("Update"&amp;Projections!$AH$17&amp;"!D"&amp;ROW(B770))</f>
        <v/>
      </c>
      <c r="S789" s="73">
        <f t="shared" si="14"/>
        <v>-9.965301026</v>
      </c>
      <c r="T789" s="73">
        <f>SUM(AE789:AM789)-IFERROR(IFS(Projections!$I$17,AN789,Projections!$J$17,AO789),"")</f>
        <v>-9.965301026</v>
      </c>
      <c r="U789" s="73">
        <f t="shared" si="15"/>
        <v>0</v>
      </c>
      <c r="V789" s="73" t="str">
        <f t="array" ref="V789">INDIRECT("Update"&amp;Projections!$AH$17&amp;"!M"&amp;ROW(B770))</f>
        <v/>
      </c>
      <c r="W789" s="73" t="str">
        <f t="array" ref="W789">INDIRECT("Update"&amp;Projections!$AH$17&amp;"!L"&amp;ROW(B770))</f>
        <v/>
      </c>
      <c r="X789" s="73" t="str">
        <f t="array" ref="X789">INDIRECT("Update"&amp;Projections!$AH$17&amp;"!N"&amp;ROW(B770))</f>
        <v/>
      </c>
      <c r="Y789" s="73" t="str">
        <f t="array" ref="Y789">INDIRECT("Update"&amp;Projections!$AH$17&amp;"!O"&amp;ROW(B770))</f>
        <v/>
      </c>
      <c r="Z789" s="73" t="str">
        <f t="array" ref="Z789">INDIRECT("Update"&amp;Projections!$AH$17&amp;"!P"&amp;ROW(B770))</f>
        <v/>
      </c>
      <c r="AA789" s="73" t="str">
        <f t="array" ref="AA789">INDIRECT("Update"&amp;Projections!$AH$17&amp;"!Q"&amp;ROW(B770))</f>
        <v/>
      </c>
      <c r="AB789" s="107" t="str">
        <f t="array" ref="AB789">INDIRECT("Update"&amp;Projections!$AH$17&amp;"!I"&amp;ROW(B770))</f>
        <v/>
      </c>
      <c r="AC789" s="107" t="str">
        <f t="array" ref="AC789">INDIRECT("Update"&amp;Projections!$AH$17&amp;"!K"&amp;ROW(B770))</f>
        <v/>
      </c>
      <c r="AD789" s="73" t="str">
        <f t="array" ref="AD789">INDIRECT("Update"&amp;Projections!$AH$17&amp;"!R"&amp;ROW(B770))</f>
        <v/>
      </c>
      <c r="AE789" s="73">
        <f t="shared" si="16"/>
        <v>-3.155358621</v>
      </c>
      <c r="AF789" s="73">
        <f t="shared" si="17"/>
        <v>-1.740686581</v>
      </c>
      <c r="AG789" s="73">
        <f t="shared" si="18"/>
        <v>-2.380599106</v>
      </c>
      <c r="AH789" s="73">
        <f t="shared" si="19"/>
        <v>-1.79320266</v>
      </c>
      <c r="AI789" s="73">
        <f t="shared" si="20"/>
        <v>-3.240190514</v>
      </c>
      <c r="AJ789" s="73">
        <f t="shared" si="21"/>
        <v>-1.329092151</v>
      </c>
      <c r="AK789" s="73">
        <f t="shared" si="22"/>
        <v>0</v>
      </c>
      <c r="AL789" s="73">
        <f t="shared" si="23"/>
        <v>0</v>
      </c>
      <c r="AM789" s="73">
        <f t="shared" si="24"/>
        <v>0.433638093</v>
      </c>
      <c r="AN789" s="120">
        <f t="shared" si="25"/>
        <v>-3.240190514</v>
      </c>
      <c r="AO789" s="120">
        <f t="shared" si="26"/>
        <v>-6.395549135</v>
      </c>
      <c r="AP789" s="120" t="str">
        <f t="array" ref="AP789">INDIRECT("Update"&amp;Projections!$AH$17&amp;"!S"&amp;ROW(B770))</f>
        <v/>
      </c>
      <c r="AQ789" s="120" t="str">
        <f t="array" ref="AQ789">INDIRECT("Update"&amp;Projections!$AH$17&amp;"!T"&amp;ROW(B770))</f>
        <v/>
      </c>
      <c r="AR789" s="100">
        <f t="shared" si="27"/>
        <v>-9.965301026</v>
      </c>
    </row>
    <row r="790">
      <c r="A790" t="str">
        <f t="shared" si="3"/>
        <v/>
      </c>
      <c r="B790" s="42">
        <f t="shared" si="4"/>
        <v>-3.155358621</v>
      </c>
      <c r="C790" s="43">
        <f t="shared" si="5"/>
        <v>-1.740686581</v>
      </c>
      <c r="D790" s="42">
        <f t="shared" si="6"/>
        <v>-2.380599106</v>
      </c>
      <c r="E790" s="42">
        <f t="shared" si="7"/>
        <v>-1.79320266</v>
      </c>
      <c r="F790" s="42">
        <f t="shared" si="8"/>
        <v>-3.240190514</v>
      </c>
      <c r="G790" s="42">
        <f t="shared" si="9"/>
        <v>-1.329092151</v>
      </c>
      <c r="H790" s="42">
        <f t="shared" si="10"/>
        <v>0</v>
      </c>
      <c r="I790" s="42" t="str">
        <f>UpdateHashtag!S788</f>
        <v/>
      </c>
      <c r="J790" s="47">
        <f t="shared" si="11"/>
        <v>0</v>
      </c>
      <c r="K790" s="48" t="str">
        <f>UpdateHashtag!T788</f>
        <v/>
      </c>
      <c r="L790" s="42">
        <f t="shared" si="12"/>
        <v>-1.734552372</v>
      </c>
      <c r="N790" s="100">
        <f t="shared" si="13"/>
        <v>401</v>
      </c>
      <c r="O790" s="94" t="str">
        <f t="array" ref="O790">INDIRECT("Update"&amp;Projections!$AH$17&amp;"!B"&amp;ROW(B771))</f>
        <v/>
      </c>
      <c r="P790" s="414" t="str">
        <f t="array" ref="P790">INDIRECT("Update"&amp;Projections!$AH$17&amp;"!C"&amp;ROW(B771))</f>
        <v/>
      </c>
      <c r="Q790" s="94" t="str">
        <f>UpdateHashtag!F820</f>
        <v/>
      </c>
      <c r="R790" s="105" t="str">
        <f t="array" ref="R790">INDIRECT("Update"&amp;Projections!$AH$17&amp;"!D"&amp;ROW(B771))</f>
        <v/>
      </c>
      <c r="S790" s="73">
        <f t="shared" si="14"/>
        <v>-9.965301026</v>
      </c>
      <c r="T790" s="73">
        <f>SUM(AE790:AM790)-IFERROR(IFS(Projections!$I$17,AN790,Projections!$J$17,AO790),"")</f>
        <v>-9.965301026</v>
      </c>
      <c r="U790" s="73">
        <f t="shared" si="15"/>
        <v>0</v>
      </c>
      <c r="V790" s="73" t="str">
        <f t="array" ref="V790">INDIRECT("Update"&amp;Projections!$AH$17&amp;"!M"&amp;ROW(B771))</f>
        <v/>
      </c>
      <c r="W790" s="73" t="str">
        <f t="array" ref="W790">INDIRECT("Update"&amp;Projections!$AH$17&amp;"!L"&amp;ROW(B771))</f>
        <v/>
      </c>
      <c r="X790" s="73" t="str">
        <f t="array" ref="X790">INDIRECT("Update"&amp;Projections!$AH$17&amp;"!N"&amp;ROW(B771))</f>
        <v/>
      </c>
      <c r="Y790" s="73" t="str">
        <f t="array" ref="Y790">INDIRECT("Update"&amp;Projections!$AH$17&amp;"!O"&amp;ROW(B771))</f>
        <v/>
      </c>
      <c r="Z790" s="73" t="str">
        <f t="array" ref="Z790">INDIRECT("Update"&amp;Projections!$AH$17&amp;"!P"&amp;ROW(B771))</f>
        <v/>
      </c>
      <c r="AA790" s="73" t="str">
        <f t="array" ref="AA790">INDIRECT("Update"&amp;Projections!$AH$17&amp;"!Q"&amp;ROW(B771))</f>
        <v/>
      </c>
      <c r="AB790" s="107" t="str">
        <f t="array" ref="AB790">INDIRECT("Update"&amp;Projections!$AH$17&amp;"!I"&amp;ROW(B771))</f>
        <v/>
      </c>
      <c r="AC790" s="107" t="str">
        <f t="array" ref="AC790">INDIRECT("Update"&amp;Projections!$AH$17&amp;"!K"&amp;ROW(B771))</f>
        <v/>
      </c>
      <c r="AD790" s="73" t="str">
        <f t="array" ref="AD790">INDIRECT("Update"&amp;Projections!$AH$17&amp;"!R"&amp;ROW(B771))</f>
        <v/>
      </c>
      <c r="AE790" s="73">
        <f t="shared" si="16"/>
        <v>-3.155358621</v>
      </c>
      <c r="AF790" s="73">
        <f t="shared" si="17"/>
        <v>-1.740686581</v>
      </c>
      <c r="AG790" s="73">
        <f t="shared" si="18"/>
        <v>-2.380599106</v>
      </c>
      <c r="AH790" s="73">
        <f t="shared" si="19"/>
        <v>-1.79320266</v>
      </c>
      <c r="AI790" s="73">
        <f t="shared" si="20"/>
        <v>-3.240190514</v>
      </c>
      <c r="AJ790" s="73">
        <f t="shared" si="21"/>
        <v>-1.329092151</v>
      </c>
      <c r="AK790" s="73">
        <f t="shared" si="22"/>
        <v>0</v>
      </c>
      <c r="AL790" s="73">
        <f t="shared" si="23"/>
        <v>0</v>
      </c>
      <c r="AM790" s="73">
        <f t="shared" si="24"/>
        <v>0.433638093</v>
      </c>
      <c r="AN790" s="120">
        <f t="shared" si="25"/>
        <v>-3.240190514</v>
      </c>
      <c r="AO790" s="120">
        <f t="shared" si="26"/>
        <v>-6.395549135</v>
      </c>
      <c r="AP790" s="120" t="str">
        <f t="array" ref="AP790">INDIRECT("Update"&amp;Projections!$AH$17&amp;"!S"&amp;ROW(B771))</f>
        <v/>
      </c>
      <c r="AQ790" s="120" t="str">
        <f t="array" ref="AQ790">INDIRECT("Update"&amp;Projections!$AH$17&amp;"!T"&amp;ROW(B771))</f>
        <v/>
      </c>
      <c r="AR790" s="100">
        <f t="shared" si="27"/>
        <v>-9.965301026</v>
      </c>
    </row>
    <row r="791">
      <c r="A791" t="str">
        <f t="shared" si="3"/>
        <v/>
      </c>
      <c r="B791" s="42">
        <f t="shared" si="4"/>
        <v>-3.155358621</v>
      </c>
      <c r="C791" s="43">
        <f t="shared" si="5"/>
        <v>-1.740686581</v>
      </c>
      <c r="D791" s="42">
        <f t="shared" si="6"/>
        <v>-2.380599106</v>
      </c>
      <c r="E791" s="42">
        <f t="shared" si="7"/>
        <v>-1.79320266</v>
      </c>
      <c r="F791" s="42">
        <f t="shared" si="8"/>
        <v>-3.240190514</v>
      </c>
      <c r="G791" s="42">
        <f t="shared" si="9"/>
        <v>-1.329092151</v>
      </c>
      <c r="H791" s="42">
        <f t="shared" si="10"/>
        <v>0</v>
      </c>
      <c r="I791" s="42" t="str">
        <f>UpdateHashtag!S789</f>
        <v/>
      </c>
      <c r="J791" s="47">
        <f t="shared" si="11"/>
        <v>0</v>
      </c>
      <c r="K791" s="48" t="str">
        <f>UpdateHashtag!T789</f>
        <v/>
      </c>
      <c r="L791" s="42">
        <f t="shared" si="12"/>
        <v>-1.734552372</v>
      </c>
      <c r="N791" s="100">
        <f t="shared" si="13"/>
        <v>401</v>
      </c>
      <c r="O791" s="94" t="str">
        <f t="array" ref="O791">INDIRECT("Update"&amp;Projections!$AH$17&amp;"!B"&amp;ROW(B772))</f>
        <v/>
      </c>
      <c r="P791" s="414" t="str">
        <f t="array" ref="P791">INDIRECT("Update"&amp;Projections!$AH$17&amp;"!C"&amp;ROW(B772))</f>
        <v/>
      </c>
      <c r="Q791" s="94" t="str">
        <f>UpdateHashtag!F821</f>
        <v/>
      </c>
      <c r="R791" s="105" t="str">
        <f t="array" ref="R791">INDIRECT("Update"&amp;Projections!$AH$17&amp;"!D"&amp;ROW(B772))</f>
        <v/>
      </c>
      <c r="S791" s="73">
        <f t="shared" si="14"/>
        <v>-9.965301026</v>
      </c>
      <c r="T791" s="73">
        <f>SUM(AE791:AM791)-IFERROR(IFS(Projections!$I$17,AN791,Projections!$J$17,AO791),"")</f>
        <v>-9.965301026</v>
      </c>
      <c r="U791" s="73">
        <f t="shared" si="15"/>
        <v>0</v>
      </c>
      <c r="V791" s="73" t="str">
        <f t="array" ref="V791">INDIRECT("Update"&amp;Projections!$AH$17&amp;"!M"&amp;ROW(B772))</f>
        <v/>
      </c>
      <c r="W791" s="73" t="str">
        <f t="array" ref="W791">INDIRECT("Update"&amp;Projections!$AH$17&amp;"!L"&amp;ROW(B772))</f>
        <v/>
      </c>
      <c r="X791" s="73" t="str">
        <f t="array" ref="X791">INDIRECT("Update"&amp;Projections!$AH$17&amp;"!N"&amp;ROW(B772))</f>
        <v/>
      </c>
      <c r="Y791" s="73" t="str">
        <f t="array" ref="Y791">INDIRECT("Update"&amp;Projections!$AH$17&amp;"!O"&amp;ROW(B772))</f>
        <v/>
      </c>
      <c r="Z791" s="73" t="str">
        <f t="array" ref="Z791">INDIRECT("Update"&amp;Projections!$AH$17&amp;"!P"&amp;ROW(B772))</f>
        <v/>
      </c>
      <c r="AA791" s="73" t="str">
        <f t="array" ref="AA791">INDIRECT("Update"&amp;Projections!$AH$17&amp;"!Q"&amp;ROW(B772))</f>
        <v/>
      </c>
      <c r="AB791" s="107" t="str">
        <f t="array" ref="AB791">INDIRECT("Update"&amp;Projections!$AH$17&amp;"!I"&amp;ROW(B772))</f>
        <v/>
      </c>
      <c r="AC791" s="107" t="str">
        <f t="array" ref="AC791">INDIRECT("Update"&amp;Projections!$AH$17&amp;"!K"&amp;ROW(B772))</f>
        <v/>
      </c>
      <c r="AD791" s="73" t="str">
        <f t="array" ref="AD791">INDIRECT("Update"&amp;Projections!$AH$17&amp;"!R"&amp;ROW(B772))</f>
        <v/>
      </c>
      <c r="AE791" s="73">
        <f t="shared" si="16"/>
        <v>-3.155358621</v>
      </c>
      <c r="AF791" s="73">
        <f t="shared" si="17"/>
        <v>-1.740686581</v>
      </c>
      <c r="AG791" s="73">
        <f t="shared" si="18"/>
        <v>-2.380599106</v>
      </c>
      <c r="AH791" s="73">
        <f t="shared" si="19"/>
        <v>-1.79320266</v>
      </c>
      <c r="AI791" s="73">
        <f t="shared" si="20"/>
        <v>-3.240190514</v>
      </c>
      <c r="AJ791" s="73">
        <f t="shared" si="21"/>
        <v>-1.329092151</v>
      </c>
      <c r="AK791" s="73">
        <f t="shared" si="22"/>
        <v>0</v>
      </c>
      <c r="AL791" s="73">
        <f t="shared" si="23"/>
        <v>0</v>
      </c>
      <c r="AM791" s="73">
        <f t="shared" si="24"/>
        <v>0.433638093</v>
      </c>
      <c r="AN791" s="120">
        <f t="shared" si="25"/>
        <v>-3.240190514</v>
      </c>
      <c r="AO791" s="120">
        <f t="shared" si="26"/>
        <v>-6.395549135</v>
      </c>
      <c r="AP791" s="120" t="str">
        <f t="array" ref="AP791">INDIRECT("Update"&amp;Projections!$AH$17&amp;"!S"&amp;ROW(B772))</f>
        <v/>
      </c>
      <c r="AQ791" s="120" t="str">
        <f t="array" ref="AQ791">INDIRECT("Update"&amp;Projections!$AH$17&amp;"!T"&amp;ROW(B772))</f>
        <v/>
      </c>
      <c r="AR791" s="100">
        <f t="shared" si="27"/>
        <v>-9.965301026</v>
      </c>
    </row>
    <row r="792">
      <c r="A792" t="str">
        <f t="shared" si="3"/>
        <v/>
      </c>
      <c r="B792" s="42">
        <f t="shared" si="4"/>
        <v>-3.155358621</v>
      </c>
      <c r="C792" s="43">
        <f t="shared" si="5"/>
        <v>-1.740686581</v>
      </c>
      <c r="D792" s="42">
        <f t="shared" si="6"/>
        <v>-2.380599106</v>
      </c>
      <c r="E792" s="42">
        <f t="shared" si="7"/>
        <v>-1.79320266</v>
      </c>
      <c r="F792" s="42">
        <f t="shared" si="8"/>
        <v>-3.240190514</v>
      </c>
      <c r="G792" s="42">
        <f t="shared" si="9"/>
        <v>-1.329092151</v>
      </c>
      <c r="H792" s="42">
        <f t="shared" si="10"/>
        <v>0</v>
      </c>
      <c r="I792" s="42" t="str">
        <f>UpdateHashtag!S790</f>
        <v/>
      </c>
      <c r="J792" s="47">
        <f t="shared" si="11"/>
        <v>0</v>
      </c>
      <c r="K792" s="48" t="str">
        <f>UpdateHashtag!T790</f>
        <v/>
      </c>
      <c r="L792" s="42">
        <f t="shared" si="12"/>
        <v>-1.734552372</v>
      </c>
      <c r="N792" s="100">
        <f t="shared" si="13"/>
        <v>401</v>
      </c>
      <c r="O792" s="94" t="str">
        <f t="array" ref="O792">INDIRECT("Update"&amp;Projections!$AH$17&amp;"!B"&amp;ROW(B773))</f>
        <v/>
      </c>
      <c r="P792" s="414" t="str">
        <f t="array" ref="P792">INDIRECT("Update"&amp;Projections!$AH$17&amp;"!C"&amp;ROW(B773))</f>
        <v/>
      </c>
      <c r="Q792" s="94" t="str">
        <f>UpdateHashtag!F822</f>
        <v/>
      </c>
      <c r="R792" s="105" t="str">
        <f t="array" ref="R792">INDIRECT("Update"&amp;Projections!$AH$17&amp;"!D"&amp;ROW(B773))</f>
        <v/>
      </c>
      <c r="S792" s="73">
        <f t="shared" si="14"/>
        <v>-9.965301026</v>
      </c>
      <c r="T792" s="73">
        <f>SUM(AE792:AM792)-IFERROR(IFS(Projections!$I$17,AN792,Projections!$J$17,AO792),"")</f>
        <v>-9.965301026</v>
      </c>
      <c r="U792" s="73">
        <f t="shared" si="15"/>
        <v>0</v>
      </c>
      <c r="V792" s="73" t="str">
        <f t="array" ref="V792">INDIRECT("Update"&amp;Projections!$AH$17&amp;"!M"&amp;ROW(B773))</f>
        <v/>
      </c>
      <c r="W792" s="73" t="str">
        <f t="array" ref="W792">INDIRECT("Update"&amp;Projections!$AH$17&amp;"!L"&amp;ROW(B773))</f>
        <v/>
      </c>
      <c r="X792" s="73" t="str">
        <f t="array" ref="X792">INDIRECT("Update"&amp;Projections!$AH$17&amp;"!N"&amp;ROW(B773))</f>
        <v/>
      </c>
      <c r="Y792" s="73" t="str">
        <f t="array" ref="Y792">INDIRECT("Update"&amp;Projections!$AH$17&amp;"!O"&amp;ROW(B773))</f>
        <v/>
      </c>
      <c r="Z792" s="73" t="str">
        <f t="array" ref="Z792">INDIRECT("Update"&amp;Projections!$AH$17&amp;"!P"&amp;ROW(B773))</f>
        <v/>
      </c>
      <c r="AA792" s="73" t="str">
        <f t="array" ref="AA792">INDIRECT("Update"&amp;Projections!$AH$17&amp;"!Q"&amp;ROW(B773))</f>
        <v/>
      </c>
      <c r="AB792" s="107" t="str">
        <f t="array" ref="AB792">INDIRECT("Update"&amp;Projections!$AH$17&amp;"!I"&amp;ROW(B773))</f>
        <v/>
      </c>
      <c r="AC792" s="107" t="str">
        <f t="array" ref="AC792">INDIRECT("Update"&amp;Projections!$AH$17&amp;"!K"&amp;ROW(B773))</f>
        <v/>
      </c>
      <c r="AD792" s="73" t="str">
        <f t="array" ref="AD792">INDIRECT("Update"&amp;Projections!$AH$17&amp;"!R"&amp;ROW(B773))</f>
        <v/>
      </c>
      <c r="AE792" s="73">
        <f t="shared" si="16"/>
        <v>-3.155358621</v>
      </c>
      <c r="AF792" s="73">
        <f t="shared" si="17"/>
        <v>-1.740686581</v>
      </c>
      <c r="AG792" s="73">
        <f t="shared" si="18"/>
        <v>-2.380599106</v>
      </c>
      <c r="AH792" s="73">
        <f t="shared" si="19"/>
        <v>-1.79320266</v>
      </c>
      <c r="AI792" s="73">
        <f t="shared" si="20"/>
        <v>-3.240190514</v>
      </c>
      <c r="AJ792" s="73">
        <f t="shared" si="21"/>
        <v>-1.329092151</v>
      </c>
      <c r="AK792" s="73">
        <f t="shared" si="22"/>
        <v>0</v>
      </c>
      <c r="AL792" s="73">
        <f t="shared" si="23"/>
        <v>0</v>
      </c>
      <c r="AM792" s="73">
        <f t="shared" si="24"/>
        <v>0.433638093</v>
      </c>
      <c r="AN792" s="120">
        <f t="shared" si="25"/>
        <v>-3.240190514</v>
      </c>
      <c r="AO792" s="120">
        <f t="shared" si="26"/>
        <v>-6.395549135</v>
      </c>
      <c r="AP792" s="120" t="str">
        <f t="array" ref="AP792">INDIRECT("Update"&amp;Projections!$AH$17&amp;"!S"&amp;ROW(B773))</f>
        <v/>
      </c>
      <c r="AQ792" s="120" t="str">
        <f t="array" ref="AQ792">INDIRECT("Update"&amp;Projections!$AH$17&amp;"!T"&amp;ROW(B773))</f>
        <v/>
      </c>
      <c r="AR792" s="100">
        <f t="shared" si="27"/>
        <v>-9.965301026</v>
      </c>
    </row>
    <row r="793">
      <c r="A793" t="str">
        <f t="shared" si="3"/>
        <v/>
      </c>
      <c r="B793" s="42">
        <f t="shared" si="4"/>
        <v>-3.155358621</v>
      </c>
      <c r="C793" s="43">
        <f t="shared" si="5"/>
        <v>-1.740686581</v>
      </c>
      <c r="D793" s="42">
        <f t="shared" si="6"/>
        <v>-2.380599106</v>
      </c>
      <c r="E793" s="42">
        <f t="shared" si="7"/>
        <v>-1.79320266</v>
      </c>
      <c r="F793" s="42">
        <f t="shared" si="8"/>
        <v>-3.240190514</v>
      </c>
      <c r="G793" s="42">
        <f t="shared" si="9"/>
        <v>-1.329092151</v>
      </c>
      <c r="H793" s="42">
        <f t="shared" si="10"/>
        <v>0</v>
      </c>
      <c r="I793" s="42" t="str">
        <f>UpdateHashtag!S791</f>
        <v/>
      </c>
      <c r="J793" s="47">
        <f t="shared" si="11"/>
        <v>0</v>
      </c>
      <c r="K793" s="48" t="str">
        <f>UpdateHashtag!T791</f>
        <v/>
      </c>
      <c r="L793" s="42">
        <f t="shared" si="12"/>
        <v>-1.734552372</v>
      </c>
      <c r="N793" s="100">
        <f t="shared" si="13"/>
        <v>401</v>
      </c>
      <c r="O793" s="94" t="str">
        <f t="array" ref="O793">INDIRECT("Update"&amp;Projections!$AH$17&amp;"!B"&amp;ROW(B774))</f>
        <v/>
      </c>
      <c r="P793" s="414" t="str">
        <f t="array" ref="P793">INDIRECT("Update"&amp;Projections!$AH$17&amp;"!C"&amp;ROW(B774))</f>
        <v/>
      </c>
      <c r="Q793" s="94" t="str">
        <f>UpdateHashtag!F823</f>
        <v/>
      </c>
      <c r="R793" s="105" t="str">
        <f t="array" ref="R793">INDIRECT("Update"&amp;Projections!$AH$17&amp;"!D"&amp;ROW(B774))</f>
        <v/>
      </c>
      <c r="S793" s="73">
        <f t="shared" si="14"/>
        <v>-9.965301026</v>
      </c>
      <c r="T793" s="73">
        <f>SUM(AE793:AM793)-IFERROR(IFS(Projections!$I$17,AN793,Projections!$J$17,AO793),"")</f>
        <v>-9.965301026</v>
      </c>
      <c r="U793" s="73">
        <f t="shared" si="15"/>
        <v>0</v>
      </c>
      <c r="V793" s="73" t="str">
        <f t="array" ref="V793">INDIRECT("Update"&amp;Projections!$AH$17&amp;"!M"&amp;ROW(B774))</f>
        <v/>
      </c>
      <c r="W793" s="73" t="str">
        <f t="array" ref="W793">INDIRECT("Update"&amp;Projections!$AH$17&amp;"!L"&amp;ROW(B774))</f>
        <v/>
      </c>
      <c r="X793" s="73" t="str">
        <f t="array" ref="X793">INDIRECT("Update"&amp;Projections!$AH$17&amp;"!N"&amp;ROW(B774))</f>
        <v/>
      </c>
      <c r="Y793" s="73" t="str">
        <f t="array" ref="Y793">INDIRECT("Update"&amp;Projections!$AH$17&amp;"!O"&amp;ROW(B774))</f>
        <v/>
      </c>
      <c r="Z793" s="73" t="str">
        <f t="array" ref="Z793">INDIRECT("Update"&amp;Projections!$AH$17&amp;"!P"&amp;ROW(B774))</f>
        <v/>
      </c>
      <c r="AA793" s="73" t="str">
        <f t="array" ref="AA793">INDIRECT("Update"&amp;Projections!$AH$17&amp;"!Q"&amp;ROW(B774))</f>
        <v/>
      </c>
      <c r="AB793" s="107" t="str">
        <f t="array" ref="AB793">INDIRECT("Update"&amp;Projections!$AH$17&amp;"!I"&amp;ROW(B774))</f>
        <v/>
      </c>
      <c r="AC793" s="107" t="str">
        <f t="array" ref="AC793">INDIRECT("Update"&amp;Projections!$AH$17&amp;"!K"&amp;ROW(B774))</f>
        <v/>
      </c>
      <c r="AD793" s="73" t="str">
        <f t="array" ref="AD793">INDIRECT("Update"&amp;Projections!$AH$17&amp;"!R"&amp;ROW(B774))</f>
        <v/>
      </c>
      <c r="AE793" s="73">
        <f t="shared" si="16"/>
        <v>-3.155358621</v>
      </c>
      <c r="AF793" s="73">
        <f t="shared" si="17"/>
        <v>-1.740686581</v>
      </c>
      <c r="AG793" s="73">
        <f t="shared" si="18"/>
        <v>-2.380599106</v>
      </c>
      <c r="AH793" s="73">
        <f t="shared" si="19"/>
        <v>-1.79320266</v>
      </c>
      <c r="AI793" s="73">
        <f t="shared" si="20"/>
        <v>-3.240190514</v>
      </c>
      <c r="AJ793" s="73">
        <f t="shared" si="21"/>
        <v>-1.329092151</v>
      </c>
      <c r="AK793" s="73">
        <f t="shared" si="22"/>
        <v>0</v>
      </c>
      <c r="AL793" s="73">
        <f t="shared" si="23"/>
        <v>0</v>
      </c>
      <c r="AM793" s="73">
        <f t="shared" si="24"/>
        <v>0.433638093</v>
      </c>
      <c r="AN793" s="120">
        <f t="shared" si="25"/>
        <v>-3.240190514</v>
      </c>
      <c r="AO793" s="120">
        <f t="shared" si="26"/>
        <v>-6.395549135</v>
      </c>
      <c r="AP793" s="120" t="str">
        <f t="array" ref="AP793">INDIRECT("Update"&amp;Projections!$AH$17&amp;"!S"&amp;ROW(B774))</f>
        <v/>
      </c>
      <c r="AQ793" s="120" t="str">
        <f t="array" ref="AQ793">INDIRECT("Update"&amp;Projections!$AH$17&amp;"!T"&amp;ROW(B774))</f>
        <v/>
      </c>
      <c r="AR793" s="100">
        <f t="shared" si="27"/>
        <v>-9.965301026</v>
      </c>
    </row>
    <row r="794">
      <c r="A794" t="str">
        <f t="shared" si="3"/>
        <v/>
      </c>
      <c r="B794" s="42">
        <f t="shared" si="4"/>
        <v>-3.155358621</v>
      </c>
      <c r="C794" s="43">
        <f t="shared" si="5"/>
        <v>-1.740686581</v>
      </c>
      <c r="D794" s="42">
        <f t="shared" si="6"/>
        <v>-2.380599106</v>
      </c>
      <c r="E794" s="42">
        <f t="shared" si="7"/>
        <v>-1.79320266</v>
      </c>
      <c r="F794" s="42">
        <f t="shared" si="8"/>
        <v>-3.240190514</v>
      </c>
      <c r="G794" s="42">
        <f t="shared" si="9"/>
        <v>-1.329092151</v>
      </c>
      <c r="H794" s="42">
        <f t="shared" si="10"/>
        <v>0</v>
      </c>
      <c r="I794" s="42" t="str">
        <f>UpdateHashtag!S792</f>
        <v/>
      </c>
      <c r="J794" s="47">
        <f t="shared" si="11"/>
        <v>0</v>
      </c>
      <c r="K794" s="48" t="str">
        <f>UpdateHashtag!T792</f>
        <v/>
      </c>
      <c r="L794" s="42">
        <f t="shared" si="12"/>
        <v>-1.734552372</v>
      </c>
      <c r="N794" s="100">
        <f t="shared" si="13"/>
        <v>401</v>
      </c>
      <c r="O794" s="94" t="str">
        <f t="array" ref="O794">INDIRECT("Update"&amp;Projections!$AH$17&amp;"!B"&amp;ROW(B775))</f>
        <v/>
      </c>
      <c r="P794" s="414" t="str">
        <f t="array" ref="P794">INDIRECT("Update"&amp;Projections!$AH$17&amp;"!C"&amp;ROW(B775))</f>
        <v/>
      </c>
      <c r="Q794" s="94" t="str">
        <f>UpdateHashtag!F824</f>
        <v/>
      </c>
      <c r="R794" s="105" t="str">
        <f t="array" ref="R794">INDIRECT("Update"&amp;Projections!$AH$17&amp;"!D"&amp;ROW(B775))</f>
        <v/>
      </c>
      <c r="S794" s="73">
        <f t="shared" si="14"/>
        <v>-9.965301026</v>
      </c>
      <c r="T794" s="73">
        <f>SUM(AE794:AM794)-IFERROR(IFS(Projections!$I$17,AN794,Projections!$J$17,AO794),"")</f>
        <v>-9.965301026</v>
      </c>
      <c r="U794" s="73">
        <f t="shared" si="15"/>
        <v>0</v>
      </c>
      <c r="V794" s="73" t="str">
        <f t="array" ref="V794">INDIRECT("Update"&amp;Projections!$AH$17&amp;"!M"&amp;ROW(B775))</f>
        <v/>
      </c>
      <c r="W794" s="73" t="str">
        <f t="array" ref="W794">INDIRECT("Update"&amp;Projections!$AH$17&amp;"!L"&amp;ROW(B775))</f>
        <v/>
      </c>
      <c r="X794" s="73" t="str">
        <f t="array" ref="X794">INDIRECT("Update"&amp;Projections!$AH$17&amp;"!N"&amp;ROW(B775))</f>
        <v/>
      </c>
      <c r="Y794" s="73" t="str">
        <f t="array" ref="Y794">INDIRECT("Update"&amp;Projections!$AH$17&amp;"!O"&amp;ROW(B775))</f>
        <v/>
      </c>
      <c r="Z794" s="73" t="str">
        <f t="array" ref="Z794">INDIRECT("Update"&amp;Projections!$AH$17&amp;"!P"&amp;ROW(B775))</f>
        <v/>
      </c>
      <c r="AA794" s="73" t="str">
        <f t="array" ref="AA794">INDIRECT("Update"&amp;Projections!$AH$17&amp;"!Q"&amp;ROW(B775))</f>
        <v/>
      </c>
      <c r="AB794" s="107" t="str">
        <f t="array" ref="AB794">INDIRECT("Update"&amp;Projections!$AH$17&amp;"!I"&amp;ROW(B775))</f>
        <v/>
      </c>
      <c r="AC794" s="107" t="str">
        <f t="array" ref="AC794">INDIRECT("Update"&amp;Projections!$AH$17&amp;"!K"&amp;ROW(B775))</f>
        <v/>
      </c>
      <c r="AD794" s="73" t="str">
        <f t="array" ref="AD794">INDIRECT("Update"&amp;Projections!$AH$17&amp;"!R"&amp;ROW(B775))</f>
        <v/>
      </c>
      <c r="AE794" s="73">
        <f t="shared" si="16"/>
        <v>-3.155358621</v>
      </c>
      <c r="AF794" s="73">
        <f t="shared" si="17"/>
        <v>-1.740686581</v>
      </c>
      <c r="AG794" s="73">
        <f t="shared" si="18"/>
        <v>-2.380599106</v>
      </c>
      <c r="AH794" s="73">
        <f t="shared" si="19"/>
        <v>-1.79320266</v>
      </c>
      <c r="AI794" s="73">
        <f t="shared" si="20"/>
        <v>-3.240190514</v>
      </c>
      <c r="AJ794" s="73">
        <f t="shared" si="21"/>
        <v>-1.329092151</v>
      </c>
      <c r="AK794" s="73">
        <f t="shared" si="22"/>
        <v>0</v>
      </c>
      <c r="AL794" s="73">
        <f t="shared" si="23"/>
        <v>0</v>
      </c>
      <c r="AM794" s="73">
        <f t="shared" si="24"/>
        <v>0.433638093</v>
      </c>
      <c r="AN794" s="120">
        <f t="shared" si="25"/>
        <v>-3.240190514</v>
      </c>
      <c r="AO794" s="120">
        <f t="shared" si="26"/>
        <v>-6.395549135</v>
      </c>
      <c r="AP794" s="120" t="str">
        <f t="array" ref="AP794">INDIRECT("Update"&amp;Projections!$AH$17&amp;"!S"&amp;ROW(B775))</f>
        <v/>
      </c>
      <c r="AQ794" s="120" t="str">
        <f t="array" ref="AQ794">INDIRECT("Update"&amp;Projections!$AH$17&amp;"!T"&amp;ROW(B775))</f>
        <v/>
      </c>
      <c r="AR794" s="100">
        <f t="shared" si="27"/>
        <v>-9.965301026</v>
      </c>
    </row>
    <row r="795">
      <c r="A795" t="str">
        <f t="shared" si="3"/>
        <v/>
      </c>
      <c r="B795" s="42">
        <f t="shared" si="4"/>
        <v>-3.155358621</v>
      </c>
      <c r="C795" s="43">
        <f t="shared" si="5"/>
        <v>-1.740686581</v>
      </c>
      <c r="D795" s="42">
        <f t="shared" si="6"/>
        <v>-2.380599106</v>
      </c>
      <c r="E795" s="42">
        <f t="shared" si="7"/>
        <v>-1.79320266</v>
      </c>
      <c r="F795" s="42">
        <f t="shared" si="8"/>
        <v>-3.240190514</v>
      </c>
      <c r="G795" s="42">
        <f t="shared" si="9"/>
        <v>-1.329092151</v>
      </c>
      <c r="H795" s="42">
        <f t="shared" si="10"/>
        <v>0</v>
      </c>
      <c r="I795" s="42" t="str">
        <f>UpdateHashtag!S793</f>
        <v/>
      </c>
      <c r="J795" s="47">
        <f t="shared" si="11"/>
        <v>0</v>
      </c>
      <c r="K795" s="48" t="str">
        <f>UpdateHashtag!T793</f>
        <v/>
      </c>
      <c r="L795" s="42">
        <f t="shared" si="12"/>
        <v>-1.734552372</v>
      </c>
      <c r="N795" s="100">
        <f t="shared" si="13"/>
        <v>401</v>
      </c>
      <c r="O795" s="94" t="str">
        <f t="array" ref="O795">INDIRECT("Update"&amp;Projections!$AH$17&amp;"!B"&amp;ROW(B776))</f>
        <v/>
      </c>
      <c r="P795" s="414" t="str">
        <f t="array" ref="P795">INDIRECT("Update"&amp;Projections!$AH$17&amp;"!C"&amp;ROW(B776))</f>
        <v/>
      </c>
      <c r="Q795" s="94" t="str">
        <f>UpdateHashtag!F825</f>
        <v/>
      </c>
      <c r="R795" s="105" t="str">
        <f t="array" ref="R795">INDIRECT("Update"&amp;Projections!$AH$17&amp;"!D"&amp;ROW(B776))</f>
        <v/>
      </c>
      <c r="S795" s="73">
        <f t="shared" si="14"/>
        <v>-9.965301026</v>
      </c>
      <c r="T795" s="73">
        <f>SUM(AE795:AM795)-IFERROR(IFS(Projections!$I$17,AN795,Projections!$J$17,AO795),"")</f>
        <v>-9.965301026</v>
      </c>
      <c r="U795" s="73">
        <f t="shared" si="15"/>
        <v>0</v>
      </c>
      <c r="V795" s="73" t="str">
        <f t="array" ref="V795">INDIRECT("Update"&amp;Projections!$AH$17&amp;"!M"&amp;ROW(B776))</f>
        <v/>
      </c>
      <c r="W795" s="73" t="str">
        <f t="array" ref="W795">INDIRECT("Update"&amp;Projections!$AH$17&amp;"!L"&amp;ROW(B776))</f>
        <v/>
      </c>
      <c r="X795" s="73" t="str">
        <f t="array" ref="X795">INDIRECT("Update"&amp;Projections!$AH$17&amp;"!N"&amp;ROW(B776))</f>
        <v/>
      </c>
      <c r="Y795" s="73" t="str">
        <f t="array" ref="Y795">INDIRECT("Update"&amp;Projections!$AH$17&amp;"!O"&amp;ROW(B776))</f>
        <v/>
      </c>
      <c r="Z795" s="73" t="str">
        <f t="array" ref="Z795">INDIRECT("Update"&amp;Projections!$AH$17&amp;"!P"&amp;ROW(B776))</f>
        <v/>
      </c>
      <c r="AA795" s="73" t="str">
        <f t="array" ref="AA795">INDIRECT("Update"&amp;Projections!$AH$17&amp;"!Q"&amp;ROW(B776))</f>
        <v/>
      </c>
      <c r="AB795" s="107" t="str">
        <f t="array" ref="AB795">INDIRECT("Update"&amp;Projections!$AH$17&amp;"!I"&amp;ROW(B776))</f>
        <v/>
      </c>
      <c r="AC795" s="107" t="str">
        <f t="array" ref="AC795">INDIRECT("Update"&amp;Projections!$AH$17&amp;"!K"&amp;ROW(B776))</f>
        <v/>
      </c>
      <c r="AD795" s="73" t="str">
        <f t="array" ref="AD795">INDIRECT("Update"&amp;Projections!$AH$17&amp;"!R"&amp;ROW(B776))</f>
        <v/>
      </c>
      <c r="AE795" s="73">
        <f t="shared" si="16"/>
        <v>-3.155358621</v>
      </c>
      <c r="AF795" s="73">
        <f t="shared" si="17"/>
        <v>-1.740686581</v>
      </c>
      <c r="AG795" s="73">
        <f t="shared" si="18"/>
        <v>-2.380599106</v>
      </c>
      <c r="AH795" s="73">
        <f t="shared" si="19"/>
        <v>-1.79320266</v>
      </c>
      <c r="AI795" s="73">
        <f t="shared" si="20"/>
        <v>-3.240190514</v>
      </c>
      <c r="AJ795" s="73">
        <f t="shared" si="21"/>
        <v>-1.329092151</v>
      </c>
      <c r="AK795" s="73">
        <f t="shared" si="22"/>
        <v>0</v>
      </c>
      <c r="AL795" s="73">
        <f t="shared" si="23"/>
        <v>0</v>
      </c>
      <c r="AM795" s="73">
        <f t="shared" si="24"/>
        <v>0.433638093</v>
      </c>
      <c r="AN795" s="120">
        <f t="shared" si="25"/>
        <v>-3.240190514</v>
      </c>
      <c r="AO795" s="120">
        <f t="shared" si="26"/>
        <v>-6.395549135</v>
      </c>
      <c r="AP795" s="120" t="str">
        <f t="array" ref="AP795">INDIRECT("Update"&amp;Projections!$AH$17&amp;"!S"&amp;ROW(B776))</f>
        <v/>
      </c>
      <c r="AQ795" s="120" t="str">
        <f t="array" ref="AQ795">INDIRECT("Update"&amp;Projections!$AH$17&amp;"!T"&amp;ROW(B776))</f>
        <v/>
      </c>
      <c r="AR795" s="100">
        <f t="shared" si="27"/>
        <v>-9.965301026</v>
      </c>
    </row>
    <row r="796">
      <c r="A796" t="str">
        <f t="shared" si="3"/>
        <v/>
      </c>
      <c r="B796" s="42">
        <f t="shared" si="4"/>
        <v>-3.155358621</v>
      </c>
      <c r="C796" s="43">
        <f t="shared" si="5"/>
        <v>-1.740686581</v>
      </c>
      <c r="D796" s="42">
        <f t="shared" si="6"/>
        <v>-2.380599106</v>
      </c>
      <c r="E796" s="42">
        <f t="shared" si="7"/>
        <v>-1.79320266</v>
      </c>
      <c r="F796" s="42">
        <f t="shared" si="8"/>
        <v>-3.240190514</v>
      </c>
      <c r="G796" s="42">
        <f t="shared" si="9"/>
        <v>-1.329092151</v>
      </c>
      <c r="H796" s="42">
        <f t="shared" si="10"/>
        <v>0</v>
      </c>
      <c r="I796" s="42" t="str">
        <f>UpdateHashtag!S794</f>
        <v/>
      </c>
      <c r="J796" s="47">
        <f t="shared" si="11"/>
        <v>0</v>
      </c>
      <c r="K796" s="48" t="str">
        <f>UpdateHashtag!T794</f>
        <v/>
      </c>
      <c r="L796" s="42">
        <f t="shared" si="12"/>
        <v>-1.734552372</v>
      </c>
      <c r="N796" s="100">
        <f t="shared" si="13"/>
        <v>401</v>
      </c>
      <c r="O796" s="94" t="str">
        <f t="array" ref="O796">INDIRECT("Update"&amp;Projections!$AH$17&amp;"!B"&amp;ROW(B777))</f>
        <v/>
      </c>
      <c r="P796" s="414" t="str">
        <f t="array" ref="P796">INDIRECT("Update"&amp;Projections!$AH$17&amp;"!C"&amp;ROW(B777))</f>
        <v/>
      </c>
      <c r="Q796" s="94" t="str">
        <f>UpdateHashtag!F826</f>
        <v/>
      </c>
      <c r="R796" s="105" t="str">
        <f t="array" ref="R796">INDIRECT("Update"&amp;Projections!$AH$17&amp;"!D"&amp;ROW(B777))</f>
        <v/>
      </c>
      <c r="S796" s="73">
        <f t="shared" si="14"/>
        <v>-9.965301026</v>
      </c>
      <c r="T796" s="73">
        <f>SUM(AE796:AM796)-IFERROR(IFS(Projections!$I$17,AN796,Projections!$J$17,AO796),"")</f>
        <v>-9.965301026</v>
      </c>
      <c r="U796" s="73">
        <f t="shared" si="15"/>
        <v>0</v>
      </c>
      <c r="V796" s="73" t="str">
        <f t="array" ref="V796">INDIRECT("Update"&amp;Projections!$AH$17&amp;"!M"&amp;ROW(B777))</f>
        <v/>
      </c>
      <c r="W796" s="73" t="str">
        <f t="array" ref="W796">INDIRECT("Update"&amp;Projections!$AH$17&amp;"!L"&amp;ROW(B777))</f>
        <v/>
      </c>
      <c r="X796" s="73" t="str">
        <f t="array" ref="X796">INDIRECT("Update"&amp;Projections!$AH$17&amp;"!N"&amp;ROW(B777))</f>
        <v/>
      </c>
      <c r="Y796" s="73" t="str">
        <f t="array" ref="Y796">INDIRECT("Update"&amp;Projections!$AH$17&amp;"!O"&amp;ROW(B777))</f>
        <v/>
      </c>
      <c r="Z796" s="73" t="str">
        <f t="array" ref="Z796">INDIRECT("Update"&amp;Projections!$AH$17&amp;"!P"&amp;ROW(B777))</f>
        <v/>
      </c>
      <c r="AA796" s="73" t="str">
        <f t="array" ref="AA796">INDIRECT("Update"&amp;Projections!$AH$17&amp;"!Q"&amp;ROW(B777))</f>
        <v/>
      </c>
      <c r="AB796" s="107" t="str">
        <f t="array" ref="AB796">INDIRECT("Update"&amp;Projections!$AH$17&amp;"!I"&amp;ROW(B777))</f>
        <v/>
      </c>
      <c r="AC796" s="107" t="str">
        <f t="array" ref="AC796">INDIRECT("Update"&amp;Projections!$AH$17&amp;"!K"&amp;ROW(B777))</f>
        <v/>
      </c>
      <c r="AD796" s="73" t="str">
        <f t="array" ref="AD796">INDIRECT("Update"&amp;Projections!$AH$17&amp;"!R"&amp;ROW(B777))</f>
        <v/>
      </c>
      <c r="AE796" s="73">
        <f t="shared" si="16"/>
        <v>-3.155358621</v>
      </c>
      <c r="AF796" s="73">
        <f t="shared" si="17"/>
        <v>-1.740686581</v>
      </c>
      <c r="AG796" s="73">
        <f t="shared" si="18"/>
        <v>-2.380599106</v>
      </c>
      <c r="AH796" s="73">
        <f t="shared" si="19"/>
        <v>-1.79320266</v>
      </c>
      <c r="AI796" s="73">
        <f t="shared" si="20"/>
        <v>-3.240190514</v>
      </c>
      <c r="AJ796" s="73">
        <f t="shared" si="21"/>
        <v>-1.329092151</v>
      </c>
      <c r="AK796" s="73">
        <f t="shared" si="22"/>
        <v>0</v>
      </c>
      <c r="AL796" s="73">
        <f t="shared" si="23"/>
        <v>0</v>
      </c>
      <c r="AM796" s="73">
        <f t="shared" si="24"/>
        <v>0.433638093</v>
      </c>
      <c r="AN796" s="120">
        <f t="shared" si="25"/>
        <v>-3.240190514</v>
      </c>
      <c r="AO796" s="120">
        <f t="shared" si="26"/>
        <v>-6.395549135</v>
      </c>
      <c r="AP796" s="120" t="str">
        <f t="array" ref="AP796">INDIRECT("Update"&amp;Projections!$AH$17&amp;"!S"&amp;ROW(B777))</f>
        <v/>
      </c>
      <c r="AQ796" s="120" t="str">
        <f t="array" ref="AQ796">INDIRECT("Update"&amp;Projections!$AH$17&amp;"!T"&amp;ROW(B777))</f>
        <v/>
      </c>
      <c r="AR796" s="100">
        <f t="shared" si="27"/>
        <v>-9.965301026</v>
      </c>
    </row>
    <row r="797">
      <c r="A797" t="str">
        <f t="shared" si="3"/>
        <v/>
      </c>
      <c r="B797" s="42">
        <f t="shared" si="4"/>
        <v>-3.155358621</v>
      </c>
      <c r="C797" s="43">
        <f t="shared" si="5"/>
        <v>-1.740686581</v>
      </c>
      <c r="D797" s="42">
        <f t="shared" si="6"/>
        <v>-2.380599106</v>
      </c>
      <c r="E797" s="42">
        <f t="shared" si="7"/>
        <v>-1.79320266</v>
      </c>
      <c r="F797" s="42">
        <f t="shared" si="8"/>
        <v>-3.240190514</v>
      </c>
      <c r="G797" s="42">
        <f t="shared" si="9"/>
        <v>-1.329092151</v>
      </c>
      <c r="H797" s="42">
        <f t="shared" si="10"/>
        <v>0</v>
      </c>
      <c r="I797" s="42" t="str">
        <f>UpdateHashtag!S795</f>
        <v/>
      </c>
      <c r="J797" s="47">
        <f t="shared" si="11"/>
        <v>0</v>
      </c>
      <c r="K797" s="48" t="str">
        <f>UpdateHashtag!T795</f>
        <v/>
      </c>
      <c r="L797" s="42">
        <f t="shared" si="12"/>
        <v>-1.734552372</v>
      </c>
      <c r="N797" s="100">
        <f t="shared" si="13"/>
        <v>401</v>
      </c>
      <c r="O797" s="94" t="str">
        <f t="array" ref="O797">INDIRECT("Update"&amp;Projections!$AH$17&amp;"!B"&amp;ROW(B778))</f>
        <v/>
      </c>
      <c r="P797" s="414" t="str">
        <f t="array" ref="P797">INDIRECT("Update"&amp;Projections!$AH$17&amp;"!C"&amp;ROW(B778))</f>
        <v/>
      </c>
      <c r="Q797" s="94" t="str">
        <f>UpdateHashtag!F827</f>
        <v/>
      </c>
      <c r="R797" s="105" t="str">
        <f t="array" ref="R797">INDIRECT("Update"&amp;Projections!$AH$17&amp;"!D"&amp;ROW(B778))</f>
        <v/>
      </c>
      <c r="S797" s="73">
        <f t="shared" si="14"/>
        <v>-9.965301026</v>
      </c>
      <c r="T797" s="73">
        <f>SUM(AE797:AM797)-IFERROR(IFS(Projections!$I$17,AN797,Projections!$J$17,AO797),"")</f>
        <v>-9.965301026</v>
      </c>
      <c r="U797" s="73">
        <f t="shared" si="15"/>
        <v>0</v>
      </c>
      <c r="V797" s="73" t="str">
        <f t="array" ref="V797">INDIRECT("Update"&amp;Projections!$AH$17&amp;"!M"&amp;ROW(B778))</f>
        <v/>
      </c>
      <c r="W797" s="73" t="str">
        <f t="array" ref="W797">INDIRECT("Update"&amp;Projections!$AH$17&amp;"!L"&amp;ROW(B778))</f>
        <v/>
      </c>
      <c r="X797" s="73" t="str">
        <f t="array" ref="X797">INDIRECT("Update"&amp;Projections!$AH$17&amp;"!N"&amp;ROW(B778))</f>
        <v/>
      </c>
      <c r="Y797" s="73" t="str">
        <f t="array" ref="Y797">INDIRECT("Update"&amp;Projections!$AH$17&amp;"!O"&amp;ROW(B778))</f>
        <v/>
      </c>
      <c r="Z797" s="73" t="str">
        <f t="array" ref="Z797">INDIRECT("Update"&amp;Projections!$AH$17&amp;"!P"&amp;ROW(B778))</f>
        <v/>
      </c>
      <c r="AA797" s="73" t="str">
        <f t="array" ref="AA797">INDIRECT("Update"&amp;Projections!$AH$17&amp;"!Q"&amp;ROW(B778))</f>
        <v/>
      </c>
      <c r="AB797" s="107" t="str">
        <f t="array" ref="AB797">INDIRECT("Update"&amp;Projections!$AH$17&amp;"!I"&amp;ROW(B778))</f>
        <v/>
      </c>
      <c r="AC797" s="107" t="str">
        <f t="array" ref="AC797">INDIRECT("Update"&amp;Projections!$AH$17&amp;"!K"&amp;ROW(B778))</f>
        <v/>
      </c>
      <c r="AD797" s="73" t="str">
        <f t="array" ref="AD797">INDIRECT("Update"&amp;Projections!$AH$17&amp;"!R"&amp;ROW(B778))</f>
        <v/>
      </c>
      <c r="AE797" s="73">
        <f t="shared" si="16"/>
        <v>-3.155358621</v>
      </c>
      <c r="AF797" s="73">
        <f t="shared" si="17"/>
        <v>-1.740686581</v>
      </c>
      <c r="AG797" s="73">
        <f t="shared" si="18"/>
        <v>-2.380599106</v>
      </c>
      <c r="AH797" s="73">
        <f t="shared" si="19"/>
        <v>-1.79320266</v>
      </c>
      <c r="AI797" s="73">
        <f t="shared" si="20"/>
        <v>-3.240190514</v>
      </c>
      <c r="AJ797" s="73">
        <f t="shared" si="21"/>
        <v>-1.329092151</v>
      </c>
      <c r="AK797" s="73">
        <f t="shared" si="22"/>
        <v>0</v>
      </c>
      <c r="AL797" s="73">
        <f t="shared" si="23"/>
        <v>0</v>
      </c>
      <c r="AM797" s="73">
        <f t="shared" si="24"/>
        <v>0.433638093</v>
      </c>
      <c r="AN797" s="120">
        <f t="shared" si="25"/>
        <v>-3.240190514</v>
      </c>
      <c r="AO797" s="120">
        <f t="shared" si="26"/>
        <v>-6.395549135</v>
      </c>
      <c r="AP797" s="120" t="str">
        <f t="array" ref="AP797">INDIRECT("Update"&amp;Projections!$AH$17&amp;"!S"&amp;ROW(B778))</f>
        <v/>
      </c>
      <c r="AQ797" s="120" t="str">
        <f t="array" ref="AQ797">INDIRECT("Update"&amp;Projections!$AH$17&amp;"!T"&amp;ROW(B778))</f>
        <v/>
      </c>
      <c r="AR797" s="100">
        <f t="shared" si="27"/>
        <v>-9.965301026</v>
      </c>
    </row>
    <row r="798">
      <c r="A798" t="str">
        <f t="shared" si="3"/>
        <v/>
      </c>
      <c r="B798" s="42">
        <f t="shared" si="4"/>
        <v>-3.155358621</v>
      </c>
      <c r="C798" s="43">
        <f t="shared" si="5"/>
        <v>-1.740686581</v>
      </c>
      <c r="D798" s="42">
        <f t="shared" si="6"/>
        <v>-2.380599106</v>
      </c>
      <c r="E798" s="42">
        <f t="shared" si="7"/>
        <v>-1.79320266</v>
      </c>
      <c r="F798" s="42">
        <f t="shared" si="8"/>
        <v>-3.240190514</v>
      </c>
      <c r="G798" s="42">
        <f t="shared" si="9"/>
        <v>-1.329092151</v>
      </c>
      <c r="H798" s="42">
        <f t="shared" si="10"/>
        <v>0</v>
      </c>
      <c r="I798" s="42" t="str">
        <f>UpdateHashtag!S796</f>
        <v/>
      </c>
      <c r="J798" s="47">
        <f t="shared" si="11"/>
        <v>0</v>
      </c>
      <c r="K798" s="48" t="str">
        <f>UpdateHashtag!T796</f>
        <v/>
      </c>
      <c r="L798" s="42">
        <f t="shared" si="12"/>
        <v>-1.734552372</v>
      </c>
      <c r="N798" s="100">
        <f t="shared" si="13"/>
        <v>401</v>
      </c>
      <c r="O798" s="94" t="str">
        <f t="array" ref="O798">INDIRECT("Update"&amp;Projections!$AH$17&amp;"!B"&amp;ROW(B779))</f>
        <v/>
      </c>
      <c r="P798" s="414" t="str">
        <f t="array" ref="P798">INDIRECT("Update"&amp;Projections!$AH$17&amp;"!C"&amp;ROW(B779))</f>
        <v/>
      </c>
      <c r="Q798" s="94" t="str">
        <f>UpdateHashtag!F828</f>
        <v/>
      </c>
      <c r="R798" s="105" t="str">
        <f t="array" ref="R798">INDIRECT("Update"&amp;Projections!$AH$17&amp;"!D"&amp;ROW(B779))</f>
        <v/>
      </c>
      <c r="S798" s="73">
        <f t="shared" si="14"/>
        <v>-9.965301026</v>
      </c>
      <c r="T798" s="73">
        <f>SUM(AE798:AM798)-IFERROR(IFS(Projections!$I$17,AN798,Projections!$J$17,AO798),"")</f>
        <v>-9.965301026</v>
      </c>
      <c r="U798" s="73">
        <f t="shared" si="15"/>
        <v>0</v>
      </c>
      <c r="V798" s="73" t="str">
        <f t="array" ref="V798">INDIRECT("Update"&amp;Projections!$AH$17&amp;"!M"&amp;ROW(B779))</f>
        <v/>
      </c>
      <c r="W798" s="73" t="str">
        <f t="array" ref="W798">INDIRECT("Update"&amp;Projections!$AH$17&amp;"!L"&amp;ROW(B779))</f>
        <v/>
      </c>
      <c r="X798" s="73" t="str">
        <f t="array" ref="X798">INDIRECT("Update"&amp;Projections!$AH$17&amp;"!N"&amp;ROW(B779))</f>
        <v/>
      </c>
      <c r="Y798" s="73" t="str">
        <f t="array" ref="Y798">INDIRECT("Update"&amp;Projections!$AH$17&amp;"!O"&amp;ROW(B779))</f>
        <v/>
      </c>
      <c r="Z798" s="73" t="str">
        <f t="array" ref="Z798">INDIRECT("Update"&amp;Projections!$AH$17&amp;"!P"&amp;ROW(B779))</f>
        <v/>
      </c>
      <c r="AA798" s="73" t="str">
        <f t="array" ref="AA798">INDIRECT("Update"&amp;Projections!$AH$17&amp;"!Q"&amp;ROW(B779))</f>
        <v/>
      </c>
      <c r="AB798" s="107" t="str">
        <f t="array" ref="AB798">INDIRECT("Update"&amp;Projections!$AH$17&amp;"!I"&amp;ROW(B779))</f>
        <v/>
      </c>
      <c r="AC798" s="107" t="str">
        <f t="array" ref="AC798">INDIRECT("Update"&amp;Projections!$AH$17&amp;"!K"&amp;ROW(B779))</f>
        <v/>
      </c>
      <c r="AD798" s="73" t="str">
        <f t="array" ref="AD798">INDIRECT("Update"&amp;Projections!$AH$17&amp;"!R"&amp;ROW(B779))</f>
        <v/>
      </c>
      <c r="AE798" s="73">
        <f t="shared" si="16"/>
        <v>-3.155358621</v>
      </c>
      <c r="AF798" s="73">
        <f t="shared" si="17"/>
        <v>-1.740686581</v>
      </c>
      <c r="AG798" s="73">
        <f t="shared" si="18"/>
        <v>-2.380599106</v>
      </c>
      <c r="AH798" s="73">
        <f t="shared" si="19"/>
        <v>-1.79320266</v>
      </c>
      <c r="AI798" s="73">
        <f t="shared" si="20"/>
        <v>-3.240190514</v>
      </c>
      <c r="AJ798" s="73">
        <f t="shared" si="21"/>
        <v>-1.329092151</v>
      </c>
      <c r="AK798" s="73">
        <f t="shared" si="22"/>
        <v>0</v>
      </c>
      <c r="AL798" s="73">
        <f t="shared" si="23"/>
        <v>0</v>
      </c>
      <c r="AM798" s="73">
        <f t="shared" si="24"/>
        <v>0.433638093</v>
      </c>
      <c r="AN798" s="120">
        <f t="shared" si="25"/>
        <v>-3.240190514</v>
      </c>
      <c r="AO798" s="120">
        <f t="shared" si="26"/>
        <v>-6.395549135</v>
      </c>
      <c r="AP798" s="120" t="str">
        <f t="array" ref="AP798">INDIRECT("Update"&amp;Projections!$AH$17&amp;"!S"&amp;ROW(B779))</f>
        <v/>
      </c>
      <c r="AQ798" s="120" t="str">
        <f t="array" ref="AQ798">INDIRECT("Update"&amp;Projections!$AH$17&amp;"!T"&amp;ROW(B779))</f>
        <v/>
      </c>
      <c r="AR798" s="100">
        <f t="shared" si="27"/>
        <v>-9.965301026</v>
      </c>
    </row>
    <row r="799">
      <c r="A799" t="str">
        <f t="shared" si="3"/>
        <v/>
      </c>
      <c r="B799" s="42">
        <f t="shared" si="4"/>
        <v>-3.155358621</v>
      </c>
      <c r="C799" s="43">
        <f t="shared" si="5"/>
        <v>-1.740686581</v>
      </c>
      <c r="D799" s="42">
        <f t="shared" si="6"/>
        <v>-2.380599106</v>
      </c>
      <c r="E799" s="42">
        <f t="shared" si="7"/>
        <v>-1.79320266</v>
      </c>
      <c r="F799" s="42">
        <f t="shared" si="8"/>
        <v>-3.240190514</v>
      </c>
      <c r="G799" s="42">
        <f t="shared" si="9"/>
        <v>-1.329092151</v>
      </c>
      <c r="H799" s="42">
        <f t="shared" si="10"/>
        <v>0</v>
      </c>
      <c r="I799" s="42" t="str">
        <f>UpdateHashtag!S797</f>
        <v/>
      </c>
      <c r="J799" s="47">
        <f t="shared" si="11"/>
        <v>0</v>
      </c>
      <c r="K799" s="48" t="str">
        <f>UpdateHashtag!T797</f>
        <v/>
      </c>
      <c r="L799" s="42">
        <f t="shared" si="12"/>
        <v>-1.734552372</v>
      </c>
      <c r="N799" s="100">
        <f t="shared" si="13"/>
        <v>401</v>
      </c>
      <c r="O799" s="94" t="str">
        <f t="array" ref="O799">INDIRECT("Update"&amp;Projections!$AH$17&amp;"!B"&amp;ROW(B780))</f>
        <v/>
      </c>
      <c r="P799" s="414" t="str">
        <f t="array" ref="P799">INDIRECT("Update"&amp;Projections!$AH$17&amp;"!C"&amp;ROW(B780))</f>
        <v/>
      </c>
      <c r="Q799" s="94" t="str">
        <f>UpdateHashtag!F829</f>
        <v/>
      </c>
      <c r="R799" s="105" t="str">
        <f t="array" ref="R799">INDIRECT("Update"&amp;Projections!$AH$17&amp;"!D"&amp;ROW(B780))</f>
        <v/>
      </c>
      <c r="S799" s="73">
        <f t="shared" si="14"/>
        <v>-9.965301026</v>
      </c>
      <c r="T799" s="73">
        <f>SUM(AE799:AM799)-IFERROR(IFS(Projections!$I$17,AN799,Projections!$J$17,AO799),"")</f>
        <v>-9.965301026</v>
      </c>
      <c r="U799" s="73">
        <f t="shared" si="15"/>
        <v>0</v>
      </c>
      <c r="V799" s="73" t="str">
        <f t="array" ref="V799">INDIRECT("Update"&amp;Projections!$AH$17&amp;"!M"&amp;ROW(B780))</f>
        <v/>
      </c>
      <c r="W799" s="73" t="str">
        <f t="array" ref="W799">INDIRECT("Update"&amp;Projections!$AH$17&amp;"!L"&amp;ROW(B780))</f>
        <v/>
      </c>
      <c r="X799" s="73" t="str">
        <f t="array" ref="X799">INDIRECT("Update"&amp;Projections!$AH$17&amp;"!N"&amp;ROW(B780))</f>
        <v/>
      </c>
      <c r="Y799" s="73" t="str">
        <f t="array" ref="Y799">INDIRECT("Update"&amp;Projections!$AH$17&amp;"!O"&amp;ROW(B780))</f>
        <v/>
      </c>
      <c r="Z799" s="73" t="str">
        <f t="array" ref="Z799">INDIRECT("Update"&amp;Projections!$AH$17&amp;"!P"&amp;ROW(B780))</f>
        <v/>
      </c>
      <c r="AA799" s="73" t="str">
        <f t="array" ref="AA799">INDIRECT("Update"&amp;Projections!$AH$17&amp;"!Q"&amp;ROW(B780))</f>
        <v/>
      </c>
      <c r="AB799" s="107" t="str">
        <f t="array" ref="AB799">INDIRECT("Update"&amp;Projections!$AH$17&amp;"!I"&amp;ROW(B780))</f>
        <v/>
      </c>
      <c r="AC799" s="107" t="str">
        <f t="array" ref="AC799">INDIRECT("Update"&amp;Projections!$AH$17&amp;"!K"&amp;ROW(B780))</f>
        <v/>
      </c>
      <c r="AD799" s="73" t="str">
        <f t="array" ref="AD799">INDIRECT("Update"&amp;Projections!$AH$17&amp;"!R"&amp;ROW(B780))</f>
        <v/>
      </c>
      <c r="AE799" s="73">
        <f t="shared" si="16"/>
        <v>-3.155358621</v>
      </c>
      <c r="AF799" s="73">
        <f t="shared" si="17"/>
        <v>-1.740686581</v>
      </c>
      <c r="AG799" s="73">
        <f t="shared" si="18"/>
        <v>-2.380599106</v>
      </c>
      <c r="AH799" s="73">
        <f t="shared" si="19"/>
        <v>-1.79320266</v>
      </c>
      <c r="AI799" s="73">
        <f t="shared" si="20"/>
        <v>-3.240190514</v>
      </c>
      <c r="AJ799" s="73">
        <f t="shared" si="21"/>
        <v>-1.329092151</v>
      </c>
      <c r="AK799" s="73">
        <f t="shared" si="22"/>
        <v>0</v>
      </c>
      <c r="AL799" s="73">
        <f t="shared" si="23"/>
        <v>0</v>
      </c>
      <c r="AM799" s="73">
        <f t="shared" si="24"/>
        <v>0.433638093</v>
      </c>
      <c r="AN799" s="120">
        <f t="shared" si="25"/>
        <v>-3.240190514</v>
      </c>
      <c r="AO799" s="120">
        <f t="shared" si="26"/>
        <v>-6.395549135</v>
      </c>
      <c r="AP799" s="120" t="str">
        <f t="array" ref="AP799">INDIRECT("Update"&amp;Projections!$AH$17&amp;"!S"&amp;ROW(B780))</f>
        <v/>
      </c>
      <c r="AQ799" s="120" t="str">
        <f t="array" ref="AQ799">INDIRECT("Update"&amp;Projections!$AH$17&amp;"!T"&amp;ROW(B780))</f>
        <v/>
      </c>
      <c r="AR799" s="100">
        <f t="shared" si="27"/>
        <v>-9.965301026</v>
      </c>
    </row>
    <row r="800">
      <c r="A800" t="str">
        <f t="shared" si="3"/>
        <v/>
      </c>
      <c r="B800" s="42">
        <f t="shared" si="4"/>
        <v>-3.155358621</v>
      </c>
      <c r="C800" s="43">
        <f t="shared" si="5"/>
        <v>-1.740686581</v>
      </c>
      <c r="D800" s="42">
        <f t="shared" si="6"/>
        <v>-2.380599106</v>
      </c>
      <c r="E800" s="42">
        <f t="shared" si="7"/>
        <v>-1.79320266</v>
      </c>
      <c r="F800" s="42">
        <f t="shared" si="8"/>
        <v>-3.240190514</v>
      </c>
      <c r="G800" s="42">
        <f t="shared" si="9"/>
        <v>-1.329092151</v>
      </c>
      <c r="H800" s="42">
        <f t="shared" si="10"/>
        <v>0</v>
      </c>
      <c r="I800" s="42" t="str">
        <f>UpdateHashtag!S798</f>
        <v/>
      </c>
      <c r="J800" s="47">
        <f t="shared" si="11"/>
        <v>0</v>
      </c>
      <c r="K800" s="48" t="str">
        <f>UpdateHashtag!T798</f>
        <v/>
      </c>
      <c r="L800" s="42">
        <f t="shared" si="12"/>
        <v>-1.734552372</v>
      </c>
      <c r="N800" s="100">
        <f t="shared" si="13"/>
        <v>401</v>
      </c>
      <c r="O800" s="94" t="str">
        <f t="array" ref="O800">INDIRECT("Update"&amp;Projections!$AH$17&amp;"!B"&amp;ROW(B781))</f>
        <v/>
      </c>
      <c r="P800" s="414" t="str">
        <f t="array" ref="P800">INDIRECT("Update"&amp;Projections!$AH$17&amp;"!C"&amp;ROW(B781))</f>
        <v/>
      </c>
      <c r="Q800" s="94" t="str">
        <f>UpdateHashtag!F830</f>
        <v/>
      </c>
      <c r="R800" s="105" t="str">
        <f t="array" ref="R800">INDIRECT("Update"&amp;Projections!$AH$17&amp;"!D"&amp;ROW(B781))</f>
        <v/>
      </c>
      <c r="S800" s="73">
        <f t="shared" si="14"/>
        <v>-9.965301026</v>
      </c>
      <c r="T800" s="73">
        <f>SUM(AE800:AM800)-IFERROR(IFS(Projections!$I$17,AN800,Projections!$J$17,AO800),"")</f>
        <v>-9.965301026</v>
      </c>
      <c r="U800" s="73">
        <f t="shared" si="15"/>
        <v>0</v>
      </c>
      <c r="V800" s="73" t="str">
        <f t="array" ref="V800">INDIRECT("Update"&amp;Projections!$AH$17&amp;"!M"&amp;ROW(B781))</f>
        <v/>
      </c>
      <c r="W800" s="73" t="str">
        <f t="array" ref="W800">INDIRECT("Update"&amp;Projections!$AH$17&amp;"!L"&amp;ROW(B781))</f>
        <v/>
      </c>
      <c r="X800" s="73" t="str">
        <f t="array" ref="X800">INDIRECT("Update"&amp;Projections!$AH$17&amp;"!N"&amp;ROW(B781))</f>
        <v/>
      </c>
      <c r="Y800" s="73" t="str">
        <f t="array" ref="Y800">INDIRECT("Update"&amp;Projections!$AH$17&amp;"!O"&amp;ROW(B781))</f>
        <v/>
      </c>
      <c r="Z800" s="73" t="str">
        <f t="array" ref="Z800">INDIRECT("Update"&amp;Projections!$AH$17&amp;"!P"&amp;ROW(B781))</f>
        <v/>
      </c>
      <c r="AA800" s="73" t="str">
        <f t="array" ref="AA800">INDIRECT("Update"&amp;Projections!$AH$17&amp;"!Q"&amp;ROW(B781))</f>
        <v/>
      </c>
      <c r="AB800" s="107" t="str">
        <f t="array" ref="AB800">INDIRECT("Update"&amp;Projections!$AH$17&amp;"!I"&amp;ROW(B781))</f>
        <v/>
      </c>
      <c r="AC800" s="107" t="str">
        <f t="array" ref="AC800">INDIRECT("Update"&amp;Projections!$AH$17&amp;"!K"&amp;ROW(B781))</f>
        <v/>
      </c>
      <c r="AD800" s="73" t="str">
        <f t="array" ref="AD800">INDIRECT("Update"&amp;Projections!$AH$17&amp;"!R"&amp;ROW(B781))</f>
        <v/>
      </c>
      <c r="AE800" s="73">
        <f t="shared" si="16"/>
        <v>-3.155358621</v>
      </c>
      <c r="AF800" s="73">
        <f t="shared" si="17"/>
        <v>-1.740686581</v>
      </c>
      <c r="AG800" s="73">
        <f t="shared" si="18"/>
        <v>-2.380599106</v>
      </c>
      <c r="AH800" s="73">
        <f t="shared" si="19"/>
        <v>-1.79320266</v>
      </c>
      <c r="AI800" s="73">
        <f t="shared" si="20"/>
        <v>-3.240190514</v>
      </c>
      <c r="AJ800" s="73">
        <f t="shared" si="21"/>
        <v>-1.329092151</v>
      </c>
      <c r="AK800" s="73">
        <f t="shared" si="22"/>
        <v>0</v>
      </c>
      <c r="AL800" s="73">
        <f t="shared" si="23"/>
        <v>0</v>
      </c>
      <c r="AM800" s="73">
        <f t="shared" si="24"/>
        <v>0.433638093</v>
      </c>
      <c r="AN800" s="120">
        <f t="shared" si="25"/>
        <v>-3.240190514</v>
      </c>
      <c r="AO800" s="120">
        <f t="shared" si="26"/>
        <v>-6.395549135</v>
      </c>
      <c r="AP800" s="120" t="str">
        <f t="array" ref="AP800">INDIRECT("Update"&amp;Projections!$AH$17&amp;"!S"&amp;ROW(B781))</f>
        <v/>
      </c>
      <c r="AQ800" s="120" t="str">
        <f t="array" ref="AQ800">INDIRECT("Update"&amp;Projections!$AH$17&amp;"!T"&amp;ROW(B781))</f>
        <v/>
      </c>
      <c r="AR800" s="100">
        <f t="shared" si="27"/>
        <v>-9.965301026</v>
      </c>
    </row>
    <row r="801">
      <c r="A801" t="str">
        <f t="shared" si="3"/>
        <v/>
      </c>
      <c r="B801" s="42">
        <f t="shared" si="4"/>
        <v>-3.155358621</v>
      </c>
      <c r="C801" s="43">
        <f t="shared" si="5"/>
        <v>-1.740686581</v>
      </c>
      <c r="D801" s="42">
        <f t="shared" si="6"/>
        <v>-2.380599106</v>
      </c>
      <c r="E801" s="42">
        <f t="shared" si="7"/>
        <v>-1.79320266</v>
      </c>
      <c r="F801" s="42">
        <f t="shared" si="8"/>
        <v>-3.240190514</v>
      </c>
      <c r="G801" s="42">
        <f t="shared" si="9"/>
        <v>-1.329092151</v>
      </c>
      <c r="H801" s="42">
        <f t="shared" si="10"/>
        <v>0</v>
      </c>
      <c r="I801" s="42" t="str">
        <f>UpdateHashtag!S799</f>
        <v/>
      </c>
      <c r="J801" s="47">
        <f t="shared" si="11"/>
        <v>0</v>
      </c>
      <c r="K801" s="48" t="str">
        <f>UpdateHashtag!T799</f>
        <v/>
      </c>
      <c r="L801" s="42">
        <f t="shared" si="12"/>
        <v>-1.734552372</v>
      </c>
      <c r="N801" s="100">
        <f t="shared" si="13"/>
        <v>401</v>
      </c>
      <c r="O801" s="94" t="str">
        <f t="array" ref="O801">INDIRECT("Update"&amp;Projections!$AH$17&amp;"!B"&amp;ROW(B782))</f>
        <v/>
      </c>
      <c r="P801" s="414" t="str">
        <f t="array" ref="P801">INDIRECT("Update"&amp;Projections!$AH$17&amp;"!C"&amp;ROW(B782))</f>
        <v/>
      </c>
      <c r="Q801" s="94" t="str">
        <f>UpdateHashtag!F831</f>
        <v/>
      </c>
      <c r="R801" s="105" t="str">
        <f t="array" ref="R801">INDIRECT("Update"&amp;Projections!$AH$17&amp;"!D"&amp;ROW(B782))</f>
        <v/>
      </c>
      <c r="S801" s="73">
        <f t="shared" si="14"/>
        <v>-9.965301026</v>
      </c>
      <c r="T801" s="73">
        <f>SUM(AE801:AM801)-IFERROR(IFS(Projections!$I$17,AN801,Projections!$J$17,AO801),"")</f>
        <v>-9.965301026</v>
      </c>
      <c r="U801" s="73">
        <f t="shared" si="15"/>
        <v>0</v>
      </c>
      <c r="V801" s="73" t="str">
        <f t="array" ref="V801">INDIRECT("Update"&amp;Projections!$AH$17&amp;"!M"&amp;ROW(B782))</f>
        <v/>
      </c>
      <c r="W801" s="73" t="str">
        <f t="array" ref="W801">INDIRECT("Update"&amp;Projections!$AH$17&amp;"!L"&amp;ROW(B782))</f>
        <v/>
      </c>
      <c r="X801" s="73" t="str">
        <f t="array" ref="X801">INDIRECT("Update"&amp;Projections!$AH$17&amp;"!N"&amp;ROW(B782))</f>
        <v/>
      </c>
      <c r="Y801" s="73" t="str">
        <f t="array" ref="Y801">INDIRECT("Update"&amp;Projections!$AH$17&amp;"!O"&amp;ROW(B782))</f>
        <v/>
      </c>
      <c r="Z801" s="73" t="str">
        <f t="array" ref="Z801">INDIRECT("Update"&amp;Projections!$AH$17&amp;"!P"&amp;ROW(B782))</f>
        <v/>
      </c>
      <c r="AA801" s="73" t="str">
        <f t="array" ref="AA801">INDIRECT("Update"&amp;Projections!$AH$17&amp;"!Q"&amp;ROW(B782))</f>
        <v/>
      </c>
      <c r="AB801" s="107" t="str">
        <f t="array" ref="AB801">INDIRECT("Update"&amp;Projections!$AH$17&amp;"!I"&amp;ROW(B782))</f>
        <v/>
      </c>
      <c r="AC801" s="107" t="str">
        <f t="array" ref="AC801">INDIRECT("Update"&amp;Projections!$AH$17&amp;"!K"&amp;ROW(B782))</f>
        <v/>
      </c>
      <c r="AD801" s="73" t="str">
        <f t="array" ref="AD801">INDIRECT("Update"&amp;Projections!$AH$17&amp;"!R"&amp;ROW(B782))</f>
        <v/>
      </c>
      <c r="AE801" s="73">
        <f t="shared" si="16"/>
        <v>-3.155358621</v>
      </c>
      <c r="AF801" s="73">
        <f t="shared" si="17"/>
        <v>-1.740686581</v>
      </c>
      <c r="AG801" s="73">
        <f t="shared" si="18"/>
        <v>-2.380599106</v>
      </c>
      <c r="AH801" s="73">
        <f t="shared" si="19"/>
        <v>-1.79320266</v>
      </c>
      <c r="AI801" s="73">
        <f t="shared" si="20"/>
        <v>-3.240190514</v>
      </c>
      <c r="AJ801" s="73">
        <f t="shared" si="21"/>
        <v>-1.329092151</v>
      </c>
      <c r="AK801" s="73">
        <f t="shared" si="22"/>
        <v>0</v>
      </c>
      <c r="AL801" s="73">
        <f t="shared" si="23"/>
        <v>0</v>
      </c>
      <c r="AM801" s="73">
        <f t="shared" si="24"/>
        <v>0.433638093</v>
      </c>
      <c r="AN801" s="120">
        <f t="shared" si="25"/>
        <v>-3.240190514</v>
      </c>
      <c r="AO801" s="120">
        <f t="shared" si="26"/>
        <v>-6.395549135</v>
      </c>
      <c r="AP801" s="120" t="str">
        <f t="array" ref="AP801">INDIRECT("Update"&amp;Projections!$AH$17&amp;"!S"&amp;ROW(B782))</f>
        <v/>
      </c>
      <c r="AQ801" s="120" t="str">
        <f t="array" ref="AQ801">INDIRECT("Update"&amp;Projections!$AH$17&amp;"!T"&amp;ROW(B782))</f>
        <v/>
      </c>
      <c r="AR801" s="100">
        <f t="shared" si="27"/>
        <v>-9.965301026</v>
      </c>
    </row>
    <row r="802">
      <c r="A802" t="str">
        <f t="shared" si="3"/>
        <v/>
      </c>
      <c r="B802" s="42">
        <f t="shared" si="4"/>
        <v>-3.155358621</v>
      </c>
      <c r="C802" s="43">
        <f t="shared" si="5"/>
        <v>-1.740686581</v>
      </c>
      <c r="D802" s="42">
        <f t="shared" si="6"/>
        <v>-2.380599106</v>
      </c>
      <c r="E802" s="42">
        <f t="shared" si="7"/>
        <v>-1.79320266</v>
      </c>
      <c r="F802" s="42">
        <f t="shared" si="8"/>
        <v>-3.240190514</v>
      </c>
      <c r="G802" s="42">
        <f t="shared" si="9"/>
        <v>-1.329092151</v>
      </c>
      <c r="H802" s="42">
        <f t="shared" si="10"/>
        <v>0</v>
      </c>
      <c r="I802" s="42" t="str">
        <f>UpdateHashtag!S800</f>
        <v/>
      </c>
      <c r="J802" s="47">
        <f t="shared" si="11"/>
        <v>0</v>
      </c>
      <c r="K802" s="48" t="str">
        <f>UpdateHashtag!T800</f>
        <v/>
      </c>
      <c r="L802" s="42">
        <f t="shared" si="12"/>
        <v>-1.734552372</v>
      </c>
      <c r="N802" s="100">
        <f t="shared" si="13"/>
        <v>401</v>
      </c>
      <c r="O802" s="94" t="str">
        <f t="array" ref="O802">INDIRECT("Update"&amp;Projections!$AH$17&amp;"!B"&amp;ROW(B783))</f>
        <v/>
      </c>
      <c r="P802" s="414" t="str">
        <f t="array" ref="P802">INDIRECT("Update"&amp;Projections!$AH$17&amp;"!C"&amp;ROW(B783))</f>
        <v/>
      </c>
      <c r="Q802" s="94" t="str">
        <f>UpdateHashtag!F832</f>
        <v/>
      </c>
      <c r="R802" s="105" t="str">
        <f t="array" ref="R802">INDIRECT("Update"&amp;Projections!$AH$17&amp;"!D"&amp;ROW(B783))</f>
        <v/>
      </c>
      <c r="S802" s="73">
        <f t="shared" si="14"/>
        <v>-9.965301026</v>
      </c>
      <c r="T802" s="73">
        <f>SUM(AE802:AM802)-IFERROR(IFS(Projections!$I$17,AN802,Projections!$J$17,AO802),"")</f>
        <v>-9.965301026</v>
      </c>
      <c r="U802" s="73">
        <f t="shared" si="15"/>
        <v>0</v>
      </c>
      <c r="V802" s="73" t="str">
        <f t="array" ref="V802">INDIRECT("Update"&amp;Projections!$AH$17&amp;"!M"&amp;ROW(B783))</f>
        <v/>
      </c>
      <c r="W802" s="73" t="str">
        <f t="array" ref="W802">INDIRECT("Update"&amp;Projections!$AH$17&amp;"!L"&amp;ROW(B783))</f>
        <v/>
      </c>
      <c r="X802" s="73" t="str">
        <f t="array" ref="X802">INDIRECT("Update"&amp;Projections!$AH$17&amp;"!N"&amp;ROW(B783))</f>
        <v/>
      </c>
      <c r="Y802" s="73" t="str">
        <f t="array" ref="Y802">INDIRECT("Update"&amp;Projections!$AH$17&amp;"!O"&amp;ROW(B783))</f>
        <v/>
      </c>
      <c r="Z802" s="73" t="str">
        <f t="array" ref="Z802">INDIRECT("Update"&amp;Projections!$AH$17&amp;"!P"&amp;ROW(B783))</f>
        <v/>
      </c>
      <c r="AA802" s="73" t="str">
        <f t="array" ref="AA802">INDIRECT("Update"&amp;Projections!$AH$17&amp;"!Q"&amp;ROW(B783))</f>
        <v/>
      </c>
      <c r="AB802" s="107" t="str">
        <f t="array" ref="AB802">INDIRECT("Update"&amp;Projections!$AH$17&amp;"!I"&amp;ROW(B783))</f>
        <v/>
      </c>
      <c r="AC802" s="107" t="str">
        <f t="array" ref="AC802">INDIRECT("Update"&amp;Projections!$AH$17&amp;"!K"&amp;ROW(B783))</f>
        <v/>
      </c>
      <c r="AD802" s="73" t="str">
        <f t="array" ref="AD802">INDIRECT("Update"&amp;Projections!$AH$17&amp;"!R"&amp;ROW(B783))</f>
        <v/>
      </c>
      <c r="AE802" s="73">
        <f t="shared" si="16"/>
        <v>-3.155358621</v>
      </c>
      <c r="AF802" s="73">
        <f t="shared" si="17"/>
        <v>-1.740686581</v>
      </c>
      <c r="AG802" s="73">
        <f t="shared" si="18"/>
        <v>-2.380599106</v>
      </c>
      <c r="AH802" s="73">
        <f t="shared" si="19"/>
        <v>-1.79320266</v>
      </c>
      <c r="AI802" s="73">
        <f t="shared" si="20"/>
        <v>-3.240190514</v>
      </c>
      <c r="AJ802" s="73">
        <f t="shared" si="21"/>
        <v>-1.329092151</v>
      </c>
      <c r="AK802" s="73">
        <f t="shared" si="22"/>
        <v>0</v>
      </c>
      <c r="AL802" s="73">
        <f t="shared" si="23"/>
        <v>0</v>
      </c>
      <c r="AM802" s="73">
        <f t="shared" si="24"/>
        <v>0.433638093</v>
      </c>
      <c r="AN802" s="120">
        <f t="shared" si="25"/>
        <v>-3.240190514</v>
      </c>
      <c r="AO802" s="120">
        <f t="shared" si="26"/>
        <v>-6.395549135</v>
      </c>
      <c r="AP802" s="120" t="str">
        <f t="array" ref="AP802">INDIRECT("Update"&amp;Projections!$AH$17&amp;"!S"&amp;ROW(B783))</f>
        <v/>
      </c>
      <c r="AQ802" s="120" t="str">
        <f t="array" ref="AQ802">INDIRECT("Update"&amp;Projections!$AH$17&amp;"!T"&amp;ROW(B783))</f>
        <v/>
      </c>
      <c r="AR802" s="100">
        <f t="shared" si="27"/>
        <v>-9.965301026</v>
      </c>
    </row>
    <row r="803">
      <c r="A803" t="str">
        <f t="shared" si="3"/>
        <v/>
      </c>
      <c r="B803" s="42">
        <f t="shared" si="4"/>
        <v>-3.155358621</v>
      </c>
      <c r="C803" s="43">
        <f t="shared" si="5"/>
        <v>-1.740686581</v>
      </c>
      <c r="D803" s="42">
        <f t="shared" si="6"/>
        <v>-2.380599106</v>
      </c>
      <c r="E803" s="42">
        <f t="shared" si="7"/>
        <v>-1.79320266</v>
      </c>
      <c r="F803" s="42">
        <f t="shared" si="8"/>
        <v>-3.240190514</v>
      </c>
      <c r="G803" s="42">
        <f t="shared" si="9"/>
        <v>-1.329092151</v>
      </c>
      <c r="H803" s="42">
        <f t="shared" si="10"/>
        <v>0</v>
      </c>
      <c r="I803" s="42" t="str">
        <f>UpdateHashtag!S801</f>
        <v/>
      </c>
      <c r="J803" s="47">
        <f t="shared" si="11"/>
        <v>0</v>
      </c>
      <c r="K803" s="48" t="str">
        <f>UpdateHashtag!T801</f>
        <v/>
      </c>
      <c r="L803" s="42">
        <f t="shared" si="12"/>
        <v>-1.734552372</v>
      </c>
      <c r="N803" s="100">
        <f t="shared" si="13"/>
        <v>401</v>
      </c>
      <c r="O803" s="94" t="str">
        <f t="array" ref="O803">INDIRECT("Update"&amp;Projections!$AH$17&amp;"!B"&amp;ROW(B784))</f>
        <v/>
      </c>
      <c r="P803" s="414" t="str">
        <f t="array" ref="P803">INDIRECT("Update"&amp;Projections!$AH$17&amp;"!C"&amp;ROW(B784))</f>
        <v/>
      </c>
      <c r="Q803" s="94" t="str">
        <f>UpdateHashtag!F833</f>
        <v/>
      </c>
      <c r="R803" s="105" t="str">
        <f t="array" ref="R803">INDIRECT("Update"&amp;Projections!$AH$17&amp;"!D"&amp;ROW(B784))</f>
        <v/>
      </c>
      <c r="S803" s="73">
        <f t="shared" si="14"/>
        <v>-9.965301026</v>
      </c>
      <c r="T803" s="73">
        <f>SUM(AE803:AM803)-IFERROR(IFS(Projections!$I$17,AN803,Projections!$J$17,AO803),"")</f>
        <v>-9.965301026</v>
      </c>
      <c r="U803" s="73">
        <f t="shared" si="15"/>
        <v>0</v>
      </c>
      <c r="V803" s="73" t="str">
        <f t="array" ref="V803">INDIRECT("Update"&amp;Projections!$AH$17&amp;"!M"&amp;ROW(B784))</f>
        <v/>
      </c>
      <c r="W803" s="73" t="str">
        <f t="array" ref="W803">INDIRECT("Update"&amp;Projections!$AH$17&amp;"!L"&amp;ROW(B784))</f>
        <v/>
      </c>
      <c r="X803" s="73" t="str">
        <f t="array" ref="X803">INDIRECT("Update"&amp;Projections!$AH$17&amp;"!N"&amp;ROW(B784))</f>
        <v/>
      </c>
      <c r="Y803" s="73" t="str">
        <f t="array" ref="Y803">INDIRECT("Update"&amp;Projections!$AH$17&amp;"!O"&amp;ROW(B784))</f>
        <v/>
      </c>
      <c r="Z803" s="73" t="str">
        <f t="array" ref="Z803">INDIRECT("Update"&amp;Projections!$AH$17&amp;"!P"&amp;ROW(B784))</f>
        <v/>
      </c>
      <c r="AA803" s="73" t="str">
        <f t="array" ref="AA803">INDIRECT("Update"&amp;Projections!$AH$17&amp;"!Q"&amp;ROW(B784))</f>
        <v/>
      </c>
      <c r="AB803" s="107" t="str">
        <f t="array" ref="AB803">INDIRECT("Update"&amp;Projections!$AH$17&amp;"!I"&amp;ROW(B784))</f>
        <v/>
      </c>
      <c r="AC803" s="107" t="str">
        <f t="array" ref="AC803">INDIRECT("Update"&amp;Projections!$AH$17&amp;"!K"&amp;ROW(B784))</f>
        <v/>
      </c>
      <c r="AD803" s="73" t="str">
        <f t="array" ref="AD803">INDIRECT("Update"&amp;Projections!$AH$17&amp;"!R"&amp;ROW(B784))</f>
        <v/>
      </c>
      <c r="AE803" s="73">
        <f t="shared" si="16"/>
        <v>-3.155358621</v>
      </c>
      <c r="AF803" s="73">
        <f t="shared" si="17"/>
        <v>-1.740686581</v>
      </c>
      <c r="AG803" s="73">
        <f t="shared" si="18"/>
        <v>-2.380599106</v>
      </c>
      <c r="AH803" s="73">
        <f t="shared" si="19"/>
        <v>-1.79320266</v>
      </c>
      <c r="AI803" s="73">
        <f t="shared" si="20"/>
        <v>-3.240190514</v>
      </c>
      <c r="AJ803" s="73">
        <f t="shared" si="21"/>
        <v>-1.329092151</v>
      </c>
      <c r="AK803" s="73">
        <f t="shared" si="22"/>
        <v>0</v>
      </c>
      <c r="AL803" s="73">
        <f t="shared" si="23"/>
        <v>0</v>
      </c>
      <c r="AM803" s="73">
        <f t="shared" si="24"/>
        <v>0.433638093</v>
      </c>
      <c r="AN803" s="120">
        <f t="shared" si="25"/>
        <v>-3.240190514</v>
      </c>
      <c r="AO803" s="120">
        <f t="shared" si="26"/>
        <v>-6.395549135</v>
      </c>
      <c r="AP803" s="120" t="str">
        <f t="array" ref="AP803">INDIRECT("Update"&amp;Projections!$AH$17&amp;"!S"&amp;ROW(B784))</f>
        <v/>
      </c>
      <c r="AQ803" s="120" t="str">
        <f t="array" ref="AQ803">INDIRECT("Update"&amp;Projections!$AH$17&amp;"!T"&amp;ROW(B784))</f>
        <v/>
      </c>
      <c r="AR803" s="100">
        <f t="shared" si="27"/>
        <v>-9.965301026</v>
      </c>
    </row>
    <row r="804">
      <c r="A804" t="str">
        <f t="shared" si="3"/>
        <v/>
      </c>
      <c r="B804" s="42">
        <f t="shared" si="4"/>
        <v>-3.155358621</v>
      </c>
      <c r="C804" s="43">
        <f t="shared" si="5"/>
        <v>-1.740686581</v>
      </c>
      <c r="D804" s="42">
        <f t="shared" si="6"/>
        <v>-2.380599106</v>
      </c>
      <c r="E804" s="42">
        <f t="shared" si="7"/>
        <v>-1.79320266</v>
      </c>
      <c r="F804" s="42">
        <f t="shared" si="8"/>
        <v>-3.240190514</v>
      </c>
      <c r="G804" s="42">
        <f t="shared" si="9"/>
        <v>-1.329092151</v>
      </c>
      <c r="H804" s="42">
        <f t="shared" si="10"/>
        <v>0</v>
      </c>
      <c r="I804" s="42" t="str">
        <f>UpdateHashtag!S802</f>
        <v/>
      </c>
      <c r="J804" s="47">
        <f t="shared" si="11"/>
        <v>0</v>
      </c>
      <c r="K804" s="48" t="str">
        <f>UpdateHashtag!T802</f>
        <v/>
      </c>
      <c r="L804" s="42">
        <f t="shared" si="12"/>
        <v>-1.734552372</v>
      </c>
      <c r="N804" s="100">
        <f t="shared" si="13"/>
        <v>401</v>
      </c>
      <c r="O804" s="94" t="str">
        <f t="array" ref="O804">INDIRECT("Update"&amp;Projections!$AH$17&amp;"!B"&amp;ROW(B785))</f>
        <v/>
      </c>
      <c r="P804" s="414" t="str">
        <f t="array" ref="P804">INDIRECT("Update"&amp;Projections!$AH$17&amp;"!C"&amp;ROW(B785))</f>
        <v/>
      </c>
      <c r="Q804" s="94" t="str">
        <f>UpdateHashtag!F834</f>
        <v/>
      </c>
      <c r="R804" s="105" t="str">
        <f t="array" ref="R804">INDIRECT("Update"&amp;Projections!$AH$17&amp;"!D"&amp;ROW(B785))</f>
        <v/>
      </c>
      <c r="S804" s="73">
        <f t="shared" si="14"/>
        <v>-9.965301026</v>
      </c>
      <c r="T804" s="73">
        <f>SUM(AE804:AM804)-IFERROR(IFS(Projections!$I$17,AN804,Projections!$J$17,AO804),"")</f>
        <v>-9.965301026</v>
      </c>
      <c r="U804" s="73">
        <f t="shared" si="15"/>
        <v>0</v>
      </c>
      <c r="V804" s="73" t="str">
        <f t="array" ref="V804">INDIRECT("Update"&amp;Projections!$AH$17&amp;"!M"&amp;ROW(B785))</f>
        <v/>
      </c>
      <c r="W804" s="73" t="str">
        <f t="array" ref="W804">INDIRECT("Update"&amp;Projections!$AH$17&amp;"!L"&amp;ROW(B785))</f>
        <v/>
      </c>
      <c r="X804" s="73" t="str">
        <f t="array" ref="X804">INDIRECT("Update"&amp;Projections!$AH$17&amp;"!N"&amp;ROW(B785))</f>
        <v/>
      </c>
      <c r="Y804" s="73" t="str">
        <f t="array" ref="Y804">INDIRECT("Update"&amp;Projections!$AH$17&amp;"!O"&amp;ROW(B785))</f>
        <v/>
      </c>
      <c r="Z804" s="73" t="str">
        <f t="array" ref="Z804">INDIRECT("Update"&amp;Projections!$AH$17&amp;"!P"&amp;ROW(B785))</f>
        <v/>
      </c>
      <c r="AA804" s="73" t="str">
        <f t="array" ref="AA804">INDIRECT("Update"&amp;Projections!$AH$17&amp;"!Q"&amp;ROW(B785))</f>
        <v/>
      </c>
      <c r="AB804" s="107" t="str">
        <f t="array" ref="AB804">INDIRECT("Update"&amp;Projections!$AH$17&amp;"!I"&amp;ROW(B785))</f>
        <v/>
      </c>
      <c r="AC804" s="107" t="str">
        <f t="array" ref="AC804">INDIRECT("Update"&amp;Projections!$AH$17&amp;"!K"&amp;ROW(B785))</f>
        <v/>
      </c>
      <c r="AD804" s="73" t="str">
        <f t="array" ref="AD804">INDIRECT("Update"&amp;Projections!$AH$17&amp;"!R"&amp;ROW(B785))</f>
        <v/>
      </c>
      <c r="AE804" s="73">
        <f t="shared" si="16"/>
        <v>-3.155358621</v>
      </c>
      <c r="AF804" s="73">
        <f t="shared" si="17"/>
        <v>-1.740686581</v>
      </c>
      <c r="AG804" s="73">
        <f t="shared" si="18"/>
        <v>-2.380599106</v>
      </c>
      <c r="AH804" s="73">
        <f t="shared" si="19"/>
        <v>-1.79320266</v>
      </c>
      <c r="AI804" s="73">
        <f t="shared" si="20"/>
        <v>-3.240190514</v>
      </c>
      <c r="AJ804" s="73">
        <f t="shared" si="21"/>
        <v>-1.329092151</v>
      </c>
      <c r="AK804" s="73">
        <f t="shared" si="22"/>
        <v>0</v>
      </c>
      <c r="AL804" s="73">
        <f t="shared" si="23"/>
        <v>0</v>
      </c>
      <c r="AM804" s="73">
        <f t="shared" si="24"/>
        <v>0.433638093</v>
      </c>
      <c r="AN804" s="120">
        <f t="shared" si="25"/>
        <v>-3.240190514</v>
      </c>
      <c r="AO804" s="120">
        <f t="shared" si="26"/>
        <v>-6.395549135</v>
      </c>
      <c r="AP804" s="120" t="str">
        <f t="array" ref="AP804">INDIRECT("Update"&amp;Projections!$AH$17&amp;"!S"&amp;ROW(B785))</f>
        <v/>
      </c>
      <c r="AQ804" s="120" t="str">
        <f t="array" ref="AQ804">INDIRECT("Update"&amp;Projections!$AH$17&amp;"!T"&amp;ROW(B785))</f>
        <v/>
      </c>
      <c r="AR804" s="100">
        <f t="shared" si="27"/>
        <v>-9.965301026</v>
      </c>
    </row>
    <row r="805">
      <c r="A805" t="str">
        <f t="shared" si="3"/>
        <v/>
      </c>
      <c r="B805" s="42">
        <f t="shared" si="4"/>
        <v>-3.155358621</v>
      </c>
      <c r="C805" s="43">
        <f t="shared" si="5"/>
        <v>-1.740686581</v>
      </c>
      <c r="D805" s="42">
        <f t="shared" si="6"/>
        <v>-2.380599106</v>
      </c>
      <c r="E805" s="42">
        <f t="shared" si="7"/>
        <v>-1.79320266</v>
      </c>
      <c r="F805" s="42">
        <f t="shared" si="8"/>
        <v>-3.240190514</v>
      </c>
      <c r="G805" s="42">
        <f t="shared" si="9"/>
        <v>-1.329092151</v>
      </c>
      <c r="H805" s="42">
        <f t="shared" si="10"/>
        <v>0</v>
      </c>
      <c r="I805" s="42" t="str">
        <f>UpdateHashtag!S803</f>
        <v/>
      </c>
      <c r="J805" s="47">
        <f t="shared" si="11"/>
        <v>0</v>
      </c>
      <c r="K805" s="48" t="str">
        <f>UpdateHashtag!T803</f>
        <v/>
      </c>
      <c r="L805" s="42">
        <f t="shared" si="12"/>
        <v>-1.734552372</v>
      </c>
      <c r="N805" s="100">
        <f t="shared" si="13"/>
        <v>401</v>
      </c>
      <c r="O805" s="94" t="str">
        <f t="array" ref="O805">INDIRECT("Update"&amp;Projections!$AH$17&amp;"!B"&amp;ROW(B786))</f>
        <v/>
      </c>
      <c r="P805" s="414" t="str">
        <f t="array" ref="P805">INDIRECT("Update"&amp;Projections!$AH$17&amp;"!C"&amp;ROW(B786))</f>
        <v/>
      </c>
      <c r="Q805" s="94" t="str">
        <f>UpdateHashtag!F835</f>
        <v/>
      </c>
      <c r="R805" s="105" t="str">
        <f t="array" ref="R805">INDIRECT("Update"&amp;Projections!$AH$17&amp;"!D"&amp;ROW(B786))</f>
        <v/>
      </c>
      <c r="S805" s="73">
        <f t="shared" si="14"/>
        <v>-9.965301026</v>
      </c>
      <c r="T805" s="73">
        <f>SUM(AE805:AM805)-IFERROR(IFS(Projections!$I$17,AN805,Projections!$J$17,AO805),"")</f>
        <v>-9.965301026</v>
      </c>
      <c r="U805" s="73">
        <f t="shared" si="15"/>
        <v>0</v>
      </c>
      <c r="V805" s="73" t="str">
        <f t="array" ref="V805">INDIRECT("Update"&amp;Projections!$AH$17&amp;"!M"&amp;ROW(B786))</f>
        <v/>
      </c>
      <c r="W805" s="73" t="str">
        <f t="array" ref="W805">INDIRECT("Update"&amp;Projections!$AH$17&amp;"!L"&amp;ROW(B786))</f>
        <v/>
      </c>
      <c r="X805" s="73" t="str">
        <f t="array" ref="X805">INDIRECT("Update"&amp;Projections!$AH$17&amp;"!N"&amp;ROW(B786))</f>
        <v/>
      </c>
      <c r="Y805" s="73" t="str">
        <f t="array" ref="Y805">INDIRECT("Update"&amp;Projections!$AH$17&amp;"!O"&amp;ROW(B786))</f>
        <v/>
      </c>
      <c r="Z805" s="73" t="str">
        <f t="array" ref="Z805">INDIRECT("Update"&amp;Projections!$AH$17&amp;"!P"&amp;ROW(B786))</f>
        <v/>
      </c>
      <c r="AA805" s="73" t="str">
        <f t="array" ref="AA805">INDIRECT("Update"&amp;Projections!$AH$17&amp;"!Q"&amp;ROW(B786))</f>
        <v/>
      </c>
      <c r="AB805" s="107" t="str">
        <f t="array" ref="AB805">INDIRECT("Update"&amp;Projections!$AH$17&amp;"!I"&amp;ROW(B786))</f>
        <v/>
      </c>
      <c r="AC805" s="107" t="str">
        <f t="array" ref="AC805">INDIRECT("Update"&amp;Projections!$AH$17&amp;"!K"&amp;ROW(B786))</f>
        <v/>
      </c>
      <c r="AD805" s="73" t="str">
        <f t="array" ref="AD805">INDIRECT("Update"&amp;Projections!$AH$17&amp;"!R"&amp;ROW(B786))</f>
        <v/>
      </c>
      <c r="AE805" s="73">
        <f t="shared" si="16"/>
        <v>-3.155358621</v>
      </c>
      <c r="AF805" s="73">
        <f t="shared" si="17"/>
        <v>-1.740686581</v>
      </c>
      <c r="AG805" s="73">
        <f t="shared" si="18"/>
        <v>-2.380599106</v>
      </c>
      <c r="AH805" s="73">
        <f t="shared" si="19"/>
        <v>-1.79320266</v>
      </c>
      <c r="AI805" s="73">
        <f t="shared" si="20"/>
        <v>-3.240190514</v>
      </c>
      <c r="AJ805" s="73">
        <f t="shared" si="21"/>
        <v>-1.329092151</v>
      </c>
      <c r="AK805" s="73">
        <f t="shared" si="22"/>
        <v>0</v>
      </c>
      <c r="AL805" s="73">
        <f t="shared" si="23"/>
        <v>0</v>
      </c>
      <c r="AM805" s="73">
        <f t="shared" si="24"/>
        <v>0.433638093</v>
      </c>
      <c r="AN805" s="120">
        <f t="shared" si="25"/>
        <v>-3.240190514</v>
      </c>
      <c r="AO805" s="120">
        <f t="shared" si="26"/>
        <v>-6.395549135</v>
      </c>
      <c r="AP805" s="120" t="str">
        <f t="array" ref="AP805">INDIRECT("Update"&amp;Projections!$AH$17&amp;"!S"&amp;ROW(B786))</f>
        <v/>
      </c>
      <c r="AQ805" s="120" t="str">
        <f t="array" ref="AQ805">INDIRECT("Update"&amp;Projections!$AH$17&amp;"!T"&amp;ROW(B786))</f>
        <v/>
      </c>
      <c r="AR805" s="100">
        <f t="shared" si="27"/>
        <v>-9.965301026</v>
      </c>
    </row>
    <row r="806">
      <c r="A806" t="str">
        <f t="shared" si="3"/>
        <v/>
      </c>
      <c r="B806" s="42">
        <f t="shared" si="4"/>
        <v>-3.155358621</v>
      </c>
      <c r="C806" s="43">
        <f t="shared" si="5"/>
        <v>-1.740686581</v>
      </c>
      <c r="D806" s="42">
        <f t="shared" si="6"/>
        <v>-2.380599106</v>
      </c>
      <c r="E806" s="42">
        <f t="shared" si="7"/>
        <v>-1.79320266</v>
      </c>
      <c r="F806" s="42">
        <f t="shared" si="8"/>
        <v>-3.240190514</v>
      </c>
      <c r="G806" s="42">
        <f t="shared" si="9"/>
        <v>-1.329092151</v>
      </c>
      <c r="H806" s="42">
        <f t="shared" si="10"/>
        <v>0</v>
      </c>
      <c r="I806" s="42" t="str">
        <f>UpdateHashtag!S804</f>
        <v/>
      </c>
      <c r="J806" s="47">
        <f t="shared" si="11"/>
        <v>0</v>
      </c>
      <c r="K806" s="48" t="str">
        <f>UpdateHashtag!T804</f>
        <v/>
      </c>
      <c r="L806" s="42">
        <f t="shared" si="12"/>
        <v>-1.734552372</v>
      </c>
      <c r="N806" s="100">
        <f t="shared" si="13"/>
        <v>401</v>
      </c>
      <c r="O806" s="94" t="str">
        <f t="array" ref="O806">INDIRECT("Update"&amp;Projections!$AH$17&amp;"!B"&amp;ROW(B787))</f>
        <v/>
      </c>
      <c r="P806" s="414" t="str">
        <f t="array" ref="P806">INDIRECT("Update"&amp;Projections!$AH$17&amp;"!C"&amp;ROW(B787))</f>
        <v/>
      </c>
      <c r="Q806" s="94" t="str">
        <f>UpdateHashtag!F836</f>
        <v/>
      </c>
      <c r="R806" s="105" t="str">
        <f t="array" ref="R806">INDIRECT("Update"&amp;Projections!$AH$17&amp;"!D"&amp;ROW(B787))</f>
        <v/>
      </c>
      <c r="S806" s="73">
        <f t="shared" si="14"/>
        <v>-9.965301026</v>
      </c>
      <c r="T806" s="73">
        <f>SUM(AE806:AM806)-IFERROR(IFS(Projections!$I$17,AN806,Projections!$J$17,AO806),"")</f>
        <v>-9.965301026</v>
      </c>
      <c r="U806" s="73">
        <f t="shared" si="15"/>
        <v>0</v>
      </c>
      <c r="V806" s="73" t="str">
        <f t="array" ref="V806">INDIRECT("Update"&amp;Projections!$AH$17&amp;"!M"&amp;ROW(B787))</f>
        <v/>
      </c>
      <c r="W806" s="73" t="str">
        <f t="array" ref="W806">INDIRECT("Update"&amp;Projections!$AH$17&amp;"!L"&amp;ROW(B787))</f>
        <v/>
      </c>
      <c r="X806" s="73" t="str">
        <f t="array" ref="X806">INDIRECT("Update"&amp;Projections!$AH$17&amp;"!N"&amp;ROW(B787))</f>
        <v/>
      </c>
      <c r="Y806" s="73" t="str">
        <f t="array" ref="Y806">INDIRECT("Update"&amp;Projections!$AH$17&amp;"!O"&amp;ROW(B787))</f>
        <v/>
      </c>
      <c r="Z806" s="73" t="str">
        <f t="array" ref="Z806">INDIRECT("Update"&amp;Projections!$AH$17&amp;"!P"&amp;ROW(B787))</f>
        <v/>
      </c>
      <c r="AA806" s="73" t="str">
        <f t="array" ref="AA806">INDIRECT("Update"&amp;Projections!$AH$17&amp;"!Q"&amp;ROW(B787))</f>
        <v/>
      </c>
      <c r="AB806" s="107" t="str">
        <f t="array" ref="AB806">INDIRECT("Update"&amp;Projections!$AH$17&amp;"!I"&amp;ROW(B787))</f>
        <v/>
      </c>
      <c r="AC806" s="107" t="str">
        <f t="array" ref="AC806">INDIRECT("Update"&amp;Projections!$AH$17&amp;"!K"&amp;ROW(B787))</f>
        <v/>
      </c>
      <c r="AD806" s="73" t="str">
        <f t="array" ref="AD806">INDIRECT("Update"&amp;Projections!$AH$17&amp;"!R"&amp;ROW(B787))</f>
        <v/>
      </c>
      <c r="AE806" s="73">
        <f t="shared" si="16"/>
        <v>-3.155358621</v>
      </c>
      <c r="AF806" s="73">
        <f t="shared" si="17"/>
        <v>-1.740686581</v>
      </c>
      <c r="AG806" s="73">
        <f t="shared" si="18"/>
        <v>-2.380599106</v>
      </c>
      <c r="AH806" s="73">
        <f t="shared" si="19"/>
        <v>-1.79320266</v>
      </c>
      <c r="AI806" s="73">
        <f t="shared" si="20"/>
        <v>-3.240190514</v>
      </c>
      <c r="AJ806" s="73">
        <f t="shared" si="21"/>
        <v>-1.329092151</v>
      </c>
      <c r="AK806" s="73">
        <f t="shared" si="22"/>
        <v>0</v>
      </c>
      <c r="AL806" s="73">
        <f t="shared" si="23"/>
        <v>0</v>
      </c>
      <c r="AM806" s="73">
        <f t="shared" si="24"/>
        <v>0.433638093</v>
      </c>
      <c r="AN806" s="120">
        <f t="shared" si="25"/>
        <v>-3.240190514</v>
      </c>
      <c r="AO806" s="120">
        <f t="shared" si="26"/>
        <v>-6.395549135</v>
      </c>
      <c r="AP806" s="120" t="str">
        <f t="array" ref="AP806">INDIRECT("Update"&amp;Projections!$AH$17&amp;"!S"&amp;ROW(B787))</f>
        <v/>
      </c>
      <c r="AQ806" s="120" t="str">
        <f t="array" ref="AQ806">INDIRECT("Update"&amp;Projections!$AH$17&amp;"!T"&amp;ROW(B787))</f>
        <v/>
      </c>
      <c r="AR806" s="100">
        <f t="shared" si="27"/>
        <v>-9.965301026</v>
      </c>
    </row>
    <row r="807">
      <c r="A807" t="str">
        <f t="shared" si="3"/>
        <v/>
      </c>
      <c r="B807" s="42">
        <f t="shared" si="4"/>
        <v>-3.155358621</v>
      </c>
      <c r="C807" s="43">
        <f t="shared" si="5"/>
        <v>-1.740686581</v>
      </c>
      <c r="D807" s="42">
        <f t="shared" si="6"/>
        <v>-2.380599106</v>
      </c>
      <c r="E807" s="42">
        <f t="shared" si="7"/>
        <v>-1.79320266</v>
      </c>
      <c r="F807" s="42">
        <f t="shared" si="8"/>
        <v>-3.240190514</v>
      </c>
      <c r="G807" s="42">
        <f t="shared" si="9"/>
        <v>-1.329092151</v>
      </c>
      <c r="H807" s="42">
        <f t="shared" si="10"/>
        <v>0</v>
      </c>
      <c r="I807" s="42" t="str">
        <f>UpdateHashtag!S805</f>
        <v/>
      </c>
      <c r="J807" s="47">
        <f t="shared" si="11"/>
        <v>0</v>
      </c>
      <c r="K807" s="48" t="str">
        <f>UpdateHashtag!T805</f>
        <v/>
      </c>
      <c r="L807" s="42">
        <f t="shared" si="12"/>
        <v>-1.734552372</v>
      </c>
      <c r="N807" s="100">
        <f t="shared" si="13"/>
        <v>401</v>
      </c>
      <c r="O807" s="94" t="str">
        <f t="array" ref="O807">INDIRECT("Update"&amp;Projections!$AH$17&amp;"!B"&amp;ROW(B788))</f>
        <v/>
      </c>
      <c r="P807" s="414" t="str">
        <f t="array" ref="P807">INDIRECT("Update"&amp;Projections!$AH$17&amp;"!C"&amp;ROW(B788))</f>
        <v/>
      </c>
      <c r="Q807" s="94" t="str">
        <f>UpdateHashtag!F837</f>
        <v/>
      </c>
      <c r="R807" s="105" t="str">
        <f t="array" ref="R807">INDIRECT("Update"&amp;Projections!$AH$17&amp;"!D"&amp;ROW(B788))</f>
        <v/>
      </c>
      <c r="S807" s="73">
        <f t="shared" si="14"/>
        <v>-9.965301026</v>
      </c>
      <c r="T807" s="73">
        <f>SUM(AE807:AM807)-IFERROR(IFS(Projections!$I$17,AN807,Projections!$J$17,AO807),"")</f>
        <v>-9.965301026</v>
      </c>
      <c r="U807" s="73">
        <f t="shared" si="15"/>
        <v>0</v>
      </c>
      <c r="V807" s="73" t="str">
        <f t="array" ref="V807">INDIRECT("Update"&amp;Projections!$AH$17&amp;"!M"&amp;ROW(B788))</f>
        <v/>
      </c>
      <c r="W807" s="73" t="str">
        <f t="array" ref="W807">INDIRECT("Update"&amp;Projections!$AH$17&amp;"!L"&amp;ROW(B788))</f>
        <v/>
      </c>
      <c r="X807" s="73" t="str">
        <f t="array" ref="X807">INDIRECT("Update"&amp;Projections!$AH$17&amp;"!N"&amp;ROW(B788))</f>
        <v/>
      </c>
      <c r="Y807" s="73" t="str">
        <f t="array" ref="Y807">INDIRECT("Update"&amp;Projections!$AH$17&amp;"!O"&amp;ROW(B788))</f>
        <v/>
      </c>
      <c r="Z807" s="73" t="str">
        <f t="array" ref="Z807">INDIRECT("Update"&amp;Projections!$AH$17&amp;"!P"&amp;ROW(B788))</f>
        <v/>
      </c>
      <c r="AA807" s="73" t="str">
        <f t="array" ref="AA807">INDIRECT("Update"&amp;Projections!$AH$17&amp;"!Q"&amp;ROW(B788))</f>
        <v/>
      </c>
      <c r="AB807" s="107" t="str">
        <f t="array" ref="AB807">INDIRECT("Update"&amp;Projections!$AH$17&amp;"!I"&amp;ROW(B788))</f>
        <v/>
      </c>
      <c r="AC807" s="107" t="str">
        <f t="array" ref="AC807">INDIRECT("Update"&amp;Projections!$AH$17&amp;"!K"&amp;ROW(B788))</f>
        <v/>
      </c>
      <c r="AD807" s="73" t="str">
        <f t="array" ref="AD807">INDIRECT("Update"&amp;Projections!$AH$17&amp;"!R"&amp;ROW(B788))</f>
        <v/>
      </c>
      <c r="AE807" s="73">
        <f t="shared" si="16"/>
        <v>-3.155358621</v>
      </c>
      <c r="AF807" s="73">
        <f t="shared" si="17"/>
        <v>-1.740686581</v>
      </c>
      <c r="AG807" s="73">
        <f t="shared" si="18"/>
        <v>-2.380599106</v>
      </c>
      <c r="AH807" s="73">
        <f t="shared" si="19"/>
        <v>-1.79320266</v>
      </c>
      <c r="AI807" s="73">
        <f t="shared" si="20"/>
        <v>-3.240190514</v>
      </c>
      <c r="AJ807" s="73">
        <f t="shared" si="21"/>
        <v>-1.329092151</v>
      </c>
      <c r="AK807" s="73">
        <f t="shared" si="22"/>
        <v>0</v>
      </c>
      <c r="AL807" s="73">
        <f t="shared" si="23"/>
        <v>0</v>
      </c>
      <c r="AM807" s="73">
        <f t="shared" si="24"/>
        <v>0.433638093</v>
      </c>
      <c r="AN807" s="120">
        <f t="shared" si="25"/>
        <v>-3.240190514</v>
      </c>
      <c r="AO807" s="120">
        <f t="shared" si="26"/>
        <v>-6.395549135</v>
      </c>
      <c r="AP807" s="120" t="str">
        <f t="array" ref="AP807">INDIRECT("Update"&amp;Projections!$AH$17&amp;"!S"&amp;ROW(B788))</f>
        <v/>
      </c>
      <c r="AQ807" s="120" t="str">
        <f t="array" ref="AQ807">INDIRECT("Update"&amp;Projections!$AH$17&amp;"!T"&amp;ROW(B788))</f>
        <v/>
      </c>
      <c r="AR807" s="100">
        <f t="shared" si="27"/>
        <v>-9.965301026</v>
      </c>
    </row>
    <row r="808">
      <c r="A808" t="str">
        <f t="shared" si="3"/>
        <v/>
      </c>
      <c r="B808" s="42">
        <f t="shared" si="4"/>
        <v>-3.155358621</v>
      </c>
      <c r="C808" s="43">
        <f t="shared" si="5"/>
        <v>-1.740686581</v>
      </c>
      <c r="D808" s="42">
        <f t="shared" si="6"/>
        <v>-2.380599106</v>
      </c>
      <c r="E808" s="42">
        <f t="shared" si="7"/>
        <v>-1.79320266</v>
      </c>
      <c r="F808" s="42">
        <f t="shared" si="8"/>
        <v>-3.240190514</v>
      </c>
      <c r="G808" s="42">
        <f t="shared" si="9"/>
        <v>-1.329092151</v>
      </c>
      <c r="H808" s="42">
        <f t="shared" si="10"/>
        <v>0</v>
      </c>
      <c r="I808" s="42" t="str">
        <f>UpdateHashtag!S806</f>
        <v/>
      </c>
      <c r="J808" s="47">
        <f t="shared" si="11"/>
        <v>0</v>
      </c>
      <c r="K808" s="48" t="str">
        <f>UpdateHashtag!T806</f>
        <v/>
      </c>
      <c r="L808" s="42">
        <f t="shared" si="12"/>
        <v>-1.734552372</v>
      </c>
      <c r="N808" s="100">
        <f t="shared" si="13"/>
        <v>401</v>
      </c>
      <c r="O808" s="94" t="str">
        <f t="array" ref="O808">INDIRECT("Update"&amp;Projections!$AH$17&amp;"!B"&amp;ROW(B789))</f>
        <v/>
      </c>
      <c r="P808" s="414" t="str">
        <f t="array" ref="P808">INDIRECT("Update"&amp;Projections!$AH$17&amp;"!C"&amp;ROW(B789))</f>
        <v/>
      </c>
      <c r="Q808" s="94" t="str">
        <f>UpdateHashtag!F838</f>
        <v/>
      </c>
      <c r="R808" s="105" t="str">
        <f t="array" ref="R808">INDIRECT("Update"&amp;Projections!$AH$17&amp;"!D"&amp;ROW(B789))</f>
        <v/>
      </c>
      <c r="S808" s="73">
        <f t="shared" si="14"/>
        <v>-9.965301026</v>
      </c>
      <c r="T808" s="73">
        <f>SUM(AE808:AM808)-IFERROR(IFS(Projections!$I$17,AN808,Projections!$J$17,AO808),"")</f>
        <v>-9.965301026</v>
      </c>
      <c r="U808" s="73">
        <f t="shared" si="15"/>
        <v>0</v>
      </c>
      <c r="V808" s="73" t="str">
        <f t="array" ref="V808">INDIRECT("Update"&amp;Projections!$AH$17&amp;"!M"&amp;ROW(B789))</f>
        <v/>
      </c>
      <c r="W808" s="73" t="str">
        <f t="array" ref="W808">INDIRECT("Update"&amp;Projections!$AH$17&amp;"!L"&amp;ROW(B789))</f>
        <v/>
      </c>
      <c r="X808" s="73" t="str">
        <f t="array" ref="X808">INDIRECT("Update"&amp;Projections!$AH$17&amp;"!N"&amp;ROW(B789))</f>
        <v/>
      </c>
      <c r="Y808" s="73" t="str">
        <f t="array" ref="Y808">INDIRECT("Update"&amp;Projections!$AH$17&amp;"!O"&amp;ROW(B789))</f>
        <v/>
      </c>
      <c r="Z808" s="73" t="str">
        <f t="array" ref="Z808">INDIRECT("Update"&amp;Projections!$AH$17&amp;"!P"&amp;ROW(B789))</f>
        <v/>
      </c>
      <c r="AA808" s="73" t="str">
        <f t="array" ref="AA808">INDIRECT("Update"&amp;Projections!$AH$17&amp;"!Q"&amp;ROW(B789))</f>
        <v/>
      </c>
      <c r="AB808" s="107" t="str">
        <f t="array" ref="AB808">INDIRECT("Update"&amp;Projections!$AH$17&amp;"!I"&amp;ROW(B789))</f>
        <v/>
      </c>
      <c r="AC808" s="107" t="str">
        <f t="array" ref="AC808">INDIRECT("Update"&amp;Projections!$AH$17&amp;"!K"&amp;ROW(B789))</f>
        <v/>
      </c>
      <c r="AD808" s="73" t="str">
        <f t="array" ref="AD808">INDIRECT("Update"&amp;Projections!$AH$17&amp;"!R"&amp;ROW(B789))</f>
        <v/>
      </c>
      <c r="AE808" s="73">
        <f t="shared" si="16"/>
        <v>-3.155358621</v>
      </c>
      <c r="AF808" s="73">
        <f t="shared" si="17"/>
        <v>-1.740686581</v>
      </c>
      <c r="AG808" s="73">
        <f t="shared" si="18"/>
        <v>-2.380599106</v>
      </c>
      <c r="AH808" s="73">
        <f t="shared" si="19"/>
        <v>-1.79320266</v>
      </c>
      <c r="AI808" s="73">
        <f t="shared" si="20"/>
        <v>-3.240190514</v>
      </c>
      <c r="AJ808" s="73">
        <f t="shared" si="21"/>
        <v>-1.329092151</v>
      </c>
      <c r="AK808" s="73">
        <f t="shared" si="22"/>
        <v>0</v>
      </c>
      <c r="AL808" s="73">
        <f t="shared" si="23"/>
        <v>0</v>
      </c>
      <c r="AM808" s="73">
        <f t="shared" si="24"/>
        <v>0.433638093</v>
      </c>
      <c r="AN808" s="120">
        <f t="shared" si="25"/>
        <v>-3.240190514</v>
      </c>
      <c r="AO808" s="120">
        <f t="shared" si="26"/>
        <v>-6.395549135</v>
      </c>
      <c r="AP808" s="120" t="str">
        <f t="array" ref="AP808">INDIRECT("Update"&amp;Projections!$AH$17&amp;"!S"&amp;ROW(B789))</f>
        <v/>
      </c>
      <c r="AQ808" s="120" t="str">
        <f t="array" ref="AQ808">INDIRECT("Update"&amp;Projections!$AH$17&amp;"!T"&amp;ROW(B789))</f>
        <v/>
      </c>
      <c r="AR808" s="100">
        <f t="shared" si="27"/>
        <v>-9.965301026</v>
      </c>
    </row>
    <row r="809">
      <c r="A809" t="str">
        <f t="shared" si="3"/>
        <v/>
      </c>
      <c r="B809" s="42">
        <f t="shared" si="4"/>
        <v>-3.155358621</v>
      </c>
      <c r="C809" s="43">
        <f t="shared" si="5"/>
        <v>-1.740686581</v>
      </c>
      <c r="D809" s="42">
        <f t="shared" si="6"/>
        <v>-2.380599106</v>
      </c>
      <c r="E809" s="42">
        <f t="shared" si="7"/>
        <v>-1.79320266</v>
      </c>
      <c r="F809" s="42">
        <f t="shared" si="8"/>
        <v>-3.240190514</v>
      </c>
      <c r="G809" s="42">
        <f t="shared" si="9"/>
        <v>-1.329092151</v>
      </c>
      <c r="H809" s="42">
        <f t="shared" si="10"/>
        <v>0</v>
      </c>
      <c r="I809" s="42" t="str">
        <f>UpdateHashtag!S807</f>
        <v/>
      </c>
      <c r="J809" s="47">
        <f t="shared" si="11"/>
        <v>0</v>
      </c>
      <c r="K809" s="48" t="str">
        <f>UpdateHashtag!T807</f>
        <v/>
      </c>
      <c r="L809" s="42">
        <f t="shared" si="12"/>
        <v>-1.734552372</v>
      </c>
      <c r="N809" s="100">
        <f t="shared" si="13"/>
        <v>401</v>
      </c>
      <c r="O809" s="94" t="str">
        <f t="array" ref="O809">INDIRECT("Update"&amp;Projections!$AH$17&amp;"!B"&amp;ROW(B790))</f>
        <v/>
      </c>
      <c r="P809" s="414" t="str">
        <f t="array" ref="P809">INDIRECT("Update"&amp;Projections!$AH$17&amp;"!C"&amp;ROW(B790))</f>
        <v/>
      </c>
      <c r="Q809" s="94" t="str">
        <f>UpdateHashtag!F839</f>
        <v/>
      </c>
      <c r="R809" s="105" t="str">
        <f t="array" ref="R809">INDIRECT("Update"&amp;Projections!$AH$17&amp;"!D"&amp;ROW(B790))</f>
        <v/>
      </c>
      <c r="S809" s="73">
        <f t="shared" si="14"/>
        <v>-9.965301026</v>
      </c>
      <c r="T809" s="73">
        <f>SUM(AE809:AM809)-IFERROR(IFS(Projections!$I$17,AN809,Projections!$J$17,AO809),"")</f>
        <v>-9.965301026</v>
      </c>
      <c r="U809" s="73">
        <f t="shared" si="15"/>
        <v>0</v>
      </c>
      <c r="V809" s="73" t="str">
        <f t="array" ref="V809">INDIRECT("Update"&amp;Projections!$AH$17&amp;"!M"&amp;ROW(B790))</f>
        <v/>
      </c>
      <c r="W809" s="73" t="str">
        <f t="array" ref="W809">INDIRECT("Update"&amp;Projections!$AH$17&amp;"!L"&amp;ROW(B790))</f>
        <v/>
      </c>
      <c r="X809" s="73" t="str">
        <f t="array" ref="X809">INDIRECT("Update"&amp;Projections!$AH$17&amp;"!N"&amp;ROW(B790))</f>
        <v/>
      </c>
      <c r="Y809" s="73" t="str">
        <f t="array" ref="Y809">INDIRECT("Update"&amp;Projections!$AH$17&amp;"!O"&amp;ROW(B790))</f>
        <v/>
      </c>
      <c r="Z809" s="73" t="str">
        <f t="array" ref="Z809">INDIRECT("Update"&amp;Projections!$AH$17&amp;"!P"&amp;ROW(B790))</f>
        <v/>
      </c>
      <c r="AA809" s="73" t="str">
        <f t="array" ref="AA809">INDIRECT("Update"&amp;Projections!$AH$17&amp;"!Q"&amp;ROW(B790))</f>
        <v/>
      </c>
      <c r="AB809" s="107" t="str">
        <f t="array" ref="AB809">INDIRECT("Update"&amp;Projections!$AH$17&amp;"!I"&amp;ROW(B790))</f>
        <v/>
      </c>
      <c r="AC809" s="107" t="str">
        <f t="array" ref="AC809">INDIRECT("Update"&amp;Projections!$AH$17&amp;"!K"&amp;ROW(B790))</f>
        <v/>
      </c>
      <c r="AD809" s="73" t="str">
        <f t="array" ref="AD809">INDIRECT("Update"&amp;Projections!$AH$17&amp;"!R"&amp;ROW(B790))</f>
        <v/>
      </c>
      <c r="AE809" s="73">
        <f t="shared" si="16"/>
        <v>-3.155358621</v>
      </c>
      <c r="AF809" s="73">
        <f t="shared" si="17"/>
        <v>-1.740686581</v>
      </c>
      <c r="AG809" s="73">
        <f t="shared" si="18"/>
        <v>-2.380599106</v>
      </c>
      <c r="AH809" s="73">
        <f t="shared" si="19"/>
        <v>-1.79320266</v>
      </c>
      <c r="AI809" s="73">
        <f t="shared" si="20"/>
        <v>-3.240190514</v>
      </c>
      <c r="AJ809" s="73">
        <f t="shared" si="21"/>
        <v>-1.329092151</v>
      </c>
      <c r="AK809" s="73">
        <f t="shared" si="22"/>
        <v>0</v>
      </c>
      <c r="AL809" s="73">
        <f t="shared" si="23"/>
        <v>0</v>
      </c>
      <c r="AM809" s="73">
        <f t="shared" si="24"/>
        <v>0.433638093</v>
      </c>
      <c r="AN809" s="120">
        <f t="shared" si="25"/>
        <v>-3.240190514</v>
      </c>
      <c r="AO809" s="120">
        <f t="shared" si="26"/>
        <v>-6.395549135</v>
      </c>
      <c r="AP809" s="120" t="str">
        <f t="array" ref="AP809">INDIRECT("Update"&amp;Projections!$AH$17&amp;"!S"&amp;ROW(B790))</f>
        <v/>
      </c>
      <c r="AQ809" s="120" t="str">
        <f t="array" ref="AQ809">INDIRECT("Update"&amp;Projections!$AH$17&amp;"!T"&amp;ROW(B790))</f>
        <v/>
      </c>
      <c r="AR809" s="100">
        <f t="shared" si="27"/>
        <v>-9.965301026</v>
      </c>
    </row>
    <row r="810">
      <c r="A810" t="str">
        <f t="shared" si="3"/>
        <v/>
      </c>
      <c r="B810" s="42">
        <f t="shared" si="4"/>
        <v>-3.155358621</v>
      </c>
      <c r="C810" s="43">
        <f t="shared" si="5"/>
        <v>-1.740686581</v>
      </c>
      <c r="D810" s="42">
        <f t="shared" si="6"/>
        <v>-2.380599106</v>
      </c>
      <c r="E810" s="42">
        <f t="shared" si="7"/>
        <v>-1.79320266</v>
      </c>
      <c r="F810" s="42">
        <f t="shared" si="8"/>
        <v>-3.240190514</v>
      </c>
      <c r="G810" s="42">
        <f t="shared" si="9"/>
        <v>-1.329092151</v>
      </c>
      <c r="H810" s="42">
        <f t="shared" si="10"/>
        <v>0</v>
      </c>
      <c r="I810" s="42" t="str">
        <f>UpdateHashtag!S808</f>
        <v/>
      </c>
      <c r="J810" s="47">
        <f t="shared" si="11"/>
        <v>0</v>
      </c>
      <c r="K810" s="48" t="str">
        <f>UpdateHashtag!T808</f>
        <v/>
      </c>
      <c r="L810" s="42">
        <f t="shared" si="12"/>
        <v>-1.734552372</v>
      </c>
      <c r="N810" s="100">
        <f t="shared" si="13"/>
        <v>401</v>
      </c>
      <c r="O810" s="94" t="str">
        <f t="array" ref="O810">INDIRECT("Update"&amp;Projections!$AH$17&amp;"!B"&amp;ROW(B791))</f>
        <v/>
      </c>
      <c r="P810" s="414" t="str">
        <f t="array" ref="P810">INDIRECT("Update"&amp;Projections!$AH$17&amp;"!C"&amp;ROW(B791))</f>
        <v/>
      </c>
      <c r="Q810" s="94" t="str">
        <f>UpdateHashtag!F840</f>
        <v/>
      </c>
      <c r="R810" s="105" t="str">
        <f t="array" ref="R810">INDIRECT("Update"&amp;Projections!$AH$17&amp;"!D"&amp;ROW(B791))</f>
        <v/>
      </c>
      <c r="S810" s="73">
        <f t="shared" si="14"/>
        <v>-9.965301026</v>
      </c>
      <c r="T810" s="73">
        <f>SUM(AE810:AM810)-IFERROR(IFS(Projections!$I$17,AN810,Projections!$J$17,AO810),"")</f>
        <v>-9.965301026</v>
      </c>
      <c r="U810" s="73">
        <f t="shared" si="15"/>
        <v>0</v>
      </c>
      <c r="V810" s="73" t="str">
        <f t="array" ref="V810">INDIRECT("Update"&amp;Projections!$AH$17&amp;"!M"&amp;ROW(B791))</f>
        <v/>
      </c>
      <c r="W810" s="73" t="str">
        <f t="array" ref="W810">INDIRECT("Update"&amp;Projections!$AH$17&amp;"!L"&amp;ROW(B791))</f>
        <v/>
      </c>
      <c r="X810" s="73" t="str">
        <f t="array" ref="X810">INDIRECT("Update"&amp;Projections!$AH$17&amp;"!N"&amp;ROW(B791))</f>
        <v/>
      </c>
      <c r="Y810" s="73" t="str">
        <f t="array" ref="Y810">INDIRECT("Update"&amp;Projections!$AH$17&amp;"!O"&amp;ROW(B791))</f>
        <v/>
      </c>
      <c r="Z810" s="73" t="str">
        <f t="array" ref="Z810">INDIRECT("Update"&amp;Projections!$AH$17&amp;"!P"&amp;ROW(B791))</f>
        <v/>
      </c>
      <c r="AA810" s="73" t="str">
        <f t="array" ref="AA810">INDIRECT("Update"&amp;Projections!$AH$17&amp;"!Q"&amp;ROW(B791))</f>
        <v/>
      </c>
      <c r="AB810" s="107" t="str">
        <f t="array" ref="AB810">INDIRECT("Update"&amp;Projections!$AH$17&amp;"!I"&amp;ROW(B791))</f>
        <v/>
      </c>
      <c r="AC810" s="107" t="str">
        <f t="array" ref="AC810">INDIRECT("Update"&amp;Projections!$AH$17&amp;"!K"&amp;ROW(B791))</f>
        <v/>
      </c>
      <c r="AD810" s="73" t="str">
        <f t="array" ref="AD810">INDIRECT("Update"&amp;Projections!$AH$17&amp;"!R"&amp;ROW(B791))</f>
        <v/>
      </c>
      <c r="AE810" s="73">
        <f t="shared" si="16"/>
        <v>-3.155358621</v>
      </c>
      <c r="AF810" s="73">
        <f t="shared" si="17"/>
        <v>-1.740686581</v>
      </c>
      <c r="AG810" s="73">
        <f t="shared" si="18"/>
        <v>-2.380599106</v>
      </c>
      <c r="AH810" s="73">
        <f t="shared" si="19"/>
        <v>-1.79320266</v>
      </c>
      <c r="AI810" s="73">
        <f t="shared" si="20"/>
        <v>-3.240190514</v>
      </c>
      <c r="AJ810" s="73">
        <f t="shared" si="21"/>
        <v>-1.329092151</v>
      </c>
      <c r="AK810" s="73">
        <f t="shared" si="22"/>
        <v>0</v>
      </c>
      <c r="AL810" s="73">
        <f t="shared" si="23"/>
        <v>0</v>
      </c>
      <c r="AM810" s="73">
        <f t="shared" si="24"/>
        <v>0.433638093</v>
      </c>
      <c r="AN810" s="120">
        <f t="shared" si="25"/>
        <v>-3.240190514</v>
      </c>
      <c r="AO810" s="120">
        <f t="shared" si="26"/>
        <v>-6.395549135</v>
      </c>
      <c r="AP810" s="120" t="str">
        <f t="array" ref="AP810">INDIRECT("Update"&amp;Projections!$AH$17&amp;"!S"&amp;ROW(B791))</f>
        <v/>
      </c>
      <c r="AQ810" s="120" t="str">
        <f t="array" ref="AQ810">INDIRECT("Update"&amp;Projections!$AH$17&amp;"!T"&amp;ROW(B791))</f>
        <v/>
      </c>
      <c r="AR810" s="100">
        <f t="shared" si="27"/>
        <v>-9.965301026</v>
      </c>
    </row>
    <row r="811">
      <c r="A811" t="str">
        <f t="shared" si="3"/>
        <v/>
      </c>
      <c r="B811" s="42">
        <f t="shared" si="4"/>
        <v>-3.155358621</v>
      </c>
      <c r="C811" s="43">
        <f t="shared" si="5"/>
        <v>-1.740686581</v>
      </c>
      <c r="D811" s="42">
        <f t="shared" si="6"/>
        <v>-2.380599106</v>
      </c>
      <c r="E811" s="42">
        <f t="shared" si="7"/>
        <v>-1.79320266</v>
      </c>
      <c r="F811" s="42">
        <f t="shared" si="8"/>
        <v>-3.240190514</v>
      </c>
      <c r="G811" s="42">
        <f t="shared" si="9"/>
        <v>-1.329092151</v>
      </c>
      <c r="H811" s="42">
        <f t="shared" si="10"/>
        <v>0</v>
      </c>
      <c r="I811" s="42" t="str">
        <f>UpdateHashtag!S809</f>
        <v/>
      </c>
      <c r="J811" s="47">
        <f t="shared" si="11"/>
        <v>0</v>
      </c>
      <c r="K811" s="48" t="str">
        <f>UpdateHashtag!T809</f>
        <v/>
      </c>
      <c r="L811" s="42">
        <f t="shared" si="12"/>
        <v>-1.734552372</v>
      </c>
      <c r="N811" s="100">
        <f t="shared" si="13"/>
        <v>401</v>
      </c>
      <c r="O811" s="94" t="str">
        <f t="array" ref="O811">INDIRECT("Update"&amp;Projections!$AH$17&amp;"!B"&amp;ROW(B792))</f>
        <v/>
      </c>
      <c r="P811" s="414" t="str">
        <f t="array" ref="P811">INDIRECT("Update"&amp;Projections!$AH$17&amp;"!C"&amp;ROW(B792))</f>
        <v/>
      </c>
      <c r="Q811" s="94" t="str">
        <f>UpdateHashtag!F841</f>
        <v/>
      </c>
      <c r="R811" s="105" t="str">
        <f t="array" ref="R811">INDIRECT("Update"&amp;Projections!$AH$17&amp;"!D"&amp;ROW(B792))</f>
        <v/>
      </c>
      <c r="S811" s="73">
        <f t="shared" si="14"/>
        <v>-9.965301026</v>
      </c>
      <c r="T811" s="73">
        <f>SUM(AE811:AM811)-IFERROR(IFS(Projections!$I$17,AN811,Projections!$J$17,AO811),"")</f>
        <v>-9.965301026</v>
      </c>
      <c r="U811" s="73">
        <f t="shared" si="15"/>
        <v>0</v>
      </c>
      <c r="V811" s="73" t="str">
        <f t="array" ref="V811">INDIRECT("Update"&amp;Projections!$AH$17&amp;"!M"&amp;ROW(B792))</f>
        <v/>
      </c>
      <c r="W811" s="73" t="str">
        <f t="array" ref="W811">INDIRECT("Update"&amp;Projections!$AH$17&amp;"!L"&amp;ROW(B792))</f>
        <v/>
      </c>
      <c r="X811" s="73" t="str">
        <f t="array" ref="X811">INDIRECT("Update"&amp;Projections!$AH$17&amp;"!N"&amp;ROW(B792))</f>
        <v/>
      </c>
      <c r="Y811" s="73" t="str">
        <f t="array" ref="Y811">INDIRECT("Update"&amp;Projections!$AH$17&amp;"!O"&amp;ROW(B792))</f>
        <v/>
      </c>
      <c r="Z811" s="73" t="str">
        <f t="array" ref="Z811">INDIRECT("Update"&amp;Projections!$AH$17&amp;"!P"&amp;ROW(B792))</f>
        <v/>
      </c>
      <c r="AA811" s="73" t="str">
        <f t="array" ref="AA811">INDIRECT("Update"&amp;Projections!$AH$17&amp;"!Q"&amp;ROW(B792))</f>
        <v/>
      </c>
      <c r="AB811" s="107" t="str">
        <f t="array" ref="AB811">INDIRECT("Update"&amp;Projections!$AH$17&amp;"!I"&amp;ROW(B792))</f>
        <v/>
      </c>
      <c r="AC811" s="107" t="str">
        <f t="array" ref="AC811">INDIRECT("Update"&amp;Projections!$AH$17&amp;"!K"&amp;ROW(B792))</f>
        <v/>
      </c>
      <c r="AD811" s="73" t="str">
        <f t="array" ref="AD811">INDIRECT("Update"&amp;Projections!$AH$17&amp;"!R"&amp;ROW(B792))</f>
        <v/>
      </c>
      <c r="AE811" s="73">
        <f t="shared" si="16"/>
        <v>-3.155358621</v>
      </c>
      <c r="AF811" s="73">
        <f t="shared" si="17"/>
        <v>-1.740686581</v>
      </c>
      <c r="AG811" s="73">
        <f t="shared" si="18"/>
        <v>-2.380599106</v>
      </c>
      <c r="AH811" s="73">
        <f t="shared" si="19"/>
        <v>-1.79320266</v>
      </c>
      <c r="AI811" s="73">
        <f t="shared" si="20"/>
        <v>-3.240190514</v>
      </c>
      <c r="AJ811" s="73">
        <f t="shared" si="21"/>
        <v>-1.329092151</v>
      </c>
      <c r="AK811" s="73">
        <f t="shared" si="22"/>
        <v>0</v>
      </c>
      <c r="AL811" s="73">
        <f t="shared" si="23"/>
        <v>0</v>
      </c>
      <c r="AM811" s="73">
        <f t="shared" si="24"/>
        <v>0.433638093</v>
      </c>
      <c r="AN811" s="120">
        <f t="shared" si="25"/>
        <v>-3.240190514</v>
      </c>
      <c r="AO811" s="120">
        <f t="shared" si="26"/>
        <v>-6.395549135</v>
      </c>
      <c r="AP811" s="120" t="str">
        <f t="array" ref="AP811">INDIRECT("Update"&amp;Projections!$AH$17&amp;"!S"&amp;ROW(B792))</f>
        <v/>
      </c>
      <c r="AQ811" s="120" t="str">
        <f t="array" ref="AQ811">INDIRECT("Update"&amp;Projections!$AH$17&amp;"!T"&amp;ROW(B792))</f>
        <v/>
      </c>
      <c r="AR811" s="100">
        <f t="shared" si="27"/>
        <v>-9.965301026</v>
      </c>
    </row>
    <row r="812">
      <c r="A812" t="str">
        <f t="shared" si="3"/>
        <v/>
      </c>
      <c r="B812" s="42">
        <f t="shared" si="4"/>
        <v>-3.155358621</v>
      </c>
      <c r="C812" s="43">
        <f t="shared" si="5"/>
        <v>-1.740686581</v>
      </c>
      <c r="D812" s="42">
        <f t="shared" si="6"/>
        <v>-2.380599106</v>
      </c>
      <c r="E812" s="42">
        <f t="shared" si="7"/>
        <v>-1.79320266</v>
      </c>
      <c r="F812" s="42">
        <f t="shared" si="8"/>
        <v>-3.240190514</v>
      </c>
      <c r="G812" s="42">
        <f t="shared" si="9"/>
        <v>-1.329092151</v>
      </c>
      <c r="H812" s="42">
        <f t="shared" si="10"/>
        <v>0</v>
      </c>
      <c r="I812" s="42" t="str">
        <f>UpdateHashtag!S810</f>
        <v/>
      </c>
      <c r="J812" s="47">
        <f t="shared" si="11"/>
        <v>0</v>
      </c>
      <c r="K812" s="48" t="str">
        <f>UpdateHashtag!T810</f>
        <v/>
      </c>
      <c r="L812" s="42">
        <f t="shared" si="12"/>
        <v>-1.734552372</v>
      </c>
      <c r="N812" s="100">
        <f t="shared" si="13"/>
        <v>401</v>
      </c>
      <c r="O812" s="94" t="str">
        <f t="array" ref="O812">INDIRECT("Update"&amp;Projections!$AH$17&amp;"!B"&amp;ROW(B793))</f>
        <v/>
      </c>
      <c r="P812" s="414" t="str">
        <f t="array" ref="P812">INDIRECT("Update"&amp;Projections!$AH$17&amp;"!C"&amp;ROW(B793))</f>
        <v/>
      </c>
      <c r="Q812" s="94" t="str">
        <f>UpdateHashtag!F842</f>
        <v/>
      </c>
      <c r="R812" s="105" t="str">
        <f t="array" ref="R812">INDIRECT("Update"&amp;Projections!$AH$17&amp;"!D"&amp;ROW(B793))</f>
        <v/>
      </c>
      <c r="S812" s="73">
        <f t="shared" si="14"/>
        <v>-9.965301026</v>
      </c>
      <c r="T812" s="73">
        <f>SUM(AE812:AM812)-IFERROR(IFS(Projections!$I$17,AN812,Projections!$J$17,AO812),"")</f>
        <v>-9.965301026</v>
      </c>
      <c r="U812" s="73">
        <f t="shared" si="15"/>
        <v>0</v>
      </c>
      <c r="V812" s="73" t="str">
        <f t="array" ref="V812">INDIRECT("Update"&amp;Projections!$AH$17&amp;"!M"&amp;ROW(B793))</f>
        <v/>
      </c>
      <c r="W812" s="73" t="str">
        <f t="array" ref="W812">INDIRECT("Update"&amp;Projections!$AH$17&amp;"!L"&amp;ROW(B793))</f>
        <v/>
      </c>
      <c r="X812" s="73" t="str">
        <f t="array" ref="X812">INDIRECT("Update"&amp;Projections!$AH$17&amp;"!N"&amp;ROW(B793))</f>
        <v/>
      </c>
      <c r="Y812" s="73" t="str">
        <f t="array" ref="Y812">INDIRECT("Update"&amp;Projections!$AH$17&amp;"!O"&amp;ROW(B793))</f>
        <v/>
      </c>
      <c r="Z812" s="73" t="str">
        <f t="array" ref="Z812">INDIRECT("Update"&amp;Projections!$AH$17&amp;"!P"&amp;ROW(B793))</f>
        <v/>
      </c>
      <c r="AA812" s="73" t="str">
        <f t="array" ref="AA812">INDIRECT("Update"&amp;Projections!$AH$17&amp;"!Q"&amp;ROW(B793))</f>
        <v/>
      </c>
      <c r="AB812" s="107" t="str">
        <f t="array" ref="AB812">INDIRECT("Update"&amp;Projections!$AH$17&amp;"!I"&amp;ROW(B793))</f>
        <v/>
      </c>
      <c r="AC812" s="107" t="str">
        <f t="array" ref="AC812">INDIRECT("Update"&amp;Projections!$AH$17&amp;"!K"&amp;ROW(B793))</f>
        <v/>
      </c>
      <c r="AD812" s="73" t="str">
        <f t="array" ref="AD812">INDIRECT("Update"&amp;Projections!$AH$17&amp;"!R"&amp;ROW(B793))</f>
        <v/>
      </c>
      <c r="AE812" s="73">
        <f t="shared" si="16"/>
        <v>-3.155358621</v>
      </c>
      <c r="AF812" s="73">
        <f t="shared" si="17"/>
        <v>-1.740686581</v>
      </c>
      <c r="AG812" s="73">
        <f t="shared" si="18"/>
        <v>-2.380599106</v>
      </c>
      <c r="AH812" s="73">
        <f t="shared" si="19"/>
        <v>-1.79320266</v>
      </c>
      <c r="AI812" s="73">
        <f t="shared" si="20"/>
        <v>-3.240190514</v>
      </c>
      <c r="AJ812" s="73">
        <f t="shared" si="21"/>
        <v>-1.329092151</v>
      </c>
      <c r="AK812" s="73">
        <f t="shared" si="22"/>
        <v>0</v>
      </c>
      <c r="AL812" s="73">
        <f t="shared" si="23"/>
        <v>0</v>
      </c>
      <c r="AM812" s="73">
        <f t="shared" si="24"/>
        <v>0.433638093</v>
      </c>
      <c r="AN812" s="120">
        <f t="shared" si="25"/>
        <v>-3.240190514</v>
      </c>
      <c r="AO812" s="120">
        <f t="shared" si="26"/>
        <v>-6.395549135</v>
      </c>
      <c r="AP812" s="120" t="str">
        <f t="array" ref="AP812">INDIRECT("Update"&amp;Projections!$AH$17&amp;"!S"&amp;ROW(B793))</f>
        <v/>
      </c>
      <c r="AQ812" s="120" t="str">
        <f t="array" ref="AQ812">INDIRECT("Update"&amp;Projections!$AH$17&amp;"!T"&amp;ROW(B793))</f>
        <v/>
      </c>
      <c r="AR812" s="100">
        <f t="shared" si="27"/>
        <v>-9.965301026</v>
      </c>
    </row>
    <row r="813">
      <c r="A813" t="str">
        <f t="shared" si="3"/>
        <v/>
      </c>
      <c r="B813" s="42">
        <f t="shared" si="4"/>
        <v>-3.155358621</v>
      </c>
      <c r="C813" s="43">
        <f t="shared" si="5"/>
        <v>-1.740686581</v>
      </c>
      <c r="D813" s="42">
        <f t="shared" si="6"/>
        <v>-2.380599106</v>
      </c>
      <c r="E813" s="42">
        <f t="shared" si="7"/>
        <v>-1.79320266</v>
      </c>
      <c r="F813" s="42">
        <f t="shared" si="8"/>
        <v>-3.240190514</v>
      </c>
      <c r="G813" s="42">
        <f t="shared" si="9"/>
        <v>-1.329092151</v>
      </c>
      <c r="H813" s="42">
        <f t="shared" si="10"/>
        <v>0</v>
      </c>
      <c r="I813" s="42" t="str">
        <f>UpdateHashtag!S811</f>
        <v/>
      </c>
      <c r="J813" s="47">
        <f t="shared" si="11"/>
        <v>0</v>
      </c>
      <c r="K813" s="48" t="str">
        <f>UpdateHashtag!T811</f>
        <v/>
      </c>
      <c r="L813" s="42">
        <f t="shared" si="12"/>
        <v>-1.734552372</v>
      </c>
      <c r="N813" s="100">
        <f t="shared" si="13"/>
        <v>401</v>
      </c>
      <c r="O813" s="94" t="str">
        <f t="array" ref="O813">INDIRECT("Update"&amp;Projections!$AH$17&amp;"!B"&amp;ROW(B794))</f>
        <v/>
      </c>
      <c r="P813" s="414" t="str">
        <f t="array" ref="P813">INDIRECT("Update"&amp;Projections!$AH$17&amp;"!C"&amp;ROW(B794))</f>
        <v/>
      </c>
      <c r="Q813" s="94" t="str">
        <f>UpdateHashtag!F843</f>
        <v/>
      </c>
      <c r="R813" s="105" t="str">
        <f t="array" ref="R813">INDIRECT("Update"&amp;Projections!$AH$17&amp;"!D"&amp;ROW(B794))</f>
        <v/>
      </c>
      <c r="S813" s="73">
        <f t="shared" si="14"/>
        <v>-9.965301026</v>
      </c>
      <c r="T813" s="73">
        <f>SUM(AE813:AM813)-IFERROR(IFS(Projections!$I$17,AN813,Projections!$J$17,AO813),"")</f>
        <v>-9.965301026</v>
      </c>
      <c r="U813" s="73">
        <f t="shared" si="15"/>
        <v>0</v>
      </c>
      <c r="V813" s="73" t="str">
        <f t="array" ref="V813">INDIRECT("Update"&amp;Projections!$AH$17&amp;"!M"&amp;ROW(B794))</f>
        <v/>
      </c>
      <c r="W813" s="73" t="str">
        <f t="array" ref="W813">INDIRECT("Update"&amp;Projections!$AH$17&amp;"!L"&amp;ROW(B794))</f>
        <v/>
      </c>
      <c r="X813" s="73" t="str">
        <f t="array" ref="X813">INDIRECT("Update"&amp;Projections!$AH$17&amp;"!N"&amp;ROW(B794))</f>
        <v/>
      </c>
      <c r="Y813" s="73" t="str">
        <f t="array" ref="Y813">INDIRECT("Update"&amp;Projections!$AH$17&amp;"!O"&amp;ROW(B794))</f>
        <v/>
      </c>
      <c r="Z813" s="73" t="str">
        <f t="array" ref="Z813">INDIRECT("Update"&amp;Projections!$AH$17&amp;"!P"&amp;ROW(B794))</f>
        <v/>
      </c>
      <c r="AA813" s="73" t="str">
        <f t="array" ref="AA813">INDIRECT("Update"&amp;Projections!$AH$17&amp;"!Q"&amp;ROW(B794))</f>
        <v/>
      </c>
      <c r="AB813" s="107" t="str">
        <f t="array" ref="AB813">INDIRECT("Update"&amp;Projections!$AH$17&amp;"!I"&amp;ROW(B794))</f>
        <v/>
      </c>
      <c r="AC813" s="107" t="str">
        <f t="array" ref="AC813">INDIRECT("Update"&amp;Projections!$AH$17&amp;"!K"&amp;ROW(B794))</f>
        <v/>
      </c>
      <c r="AD813" s="73" t="str">
        <f t="array" ref="AD813">INDIRECT("Update"&amp;Projections!$AH$17&amp;"!R"&amp;ROW(B794))</f>
        <v/>
      </c>
      <c r="AE813" s="73">
        <f t="shared" si="16"/>
        <v>-3.155358621</v>
      </c>
      <c r="AF813" s="73">
        <f t="shared" si="17"/>
        <v>-1.740686581</v>
      </c>
      <c r="AG813" s="73">
        <f t="shared" si="18"/>
        <v>-2.380599106</v>
      </c>
      <c r="AH813" s="73">
        <f t="shared" si="19"/>
        <v>-1.79320266</v>
      </c>
      <c r="AI813" s="73">
        <f t="shared" si="20"/>
        <v>-3.240190514</v>
      </c>
      <c r="AJ813" s="73">
        <f t="shared" si="21"/>
        <v>-1.329092151</v>
      </c>
      <c r="AK813" s="73">
        <f t="shared" si="22"/>
        <v>0</v>
      </c>
      <c r="AL813" s="73">
        <f t="shared" si="23"/>
        <v>0</v>
      </c>
      <c r="AM813" s="73">
        <f t="shared" si="24"/>
        <v>0.433638093</v>
      </c>
      <c r="AN813" s="120">
        <f t="shared" si="25"/>
        <v>-3.240190514</v>
      </c>
      <c r="AO813" s="120">
        <f t="shared" si="26"/>
        <v>-6.395549135</v>
      </c>
      <c r="AP813" s="120" t="str">
        <f t="array" ref="AP813">INDIRECT("Update"&amp;Projections!$AH$17&amp;"!S"&amp;ROW(B794))</f>
        <v/>
      </c>
      <c r="AQ813" s="120" t="str">
        <f t="array" ref="AQ813">INDIRECT("Update"&amp;Projections!$AH$17&amp;"!T"&amp;ROW(B794))</f>
        <v/>
      </c>
      <c r="AR813" s="100">
        <f t="shared" si="27"/>
        <v>-9.965301026</v>
      </c>
    </row>
    <row r="814">
      <c r="A814" t="str">
        <f t="shared" si="3"/>
        <v/>
      </c>
      <c r="B814" s="42">
        <f t="shared" si="4"/>
        <v>-3.155358621</v>
      </c>
      <c r="C814" s="43">
        <f t="shared" si="5"/>
        <v>-1.740686581</v>
      </c>
      <c r="D814" s="42">
        <f t="shared" si="6"/>
        <v>-2.380599106</v>
      </c>
      <c r="E814" s="42">
        <f t="shared" si="7"/>
        <v>-1.79320266</v>
      </c>
      <c r="F814" s="42">
        <f t="shared" si="8"/>
        <v>-3.240190514</v>
      </c>
      <c r="G814" s="42">
        <f t="shared" si="9"/>
        <v>-1.329092151</v>
      </c>
      <c r="H814" s="42">
        <f t="shared" si="10"/>
        <v>0</v>
      </c>
      <c r="I814" s="42" t="str">
        <f>UpdateHashtag!S812</f>
        <v/>
      </c>
      <c r="J814" s="47">
        <f t="shared" si="11"/>
        <v>0</v>
      </c>
      <c r="K814" s="48" t="str">
        <f>UpdateHashtag!T812</f>
        <v/>
      </c>
      <c r="L814" s="42">
        <f t="shared" si="12"/>
        <v>-1.734552372</v>
      </c>
      <c r="N814" s="100">
        <f t="shared" si="13"/>
        <v>401</v>
      </c>
      <c r="O814" s="94" t="str">
        <f t="array" ref="O814">INDIRECT("Update"&amp;Projections!$AH$17&amp;"!B"&amp;ROW(B795))</f>
        <v/>
      </c>
      <c r="P814" s="414" t="str">
        <f t="array" ref="P814">INDIRECT("Update"&amp;Projections!$AH$17&amp;"!C"&amp;ROW(B795))</f>
        <v/>
      </c>
      <c r="Q814" s="94" t="str">
        <f>UpdateHashtag!F844</f>
        <v/>
      </c>
      <c r="R814" s="105" t="str">
        <f t="array" ref="R814">INDIRECT("Update"&amp;Projections!$AH$17&amp;"!D"&amp;ROW(B795))</f>
        <v/>
      </c>
      <c r="S814" s="73">
        <f t="shared" si="14"/>
        <v>-9.965301026</v>
      </c>
      <c r="T814" s="73">
        <f>SUM(AE814:AM814)-IFERROR(IFS(Projections!$I$17,AN814,Projections!$J$17,AO814),"")</f>
        <v>-9.965301026</v>
      </c>
      <c r="U814" s="73">
        <f t="shared" si="15"/>
        <v>0</v>
      </c>
      <c r="V814" s="73" t="str">
        <f t="array" ref="V814">INDIRECT("Update"&amp;Projections!$AH$17&amp;"!M"&amp;ROW(B795))</f>
        <v/>
      </c>
      <c r="W814" s="73" t="str">
        <f t="array" ref="W814">INDIRECT("Update"&amp;Projections!$AH$17&amp;"!L"&amp;ROW(B795))</f>
        <v/>
      </c>
      <c r="X814" s="73" t="str">
        <f t="array" ref="X814">INDIRECT("Update"&amp;Projections!$AH$17&amp;"!N"&amp;ROW(B795))</f>
        <v/>
      </c>
      <c r="Y814" s="73" t="str">
        <f t="array" ref="Y814">INDIRECT("Update"&amp;Projections!$AH$17&amp;"!O"&amp;ROW(B795))</f>
        <v/>
      </c>
      <c r="Z814" s="73" t="str">
        <f t="array" ref="Z814">INDIRECT("Update"&amp;Projections!$AH$17&amp;"!P"&amp;ROW(B795))</f>
        <v/>
      </c>
      <c r="AA814" s="73" t="str">
        <f t="array" ref="AA814">INDIRECT("Update"&amp;Projections!$AH$17&amp;"!Q"&amp;ROW(B795))</f>
        <v/>
      </c>
      <c r="AB814" s="107" t="str">
        <f t="array" ref="AB814">INDIRECT("Update"&amp;Projections!$AH$17&amp;"!I"&amp;ROW(B795))</f>
        <v/>
      </c>
      <c r="AC814" s="107" t="str">
        <f t="array" ref="AC814">INDIRECT("Update"&amp;Projections!$AH$17&amp;"!K"&amp;ROW(B795))</f>
        <v/>
      </c>
      <c r="AD814" s="73" t="str">
        <f t="array" ref="AD814">INDIRECT("Update"&amp;Projections!$AH$17&amp;"!R"&amp;ROW(B795))</f>
        <v/>
      </c>
      <c r="AE814" s="73">
        <f t="shared" si="16"/>
        <v>-3.155358621</v>
      </c>
      <c r="AF814" s="73">
        <f t="shared" si="17"/>
        <v>-1.740686581</v>
      </c>
      <c r="AG814" s="73">
        <f t="shared" si="18"/>
        <v>-2.380599106</v>
      </c>
      <c r="AH814" s="73">
        <f t="shared" si="19"/>
        <v>-1.79320266</v>
      </c>
      <c r="AI814" s="73">
        <f t="shared" si="20"/>
        <v>-3.240190514</v>
      </c>
      <c r="AJ814" s="73">
        <f t="shared" si="21"/>
        <v>-1.329092151</v>
      </c>
      <c r="AK814" s="73">
        <f t="shared" si="22"/>
        <v>0</v>
      </c>
      <c r="AL814" s="73">
        <f t="shared" si="23"/>
        <v>0</v>
      </c>
      <c r="AM814" s="73">
        <f t="shared" si="24"/>
        <v>0.433638093</v>
      </c>
      <c r="AN814" s="120">
        <f t="shared" si="25"/>
        <v>-3.240190514</v>
      </c>
      <c r="AO814" s="120">
        <f t="shared" si="26"/>
        <v>-6.395549135</v>
      </c>
      <c r="AP814" s="120" t="str">
        <f t="array" ref="AP814">INDIRECT("Update"&amp;Projections!$AH$17&amp;"!S"&amp;ROW(B795))</f>
        <v/>
      </c>
      <c r="AQ814" s="120" t="str">
        <f t="array" ref="AQ814">INDIRECT("Update"&amp;Projections!$AH$17&amp;"!T"&amp;ROW(B795))</f>
        <v/>
      </c>
      <c r="AR814" s="100">
        <f t="shared" si="27"/>
        <v>-9.965301026</v>
      </c>
    </row>
    <row r="815">
      <c r="A815" t="str">
        <f t="shared" si="3"/>
        <v/>
      </c>
      <c r="B815" s="42">
        <f t="shared" si="4"/>
        <v>-3.155358621</v>
      </c>
      <c r="C815" s="43">
        <f t="shared" si="5"/>
        <v>-1.740686581</v>
      </c>
      <c r="D815" s="42">
        <f t="shared" si="6"/>
        <v>-2.380599106</v>
      </c>
      <c r="E815" s="42">
        <f t="shared" si="7"/>
        <v>-1.79320266</v>
      </c>
      <c r="F815" s="42">
        <f t="shared" si="8"/>
        <v>-3.240190514</v>
      </c>
      <c r="G815" s="42">
        <f t="shared" si="9"/>
        <v>-1.329092151</v>
      </c>
      <c r="H815" s="42">
        <f t="shared" si="10"/>
        <v>0</v>
      </c>
      <c r="I815" s="42" t="str">
        <f>UpdateHashtag!S813</f>
        <v/>
      </c>
      <c r="J815" s="47">
        <f t="shared" si="11"/>
        <v>0</v>
      </c>
      <c r="K815" s="48" t="str">
        <f>UpdateHashtag!T813</f>
        <v/>
      </c>
      <c r="L815" s="42">
        <f t="shared" si="12"/>
        <v>-1.734552372</v>
      </c>
      <c r="N815" s="100">
        <f t="shared" si="13"/>
        <v>401</v>
      </c>
      <c r="O815" s="94" t="str">
        <f t="array" ref="O815">INDIRECT("Update"&amp;Projections!$AH$17&amp;"!B"&amp;ROW(B796))</f>
        <v/>
      </c>
      <c r="P815" s="414" t="str">
        <f t="array" ref="P815">INDIRECT("Update"&amp;Projections!$AH$17&amp;"!C"&amp;ROW(B796))</f>
        <v/>
      </c>
      <c r="Q815" s="94" t="str">
        <f>UpdateHashtag!F845</f>
        <v/>
      </c>
      <c r="R815" s="105" t="str">
        <f t="array" ref="R815">INDIRECT("Update"&amp;Projections!$AH$17&amp;"!D"&amp;ROW(B796))</f>
        <v/>
      </c>
      <c r="S815" s="73">
        <f t="shared" si="14"/>
        <v>-9.965301026</v>
      </c>
      <c r="T815" s="73">
        <f>SUM(AE815:AM815)-IFERROR(IFS(Projections!$I$17,AN815,Projections!$J$17,AO815),"")</f>
        <v>-9.965301026</v>
      </c>
      <c r="U815" s="73">
        <f t="shared" si="15"/>
        <v>0</v>
      </c>
      <c r="V815" s="73" t="str">
        <f t="array" ref="V815">INDIRECT("Update"&amp;Projections!$AH$17&amp;"!M"&amp;ROW(B796))</f>
        <v/>
      </c>
      <c r="W815" s="73" t="str">
        <f t="array" ref="W815">INDIRECT("Update"&amp;Projections!$AH$17&amp;"!L"&amp;ROW(B796))</f>
        <v/>
      </c>
      <c r="X815" s="73" t="str">
        <f t="array" ref="X815">INDIRECT("Update"&amp;Projections!$AH$17&amp;"!N"&amp;ROW(B796))</f>
        <v/>
      </c>
      <c r="Y815" s="73" t="str">
        <f t="array" ref="Y815">INDIRECT("Update"&amp;Projections!$AH$17&amp;"!O"&amp;ROW(B796))</f>
        <v/>
      </c>
      <c r="Z815" s="73" t="str">
        <f t="array" ref="Z815">INDIRECT("Update"&amp;Projections!$AH$17&amp;"!P"&amp;ROW(B796))</f>
        <v/>
      </c>
      <c r="AA815" s="73" t="str">
        <f t="array" ref="AA815">INDIRECT("Update"&amp;Projections!$AH$17&amp;"!Q"&amp;ROW(B796))</f>
        <v/>
      </c>
      <c r="AB815" s="107" t="str">
        <f t="array" ref="AB815">INDIRECT("Update"&amp;Projections!$AH$17&amp;"!I"&amp;ROW(B796))</f>
        <v/>
      </c>
      <c r="AC815" s="107" t="str">
        <f t="array" ref="AC815">INDIRECT("Update"&amp;Projections!$AH$17&amp;"!K"&amp;ROW(B796))</f>
        <v/>
      </c>
      <c r="AD815" s="73" t="str">
        <f t="array" ref="AD815">INDIRECT("Update"&amp;Projections!$AH$17&amp;"!R"&amp;ROW(B796))</f>
        <v/>
      </c>
      <c r="AE815" s="73">
        <f t="shared" si="16"/>
        <v>-3.155358621</v>
      </c>
      <c r="AF815" s="73">
        <f t="shared" si="17"/>
        <v>-1.740686581</v>
      </c>
      <c r="AG815" s="73">
        <f t="shared" si="18"/>
        <v>-2.380599106</v>
      </c>
      <c r="AH815" s="73">
        <f t="shared" si="19"/>
        <v>-1.79320266</v>
      </c>
      <c r="AI815" s="73">
        <f t="shared" si="20"/>
        <v>-3.240190514</v>
      </c>
      <c r="AJ815" s="73">
        <f t="shared" si="21"/>
        <v>-1.329092151</v>
      </c>
      <c r="AK815" s="73">
        <f t="shared" si="22"/>
        <v>0</v>
      </c>
      <c r="AL815" s="73">
        <f t="shared" si="23"/>
        <v>0</v>
      </c>
      <c r="AM815" s="73">
        <f t="shared" si="24"/>
        <v>0.433638093</v>
      </c>
      <c r="AN815" s="120">
        <f t="shared" si="25"/>
        <v>-3.240190514</v>
      </c>
      <c r="AO815" s="120">
        <f t="shared" si="26"/>
        <v>-6.395549135</v>
      </c>
      <c r="AP815" s="120" t="str">
        <f t="array" ref="AP815">INDIRECT("Update"&amp;Projections!$AH$17&amp;"!S"&amp;ROW(B796))</f>
        <v/>
      </c>
      <c r="AQ815" s="120" t="str">
        <f t="array" ref="AQ815">INDIRECT("Update"&amp;Projections!$AH$17&amp;"!T"&amp;ROW(B796))</f>
        <v/>
      </c>
      <c r="AR815" s="100">
        <f t="shared" si="27"/>
        <v>-9.965301026</v>
      </c>
    </row>
    <row r="816">
      <c r="A816" t="str">
        <f t="shared" si="3"/>
        <v/>
      </c>
      <c r="B816" s="42">
        <f t="shared" si="4"/>
        <v>-3.155358621</v>
      </c>
      <c r="C816" s="43">
        <f t="shared" si="5"/>
        <v>-1.740686581</v>
      </c>
      <c r="D816" s="42">
        <f t="shared" si="6"/>
        <v>-2.380599106</v>
      </c>
      <c r="E816" s="42">
        <f t="shared" si="7"/>
        <v>-1.79320266</v>
      </c>
      <c r="F816" s="42">
        <f t="shared" si="8"/>
        <v>-3.240190514</v>
      </c>
      <c r="G816" s="42">
        <f t="shared" si="9"/>
        <v>-1.329092151</v>
      </c>
      <c r="H816" s="42">
        <f t="shared" si="10"/>
        <v>0</v>
      </c>
      <c r="I816" s="42" t="str">
        <f>UpdateHashtag!S814</f>
        <v/>
      </c>
      <c r="J816" s="47">
        <f t="shared" si="11"/>
        <v>0</v>
      </c>
      <c r="K816" s="48" t="str">
        <f>UpdateHashtag!T814</f>
        <v/>
      </c>
      <c r="L816" s="42">
        <f t="shared" si="12"/>
        <v>-1.734552372</v>
      </c>
      <c r="N816" s="100">
        <f t="shared" si="13"/>
        <v>401</v>
      </c>
      <c r="O816" s="94" t="str">
        <f t="array" ref="O816">INDIRECT("Update"&amp;Projections!$AH$17&amp;"!B"&amp;ROW(B797))</f>
        <v/>
      </c>
      <c r="P816" s="414" t="str">
        <f t="array" ref="P816">INDIRECT("Update"&amp;Projections!$AH$17&amp;"!C"&amp;ROW(B797))</f>
        <v/>
      </c>
      <c r="Q816" s="94" t="str">
        <f>UpdateHashtag!F846</f>
        <v/>
      </c>
      <c r="R816" s="105" t="str">
        <f t="array" ref="R816">INDIRECT("Update"&amp;Projections!$AH$17&amp;"!D"&amp;ROW(B797))</f>
        <v/>
      </c>
      <c r="S816" s="73">
        <f t="shared" si="14"/>
        <v>-9.965301026</v>
      </c>
      <c r="T816" s="73">
        <f>SUM(AE816:AM816)-IFERROR(IFS(Projections!$I$17,AN816,Projections!$J$17,AO816),"")</f>
        <v>-9.965301026</v>
      </c>
      <c r="U816" s="73">
        <f t="shared" si="15"/>
        <v>0</v>
      </c>
      <c r="V816" s="73" t="str">
        <f t="array" ref="V816">INDIRECT("Update"&amp;Projections!$AH$17&amp;"!M"&amp;ROW(B797))</f>
        <v/>
      </c>
      <c r="W816" s="73" t="str">
        <f t="array" ref="W816">INDIRECT("Update"&amp;Projections!$AH$17&amp;"!L"&amp;ROW(B797))</f>
        <v/>
      </c>
      <c r="X816" s="73" t="str">
        <f t="array" ref="X816">INDIRECT("Update"&amp;Projections!$AH$17&amp;"!N"&amp;ROW(B797))</f>
        <v/>
      </c>
      <c r="Y816" s="73" t="str">
        <f t="array" ref="Y816">INDIRECT("Update"&amp;Projections!$AH$17&amp;"!O"&amp;ROW(B797))</f>
        <v/>
      </c>
      <c r="Z816" s="73" t="str">
        <f t="array" ref="Z816">INDIRECT("Update"&amp;Projections!$AH$17&amp;"!P"&amp;ROW(B797))</f>
        <v/>
      </c>
      <c r="AA816" s="73" t="str">
        <f t="array" ref="AA816">INDIRECT("Update"&amp;Projections!$AH$17&amp;"!Q"&amp;ROW(B797))</f>
        <v/>
      </c>
      <c r="AB816" s="107" t="str">
        <f t="array" ref="AB816">INDIRECT("Update"&amp;Projections!$AH$17&amp;"!I"&amp;ROW(B797))</f>
        <v/>
      </c>
      <c r="AC816" s="107" t="str">
        <f t="array" ref="AC816">INDIRECT("Update"&amp;Projections!$AH$17&amp;"!K"&amp;ROW(B797))</f>
        <v/>
      </c>
      <c r="AD816" s="73" t="str">
        <f t="array" ref="AD816">INDIRECT("Update"&amp;Projections!$AH$17&amp;"!R"&amp;ROW(B797))</f>
        <v/>
      </c>
      <c r="AE816" s="73">
        <f t="shared" si="16"/>
        <v>-3.155358621</v>
      </c>
      <c r="AF816" s="73">
        <f t="shared" si="17"/>
        <v>-1.740686581</v>
      </c>
      <c r="AG816" s="73">
        <f t="shared" si="18"/>
        <v>-2.380599106</v>
      </c>
      <c r="AH816" s="73">
        <f t="shared" si="19"/>
        <v>-1.79320266</v>
      </c>
      <c r="AI816" s="73">
        <f t="shared" si="20"/>
        <v>-3.240190514</v>
      </c>
      <c r="AJ816" s="73">
        <f t="shared" si="21"/>
        <v>-1.329092151</v>
      </c>
      <c r="AK816" s="73">
        <f t="shared" si="22"/>
        <v>0</v>
      </c>
      <c r="AL816" s="73">
        <f t="shared" si="23"/>
        <v>0</v>
      </c>
      <c r="AM816" s="73">
        <f t="shared" si="24"/>
        <v>0.433638093</v>
      </c>
      <c r="AN816" s="120">
        <f t="shared" si="25"/>
        <v>-3.240190514</v>
      </c>
      <c r="AO816" s="120">
        <f t="shared" si="26"/>
        <v>-6.395549135</v>
      </c>
      <c r="AP816" s="120" t="str">
        <f t="array" ref="AP816">INDIRECT("Update"&amp;Projections!$AH$17&amp;"!S"&amp;ROW(B797))</f>
        <v/>
      </c>
      <c r="AQ816" s="120" t="str">
        <f t="array" ref="AQ816">INDIRECT("Update"&amp;Projections!$AH$17&amp;"!T"&amp;ROW(B797))</f>
        <v/>
      </c>
      <c r="AR816" s="100">
        <f t="shared" si="27"/>
        <v>-9.965301026</v>
      </c>
    </row>
    <row r="817">
      <c r="A817" t="str">
        <f t="shared" si="3"/>
        <v/>
      </c>
      <c r="B817" s="42">
        <f t="shared" si="4"/>
        <v>-3.155358621</v>
      </c>
      <c r="C817" s="43">
        <f t="shared" si="5"/>
        <v>-1.740686581</v>
      </c>
      <c r="D817" s="42">
        <f t="shared" si="6"/>
        <v>-2.380599106</v>
      </c>
      <c r="E817" s="42">
        <f t="shared" si="7"/>
        <v>-1.79320266</v>
      </c>
      <c r="F817" s="42">
        <f t="shared" si="8"/>
        <v>-3.240190514</v>
      </c>
      <c r="G817" s="42">
        <f t="shared" si="9"/>
        <v>-1.329092151</v>
      </c>
      <c r="H817" s="42">
        <f t="shared" si="10"/>
        <v>0</v>
      </c>
      <c r="I817" s="42" t="str">
        <f>UpdateHashtag!S815</f>
        <v/>
      </c>
      <c r="J817" s="47">
        <f t="shared" si="11"/>
        <v>0</v>
      </c>
      <c r="K817" s="48" t="str">
        <f>UpdateHashtag!T815</f>
        <v/>
      </c>
      <c r="L817" s="42">
        <f t="shared" si="12"/>
        <v>-1.734552372</v>
      </c>
      <c r="N817" s="100">
        <f t="shared" si="13"/>
        <v>401</v>
      </c>
      <c r="O817" s="94" t="str">
        <f t="array" ref="O817">INDIRECT("Update"&amp;Projections!$AH$17&amp;"!B"&amp;ROW(B798))</f>
        <v/>
      </c>
      <c r="P817" s="414" t="str">
        <f t="array" ref="P817">INDIRECT("Update"&amp;Projections!$AH$17&amp;"!C"&amp;ROW(B798))</f>
        <v/>
      </c>
      <c r="Q817" s="94" t="str">
        <f>UpdateHashtag!F847</f>
        <v/>
      </c>
      <c r="R817" s="105" t="str">
        <f t="array" ref="R817">INDIRECT("Update"&amp;Projections!$AH$17&amp;"!D"&amp;ROW(B798))</f>
        <v/>
      </c>
      <c r="S817" s="73">
        <f t="shared" si="14"/>
        <v>-9.965301026</v>
      </c>
      <c r="T817" s="73">
        <f>SUM(AE817:AM817)-IFERROR(IFS(Projections!$I$17,AN817,Projections!$J$17,AO817),"")</f>
        <v>-9.965301026</v>
      </c>
      <c r="U817" s="73">
        <f t="shared" si="15"/>
        <v>0</v>
      </c>
      <c r="V817" s="73" t="str">
        <f t="array" ref="V817">INDIRECT("Update"&amp;Projections!$AH$17&amp;"!M"&amp;ROW(B798))</f>
        <v/>
      </c>
      <c r="W817" s="73" t="str">
        <f t="array" ref="W817">INDIRECT("Update"&amp;Projections!$AH$17&amp;"!L"&amp;ROW(B798))</f>
        <v/>
      </c>
      <c r="X817" s="73" t="str">
        <f t="array" ref="X817">INDIRECT("Update"&amp;Projections!$AH$17&amp;"!N"&amp;ROW(B798))</f>
        <v/>
      </c>
      <c r="Y817" s="73" t="str">
        <f t="array" ref="Y817">INDIRECT("Update"&amp;Projections!$AH$17&amp;"!O"&amp;ROW(B798))</f>
        <v/>
      </c>
      <c r="Z817" s="73" t="str">
        <f t="array" ref="Z817">INDIRECT("Update"&amp;Projections!$AH$17&amp;"!P"&amp;ROW(B798))</f>
        <v/>
      </c>
      <c r="AA817" s="73" t="str">
        <f t="array" ref="AA817">INDIRECT("Update"&amp;Projections!$AH$17&amp;"!Q"&amp;ROW(B798))</f>
        <v/>
      </c>
      <c r="AB817" s="107" t="str">
        <f t="array" ref="AB817">INDIRECT("Update"&amp;Projections!$AH$17&amp;"!I"&amp;ROW(B798))</f>
        <v/>
      </c>
      <c r="AC817" s="107" t="str">
        <f t="array" ref="AC817">INDIRECT("Update"&amp;Projections!$AH$17&amp;"!K"&amp;ROW(B798))</f>
        <v/>
      </c>
      <c r="AD817" s="73" t="str">
        <f t="array" ref="AD817">INDIRECT("Update"&amp;Projections!$AH$17&amp;"!R"&amp;ROW(B798))</f>
        <v/>
      </c>
      <c r="AE817" s="73">
        <f t="shared" si="16"/>
        <v>-3.155358621</v>
      </c>
      <c r="AF817" s="73">
        <f t="shared" si="17"/>
        <v>-1.740686581</v>
      </c>
      <c r="AG817" s="73">
        <f t="shared" si="18"/>
        <v>-2.380599106</v>
      </c>
      <c r="AH817" s="73">
        <f t="shared" si="19"/>
        <v>-1.79320266</v>
      </c>
      <c r="AI817" s="73">
        <f t="shared" si="20"/>
        <v>-3.240190514</v>
      </c>
      <c r="AJ817" s="73">
        <f t="shared" si="21"/>
        <v>-1.329092151</v>
      </c>
      <c r="AK817" s="73">
        <f t="shared" si="22"/>
        <v>0</v>
      </c>
      <c r="AL817" s="73">
        <f t="shared" si="23"/>
        <v>0</v>
      </c>
      <c r="AM817" s="73">
        <f t="shared" si="24"/>
        <v>0.433638093</v>
      </c>
      <c r="AN817" s="120">
        <f t="shared" si="25"/>
        <v>-3.240190514</v>
      </c>
      <c r="AO817" s="120">
        <f t="shared" si="26"/>
        <v>-6.395549135</v>
      </c>
      <c r="AP817" s="120" t="str">
        <f t="array" ref="AP817">INDIRECT("Update"&amp;Projections!$AH$17&amp;"!S"&amp;ROW(B798))</f>
        <v/>
      </c>
      <c r="AQ817" s="120" t="str">
        <f t="array" ref="AQ817">INDIRECT("Update"&amp;Projections!$AH$17&amp;"!T"&amp;ROW(B798))</f>
        <v/>
      </c>
      <c r="AR817" s="100">
        <f t="shared" si="27"/>
        <v>-9.965301026</v>
      </c>
    </row>
    <row r="818">
      <c r="A818" t="str">
        <f t="shared" si="3"/>
        <v/>
      </c>
      <c r="B818" s="42">
        <f t="shared" si="4"/>
        <v>-3.155358621</v>
      </c>
      <c r="C818" s="43">
        <f t="shared" si="5"/>
        <v>-1.740686581</v>
      </c>
      <c r="D818" s="42">
        <f t="shared" si="6"/>
        <v>-2.380599106</v>
      </c>
      <c r="E818" s="42">
        <f t="shared" si="7"/>
        <v>-1.79320266</v>
      </c>
      <c r="F818" s="42">
        <f t="shared" si="8"/>
        <v>-3.240190514</v>
      </c>
      <c r="G818" s="42">
        <f t="shared" si="9"/>
        <v>-1.329092151</v>
      </c>
      <c r="H818" s="42">
        <f t="shared" si="10"/>
        <v>0</v>
      </c>
      <c r="I818" s="42" t="str">
        <f>UpdateHashtag!S816</f>
        <v/>
      </c>
      <c r="J818" s="47">
        <f t="shared" si="11"/>
        <v>0</v>
      </c>
      <c r="K818" s="48" t="str">
        <f>UpdateHashtag!T816</f>
        <v/>
      </c>
      <c r="L818" s="42">
        <f t="shared" si="12"/>
        <v>-1.734552372</v>
      </c>
      <c r="N818" s="100">
        <f t="shared" si="13"/>
        <v>401</v>
      </c>
      <c r="O818" s="94" t="str">
        <f t="array" ref="O818">INDIRECT("Update"&amp;Projections!$AH$17&amp;"!B"&amp;ROW(B799))</f>
        <v/>
      </c>
      <c r="P818" s="414" t="str">
        <f t="array" ref="P818">INDIRECT("Update"&amp;Projections!$AH$17&amp;"!C"&amp;ROW(B799))</f>
        <v/>
      </c>
      <c r="Q818" s="94" t="str">
        <f>UpdateHashtag!F848</f>
        <v/>
      </c>
      <c r="R818" s="105" t="str">
        <f t="array" ref="R818">INDIRECT("Update"&amp;Projections!$AH$17&amp;"!D"&amp;ROW(B799))</f>
        <v/>
      </c>
      <c r="S818" s="73">
        <f t="shared" si="14"/>
        <v>-9.965301026</v>
      </c>
      <c r="T818" s="73">
        <f>SUM(AE818:AM818)-IFERROR(IFS(Projections!$I$17,AN818,Projections!$J$17,AO818),"")</f>
        <v>-9.965301026</v>
      </c>
      <c r="U818" s="73">
        <f t="shared" si="15"/>
        <v>0</v>
      </c>
      <c r="V818" s="73" t="str">
        <f t="array" ref="V818">INDIRECT("Update"&amp;Projections!$AH$17&amp;"!M"&amp;ROW(B799))</f>
        <v/>
      </c>
      <c r="W818" s="73" t="str">
        <f t="array" ref="W818">INDIRECT("Update"&amp;Projections!$AH$17&amp;"!L"&amp;ROW(B799))</f>
        <v/>
      </c>
      <c r="X818" s="73" t="str">
        <f t="array" ref="X818">INDIRECT("Update"&amp;Projections!$AH$17&amp;"!N"&amp;ROW(B799))</f>
        <v/>
      </c>
      <c r="Y818" s="73" t="str">
        <f t="array" ref="Y818">INDIRECT("Update"&amp;Projections!$AH$17&amp;"!O"&amp;ROW(B799))</f>
        <v/>
      </c>
      <c r="Z818" s="73" t="str">
        <f t="array" ref="Z818">INDIRECT("Update"&amp;Projections!$AH$17&amp;"!P"&amp;ROW(B799))</f>
        <v/>
      </c>
      <c r="AA818" s="73" t="str">
        <f t="array" ref="AA818">INDIRECT("Update"&amp;Projections!$AH$17&amp;"!Q"&amp;ROW(B799))</f>
        <v/>
      </c>
      <c r="AB818" s="107" t="str">
        <f t="array" ref="AB818">INDIRECT("Update"&amp;Projections!$AH$17&amp;"!I"&amp;ROW(B799))</f>
        <v/>
      </c>
      <c r="AC818" s="107" t="str">
        <f t="array" ref="AC818">INDIRECT("Update"&amp;Projections!$AH$17&amp;"!K"&amp;ROW(B799))</f>
        <v/>
      </c>
      <c r="AD818" s="73" t="str">
        <f t="array" ref="AD818">INDIRECT("Update"&amp;Projections!$AH$17&amp;"!R"&amp;ROW(B799))</f>
        <v/>
      </c>
      <c r="AE818" s="73">
        <f t="shared" si="16"/>
        <v>-3.155358621</v>
      </c>
      <c r="AF818" s="73">
        <f t="shared" si="17"/>
        <v>-1.740686581</v>
      </c>
      <c r="AG818" s="73">
        <f t="shared" si="18"/>
        <v>-2.380599106</v>
      </c>
      <c r="AH818" s="73">
        <f t="shared" si="19"/>
        <v>-1.79320266</v>
      </c>
      <c r="AI818" s="73">
        <f t="shared" si="20"/>
        <v>-3.240190514</v>
      </c>
      <c r="AJ818" s="73">
        <f t="shared" si="21"/>
        <v>-1.329092151</v>
      </c>
      <c r="AK818" s="73">
        <f t="shared" si="22"/>
        <v>0</v>
      </c>
      <c r="AL818" s="73">
        <f t="shared" si="23"/>
        <v>0</v>
      </c>
      <c r="AM818" s="73">
        <f t="shared" si="24"/>
        <v>0.433638093</v>
      </c>
      <c r="AN818" s="120">
        <f t="shared" si="25"/>
        <v>-3.240190514</v>
      </c>
      <c r="AO818" s="120">
        <f t="shared" si="26"/>
        <v>-6.395549135</v>
      </c>
      <c r="AP818" s="120" t="str">
        <f t="array" ref="AP818">INDIRECT("Update"&amp;Projections!$AH$17&amp;"!S"&amp;ROW(B799))</f>
        <v/>
      </c>
      <c r="AQ818" s="120" t="str">
        <f t="array" ref="AQ818">INDIRECT("Update"&amp;Projections!$AH$17&amp;"!T"&amp;ROW(B799))</f>
        <v/>
      </c>
      <c r="AR818" s="100">
        <f t="shared" si="27"/>
        <v>-9.965301026</v>
      </c>
    </row>
    <row r="819">
      <c r="A819" t="str">
        <f t="shared" si="3"/>
        <v/>
      </c>
      <c r="B819" s="42">
        <f t="shared" si="4"/>
        <v>-3.155358621</v>
      </c>
      <c r="C819" s="43">
        <f t="shared" si="5"/>
        <v>-1.740686581</v>
      </c>
      <c r="D819" s="42">
        <f t="shared" si="6"/>
        <v>-2.380599106</v>
      </c>
      <c r="E819" s="42">
        <f t="shared" si="7"/>
        <v>-1.79320266</v>
      </c>
      <c r="F819" s="42">
        <f t="shared" si="8"/>
        <v>-3.240190514</v>
      </c>
      <c r="G819" s="42">
        <f t="shared" si="9"/>
        <v>-1.329092151</v>
      </c>
      <c r="H819" s="42">
        <f t="shared" si="10"/>
        <v>0</v>
      </c>
      <c r="I819" s="42" t="str">
        <f>UpdateHashtag!S817</f>
        <v/>
      </c>
      <c r="J819" s="47">
        <f t="shared" si="11"/>
        <v>0</v>
      </c>
      <c r="K819" s="48" t="str">
        <f>UpdateHashtag!T817</f>
        <v/>
      </c>
      <c r="L819" s="42">
        <f t="shared" si="12"/>
        <v>-1.734552372</v>
      </c>
      <c r="N819" s="100">
        <f t="shared" si="13"/>
        <v>401</v>
      </c>
      <c r="O819" s="94" t="str">
        <f t="array" ref="O819">INDIRECT("Update"&amp;Projections!$AH$17&amp;"!B"&amp;ROW(B800))</f>
        <v/>
      </c>
      <c r="P819" s="414" t="str">
        <f t="array" ref="P819">INDIRECT("Update"&amp;Projections!$AH$17&amp;"!C"&amp;ROW(B800))</f>
        <v/>
      </c>
      <c r="Q819" s="94" t="str">
        <f>UpdateHashtag!F849</f>
        <v/>
      </c>
      <c r="R819" s="105" t="str">
        <f t="array" ref="R819">INDIRECT("Update"&amp;Projections!$AH$17&amp;"!D"&amp;ROW(B800))</f>
        <v/>
      </c>
      <c r="S819" s="73">
        <f t="shared" si="14"/>
        <v>-9.965301026</v>
      </c>
      <c r="T819" s="73">
        <f>SUM(AE819:AM819)-IFERROR(IFS(Projections!$I$17,AN819,Projections!$J$17,AO819),"")</f>
        <v>-9.965301026</v>
      </c>
      <c r="U819" s="73">
        <f t="shared" si="15"/>
        <v>0</v>
      </c>
      <c r="V819" s="73" t="str">
        <f t="array" ref="V819">INDIRECT("Update"&amp;Projections!$AH$17&amp;"!M"&amp;ROW(B800))</f>
        <v/>
      </c>
      <c r="W819" s="73" t="str">
        <f t="array" ref="W819">INDIRECT("Update"&amp;Projections!$AH$17&amp;"!L"&amp;ROW(B800))</f>
        <v/>
      </c>
      <c r="X819" s="73" t="str">
        <f t="array" ref="X819">INDIRECT("Update"&amp;Projections!$AH$17&amp;"!N"&amp;ROW(B800))</f>
        <v/>
      </c>
      <c r="Y819" s="73" t="str">
        <f t="array" ref="Y819">INDIRECT("Update"&amp;Projections!$AH$17&amp;"!O"&amp;ROW(B800))</f>
        <v/>
      </c>
      <c r="Z819" s="73" t="str">
        <f t="array" ref="Z819">INDIRECT("Update"&amp;Projections!$AH$17&amp;"!P"&amp;ROW(B800))</f>
        <v/>
      </c>
      <c r="AA819" s="73" t="str">
        <f t="array" ref="AA819">INDIRECT("Update"&amp;Projections!$AH$17&amp;"!Q"&amp;ROW(B800))</f>
        <v/>
      </c>
      <c r="AB819" s="107" t="str">
        <f t="array" ref="AB819">INDIRECT("Update"&amp;Projections!$AH$17&amp;"!I"&amp;ROW(B800))</f>
        <v/>
      </c>
      <c r="AC819" s="107" t="str">
        <f t="array" ref="AC819">INDIRECT("Update"&amp;Projections!$AH$17&amp;"!K"&amp;ROW(B800))</f>
        <v/>
      </c>
      <c r="AD819" s="73" t="str">
        <f t="array" ref="AD819">INDIRECT("Update"&amp;Projections!$AH$17&amp;"!R"&amp;ROW(B800))</f>
        <v/>
      </c>
      <c r="AE819" s="73">
        <f t="shared" si="16"/>
        <v>-3.155358621</v>
      </c>
      <c r="AF819" s="73">
        <f t="shared" si="17"/>
        <v>-1.740686581</v>
      </c>
      <c r="AG819" s="73">
        <f t="shared" si="18"/>
        <v>-2.380599106</v>
      </c>
      <c r="AH819" s="73">
        <f t="shared" si="19"/>
        <v>-1.79320266</v>
      </c>
      <c r="AI819" s="73">
        <f t="shared" si="20"/>
        <v>-3.240190514</v>
      </c>
      <c r="AJ819" s="73">
        <f t="shared" si="21"/>
        <v>-1.329092151</v>
      </c>
      <c r="AK819" s="73">
        <f t="shared" si="22"/>
        <v>0</v>
      </c>
      <c r="AL819" s="73">
        <f t="shared" si="23"/>
        <v>0</v>
      </c>
      <c r="AM819" s="73">
        <f t="shared" si="24"/>
        <v>0.433638093</v>
      </c>
      <c r="AN819" s="120">
        <f t="shared" si="25"/>
        <v>-3.240190514</v>
      </c>
      <c r="AO819" s="120">
        <f t="shared" si="26"/>
        <v>-6.395549135</v>
      </c>
      <c r="AP819" s="120" t="str">
        <f t="array" ref="AP819">INDIRECT("Update"&amp;Projections!$AH$17&amp;"!S"&amp;ROW(B800))</f>
        <v/>
      </c>
      <c r="AQ819" s="120" t="str">
        <f t="array" ref="AQ819">INDIRECT("Update"&amp;Projections!$AH$17&amp;"!T"&amp;ROW(B800))</f>
        <v/>
      </c>
      <c r="AR819" s="100">
        <f t="shared" si="27"/>
        <v>-9.965301026</v>
      </c>
    </row>
    <row r="820">
      <c r="A820" t="str">
        <f t="shared" si="3"/>
        <v/>
      </c>
      <c r="B820" s="42">
        <f t="shared" si="4"/>
        <v>-3.155358621</v>
      </c>
      <c r="C820" s="43">
        <f t="shared" si="5"/>
        <v>-1.740686581</v>
      </c>
      <c r="D820" s="42">
        <f t="shared" si="6"/>
        <v>-2.380599106</v>
      </c>
      <c r="E820" s="42">
        <f t="shared" si="7"/>
        <v>-1.79320266</v>
      </c>
      <c r="F820" s="42">
        <f t="shared" si="8"/>
        <v>-3.240190514</v>
      </c>
      <c r="G820" s="42">
        <f t="shared" si="9"/>
        <v>-1.329092151</v>
      </c>
      <c r="H820" s="42">
        <f t="shared" si="10"/>
        <v>0</v>
      </c>
      <c r="I820" s="42" t="str">
        <f>UpdateHashtag!S818</f>
        <v/>
      </c>
      <c r="J820" s="47">
        <f t="shared" si="11"/>
        <v>0</v>
      </c>
      <c r="K820" s="48" t="str">
        <f>UpdateHashtag!T818</f>
        <v/>
      </c>
      <c r="L820" s="42">
        <f t="shared" si="12"/>
        <v>-1.734552372</v>
      </c>
      <c r="N820" s="100">
        <f t="shared" si="13"/>
        <v>401</v>
      </c>
      <c r="O820" s="94" t="str">
        <f t="array" ref="O820">INDIRECT("Update"&amp;Projections!$AH$17&amp;"!B"&amp;ROW(B801))</f>
        <v/>
      </c>
      <c r="P820" s="414" t="str">
        <f t="array" ref="P820">INDIRECT("Update"&amp;Projections!$AH$17&amp;"!C"&amp;ROW(B801))</f>
        <v/>
      </c>
      <c r="Q820" s="94" t="str">
        <f>UpdateHashtag!F850</f>
        <v/>
      </c>
      <c r="R820" s="105" t="str">
        <f t="array" ref="R820">INDIRECT("Update"&amp;Projections!$AH$17&amp;"!D"&amp;ROW(B801))</f>
        <v/>
      </c>
      <c r="S820" s="73">
        <f t="shared" si="14"/>
        <v>-9.965301026</v>
      </c>
      <c r="T820" s="73">
        <f>SUM(AE820:AM820)-IFERROR(IFS(Projections!$I$17,AN820,Projections!$J$17,AO820),"")</f>
        <v>-9.965301026</v>
      </c>
      <c r="U820" s="73">
        <f t="shared" si="15"/>
        <v>0</v>
      </c>
      <c r="V820" s="73" t="str">
        <f t="array" ref="V820">INDIRECT("Update"&amp;Projections!$AH$17&amp;"!M"&amp;ROW(B801))</f>
        <v/>
      </c>
      <c r="W820" s="73" t="str">
        <f t="array" ref="W820">INDIRECT("Update"&amp;Projections!$AH$17&amp;"!L"&amp;ROW(B801))</f>
        <v/>
      </c>
      <c r="X820" s="73" t="str">
        <f t="array" ref="X820">INDIRECT("Update"&amp;Projections!$AH$17&amp;"!N"&amp;ROW(B801))</f>
        <v/>
      </c>
      <c r="Y820" s="73" t="str">
        <f t="array" ref="Y820">INDIRECT("Update"&amp;Projections!$AH$17&amp;"!O"&amp;ROW(B801))</f>
        <v/>
      </c>
      <c r="Z820" s="73" t="str">
        <f t="array" ref="Z820">INDIRECT("Update"&amp;Projections!$AH$17&amp;"!P"&amp;ROW(B801))</f>
        <v/>
      </c>
      <c r="AA820" s="73" t="str">
        <f t="array" ref="AA820">INDIRECT("Update"&amp;Projections!$AH$17&amp;"!Q"&amp;ROW(B801))</f>
        <v/>
      </c>
      <c r="AB820" s="107" t="str">
        <f t="array" ref="AB820">INDIRECT("Update"&amp;Projections!$AH$17&amp;"!I"&amp;ROW(B801))</f>
        <v/>
      </c>
      <c r="AC820" s="107" t="str">
        <f t="array" ref="AC820">INDIRECT("Update"&amp;Projections!$AH$17&amp;"!K"&amp;ROW(B801))</f>
        <v/>
      </c>
      <c r="AD820" s="73" t="str">
        <f t="array" ref="AD820">INDIRECT("Update"&amp;Projections!$AH$17&amp;"!R"&amp;ROW(B801))</f>
        <v/>
      </c>
      <c r="AE820" s="73">
        <f t="shared" si="16"/>
        <v>-3.155358621</v>
      </c>
      <c r="AF820" s="73">
        <f t="shared" si="17"/>
        <v>-1.740686581</v>
      </c>
      <c r="AG820" s="73">
        <f t="shared" si="18"/>
        <v>-2.380599106</v>
      </c>
      <c r="AH820" s="73">
        <f t="shared" si="19"/>
        <v>-1.79320266</v>
      </c>
      <c r="AI820" s="73">
        <f t="shared" si="20"/>
        <v>-3.240190514</v>
      </c>
      <c r="AJ820" s="73">
        <f t="shared" si="21"/>
        <v>-1.329092151</v>
      </c>
      <c r="AK820" s="73">
        <f t="shared" si="22"/>
        <v>0</v>
      </c>
      <c r="AL820" s="73">
        <f t="shared" si="23"/>
        <v>0</v>
      </c>
      <c r="AM820" s="73">
        <f t="shared" si="24"/>
        <v>0.433638093</v>
      </c>
      <c r="AN820" s="120">
        <f t="shared" si="25"/>
        <v>-3.240190514</v>
      </c>
      <c r="AO820" s="120">
        <f t="shared" si="26"/>
        <v>-6.395549135</v>
      </c>
      <c r="AP820" s="120" t="str">
        <f t="array" ref="AP820">INDIRECT("Update"&amp;Projections!$AH$17&amp;"!S"&amp;ROW(B801))</f>
        <v/>
      </c>
      <c r="AQ820" s="120" t="str">
        <f t="array" ref="AQ820">INDIRECT("Update"&amp;Projections!$AH$17&amp;"!T"&amp;ROW(B801))</f>
        <v/>
      </c>
      <c r="AR820" s="100">
        <f t="shared" si="27"/>
        <v>-9.965301026</v>
      </c>
    </row>
    <row r="821">
      <c r="A821" t="str">
        <f t="shared" si="3"/>
        <v/>
      </c>
      <c r="B821" s="42">
        <f t="shared" si="4"/>
        <v>-3.155358621</v>
      </c>
      <c r="C821" s="43">
        <f t="shared" si="5"/>
        <v>-1.740686581</v>
      </c>
      <c r="D821" s="42">
        <f t="shared" si="6"/>
        <v>-2.380599106</v>
      </c>
      <c r="E821" s="42">
        <f t="shared" si="7"/>
        <v>-1.79320266</v>
      </c>
      <c r="F821" s="42">
        <f t="shared" si="8"/>
        <v>-3.240190514</v>
      </c>
      <c r="G821" s="42">
        <f t="shared" si="9"/>
        <v>-1.329092151</v>
      </c>
      <c r="H821" s="42">
        <f t="shared" si="10"/>
        <v>0</v>
      </c>
      <c r="I821" s="42" t="str">
        <f>UpdateHashtag!S819</f>
        <v/>
      </c>
      <c r="J821" s="47">
        <f t="shared" si="11"/>
        <v>0</v>
      </c>
      <c r="K821" s="48" t="str">
        <f>UpdateHashtag!T819</f>
        <v/>
      </c>
      <c r="L821" s="42">
        <f t="shared" si="12"/>
        <v>-1.734552372</v>
      </c>
      <c r="N821" s="100">
        <f t="shared" si="13"/>
        <v>401</v>
      </c>
      <c r="O821" s="94" t="str">
        <f t="array" ref="O821">INDIRECT("Update"&amp;Projections!$AH$17&amp;"!B"&amp;ROW(B802))</f>
        <v/>
      </c>
      <c r="P821" s="414" t="str">
        <f t="array" ref="P821">INDIRECT("Update"&amp;Projections!$AH$17&amp;"!C"&amp;ROW(B802))</f>
        <v/>
      </c>
      <c r="Q821" s="94" t="str">
        <f>UpdateHashtag!F851</f>
        <v/>
      </c>
      <c r="R821" s="105" t="str">
        <f t="array" ref="R821">INDIRECT("Update"&amp;Projections!$AH$17&amp;"!D"&amp;ROW(B802))</f>
        <v/>
      </c>
      <c r="S821" s="73">
        <f t="shared" si="14"/>
        <v>-9.965301026</v>
      </c>
      <c r="T821" s="73">
        <f>SUM(AE821:AM821)-IFERROR(IFS(Projections!$I$17,AN821,Projections!$J$17,AO821),"")</f>
        <v>-9.965301026</v>
      </c>
      <c r="U821" s="73">
        <f t="shared" si="15"/>
        <v>0</v>
      </c>
      <c r="V821" s="73" t="str">
        <f t="array" ref="V821">INDIRECT("Update"&amp;Projections!$AH$17&amp;"!M"&amp;ROW(B802))</f>
        <v/>
      </c>
      <c r="W821" s="73" t="str">
        <f t="array" ref="W821">INDIRECT("Update"&amp;Projections!$AH$17&amp;"!L"&amp;ROW(B802))</f>
        <v/>
      </c>
      <c r="X821" s="73" t="str">
        <f t="array" ref="X821">INDIRECT("Update"&amp;Projections!$AH$17&amp;"!N"&amp;ROW(B802))</f>
        <v/>
      </c>
      <c r="Y821" s="73" t="str">
        <f t="array" ref="Y821">INDIRECT("Update"&amp;Projections!$AH$17&amp;"!O"&amp;ROW(B802))</f>
        <v/>
      </c>
      <c r="Z821" s="73" t="str">
        <f t="array" ref="Z821">INDIRECT("Update"&amp;Projections!$AH$17&amp;"!P"&amp;ROW(B802))</f>
        <v/>
      </c>
      <c r="AA821" s="73" t="str">
        <f t="array" ref="AA821">INDIRECT("Update"&amp;Projections!$AH$17&amp;"!Q"&amp;ROW(B802))</f>
        <v/>
      </c>
      <c r="AB821" s="107" t="str">
        <f t="array" ref="AB821">INDIRECT("Update"&amp;Projections!$AH$17&amp;"!I"&amp;ROW(B802))</f>
        <v/>
      </c>
      <c r="AC821" s="107" t="str">
        <f t="array" ref="AC821">INDIRECT("Update"&amp;Projections!$AH$17&amp;"!K"&amp;ROW(B802))</f>
        <v/>
      </c>
      <c r="AD821" s="73" t="str">
        <f t="array" ref="AD821">INDIRECT("Update"&amp;Projections!$AH$17&amp;"!R"&amp;ROW(B802))</f>
        <v/>
      </c>
      <c r="AE821" s="73">
        <f t="shared" si="16"/>
        <v>-3.155358621</v>
      </c>
      <c r="AF821" s="73">
        <f t="shared" si="17"/>
        <v>-1.740686581</v>
      </c>
      <c r="AG821" s="73">
        <f t="shared" si="18"/>
        <v>-2.380599106</v>
      </c>
      <c r="AH821" s="73">
        <f t="shared" si="19"/>
        <v>-1.79320266</v>
      </c>
      <c r="AI821" s="73">
        <f t="shared" si="20"/>
        <v>-3.240190514</v>
      </c>
      <c r="AJ821" s="73">
        <f t="shared" si="21"/>
        <v>-1.329092151</v>
      </c>
      <c r="AK821" s="73">
        <f t="shared" si="22"/>
        <v>0</v>
      </c>
      <c r="AL821" s="73">
        <f t="shared" si="23"/>
        <v>0</v>
      </c>
      <c r="AM821" s="73">
        <f t="shared" si="24"/>
        <v>0.433638093</v>
      </c>
      <c r="AN821" s="120">
        <f t="shared" si="25"/>
        <v>-3.240190514</v>
      </c>
      <c r="AO821" s="120">
        <f t="shared" si="26"/>
        <v>-6.395549135</v>
      </c>
      <c r="AP821" s="120" t="str">
        <f t="array" ref="AP821">INDIRECT("Update"&amp;Projections!$AH$17&amp;"!S"&amp;ROW(B802))</f>
        <v/>
      </c>
      <c r="AQ821" s="120" t="str">
        <f t="array" ref="AQ821">INDIRECT("Update"&amp;Projections!$AH$17&amp;"!T"&amp;ROW(B802))</f>
        <v/>
      </c>
      <c r="AR821" s="100">
        <f t="shared" si="27"/>
        <v>-9.965301026</v>
      </c>
    </row>
    <row r="822">
      <c r="A822" t="str">
        <f t="shared" si="3"/>
        <v/>
      </c>
      <c r="B822" s="42">
        <f t="shared" si="4"/>
        <v>-3.155358621</v>
      </c>
      <c r="C822" s="43">
        <f t="shared" si="5"/>
        <v>-1.740686581</v>
      </c>
      <c r="D822" s="42">
        <f t="shared" si="6"/>
        <v>-2.380599106</v>
      </c>
      <c r="E822" s="42">
        <f t="shared" si="7"/>
        <v>-1.79320266</v>
      </c>
      <c r="F822" s="42">
        <f t="shared" si="8"/>
        <v>-3.240190514</v>
      </c>
      <c r="G822" s="42">
        <f t="shared" si="9"/>
        <v>-1.329092151</v>
      </c>
      <c r="H822" s="42">
        <f t="shared" si="10"/>
        <v>0</v>
      </c>
      <c r="I822" s="42" t="str">
        <f>UpdateHashtag!S820</f>
        <v/>
      </c>
      <c r="J822" s="47">
        <f t="shared" si="11"/>
        <v>0</v>
      </c>
      <c r="K822" s="48" t="str">
        <f>UpdateHashtag!T820</f>
        <v/>
      </c>
      <c r="L822" s="42">
        <f t="shared" si="12"/>
        <v>-1.734552372</v>
      </c>
      <c r="N822" s="100">
        <f t="shared" si="13"/>
        <v>401</v>
      </c>
      <c r="O822" s="94" t="str">
        <f t="array" ref="O822">INDIRECT("Update"&amp;Projections!$AH$17&amp;"!B"&amp;ROW(B803))</f>
        <v/>
      </c>
      <c r="P822" s="414" t="str">
        <f t="array" ref="P822">INDIRECT("Update"&amp;Projections!$AH$17&amp;"!C"&amp;ROW(B803))</f>
        <v/>
      </c>
      <c r="Q822" s="94" t="str">
        <f>UpdateHashtag!F852</f>
        <v/>
      </c>
      <c r="R822" s="105" t="str">
        <f t="array" ref="R822">INDIRECT("Update"&amp;Projections!$AH$17&amp;"!D"&amp;ROW(B803))</f>
        <v/>
      </c>
      <c r="S822" s="73">
        <f t="shared" si="14"/>
        <v>-9.965301026</v>
      </c>
      <c r="T822" s="73">
        <f>SUM(AE822:AM822)-IFERROR(IFS(Projections!$I$17,AN822,Projections!$J$17,AO822),"")</f>
        <v>-9.965301026</v>
      </c>
      <c r="U822" s="73">
        <f t="shared" si="15"/>
        <v>0</v>
      </c>
      <c r="V822" s="73" t="str">
        <f t="array" ref="V822">INDIRECT("Update"&amp;Projections!$AH$17&amp;"!M"&amp;ROW(B803))</f>
        <v/>
      </c>
      <c r="W822" s="73" t="str">
        <f t="array" ref="W822">INDIRECT("Update"&amp;Projections!$AH$17&amp;"!L"&amp;ROW(B803))</f>
        <v/>
      </c>
      <c r="X822" s="73" t="str">
        <f t="array" ref="X822">INDIRECT("Update"&amp;Projections!$AH$17&amp;"!N"&amp;ROW(B803))</f>
        <v/>
      </c>
      <c r="Y822" s="73" t="str">
        <f t="array" ref="Y822">INDIRECT("Update"&amp;Projections!$AH$17&amp;"!O"&amp;ROW(B803))</f>
        <v/>
      </c>
      <c r="Z822" s="73" t="str">
        <f t="array" ref="Z822">INDIRECT("Update"&amp;Projections!$AH$17&amp;"!P"&amp;ROW(B803))</f>
        <v/>
      </c>
      <c r="AA822" s="73" t="str">
        <f t="array" ref="AA822">INDIRECT("Update"&amp;Projections!$AH$17&amp;"!Q"&amp;ROW(B803))</f>
        <v/>
      </c>
      <c r="AB822" s="107" t="str">
        <f t="array" ref="AB822">INDIRECT("Update"&amp;Projections!$AH$17&amp;"!I"&amp;ROW(B803))</f>
        <v/>
      </c>
      <c r="AC822" s="107" t="str">
        <f t="array" ref="AC822">INDIRECT("Update"&amp;Projections!$AH$17&amp;"!K"&amp;ROW(B803))</f>
        <v/>
      </c>
      <c r="AD822" s="73" t="str">
        <f t="array" ref="AD822">INDIRECT("Update"&amp;Projections!$AH$17&amp;"!R"&amp;ROW(B803))</f>
        <v/>
      </c>
      <c r="AE822" s="73">
        <f t="shared" si="16"/>
        <v>-3.155358621</v>
      </c>
      <c r="AF822" s="73">
        <f t="shared" si="17"/>
        <v>-1.740686581</v>
      </c>
      <c r="AG822" s="73">
        <f t="shared" si="18"/>
        <v>-2.380599106</v>
      </c>
      <c r="AH822" s="73">
        <f t="shared" si="19"/>
        <v>-1.79320266</v>
      </c>
      <c r="AI822" s="73">
        <f t="shared" si="20"/>
        <v>-3.240190514</v>
      </c>
      <c r="AJ822" s="73">
        <f t="shared" si="21"/>
        <v>-1.329092151</v>
      </c>
      <c r="AK822" s="73">
        <f t="shared" si="22"/>
        <v>0</v>
      </c>
      <c r="AL822" s="73">
        <f t="shared" si="23"/>
        <v>0</v>
      </c>
      <c r="AM822" s="73">
        <f t="shared" si="24"/>
        <v>0.433638093</v>
      </c>
      <c r="AN822" s="120">
        <f t="shared" si="25"/>
        <v>-3.240190514</v>
      </c>
      <c r="AO822" s="120">
        <f t="shared" si="26"/>
        <v>-6.395549135</v>
      </c>
      <c r="AP822" s="120" t="str">
        <f t="array" ref="AP822">INDIRECT("Update"&amp;Projections!$AH$17&amp;"!S"&amp;ROW(B803))</f>
        <v/>
      </c>
      <c r="AQ822" s="120" t="str">
        <f t="array" ref="AQ822">INDIRECT("Update"&amp;Projections!$AH$17&amp;"!T"&amp;ROW(B803))</f>
        <v/>
      </c>
      <c r="AR822" s="100">
        <f t="shared" si="27"/>
        <v>-9.965301026</v>
      </c>
    </row>
    <row r="823">
      <c r="A823" t="str">
        <f t="shared" si="3"/>
        <v/>
      </c>
      <c r="B823" s="42">
        <f t="shared" si="4"/>
        <v>-3.155358621</v>
      </c>
      <c r="C823" s="43">
        <f t="shared" si="5"/>
        <v>-1.740686581</v>
      </c>
      <c r="D823" s="42">
        <f t="shared" si="6"/>
        <v>-2.380599106</v>
      </c>
      <c r="E823" s="42">
        <f t="shared" si="7"/>
        <v>-1.79320266</v>
      </c>
      <c r="F823" s="42">
        <f t="shared" si="8"/>
        <v>-3.240190514</v>
      </c>
      <c r="G823" s="42">
        <f t="shared" si="9"/>
        <v>-1.329092151</v>
      </c>
      <c r="H823" s="42">
        <f t="shared" si="10"/>
        <v>0</v>
      </c>
      <c r="I823" s="42" t="str">
        <f>UpdateHashtag!S821</f>
        <v/>
      </c>
      <c r="J823" s="47">
        <f t="shared" si="11"/>
        <v>0</v>
      </c>
      <c r="K823" s="48" t="str">
        <f>UpdateHashtag!T821</f>
        <v/>
      </c>
      <c r="L823" s="42">
        <f t="shared" si="12"/>
        <v>-1.734552372</v>
      </c>
      <c r="N823" s="100">
        <f t="shared" si="13"/>
        <v>401</v>
      </c>
      <c r="O823" s="94" t="str">
        <f t="array" ref="O823">INDIRECT("Update"&amp;Projections!$AH$17&amp;"!B"&amp;ROW(B804))</f>
        <v/>
      </c>
      <c r="P823" s="414" t="str">
        <f t="array" ref="P823">INDIRECT("Update"&amp;Projections!$AH$17&amp;"!C"&amp;ROW(B804))</f>
        <v/>
      </c>
      <c r="Q823" s="94" t="str">
        <f>UpdateHashtag!F853</f>
        <v/>
      </c>
      <c r="R823" s="105" t="str">
        <f t="array" ref="R823">INDIRECT("Update"&amp;Projections!$AH$17&amp;"!D"&amp;ROW(B804))</f>
        <v/>
      </c>
      <c r="S823" s="73">
        <f t="shared" si="14"/>
        <v>-9.965301026</v>
      </c>
      <c r="T823" s="73">
        <f>SUM(AE823:AM823)-IFERROR(IFS(Projections!$I$17,AN823,Projections!$J$17,AO823),"")</f>
        <v>-9.965301026</v>
      </c>
      <c r="U823" s="73">
        <f t="shared" si="15"/>
        <v>0</v>
      </c>
      <c r="V823" s="73" t="str">
        <f t="array" ref="V823">INDIRECT("Update"&amp;Projections!$AH$17&amp;"!M"&amp;ROW(B804))</f>
        <v/>
      </c>
      <c r="W823" s="73" t="str">
        <f t="array" ref="W823">INDIRECT("Update"&amp;Projections!$AH$17&amp;"!L"&amp;ROW(B804))</f>
        <v/>
      </c>
      <c r="X823" s="73" t="str">
        <f t="array" ref="X823">INDIRECT("Update"&amp;Projections!$AH$17&amp;"!N"&amp;ROW(B804))</f>
        <v/>
      </c>
      <c r="Y823" s="73" t="str">
        <f t="array" ref="Y823">INDIRECT("Update"&amp;Projections!$AH$17&amp;"!O"&amp;ROW(B804))</f>
        <v/>
      </c>
      <c r="Z823" s="73" t="str">
        <f t="array" ref="Z823">INDIRECT("Update"&amp;Projections!$AH$17&amp;"!P"&amp;ROW(B804))</f>
        <v/>
      </c>
      <c r="AA823" s="73" t="str">
        <f t="array" ref="AA823">INDIRECT("Update"&amp;Projections!$AH$17&amp;"!Q"&amp;ROW(B804))</f>
        <v/>
      </c>
      <c r="AB823" s="107" t="str">
        <f t="array" ref="AB823">INDIRECT("Update"&amp;Projections!$AH$17&amp;"!I"&amp;ROW(B804))</f>
        <v/>
      </c>
      <c r="AC823" s="107" t="str">
        <f t="array" ref="AC823">INDIRECT("Update"&amp;Projections!$AH$17&amp;"!K"&amp;ROW(B804))</f>
        <v/>
      </c>
      <c r="AD823" s="73" t="str">
        <f t="array" ref="AD823">INDIRECT("Update"&amp;Projections!$AH$17&amp;"!R"&amp;ROW(B804))</f>
        <v/>
      </c>
      <c r="AE823" s="73">
        <f t="shared" si="16"/>
        <v>-3.155358621</v>
      </c>
      <c r="AF823" s="73">
        <f t="shared" si="17"/>
        <v>-1.740686581</v>
      </c>
      <c r="AG823" s="73">
        <f t="shared" si="18"/>
        <v>-2.380599106</v>
      </c>
      <c r="AH823" s="73">
        <f t="shared" si="19"/>
        <v>-1.79320266</v>
      </c>
      <c r="AI823" s="73">
        <f t="shared" si="20"/>
        <v>-3.240190514</v>
      </c>
      <c r="AJ823" s="73">
        <f t="shared" si="21"/>
        <v>-1.329092151</v>
      </c>
      <c r="AK823" s="73">
        <f t="shared" si="22"/>
        <v>0</v>
      </c>
      <c r="AL823" s="73">
        <f t="shared" si="23"/>
        <v>0</v>
      </c>
      <c r="AM823" s="73">
        <f t="shared" si="24"/>
        <v>0.433638093</v>
      </c>
      <c r="AN823" s="120">
        <f t="shared" si="25"/>
        <v>-3.240190514</v>
      </c>
      <c r="AO823" s="120">
        <f t="shared" si="26"/>
        <v>-6.395549135</v>
      </c>
      <c r="AP823" s="120" t="str">
        <f t="array" ref="AP823">INDIRECT("Update"&amp;Projections!$AH$17&amp;"!S"&amp;ROW(B804))</f>
        <v/>
      </c>
      <c r="AQ823" s="120" t="str">
        <f t="array" ref="AQ823">INDIRECT("Update"&amp;Projections!$AH$17&amp;"!T"&amp;ROW(B804))</f>
        <v/>
      </c>
      <c r="AR823" s="100">
        <f t="shared" si="27"/>
        <v>-9.965301026</v>
      </c>
    </row>
    <row r="824">
      <c r="A824" t="str">
        <f t="shared" si="3"/>
        <v/>
      </c>
      <c r="B824" s="42">
        <f t="shared" si="4"/>
        <v>-3.155358621</v>
      </c>
      <c r="C824" s="43">
        <f t="shared" si="5"/>
        <v>-1.740686581</v>
      </c>
      <c r="D824" s="42">
        <f t="shared" si="6"/>
        <v>-2.380599106</v>
      </c>
      <c r="E824" s="42">
        <f t="shared" si="7"/>
        <v>-1.79320266</v>
      </c>
      <c r="F824" s="42">
        <f t="shared" si="8"/>
        <v>-3.240190514</v>
      </c>
      <c r="G824" s="42">
        <f t="shared" si="9"/>
        <v>-1.329092151</v>
      </c>
      <c r="H824" s="42">
        <f t="shared" si="10"/>
        <v>0</v>
      </c>
      <c r="I824" s="42" t="str">
        <f>UpdateHashtag!S822</f>
        <v/>
      </c>
      <c r="J824" s="47">
        <f t="shared" si="11"/>
        <v>0</v>
      </c>
      <c r="K824" s="48" t="str">
        <f>UpdateHashtag!T822</f>
        <v/>
      </c>
      <c r="L824" s="42">
        <f t="shared" si="12"/>
        <v>-1.734552372</v>
      </c>
      <c r="N824" s="100">
        <f t="shared" si="13"/>
        <v>401</v>
      </c>
      <c r="O824" s="94" t="str">
        <f t="array" ref="O824">INDIRECT("Update"&amp;Projections!$AH$17&amp;"!B"&amp;ROW(B805))</f>
        <v/>
      </c>
      <c r="P824" s="414" t="str">
        <f t="array" ref="P824">INDIRECT("Update"&amp;Projections!$AH$17&amp;"!C"&amp;ROW(B805))</f>
        <v/>
      </c>
      <c r="Q824" s="94" t="str">
        <f>UpdateHashtag!F854</f>
        <v/>
      </c>
      <c r="R824" s="105" t="str">
        <f t="array" ref="R824">INDIRECT("Update"&amp;Projections!$AH$17&amp;"!D"&amp;ROW(B805))</f>
        <v/>
      </c>
      <c r="S824" s="73">
        <f t="shared" si="14"/>
        <v>-9.965301026</v>
      </c>
      <c r="T824" s="73">
        <f>SUM(AE824:AM824)-IFERROR(IFS(Projections!$I$17,AN824,Projections!$J$17,AO824),"")</f>
        <v>-9.965301026</v>
      </c>
      <c r="U824" s="73">
        <f t="shared" si="15"/>
        <v>0</v>
      </c>
      <c r="V824" s="73" t="str">
        <f t="array" ref="V824">INDIRECT("Update"&amp;Projections!$AH$17&amp;"!M"&amp;ROW(B805))</f>
        <v/>
      </c>
      <c r="W824" s="73" t="str">
        <f t="array" ref="W824">INDIRECT("Update"&amp;Projections!$AH$17&amp;"!L"&amp;ROW(B805))</f>
        <v/>
      </c>
      <c r="X824" s="73" t="str">
        <f t="array" ref="X824">INDIRECT("Update"&amp;Projections!$AH$17&amp;"!N"&amp;ROW(B805))</f>
        <v/>
      </c>
      <c r="Y824" s="73" t="str">
        <f t="array" ref="Y824">INDIRECT("Update"&amp;Projections!$AH$17&amp;"!O"&amp;ROW(B805))</f>
        <v/>
      </c>
      <c r="Z824" s="73" t="str">
        <f t="array" ref="Z824">INDIRECT("Update"&amp;Projections!$AH$17&amp;"!P"&amp;ROW(B805))</f>
        <v/>
      </c>
      <c r="AA824" s="73" t="str">
        <f t="array" ref="AA824">INDIRECT("Update"&amp;Projections!$AH$17&amp;"!Q"&amp;ROW(B805))</f>
        <v/>
      </c>
      <c r="AB824" s="107" t="str">
        <f t="array" ref="AB824">INDIRECT("Update"&amp;Projections!$AH$17&amp;"!I"&amp;ROW(B805))</f>
        <v/>
      </c>
      <c r="AC824" s="107" t="str">
        <f t="array" ref="AC824">INDIRECT("Update"&amp;Projections!$AH$17&amp;"!K"&amp;ROW(B805))</f>
        <v/>
      </c>
      <c r="AD824" s="73" t="str">
        <f t="array" ref="AD824">INDIRECT("Update"&amp;Projections!$AH$17&amp;"!R"&amp;ROW(B805))</f>
        <v/>
      </c>
      <c r="AE824" s="73">
        <f t="shared" si="16"/>
        <v>-3.155358621</v>
      </c>
      <c r="AF824" s="73">
        <f t="shared" si="17"/>
        <v>-1.740686581</v>
      </c>
      <c r="AG824" s="73">
        <f t="shared" si="18"/>
        <v>-2.380599106</v>
      </c>
      <c r="AH824" s="73">
        <f t="shared" si="19"/>
        <v>-1.79320266</v>
      </c>
      <c r="AI824" s="73">
        <f t="shared" si="20"/>
        <v>-3.240190514</v>
      </c>
      <c r="AJ824" s="73">
        <f t="shared" si="21"/>
        <v>-1.329092151</v>
      </c>
      <c r="AK824" s="73">
        <f t="shared" si="22"/>
        <v>0</v>
      </c>
      <c r="AL824" s="73">
        <f t="shared" si="23"/>
        <v>0</v>
      </c>
      <c r="AM824" s="73">
        <f t="shared" si="24"/>
        <v>0.433638093</v>
      </c>
      <c r="AN824" s="120">
        <f t="shared" si="25"/>
        <v>-3.240190514</v>
      </c>
      <c r="AO824" s="120">
        <f t="shared" si="26"/>
        <v>-6.395549135</v>
      </c>
      <c r="AP824" s="120" t="str">
        <f t="array" ref="AP824">INDIRECT("Update"&amp;Projections!$AH$17&amp;"!S"&amp;ROW(B805))</f>
        <v/>
      </c>
      <c r="AQ824" s="120" t="str">
        <f t="array" ref="AQ824">INDIRECT("Update"&amp;Projections!$AH$17&amp;"!T"&amp;ROW(B805))</f>
        <v/>
      </c>
      <c r="AR824" s="100">
        <f t="shared" si="27"/>
        <v>-9.965301026</v>
      </c>
    </row>
    <row r="825">
      <c r="A825" t="str">
        <f t="shared" si="3"/>
        <v/>
      </c>
      <c r="B825" s="42">
        <f t="shared" si="4"/>
        <v>-3.155358621</v>
      </c>
      <c r="C825" s="43">
        <f t="shared" si="5"/>
        <v>-1.740686581</v>
      </c>
      <c r="D825" s="42">
        <f t="shared" si="6"/>
        <v>-2.380599106</v>
      </c>
      <c r="E825" s="42">
        <f t="shared" si="7"/>
        <v>-1.79320266</v>
      </c>
      <c r="F825" s="42">
        <f t="shared" si="8"/>
        <v>-3.240190514</v>
      </c>
      <c r="G825" s="42">
        <f t="shared" si="9"/>
        <v>-1.329092151</v>
      </c>
      <c r="H825" s="42">
        <f t="shared" si="10"/>
        <v>0</v>
      </c>
      <c r="I825" s="42" t="str">
        <f>UpdateHashtag!S823</f>
        <v/>
      </c>
      <c r="J825" s="47">
        <f t="shared" si="11"/>
        <v>0</v>
      </c>
      <c r="K825" s="48" t="str">
        <f>UpdateHashtag!T823</f>
        <v/>
      </c>
      <c r="L825" s="42">
        <f t="shared" si="12"/>
        <v>-1.734552372</v>
      </c>
      <c r="N825" s="100">
        <f t="shared" si="13"/>
        <v>401</v>
      </c>
      <c r="O825" s="94" t="str">
        <f t="array" ref="O825">INDIRECT("Update"&amp;Projections!$AH$17&amp;"!B"&amp;ROW(B806))</f>
        <v/>
      </c>
      <c r="P825" s="414" t="str">
        <f t="array" ref="P825">INDIRECT("Update"&amp;Projections!$AH$17&amp;"!C"&amp;ROW(B806))</f>
        <v/>
      </c>
      <c r="Q825" s="94" t="str">
        <f>UpdateHashtag!F855</f>
        <v/>
      </c>
      <c r="R825" s="105" t="str">
        <f t="array" ref="R825">INDIRECT("Update"&amp;Projections!$AH$17&amp;"!D"&amp;ROW(B806))</f>
        <v/>
      </c>
      <c r="S825" s="73">
        <f t="shared" si="14"/>
        <v>-9.965301026</v>
      </c>
      <c r="T825" s="73">
        <f>SUM(AE825:AM825)-IFERROR(IFS(Projections!$I$17,AN825,Projections!$J$17,AO825),"")</f>
        <v>-9.965301026</v>
      </c>
      <c r="U825" s="73">
        <f t="shared" si="15"/>
        <v>0</v>
      </c>
      <c r="V825" s="73" t="str">
        <f t="array" ref="V825">INDIRECT("Update"&amp;Projections!$AH$17&amp;"!M"&amp;ROW(B806))</f>
        <v/>
      </c>
      <c r="W825" s="73" t="str">
        <f t="array" ref="W825">INDIRECT("Update"&amp;Projections!$AH$17&amp;"!L"&amp;ROW(B806))</f>
        <v/>
      </c>
      <c r="X825" s="73" t="str">
        <f t="array" ref="X825">INDIRECT("Update"&amp;Projections!$AH$17&amp;"!N"&amp;ROW(B806))</f>
        <v/>
      </c>
      <c r="Y825" s="73" t="str">
        <f t="array" ref="Y825">INDIRECT("Update"&amp;Projections!$AH$17&amp;"!O"&amp;ROW(B806))</f>
        <v/>
      </c>
      <c r="Z825" s="73" t="str">
        <f t="array" ref="Z825">INDIRECT("Update"&amp;Projections!$AH$17&amp;"!P"&amp;ROW(B806))</f>
        <v/>
      </c>
      <c r="AA825" s="73" t="str">
        <f t="array" ref="AA825">INDIRECT("Update"&amp;Projections!$AH$17&amp;"!Q"&amp;ROW(B806))</f>
        <v/>
      </c>
      <c r="AB825" s="107" t="str">
        <f t="array" ref="AB825">INDIRECT("Update"&amp;Projections!$AH$17&amp;"!I"&amp;ROW(B806))</f>
        <v/>
      </c>
      <c r="AC825" s="107" t="str">
        <f t="array" ref="AC825">INDIRECT("Update"&amp;Projections!$AH$17&amp;"!K"&amp;ROW(B806))</f>
        <v/>
      </c>
      <c r="AD825" s="73" t="str">
        <f t="array" ref="AD825">INDIRECT("Update"&amp;Projections!$AH$17&amp;"!R"&amp;ROW(B806))</f>
        <v/>
      </c>
      <c r="AE825" s="73">
        <f t="shared" si="16"/>
        <v>-3.155358621</v>
      </c>
      <c r="AF825" s="73">
        <f t="shared" si="17"/>
        <v>-1.740686581</v>
      </c>
      <c r="AG825" s="73">
        <f t="shared" si="18"/>
        <v>-2.380599106</v>
      </c>
      <c r="AH825" s="73">
        <f t="shared" si="19"/>
        <v>-1.79320266</v>
      </c>
      <c r="AI825" s="73">
        <f t="shared" si="20"/>
        <v>-3.240190514</v>
      </c>
      <c r="AJ825" s="73">
        <f t="shared" si="21"/>
        <v>-1.329092151</v>
      </c>
      <c r="AK825" s="73">
        <f t="shared" si="22"/>
        <v>0</v>
      </c>
      <c r="AL825" s="73">
        <f t="shared" si="23"/>
        <v>0</v>
      </c>
      <c r="AM825" s="73">
        <f t="shared" si="24"/>
        <v>0.433638093</v>
      </c>
      <c r="AN825" s="120">
        <f t="shared" si="25"/>
        <v>-3.240190514</v>
      </c>
      <c r="AO825" s="120">
        <f t="shared" si="26"/>
        <v>-6.395549135</v>
      </c>
      <c r="AP825" s="120" t="str">
        <f t="array" ref="AP825">INDIRECT("Update"&amp;Projections!$AH$17&amp;"!S"&amp;ROW(B806))</f>
        <v/>
      </c>
      <c r="AQ825" s="120" t="str">
        <f t="array" ref="AQ825">INDIRECT("Update"&amp;Projections!$AH$17&amp;"!T"&amp;ROW(B806))</f>
        <v/>
      </c>
      <c r="AR825" s="100">
        <f t="shared" si="27"/>
        <v>-9.965301026</v>
      </c>
    </row>
    <row r="826">
      <c r="A826" t="str">
        <f t="shared" si="3"/>
        <v/>
      </c>
      <c r="B826" s="42">
        <f t="shared" si="4"/>
        <v>-3.155358621</v>
      </c>
      <c r="C826" s="43">
        <f t="shared" si="5"/>
        <v>-1.740686581</v>
      </c>
      <c r="D826" s="42">
        <f t="shared" si="6"/>
        <v>-2.380599106</v>
      </c>
      <c r="E826" s="42">
        <f t="shared" si="7"/>
        <v>-1.79320266</v>
      </c>
      <c r="F826" s="42">
        <f t="shared" si="8"/>
        <v>-3.240190514</v>
      </c>
      <c r="G826" s="42">
        <f t="shared" si="9"/>
        <v>-1.329092151</v>
      </c>
      <c r="H826" s="42">
        <f t="shared" si="10"/>
        <v>0</v>
      </c>
      <c r="I826" s="42" t="str">
        <f>UpdateHashtag!S824</f>
        <v/>
      </c>
      <c r="J826" s="47">
        <f t="shared" si="11"/>
        <v>0</v>
      </c>
      <c r="K826" s="48" t="str">
        <f>UpdateHashtag!T824</f>
        <v/>
      </c>
      <c r="L826" s="42">
        <f t="shared" si="12"/>
        <v>-1.734552372</v>
      </c>
      <c r="N826" s="100">
        <f t="shared" si="13"/>
        <v>401</v>
      </c>
      <c r="O826" s="94" t="str">
        <f t="array" ref="O826">INDIRECT("Update"&amp;Projections!$AH$17&amp;"!B"&amp;ROW(B807))</f>
        <v/>
      </c>
      <c r="P826" s="414" t="str">
        <f t="array" ref="P826">INDIRECT("Update"&amp;Projections!$AH$17&amp;"!C"&amp;ROW(B807))</f>
        <v/>
      </c>
      <c r="Q826" s="94" t="str">
        <f>UpdateHashtag!F856</f>
        <v/>
      </c>
      <c r="R826" s="105" t="str">
        <f t="array" ref="R826">INDIRECT("Update"&amp;Projections!$AH$17&amp;"!D"&amp;ROW(B807))</f>
        <v/>
      </c>
      <c r="S826" s="73">
        <f t="shared" si="14"/>
        <v>-9.965301026</v>
      </c>
      <c r="T826" s="73">
        <f>SUM(AE826:AM826)-IFERROR(IFS(Projections!$I$17,AN826,Projections!$J$17,AO826),"")</f>
        <v>-9.965301026</v>
      </c>
      <c r="U826" s="73">
        <f t="shared" si="15"/>
        <v>0</v>
      </c>
      <c r="V826" s="73" t="str">
        <f t="array" ref="V826">INDIRECT("Update"&amp;Projections!$AH$17&amp;"!M"&amp;ROW(B807))</f>
        <v/>
      </c>
      <c r="W826" s="73" t="str">
        <f t="array" ref="W826">INDIRECT("Update"&amp;Projections!$AH$17&amp;"!L"&amp;ROW(B807))</f>
        <v/>
      </c>
      <c r="X826" s="73" t="str">
        <f t="array" ref="X826">INDIRECT("Update"&amp;Projections!$AH$17&amp;"!N"&amp;ROW(B807))</f>
        <v/>
      </c>
      <c r="Y826" s="73" t="str">
        <f t="array" ref="Y826">INDIRECT("Update"&amp;Projections!$AH$17&amp;"!O"&amp;ROW(B807))</f>
        <v/>
      </c>
      <c r="Z826" s="73" t="str">
        <f t="array" ref="Z826">INDIRECT("Update"&amp;Projections!$AH$17&amp;"!P"&amp;ROW(B807))</f>
        <v/>
      </c>
      <c r="AA826" s="73" t="str">
        <f t="array" ref="AA826">INDIRECT("Update"&amp;Projections!$AH$17&amp;"!Q"&amp;ROW(B807))</f>
        <v/>
      </c>
      <c r="AB826" s="107" t="str">
        <f t="array" ref="AB826">INDIRECT("Update"&amp;Projections!$AH$17&amp;"!I"&amp;ROW(B807))</f>
        <v/>
      </c>
      <c r="AC826" s="107" t="str">
        <f t="array" ref="AC826">INDIRECT("Update"&amp;Projections!$AH$17&amp;"!K"&amp;ROW(B807))</f>
        <v/>
      </c>
      <c r="AD826" s="73" t="str">
        <f t="array" ref="AD826">INDIRECT("Update"&amp;Projections!$AH$17&amp;"!R"&amp;ROW(B807))</f>
        <v/>
      </c>
      <c r="AE826" s="73">
        <f t="shared" si="16"/>
        <v>-3.155358621</v>
      </c>
      <c r="AF826" s="73">
        <f t="shared" si="17"/>
        <v>-1.740686581</v>
      </c>
      <c r="AG826" s="73">
        <f t="shared" si="18"/>
        <v>-2.380599106</v>
      </c>
      <c r="AH826" s="73">
        <f t="shared" si="19"/>
        <v>-1.79320266</v>
      </c>
      <c r="AI826" s="73">
        <f t="shared" si="20"/>
        <v>-3.240190514</v>
      </c>
      <c r="AJ826" s="73">
        <f t="shared" si="21"/>
        <v>-1.329092151</v>
      </c>
      <c r="AK826" s="73">
        <f t="shared" si="22"/>
        <v>0</v>
      </c>
      <c r="AL826" s="73">
        <f t="shared" si="23"/>
        <v>0</v>
      </c>
      <c r="AM826" s="73">
        <f t="shared" si="24"/>
        <v>0.433638093</v>
      </c>
      <c r="AN826" s="120">
        <f t="shared" si="25"/>
        <v>-3.240190514</v>
      </c>
      <c r="AO826" s="120">
        <f t="shared" si="26"/>
        <v>-6.395549135</v>
      </c>
      <c r="AP826" s="120" t="str">
        <f t="array" ref="AP826">INDIRECT("Update"&amp;Projections!$AH$17&amp;"!S"&amp;ROW(B807))</f>
        <v/>
      </c>
      <c r="AQ826" s="120" t="str">
        <f t="array" ref="AQ826">INDIRECT("Update"&amp;Projections!$AH$17&amp;"!T"&amp;ROW(B807))</f>
        <v/>
      </c>
      <c r="AR826" s="100">
        <f t="shared" si="27"/>
        <v>-9.965301026</v>
      </c>
    </row>
    <row r="827">
      <c r="A827" t="str">
        <f t="shared" si="3"/>
        <v/>
      </c>
      <c r="B827" s="42">
        <f t="shared" si="4"/>
        <v>-3.155358621</v>
      </c>
      <c r="C827" s="43">
        <f t="shared" si="5"/>
        <v>-1.740686581</v>
      </c>
      <c r="D827" s="42">
        <f t="shared" si="6"/>
        <v>-2.380599106</v>
      </c>
      <c r="E827" s="42">
        <f t="shared" si="7"/>
        <v>-1.79320266</v>
      </c>
      <c r="F827" s="42">
        <f t="shared" si="8"/>
        <v>-3.240190514</v>
      </c>
      <c r="G827" s="42">
        <f t="shared" si="9"/>
        <v>-1.329092151</v>
      </c>
      <c r="H827" s="42">
        <f t="shared" si="10"/>
        <v>0</v>
      </c>
      <c r="I827" s="42" t="str">
        <f>UpdateHashtag!S825</f>
        <v/>
      </c>
      <c r="J827" s="47">
        <f t="shared" si="11"/>
        <v>0</v>
      </c>
      <c r="K827" s="48" t="str">
        <f>UpdateHashtag!T825</f>
        <v/>
      </c>
      <c r="L827" s="42">
        <f t="shared" si="12"/>
        <v>-1.734552372</v>
      </c>
      <c r="N827" s="100">
        <f t="shared" si="13"/>
        <v>401</v>
      </c>
      <c r="O827" s="94" t="str">
        <f t="array" ref="O827">INDIRECT("Update"&amp;Projections!$AH$17&amp;"!B"&amp;ROW(B808))</f>
        <v/>
      </c>
      <c r="P827" s="414" t="str">
        <f t="array" ref="P827">INDIRECT("Update"&amp;Projections!$AH$17&amp;"!C"&amp;ROW(B808))</f>
        <v/>
      </c>
      <c r="Q827" s="94" t="str">
        <f>UpdateHashtag!F857</f>
        <v/>
      </c>
      <c r="R827" s="105" t="str">
        <f t="array" ref="R827">INDIRECT("Update"&amp;Projections!$AH$17&amp;"!D"&amp;ROW(B808))</f>
        <v/>
      </c>
      <c r="S827" s="73">
        <f t="shared" si="14"/>
        <v>-9.965301026</v>
      </c>
      <c r="T827" s="73">
        <f>SUM(AE827:AM827)-IFERROR(IFS(Projections!$I$17,AN827,Projections!$J$17,AO827),"")</f>
        <v>-9.965301026</v>
      </c>
      <c r="U827" s="73">
        <f t="shared" si="15"/>
        <v>0</v>
      </c>
      <c r="V827" s="73" t="str">
        <f t="array" ref="V827">INDIRECT("Update"&amp;Projections!$AH$17&amp;"!M"&amp;ROW(B808))</f>
        <v/>
      </c>
      <c r="W827" s="73" t="str">
        <f t="array" ref="W827">INDIRECT("Update"&amp;Projections!$AH$17&amp;"!L"&amp;ROW(B808))</f>
        <v/>
      </c>
      <c r="X827" s="73" t="str">
        <f t="array" ref="X827">INDIRECT("Update"&amp;Projections!$AH$17&amp;"!N"&amp;ROW(B808))</f>
        <v/>
      </c>
      <c r="Y827" s="73" t="str">
        <f t="array" ref="Y827">INDIRECT("Update"&amp;Projections!$AH$17&amp;"!O"&amp;ROW(B808))</f>
        <v/>
      </c>
      <c r="Z827" s="73" t="str">
        <f t="array" ref="Z827">INDIRECT("Update"&amp;Projections!$AH$17&amp;"!P"&amp;ROW(B808))</f>
        <v/>
      </c>
      <c r="AA827" s="73" t="str">
        <f t="array" ref="AA827">INDIRECT("Update"&amp;Projections!$AH$17&amp;"!Q"&amp;ROW(B808))</f>
        <v/>
      </c>
      <c r="AB827" s="107" t="str">
        <f t="array" ref="AB827">INDIRECT("Update"&amp;Projections!$AH$17&amp;"!I"&amp;ROW(B808))</f>
        <v/>
      </c>
      <c r="AC827" s="107" t="str">
        <f t="array" ref="AC827">INDIRECT("Update"&amp;Projections!$AH$17&amp;"!K"&amp;ROW(B808))</f>
        <v/>
      </c>
      <c r="AD827" s="73" t="str">
        <f t="array" ref="AD827">INDIRECT("Update"&amp;Projections!$AH$17&amp;"!R"&amp;ROW(B808))</f>
        <v/>
      </c>
      <c r="AE827" s="73">
        <f t="shared" si="16"/>
        <v>-3.155358621</v>
      </c>
      <c r="AF827" s="73">
        <f t="shared" si="17"/>
        <v>-1.740686581</v>
      </c>
      <c r="AG827" s="73">
        <f t="shared" si="18"/>
        <v>-2.380599106</v>
      </c>
      <c r="AH827" s="73">
        <f t="shared" si="19"/>
        <v>-1.79320266</v>
      </c>
      <c r="AI827" s="73">
        <f t="shared" si="20"/>
        <v>-3.240190514</v>
      </c>
      <c r="AJ827" s="73">
        <f t="shared" si="21"/>
        <v>-1.329092151</v>
      </c>
      <c r="AK827" s="73">
        <f t="shared" si="22"/>
        <v>0</v>
      </c>
      <c r="AL827" s="73">
        <f t="shared" si="23"/>
        <v>0</v>
      </c>
      <c r="AM827" s="73">
        <f t="shared" si="24"/>
        <v>0.433638093</v>
      </c>
      <c r="AN827" s="120">
        <f t="shared" si="25"/>
        <v>-3.240190514</v>
      </c>
      <c r="AO827" s="120">
        <f t="shared" si="26"/>
        <v>-6.395549135</v>
      </c>
      <c r="AP827" s="120" t="str">
        <f t="array" ref="AP827">INDIRECT("Update"&amp;Projections!$AH$17&amp;"!S"&amp;ROW(B808))</f>
        <v/>
      </c>
      <c r="AQ827" s="120" t="str">
        <f t="array" ref="AQ827">INDIRECT("Update"&amp;Projections!$AH$17&amp;"!T"&amp;ROW(B808))</f>
        <v/>
      </c>
      <c r="AR827" s="100">
        <f t="shared" si="27"/>
        <v>-9.965301026</v>
      </c>
    </row>
    <row r="828">
      <c r="A828" t="str">
        <f t="shared" si="3"/>
        <v/>
      </c>
      <c r="B828" s="42">
        <f t="shared" si="4"/>
        <v>-3.155358621</v>
      </c>
      <c r="C828" s="43">
        <f t="shared" si="5"/>
        <v>-1.740686581</v>
      </c>
      <c r="D828" s="42">
        <f t="shared" si="6"/>
        <v>-2.380599106</v>
      </c>
      <c r="E828" s="42">
        <f t="shared" si="7"/>
        <v>-1.79320266</v>
      </c>
      <c r="F828" s="42">
        <f t="shared" si="8"/>
        <v>-3.240190514</v>
      </c>
      <c r="G828" s="42">
        <f t="shared" si="9"/>
        <v>-1.329092151</v>
      </c>
      <c r="H828" s="42">
        <f t="shared" si="10"/>
        <v>0</v>
      </c>
      <c r="I828" s="42" t="str">
        <f>UpdateHashtag!S826</f>
        <v/>
      </c>
      <c r="J828" s="47">
        <f t="shared" si="11"/>
        <v>0</v>
      </c>
      <c r="K828" s="48" t="str">
        <f>UpdateHashtag!T826</f>
        <v/>
      </c>
      <c r="L828" s="42">
        <f t="shared" si="12"/>
        <v>-1.734552372</v>
      </c>
      <c r="N828" s="100">
        <f t="shared" si="13"/>
        <v>401</v>
      </c>
      <c r="O828" s="94" t="str">
        <f t="array" ref="O828">INDIRECT("Update"&amp;Projections!$AH$17&amp;"!B"&amp;ROW(B809))</f>
        <v/>
      </c>
      <c r="P828" s="414" t="str">
        <f t="array" ref="P828">INDIRECT("Update"&amp;Projections!$AH$17&amp;"!C"&amp;ROW(B809))</f>
        <v/>
      </c>
      <c r="Q828" s="94" t="str">
        <f>UpdateHashtag!F858</f>
        <v/>
      </c>
      <c r="R828" s="105" t="str">
        <f t="array" ref="R828">INDIRECT("Update"&amp;Projections!$AH$17&amp;"!D"&amp;ROW(B809))</f>
        <v/>
      </c>
      <c r="S828" s="73">
        <f t="shared" si="14"/>
        <v>-9.965301026</v>
      </c>
      <c r="T828" s="73">
        <f>SUM(AE828:AM828)-IFERROR(IFS(Projections!$I$17,AN828,Projections!$J$17,AO828),"")</f>
        <v>-9.965301026</v>
      </c>
      <c r="U828" s="73">
        <f t="shared" si="15"/>
        <v>0</v>
      </c>
      <c r="V828" s="73" t="str">
        <f t="array" ref="V828">INDIRECT("Update"&amp;Projections!$AH$17&amp;"!M"&amp;ROW(B809))</f>
        <v/>
      </c>
      <c r="W828" s="73" t="str">
        <f t="array" ref="W828">INDIRECT("Update"&amp;Projections!$AH$17&amp;"!L"&amp;ROW(B809))</f>
        <v/>
      </c>
      <c r="X828" s="73" t="str">
        <f t="array" ref="X828">INDIRECT("Update"&amp;Projections!$AH$17&amp;"!N"&amp;ROW(B809))</f>
        <v/>
      </c>
      <c r="Y828" s="73" t="str">
        <f t="array" ref="Y828">INDIRECT("Update"&amp;Projections!$AH$17&amp;"!O"&amp;ROW(B809))</f>
        <v/>
      </c>
      <c r="Z828" s="73" t="str">
        <f t="array" ref="Z828">INDIRECT("Update"&amp;Projections!$AH$17&amp;"!P"&amp;ROW(B809))</f>
        <v/>
      </c>
      <c r="AA828" s="73" t="str">
        <f t="array" ref="AA828">INDIRECT("Update"&amp;Projections!$AH$17&amp;"!Q"&amp;ROW(B809))</f>
        <v/>
      </c>
      <c r="AB828" s="107" t="str">
        <f t="array" ref="AB828">INDIRECT("Update"&amp;Projections!$AH$17&amp;"!I"&amp;ROW(B809))</f>
        <v/>
      </c>
      <c r="AC828" s="107" t="str">
        <f t="array" ref="AC828">INDIRECT("Update"&amp;Projections!$AH$17&amp;"!K"&amp;ROW(B809))</f>
        <v/>
      </c>
      <c r="AD828" s="73" t="str">
        <f t="array" ref="AD828">INDIRECT("Update"&amp;Projections!$AH$17&amp;"!R"&amp;ROW(B809))</f>
        <v/>
      </c>
      <c r="AE828" s="73">
        <f t="shared" si="16"/>
        <v>-3.155358621</v>
      </c>
      <c r="AF828" s="73">
        <f t="shared" si="17"/>
        <v>-1.740686581</v>
      </c>
      <c r="AG828" s="73">
        <f t="shared" si="18"/>
        <v>-2.380599106</v>
      </c>
      <c r="AH828" s="73">
        <f t="shared" si="19"/>
        <v>-1.79320266</v>
      </c>
      <c r="AI828" s="73">
        <f t="shared" si="20"/>
        <v>-3.240190514</v>
      </c>
      <c r="AJ828" s="73">
        <f t="shared" si="21"/>
        <v>-1.329092151</v>
      </c>
      <c r="AK828" s="73">
        <f t="shared" si="22"/>
        <v>0</v>
      </c>
      <c r="AL828" s="73">
        <f t="shared" si="23"/>
        <v>0</v>
      </c>
      <c r="AM828" s="73">
        <f t="shared" si="24"/>
        <v>0.433638093</v>
      </c>
      <c r="AN828" s="120">
        <f t="shared" si="25"/>
        <v>-3.240190514</v>
      </c>
      <c r="AO828" s="120">
        <f t="shared" si="26"/>
        <v>-6.395549135</v>
      </c>
      <c r="AP828" s="120" t="str">
        <f t="array" ref="AP828">INDIRECT("Update"&amp;Projections!$AH$17&amp;"!S"&amp;ROW(B809))</f>
        <v/>
      </c>
      <c r="AQ828" s="120" t="str">
        <f t="array" ref="AQ828">INDIRECT("Update"&amp;Projections!$AH$17&amp;"!T"&amp;ROW(B809))</f>
        <v/>
      </c>
      <c r="AR828" s="100">
        <f t="shared" si="27"/>
        <v>-9.965301026</v>
      </c>
    </row>
    <row r="829">
      <c r="A829" t="str">
        <f t="shared" si="3"/>
        <v/>
      </c>
      <c r="B829" s="42">
        <f t="shared" si="4"/>
        <v>-3.155358621</v>
      </c>
      <c r="C829" s="43">
        <f t="shared" si="5"/>
        <v>-1.740686581</v>
      </c>
      <c r="D829" s="42">
        <f t="shared" si="6"/>
        <v>-2.380599106</v>
      </c>
      <c r="E829" s="42">
        <f t="shared" si="7"/>
        <v>-1.79320266</v>
      </c>
      <c r="F829" s="42">
        <f t="shared" si="8"/>
        <v>-3.240190514</v>
      </c>
      <c r="G829" s="42">
        <f t="shared" si="9"/>
        <v>-1.329092151</v>
      </c>
      <c r="H829" s="42">
        <f t="shared" si="10"/>
        <v>0</v>
      </c>
      <c r="I829" s="42" t="str">
        <f>UpdateHashtag!S827</f>
        <v/>
      </c>
      <c r="J829" s="47">
        <f t="shared" si="11"/>
        <v>0</v>
      </c>
      <c r="K829" s="48" t="str">
        <f>UpdateHashtag!T827</f>
        <v/>
      </c>
      <c r="L829" s="42">
        <f t="shared" si="12"/>
        <v>-1.734552372</v>
      </c>
      <c r="N829" s="100">
        <f t="shared" si="13"/>
        <v>401</v>
      </c>
      <c r="O829" s="94" t="str">
        <f t="array" ref="O829">INDIRECT("Update"&amp;Projections!$AH$17&amp;"!B"&amp;ROW(B810))</f>
        <v/>
      </c>
      <c r="P829" s="414" t="str">
        <f t="array" ref="P829">INDIRECT("Update"&amp;Projections!$AH$17&amp;"!C"&amp;ROW(B810))</f>
        <v/>
      </c>
      <c r="Q829" s="94" t="str">
        <f>UpdateHashtag!F859</f>
        <v/>
      </c>
      <c r="R829" s="105" t="str">
        <f t="array" ref="R829">INDIRECT("Update"&amp;Projections!$AH$17&amp;"!D"&amp;ROW(B810))</f>
        <v/>
      </c>
      <c r="S829" s="73">
        <f t="shared" si="14"/>
        <v>-9.965301026</v>
      </c>
      <c r="T829" s="73">
        <f>SUM(AE829:AM829)-IFERROR(IFS(Projections!$I$17,AN829,Projections!$J$17,AO829),"")</f>
        <v>-9.965301026</v>
      </c>
      <c r="U829" s="73">
        <f t="shared" si="15"/>
        <v>0</v>
      </c>
      <c r="V829" s="73" t="str">
        <f t="array" ref="V829">INDIRECT("Update"&amp;Projections!$AH$17&amp;"!M"&amp;ROW(B810))</f>
        <v/>
      </c>
      <c r="W829" s="73" t="str">
        <f t="array" ref="W829">INDIRECT("Update"&amp;Projections!$AH$17&amp;"!L"&amp;ROW(B810))</f>
        <v/>
      </c>
      <c r="X829" s="73" t="str">
        <f t="array" ref="X829">INDIRECT("Update"&amp;Projections!$AH$17&amp;"!N"&amp;ROW(B810))</f>
        <v/>
      </c>
      <c r="Y829" s="73" t="str">
        <f t="array" ref="Y829">INDIRECT("Update"&amp;Projections!$AH$17&amp;"!O"&amp;ROW(B810))</f>
        <v/>
      </c>
      <c r="Z829" s="73" t="str">
        <f t="array" ref="Z829">INDIRECT("Update"&amp;Projections!$AH$17&amp;"!P"&amp;ROW(B810))</f>
        <v/>
      </c>
      <c r="AA829" s="73" t="str">
        <f t="array" ref="AA829">INDIRECT("Update"&amp;Projections!$AH$17&amp;"!Q"&amp;ROW(B810))</f>
        <v/>
      </c>
      <c r="AB829" s="107" t="str">
        <f t="array" ref="AB829">INDIRECT("Update"&amp;Projections!$AH$17&amp;"!I"&amp;ROW(B810))</f>
        <v/>
      </c>
      <c r="AC829" s="107" t="str">
        <f t="array" ref="AC829">INDIRECT("Update"&amp;Projections!$AH$17&amp;"!K"&amp;ROW(B810))</f>
        <v/>
      </c>
      <c r="AD829" s="73" t="str">
        <f t="array" ref="AD829">INDIRECT("Update"&amp;Projections!$AH$17&amp;"!R"&amp;ROW(B810))</f>
        <v/>
      </c>
      <c r="AE829" s="73">
        <f t="shared" si="16"/>
        <v>-3.155358621</v>
      </c>
      <c r="AF829" s="73">
        <f t="shared" si="17"/>
        <v>-1.740686581</v>
      </c>
      <c r="AG829" s="73">
        <f t="shared" si="18"/>
        <v>-2.380599106</v>
      </c>
      <c r="AH829" s="73">
        <f t="shared" si="19"/>
        <v>-1.79320266</v>
      </c>
      <c r="AI829" s="73">
        <f t="shared" si="20"/>
        <v>-3.240190514</v>
      </c>
      <c r="AJ829" s="73">
        <f t="shared" si="21"/>
        <v>-1.329092151</v>
      </c>
      <c r="AK829" s="73">
        <f t="shared" si="22"/>
        <v>0</v>
      </c>
      <c r="AL829" s="73">
        <f t="shared" si="23"/>
        <v>0</v>
      </c>
      <c r="AM829" s="73">
        <f t="shared" si="24"/>
        <v>0.433638093</v>
      </c>
      <c r="AN829" s="120">
        <f t="shared" si="25"/>
        <v>-3.240190514</v>
      </c>
      <c r="AO829" s="120">
        <f t="shared" si="26"/>
        <v>-6.395549135</v>
      </c>
      <c r="AP829" s="120" t="str">
        <f t="array" ref="AP829">INDIRECT("Update"&amp;Projections!$AH$17&amp;"!S"&amp;ROW(B810))</f>
        <v/>
      </c>
      <c r="AQ829" s="120" t="str">
        <f t="array" ref="AQ829">INDIRECT("Update"&amp;Projections!$AH$17&amp;"!T"&amp;ROW(B810))</f>
        <v/>
      </c>
      <c r="AR829" s="100">
        <f t="shared" si="27"/>
        <v>-9.965301026</v>
      </c>
    </row>
    <row r="830">
      <c r="A830" t="str">
        <f t="shared" si="3"/>
        <v/>
      </c>
      <c r="B830" s="42">
        <f t="shared" si="4"/>
        <v>-3.155358621</v>
      </c>
      <c r="C830" s="43">
        <f t="shared" si="5"/>
        <v>-1.740686581</v>
      </c>
      <c r="D830" s="42">
        <f t="shared" si="6"/>
        <v>-2.380599106</v>
      </c>
      <c r="E830" s="42">
        <f t="shared" si="7"/>
        <v>-1.79320266</v>
      </c>
      <c r="F830" s="42">
        <f t="shared" si="8"/>
        <v>-3.240190514</v>
      </c>
      <c r="G830" s="42">
        <f t="shared" si="9"/>
        <v>-1.329092151</v>
      </c>
      <c r="H830" s="42">
        <f t="shared" si="10"/>
        <v>0</v>
      </c>
      <c r="I830" s="42" t="str">
        <f>UpdateHashtag!S828</f>
        <v/>
      </c>
      <c r="J830" s="47">
        <f t="shared" si="11"/>
        <v>0</v>
      </c>
      <c r="K830" s="48" t="str">
        <f>UpdateHashtag!T828</f>
        <v/>
      </c>
      <c r="L830" s="42">
        <f t="shared" si="12"/>
        <v>-1.734552372</v>
      </c>
      <c r="N830" s="100">
        <f t="shared" si="13"/>
        <v>401</v>
      </c>
      <c r="O830" s="94" t="str">
        <f t="array" ref="O830">INDIRECT("Update"&amp;Projections!$AH$17&amp;"!B"&amp;ROW(B811))</f>
        <v/>
      </c>
      <c r="P830" s="414" t="str">
        <f t="array" ref="P830">INDIRECT("Update"&amp;Projections!$AH$17&amp;"!C"&amp;ROW(B811))</f>
        <v/>
      </c>
      <c r="Q830" s="94" t="str">
        <f>UpdateHashtag!F860</f>
        <v/>
      </c>
      <c r="R830" s="105" t="str">
        <f t="array" ref="R830">INDIRECT("Update"&amp;Projections!$AH$17&amp;"!D"&amp;ROW(B811))</f>
        <v/>
      </c>
      <c r="S830" s="73">
        <f t="shared" si="14"/>
        <v>-9.965301026</v>
      </c>
      <c r="T830" s="73">
        <f>SUM(AE830:AM830)-IFERROR(IFS(Projections!$I$17,AN830,Projections!$J$17,AO830),"")</f>
        <v>-9.965301026</v>
      </c>
      <c r="U830" s="73">
        <f t="shared" si="15"/>
        <v>0</v>
      </c>
      <c r="V830" s="73" t="str">
        <f t="array" ref="V830">INDIRECT("Update"&amp;Projections!$AH$17&amp;"!M"&amp;ROW(B811))</f>
        <v/>
      </c>
      <c r="W830" s="73" t="str">
        <f t="array" ref="W830">INDIRECT("Update"&amp;Projections!$AH$17&amp;"!L"&amp;ROW(B811))</f>
        <v/>
      </c>
      <c r="X830" s="73" t="str">
        <f t="array" ref="X830">INDIRECT("Update"&amp;Projections!$AH$17&amp;"!N"&amp;ROW(B811))</f>
        <v/>
      </c>
      <c r="Y830" s="73" t="str">
        <f t="array" ref="Y830">INDIRECT("Update"&amp;Projections!$AH$17&amp;"!O"&amp;ROW(B811))</f>
        <v/>
      </c>
      <c r="Z830" s="73" t="str">
        <f t="array" ref="Z830">INDIRECT("Update"&amp;Projections!$AH$17&amp;"!P"&amp;ROW(B811))</f>
        <v/>
      </c>
      <c r="AA830" s="73" t="str">
        <f t="array" ref="AA830">INDIRECT("Update"&amp;Projections!$AH$17&amp;"!Q"&amp;ROW(B811))</f>
        <v/>
      </c>
      <c r="AB830" s="107" t="str">
        <f t="array" ref="AB830">INDIRECT("Update"&amp;Projections!$AH$17&amp;"!I"&amp;ROW(B811))</f>
        <v/>
      </c>
      <c r="AC830" s="107" t="str">
        <f t="array" ref="AC830">INDIRECT("Update"&amp;Projections!$AH$17&amp;"!K"&amp;ROW(B811))</f>
        <v/>
      </c>
      <c r="AD830" s="73" t="str">
        <f t="array" ref="AD830">INDIRECT("Update"&amp;Projections!$AH$17&amp;"!R"&amp;ROW(B811))</f>
        <v/>
      </c>
      <c r="AE830" s="73">
        <f t="shared" si="16"/>
        <v>-3.155358621</v>
      </c>
      <c r="AF830" s="73">
        <f t="shared" si="17"/>
        <v>-1.740686581</v>
      </c>
      <c r="AG830" s="73">
        <f t="shared" si="18"/>
        <v>-2.380599106</v>
      </c>
      <c r="AH830" s="73">
        <f t="shared" si="19"/>
        <v>-1.79320266</v>
      </c>
      <c r="AI830" s="73">
        <f t="shared" si="20"/>
        <v>-3.240190514</v>
      </c>
      <c r="AJ830" s="73">
        <f t="shared" si="21"/>
        <v>-1.329092151</v>
      </c>
      <c r="AK830" s="73">
        <f t="shared" si="22"/>
        <v>0</v>
      </c>
      <c r="AL830" s="73">
        <f t="shared" si="23"/>
        <v>0</v>
      </c>
      <c r="AM830" s="73">
        <f t="shared" si="24"/>
        <v>0.433638093</v>
      </c>
      <c r="AN830" s="120">
        <f t="shared" si="25"/>
        <v>-3.240190514</v>
      </c>
      <c r="AO830" s="120">
        <f t="shared" si="26"/>
        <v>-6.395549135</v>
      </c>
      <c r="AP830" s="120" t="str">
        <f t="array" ref="AP830">INDIRECT("Update"&amp;Projections!$AH$17&amp;"!S"&amp;ROW(B811))</f>
        <v/>
      </c>
      <c r="AQ830" s="120" t="str">
        <f t="array" ref="AQ830">INDIRECT("Update"&amp;Projections!$AH$17&amp;"!T"&amp;ROW(B811))</f>
        <v/>
      </c>
      <c r="AR830" s="100">
        <f t="shared" si="27"/>
        <v>-9.965301026</v>
      </c>
    </row>
    <row r="831">
      <c r="A831" t="str">
        <f t="shared" si="3"/>
        <v/>
      </c>
      <c r="B831" s="42">
        <f t="shared" si="4"/>
        <v>-3.155358621</v>
      </c>
      <c r="C831" s="43">
        <f t="shared" si="5"/>
        <v>-1.740686581</v>
      </c>
      <c r="D831" s="42">
        <f t="shared" si="6"/>
        <v>-2.380599106</v>
      </c>
      <c r="E831" s="42">
        <f t="shared" si="7"/>
        <v>-1.79320266</v>
      </c>
      <c r="F831" s="42">
        <f t="shared" si="8"/>
        <v>-3.240190514</v>
      </c>
      <c r="G831" s="42">
        <f t="shared" si="9"/>
        <v>-1.329092151</v>
      </c>
      <c r="H831" s="42">
        <f t="shared" si="10"/>
        <v>0</v>
      </c>
      <c r="I831" s="42" t="str">
        <f>UpdateHashtag!S829</f>
        <v/>
      </c>
      <c r="J831" s="47">
        <f t="shared" si="11"/>
        <v>0</v>
      </c>
      <c r="K831" s="48" t="str">
        <f>UpdateHashtag!T829</f>
        <v/>
      </c>
      <c r="L831" s="42">
        <f t="shared" si="12"/>
        <v>-1.734552372</v>
      </c>
      <c r="N831" s="100">
        <f t="shared" si="13"/>
        <v>401</v>
      </c>
      <c r="O831" s="94" t="str">
        <f t="array" ref="O831">INDIRECT("Update"&amp;Projections!$AH$17&amp;"!B"&amp;ROW(B812))</f>
        <v/>
      </c>
      <c r="P831" s="414" t="str">
        <f t="array" ref="P831">INDIRECT("Update"&amp;Projections!$AH$17&amp;"!C"&amp;ROW(B812))</f>
        <v/>
      </c>
      <c r="Q831" s="94" t="str">
        <f>UpdateHashtag!F861</f>
        <v/>
      </c>
      <c r="R831" s="105" t="str">
        <f t="array" ref="R831">INDIRECT("Update"&amp;Projections!$AH$17&amp;"!D"&amp;ROW(B812))</f>
        <v/>
      </c>
      <c r="S831" s="73">
        <f t="shared" si="14"/>
        <v>-9.965301026</v>
      </c>
      <c r="T831" s="73">
        <f>SUM(AE831:AM831)-IFERROR(IFS(Projections!$I$17,AN831,Projections!$J$17,AO831),"")</f>
        <v>-9.965301026</v>
      </c>
      <c r="U831" s="73">
        <f t="shared" si="15"/>
        <v>0</v>
      </c>
      <c r="V831" s="73" t="str">
        <f t="array" ref="V831">INDIRECT("Update"&amp;Projections!$AH$17&amp;"!M"&amp;ROW(B812))</f>
        <v/>
      </c>
      <c r="W831" s="73" t="str">
        <f t="array" ref="W831">INDIRECT("Update"&amp;Projections!$AH$17&amp;"!L"&amp;ROW(B812))</f>
        <v/>
      </c>
      <c r="X831" s="73" t="str">
        <f t="array" ref="X831">INDIRECT("Update"&amp;Projections!$AH$17&amp;"!N"&amp;ROW(B812))</f>
        <v/>
      </c>
      <c r="Y831" s="73" t="str">
        <f t="array" ref="Y831">INDIRECT("Update"&amp;Projections!$AH$17&amp;"!O"&amp;ROW(B812))</f>
        <v/>
      </c>
      <c r="Z831" s="73" t="str">
        <f t="array" ref="Z831">INDIRECT("Update"&amp;Projections!$AH$17&amp;"!P"&amp;ROW(B812))</f>
        <v/>
      </c>
      <c r="AA831" s="73" t="str">
        <f t="array" ref="AA831">INDIRECT("Update"&amp;Projections!$AH$17&amp;"!Q"&amp;ROW(B812))</f>
        <v/>
      </c>
      <c r="AB831" s="107" t="str">
        <f t="array" ref="AB831">INDIRECT("Update"&amp;Projections!$AH$17&amp;"!I"&amp;ROW(B812))</f>
        <v/>
      </c>
      <c r="AC831" s="107" t="str">
        <f t="array" ref="AC831">INDIRECT("Update"&amp;Projections!$AH$17&amp;"!K"&amp;ROW(B812))</f>
        <v/>
      </c>
      <c r="AD831" s="73" t="str">
        <f t="array" ref="AD831">INDIRECT("Update"&amp;Projections!$AH$17&amp;"!R"&amp;ROW(B812))</f>
        <v/>
      </c>
      <c r="AE831" s="73">
        <f t="shared" si="16"/>
        <v>-3.155358621</v>
      </c>
      <c r="AF831" s="73">
        <f t="shared" si="17"/>
        <v>-1.740686581</v>
      </c>
      <c r="AG831" s="73">
        <f t="shared" si="18"/>
        <v>-2.380599106</v>
      </c>
      <c r="AH831" s="73">
        <f t="shared" si="19"/>
        <v>-1.79320266</v>
      </c>
      <c r="AI831" s="73">
        <f t="shared" si="20"/>
        <v>-3.240190514</v>
      </c>
      <c r="AJ831" s="73">
        <f t="shared" si="21"/>
        <v>-1.329092151</v>
      </c>
      <c r="AK831" s="73">
        <f t="shared" si="22"/>
        <v>0</v>
      </c>
      <c r="AL831" s="73">
        <f t="shared" si="23"/>
        <v>0</v>
      </c>
      <c r="AM831" s="73">
        <f t="shared" si="24"/>
        <v>0.433638093</v>
      </c>
      <c r="AN831" s="120">
        <f t="shared" si="25"/>
        <v>-3.240190514</v>
      </c>
      <c r="AO831" s="120">
        <f t="shared" si="26"/>
        <v>-6.395549135</v>
      </c>
      <c r="AP831" s="120" t="str">
        <f t="array" ref="AP831">INDIRECT("Update"&amp;Projections!$AH$17&amp;"!S"&amp;ROW(B812))</f>
        <v/>
      </c>
      <c r="AQ831" s="120" t="str">
        <f t="array" ref="AQ831">INDIRECT("Update"&amp;Projections!$AH$17&amp;"!T"&amp;ROW(B812))</f>
        <v/>
      </c>
      <c r="AR831" s="100">
        <f t="shared" si="27"/>
        <v>-9.965301026</v>
      </c>
    </row>
    <row r="832">
      <c r="A832" t="str">
        <f t="shared" si="3"/>
        <v/>
      </c>
      <c r="B832" s="42">
        <f t="shared" si="4"/>
        <v>-3.155358621</v>
      </c>
      <c r="C832" s="43">
        <f t="shared" si="5"/>
        <v>-1.740686581</v>
      </c>
      <c r="D832" s="42">
        <f t="shared" si="6"/>
        <v>-2.380599106</v>
      </c>
      <c r="E832" s="42">
        <f t="shared" si="7"/>
        <v>-1.79320266</v>
      </c>
      <c r="F832" s="42">
        <f t="shared" si="8"/>
        <v>-3.240190514</v>
      </c>
      <c r="G832" s="42">
        <f t="shared" si="9"/>
        <v>-1.329092151</v>
      </c>
      <c r="H832" s="42">
        <f t="shared" si="10"/>
        <v>0</v>
      </c>
      <c r="I832" s="42" t="str">
        <f>UpdateHashtag!S830</f>
        <v/>
      </c>
      <c r="J832" s="47">
        <f t="shared" si="11"/>
        <v>0</v>
      </c>
      <c r="K832" s="48" t="str">
        <f>UpdateHashtag!T830</f>
        <v/>
      </c>
      <c r="L832" s="42">
        <f t="shared" si="12"/>
        <v>-1.734552372</v>
      </c>
      <c r="N832" s="100">
        <f t="shared" si="13"/>
        <v>401</v>
      </c>
      <c r="O832" s="94" t="str">
        <f t="array" ref="O832">INDIRECT("Update"&amp;Projections!$AH$17&amp;"!B"&amp;ROW(B813))</f>
        <v/>
      </c>
      <c r="P832" s="414" t="str">
        <f t="array" ref="P832">INDIRECT("Update"&amp;Projections!$AH$17&amp;"!C"&amp;ROW(B813))</f>
        <v/>
      </c>
      <c r="Q832" s="94" t="str">
        <f>UpdateHashtag!F862</f>
        <v/>
      </c>
      <c r="R832" s="105" t="str">
        <f t="array" ref="R832">INDIRECT("Update"&amp;Projections!$AH$17&amp;"!D"&amp;ROW(B813))</f>
        <v/>
      </c>
      <c r="S832" s="73">
        <f t="shared" si="14"/>
        <v>-9.965301026</v>
      </c>
      <c r="T832" s="73">
        <f>SUM(AE832:AM832)-IFERROR(IFS(Projections!$I$17,AN832,Projections!$J$17,AO832),"")</f>
        <v>-9.965301026</v>
      </c>
      <c r="U832" s="73">
        <f t="shared" si="15"/>
        <v>0</v>
      </c>
      <c r="V832" s="73" t="str">
        <f t="array" ref="V832">INDIRECT("Update"&amp;Projections!$AH$17&amp;"!M"&amp;ROW(B813))</f>
        <v/>
      </c>
      <c r="W832" s="73" t="str">
        <f t="array" ref="W832">INDIRECT("Update"&amp;Projections!$AH$17&amp;"!L"&amp;ROW(B813))</f>
        <v/>
      </c>
      <c r="X832" s="73" t="str">
        <f t="array" ref="X832">INDIRECT("Update"&amp;Projections!$AH$17&amp;"!N"&amp;ROW(B813))</f>
        <v/>
      </c>
      <c r="Y832" s="73" t="str">
        <f t="array" ref="Y832">INDIRECT("Update"&amp;Projections!$AH$17&amp;"!O"&amp;ROW(B813))</f>
        <v/>
      </c>
      <c r="Z832" s="73" t="str">
        <f t="array" ref="Z832">INDIRECT("Update"&amp;Projections!$AH$17&amp;"!P"&amp;ROW(B813))</f>
        <v/>
      </c>
      <c r="AA832" s="73" t="str">
        <f t="array" ref="AA832">INDIRECT("Update"&amp;Projections!$AH$17&amp;"!Q"&amp;ROW(B813))</f>
        <v/>
      </c>
      <c r="AB832" s="107" t="str">
        <f t="array" ref="AB832">INDIRECT("Update"&amp;Projections!$AH$17&amp;"!I"&amp;ROW(B813))</f>
        <v/>
      </c>
      <c r="AC832" s="107" t="str">
        <f t="array" ref="AC832">INDIRECT("Update"&amp;Projections!$AH$17&amp;"!K"&amp;ROW(B813))</f>
        <v/>
      </c>
      <c r="AD832" s="73" t="str">
        <f t="array" ref="AD832">INDIRECT("Update"&amp;Projections!$AH$17&amp;"!R"&amp;ROW(B813))</f>
        <v/>
      </c>
      <c r="AE832" s="73">
        <f t="shared" si="16"/>
        <v>-3.155358621</v>
      </c>
      <c r="AF832" s="73">
        <f t="shared" si="17"/>
        <v>-1.740686581</v>
      </c>
      <c r="AG832" s="73">
        <f t="shared" si="18"/>
        <v>-2.380599106</v>
      </c>
      <c r="AH832" s="73">
        <f t="shared" si="19"/>
        <v>-1.79320266</v>
      </c>
      <c r="AI832" s="73">
        <f t="shared" si="20"/>
        <v>-3.240190514</v>
      </c>
      <c r="AJ832" s="73">
        <f t="shared" si="21"/>
        <v>-1.329092151</v>
      </c>
      <c r="AK832" s="73">
        <f t="shared" si="22"/>
        <v>0</v>
      </c>
      <c r="AL832" s="73">
        <f t="shared" si="23"/>
        <v>0</v>
      </c>
      <c r="AM832" s="73">
        <f t="shared" si="24"/>
        <v>0.433638093</v>
      </c>
      <c r="AN832" s="120">
        <f t="shared" si="25"/>
        <v>-3.240190514</v>
      </c>
      <c r="AO832" s="120">
        <f t="shared" si="26"/>
        <v>-6.395549135</v>
      </c>
      <c r="AP832" s="120" t="str">
        <f t="array" ref="AP832">INDIRECT("Update"&amp;Projections!$AH$17&amp;"!S"&amp;ROW(B813))</f>
        <v/>
      </c>
      <c r="AQ832" s="120" t="str">
        <f t="array" ref="AQ832">INDIRECT("Update"&amp;Projections!$AH$17&amp;"!T"&amp;ROW(B813))</f>
        <v/>
      </c>
      <c r="AR832" s="100">
        <f t="shared" si="27"/>
        <v>-9.965301026</v>
      </c>
    </row>
    <row r="833">
      <c r="A833" t="str">
        <f t="shared" si="3"/>
        <v/>
      </c>
      <c r="B833" s="42">
        <f t="shared" si="4"/>
        <v>-3.155358621</v>
      </c>
      <c r="C833" s="43">
        <f t="shared" si="5"/>
        <v>-1.740686581</v>
      </c>
      <c r="D833" s="42">
        <f t="shared" si="6"/>
        <v>-2.380599106</v>
      </c>
      <c r="E833" s="42">
        <f t="shared" si="7"/>
        <v>-1.79320266</v>
      </c>
      <c r="F833" s="42">
        <f t="shared" si="8"/>
        <v>-3.240190514</v>
      </c>
      <c r="G833" s="42">
        <f t="shared" si="9"/>
        <v>-1.329092151</v>
      </c>
      <c r="H833" s="42">
        <f t="shared" si="10"/>
        <v>0</v>
      </c>
      <c r="I833" s="42" t="str">
        <f>UpdateHashtag!S831</f>
        <v/>
      </c>
      <c r="J833" s="47">
        <f t="shared" si="11"/>
        <v>0</v>
      </c>
      <c r="K833" s="48" t="str">
        <f>UpdateHashtag!T831</f>
        <v/>
      </c>
      <c r="L833" s="42">
        <f t="shared" si="12"/>
        <v>-1.734552372</v>
      </c>
      <c r="N833" s="100">
        <f t="shared" si="13"/>
        <v>401</v>
      </c>
      <c r="O833" s="94" t="str">
        <f t="array" ref="O833">INDIRECT("Update"&amp;Projections!$AH$17&amp;"!B"&amp;ROW(B814))</f>
        <v/>
      </c>
      <c r="P833" s="414" t="str">
        <f t="array" ref="P833">INDIRECT("Update"&amp;Projections!$AH$17&amp;"!C"&amp;ROW(B814))</f>
        <v/>
      </c>
      <c r="Q833" s="94" t="str">
        <f>UpdateHashtag!F863</f>
        <v/>
      </c>
      <c r="R833" s="105" t="str">
        <f t="array" ref="R833">INDIRECT("Update"&amp;Projections!$AH$17&amp;"!D"&amp;ROW(B814))</f>
        <v/>
      </c>
      <c r="S833" s="73">
        <f t="shared" si="14"/>
        <v>-9.965301026</v>
      </c>
      <c r="T833" s="73">
        <f>SUM(AE833:AM833)-IFERROR(IFS(Projections!$I$17,AN833,Projections!$J$17,AO833),"")</f>
        <v>-9.965301026</v>
      </c>
      <c r="U833" s="73">
        <f t="shared" si="15"/>
        <v>0</v>
      </c>
      <c r="V833" s="73" t="str">
        <f t="array" ref="V833">INDIRECT("Update"&amp;Projections!$AH$17&amp;"!M"&amp;ROW(B814))</f>
        <v/>
      </c>
      <c r="W833" s="73" t="str">
        <f t="array" ref="W833">INDIRECT("Update"&amp;Projections!$AH$17&amp;"!L"&amp;ROW(B814))</f>
        <v/>
      </c>
      <c r="X833" s="73" t="str">
        <f t="array" ref="X833">INDIRECT("Update"&amp;Projections!$AH$17&amp;"!N"&amp;ROW(B814))</f>
        <v/>
      </c>
      <c r="Y833" s="73" t="str">
        <f t="array" ref="Y833">INDIRECT("Update"&amp;Projections!$AH$17&amp;"!O"&amp;ROW(B814))</f>
        <v/>
      </c>
      <c r="Z833" s="73" t="str">
        <f t="array" ref="Z833">INDIRECT("Update"&amp;Projections!$AH$17&amp;"!P"&amp;ROW(B814))</f>
        <v/>
      </c>
      <c r="AA833" s="73" t="str">
        <f t="array" ref="AA833">INDIRECT("Update"&amp;Projections!$AH$17&amp;"!Q"&amp;ROW(B814))</f>
        <v/>
      </c>
      <c r="AB833" s="107" t="str">
        <f t="array" ref="AB833">INDIRECT("Update"&amp;Projections!$AH$17&amp;"!I"&amp;ROW(B814))</f>
        <v/>
      </c>
      <c r="AC833" s="107" t="str">
        <f t="array" ref="AC833">INDIRECT("Update"&amp;Projections!$AH$17&amp;"!K"&amp;ROW(B814))</f>
        <v/>
      </c>
      <c r="AD833" s="73" t="str">
        <f t="array" ref="AD833">INDIRECT("Update"&amp;Projections!$AH$17&amp;"!R"&amp;ROW(B814))</f>
        <v/>
      </c>
      <c r="AE833" s="73">
        <f t="shared" si="16"/>
        <v>-3.155358621</v>
      </c>
      <c r="AF833" s="73">
        <f t="shared" si="17"/>
        <v>-1.740686581</v>
      </c>
      <c r="AG833" s="73">
        <f t="shared" si="18"/>
        <v>-2.380599106</v>
      </c>
      <c r="AH833" s="73">
        <f t="shared" si="19"/>
        <v>-1.79320266</v>
      </c>
      <c r="AI833" s="73">
        <f t="shared" si="20"/>
        <v>-3.240190514</v>
      </c>
      <c r="AJ833" s="73">
        <f t="shared" si="21"/>
        <v>-1.329092151</v>
      </c>
      <c r="AK833" s="73">
        <f t="shared" si="22"/>
        <v>0</v>
      </c>
      <c r="AL833" s="73">
        <f t="shared" si="23"/>
        <v>0</v>
      </c>
      <c r="AM833" s="73">
        <f t="shared" si="24"/>
        <v>0.433638093</v>
      </c>
      <c r="AN833" s="120">
        <f t="shared" si="25"/>
        <v>-3.240190514</v>
      </c>
      <c r="AO833" s="120">
        <f t="shared" si="26"/>
        <v>-6.395549135</v>
      </c>
      <c r="AP833" s="120" t="str">
        <f t="array" ref="AP833">INDIRECT("Update"&amp;Projections!$AH$17&amp;"!S"&amp;ROW(B814))</f>
        <v/>
      </c>
      <c r="AQ833" s="120" t="str">
        <f t="array" ref="AQ833">INDIRECT("Update"&amp;Projections!$AH$17&amp;"!T"&amp;ROW(B814))</f>
        <v/>
      </c>
      <c r="AR833" s="100">
        <f t="shared" si="27"/>
        <v>-9.965301026</v>
      </c>
    </row>
    <row r="834">
      <c r="A834" t="str">
        <f t="shared" si="3"/>
        <v/>
      </c>
      <c r="B834" s="42">
        <f t="shared" si="4"/>
        <v>-3.155358621</v>
      </c>
      <c r="C834" s="43">
        <f t="shared" si="5"/>
        <v>-1.740686581</v>
      </c>
      <c r="D834" s="42">
        <f t="shared" si="6"/>
        <v>-2.380599106</v>
      </c>
      <c r="E834" s="42">
        <f t="shared" si="7"/>
        <v>-1.79320266</v>
      </c>
      <c r="F834" s="42">
        <f t="shared" si="8"/>
        <v>-3.240190514</v>
      </c>
      <c r="G834" s="42">
        <f t="shared" si="9"/>
        <v>-1.329092151</v>
      </c>
      <c r="H834" s="42">
        <f t="shared" si="10"/>
        <v>0</v>
      </c>
      <c r="I834" s="42" t="str">
        <f>UpdateHashtag!S832</f>
        <v/>
      </c>
      <c r="J834" s="47">
        <f t="shared" si="11"/>
        <v>0</v>
      </c>
      <c r="K834" s="48" t="str">
        <f>UpdateHashtag!T832</f>
        <v/>
      </c>
      <c r="L834" s="42">
        <f t="shared" si="12"/>
        <v>-1.734552372</v>
      </c>
      <c r="N834" s="100">
        <f t="shared" si="13"/>
        <v>401</v>
      </c>
      <c r="O834" s="94" t="str">
        <f t="array" ref="O834">INDIRECT("Update"&amp;Projections!$AH$17&amp;"!B"&amp;ROW(B815))</f>
        <v/>
      </c>
      <c r="P834" s="414" t="str">
        <f t="array" ref="P834">INDIRECT("Update"&amp;Projections!$AH$17&amp;"!C"&amp;ROW(B815))</f>
        <v/>
      </c>
      <c r="Q834" s="94" t="str">
        <f>UpdateHashtag!F864</f>
        <v/>
      </c>
      <c r="R834" s="105" t="str">
        <f t="array" ref="R834">INDIRECT("Update"&amp;Projections!$AH$17&amp;"!D"&amp;ROW(B815))</f>
        <v/>
      </c>
      <c r="S834" s="73">
        <f t="shared" si="14"/>
        <v>-9.965301026</v>
      </c>
      <c r="T834" s="73">
        <f>SUM(AE834:AM834)-IFERROR(IFS(Projections!$I$17,AN834,Projections!$J$17,AO834),"")</f>
        <v>-9.965301026</v>
      </c>
      <c r="U834" s="73">
        <f t="shared" si="15"/>
        <v>0</v>
      </c>
      <c r="V834" s="73" t="str">
        <f t="array" ref="V834">INDIRECT("Update"&amp;Projections!$AH$17&amp;"!M"&amp;ROW(B815))</f>
        <v/>
      </c>
      <c r="W834" s="73" t="str">
        <f t="array" ref="W834">INDIRECT("Update"&amp;Projections!$AH$17&amp;"!L"&amp;ROW(B815))</f>
        <v/>
      </c>
      <c r="X834" s="73" t="str">
        <f t="array" ref="X834">INDIRECT("Update"&amp;Projections!$AH$17&amp;"!N"&amp;ROW(B815))</f>
        <v/>
      </c>
      <c r="Y834" s="73" t="str">
        <f t="array" ref="Y834">INDIRECT("Update"&amp;Projections!$AH$17&amp;"!O"&amp;ROW(B815))</f>
        <v/>
      </c>
      <c r="Z834" s="73" t="str">
        <f t="array" ref="Z834">INDIRECT("Update"&amp;Projections!$AH$17&amp;"!P"&amp;ROW(B815))</f>
        <v/>
      </c>
      <c r="AA834" s="73" t="str">
        <f t="array" ref="AA834">INDIRECT("Update"&amp;Projections!$AH$17&amp;"!Q"&amp;ROW(B815))</f>
        <v/>
      </c>
      <c r="AB834" s="107" t="str">
        <f t="array" ref="AB834">INDIRECT("Update"&amp;Projections!$AH$17&amp;"!I"&amp;ROW(B815))</f>
        <v/>
      </c>
      <c r="AC834" s="107" t="str">
        <f t="array" ref="AC834">INDIRECT("Update"&amp;Projections!$AH$17&amp;"!K"&amp;ROW(B815))</f>
        <v/>
      </c>
      <c r="AD834" s="73" t="str">
        <f t="array" ref="AD834">INDIRECT("Update"&amp;Projections!$AH$17&amp;"!R"&amp;ROW(B815))</f>
        <v/>
      </c>
      <c r="AE834" s="73">
        <f t="shared" si="16"/>
        <v>-3.155358621</v>
      </c>
      <c r="AF834" s="73">
        <f t="shared" si="17"/>
        <v>-1.740686581</v>
      </c>
      <c r="AG834" s="73">
        <f t="shared" si="18"/>
        <v>-2.380599106</v>
      </c>
      <c r="AH834" s="73">
        <f t="shared" si="19"/>
        <v>-1.79320266</v>
      </c>
      <c r="AI834" s="73">
        <f t="shared" si="20"/>
        <v>-3.240190514</v>
      </c>
      <c r="AJ834" s="73">
        <f t="shared" si="21"/>
        <v>-1.329092151</v>
      </c>
      <c r="AK834" s="73">
        <f t="shared" si="22"/>
        <v>0</v>
      </c>
      <c r="AL834" s="73">
        <f t="shared" si="23"/>
        <v>0</v>
      </c>
      <c r="AM834" s="73">
        <f t="shared" si="24"/>
        <v>0.433638093</v>
      </c>
      <c r="AN834" s="120">
        <f t="shared" si="25"/>
        <v>-3.240190514</v>
      </c>
      <c r="AO834" s="120">
        <f t="shared" si="26"/>
        <v>-6.395549135</v>
      </c>
      <c r="AP834" s="120" t="str">
        <f t="array" ref="AP834">INDIRECT("Update"&amp;Projections!$AH$17&amp;"!S"&amp;ROW(B815))</f>
        <v/>
      </c>
      <c r="AQ834" s="120" t="str">
        <f t="array" ref="AQ834">INDIRECT("Update"&amp;Projections!$AH$17&amp;"!T"&amp;ROW(B815))</f>
        <v/>
      </c>
      <c r="AR834" s="100">
        <f t="shared" si="27"/>
        <v>-9.965301026</v>
      </c>
    </row>
    <row r="835">
      <c r="A835" t="str">
        <f t="shared" si="3"/>
        <v/>
      </c>
      <c r="B835" s="42">
        <f t="shared" si="4"/>
        <v>-3.155358621</v>
      </c>
      <c r="C835" s="43">
        <f t="shared" si="5"/>
        <v>-1.740686581</v>
      </c>
      <c r="D835" s="42">
        <f t="shared" si="6"/>
        <v>-2.380599106</v>
      </c>
      <c r="E835" s="42">
        <f t="shared" si="7"/>
        <v>-1.79320266</v>
      </c>
      <c r="F835" s="42">
        <f t="shared" si="8"/>
        <v>-3.240190514</v>
      </c>
      <c r="G835" s="42">
        <f t="shared" si="9"/>
        <v>-1.329092151</v>
      </c>
      <c r="H835" s="42">
        <f t="shared" si="10"/>
        <v>0</v>
      </c>
      <c r="I835" s="42" t="str">
        <f>UpdateHashtag!S833</f>
        <v/>
      </c>
      <c r="J835" s="47">
        <f t="shared" si="11"/>
        <v>0</v>
      </c>
      <c r="K835" s="48" t="str">
        <f>UpdateHashtag!T833</f>
        <v/>
      </c>
      <c r="L835" s="42">
        <f t="shared" si="12"/>
        <v>-1.734552372</v>
      </c>
      <c r="N835" s="100">
        <f t="shared" si="13"/>
        <v>401</v>
      </c>
      <c r="O835" s="94" t="str">
        <f t="array" ref="O835">INDIRECT("Update"&amp;Projections!$AH$17&amp;"!B"&amp;ROW(B816))</f>
        <v/>
      </c>
      <c r="P835" s="414" t="str">
        <f t="array" ref="P835">INDIRECT("Update"&amp;Projections!$AH$17&amp;"!C"&amp;ROW(B816))</f>
        <v/>
      </c>
      <c r="Q835" s="94" t="str">
        <f>UpdateHashtag!F865</f>
        <v/>
      </c>
      <c r="R835" s="105" t="str">
        <f t="array" ref="R835">INDIRECT("Update"&amp;Projections!$AH$17&amp;"!D"&amp;ROW(B816))</f>
        <v/>
      </c>
      <c r="S835" s="73">
        <f t="shared" si="14"/>
        <v>-9.965301026</v>
      </c>
      <c r="T835" s="73">
        <f>SUM(AE835:AM835)-IFERROR(IFS(Projections!$I$17,AN835,Projections!$J$17,AO835),"")</f>
        <v>-9.965301026</v>
      </c>
      <c r="U835" s="73">
        <f t="shared" si="15"/>
        <v>0</v>
      </c>
      <c r="V835" s="73" t="str">
        <f t="array" ref="V835">INDIRECT("Update"&amp;Projections!$AH$17&amp;"!M"&amp;ROW(B816))</f>
        <v/>
      </c>
      <c r="W835" s="73" t="str">
        <f t="array" ref="W835">INDIRECT("Update"&amp;Projections!$AH$17&amp;"!L"&amp;ROW(B816))</f>
        <v/>
      </c>
      <c r="X835" s="73" t="str">
        <f t="array" ref="X835">INDIRECT("Update"&amp;Projections!$AH$17&amp;"!N"&amp;ROW(B816))</f>
        <v/>
      </c>
      <c r="Y835" s="73" t="str">
        <f t="array" ref="Y835">INDIRECT("Update"&amp;Projections!$AH$17&amp;"!O"&amp;ROW(B816))</f>
        <v/>
      </c>
      <c r="Z835" s="73" t="str">
        <f t="array" ref="Z835">INDIRECT("Update"&amp;Projections!$AH$17&amp;"!P"&amp;ROW(B816))</f>
        <v/>
      </c>
      <c r="AA835" s="73" t="str">
        <f t="array" ref="AA835">INDIRECT("Update"&amp;Projections!$AH$17&amp;"!Q"&amp;ROW(B816))</f>
        <v/>
      </c>
      <c r="AB835" s="107" t="str">
        <f t="array" ref="AB835">INDIRECT("Update"&amp;Projections!$AH$17&amp;"!I"&amp;ROW(B816))</f>
        <v/>
      </c>
      <c r="AC835" s="107" t="str">
        <f t="array" ref="AC835">INDIRECT("Update"&amp;Projections!$AH$17&amp;"!K"&amp;ROW(B816))</f>
        <v/>
      </c>
      <c r="AD835" s="73" t="str">
        <f t="array" ref="AD835">INDIRECT("Update"&amp;Projections!$AH$17&amp;"!R"&amp;ROW(B816))</f>
        <v/>
      </c>
      <c r="AE835" s="73">
        <f t="shared" si="16"/>
        <v>-3.155358621</v>
      </c>
      <c r="AF835" s="73">
        <f t="shared" si="17"/>
        <v>-1.740686581</v>
      </c>
      <c r="AG835" s="73">
        <f t="shared" si="18"/>
        <v>-2.380599106</v>
      </c>
      <c r="AH835" s="73">
        <f t="shared" si="19"/>
        <v>-1.79320266</v>
      </c>
      <c r="AI835" s="73">
        <f t="shared" si="20"/>
        <v>-3.240190514</v>
      </c>
      <c r="AJ835" s="73">
        <f t="shared" si="21"/>
        <v>-1.329092151</v>
      </c>
      <c r="AK835" s="73">
        <f t="shared" si="22"/>
        <v>0</v>
      </c>
      <c r="AL835" s="73">
        <f t="shared" si="23"/>
        <v>0</v>
      </c>
      <c r="AM835" s="73">
        <f t="shared" si="24"/>
        <v>0.433638093</v>
      </c>
      <c r="AN835" s="120">
        <f t="shared" si="25"/>
        <v>-3.240190514</v>
      </c>
      <c r="AO835" s="120">
        <f t="shared" si="26"/>
        <v>-6.395549135</v>
      </c>
      <c r="AP835" s="120" t="str">
        <f t="array" ref="AP835">INDIRECT("Update"&amp;Projections!$AH$17&amp;"!S"&amp;ROW(B816))</f>
        <v/>
      </c>
      <c r="AQ835" s="120" t="str">
        <f t="array" ref="AQ835">INDIRECT("Update"&amp;Projections!$AH$17&amp;"!T"&amp;ROW(B816))</f>
        <v/>
      </c>
      <c r="AR835" s="100">
        <f t="shared" si="27"/>
        <v>-9.965301026</v>
      </c>
    </row>
    <row r="836">
      <c r="A836" t="str">
        <f t="shared" si="3"/>
        <v/>
      </c>
      <c r="B836" s="42">
        <f t="shared" si="4"/>
        <v>-3.155358621</v>
      </c>
      <c r="C836" s="43">
        <f t="shared" si="5"/>
        <v>-1.740686581</v>
      </c>
      <c r="D836" s="42">
        <f t="shared" si="6"/>
        <v>-2.380599106</v>
      </c>
      <c r="E836" s="42">
        <f t="shared" si="7"/>
        <v>-1.79320266</v>
      </c>
      <c r="F836" s="42">
        <f t="shared" si="8"/>
        <v>-3.240190514</v>
      </c>
      <c r="G836" s="42">
        <f t="shared" si="9"/>
        <v>-1.329092151</v>
      </c>
      <c r="H836" s="42">
        <f t="shared" si="10"/>
        <v>0</v>
      </c>
      <c r="I836" s="42" t="str">
        <f>UpdateHashtag!S834</f>
        <v/>
      </c>
      <c r="J836" s="47">
        <f t="shared" si="11"/>
        <v>0</v>
      </c>
      <c r="K836" s="48" t="str">
        <f>UpdateHashtag!T834</f>
        <v/>
      </c>
      <c r="L836" s="42">
        <f t="shared" si="12"/>
        <v>-1.734552372</v>
      </c>
      <c r="N836" s="100">
        <f t="shared" si="13"/>
        <v>401</v>
      </c>
      <c r="O836" s="94" t="str">
        <f t="array" ref="O836">INDIRECT("Update"&amp;Projections!$AH$17&amp;"!B"&amp;ROW(B817))</f>
        <v/>
      </c>
      <c r="P836" s="414" t="str">
        <f t="array" ref="P836">INDIRECT("Update"&amp;Projections!$AH$17&amp;"!C"&amp;ROW(B817))</f>
        <v/>
      </c>
      <c r="Q836" s="94" t="str">
        <f>UpdateHashtag!F866</f>
        <v/>
      </c>
      <c r="R836" s="105" t="str">
        <f t="array" ref="R836">INDIRECT("Update"&amp;Projections!$AH$17&amp;"!D"&amp;ROW(B817))</f>
        <v/>
      </c>
      <c r="S836" s="73">
        <f t="shared" si="14"/>
        <v>-9.965301026</v>
      </c>
      <c r="T836" s="73">
        <f>SUM(AE836:AM836)-IFERROR(IFS(Projections!$I$17,AN836,Projections!$J$17,AO836),"")</f>
        <v>-9.965301026</v>
      </c>
      <c r="U836" s="73">
        <f t="shared" si="15"/>
        <v>0</v>
      </c>
      <c r="V836" s="73" t="str">
        <f t="array" ref="V836">INDIRECT("Update"&amp;Projections!$AH$17&amp;"!M"&amp;ROW(B817))</f>
        <v/>
      </c>
      <c r="W836" s="73" t="str">
        <f t="array" ref="W836">INDIRECT("Update"&amp;Projections!$AH$17&amp;"!L"&amp;ROW(B817))</f>
        <v/>
      </c>
      <c r="X836" s="73" t="str">
        <f t="array" ref="X836">INDIRECT("Update"&amp;Projections!$AH$17&amp;"!N"&amp;ROW(B817))</f>
        <v/>
      </c>
      <c r="Y836" s="73" t="str">
        <f t="array" ref="Y836">INDIRECT("Update"&amp;Projections!$AH$17&amp;"!O"&amp;ROW(B817))</f>
        <v/>
      </c>
      <c r="Z836" s="73" t="str">
        <f t="array" ref="Z836">INDIRECT("Update"&amp;Projections!$AH$17&amp;"!P"&amp;ROW(B817))</f>
        <v/>
      </c>
      <c r="AA836" s="73" t="str">
        <f t="array" ref="AA836">INDIRECT("Update"&amp;Projections!$AH$17&amp;"!Q"&amp;ROW(B817))</f>
        <v/>
      </c>
      <c r="AB836" s="107" t="str">
        <f t="array" ref="AB836">INDIRECT("Update"&amp;Projections!$AH$17&amp;"!I"&amp;ROW(B817))</f>
        <v/>
      </c>
      <c r="AC836" s="107" t="str">
        <f t="array" ref="AC836">INDIRECT("Update"&amp;Projections!$AH$17&amp;"!K"&amp;ROW(B817))</f>
        <v/>
      </c>
      <c r="AD836" s="73" t="str">
        <f t="array" ref="AD836">INDIRECT("Update"&amp;Projections!$AH$17&amp;"!R"&amp;ROW(B817))</f>
        <v/>
      </c>
      <c r="AE836" s="73">
        <f t="shared" si="16"/>
        <v>-3.155358621</v>
      </c>
      <c r="AF836" s="73">
        <f t="shared" si="17"/>
        <v>-1.740686581</v>
      </c>
      <c r="AG836" s="73">
        <f t="shared" si="18"/>
        <v>-2.380599106</v>
      </c>
      <c r="AH836" s="73">
        <f t="shared" si="19"/>
        <v>-1.79320266</v>
      </c>
      <c r="AI836" s="73">
        <f t="shared" si="20"/>
        <v>-3.240190514</v>
      </c>
      <c r="AJ836" s="73">
        <f t="shared" si="21"/>
        <v>-1.329092151</v>
      </c>
      <c r="AK836" s="73">
        <f t="shared" si="22"/>
        <v>0</v>
      </c>
      <c r="AL836" s="73">
        <f t="shared" si="23"/>
        <v>0</v>
      </c>
      <c r="AM836" s="73">
        <f t="shared" si="24"/>
        <v>0.433638093</v>
      </c>
      <c r="AN836" s="120">
        <f t="shared" si="25"/>
        <v>-3.240190514</v>
      </c>
      <c r="AO836" s="120">
        <f t="shared" si="26"/>
        <v>-6.395549135</v>
      </c>
      <c r="AP836" s="120" t="str">
        <f t="array" ref="AP836">INDIRECT("Update"&amp;Projections!$AH$17&amp;"!S"&amp;ROW(B817))</f>
        <v/>
      </c>
      <c r="AQ836" s="120" t="str">
        <f t="array" ref="AQ836">INDIRECT("Update"&amp;Projections!$AH$17&amp;"!T"&amp;ROW(B817))</f>
        <v/>
      </c>
      <c r="AR836" s="100">
        <f t="shared" si="27"/>
        <v>-9.965301026</v>
      </c>
    </row>
    <row r="837">
      <c r="A837" t="str">
        <f t="shared" si="3"/>
        <v/>
      </c>
      <c r="B837" s="42">
        <f t="shared" si="4"/>
        <v>-3.155358621</v>
      </c>
      <c r="C837" s="43">
        <f t="shared" si="5"/>
        <v>-1.740686581</v>
      </c>
      <c r="D837" s="42">
        <f t="shared" si="6"/>
        <v>-2.380599106</v>
      </c>
      <c r="E837" s="42">
        <f t="shared" si="7"/>
        <v>-1.79320266</v>
      </c>
      <c r="F837" s="42">
        <f t="shared" si="8"/>
        <v>-3.240190514</v>
      </c>
      <c r="G837" s="42">
        <f t="shared" si="9"/>
        <v>-1.329092151</v>
      </c>
      <c r="H837" s="42">
        <f t="shared" si="10"/>
        <v>0</v>
      </c>
      <c r="I837" s="42" t="str">
        <f>UpdateHashtag!S835</f>
        <v/>
      </c>
      <c r="J837" s="47">
        <f t="shared" si="11"/>
        <v>0</v>
      </c>
      <c r="K837" s="48" t="str">
        <f>UpdateHashtag!T835</f>
        <v/>
      </c>
      <c r="L837" s="42">
        <f t="shared" si="12"/>
        <v>-1.734552372</v>
      </c>
      <c r="N837" s="100">
        <f t="shared" si="13"/>
        <v>401</v>
      </c>
      <c r="O837" s="94" t="str">
        <f t="array" ref="O837">INDIRECT("Update"&amp;Projections!$AH$17&amp;"!B"&amp;ROW(B818))</f>
        <v/>
      </c>
      <c r="P837" s="414" t="str">
        <f t="array" ref="P837">INDIRECT("Update"&amp;Projections!$AH$17&amp;"!C"&amp;ROW(B818))</f>
        <v/>
      </c>
      <c r="Q837" s="94" t="str">
        <f>UpdateHashtag!F867</f>
        <v/>
      </c>
      <c r="R837" s="105" t="str">
        <f t="array" ref="R837">INDIRECT("Update"&amp;Projections!$AH$17&amp;"!D"&amp;ROW(B818))</f>
        <v/>
      </c>
      <c r="S837" s="73">
        <f t="shared" si="14"/>
        <v>-9.965301026</v>
      </c>
      <c r="T837" s="73">
        <f>SUM(AE837:AM837)-IFERROR(IFS(Projections!$I$17,AN837,Projections!$J$17,AO837),"")</f>
        <v>-9.965301026</v>
      </c>
      <c r="U837" s="73">
        <f t="shared" si="15"/>
        <v>0</v>
      </c>
      <c r="V837" s="73" t="str">
        <f t="array" ref="V837">INDIRECT("Update"&amp;Projections!$AH$17&amp;"!M"&amp;ROW(B818))</f>
        <v/>
      </c>
      <c r="W837" s="73" t="str">
        <f t="array" ref="W837">INDIRECT("Update"&amp;Projections!$AH$17&amp;"!L"&amp;ROW(B818))</f>
        <v/>
      </c>
      <c r="X837" s="73" t="str">
        <f t="array" ref="X837">INDIRECT("Update"&amp;Projections!$AH$17&amp;"!N"&amp;ROW(B818))</f>
        <v/>
      </c>
      <c r="Y837" s="73" t="str">
        <f t="array" ref="Y837">INDIRECT("Update"&amp;Projections!$AH$17&amp;"!O"&amp;ROW(B818))</f>
        <v/>
      </c>
      <c r="Z837" s="73" t="str">
        <f t="array" ref="Z837">INDIRECT("Update"&amp;Projections!$AH$17&amp;"!P"&amp;ROW(B818))</f>
        <v/>
      </c>
      <c r="AA837" s="73" t="str">
        <f t="array" ref="AA837">INDIRECT("Update"&amp;Projections!$AH$17&amp;"!Q"&amp;ROW(B818))</f>
        <v/>
      </c>
      <c r="AB837" s="107" t="str">
        <f t="array" ref="AB837">INDIRECT("Update"&amp;Projections!$AH$17&amp;"!I"&amp;ROW(B818))</f>
        <v/>
      </c>
      <c r="AC837" s="107" t="str">
        <f t="array" ref="AC837">INDIRECT("Update"&amp;Projections!$AH$17&amp;"!K"&amp;ROW(B818))</f>
        <v/>
      </c>
      <c r="AD837" s="73" t="str">
        <f t="array" ref="AD837">INDIRECT("Update"&amp;Projections!$AH$17&amp;"!R"&amp;ROW(B818))</f>
        <v/>
      </c>
      <c r="AE837" s="73">
        <f t="shared" si="16"/>
        <v>-3.155358621</v>
      </c>
      <c r="AF837" s="73">
        <f t="shared" si="17"/>
        <v>-1.740686581</v>
      </c>
      <c r="AG837" s="73">
        <f t="shared" si="18"/>
        <v>-2.380599106</v>
      </c>
      <c r="AH837" s="73">
        <f t="shared" si="19"/>
        <v>-1.79320266</v>
      </c>
      <c r="AI837" s="73">
        <f t="shared" si="20"/>
        <v>-3.240190514</v>
      </c>
      <c r="AJ837" s="73">
        <f t="shared" si="21"/>
        <v>-1.329092151</v>
      </c>
      <c r="AK837" s="73">
        <f t="shared" si="22"/>
        <v>0</v>
      </c>
      <c r="AL837" s="73">
        <f t="shared" si="23"/>
        <v>0</v>
      </c>
      <c r="AM837" s="73">
        <f t="shared" si="24"/>
        <v>0.433638093</v>
      </c>
      <c r="AN837" s="120">
        <f t="shared" si="25"/>
        <v>-3.240190514</v>
      </c>
      <c r="AO837" s="120">
        <f t="shared" si="26"/>
        <v>-6.395549135</v>
      </c>
      <c r="AP837" s="120" t="str">
        <f t="array" ref="AP837">INDIRECT("Update"&amp;Projections!$AH$17&amp;"!S"&amp;ROW(B818))</f>
        <v/>
      </c>
      <c r="AQ837" s="120" t="str">
        <f t="array" ref="AQ837">INDIRECT("Update"&amp;Projections!$AH$17&amp;"!T"&amp;ROW(B818))</f>
        <v/>
      </c>
      <c r="AR837" s="100">
        <f t="shared" si="27"/>
        <v>-9.965301026</v>
      </c>
    </row>
    <row r="838">
      <c r="A838" t="str">
        <f t="shared" si="3"/>
        <v/>
      </c>
      <c r="B838" s="42">
        <f t="shared" si="4"/>
        <v>-3.155358621</v>
      </c>
      <c r="C838" s="43">
        <f t="shared" si="5"/>
        <v>-1.740686581</v>
      </c>
      <c r="D838" s="42">
        <f t="shared" si="6"/>
        <v>-2.380599106</v>
      </c>
      <c r="E838" s="42">
        <f t="shared" si="7"/>
        <v>-1.79320266</v>
      </c>
      <c r="F838" s="42">
        <f t="shared" si="8"/>
        <v>-3.240190514</v>
      </c>
      <c r="G838" s="42">
        <f t="shared" si="9"/>
        <v>-1.329092151</v>
      </c>
      <c r="H838" s="42">
        <f t="shared" si="10"/>
        <v>0</v>
      </c>
      <c r="I838" s="42" t="str">
        <f>UpdateHashtag!S836</f>
        <v/>
      </c>
      <c r="J838" s="47">
        <f t="shared" si="11"/>
        <v>0</v>
      </c>
      <c r="K838" s="48" t="str">
        <f>UpdateHashtag!T836</f>
        <v/>
      </c>
      <c r="L838" s="42">
        <f t="shared" si="12"/>
        <v>-1.734552372</v>
      </c>
      <c r="N838" s="100">
        <f t="shared" si="13"/>
        <v>401</v>
      </c>
      <c r="O838" s="94" t="str">
        <f t="array" ref="O838">INDIRECT("Update"&amp;Projections!$AH$17&amp;"!B"&amp;ROW(B819))</f>
        <v/>
      </c>
      <c r="P838" s="414" t="str">
        <f t="array" ref="P838">INDIRECT("Update"&amp;Projections!$AH$17&amp;"!C"&amp;ROW(B819))</f>
        <v/>
      </c>
      <c r="Q838" s="94" t="str">
        <f>UpdateHashtag!F868</f>
        <v/>
      </c>
      <c r="R838" s="105" t="str">
        <f t="array" ref="R838">INDIRECT("Update"&amp;Projections!$AH$17&amp;"!D"&amp;ROW(B819))</f>
        <v/>
      </c>
      <c r="S838" s="73">
        <f t="shared" si="14"/>
        <v>-9.965301026</v>
      </c>
      <c r="T838" s="73">
        <f>SUM(AE838:AM838)-IFERROR(IFS(Projections!$I$17,AN838,Projections!$J$17,AO838),"")</f>
        <v>-9.965301026</v>
      </c>
      <c r="U838" s="73">
        <f t="shared" si="15"/>
        <v>0</v>
      </c>
      <c r="V838" s="73" t="str">
        <f t="array" ref="V838">INDIRECT("Update"&amp;Projections!$AH$17&amp;"!M"&amp;ROW(B819))</f>
        <v/>
      </c>
      <c r="W838" s="73" t="str">
        <f t="array" ref="W838">INDIRECT("Update"&amp;Projections!$AH$17&amp;"!L"&amp;ROW(B819))</f>
        <v/>
      </c>
      <c r="X838" s="73" t="str">
        <f t="array" ref="X838">INDIRECT("Update"&amp;Projections!$AH$17&amp;"!N"&amp;ROW(B819))</f>
        <v/>
      </c>
      <c r="Y838" s="73" t="str">
        <f t="array" ref="Y838">INDIRECT("Update"&amp;Projections!$AH$17&amp;"!O"&amp;ROW(B819))</f>
        <v/>
      </c>
      <c r="Z838" s="73" t="str">
        <f t="array" ref="Z838">INDIRECT("Update"&amp;Projections!$AH$17&amp;"!P"&amp;ROW(B819))</f>
        <v/>
      </c>
      <c r="AA838" s="73" t="str">
        <f t="array" ref="AA838">INDIRECT("Update"&amp;Projections!$AH$17&amp;"!Q"&amp;ROW(B819))</f>
        <v/>
      </c>
      <c r="AB838" s="107" t="str">
        <f t="array" ref="AB838">INDIRECT("Update"&amp;Projections!$AH$17&amp;"!I"&amp;ROW(B819))</f>
        <v/>
      </c>
      <c r="AC838" s="107" t="str">
        <f t="array" ref="AC838">INDIRECT("Update"&amp;Projections!$AH$17&amp;"!K"&amp;ROW(B819))</f>
        <v/>
      </c>
      <c r="AD838" s="73" t="str">
        <f t="array" ref="AD838">INDIRECT("Update"&amp;Projections!$AH$17&amp;"!R"&amp;ROW(B819))</f>
        <v/>
      </c>
      <c r="AE838" s="73">
        <f t="shared" si="16"/>
        <v>-3.155358621</v>
      </c>
      <c r="AF838" s="73">
        <f t="shared" si="17"/>
        <v>-1.740686581</v>
      </c>
      <c r="AG838" s="73">
        <f t="shared" si="18"/>
        <v>-2.380599106</v>
      </c>
      <c r="AH838" s="73">
        <f t="shared" si="19"/>
        <v>-1.79320266</v>
      </c>
      <c r="AI838" s="73">
        <f t="shared" si="20"/>
        <v>-3.240190514</v>
      </c>
      <c r="AJ838" s="73">
        <f t="shared" si="21"/>
        <v>-1.329092151</v>
      </c>
      <c r="AK838" s="73">
        <f t="shared" si="22"/>
        <v>0</v>
      </c>
      <c r="AL838" s="73">
        <f t="shared" si="23"/>
        <v>0</v>
      </c>
      <c r="AM838" s="73">
        <f t="shared" si="24"/>
        <v>0.433638093</v>
      </c>
      <c r="AN838" s="120">
        <f t="shared" si="25"/>
        <v>-3.240190514</v>
      </c>
      <c r="AO838" s="120">
        <f t="shared" si="26"/>
        <v>-6.395549135</v>
      </c>
      <c r="AP838" s="120" t="str">
        <f t="array" ref="AP838">INDIRECT("Update"&amp;Projections!$AH$17&amp;"!S"&amp;ROW(B819))</f>
        <v/>
      </c>
      <c r="AQ838" s="120" t="str">
        <f t="array" ref="AQ838">INDIRECT("Update"&amp;Projections!$AH$17&amp;"!T"&amp;ROW(B819))</f>
        <v/>
      </c>
      <c r="AR838" s="100">
        <f t="shared" si="27"/>
        <v>-9.965301026</v>
      </c>
    </row>
    <row r="839">
      <c r="A839" t="str">
        <f t="shared" si="3"/>
        <v/>
      </c>
      <c r="B839" s="42">
        <f t="shared" si="4"/>
        <v>-3.155358621</v>
      </c>
      <c r="C839" s="43">
        <f t="shared" si="5"/>
        <v>-1.740686581</v>
      </c>
      <c r="D839" s="42">
        <f t="shared" si="6"/>
        <v>-2.380599106</v>
      </c>
      <c r="E839" s="42">
        <f t="shared" si="7"/>
        <v>-1.79320266</v>
      </c>
      <c r="F839" s="42">
        <f t="shared" si="8"/>
        <v>-3.240190514</v>
      </c>
      <c r="G839" s="42">
        <f t="shared" si="9"/>
        <v>-1.329092151</v>
      </c>
      <c r="H839" s="42">
        <f t="shared" si="10"/>
        <v>0</v>
      </c>
      <c r="I839" s="42" t="str">
        <f>UpdateHashtag!S837</f>
        <v/>
      </c>
      <c r="J839" s="47">
        <f t="shared" si="11"/>
        <v>0</v>
      </c>
      <c r="K839" s="48" t="str">
        <f>UpdateHashtag!T837</f>
        <v/>
      </c>
      <c r="L839" s="42">
        <f t="shared" si="12"/>
        <v>-1.734552372</v>
      </c>
      <c r="N839" s="100">
        <f t="shared" si="13"/>
        <v>401</v>
      </c>
      <c r="O839" s="94" t="str">
        <f t="array" ref="O839">INDIRECT("Update"&amp;Projections!$AH$17&amp;"!B"&amp;ROW(B820))</f>
        <v/>
      </c>
      <c r="P839" s="414" t="str">
        <f t="array" ref="P839">INDIRECT("Update"&amp;Projections!$AH$17&amp;"!C"&amp;ROW(B820))</f>
        <v/>
      </c>
      <c r="Q839" s="94" t="str">
        <f>UpdateHashtag!F869</f>
        <v/>
      </c>
      <c r="R839" s="105" t="str">
        <f t="array" ref="R839">INDIRECT("Update"&amp;Projections!$AH$17&amp;"!D"&amp;ROW(B820))</f>
        <v/>
      </c>
      <c r="S839" s="73">
        <f t="shared" si="14"/>
        <v>-9.965301026</v>
      </c>
      <c r="T839" s="73">
        <f>SUM(AE839:AM839)-IFERROR(IFS(Projections!$I$17,AN839,Projections!$J$17,AO839),"")</f>
        <v>-9.965301026</v>
      </c>
      <c r="U839" s="73">
        <f t="shared" si="15"/>
        <v>0</v>
      </c>
      <c r="V839" s="73" t="str">
        <f t="array" ref="V839">INDIRECT("Update"&amp;Projections!$AH$17&amp;"!M"&amp;ROW(B820))</f>
        <v/>
      </c>
      <c r="W839" s="73" t="str">
        <f t="array" ref="W839">INDIRECT("Update"&amp;Projections!$AH$17&amp;"!L"&amp;ROW(B820))</f>
        <v/>
      </c>
      <c r="X839" s="73" t="str">
        <f t="array" ref="X839">INDIRECT("Update"&amp;Projections!$AH$17&amp;"!N"&amp;ROW(B820))</f>
        <v/>
      </c>
      <c r="Y839" s="73" t="str">
        <f t="array" ref="Y839">INDIRECT("Update"&amp;Projections!$AH$17&amp;"!O"&amp;ROW(B820))</f>
        <v/>
      </c>
      <c r="Z839" s="73" t="str">
        <f t="array" ref="Z839">INDIRECT("Update"&amp;Projections!$AH$17&amp;"!P"&amp;ROW(B820))</f>
        <v/>
      </c>
      <c r="AA839" s="73" t="str">
        <f t="array" ref="AA839">INDIRECT("Update"&amp;Projections!$AH$17&amp;"!Q"&amp;ROW(B820))</f>
        <v/>
      </c>
      <c r="AB839" s="107" t="str">
        <f t="array" ref="AB839">INDIRECT("Update"&amp;Projections!$AH$17&amp;"!I"&amp;ROW(B820))</f>
        <v/>
      </c>
      <c r="AC839" s="107" t="str">
        <f t="array" ref="AC839">INDIRECT("Update"&amp;Projections!$AH$17&amp;"!K"&amp;ROW(B820))</f>
        <v/>
      </c>
      <c r="AD839" s="73" t="str">
        <f t="array" ref="AD839">INDIRECT("Update"&amp;Projections!$AH$17&amp;"!R"&amp;ROW(B820))</f>
        <v/>
      </c>
      <c r="AE839" s="73">
        <f t="shared" si="16"/>
        <v>-3.155358621</v>
      </c>
      <c r="AF839" s="73">
        <f t="shared" si="17"/>
        <v>-1.740686581</v>
      </c>
      <c r="AG839" s="73">
        <f t="shared" si="18"/>
        <v>-2.380599106</v>
      </c>
      <c r="AH839" s="73">
        <f t="shared" si="19"/>
        <v>-1.79320266</v>
      </c>
      <c r="AI839" s="73">
        <f t="shared" si="20"/>
        <v>-3.240190514</v>
      </c>
      <c r="AJ839" s="73">
        <f t="shared" si="21"/>
        <v>-1.329092151</v>
      </c>
      <c r="AK839" s="73">
        <f t="shared" si="22"/>
        <v>0</v>
      </c>
      <c r="AL839" s="73">
        <f t="shared" si="23"/>
        <v>0</v>
      </c>
      <c r="AM839" s="73">
        <f t="shared" si="24"/>
        <v>0.433638093</v>
      </c>
      <c r="AN839" s="120">
        <f t="shared" si="25"/>
        <v>-3.240190514</v>
      </c>
      <c r="AO839" s="120">
        <f t="shared" si="26"/>
        <v>-6.395549135</v>
      </c>
      <c r="AP839" s="120" t="str">
        <f t="array" ref="AP839">INDIRECT("Update"&amp;Projections!$AH$17&amp;"!S"&amp;ROW(B820))</f>
        <v/>
      </c>
      <c r="AQ839" s="120" t="str">
        <f t="array" ref="AQ839">INDIRECT("Update"&amp;Projections!$AH$17&amp;"!T"&amp;ROW(B820))</f>
        <v/>
      </c>
      <c r="AR839" s="100">
        <f t="shared" si="27"/>
        <v>-9.965301026</v>
      </c>
    </row>
    <row r="840">
      <c r="A840" t="str">
        <f t="shared" si="3"/>
        <v/>
      </c>
      <c r="B840" s="42">
        <f t="shared" si="4"/>
        <v>-3.155358621</v>
      </c>
      <c r="C840" s="43">
        <f t="shared" si="5"/>
        <v>-1.740686581</v>
      </c>
      <c r="D840" s="42">
        <f t="shared" si="6"/>
        <v>-2.380599106</v>
      </c>
      <c r="E840" s="42">
        <f t="shared" si="7"/>
        <v>-1.79320266</v>
      </c>
      <c r="F840" s="42">
        <f t="shared" si="8"/>
        <v>-3.240190514</v>
      </c>
      <c r="G840" s="42">
        <f t="shared" si="9"/>
        <v>-1.329092151</v>
      </c>
      <c r="H840" s="42">
        <f t="shared" si="10"/>
        <v>0</v>
      </c>
      <c r="I840" s="42" t="str">
        <f>UpdateHashtag!S838</f>
        <v/>
      </c>
      <c r="J840" s="47">
        <f t="shared" si="11"/>
        <v>0</v>
      </c>
      <c r="K840" s="48" t="str">
        <f>UpdateHashtag!T838</f>
        <v/>
      </c>
      <c r="L840" s="42">
        <f t="shared" si="12"/>
        <v>-1.734552372</v>
      </c>
      <c r="N840" s="100">
        <f t="shared" si="13"/>
        <v>401</v>
      </c>
      <c r="O840" s="94" t="str">
        <f t="array" ref="O840">INDIRECT("Update"&amp;Projections!$AH$17&amp;"!B"&amp;ROW(B821))</f>
        <v/>
      </c>
      <c r="P840" s="414" t="str">
        <f t="array" ref="P840">INDIRECT("Update"&amp;Projections!$AH$17&amp;"!C"&amp;ROW(B821))</f>
        <v/>
      </c>
      <c r="Q840" s="94" t="str">
        <f>UpdateHashtag!F870</f>
        <v/>
      </c>
      <c r="R840" s="105" t="str">
        <f t="array" ref="R840">INDIRECT("Update"&amp;Projections!$AH$17&amp;"!D"&amp;ROW(B821))</f>
        <v/>
      </c>
      <c r="S840" s="73">
        <f t="shared" si="14"/>
        <v>-9.965301026</v>
      </c>
      <c r="T840" s="73">
        <f>SUM(AE840:AM840)-IFERROR(IFS(Projections!$I$17,AN840,Projections!$J$17,AO840),"")</f>
        <v>-9.965301026</v>
      </c>
      <c r="U840" s="73">
        <f t="shared" si="15"/>
        <v>0</v>
      </c>
      <c r="V840" s="73" t="str">
        <f t="array" ref="V840">INDIRECT("Update"&amp;Projections!$AH$17&amp;"!M"&amp;ROW(B821))</f>
        <v/>
      </c>
      <c r="W840" s="73" t="str">
        <f t="array" ref="W840">INDIRECT("Update"&amp;Projections!$AH$17&amp;"!L"&amp;ROW(B821))</f>
        <v/>
      </c>
      <c r="X840" s="73" t="str">
        <f t="array" ref="X840">INDIRECT("Update"&amp;Projections!$AH$17&amp;"!N"&amp;ROW(B821))</f>
        <v/>
      </c>
      <c r="Y840" s="73" t="str">
        <f t="array" ref="Y840">INDIRECT("Update"&amp;Projections!$AH$17&amp;"!O"&amp;ROW(B821))</f>
        <v/>
      </c>
      <c r="Z840" s="73" t="str">
        <f t="array" ref="Z840">INDIRECT("Update"&amp;Projections!$AH$17&amp;"!P"&amp;ROW(B821))</f>
        <v/>
      </c>
      <c r="AA840" s="73" t="str">
        <f t="array" ref="AA840">INDIRECT("Update"&amp;Projections!$AH$17&amp;"!Q"&amp;ROW(B821))</f>
        <v/>
      </c>
      <c r="AB840" s="107" t="str">
        <f t="array" ref="AB840">INDIRECT("Update"&amp;Projections!$AH$17&amp;"!I"&amp;ROW(B821))</f>
        <v/>
      </c>
      <c r="AC840" s="107" t="str">
        <f t="array" ref="AC840">INDIRECT("Update"&amp;Projections!$AH$17&amp;"!K"&amp;ROW(B821))</f>
        <v/>
      </c>
      <c r="AD840" s="73" t="str">
        <f t="array" ref="AD840">INDIRECT("Update"&amp;Projections!$AH$17&amp;"!R"&amp;ROW(B821))</f>
        <v/>
      </c>
      <c r="AE840" s="73">
        <f t="shared" si="16"/>
        <v>-3.155358621</v>
      </c>
      <c r="AF840" s="73">
        <f t="shared" si="17"/>
        <v>-1.740686581</v>
      </c>
      <c r="AG840" s="73">
        <f t="shared" si="18"/>
        <v>-2.380599106</v>
      </c>
      <c r="AH840" s="73">
        <f t="shared" si="19"/>
        <v>-1.79320266</v>
      </c>
      <c r="AI840" s="73">
        <f t="shared" si="20"/>
        <v>-3.240190514</v>
      </c>
      <c r="AJ840" s="73">
        <f t="shared" si="21"/>
        <v>-1.329092151</v>
      </c>
      <c r="AK840" s="73">
        <f t="shared" si="22"/>
        <v>0</v>
      </c>
      <c r="AL840" s="73">
        <f t="shared" si="23"/>
        <v>0</v>
      </c>
      <c r="AM840" s="73">
        <f t="shared" si="24"/>
        <v>0.433638093</v>
      </c>
      <c r="AN840" s="120">
        <f t="shared" si="25"/>
        <v>-3.240190514</v>
      </c>
      <c r="AO840" s="120">
        <f t="shared" si="26"/>
        <v>-6.395549135</v>
      </c>
      <c r="AP840" s="120" t="str">
        <f t="array" ref="AP840">INDIRECT("Update"&amp;Projections!$AH$17&amp;"!S"&amp;ROW(B821))</f>
        <v/>
      </c>
      <c r="AQ840" s="120" t="str">
        <f t="array" ref="AQ840">INDIRECT("Update"&amp;Projections!$AH$17&amp;"!T"&amp;ROW(B821))</f>
        <v/>
      </c>
      <c r="AR840" s="100">
        <f t="shared" si="27"/>
        <v>-9.965301026</v>
      </c>
    </row>
    <row r="841">
      <c r="A841" t="str">
        <f t="shared" si="3"/>
        <v/>
      </c>
      <c r="B841" s="42">
        <f t="shared" si="4"/>
        <v>-3.155358621</v>
      </c>
      <c r="C841" s="43">
        <f t="shared" si="5"/>
        <v>-1.740686581</v>
      </c>
      <c r="D841" s="42">
        <f t="shared" si="6"/>
        <v>-2.380599106</v>
      </c>
      <c r="E841" s="42">
        <f t="shared" si="7"/>
        <v>-1.79320266</v>
      </c>
      <c r="F841" s="42">
        <f t="shared" si="8"/>
        <v>-3.240190514</v>
      </c>
      <c r="G841" s="42">
        <f t="shared" si="9"/>
        <v>-1.329092151</v>
      </c>
      <c r="H841" s="42">
        <f t="shared" si="10"/>
        <v>0</v>
      </c>
      <c r="I841" s="42" t="str">
        <f>UpdateHashtag!S839</f>
        <v/>
      </c>
      <c r="J841" s="47">
        <f t="shared" si="11"/>
        <v>0</v>
      </c>
      <c r="K841" s="48" t="str">
        <f>UpdateHashtag!T839</f>
        <v/>
      </c>
      <c r="L841" s="42">
        <f t="shared" si="12"/>
        <v>-1.734552372</v>
      </c>
      <c r="N841" s="100">
        <f t="shared" si="13"/>
        <v>401</v>
      </c>
      <c r="O841" s="94" t="str">
        <f t="array" ref="O841">INDIRECT("Update"&amp;Projections!$AH$17&amp;"!B"&amp;ROW(B822))</f>
        <v/>
      </c>
      <c r="P841" s="414" t="str">
        <f t="array" ref="P841">INDIRECT("Update"&amp;Projections!$AH$17&amp;"!C"&amp;ROW(B822))</f>
        <v/>
      </c>
      <c r="Q841" s="94" t="str">
        <f>UpdateHashtag!F871</f>
        <v/>
      </c>
      <c r="R841" s="105" t="str">
        <f t="array" ref="R841">INDIRECT("Update"&amp;Projections!$AH$17&amp;"!D"&amp;ROW(B822))</f>
        <v/>
      </c>
      <c r="S841" s="73">
        <f t="shared" si="14"/>
        <v>-9.965301026</v>
      </c>
      <c r="T841" s="73">
        <f>SUM(AE841:AM841)-IFERROR(IFS(Projections!$I$17,AN841,Projections!$J$17,AO841),"")</f>
        <v>-9.965301026</v>
      </c>
      <c r="U841" s="73">
        <f t="shared" si="15"/>
        <v>0</v>
      </c>
      <c r="V841" s="73" t="str">
        <f t="array" ref="V841">INDIRECT("Update"&amp;Projections!$AH$17&amp;"!M"&amp;ROW(B822))</f>
        <v/>
      </c>
      <c r="W841" s="73" t="str">
        <f t="array" ref="W841">INDIRECT("Update"&amp;Projections!$AH$17&amp;"!L"&amp;ROW(B822))</f>
        <v/>
      </c>
      <c r="X841" s="73" t="str">
        <f t="array" ref="X841">INDIRECT("Update"&amp;Projections!$AH$17&amp;"!N"&amp;ROW(B822))</f>
        <v/>
      </c>
      <c r="Y841" s="73" t="str">
        <f t="array" ref="Y841">INDIRECT("Update"&amp;Projections!$AH$17&amp;"!O"&amp;ROW(B822))</f>
        <v/>
      </c>
      <c r="Z841" s="73" t="str">
        <f t="array" ref="Z841">INDIRECT("Update"&amp;Projections!$AH$17&amp;"!P"&amp;ROW(B822))</f>
        <v/>
      </c>
      <c r="AA841" s="73" t="str">
        <f t="array" ref="AA841">INDIRECT("Update"&amp;Projections!$AH$17&amp;"!Q"&amp;ROW(B822))</f>
        <v/>
      </c>
      <c r="AB841" s="107" t="str">
        <f t="array" ref="AB841">INDIRECT("Update"&amp;Projections!$AH$17&amp;"!I"&amp;ROW(B822))</f>
        <v/>
      </c>
      <c r="AC841" s="107" t="str">
        <f t="array" ref="AC841">INDIRECT("Update"&amp;Projections!$AH$17&amp;"!K"&amp;ROW(B822))</f>
        <v/>
      </c>
      <c r="AD841" s="73" t="str">
        <f t="array" ref="AD841">INDIRECT("Update"&amp;Projections!$AH$17&amp;"!R"&amp;ROW(B822))</f>
        <v/>
      </c>
      <c r="AE841" s="73">
        <f t="shared" si="16"/>
        <v>-3.155358621</v>
      </c>
      <c r="AF841" s="73">
        <f t="shared" si="17"/>
        <v>-1.740686581</v>
      </c>
      <c r="AG841" s="73">
        <f t="shared" si="18"/>
        <v>-2.380599106</v>
      </c>
      <c r="AH841" s="73">
        <f t="shared" si="19"/>
        <v>-1.79320266</v>
      </c>
      <c r="AI841" s="73">
        <f t="shared" si="20"/>
        <v>-3.240190514</v>
      </c>
      <c r="AJ841" s="73">
        <f t="shared" si="21"/>
        <v>-1.329092151</v>
      </c>
      <c r="AK841" s="73">
        <f t="shared" si="22"/>
        <v>0</v>
      </c>
      <c r="AL841" s="73">
        <f t="shared" si="23"/>
        <v>0</v>
      </c>
      <c r="AM841" s="73">
        <f t="shared" si="24"/>
        <v>0.433638093</v>
      </c>
      <c r="AN841" s="120">
        <f t="shared" si="25"/>
        <v>-3.240190514</v>
      </c>
      <c r="AO841" s="120">
        <f t="shared" si="26"/>
        <v>-6.395549135</v>
      </c>
      <c r="AP841" s="120" t="str">
        <f t="array" ref="AP841">INDIRECT("Update"&amp;Projections!$AH$17&amp;"!S"&amp;ROW(B822))</f>
        <v/>
      </c>
      <c r="AQ841" s="120" t="str">
        <f t="array" ref="AQ841">INDIRECT("Update"&amp;Projections!$AH$17&amp;"!T"&amp;ROW(B822))</f>
        <v/>
      </c>
      <c r="AR841" s="100">
        <f t="shared" si="27"/>
        <v>-9.965301026</v>
      </c>
    </row>
    <row r="842">
      <c r="A842" t="str">
        <f t="shared" si="3"/>
        <v/>
      </c>
      <c r="B842" s="42">
        <f t="shared" si="4"/>
        <v>-3.155358621</v>
      </c>
      <c r="C842" s="43">
        <f t="shared" si="5"/>
        <v>-1.740686581</v>
      </c>
      <c r="D842" s="42">
        <f t="shared" si="6"/>
        <v>-2.380599106</v>
      </c>
      <c r="E842" s="42">
        <f t="shared" si="7"/>
        <v>-1.79320266</v>
      </c>
      <c r="F842" s="42">
        <f t="shared" si="8"/>
        <v>-3.240190514</v>
      </c>
      <c r="G842" s="42">
        <f t="shared" si="9"/>
        <v>-1.329092151</v>
      </c>
      <c r="H842" s="42">
        <f t="shared" si="10"/>
        <v>0</v>
      </c>
      <c r="I842" s="42" t="str">
        <f>UpdateHashtag!S840</f>
        <v/>
      </c>
      <c r="J842" s="47">
        <f t="shared" si="11"/>
        <v>0</v>
      </c>
      <c r="K842" s="48" t="str">
        <f>UpdateHashtag!T840</f>
        <v/>
      </c>
      <c r="L842" s="42">
        <f t="shared" si="12"/>
        <v>-1.734552372</v>
      </c>
      <c r="N842" s="100">
        <f t="shared" si="13"/>
        <v>401</v>
      </c>
      <c r="O842" s="94" t="str">
        <f t="array" ref="O842">INDIRECT("Update"&amp;Projections!$AH$17&amp;"!B"&amp;ROW(B823))</f>
        <v/>
      </c>
      <c r="P842" s="414" t="str">
        <f t="array" ref="P842">INDIRECT("Update"&amp;Projections!$AH$17&amp;"!C"&amp;ROW(B823))</f>
        <v/>
      </c>
      <c r="Q842" s="94" t="str">
        <f>UpdateHashtag!F872</f>
        <v/>
      </c>
      <c r="R842" s="105" t="str">
        <f t="array" ref="R842">INDIRECT("Update"&amp;Projections!$AH$17&amp;"!D"&amp;ROW(B823))</f>
        <v/>
      </c>
      <c r="S842" s="73">
        <f t="shared" si="14"/>
        <v>-9.965301026</v>
      </c>
      <c r="T842" s="73">
        <f>SUM(AE842:AM842)-IFERROR(IFS(Projections!$I$17,AN842,Projections!$J$17,AO842),"")</f>
        <v>-9.965301026</v>
      </c>
      <c r="U842" s="73">
        <f t="shared" si="15"/>
        <v>0</v>
      </c>
      <c r="V842" s="73" t="str">
        <f t="array" ref="V842">INDIRECT("Update"&amp;Projections!$AH$17&amp;"!M"&amp;ROW(B823))</f>
        <v/>
      </c>
      <c r="W842" s="73" t="str">
        <f t="array" ref="W842">INDIRECT("Update"&amp;Projections!$AH$17&amp;"!L"&amp;ROW(B823))</f>
        <v/>
      </c>
      <c r="X842" s="73" t="str">
        <f t="array" ref="X842">INDIRECT("Update"&amp;Projections!$AH$17&amp;"!N"&amp;ROW(B823))</f>
        <v/>
      </c>
      <c r="Y842" s="73" t="str">
        <f t="array" ref="Y842">INDIRECT("Update"&amp;Projections!$AH$17&amp;"!O"&amp;ROW(B823))</f>
        <v/>
      </c>
      <c r="Z842" s="73" t="str">
        <f t="array" ref="Z842">INDIRECT("Update"&amp;Projections!$AH$17&amp;"!P"&amp;ROW(B823))</f>
        <v/>
      </c>
      <c r="AA842" s="73" t="str">
        <f t="array" ref="AA842">INDIRECT("Update"&amp;Projections!$AH$17&amp;"!Q"&amp;ROW(B823))</f>
        <v/>
      </c>
      <c r="AB842" s="107" t="str">
        <f t="array" ref="AB842">INDIRECT("Update"&amp;Projections!$AH$17&amp;"!I"&amp;ROW(B823))</f>
        <v/>
      </c>
      <c r="AC842" s="107" t="str">
        <f t="array" ref="AC842">INDIRECT("Update"&amp;Projections!$AH$17&amp;"!K"&amp;ROW(B823))</f>
        <v/>
      </c>
      <c r="AD842" s="73" t="str">
        <f t="array" ref="AD842">INDIRECT("Update"&amp;Projections!$AH$17&amp;"!R"&amp;ROW(B823))</f>
        <v/>
      </c>
      <c r="AE842" s="73">
        <f t="shared" si="16"/>
        <v>-3.155358621</v>
      </c>
      <c r="AF842" s="73">
        <f t="shared" si="17"/>
        <v>-1.740686581</v>
      </c>
      <c r="AG842" s="73">
        <f t="shared" si="18"/>
        <v>-2.380599106</v>
      </c>
      <c r="AH842" s="73">
        <f t="shared" si="19"/>
        <v>-1.79320266</v>
      </c>
      <c r="AI842" s="73">
        <f t="shared" si="20"/>
        <v>-3.240190514</v>
      </c>
      <c r="AJ842" s="73">
        <f t="shared" si="21"/>
        <v>-1.329092151</v>
      </c>
      <c r="AK842" s="73">
        <f t="shared" si="22"/>
        <v>0</v>
      </c>
      <c r="AL842" s="73">
        <f t="shared" si="23"/>
        <v>0</v>
      </c>
      <c r="AM842" s="73">
        <f t="shared" si="24"/>
        <v>0.433638093</v>
      </c>
      <c r="AN842" s="120">
        <f t="shared" si="25"/>
        <v>-3.240190514</v>
      </c>
      <c r="AO842" s="120">
        <f t="shared" si="26"/>
        <v>-6.395549135</v>
      </c>
      <c r="AP842" s="120" t="str">
        <f t="array" ref="AP842">INDIRECT("Update"&amp;Projections!$AH$17&amp;"!S"&amp;ROW(B823))</f>
        <v/>
      </c>
      <c r="AQ842" s="120" t="str">
        <f t="array" ref="AQ842">INDIRECT("Update"&amp;Projections!$AH$17&amp;"!T"&amp;ROW(B823))</f>
        <v/>
      </c>
      <c r="AR842" s="100">
        <f t="shared" si="27"/>
        <v>-9.965301026</v>
      </c>
    </row>
    <row r="843">
      <c r="A843" t="str">
        <f t="shared" si="3"/>
        <v/>
      </c>
      <c r="B843" s="42">
        <f t="shared" si="4"/>
        <v>-3.155358621</v>
      </c>
      <c r="C843" s="43">
        <f t="shared" si="5"/>
        <v>-1.740686581</v>
      </c>
      <c r="D843" s="42">
        <f t="shared" si="6"/>
        <v>-2.380599106</v>
      </c>
      <c r="E843" s="42">
        <f t="shared" si="7"/>
        <v>-1.79320266</v>
      </c>
      <c r="F843" s="42">
        <f t="shared" si="8"/>
        <v>-3.240190514</v>
      </c>
      <c r="G843" s="42">
        <f t="shared" si="9"/>
        <v>-1.329092151</v>
      </c>
      <c r="H843" s="42">
        <f t="shared" si="10"/>
        <v>0</v>
      </c>
      <c r="I843" s="42" t="str">
        <f>UpdateHashtag!S841</f>
        <v/>
      </c>
      <c r="J843" s="47">
        <f t="shared" si="11"/>
        <v>0</v>
      </c>
      <c r="K843" s="48" t="str">
        <f>UpdateHashtag!T841</f>
        <v/>
      </c>
      <c r="L843" s="42">
        <f t="shared" si="12"/>
        <v>-1.734552372</v>
      </c>
      <c r="N843" s="100">
        <f t="shared" si="13"/>
        <v>401</v>
      </c>
      <c r="O843" s="94" t="str">
        <f t="array" ref="O843">INDIRECT("Update"&amp;Projections!$AH$17&amp;"!B"&amp;ROW(B824))</f>
        <v/>
      </c>
      <c r="P843" s="414" t="str">
        <f t="array" ref="P843">INDIRECT("Update"&amp;Projections!$AH$17&amp;"!C"&amp;ROW(B824))</f>
        <v/>
      </c>
      <c r="Q843" s="94" t="str">
        <f>UpdateHashtag!F873</f>
        <v/>
      </c>
      <c r="R843" s="105" t="str">
        <f t="array" ref="R843">INDIRECT("Update"&amp;Projections!$AH$17&amp;"!D"&amp;ROW(B824))</f>
        <v/>
      </c>
      <c r="S843" s="73">
        <f t="shared" si="14"/>
        <v>-9.965301026</v>
      </c>
      <c r="T843" s="73">
        <f>SUM(AE843:AM843)-IFERROR(IFS(Projections!$I$17,AN843,Projections!$J$17,AO843),"")</f>
        <v>-9.965301026</v>
      </c>
      <c r="U843" s="73">
        <f t="shared" si="15"/>
        <v>0</v>
      </c>
      <c r="V843" s="73" t="str">
        <f t="array" ref="V843">INDIRECT("Update"&amp;Projections!$AH$17&amp;"!M"&amp;ROW(B824))</f>
        <v/>
      </c>
      <c r="W843" s="73" t="str">
        <f t="array" ref="W843">INDIRECT("Update"&amp;Projections!$AH$17&amp;"!L"&amp;ROW(B824))</f>
        <v/>
      </c>
      <c r="X843" s="73" t="str">
        <f t="array" ref="X843">INDIRECT("Update"&amp;Projections!$AH$17&amp;"!N"&amp;ROW(B824))</f>
        <v/>
      </c>
      <c r="Y843" s="73" t="str">
        <f t="array" ref="Y843">INDIRECT("Update"&amp;Projections!$AH$17&amp;"!O"&amp;ROW(B824))</f>
        <v/>
      </c>
      <c r="Z843" s="73" t="str">
        <f t="array" ref="Z843">INDIRECT("Update"&amp;Projections!$AH$17&amp;"!P"&amp;ROW(B824))</f>
        <v/>
      </c>
      <c r="AA843" s="73" t="str">
        <f t="array" ref="AA843">INDIRECT("Update"&amp;Projections!$AH$17&amp;"!Q"&amp;ROW(B824))</f>
        <v/>
      </c>
      <c r="AB843" s="107" t="str">
        <f t="array" ref="AB843">INDIRECT("Update"&amp;Projections!$AH$17&amp;"!I"&amp;ROW(B824))</f>
        <v/>
      </c>
      <c r="AC843" s="107" t="str">
        <f t="array" ref="AC843">INDIRECT("Update"&amp;Projections!$AH$17&amp;"!K"&amp;ROW(B824))</f>
        <v/>
      </c>
      <c r="AD843" s="73" t="str">
        <f t="array" ref="AD843">INDIRECT("Update"&amp;Projections!$AH$17&amp;"!R"&amp;ROW(B824))</f>
        <v/>
      </c>
      <c r="AE843" s="73">
        <f t="shared" si="16"/>
        <v>-3.155358621</v>
      </c>
      <c r="AF843" s="73">
        <f t="shared" si="17"/>
        <v>-1.740686581</v>
      </c>
      <c r="AG843" s="73">
        <f t="shared" si="18"/>
        <v>-2.380599106</v>
      </c>
      <c r="AH843" s="73">
        <f t="shared" si="19"/>
        <v>-1.79320266</v>
      </c>
      <c r="AI843" s="73">
        <f t="shared" si="20"/>
        <v>-3.240190514</v>
      </c>
      <c r="AJ843" s="73">
        <f t="shared" si="21"/>
        <v>-1.329092151</v>
      </c>
      <c r="AK843" s="73">
        <f t="shared" si="22"/>
        <v>0</v>
      </c>
      <c r="AL843" s="73">
        <f t="shared" si="23"/>
        <v>0</v>
      </c>
      <c r="AM843" s="73">
        <f t="shared" si="24"/>
        <v>0.433638093</v>
      </c>
      <c r="AN843" s="120">
        <f t="shared" si="25"/>
        <v>-3.240190514</v>
      </c>
      <c r="AO843" s="120">
        <f t="shared" si="26"/>
        <v>-6.395549135</v>
      </c>
      <c r="AP843" s="120" t="str">
        <f t="array" ref="AP843">INDIRECT("Update"&amp;Projections!$AH$17&amp;"!S"&amp;ROW(B824))</f>
        <v/>
      </c>
      <c r="AQ843" s="120" t="str">
        <f t="array" ref="AQ843">INDIRECT("Update"&amp;Projections!$AH$17&amp;"!T"&amp;ROW(B824))</f>
        <v/>
      </c>
      <c r="AR843" s="100">
        <f t="shared" si="27"/>
        <v>-9.965301026</v>
      </c>
    </row>
    <row r="844">
      <c r="A844" t="str">
        <f t="shared" si="3"/>
        <v/>
      </c>
      <c r="B844" s="42">
        <f t="shared" si="4"/>
        <v>-3.155358621</v>
      </c>
      <c r="C844" s="43">
        <f t="shared" si="5"/>
        <v>-1.740686581</v>
      </c>
      <c r="D844" s="42">
        <f t="shared" si="6"/>
        <v>-2.380599106</v>
      </c>
      <c r="E844" s="42">
        <f t="shared" si="7"/>
        <v>-1.79320266</v>
      </c>
      <c r="F844" s="42">
        <f t="shared" si="8"/>
        <v>-3.240190514</v>
      </c>
      <c r="G844" s="42">
        <f t="shared" si="9"/>
        <v>-1.329092151</v>
      </c>
      <c r="H844" s="42">
        <f t="shared" si="10"/>
        <v>0</v>
      </c>
      <c r="I844" s="42" t="str">
        <f>UpdateHashtag!S842</f>
        <v/>
      </c>
      <c r="J844" s="47">
        <f t="shared" si="11"/>
        <v>0</v>
      </c>
      <c r="K844" s="48" t="str">
        <f>UpdateHashtag!T842</f>
        <v/>
      </c>
      <c r="L844" s="42">
        <f t="shared" si="12"/>
        <v>-1.734552372</v>
      </c>
      <c r="N844" s="100">
        <f t="shared" si="13"/>
        <v>401</v>
      </c>
      <c r="O844" s="94" t="str">
        <f t="array" ref="O844">INDIRECT("Update"&amp;Projections!$AH$17&amp;"!B"&amp;ROW(B825))</f>
        <v/>
      </c>
      <c r="P844" s="414" t="str">
        <f t="array" ref="P844">INDIRECT("Update"&amp;Projections!$AH$17&amp;"!C"&amp;ROW(B825))</f>
        <v/>
      </c>
      <c r="Q844" s="94" t="str">
        <f>UpdateHashtag!F874</f>
        <v/>
      </c>
      <c r="R844" s="105" t="str">
        <f t="array" ref="R844">INDIRECT("Update"&amp;Projections!$AH$17&amp;"!D"&amp;ROW(B825))</f>
        <v/>
      </c>
      <c r="S844" s="73">
        <f t="shared" si="14"/>
        <v>-9.965301026</v>
      </c>
      <c r="T844" s="73">
        <f>SUM(AE844:AM844)-IFERROR(IFS(Projections!$I$17,AN844,Projections!$J$17,AO844),"")</f>
        <v>-9.965301026</v>
      </c>
      <c r="U844" s="73">
        <f t="shared" si="15"/>
        <v>0</v>
      </c>
      <c r="V844" s="73" t="str">
        <f t="array" ref="V844">INDIRECT("Update"&amp;Projections!$AH$17&amp;"!M"&amp;ROW(B825))</f>
        <v/>
      </c>
      <c r="W844" s="73" t="str">
        <f t="array" ref="W844">INDIRECT("Update"&amp;Projections!$AH$17&amp;"!L"&amp;ROW(B825))</f>
        <v/>
      </c>
      <c r="X844" s="73" t="str">
        <f t="array" ref="X844">INDIRECT("Update"&amp;Projections!$AH$17&amp;"!N"&amp;ROW(B825))</f>
        <v/>
      </c>
      <c r="Y844" s="73" t="str">
        <f t="array" ref="Y844">INDIRECT("Update"&amp;Projections!$AH$17&amp;"!O"&amp;ROW(B825))</f>
        <v/>
      </c>
      <c r="Z844" s="73" t="str">
        <f t="array" ref="Z844">INDIRECT("Update"&amp;Projections!$AH$17&amp;"!P"&amp;ROW(B825))</f>
        <v/>
      </c>
      <c r="AA844" s="73" t="str">
        <f t="array" ref="AA844">INDIRECT("Update"&amp;Projections!$AH$17&amp;"!Q"&amp;ROW(B825))</f>
        <v/>
      </c>
      <c r="AB844" s="107" t="str">
        <f t="array" ref="AB844">INDIRECT("Update"&amp;Projections!$AH$17&amp;"!I"&amp;ROW(B825))</f>
        <v/>
      </c>
      <c r="AC844" s="107" t="str">
        <f t="array" ref="AC844">INDIRECT("Update"&amp;Projections!$AH$17&amp;"!K"&amp;ROW(B825))</f>
        <v/>
      </c>
      <c r="AD844" s="73" t="str">
        <f t="array" ref="AD844">INDIRECT("Update"&amp;Projections!$AH$17&amp;"!R"&amp;ROW(B825))</f>
        <v/>
      </c>
      <c r="AE844" s="73">
        <f t="shared" si="16"/>
        <v>-3.155358621</v>
      </c>
      <c r="AF844" s="73">
        <f t="shared" si="17"/>
        <v>-1.740686581</v>
      </c>
      <c r="AG844" s="73">
        <f t="shared" si="18"/>
        <v>-2.380599106</v>
      </c>
      <c r="AH844" s="73">
        <f t="shared" si="19"/>
        <v>-1.79320266</v>
      </c>
      <c r="AI844" s="73">
        <f t="shared" si="20"/>
        <v>-3.240190514</v>
      </c>
      <c r="AJ844" s="73">
        <f t="shared" si="21"/>
        <v>-1.329092151</v>
      </c>
      <c r="AK844" s="73">
        <f t="shared" si="22"/>
        <v>0</v>
      </c>
      <c r="AL844" s="73">
        <f t="shared" si="23"/>
        <v>0</v>
      </c>
      <c r="AM844" s="73">
        <f t="shared" si="24"/>
        <v>0.433638093</v>
      </c>
      <c r="AN844" s="120">
        <f t="shared" si="25"/>
        <v>-3.240190514</v>
      </c>
      <c r="AO844" s="120">
        <f t="shared" si="26"/>
        <v>-6.395549135</v>
      </c>
      <c r="AP844" s="120" t="str">
        <f t="array" ref="AP844">INDIRECT("Update"&amp;Projections!$AH$17&amp;"!S"&amp;ROW(B825))</f>
        <v/>
      </c>
      <c r="AQ844" s="120" t="str">
        <f t="array" ref="AQ844">INDIRECT("Update"&amp;Projections!$AH$17&amp;"!T"&amp;ROW(B825))</f>
        <v/>
      </c>
      <c r="AR844" s="100">
        <f t="shared" si="27"/>
        <v>-9.965301026</v>
      </c>
    </row>
    <row r="845">
      <c r="A845" t="str">
        <f t="shared" si="3"/>
        <v/>
      </c>
      <c r="B845" s="42">
        <f t="shared" si="4"/>
        <v>-3.155358621</v>
      </c>
      <c r="C845" s="43">
        <f t="shared" si="5"/>
        <v>-1.740686581</v>
      </c>
      <c r="D845" s="42">
        <f t="shared" si="6"/>
        <v>-2.380599106</v>
      </c>
      <c r="E845" s="42">
        <f t="shared" si="7"/>
        <v>-1.79320266</v>
      </c>
      <c r="F845" s="42">
        <f t="shared" si="8"/>
        <v>-3.240190514</v>
      </c>
      <c r="G845" s="42">
        <f t="shared" si="9"/>
        <v>-1.329092151</v>
      </c>
      <c r="H845" s="42">
        <f t="shared" si="10"/>
        <v>0</v>
      </c>
      <c r="I845" s="42" t="str">
        <f>UpdateHashtag!S843</f>
        <v/>
      </c>
      <c r="J845" s="47">
        <f t="shared" si="11"/>
        <v>0</v>
      </c>
      <c r="K845" s="48" t="str">
        <f>UpdateHashtag!T843</f>
        <v/>
      </c>
      <c r="L845" s="42">
        <f t="shared" si="12"/>
        <v>-1.734552372</v>
      </c>
      <c r="N845" s="100">
        <f t="shared" si="13"/>
        <v>401</v>
      </c>
      <c r="O845" s="94" t="str">
        <f t="array" ref="O845">INDIRECT("Update"&amp;Projections!$AH$17&amp;"!B"&amp;ROW(B826))</f>
        <v/>
      </c>
      <c r="P845" s="414" t="str">
        <f t="array" ref="P845">INDIRECT("Update"&amp;Projections!$AH$17&amp;"!C"&amp;ROW(B826))</f>
        <v/>
      </c>
      <c r="Q845" s="94" t="str">
        <f>UpdateHashtag!F875</f>
        <v/>
      </c>
      <c r="R845" s="105" t="str">
        <f t="array" ref="R845">INDIRECT("Update"&amp;Projections!$AH$17&amp;"!D"&amp;ROW(B826))</f>
        <v/>
      </c>
      <c r="S845" s="73">
        <f t="shared" si="14"/>
        <v>-9.965301026</v>
      </c>
      <c r="T845" s="73">
        <f>SUM(AE845:AM845)-IFERROR(IFS(Projections!$I$17,AN845,Projections!$J$17,AO845),"")</f>
        <v>-9.965301026</v>
      </c>
      <c r="U845" s="73">
        <f t="shared" si="15"/>
        <v>0</v>
      </c>
      <c r="V845" s="73" t="str">
        <f t="array" ref="V845">INDIRECT("Update"&amp;Projections!$AH$17&amp;"!M"&amp;ROW(B826))</f>
        <v/>
      </c>
      <c r="W845" s="73" t="str">
        <f t="array" ref="W845">INDIRECT("Update"&amp;Projections!$AH$17&amp;"!L"&amp;ROW(B826))</f>
        <v/>
      </c>
      <c r="X845" s="73" t="str">
        <f t="array" ref="X845">INDIRECT("Update"&amp;Projections!$AH$17&amp;"!N"&amp;ROW(B826))</f>
        <v/>
      </c>
      <c r="Y845" s="73" t="str">
        <f t="array" ref="Y845">INDIRECT("Update"&amp;Projections!$AH$17&amp;"!O"&amp;ROW(B826))</f>
        <v/>
      </c>
      <c r="Z845" s="73" t="str">
        <f t="array" ref="Z845">INDIRECT("Update"&amp;Projections!$AH$17&amp;"!P"&amp;ROW(B826))</f>
        <v/>
      </c>
      <c r="AA845" s="73" t="str">
        <f t="array" ref="AA845">INDIRECT("Update"&amp;Projections!$AH$17&amp;"!Q"&amp;ROW(B826))</f>
        <v/>
      </c>
      <c r="AB845" s="107" t="str">
        <f t="array" ref="AB845">INDIRECT("Update"&amp;Projections!$AH$17&amp;"!I"&amp;ROW(B826))</f>
        <v/>
      </c>
      <c r="AC845" s="107" t="str">
        <f t="array" ref="AC845">INDIRECT("Update"&amp;Projections!$AH$17&amp;"!K"&amp;ROW(B826))</f>
        <v/>
      </c>
      <c r="AD845" s="73" t="str">
        <f t="array" ref="AD845">INDIRECT("Update"&amp;Projections!$AH$17&amp;"!R"&amp;ROW(B826))</f>
        <v/>
      </c>
      <c r="AE845" s="73">
        <f t="shared" si="16"/>
        <v>-3.155358621</v>
      </c>
      <c r="AF845" s="73">
        <f t="shared" si="17"/>
        <v>-1.740686581</v>
      </c>
      <c r="AG845" s="73">
        <f t="shared" si="18"/>
        <v>-2.380599106</v>
      </c>
      <c r="AH845" s="73">
        <f t="shared" si="19"/>
        <v>-1.79320266</v>
      </c>
      <c r="AI845" s="73">
        <f t="shared" si="20"/>
        <v>-3.240190514</v>
      </c>
      <c r="AJ845" s="73">
        <f t="shared" si="21"/>
        <v>-1.329092151</v>
      </c>
      <c r="AK845" s="73">
        <f t="shared" si="22"/>
        <v>0</v>
      </c>
      <c r="AL845" s="73">
        <f t="shared" si="23"/>
        <v>0</v>
      </c>
      <c r="AM845" s="73">
        <f t="shared" si="24"/>
        <v>0.433638093</v>
      </c>
      <c r="AN845" s="120">
        <f t="shared" si="25"/>
        <v>-3.240190514</v>
      </c>
      <c r="AO845" s="120">
        <f t="shared" si="26"/>
        <v>-6.395549135</v>
      </c>
      <c r="AP845" s="120" t="str">
        <f t="array" ref="AP845">INDIRECT("Update"&amp;Projections!$AH$17&amp;"!S"&amp;ROW(B826))</f>
        <v/>
      </c>
      <c r="AQ845" s="120" t="str">
        <f t="array" ref="AQ845">INDIRECT("Update"&amp;Projections!$AH$17&amp;"!T"&amp;ROW(B826))</f>
        <v/>
      </c>
      <c r="AR845" s="100">
        <f t="shared" si="27"/>
        <v>-9.965301026</v>
      </c>
    </row>
    <row r="846">
      <c r="A846" t="str">
        <f t="shared" si="3"/>
        <v/>
      </c>
      <c r="B846" s="42">
        <f t="shared" si="4"/>
        <v>-3.155358621</v>
      </c>
      <c r="C846" s="43">
        <f t="shared" si="5"/>
        <v>-1.740686581</v>
      </c>
      <c r="D846" s="42">
        <f t="shared" si="6"/>
        <v>-2.380599106</v>
      </c>
      <c r="E846" s="42">
        <f t="shared" si="7"/>
        <v>-1.79320266</v>
      </c>
      <c r="F846" s="42">
        <f t="shared" si="8"/>
        <v>-3.240190514</v>
      </c>
      <c r="G846" s="42">
        <f t="shared" si="9"/>
        <v>-1.329092151</v>
      </c>
      <c r="H846" s="42">
        <f t="shared" si="10"/>
        <v>0</v>
      </c>
      <c r="I846" s="42" t="str">
        <f>UpdateHashtag!S844</f>
        <v/>
      </c>
      <c r="J846" s="47">
        <f t="shared" si="11"/>
        <v>0</v>
      </c>
      <c r="K846" s="48" t="str">
        <f>UpdateHashtag!T844</f>
        <v/>
      </c>
      <c r="L846" s="42">
        <f t="shared" si="12"/>
        <v>-1.734552372</v>
      </c>
      <c r="N846" s="100">
        <f t="shared" si="13"/>
        <v>401</v>
      </c>
      <c r="O846" s="94" t="str">
        <f t="array" ref="O846">INDIRECT("Update"&amp;Projections!$AH$17&amp;"!B"&amp;ROW(B827))</f>
        <v/>
      </c>
      <c r="P846" s="414" t="str">
        <f t="array" ref="P846">INDIRECT("Update"&amp;Projections!$AH$17&amp;"!C"&amp;ROW(B827))</f>
        <v/>
      </c>
      <c r="Q846" s="94" t="str">
        <f>UpdateHashtag!F876</f>
        <v/>
      </c>
      <c r="R846" s="105" t="str">
        <f t="array" ref="R846">INDIRECT("Update"&amp;Projections!$AH$17&amp;"!D"&amp;ROW(B827))</f>
        <v/>
      </c>
      <c r="S846" s="73">
        <f t="shared" si="14"/>
        <v>-9.965301026</v>
      </c>
      <c r="T846" s="73">
        <f>SUM(AE846:AM846)-IFERROR(IFS(Projections!$I$17,AN846,Projections!$J$17,AO846),"")</f>
        <v>-9.965301026</v>
      </c>
      <c r="U846" s="73">
        <f t="shared" si="15"/>
        <v>0</v>
      </c>
      <c r="V846" s="73" t="str">
        <f t="array" ref="V846">INDIRECT("Update"&amp;Projections!$AH$17&amp;"!M"&amp;ROW(B827))</f>
        <v/>
      </c>
      <c r="W846" s="73" t="str">
        <f t="array" ref="W846">INDIRECT("Update"&amp;Projections!$AH$17&amp;"!L"&amp;ROW(B827))</f>
        <v/>
      </c>
      <c r="X846" s="73" t="str">
        <f t="array" ref="X846">INDIRECT("Update"&amp;Projections!$AH$17&amp;"!N"&amp;ROW(B827))</f>
        <v/>
      </c>
      <c r="Y846" s="73" t="str">
        <f t="array" ref="Y846">INDIRECT("Update"&amp;Projections!$AH$17&amp;"!O"&amp;ROW(B827))</f>
        <v/>
      </c>
      <c r="Z846" s="73" t="str">
        <f t="array" ref="Z846">INDIRECT("Update"&amp;Projections!$AH$17&amp;"!P"&amp;ROW(B827))</f>
        <v/>
      </c>
      <c r="AA846" s="73" t="str">
        <f t="array" ref="AA846">INDIRECT("Update"&amp;Projections!$AH$17&amp;"!Q"&amp;ROW(B827))</f>
        <v/>
      </c>
      <c r="AB846" s="107" t="str">
        <f t="array" ref="AB846">INDIRECT("Update"&amp;Projections!$AH$17&amp;"!I"&amp;ROW(B827))</f>
        <v/>
      </c>
      <c r="AC846" s="107" t="str">
        <f t="array" ref="AC846">INDIRECT("Update"&amp;Projections!$AH$17&amp;"!K"&amp;ROW(B827))</f>
        <v/>
      </c>
      <c r="AD846" s="73" t="str">
        <f t="array" ref="AD846">INDIRECT("Update"&amp;Projections!$AH$17&amp;"!R"&amp;ROW(B827))</f>
        <v/>
      </c>
      <c r="AE846" s="73">
        <f t="shared" si="16"/>
        <v>-3.155358621</v>
      </c>
      <c r="AF846" s="73">
        <f t="shared" si="17"/>
        <v>-1.740686581</v>
      </c>
      <c r="AG846" s="73">
        <f t="shared" si="18"/>
        <v>-2.380599106</v>
      </c>
      <c r="AH846" s="73">
        <f t="shared" si="19"/>
        <v>-1.79320266</v>
      </c>
      <c r="AI846" s="73">
        <f t="shared" si="20"/>
        <v>-3.240190514</v>
      </c>
      <c r="AJ846" s="73">
        <f t="shared" si="21"/>
        <v>-1.329092151</v>
      </c>
      <c r="AK846" s="73">
        <f t="shared" si="22"/>
        <v>0</v>
      </c>
      <c r="AL846" s="73">
        <f t="shared" si="23"/>
        <v>0</v>
      </c>
      <c r="AM846" s="73">
        <f t="shared" si="24"/>
        <v>0.433638093</v>
      </c>
      <c r="AN846" s="120">
        <f t="shared" si="25"/>
        <v>-3.240190514</v>
      </c>
      <c r="AO846" s="120">
        <f t="shared" si="26"/>
        <v>-6.395549135</v>
      </c>
      <c r="AP846" s="120" t="str">
        <f t="array" ref="AP846">INDIRECT("Update"&amp;Projections!$AH$17&amp;"!S"&amp;ROW(B827))</f>
        <v/>
      </c>
      <c r="AQ846" s="120" t="str">
        <f t="array" ref="AQ846">INDIRECT("Update"&amp;Projections!$AH$17&amp;"!T"&amp;ROW(B827))</f>
        <v/>
      </c>
      <c r="AR846" s="100">
        <f t="shared" si="27"/>
        <v>-9.965301026</v>
      </c>
    </row>
    <row r="847">
      <c r="A847" t="str">
        <f t="shared" si="3"/>
        <v/>
      </c>
      <c r="B847" s="42">
        <f t="shared" si="4"/>
        <v>-3.155358621</v>
      </c>
      <c r="C847" s="43">
        <f t="shared" si="5"/>
        <v>-1.740686581</v>
      </c>
      <c r="D847" s="42">
        <f t="shared" si="6"/>
        <v>-2.380599106</v>
      </c>
      <c r="E847" s="42">
        <f t="shared" si="7"/>
        <v>-1.79320266</v>
      </c>
      <c r="F847" s="42">
        <f t="shared" si="8"/>
        <v>-3.240190514</v>
      </c>
      <c r="G847" s="42">
        <f t="shared" si="9"/>
        <v>-1.329092151</v>
      </c>
      <c r="H847" s="42">
        <f t="shared" si="10"/>
        <v>0</v>
      </c>
      <c r="I847" s="42" t="str">
        <f>UpdateHashtag!S845</f>
        <v/>
      </c>
      <c r="J847" s="47">
        <f t="shared" si="11"/>
        <v>0</v>
      </c>
      <c r="K847" s="48" t="str">
        <f>UpdateHashtag!T845</f>
        <v/>
      </c>
      <c r="L847" s="42">
        <f t="shared" si="12"/>
        <v>-1.734552372</v>
      </c>
      <c r="N847" s="100">
        <f t="shared" si="13"/>
        <v>401</v>
      </c>
      <c r="O847" s="94" t="str">
        <f t="array" ref="O847">INDIRECT("Update"&amp;Projections!$AH$17&amp;"!B"&amp;ROW(B828))</f>
        <v/>
      </c>
      <c r="P847" s="414" t="str">
        <f t="array" ref="P847">INDIRECT("Update"&amp;Projections!$AH$17&amp;"!C"&amp;ROW(B828))</f>
        <v/>
      </c>
      <c r="Q847" s="94" t="str">
        <f>UpdateHashtag!F877</f>
        <v/>
      </c>
      <c r="R847" s="105" t="str">
        <f t="array" ref="R847">INDIRECT("Update"&amp;Projections!$AH$17&amp;"!D"&amp;ROW(B828))</f>
        <v/>
      </c>
      <c r="S847" s="73">
        <f t="shared" si="14"/>
        <v>-9.965301026</v>
      </c>
      <c r="T847" s="73">
        <f>SUM(AE847:AM847)-IFERROR(IFS(Projections!$I$17,AN847,Projections!$J$17,AO847),"")</f>
        <v>-9.965301026</v>
      </c>
      <c r="U847" s="73">
        <f t="shared" si="15"/>
        <v>0</v>
      </c>
      <c r="V847" s="73" t="str">
        <f t="array" ref="V847">INDIRECT("Update"&amp;Projections!$AH$17&amp;"!M"&amp;ROW(B828))</f>
        <v/>
      </c>
      <c r="W847" s="73" t="str">
        <f t="array" ref="W847">INDIRECT("Update"&amp;Projections!$AH$17&amp;"!L"&amp;ROW(B828))</f>
        <v/>
      </c>
      <c r="X847" s="73" t="str">
        <f t="array" ref="X847">INDIRECT("Update"&amp;Projections!$AH$17&amp;"!N"&amp;ROW(B828))</f>
        <v/>
      </c>
      <c r="Y847" s="73" t="str">
        <f t="array" ref="Y847">INDIRECT("Update"&amp;Projections!$AH$17&amp;"!O"&amp;ROW(B828))</f>
        <v/>
      </c>
      <c r="Z847" s="73" t="str">
        <f t="array" ref="Z847">INDIRECT("Update"&amp;Projections!$AH$17&amp;"!P"&amp;ROW(B828))</f>
        <v/>
      </c>
      <c r="AA847" s="73" t="str">
        <f t="array" ref="AA847">INDIRECT("Update"&amp;Projections!$AH$17&amp;"!Q"&amp;ROW(B828))</f>
        <v/>
      </c>
      <c r="AB847" s="107" t="str">
        <f t="array" ref="AB847">INDIRECT("Update"&amp;Projections!$AH$17&amp;"!I"&amp;ROW(B828))</f>
        <v/>
      </c>
      <c r="AC847" s="107" t="str">
        <f t="array" ref="AC847">INDIRECT("Update"&amp;Projections!$AH$17&amp;"!K"&amp;ROW(B828))</f>
        <v/>
      </c>
      <c r="AD847" s="73" t="str">
        <f t="array" ref="AD847">INDIRECT("Update"&amp;Projections!$AH$17&amp;"!R"&amp;ROW(B828))</f>
        <v/>
      </c>
      <c r="AE847" s="73">
        <f t="shared" si="16"/>
        <v>-3.155358621</v>
      </c>
      <c r="AF847" s="73">
        <f t="shared" si="17"/>
        <v>-1.740686581</v>
      </c>
      <c r="AG847" s="73">
        <f t="shared" si="18"/>
        <v>-2.380599106</v>
      </c>
      <c r="AH847" s="73">
        <f t="shared" si="19"/>
        <v>-1.79320266</v>
      </c>
      <c r="AI847" s="73">
        <f t="shared" si="20"/>
        <v>-3.240190514</v>
      </c>
      <c r="AJ847" s="73">
        <f t="shared" si="21"/>
        <v>-1.329092151</v>
      </c>
      <c r="AK847" s="73">
        <f t="shared" si="22"/>
        <v>0</v>
      </c>
      <c r="AL847" s="73">
        <f t="shared" si="23"/>
        <v>0</v>
      </c>
      <c r="AM847" s="73">
        <f t="shared" si="24"/>
        <v>0.433638093</v>
      </c>
      <c r="AN847" s="120">
        <f t="shared" si="25"/>
        <v>-3.240190514</v>
      </c>
      <c r="AO847" s="120">
        <f t="shared" si="26"/>
        <v>-6.395549135</v>
      </c>
      <c r="AP847" s="120" t="str">
        <f t="array" ref="AP847">INDIRECT("Update"&amp;Projections!$AH$17&amp;"!S"&amp;ROW(B828))</f>
        <v/>
      </c>
      <c r="AQ847" s="120" t="str">
        <f t="array" ref="AQ847">INDIRECT("Update"&amp;Projections!$AH$17&amp;"!T"&amp;ROW(B828))</f>
        <v/>
      </c>
      <c r="AR847" s="100">
        <f t="shared" si="27"/>
        <v>-9.965301026</v>
      </c>
    </row>
    <row r="848">
      <c r="A848" t="str">
        <f t="shared" si="3"/>
        <v/>
      </c>
      <c r="B848" s="42">
        <f t="shared" si="4"/>
        <v>-3.155358621</v>
      </c>
      <c r="C848" s="43">
        <f t="shared" si="5"/>
        <v>-1.740686581</v>
      </c>
      <c r="D848" s="42">
        <f t="shared" si="6"/>
        <v>-2.380599106</v>
      </c>
      <c r="E848" s="42">
        <f t="shared" si="7"/>
        <v>-1.79320266</v>
      </c>
      <c r="F848" s="42">
        <f t="shared" si="8"/>
        <v>-3.240190514</v>
      </c>
      <c r="G848" s="42">
        <f t="shared" si="9"/>
        <v>-1.329092151</v>
      </c>
      <c r="H848" s="42">
        <f t="shared" si="10"/>
        <v>0</v>
      </c>
      <c r="I848" s="42" t="str">
        <f>UpdateHashtag!S846</f>
        <v/>
      </c>
      <c r="J848" s="47">
        <f t="shared" si="11"/>
        <v>0</v>
      </c>
      <c r="K848" s="48" t="str">
        <f>UpdateHashtag!T846</f>
        <v/>
      </c>
      <c r="L848" s="42">
        <f t="shared" si="12"/>
        <v>-1.734552372</v>
      </c>
      <c r="N848" s="100">
        <f t="shared" si="13"/>
        <v>401</v>
      </c>
      <c r="O848" s="94" t="str">
        <f t="array" ref="O848">INDIRECT("Update"&amp;Projections!$AH$17&amp;"!B"&amp;ROW(B829))</f>
        <v/>
      </c>
      <c r="P848" s="414" t="str">
        <f t="array" ref="P848">INDIRECT("Update"&amp;Projections!$AH$17&amp;"!C"&amp;ROW(B829))</f>
        <v/>
      </c>
      <c r="Q848" s="94" t="str">
        <f>UpdateHashtag!F878</f>
        <v/>
      </c>
      <c r="R848" s="105" t="str">
        <f t="array" ref="R848">INDIRECT("Update"&amp;Projections!$AH$17&amp;"!D"&amp;ROW(B829))</f>
        <v/>
      </c>
      <c r="S848" s="73">
        <f t="shared" si="14"/>
        <v>-9.965301026</v>
      </c>
      <c r="T848" s="73">
        <f>SUM(AE848:AM848)-IFERROR(IFS(Projections!$I$17,AN848,Projections!$J$17,AO848),"")</f>
        <v>-9.965301026</v>
      </c>
      <c r="U848" s="73">
        <f t="shared" si="15"/>
        <v>0</v>
      </c>
      <c r="V848" s="73" t="str">
        <f t="array" ref="V848">INDIRECT("Update"&amp;Projections!$AH$17&amp;"!M"&amp;ROW(B829))</f>
        <v/>
      </c>
      <c r="W848" s="73" t="str">
        <f t="array" ref="W848">INDIRECT("Update"&amp;Projections!$AH$17&amp;"!L"&amp;ROW(B829))</f>
        <v/>
      </c>
      <c r="X848" s="73" t="str">
        <f t="array" ref="X848">INDIRECT("Update"&amp;Projections!$AH$17&amp;"!N"&amp;ROW(B829))</f>
        <v/>
      </c>
      <c r="Y848" s="73" t="str">
        <f t="array" ref="Y848">INDIRECT("Update"&amp;Projections!$AH$17&amp;"!O"&amp;ROW(B829))</f>
        <v/>
      </c>
      <c r="Z848" s="73" t="str">
        <f t="array" ref="Z848">INDIRECT("Update"&amp;Projections!$AH$17&amp;"!P"&amp;ROW(B829))</f>
        <v/>
      </c>
      <c r="AA848" s="73" t="str">
        <f t="array" ref="AA848">INDIRECT("Update"&amp;Projections!$AH$17&amp;"!Q"&amp;ROW(B829))</f>
        <v/>
      </c>
      <c r="AB848" s="107" t="str">
        <f t="array" ref="AB848">INDIRECT("Update"&amp;Projections!$AH$17&amp;"!I"&amp;ROW(B829))</f>
        <v/>
      </c>
      <c r="AC848" s="107" t="str">
        <f t="array" ref="AC848">INDIRECT("Update"&amp;Projections!$AH$17&amp;"!K"&amp;ROW(B829))</f>
        <v/>
      </c>
      <c r="AD848" s="73" t="str">
        <f t="array" ref="AD848">INDIRECT("Update"&amp;Projections!$AH$17&amp;"!R"&amp;ROW(B829))</f>
        <v/>
      </c>
      <c r="AE848" s="73">
        <f t="shared" si="16"/>
        <v>-3.155358621</v>
      </c>
      <c r="AF848" s="73">
        <f t="shared" si="17"/>
        <v>-1.740686581</v>
      </c>
      <c r="AG848" s="73">
        <f t="shared" si="18"/>
        <v>-2.380599106</v>
      </c>
      <c r="AH848" s="73">
        <f t="shared" si="19"/>
        <v>-1.79320266</v>
      </c>
      <c r="AI848" s="73">
        <f t="shared" si="20"/>
        <v>-3.240190514</v>
      </c>
      <c r="AJ848" s="73">
        <f t="shared" si="21"/>
        <v>-1.329092151</v>
      </c>
      <c r="AK848" s="73">
        <f t="shared" si="22"/>
        <v>0</v>
      </c>
      <c r="AL848" s="73">
        <f t="shared" si="23"/>
        <v>0</v>
      </c>
      <c r="AM848" s="73">
        <f t="shared" si="24"/>
        <v>0.433638093</v>
      </c>
      <c r="AN848" s="120">
        <f t="shared" si="25"/>
        <v>-3.240190514</v>
      </c>
      <c r="AO848" s="120">
        <f t="shared" si="26"/>
        <v>-6.395549135</v>
      </c>
      <c r="AP848" s="120" t="str">
        <f t="array" ref="AP848">INDIRECT("Update"&amp;Projections!$AH$17&amp;"!S"&amp;ROW(B829))</f>
        <v/>
      </c>
      <c r="AQ848" s="120" t="str">
        <f t="array" ref="AQ848">INDIRECT("Update"&amp;Projections!$AH$17&amp;"!T"&amp;ROW(B829))</f>
        <v/>
      </c>
      <c r="AR848" s="100">
        <f t="shared" si="27"/>
        <v>-9.965301026</v>
      </c>
    </row>
    <row r="849">
      <c r="A849" t="str">
        <f t="shared" si="3"/>
        <v/>
      </c>
      <c r="B849" s="42">
        <f t="shared" si="4"/>
        <v>-3.155358621</v>
      </c>
      <c r="C849" s="43">
        <f t="shared" si="5"/>
        <v>-1.740686581</v>
      </c>
      <c r="D849" s="42">
        <f t="shared" si="6"/>
        <v>-2.380599106</v>
      </c>
      <c r="E849" s="42">
        <f t="shared" si="7"/>
        <v>-1.79320266</v>
      </c>
      <c r="F849" s="42">
        <f t="shared" si="8"/>
        <v>-3.240190514</v>
      </c>
      <c r="G849" s="42">
        <f t="shared" si="9"/>
        <v>-1.329092151</v>
      </c>
      <c r="H849" s="42">
        <f t="shared" si="10"/>
        <v>0</v>
      </c>
      <c r="I849" s="42" t="str">
        <f>UpdateHashtag!S847</f>
        <v/>
      </c>
      <c r="J849" s="47">
        <f t="shared" si="11"/>
        <v>0</v>
      </c>
      <c r="K849" s="48" t="str">
        <f>UpdateHashtag!T847</f>
        <v/>
      </c>
      <c r="L849" s="42">
        <f t="shared" si="12"/>
        <v>-1.734552372</v>
      </c>
      <c r="N849" s="100">
        <f t="shared" si="13"/>
        <v>401</v>
      </c>
      <c r="O849" s="94" t="str">
        <f t="array" ref="O849">INDIRECT("Update"&amp;Projections!$AH$17&amp;"!B"&amp;ROW(B830))</f>
        <v/>
      </c>
      <c r="P849" s="414" t="str">
        <f t="array" ref="P849">INDIRECT("Update"&amp;Projections!$AH$17&amp;"!C"&amp;ROW(B830))</f>
        <v/>
      </c>
      <c r="Q849" s="94" t="str">
        <f>UpdateHashtag!F879</f>
        <v/>
      </c>
      <c r="R849" s="105" t="str">
        <f t="array" ref="R849">INDIRECT("Update"&amp;Projections!$AH$17&amp;"!D"&amp;ROW(B830))</f>
        <v/>
      </c>
      <c r="S849" s="73">
        <f t="shared" si="14"/>
        <v>-9.965301026</v>
      </c>
      <c r="T849" s="73">
        <f>SUM(AE849:AM849)-IFERROR(IFS(Projections!$I$17,AN849,Projections!$J$17,AO849),"")</f>
        <v>-9.965301026</v>
      </c>
      <c r="U849" s="73">
        <f t="shared" si="15"/>
        <v>0</v>
      </c>
      <c r="V849" s="73" t="str">
        <f t="array" ref="V849">INDIRECT("Update"&amp;Projections!$AH$17&amp;"!M"&amp;ROW(B830))</f>
        <v/>
      </c>
      <c r="W849" s="73" t="str">
        <f t="array" ref="W849">INDIRECT("Update"&amp;Projections!$AH$17&amp;"!L"&amp;ROW(B830))</f>
        <v/>
      </c>
      <c r="X849" s="73" t="str">
        <f t="array" ref="X849">INDIRECT("Update"&amp;Projections!$AH$17&amp;"!N"&amp;ROW(B830))</f>
        <v/>
      </c>
      <c r="Y849" s="73" t="str">
        <f t="array" ref="Y849">INDIRECT("Update"&amp;Projections!$AH$17&amp;"!O"&amp;ROW(B830))</f>
        <v/>
      </c>
      <c r="Z849" s="73" t="str">
        <f t="array" ref="Z849">INDIRECT("Update"&amp;Projections!$AH$17&amp;"!P"&amp;ROW(B830))</f>
        <v/>
      </c>
      <c r="AA849" s="73" t="str">
        <f t="array" ref="AA849">INDIRECT("Update"&amp;Projections!$AH$17&amp;"!Q"&amp;ROW(B830))</f>
        <v/>
      </c>
      <c r="AB849" s="107" t="str">
        <f t="array" ref="AB849">INDIRECT("Update"&amp;Projections!$AH$17&amp;"!I"&amp;ROW(B830))</f>
        <v/>
      </c>
      <c r="AC849" s="107" t="str">
        <f t="array" ref="AC849">INDIRECT("Update"&amp;Projections!$AH$17&amp;"!K"&amp;ROW(B830))</f>
        <v/>
      </c>
      <c r="AD849" s="73" t="str">
        <f t="array" ref="AD849">INDIRECT("Update"&amp;Projections!$AH$17&amp;"!R"&amp;ROW(B830))</f>
        <v/>
      </c>
      <c r="AE849" s="73">
        <f t="shared" si="16"/>
        <v>-3.155358621</v>
      </c>
      <c r="AF849" s="73">
        <f t="shared" si="17"/>
        <v>-1.740686581</v>
      </c>
      <c r="AG849" s="73">
        <f t="shared" si="18"/>
        <v>-2.380599106</v>
      </c>
      <c r="AH849" s="73">
        <f t="shared" si="19"/>
        <v>-1.79320266</v>
      </c>
      <c r="AI849" s="73">
        <f t="shared" si="20"/>
        <v>-3.240190514</v>
      </c>
      <c r="AJ849" s="73">
        <f t="shared" si="21"/>
        <v>-1.329092151</v>
      </c>
      <c r="AK849" s="73">
        <f t="shared" si="22"/>
        <v>0</v>
      </c>
      <c r="AL849" s="73">
        <f t="shared" si="23"/>
        <v>0</v>
      </c>
      <c r="AM849" s="73">
        <f t="shared" si="24"/>
        <v>0.433638093</v>
      </c>
      <c r="AN849" s="120">
        <f t="shared" si="25"/>
        <v>-3.240190514</v>
      </c>
      <c r="AO849" s="120">
        <f t="shared" si="26"/>
        <v>-6.395549135</v>
      </c>
      <c r="AP849" s="120" t="str">
        <f t="array" ref="AP849">INDIRECT("Update"&amp;Projections!$AH$17&amp;"!S"&amp;ROW(B830))</f>
        <v/>
      </c>
      <c r="AQ849" s="120" t="str">
        <f t="array" ref="AQ849">INDIRECT("Update"&amp;Projections!$AH$17&amp;"!T"&amp;ROW(B830))</f>
        <v/>
      </c>
      <c r="AR849" s="100">
        <f t="shared" si="27"/>
        <v>-9.965301026</v>
      </c>
    </row>
    <row r="850">
      <c r="A850" t="str">
        <f t="shared" si="3"/>
        <v/>
      </c>
      <c r="B850" s="42">
        <f t="shared" si="4"/>
        <v>-3.155358621</v>
      </c>
      <c r="C850" s="43">
        <f t="shared" si="5"/>
        <v>-1.740686581</v>
      </c>
      <c r="D850" s="42">
        <f t="shared" si="6"/>
        <v>-2.380599106</v>
      </c>
      <c r="E850" s="42">
        <f t="shared" si="7"/>
        <v>-1.79320266</v>
      </c>
      <c r="F850" s="42">
        <f t="shared" si="8"/>
        <v>-3.240190514</v>
      </c>
      <c r="G850" s="42">
        <f t="shared" si="9"/>
        <v>-1.329092151</v>
      </c>
      <c r="H850" s="42">
        <f t="shared" si="10"/>
        <v>0</v>
      </c>
      <c r="I850" s="42" t="str">
        <f>UpdateHashtag!S848</f>
        <v/>
      </c>
      <c r="J850" s="47">
        <f t="shared" si="11"/>
        <v>0</v>
      </c>
      <c r="K850" s="48" t="str">
        <f>UpdateHashtag!T848</f>
        <v/>
      </c>
      <c r="L850" s="42">
        <f t="shared" si="12"/>
        <v>-1.734552372</v>
      </c>
      <c r="N850" s="100">
        <f t="shared" si="13"/>
        <v>401</v>
      </c>
      <c r="O850" s="94" t="str">
        <f t="array" ref="O850">INDIRECT("Update"&amp;Projections!$AH$17&amp;"!B"&amp;ROW(B831))</f>
        <v/>
      </c>
      <c r="P850" s="414" t="str">
        <f t="array" ref="P850">INDIRECT("Update"&amp;Projections!$AH$17&amp;"!C"&amp;ROW(B831))</f>
        <v/>
      </c>
      <c r="Q850" s="94" t="str">
        <f>UpdateHashtag!F880</f>
        <v/>
      </c>
      <c r="R850" s="105" t="str">
        <f t="array" ref="R850">INDIRECT("Update"&amp;Projections!$AH$17&amp;"!D"&amp;ROW(B831))</f>
        <v/>
      </c>
      <c r="S850" s="73">
        <f t="shared" si="14"/>
        <v>-9.965301026</v>
      </c>
      <c r="T850" s="73">
        <f>SUM(AE850:AM850)-IFERROR(IFS(Projections!$I$17,AN850,Projections!$J$17,AO850),"")</f>
        <v>-9.965301026</v>
      </c>
      <c r="U850" s="73">
        <f t="shared" si="15"/>
        <v>0</v>
      </c>
      <c r="V850" s="73" t="str">
        <f t="array" ref="V850">INDIRECT("Update"&amp;Projections!$AH$17&amp;"!M"&amp;ROW(B831))</f>
        <v/>
      </c>
      <c r="W850" s="73" t="str">
        <f t="array" ref="W850">INDIRECT("Update"&amp;Projections!$AH$17&amp;"!L"&amp;ROW(B831))</f>
        <v/>
      </c>
      <c r="X850" s="73" t="str">
        <f t="array" ref="X850">INDIRECT("Update"&amp;Projections!$AH$17&amp;"!N"&amp;ROW(B831))</f>
        <v/>
      </c>
      <c r="Y850" s="73" t="str">
        <f t="array" ref="Y850">INDIRECT("Update"&amp;Projections!$AH$17&amp;"!O"&amp;ROW(B831))</f>
        <v/>
      </c>
      <c r="Z850" s="73" t="str">
        <f t="array" ref="Z850">INDIRECT("Update"&amp;Projections!$AH$17&amp;"!P"&amp;ROW(B831))</f>
        <v/>
      </c>
      <c r="AA850" s="73" t="str">
        <f t="array" ref="AA850">INDIRECT("Update"&amp;Projections!$AH$17&amp;"!Q"&amp;ROW(B831))</f>
        <v/>
      </c>
      <c r="AB850" s="107" t="str">
        <f t="array" ref="AB850">INDIRECT("Update"&amp;Projections!$AH$17&amp;"!I"&amp;ROW(B831))</f>
        <v/>
      </c>
      <c r="AC850" s="107" t="str">
        <f t="array" ref="AC850">INDIRECT("Update"&amp;Projections!$AH$17&amp;"!K"&amp;ROW(B831))</f>
        <v/>
      </c>
      <c r="AD850" s="73" t="str">
        <f t="array" ref="AD850">INDIRECT("Update"&amp;Projections!$AH$17&amp;"!R"&amp;ROW(B831))</f>
        <v/>
      </c>
      <c r="AE850" s="73">
        <f t="shared" si="16"/>
        <v>-3.155358621</v>
      </c>
      <c r="AF850" s="73">
        <f t="shared" si="17"/>
        <v>-1.740686581</v>
      </c>
      <c r="AG850" s="73">
        <f t="shared" si="18"/>
        <v>-2.380599106</v>
      </c>
      <c r="AH850" s="73">
        <f t="shared" si="19"/>
        <v>-1.79320266</v>
      </c>
      <c r="AI850" s="73">
        <f t="shared" si="20"/>
        <v>-3.240190514</v>
      </c>
      <c r="AJ850" s="73">
        <f t="shared" si="21"/>
        <v>-1.329092151</v>
      </c>
      <c r="AK850" s="73">
        <f t="shared" si="22"/>
        <v>0</v>
      </c>
      <c r="AL850" s="73">
        <f t="shared" si="23"/>
        <v>0</v>
      </c>
      <c r="AM850" s="73">
        <f t="shared" si="24"/>
        <v>0.433638093</v>
      </c>
      <c r="AN850" s="120">
        <f t="shared" si="25"/>
        <v>-3.240190514</v>
      </c>
      <c r="AO850" s="120">
        <f t="shared" si="26"/>
        <v>-6.395549135</v>
      </c>
      <c r="AP850" s="120" t="str">
        <f t="array" ref="AP850">INDIRECT("Update"&amp;Projections!$AH$17&amp;"!S"&amp;ROW(B831))</f>
        <v/>
      </c>
      <c r="AQ850" s="120" t="str">
        <f t="array" ref="AQ850">INDIRECT("Update"&amp;Projections!$AH$17&amp;"!T"&amp;ROW(B831))</f>
        <v/>
      </c>
      <c r="AR850" s="100">
        <f t="shared" si="27"/>
        <v>-9.965301026</v>
      </c>
    </row>
    <row r="851">
      <c r="A851" t="str">
        <f t="shared" si="3"/>
        <v/>
      </c>
      <c r="B851" s="42">
        <f t="shared" si="4"/>
        <v>-3.155358621</v>
      </c>
      <c r="C851" s="43">
        <f t="shared" si="5"/>
        <v>-1.740686581</v>
      </c>
      <c r="D851" s="42">
        <f t="shared" si="6"/>
        <v>-2.380599106</v>
      </c>
      <c r="E851" s="42">
        <f t="shared" si="7"/>
        <v>-1.79320266</v>
      </c>
      <c r="F851" s="42">
        <f t="shared" si="8"/>
        <v>-3.240190514</v>
      </c>
      <c r="G851" s="42">
        <f t="shared" si="9"/>
        <v>-1.329092151</v>
      </c>
      <c r="H851" s="42">
        <f t="shared" si="10"/>
        <v>0</v>
      </c>
      <c r="I851" s="42" t="str">
        <f>UpdateHashtag!S849</f>
        <v/>
      </c>
      <c r="J851" s="47">
        <f t="shared" si="11"/>
        <v>0</v>
      </c>
      <c r="K851" s="48" t="str">
        <f>UpdateHashtag!T849</f>
        <v/>
      </c>
      <c r="L851" s="42">
        <f t="shared" si="12"/>
        <v>-1.734552372</v>
      </c>
      <c r="N851" s="100">
        <f t="shared" si="13"/>
        <v>401</v>
      </c>
      <c r="O851" s="94" t="str">
        <f t="array" ref="O851">INDIRECT("Update"&amp;Projections!$AH$17&amp;"!B"&amp;ROW(B832))</f>
        <v/>
      </c>
      <c r="P851" s="414" t="str">
        <f t="array" ref="P851">INDIRECT("Update"&amp;Projections!$AH$17&amp;"!C"&amp;ROW(B832))</f>
        <v/>
      </c>
      <c r="Q851" s="94" t="str">
        <f>UpdateHashtag!F881</f>
        <v/>
      </c>
      <c r="R851" s="105" t="str">
        <f t="array" ref="R851">INDIRECT("Update"&amp;Projections!$AH$17&amp;"!D"&amp;ROW(B832))</f>
        <v/>
      </c>
      <c r="S851" s="73">
        <f t="shared" si="14"/>
        <v>-9.965301026</v>
      </c>
      <c r="T851" s="73">
        <f>SUM(AE851:AM851)-IFERROR(IFS(Projections!$I$17,AN851,Projections!$J$17,AO851),"")</f>
        <v>-9.965301026</v>
      </c>
      <c r="U851" s="73">
        <f t="shared" si="15"/>
        <v>0</v>
      </c>
      <c r="V851" s="73" t="str">
        <f t="array" ref="V851">INDIRECT("Update"&amp;Projections!$AH$17&amp;"!M"&amp;ROW(B832))</f>
        <v/>
      </c>
      <c r="W851" s="73" t="str">
        <f t="array" ref="W851">INDIRECT("Update"&amp;Projections!$AH$17&amp;"!L"&amp;ROW(B832))</f>
        <v/>
      </c>
      <c r="X851" s="73" t="str">
        <f t="array" ref="X851">INDIRECT("Update"&amp;Projections!$AH$17&amp;"!N"&amp;ROW(B832))</f>
        <v/>
      </c>
      <c r="Y851" s="73" t="str">
        <f t="array" ref="Y851">INDIRECT("Update"&amp;Projections!$AH$17&amp;"!O"&amp;ROW(B832))</f>
        <v/>
      </c>
      <c r="Z851" s="73" t="str">
        <f t="array" ref="Z851">INDIRECT("Update"&amp;Projections!$AH$17&amp;"!P"&amp;ROW(B832))</f>
        <v/>
      </c>
      <c r="AA851" s="73" t="str">
        <f t="array" ref="AA851">INDIRECT("Update"&amp;Projections!$AH$17&amp;"!Q"&amp;ROW(B832))</f>
        <v/>
      </c>
      <c r="AB851" s="107" t="str">
        <f t="array" ref="AB851">INDIRECT("Update"&amp;Projections!$AH$17&amp;"!I"&amp;ROW(B832))</f>
        <v/>
      </c>
      <c r="AC851" s="107" t="str">
        <f t="array" ref="AC851">INDIRECT("Update"&amp;Projections!$AH$17&amp;"!K"&amp;ROW(B832))</f>
        <v/>
      </c>
      <c r="AD851" s="73" t="str">
        <f t="array" ref="AD851">INDIRECT("Update"&amp;Projections!$AH$17&amp;"!R"&amp;ROW(B832))</f>
        <v/>
      </c>
      <c r="AE851" s="73">
        <f t="shared" si="16"/>
        <v>-3.155358621</v>
      </c>
      <c r="AF851" s="73">
        <f t="shared" si="17"/>
        <v>-1.740686581</v>
      </c>
      <c r="AG851" s="73">
        <f t="shared" si="18"/>
        <v>-2.380599106</v>
      </c>
      <c r="AH851" s="73">
        <f t="shared" si="19"/>
        <v>-1.79320266</v>
      </c>
      <c r="AI851" s="73">
        <f t="shared" si="20"/>
        <v>-3.240190514</v>
      </c>
      <c r="AJ851" s="73">
        <f t="shared" si="21"/>
        <v>-1.329092151</v>
      </c>
      <c r="AK851" s="73">
        <f t="shared" si="22"/>
        <v>0</v>
      </c>
      <c r="AL851" s="73">
        <f t="shared" si="23"/>
        <v>0</v>
      </c>
      <c r="AM851" s="73">
        <f t="shared" si="24"/>
        <v>0.433638093</v>
      </c>
      <c r="AN851" s="120">
        <f t="shared" si="25"/>
        <v>-3.240190514</v>
      </c>
      <c r="AO851" s="120">
        <f t="shared" si="26"/>
        <v>-6.395549135</v>
      </c>
      <c r="AP851" s="120" t="str">
        <f t="array" ref="AP851">INDIRECT("Update"&amp;Projections!$AH$17&amp;"!S"&amp;ROW(B832))</f>
        <v/>
      </c>
      <c r="AQ851" s="120" t="str">
        <f t="array" ref="AQ851">INDIRECT("Update"&amp;Projections!$AH$17&amp;"!T"&amp;ROW(B832))</f>
        <v/>
      </c>
      <c r="AR851" s="100">
        <f t="shared" si="27"/>
        <v>-9.965301026</v>
      </c>
    </row>
    <row r="852">
      <c r="A852" t="str">
        <f t="shared" si="3"/>
        <v/>
      </c>
      <c r="B852" s="42">
        <f t="shared" si="4"/>
        <v>-3.155358621</v>
      </c>
      <c r="C852" s="43">
        <f t="shared" si="5"/>
        <v>-1.740686581</v>
      </c>
      <c r="D852" s="42">
        <f t="shared" si="6"/>
        <v>-2.380599106</v>
      </c>
      <c r="E852" s="42">
        <f t="shared" si="7"/>
        <v>-1.79320266</v>
      </c>
      <c r="F852" s="42">
        <f t="shared" si="8"/>
        <v>-3.240190514</v>
      </c>
      <c r="G852" s="42">
        <f t="shared" si="9"/>
        <v>-1.329092151</v>
      </c>
      <c r="H852" s="42">
        <f t="shared" si="10"/>
        <v>0</v>
      </c>
      <c r="I852" s="42" t="str">
        <f>UpdateHashtag!S850</f>
        <v/>
      </c>
      <c r="J852" s="47">
        <f t="shared" si="11"/>
        <v>0</v>
      </c>
      <c r="K852" s="48" t="str">
        <f>UpdateHashtag!T850</f>
        <v/>
      </c>
      <c r="L852" s="42">
        <f t="shared" si="12"/>
        <v>-1.734552372</v>
      </c>
      <c r="N852" s="100">
        <f t="shared" si="13"/>
        <v>401</v>
      </c>
      <c r="O852" s="94" t="str">
        <f t="array" ref="O852">INDIRECT("Update"&amp;Projections!$AH$17&amp;"!B"&amp;ROW(B833))</f>
        <v/>
      </c>
      <c r="P852" s="414" t="str">
        <f t="array" ref="P852">INDIRECT("Update"&amp;Projections!$AH$17&amp;"!C"&amp;ROW(B833))</f>
        <v/>
      </c>
      <c r="Q852" s="94" t="str">
        <f>UpdateHashtag!F882</f>
        <v/>
      </c>
      <c r="R852" s="105" t="str">
        <f t="array" ref="R852">INDIRECT("Update"&amp;Projections!$AH$17&amp;"!D"&amp;ROW(B833))</f>
        <v/>
      </c>
      <c r="S852" s="73">
        <f t="shared" si="14"/>
        <v>-9.965301026</v>
      </c>
      <c r="T852" s="73">
        <f>SUM(AE852:AM852)-IFERROR(IFS(Projections!$I$17,AN852,Projections!$J$17,AO852),"")</f>
        <v>-9.965301026</v>
      </c>
      <c r="U852" s="73">
        <f t="shared" si="15"/>
        <v>0</v>
      </c>
      <c r="V852" s="73" t="str">
        <f t="array" ref="V852">INDIRECT("Update"&amp;Projections!$AH$17&amp;"!M"&amp;ROW(B833))</f>
        <v/>
      </c>
      <c r="W852" s="73" t="str">
        <f t="array" ref="W852">INDIRECT("Update"&amp;Projections!$AH$17&amp;"!L"&amp;ROW(B833))</f>
        <v/>
      </c>
      <c r="X852" s="73" t="str">
        <f t="array" ref="X852">INDIRECT("Update"&amp;Projections!$AH$17&amp;"!N"&amp;ROW(B833))</f>
        <v/>
      </c>
      <c r="Y852" s="73" t="str">
        <f t="array" ref="Y852">INDIRECT("Update"&amp;Projections!$AH$17&amp;"!O"&amp;ROW(B833))</f>
        <v/>
      </c>
      <c r="Z852" s="73" t="str">
        <f t="array" ref="Z852">INDIRECT("Update"&amp;Projections!$AH$17&amp;"!P"&amp;ROW(B833))</f>
        <v/>
      </c>
      <c r="AA852" s="73" t="str">
        <f t="array" ref="AA852">INDIRECT("Update"&amp;Projections!$AH$17&amp;"!Q"&amp;ROW(B833))</f>
        <v/>
      </c>
      <c r="AB852" s="107" t="str">
        <f t="array" ref="AB852">INDIRECT("Update"&amp;Projections!$AH$17&amp;"!I"&amp;ROW(B833))</f>
        <v/>
      </c>
      <c r="AC852" s="107" t="str">
        <f t="array" ref="AC852">INDIRECT("Update"&amp;Projections!$AH$17&amp;"!K"&amp;ROW(B833))</f>
        <v/>
      </c>
      <c r="AD852" s="73" t="str">
        <f t="array" ref="AD852">INDIRECT("Update"&amp;Projections!$AH$17&amp;"!R"&amp;ROW(B833))</f>
        <v/>
      </c>
      <c r="AE852" s="73">
        <f t="shared" si="16"/>
        <v>-3.155358621</v>
      </c>
      <c r="AF852" s="73">
        <f t="shared" si="17"/>
        <v>-1.740686581</v>
      </c>
      <c r="AG852" s="73">
        <f t="shared" si="18"/>
        <v>-2.380599106</v>
      </c>
      <c r="AH852" s="73">
        <f t="shared" si="19"/>
        <v>-1.79320266</v>
      </c>
      <c r="AI852" s="73">
        <f t="shared" si="20"/>
        <v>-3.240190514</v>
      </c>
      <c r="AJ852" s="73">
        <f t="shared" si="21"/>
        <v>-1.329092151</v>
      </c>
      <c r="AK852" s="73">
        <f t="shared" si="22"/>
        <v>0</v>
      </c>
      <c r="AL852" s="73">
        <f t="shared" si="23"/>
        <v>0</v>
      </c>
      <c r="AM852" s="73">
        <f t="shared" si="24"/>
        <v>0.433638093</v>
      </c>
      <c r="AN852" s="120">
        <f t="shared" si="25"/>
        <v>-3.240190514</v>
      </c>
      <c r="AO852" s="120">
        <f t="shared" si="26"/>
        <v>-6.395549135</v>
      </c>
      <c r="AP852" s="120" t="str">
        <f t="array" ref="AP852">INDIRECT("Update"&amp;Projections!$AH$17&amp;"!S"&amp;ROW(B833))</f>
        <v/>
      </c>
      <c r="AQ852" s="120" t="str">
        <f t="array" ref="AQ852">INDIRECT("Update"&amp;Projections!$AH$17&amp;"!T"&amp;ROW(B833))</f>
        <v/>
      </c>
      <c r="AR852" s="100">
        <f t="shared" si="27"/>
        <v>-9.965301026</v>
      </c>
    </row>
    <row r="853">
      <c r="A853" t="str">
        <f t="shared" si="3"/>
        <v/>
      </c>
      <c r="B853" s="42">
        <f t="shared" si="4"/>
        <v>-3.155358621</v>
      </c>
      <c r="C853" s="43">
        <f t="shared" si="5"/>
        <v>-1.740686581</v>
      </c>
      <c r="D853" s="42">
        <f t="shared" si="6"/>
        <v>-2.380599106</v>
      </c>
      <c r="E853" s="42">
        <f t="shared" si="7"/>
        <v>-1.79320266</v>
      </c>
      <c r="F853" s="42">
        <f t="shared" si="8"/>
        <v>-3.240190514</v>
      </c>
      <c r="G853" s="42">
        <f t="shared" si="9"/>
        <v>-1.329092151</v>
      </c>
      <c r="H853" s="42">
        <f t="shared" si="10"/>
        <v>0</v>
      </c>
      <c r="I853" s="42" t="str">
        <f>UpdateHashtag!S851</f>
        <v/>
      </c>
      <c r="J853" s="47">
        <f t="shared" si="11"/>
        <v>0</v>
      </c>
      <c r="K853" s="48" t="str">
        <f>UpdateHashtag!T851</f>
        <v/>
      </c>
      <c r="L853" s="42">
        <f t="shared" si="12"/>
        <v>-1.734552372</v>
      </c>
      <c r="N853" s="100">
        <f t="shared" si="13"/>
        <v>401</v>
      </c>
      <c r="O853" s="94" t="str">
        <f t="array" ref="O853">INDIRECT("Update"&amp;Projections!$AH$17&amp;"!B"&amp;ROW(B834))</f>
        <v/>
      </c>
      <c r="P853" s="414" t="str">
        <f t="array" ref="P853">INDIRECT("Update"&amp;Projections!$AH$17&amp;"!C"&amp;ROW(B834))</f>
        <v/>
      </c>
      <c r="Q853" s="94" t="str">
        <f>UpdateHashtag!F883</f>
        <v/>
      </c>
      <c r="R853" s="105" t="str">
        <f t="array" ref="R853">INDIRECT("Update"&amp;Projections!$AH$17&amp;"!D"&amp;ROW(B834))</f>
        <v/>
      </c>
      <c r="S853" s="73">
        <f t="shared" si="14"/>
        <v>-9.965301026</v>
      </c>
      <c r="T853" s="73">
        <f>SUM(AE853:AM853)-IFERROR(IFS(Projections!$I$17,AN853,Projections!$J$17,AO853),"")</f>
        <v>-9.965301026</v>
      </c>
      <c r="U853" s="73">
        <f t="shared" si="15"/>
        <v>0</v>
      </c>
      <c r="V853" s="73" t="str">
        <f t="array" ref="V853">INDIRECT("Update"&amp;Projections!$AH$17&amp;"!M"&amp;ROW(B834))</f>
        <v/>
      </c>
      <c r="W853" s="73" t="str">
        <f t="array" ref="W853">INDIRECT("Update"&amp;Projections!$AH$17&amp;"!L"&amp;ROW(B834))</f>
        <v/>
      </c>
      <c r="X853" s="73" t="str">
        <f t="array" ref="X853">INDIRECT("Update"&amp;Projections!$AH$17&amp;"!N"&amp;ROW(B834))</f>
        <v/>
      </c>
      <c r="Y853" s="73" t="str">
        <f t="array" ref="Y853">INDIRECT("Update"&amp;Projections!$AH$17&amp;"!O"&amp;ROW(B834))</f>
        <v/>
      </c>
      <c r="Z853" s="73" t="str">
        <f t="array" ref="Z853">INDIRECT("Update"&amp;Projections!$AH$17&amp;"!P"&amp;ROW(B834))</f>
        <v/>
      </c>
      <c r="AA853" s="73" t="str">
        <f t="array" ref="AA853">INDIRECT("Update"&amp;Projections!$AH$17&amp;"!Q"&amp;ROW(B834))</f>
        <v/>
      </c>
      <c r="AB853" s="107" t="str">
        <f t="array" ref="AB853">INDIRECT("Update"&amp;Projections!$AH$17&amp;"!I"&amp;ROW(B834))</f>
        <v/>
      </c>
      <c r="AC853" s="107" t="str">
        <f t="array" ref="AC853">INDIRECT("Update"&amp;Projections!$AH$17&amp;"!K"&amp;ROW(B834))</f>
        <v/>
      </c>
      <c r="AD853" s="73" t="str">
        <f t="array" ref="AD853">INDIRECT("Update"&amp;Projections!$AH$17&amp;"!R"&amp;ROW(B834))</f>
        <v/>
      </c>
      <c r="AE853" s="73">
        <f t="shared" si="16"/>
        <v>-3.155358621</v>
      </c>
      <c r="AF853" s="73">
        <f t="shared" si="17"/>
        <v>-1.740686581</v>
      </c>
      <c r="AG853" s="73">
        <f t="shared" si="18"/>
        <v>-2.380599106</v>
      </c>
      <c r="AH853" s="73">
        <f t="shared" si="19"/>
        <v>-1.79320266</v>
      </c>
      <c r="AI853" s="73">
        <f t="shared" si="20"/>
        <v>-3.240190514</v>
      </c>
      <c r="AJ853" s="73">
        <f t="shared" si="21"/>
        <v>-1.329092151</v>
      </c>
      <c r="AK853" s="73">
        <f t="shared" si="22"/>
        <v>0</v>
      </c>
      <c r="AL853" s="73">
        <f t="shared" si="23"/>
        <v>0</v>
      </c>
      <c r="AM853" s="73">
        <f t="shared" si="24"/>
        <v>0.433638093</v>
      </c>
      <c r="AN853" s="120">
        <f t="shared" si="25"/>
        <v>-3.240190514</v>
      </c>
      <c r="AO853" s="120">
        <f t="shared" si="26"/>
        <v>-6.395549135</v>
      </c>
      <c r="AP853" s="120" t="str">
        <f t="array" ref="AP853">INDIRECT("Update"&amp;Projections!$AH$17&amp;"!S"&amp;ROW(B834))</f>
        <v/>
      </c>
      <c r="AQ853" s="120" t="str">
        <f t="array" ref="AQ853">INDIRECT("Update"&amp;Projections!$AH$17&amp;"!T"&amp;ROW(B834))</f>
        <v/>
      </c>
      <c r="AR853" s="100">
        <f t="shared" si="27"/>
        <v>-9.965301026</v>
      </c>
    </row>
    <row r="854">
      <c r="A854" t="str">
        <f t="shared" si="3"/>
        <v/>
      </c>
      <c r="B854" s="42">
        <f t="shared" si="4"/>
        <v>-3.155358621</v>
      </c>
      <c r="C854" s="43">
        <f t="shared" si="5"/>
        <v>-1.740686581</v>
      </c>
      <c r="D854" s="42">
        <f t="shared" si="6"/>
        <v>-2.380599106</v>
      </c>
      <c r="E854" s="42">
        <f t="shared" si="7"/>
        <v>-1.79320266</v>
      </c>
      <c r="F854" s="42">
        <f t="shared" si="8"/>
        <v>-3.240190514</v>
      </c>
      <c r="G854" s="42">
        <f t="shared" si="9"/>
        <v>-1.329092151</v>
      </c>
      <c r="H854" s="42">
        <f t="shared" si="10"/>
        <v>0</v>
      </c>
      <c r="I854" s="42" t="str">
        <f>UpdateHashtag!S852</f>
        <v/>
      </c>
      <c r="J854" s="47">
        <f t="shared" si="11"/>
        <v>0</v>
      </c>
      <c r="K854" s="48" t="str">
        <f>UpdateHashtag!T852</f>
        <v/>
      </c>
      <c r="L854" s="42">
        <f t="shared" si="12"/>
        <v>-1.734552372</v>
      </c>
      <c r="N854" s="100">
        <f t="shared" si="13"/>
        <v>401</v>
      </c>
      <c r="O854" s="94" t="str">
        <f t="array" ref="O854">INDIRECT("Update"&amp;Projections!$AH$17&amp;"!B"&amp;ROW(B835))</f>
        <v/>
      </c>
      <c r="P854" s="414" t="str">
        <f t="array" ref="P854">INDIRECT("Update"&amp;Projections!$AH$17&amp;"!C"&amp;ROW(B835))</f>
        <v/>
      </c>
      <c r="Q854" s="94" t="str">
        <f>UpdateHashtag!F884</f>
        <v/>
      </c>
      <c r="R854" s="105" t="str">
        <f t="array" ref="R854">INDIRECT("Update"&amp;Projections!$AH$17&amp;"!D"&amp;ROW(B835))</f>
        <v/>
      </c>
      <c r="S854" s="73">
        <f t="shared" si="14"/>
        <v>-9.965301026</v>
      </c>
      <c r="T854" s="73">
        <f>SUM(AE854:AM854)-IFERROR(IFS(Projections!$I$17,AN854,Projections!$J$17,AO854),"")</f>
        <v>-9.965301026</v>
      </c>
      <c r="U854" s="73">
        <f t="shared" si="15"/>
        <v>0</v>
      </c>
      <c r="V854" s="73" t="str">
        <f t="array" ref="V854">INDIRECT("Update"&amp;Projections!$AH$17&amp;"!M"&amp;ROW(B835))</f>
        <v/>
      </c>
      <c r="W854" s="73" t="str">
        <f t="array" ref="W854">INDIRECT("Update"&amp;Projections!$AH$17&amp;"!L"&amp;ROW(B835))</f>
        <v/>
      </c>
      <c r="X854" s="73" t="str">
        <f t="array" ref="X854">INDIRECT("Update"&amp;Projections!$AH$17&amp;"!N"&amp;ROW(B835))</f>
        <v/>
      </c>
      <c r="Y854" s="73" t="str">
        <f t="array" ref="Y854">INDIRECT("Update"&amp;Projections!$AH$17&amp;"!O"&amp;ROW(B835))</f>
        <v/>
      </c>
      <c r="Z854" s="73" t="str">
        <f t="array" ref="Z854">INDIRECT("Update"&amp;Projections!$AH$17&amp;"!P"&amp;ROW(B835))</f>
        <v/>
      </c>
      <c r="AA854" s="73" t="str">
        <f t="array" ref="AA854">INDIRECT("Update"&amp;Projections!$AH$17&amp;"!Q"&amp;ROW(B835))</f>
        <v/>
      </c>
      <c r="AB854" s="107" t="str">
        <f t="array" ref="AB854">INDIRECT("Update"&amp;Projections!$AH$17&amp;"!I"&amp;ROW(B835))</f>
        <v/>
      </c>
      <c r="AC854" s="107" t="str">
        <f t="array" ref="AC854">INDIRECT("Update"&amp;Projections!$AH$17&amp;"!K"&amp;ROW(B835))</f>
        <v/>
      </c>
      <c r="AD854" s="73" t="str">
        <f t="array" ref="AD854">INDIRECT("Update"&amp;Projections!$AH$17&amp;"!R"&amp;ROW(B835))</f>
        <v/>
      </c>
      <c r="AE854" s="73">
        <f t="shared" si="16"/>
        <v>-3.155358621</v>
      </c>
      <c r="AF854" s="73">
        <f t="shared" si="17"/>
        <v>-1.740686581</v>
      </c>
      <c r="AG854" s="73">
        <f t="shared" si="18"/>
        <v>-2.380599106</v>
      </c>
      <c r="AH854" s="73">
        <f t="shared" si="19"/>
        <v>-1.79320266</v>
      </c>
      <c r="AI854" s="73">
        <f t="shared" si="20"/>
        <v>-3.240190514</v>
      </c>
      <c r="AJ854" s="73">
        <f t="shared" si="21"/>
        <v>-1.329092151</v>
      </c>
      <c r="AK854" s="73">
        <f t="shared" si="22"/>
        <v>0</v>
      </c>
      <c r="AL854" s="73">
        <f t="shared" si="23"/>
        <v>0</v>
      </c>
      <c r="AM854" s="73">
        <f t="shared" si="24"/>
        <v>0.433638093</v>
      </c>
      <c r="AN854" s="120">
        <f t="shared" si="25"/>
        <v>-3.240190514</v>
      </c>
      <c r="AO854" s="120">
        <f t="shared" si="26"/>
        <v>-6.395549135</v>
      </c>
      <c r="AP854" s="120" t="str">
        <f t="array" ref="AP854">INDIRECT("Update"&amp;Projections!$AH$17&amp;"!S"&amp;ROW(B835))</f>
        <v/>
      </c>
      <c r="AQ854" s="120" t="str">
        <f t="array" ref="AQ854">INDIRECT("Update"&amp;Projections!$AH$17&amp;"!T"&amp;ROW(B835))</f>
        <v/>
      </c>
      <c r="AR854" s="100">
        <f t="shared" si="27"/>
        <v>-9.965301026</v>
      </c>
    </row>
    <row r="855">
      <c r="A855" t="str">
        <f t="shared" si="3"/>
        <v/>
      </c>
      <c r="B855" s="42">
        <f t="shared" si="4"/>
        <v>-3.155358621</v>
      </c>
      <c r="C855" s="43">
        <f t="shared" si="5"/>
        <v>-1.740686581</v>
      </c>
      <c r="D855" s="42">
        <f t="shared" si="6"/>
        <v>-2.380599106</v>
      </c>
      <c r="E855" s="42">
        <f t="shared" si="7"/>
        <v>-1.79320266</v>
      </c>
      <c r="F855" s="42">
        <f t="shared" si="8"/>
        <v>-3.240190514</v>
      </c>
      <c r="G855" s="42">
        <f t="shared" si="9"/>
        <v>-1.329092151</v>
      </c>
      <c r="H855" s="42">
        <f t="shared" si="10"/>
        <v>0</v>
      </c>
      <c r="I855" s="42" t="str">
        <f>UpdateHashtag!S853</f>
        <v/>
      </c>
      <c r="J855" s="47">
        <f t="shared" si="11"/>
        <v>0</v>
      </c>
      <c r="K855" s="48" t="str">
        <f>UpdateHashtag!T853</f>
        <v/>
      </c>
      <c r="L855" s="42">
        <f t="shared" si="12"/>
        <v>-1.734552372</v>
      </c>
      <c r="N855" s="100">
        <f t="shared" si="13"/>
        <v>401</v>
      </c>
      <c r="O855" s="94" t="str">
        <f t="array" ref="O855">INDIRECT("Update"&amp;Projections!$AH$17&amp;"!B"&amp;ROW(B836))</f>
        <v/>
      </c>
      <c r="P855" s="414" t="str">
        <f t="array" ref="P855">INDIRECT("Update"&amp;Projections!$AH$17&amp;"!C"&amp;ROW(B836))</f>
        <v/>
      </c>
      <c r="Q855" s="94" t="str">
        <f>UpdateHashtag!F885</f>
        <v/>
      </c>
      <c r="R855" s="105" t="str">
        <f t="array" ref="R855">INDIRECT("Update"&amp;Projections!$AH$17&amp;"!D"&amp;ROW(B836))</f>
        <v/>
      </c>
      <c r="S855" s="73">
        <f t="shared" si="14"/>
        <v>-9.965301026</v>
      </c>
      <c r="T855" s="73">
        <f>SUM(AE855:AM855)-IFERROR(IFS(Projections!$I$17,AN855,Projections!$J$17,AO855),"")</f>
        <v>-9.965301026</v>
      </c>
      <c r="U855" s="73">
        <f t="shared" si="15"/>
        <v>0</v>
      </c>
      <c r="V855" s="73" t="str">
        <f t="array" ref="V855">INDIRECT("Update"&amp;Projections!$AH$17&amp;"!M"&amp;ROW(B836))</f>
        <v/>
      </c>
      <c r="W855" s="73" t="str">
        <f t="array" ref="W855">INDIRECT("Update"&amp;Projections!$AH$17&amp;"!L"&amp;ROW(B836))</f>
        <v/>
      </c>
      <c r="X855" s="73" t="str">
        <f t="array" ref="X855">INDIRECT("Update"&amp;Projections!$AH$17&amp;"!N"&amp;ROW(B836))</f>
        <v/>
      </c>
      <c r="Y855" s="73" t="str">
        <f t="array" ref="Y855">INDIRECT("Update"&amp;Projections!$AH$17&amp;"!O"&amp;ROW(B836))</f>
        <v/>
      </c>
      <c r="Z855" s="73" t="str">
        <f t="array" ref="Z855">INDIRECT("Update"&amp;Projections!$AH$17&amp;"!P"&amp;ROW(B836))</f>
        <v/>
      </c>
      <c r="AA855" s="73" t="str">
        <f t="array" ref="AA855">INDIRECT("Update"&amp;Projections!$AH$17&amp;"!Q"&amp;ROW(B836))</f>
        <v/>
      </c>
      <c r="AB855" s="107" t="str">
        <f t="array" ref="AB855">INDIRECT("Update"&amp;Projections!$AH$17&amp;"!I"&amp;ROW(B836))</f>
        <v/>
      </c>
      <c r="AC855" s="107" t="str">
        <f t="array" ref="AC855">INDIRECT("Update"&amp;Projections!$AH$17&amp;"!K"&amp;ROW(B836))</f>
        <v/>
      </c>
      <c r="AD855" s="73" t="str">
        <f t="array" ref="AD855">INDIRECT("Update"&amp;Projections!$AH$17&amp;"!R"&amp;ROW(B836))</f>
        <v/>
      </c>
      <c r="AE855" s="73">
        <f t="shared" si="16"/>
        <v>-3.155358621</v>
      </c>
      <c r="AF855" s="73">
        <f t="shared" si="17"/>
        <v>-1.740686581</v>
      </c>
      <c r="AG855" s="73">
        <f t="shared" si="18"/>
        <v>-2.380599106</v>
      </c>
      <c r="AH855" s="73">
        <f t="shared" si="19"/>
        <v>-1.79320266</v>
      </c>
      <c r="AI855" s="73">
        <f t="shared" si="20"/>
        <v>-3.240190514</v>
      </c>
      <c r="AJ855" s="73">
        <f t="shared" si="21"/>
        <v>-1.329092151</v>
      </c>
      <c r="AK855" s="73">
        <f t="shared" si="22"/>
        <v>0</v>
      </c>
      <c r="AL855" s="73">
        <f t="shared" si="23"/>
        <v>0</v>
      </c>
      <c r="AM855" s="73">
        <f t="shared" si="24"/>
        <v>0.433638093</v>
      </c>
      <c r="AN855" s="120">
        <f t="shared" si="25"/>
        <v>-3.240190514</v>
      </c>
      <c r="AO855" s="120">
        <f t="shared" si="26"/>
        <v>-6.395549135</v>
      </c>
      <c r="AP855" s="120" t="str">
        <f t="array" ref="AP855">INDIRECT("Update"&amp;Projections!$AH$17&amp;"!S"&amp;ROW(B836))</f>
        <v/>
      </c>
      <c r="AQ855" s="120" t="str">
        <f t="array" ref="AQ855">INDIRECT("Update"&amp;Projections!$AH$17&amp;"!T"&amp;ROW(B836))</f>
        <v/>
      </c>
      <c r="AR855" s="100">
        <f t="shared" si="27"/>
        <v>-9.965301026</v>
      </c>
    </row>
    <row r="856">
      <c r="A856" t="str">
        <f t="shared" si="3"/>
        <v/>
      </c>
      <c r="B856" s="42">
        <f t="shared" si="4"/>
        <v>-3.155358621</v>
      </c>
      <c r="C856" s="43">
        <f t="shared" si="5"/>
        <v>-1.740686581</v>
      </c>
      <c r="D856" s="42">
        <f t="shared" si="6"/>
        <v>-2.380599106</v>
      </c>
      <c r="E856" s="42">
        <f t="shared" si="7"/>
        <v>-1.79320266</v>
      </c>
      <c r="F856" s="42">
        <f t="shared" si="8"/>
        <v>-3.240190514</v>
      </c>
      <c r="G856" s="42">
        <f t="shared" si="9"/>
        <v>-1.329092151</v>
      </c>
      <c r="H856" s="42">
        <f t="shared" si="10"/>
        <v>0</v>
      </c>
      <c r="I856" s="42" t="str">
        <f>UpdateHashtag!S854</f>
        <v/>
      </c>
      <c r="J856" s="47">
        <f t="shared" si="11"/>
        <v>0</v>
      </c>
      <c r="K856" s="48" t="str">
        <f>UpdateHashtag!T854</f>
        <v/>
      </c>
      <c r="L856" s="42">
        <f t="shared" si="12"/>
        <v>-1.734552372</v>
      </c>
      <c r="N856" s="100">
        <f t="shared" si="13"/>
        <v>401</v>
      </c>
      <c r="O856" s="94" t="str">
        <f t="array" ref="O856">INDIRECT("Update"&amp;Projections!$AH$17&amp;"!B"&amp;ROW(B837))</f>
        <v/>
      </c>
      <c r="P856" s="414" t="str">
        <f t="array" ref="P856">INDIRECT("Update"&amp;Projections!$AH$17&amp;"!C"&amp;ROW(B837))</f>
        <v/>
      </c>
      <c r="Q856" s="94" t="str">
        <f>UpdateHashtag!F886</f>
        <v/>
      </c>
      <c r="R856" s="105" t="str">
        <f t="array" ref="R856">INDIRECT("Update"&amp;Projections!$AH$17&amp;"!D"&amp;ROW(B837))</f>
        <v/>
      </c>
      <c r="S856" s="73">
        <f t="shared" si="14"/>
        <v>-9.965301026</v>
      </c>
      <c r="T856" s="73">
        <f>SUM(AE856:AM856)-IFERROR(IFS(Projections!$I$17,AN856,Projections!$J$17,AO856),"")</f>
        <v>-9.965301026</v>
      </c>
      <c r="U856" s="73">
        <f t="shared" si="15"/>
        <v>0</v>
      </c>
      <c r="V856" s="73" t="str">
        <f t="array" ref="V856">INDIRECT("Update"&amp;Projections!$AH$17&amp;"!M"&amp;ROW(B837))</f>
        <v/>
      </c>
      <c r="W856" s="73" t="str">
        <f t="array" ref="W856">INDIRECT("Update"&amp;Projections!$AH$17&amp;"!L"&amp;ROW(B837))</f>
        <v/>
      </c>
      <c r="X856" s="73" t="str">
        <f t="array" ref="X856">INDIRECT("Update"&amp;Projections!$AH$17&amp;"!N"&amp;ROW(B837))</f>
        <v/>
      </c>
      <c r="Y856" s="73" t="str">
        <f t="array" ref="Y856">INDIRECT("Update"&amp;Projections!$AH$17&amp;"!O"&amp;ROW(B837))</f>
        <v/>
      </c>
      <c r="Z856" s="73" t="str">
        <f t="array" ref="Z856">INDIRECT("Update"&amp;Projections!$AH$17&amp;"!P"&amp;ROW(B837))</f>
        <v/>
      </c>
      <c r="AA856" s="73" t="str">
        <f t="array" ref="AA856">INDIRECT("Update"&amp;Projections!$AH$17&amp;"!Q"&amp;ROW(B837))</f>
        <v/>
      </c>
      <c r="AB856" s="107" t="str">
        <f t="array" ref="AB856">INDIRECT("Update"&amp;Projections!$AH$17&amp;"!I"&amp;ROW(B837))</f>
        <v/>
      </c>
      <c r="AC856" s="107" t="str">
        <f t="array" ref="AC856">INDIRECT("Update"&amp;Projections!$AH$17&amp;"!K"&amp;ROW(B837))</f>
        <v/>
      </c>
      <c r="AD856" s="73" t="str">
        <f t="array" ref="AD856">INDIRECT("Update"&amp;Projections!$AH$17&amp;"!R"&amp;ROW(B837))</f>
        <v/>
      </c>
      <c r="AE856" s="73">
        <f t="shared" si="16"/>
        <v>-3.155358621</v>
      </c>
      <c r="AF856" s="73">
        <f t="shared" si="17"/>
        <v>-1.740686581</v>
      </c>
      <c r="AG856" s="73">
        <f t="shared" si="18"/>
        <v>-2.380599106</v>
      </c>
      <c r="AH856" s="73">
        <f t="shared" si="19"/>
        <v>-1.79320266</v>
      </c>
      <c r="AI856" s="73">
        <f t="shared" si="20"/>
        <v>-3.240190514</v>
      </c>
      <c r="AJ856" s="73">
        <f t="shared" si="21"/>
        <v>-1.329092151</v>
      </c>
      <c r="AK856" s="73">
        <f t="shared" si="22"/>
        <v>0</v>
      </c>
      <c r="AL856" s="73">
        <f t="shared" si="23"/>
        <v>0</v>
      </c>
      <c r="AM856" s="73">
        <f t="shared" si="24"/>
        <v>0.433638093</v>
      </c>
      <c r="AN856" s="120">
        <f t="shared" si="25"/>
        <v>-3.240190514</v>
      </c>
      <c r="AO856" s="120">
        <f t="shared" si="26"/>
        <v>-6.395549135</v>
      </c>
      <c r="AP856" s="120" t="str">
        <f t="array" ref="AP856">INDIRECT("Update"&amp;Projections!$AH$17&amp;"!S"&amp;ROW(B837))</f>
        <v/>
      </c>
      <c r="AQ856" s="120" t="str">
        <f t="array" ref="AQ856">INDIRECT("Update"&amp;Projections!$AH$17&amp;"!T"&amp;ROW(B837))</f>
        <v/>
      </c>
      <c r="AR856" s="100">
        <f t="shared" si="27"/>
        <v>-9.965301026</v>
      </c>
    </row>
    <row r="857">
      <c r="A857" t="str">
        <f t="shared" si="3"/>
        <v/>
      </c>
      <c r="B857" s="42">
        <f t="shared" si="4"/>
        <v>-3.155358621</v>
      </c>
      <c r="C857" s="43">
        <f t="shared" si="5"/>
        <v>-1.740686581</v>
      </c>
      <c r="D857" s="42">
        <f t="shared" si="6"/>
        <v>-2.380599106</v>
      </c>
      <c r="E857" s="42">
        <f t="shared" si="7"/>
        <v>-1.79320266</v>
      </c>
      <c r="F857" s="42">
        <f t="shared" si="8"/>
        <v>-3.240190514</v>
      </c>
      <c r="G857" s="42">
        <f t="shared" si="9"/>
        <v>-1.329092151</v>
      </c>
      <c r="H857" s="42">
        <f t="shared" si="10"/>
        <v>0</v>
      </c>
      <c r="I857" s="42" t="str">
        <f>UpdateHashtag!S855</f>
        <v/>
      </c>
      <c r="J857" s="47">
        <f t="shared" si="11"/>
        <v>0</v>
      </c>
      <c r="K857" s="48" t="str">
        <f>UpdateHashtag!T855</f>
        <v/>
      </c>
      <c r="L857" s="42">
        <f t="shared" si="12"/>
        <v>-1.734552372</v>
      </c>
      <c r="N857" s="100">
        <f t="shared" si="13"/>
        <v>401</v>
      </c>
      <c r="O857" s="94" t="str">
        <f t="array" ref="O857">INDIRECT("Update"&amp;Projections!$AH$17&amp;"!B"&amp;ROW(B838))</f>
        <v/>
      </c>
      <c r="P857" s="414" t="str">
        <f t="array" ref="P857">INDIRECT("Update"&amp;Projections!$AH$17&amp;"!C"&amp;ROW(B838))</f>
        <v/>
      </c>
      <c r="Q857" s="94" t="str">
        <f>UpdateHashtag!F887</f>
        <v/>
      </c>
      <c r="R857" s="105" t="str">
        <f t="array" ref="R857">INDIRECT("Update"&amp;Projections!$AH$17&amp;"!D"&amp;ROW(B838))</f>
        <v/>
      </c>
      <c r="S857" s="73">
        <f t="shared" si="14"/>
        <v>-9.965301026</v>
      </c>
      <c r="T857" s="73">
        <f>SUM(AE857:AM857)-IFERROR(IFS(Projections!$I$17,AN857,Projections!$J$17,AO857),"")</f>
        <v>-9.965301026</v>
      </c>
      <c r="U857" s="73">
        <f t="shared" si="15"/>
        <v>0</v>
      </c>
      <c r="V857" s="73" t="str">
        <f t="array" ref="V857">INDIRECT("Update"&amp;Projections!$AH$17&amp;"!M"&amp;ROW(B838))</f>
        <v/>
      </c>
      <c r="W857" s="73" t="str">
        <f t="array" ref="W857">INDIRECT("Update"&amp;Projections!$AH$17&amp;"!L"&amp;ROW(B838))</f>
        <v/>
      </c>
      <c r="X857" s="73" t="str">
        <f t="array" ref="X857">INDIRECT("Update"&amp;Projections!$AH$17&amp;"!N"&amp;ROW(B838))</f>
        <v/>
      </c>
      <c r="Y857" s="73" t="str">
        <f t="array" ref="Y857">INDIRECT("Update"&amp;Projections!$AH$17&amp;"!O"&amp;ROW(B838))</f>
        <v/>
      </c>
      <c r="Z857" s="73" t="str">
        <f t="array" ref="Z857">INDIRECT("Update"&amp;Projections!$AH$17&amp;"!P"&amp;ROW(B838))</f>
        <v/>
      </c>
      <c r="AA857" s="73" t="str">
        <f t="array" ref="AA857">INDIRECT("Update"&amp;Projections!$AH$17&amp;"!Q"&amp;ROW(B838))</f>
        <v/>
      </c>
      <c r="AB857" s="107" t="str">
        <f t="array" ref="AB857">INDIRECT("Update"&amp;Projections!$AH$17&amp;"!I"&amp;ROW(B838))</f>
        <v/>
      </c>
      <c r="AC857" s="107" t="str">
        <f t="array" ref="AC857">INDIRECT("Update"&amp;Projections!$AH$17&amp;"!K"&amp;ROW(B838))</f>
        <v/>
      </c>
      <c r="AD857" s="73" t="str">
        <f t="array" ref="AD857">INDIRECT("Update"&amp;Projections!$AH$17&amp;"!R"&amp;ROW(B838))</f>
        <v/>
      </c>
      <c r="AE857" s="73">
        <f t="shared" si="16"/>
        <v>-3.155358621</v>
      </c>
      <c r="AF857" s="73">
        <f t="shared" si="17"/>
        <v>-1.740686581</v>
      </c>
      <c r="AG857" s="73">
        <f t="shared" si="18"/>
        <v>-2.380599106</v>
      </c>
      <c r="AH857" s="73">
        <f t="shared" si="19"/>
        <v>-1.79320266</v>
      </c>
      <c r="AI857" s="73">
        <f t="shared" si="20"/>
        <v>-3.240190514</v>
      </c>
      <c r="AJ857" s="73">
        <f t="shared" si="21"/>
        <v>-1.329092151</v>
      </c>
      <c r="AK857" s="73">
        <f t="shared" si="22"/>
        <v>0</v>
      </c>
      <c r="AL857" s="73">
        <f t="shared" si="23"/>
        <v>0</v>
      </c>
      <c r="AM857" s="73">
        <f t="shared" si="24"/>
        <v>0.433638093</v>
      </c>
      <c r="AN857" s="120">
        <f t="shared" si="25"/>
        <v>-3.240190514</v>
      </c>
      <c r="AO857" s="120">
        <f t="shared" si="26"/>
        <v>-6.395549135</v>
      </c>
      <c r="AP857" s="120" t="str">
        <f t="array" ref="AP857">INDIRECT("Update"&amp;Projections!$AH$17&amp;"!S"&amp;ROW(B838))</f>
        <v/>
      </c>
      <c r="AQ857" s="120" t="str">
        <f t="array" ref="AQ857">INDIRECT("Update"&amp;Projections!$AH$17&amp;"!T"&amp;ROW(B838))</f>
        <v/>
      </c>
      <c r="AR857" s="100">
        <f t="shared" si="27"/>
        <v>-9.965301026</v>
      </c>
    </row>
    <row r="858">
      <c r="A858" t="str">
        <f t="shared" si="3"/>
        <v/>
      </c>
      <c r="B858" s="42">
        <f t="shared" si="4"/>
        <v>-3.155358621</v>
      </c>
      <c r="C858" s="43">
        <f t="shared" si="5"/>
        <v>-1.740686581</v>
      </c>
      <c r="D858" s="42">
        <f t="shared" si="6"/>
        <v>-2.380599106</v>
      </c>
      <c r="E858" s="42">
        <f t="shared" si="7"/>
        <v>-1.79320266</v>
      </c>
      <c r="F858" s="42">
        <f t="shared" si="8"/>
        <v>-3.240190514</v>
      </c>
      <c r="G858" s="42">
        <f t="shared" si="9"/>
        <v>-1.329092151</v>
      </c>
      <c r="H858" s="42">
        <f t="shared" si="10"/>
        <v>0</v>
      </c>
      <c r="I858" s="42" t="str">
        <f>UpdateHashtag!S856</f>
        <v/>
      </c>
      <c r="J858" s="47">
        <f t="shared" si="11"/>
        <v>0</v>
      </c>
      <c r="K858" s="48" t="str">
        <f>UpdateHashtag!T856</f>
        <v/>
      </c>
      <c r="L858" s="42">
        <f t="shared" si="12"/>
        <v>-1.734552372</v>
      </c>
      <c r="N858" s="100">
        <f t="shared" si="13"/>
        <v>401</v>
      </c>
      <c r="O858" s="94" t="str">
        <f t="array" ref="O858">INDIRECT("Update"&amp;Projections!$AH$17&amp;"!B"&amp;ROW(B839))</f>
        <v/>
      </c>
      <c r="P858" s="414" t="str">
        <f t="array" ref="P858">INDIRECT("Update"&amp;Projections!$AH$17&amp;"!C"&amp;ROW(B839))</f>
        <v/>
      </c>
      <c r="Q858" s="94" t="str">
        <f>UpdateHashtag!F888</f>
        <v/>
      </c>
      <c r="R858" s="105" t="str">
        <f t="array" ref="R858">INDIRECT("Update"&amp;Projections!$AH$17&amp;"!D"&amp;ROW(B839))</f>
        <v/>
      </c>
      <c r="S858" s="73">
        <f t="shared" si="14"/>
        <v>-9.965301026</v>
      </c>
      <c r="T858" s="73">
        <f>SUM(AE858:AM858)-IFERROR(IFS(Projections!$I$17,AN858,Projections!$J$17,AO858),"")</f>
        <v>-9.965301026</v>
      </c>
      <c r="U858" s="73">
        <f t="shared" si="15"/>
        <v>0</v>
      </c>
      <c r="V858" s="73" t="str">
        <f t="array" ref="V858">INDIRECT("Update"&amp;Projections!$AH$17&amp;"!M"&amp;ROW(B839))</f>
        <v/>
      </c>
      <c r="W858" s="73" t="str">
        <f t="array" ref="W858">INDIRECT("Update"&amp;Projections!$AH$17&amp;"!L"&amp;ROW(B839))</f>
        <v/>
      </c>
      <c r="X858" s="73" t="str">
        <f t="array" ref="X858">INDIRECT("Update"&amp;Projections!$AH$17&amp;"!N"&amp;ROW(B839))</f>
        <v/>
      </c>
      <c r="Y858" s="73" t="str">
        <f t="array" ref="Y858">INDIRECT("Update"&amp;Projections!$AH$17&amp;"!O"&amp;ROW(B839))</f>
        <v/>
      </c>
      <c r="Z858" s="73" t="str">
        <f t="array" ref="Z858">INDIRECT("Update"&amp;Projections!$AH$17&amp;"!P"&amp;ROW(B839))</f>
        <v/>
      </c>
      <c r="AA858" s="73" t="str">
        <f t="array" ref="AA858">INDIRECT("Update"&amp;Projections!$AH$17&amp;"!Q"&amp;ROW(B839))</f>
        <v/>
      </c>
      <c r="AB858" s="107" t="str">
        <f t="array" ref="AB858">INDIRECT("Update"&amp;Projections!$AH$17&amp;"!I"&amp;ROW(B839))</f>
        <v/>
      </c>
      <c r="AC858" s="107" t="str">
        <f t="array" ref="AC858">INDIRECT("Update"&amp;Projections!$AH$17&amp;"!K"&amp;ROW(B839))</f>
        <v/>
      </c>
      <c r="AD858" s="73" t="str">
        <f t="array" ref="AD858">INDIRECT("Update"&amp;Projections!$AH$17&amp;"!R"&amp;ROW(B839))</f>
        <v/>
      </c>
      <c r="AE858" s="73">
        <f t="shared" si="16"/>
        <v>-3.155358621</v>
      </c>
      <c r="AF858" s="73">
        <f t="shared" si="17"/>
        <v>-1.740686581</v>
      </c>
      <c r="AG858" s="73">
        <f t="shared" si="18"/>
        <v>-2.380599106</v>
      </c>
      <c r="AH858" s="73">
        <f t="shared" si="19"/>
        <v>-1.79320266</v>
      </c>
      <c r="AI858" s="73">
        <f t="shared" si="20"/>
        <v>-3.240190514</v>
      </c>
      <c r="AJ858" s="73">
        <f t="shared" si="21"/>
        <v>-1.329092151</v>
      </c>
      <c r="AK858" s="73">
        <f t="shared" si="22"/>
        <v>0</v>
      </c>
      <c r="AL858" s="73">
        <f t="shared" si="23"/>
        <v>0</v>
      </c>
      <c r="AM858" s="73">
        <f t="shared" si="24"/>
        <v>0.433638093</v>
      </c>
      <c r="AN858" s="120">
        <f t="shared" si="25"/>
        <v>-3.240190514</v>
      </c>
      <c r="AO858" s="120">
        <f t="shared" si="26"/>
        <v>-6.395549135</v>
      </c>
      <c r="AP858" s="120" t="str">
        <f t="array" ref="AP858">INDIRECT("Update"&amp;Projections!$AH$17&amp;"!S"&amp;ROW(B839))</f>
        <v/>
      </c>
      <c r="AQ858" s="120" t="str">
        <f t="array" ref="AQ858">INDIRECT("Update"&amp;Projections!$AH$17&amp;"!T"&amp;ROW(B839))</f>
        <v/>
      </c>
      <c r="AR858" s="100">
        <f t="shared" si="27"/>
        <v>-9.965301026</v>
      </c>
    </row>
    <row r="859">
      <c r="A859" t="str">
        <f t="shared" si="3"/>
        <v/>
      </c>
      <c r="B859" s="42">
        <f t="shared" si="4"/>
        <v>-3.155358621</v>
      </c>
      <c r="C859" s="43">
        <f t="shared" si="5"/>
        <v>-1.740686581</v>
      </c>
      <c r="D859" s="42">
        <f t="shared" si="6"/>
        <v>-2.380599106</v>
      </c>
      <c r="E859" s="42">
        <f t="shared" si="7"/>
        <v>-1.79320266</v>
      </c>
      <c r="F859" s="42">
        <f t="shared" si="8"/>
        <v>-3.240190514</v>
      </c>
      <c r="G859" s="42">
        <f t="shared" si="9"/>
        <v>-1.329092151</v>
      </c>
      <c r="H859" s="42">
        <f t="shared" si="10"/>
        <v>0</v>
      </c>
      <c r="I859" s="42" t="str">
        <f>UpdateHashtag!S857</f>
        <v/>
      </c>
      <c r="J859" s="47">
        <f t="shared" si="11"/>
        <v>0</v>
      </c>
      <c r="K859" s="48" t="str">
        <f>UpdateHashtag!T857</f>
        <v/>
      </c>
      <c r="L859" s="42">
        <f t="shared" si="12"/>
        <v>-1.734552372</v>
      </c>
      <c r="N859" s="100">
        <f t="shared" si="13"/>
        <v>401</v>
      </c>
      <c r="O859" s="94" t="str">
        <f t="array" ref="O859">INDIRECT("Update"&amp;Projections!$AH$17&amp;"!B"&amp;ROW(B840))</f>
        <v/>
      </c>
      <c r="P859" s="414" t="str">
        <f t="array" ref="P859">INDIRECT("Update"&amp;Projections!$AH$17&amp;"!C"&amp;ROW(B840))</f>
        <v/>
      </c>
      <c r="Q859" s="94" t="str">
        <f>UpdateHashtag!F889</f>
        <v/>
      </c>
      <c r="R859" s="105" t="str">
        <f t="array" ref="R859">INDIRECT("Update"&amp;Projections!$AH$17&amp;"!D"&amp;ROW(B840))</f>
        <v/>
      </c>
      <c r="S859" s="73">
        <f t="shared" si="14"/>
        <v>-9.965301026</v>
      </c>
      <c r="T859" s="73">
        <f>SUM(AE859:AM859)-IFERROR(IFS(Projections!$I$17,AN859,Projections!$J$17,AO859),"")</f>
        <v>-9.965301026</v>
      </c>
      <c r="U859" s="73">
        <f t="shared" si="15"/>
        <v>0</v>
      </c>
      <c r="V859" s="73" t="str">
        <f t="array" ref="V859">INDIRECT("Update"&amp;Projections!$AH$17&amp;"!M"&amp;ROW(B840))</f>
        <v/>
      </c>
      <c r="W859" s="73" t="str">
        <f t="array" ref="W859">INDIRECT("Update"&amp;Projections!$AH$17&amp;"!L"&amp;ROW(B840))</f>
        <v/>
      </c>
      <c r="X859" s="73" t="str">
        <f t="array" ref="X859">INDIRECT("Update"&amp;Projections!$AH$17&amp;"!N"&amp;ROW(B840))</f>
        <v/>
      </c>
      <c r="Y859" s="73" t="str">
        <f t="array" ref="Y859">INDIRECT("Update"&amp;Projections!$AH$17&amp;"!O"&amp;ROW(B840))</f>
        <v/>
      </c>
      <c r="Z859" s="73" t="str">
        <f t="array" ref="Z859">INDIRECT("Update"&amp;Projections!$AH$17&amp;"!P"&amp;ROW(B840))</f>
        <v/>
      </c>
      <c r="AA859" s="73" t="str">
        <f t="array" ref="AA859">INDIRECT("Update"&amp;Projections!$AH$17&amp;"!Q"&amp;ROW(B840))</f>
        <v/>
      </c>
      <c r="AB859" s="107" t="str">
        <f t="array" ref="AB859">INDIRECT("Update"&amp;Projections!$AH$17&amp;"!I"&amp;ROW(B840))</f>
        <v/>
      </c>
      <c r="AC859" s="107" t="str">
        <f t="array" ref="AC859">INDIRECT("Update"&amp;Projections!$AH$17&amp;"!K"&amp;ROW(B840))</f>
        <v/>
      </c>
      <c r="AD859" s="73" t="str">
        <f t="array" ref="AD859">INDIRECT("Update"&amp;Projections!$AH$17&amp;"!R"&amp;ROW(B840))</f>
        <v/>
      </c>
      <c r="AE859" s="73">
        <f t="shared" si="16"/>
        <v>-3.155358621</v>
      </c>
      <c r="AF859" s="73">
        <f t="shared" si="17"/>
        <v>-1.740686581</v>
      </c>
      <c r="AG859" s="73">
        <f t="shared" si="18"/>
        <v>-2.380599106</v>
      </c>
      <c r="AH859" s="73">
        <f t="shared" si="19"/>
        <v>-1.79320266</v>
      </c>
      <c r="AI859" s="73">
        <f t="shared" si="20"/>
        <v>-3.240190514</v>
      </c>
      <c r="AJ859" s="73">
        <f t="shared" si="21"/>
        <v>-1.329092151</v>
      </c>
      <c r="AK859" s="73">
        <f t="shared" si="22"/>
        <v>0</v>
      </c>
      <c r="AL859" s="73">
        <f t="shared" si="23"/>
        <v>0</v>
      </c>
      <c r="AM859" s="73">
        <f t="shared" si="24"/>
        <v>0.433638093</v>
      </c>
      <c r="AN859" s="120">
        <f t="shared" si="25"/>
        <v>-3.240190514</v>
      </c>
      <c r="AO859" s="120">
        <f t="shared" si="26"/>
        <v>-6.395549135</v>
      </c>
      <c r="AP859" s="120" t="str">
        <f t="array" ref="AP859">INDIRECT("Update"&amp;Projections!$AH$17&amp;"!S"&amp;ROW(B840))</f>
        <v/>
      </c>
      <c r="AQ859" s="120" t="str">
        <f t="array" ref="AQ859">INDIRECT("Update"&amp;Projections!$AH$17&amp;"!T"&amp;ROW(B840))</f>
        <v/>
      </c>
      <c r="AR859" s="100">
        <f t="shared" si="27"/>
        <v>-9.965301026</v>
      </c>
    </row>
    <row r="860">
      <c r="A860" t="str">
        <f t="shared" si="3"/>
        <v/>
      </c>
      <c r="B860" s="42">
        <f t="shared" si="4"/>
        <v>-3.155358621</v>
      </c>
      <c r="C860" s="43">
        <f t="shared" si="5"/>
        <v>-1.740686581</v>
      </c>
      <c r="D860" s="42">
        <f t="shared" si="6"/>
        <v>-2.380599106</v>
      </c>
      <c r="E860" s="42">
        <f t="shared" si="7"/>
        <v>-1.79320266</v>
      </c>
      <c r="F860" s="42">
        <f t="shared" si="8"/>
        <v>-3.240190514</v>
      </c>
      <c r="G860" s="42">
        <f t="shared" si="9"/>
        <v>-1.329092151</v>
      </c>
      <c r="H860" s="42">
        <f t="shared" si="10"/>
        <v>0</v>
      </c>
      <c r="I860" s="42" t="str">
        <f>UpdateHashtag!S858</f>
        <v/>
      </c>
      <c r="J860" s="47">
        <f t="shared" si="11"/>
        <v>0</v>
      </c>
      <c r="K860" s="48" t="str">
        <f>UpdateHashtag!T858</f>
        <v/>
      </c>
      <c r="L860" s="42">
        <f t="shared" si="12"/>
        <v>-1.734552372</v>
      </c>
      <c r="N860" s="100">
        <f t="shared" si="13"/>
        <v>401</v>
      </c>
      <c r="O860" s="94" t="str">
        <f t="array" ref="O860">INDIRECT("Update"&amp;Projections!$AH$17&amp;"!B"&amp;ROW(B841))</f>
        <v/>
      </c>
      <c r="P860" s="414" t="str">
        <f t="array" ref="P860">INDIRECT("Update"&amp;Projections!$AH$17&amp;"!C"&amp;ROW(B841))</f>
        <v/>
      </c>
      <c r="Q860" s="94" t="str">
        <f>UpdateHashtag!F890</f>
        <v/>
      </c>
      <c r="R860" s="105" t="str">
        <f t="array" ref="R860">INDIRECT("Update"&amp;Projections!$AH$17&amp;"!D"&amp;ROW(B841))</f>
        <v/>
      </c>
      <c r="S860" s="73">
        <f t="shared" si="14"/>
        <v>-9.965301026</v>
      </c>
      <c r="T860" s="73">
        <f>SUM(AE860:AM860)-IFERROR(IFS(Projections!$I$17,AN860,Projections!$J$17,AO860),"")</f>
        <v>-9.965301026</v>
      </c>
      <c r="U860" s="73">
        <f t="shared" si="15"/>
        <v>0</v>
      </c>
      <c r="V860" s="73" t="str">
        <f t="array" ref="V860">INDIRECT("Update"&amp;Projections!$AH$17&amp;"!M"&amp;ROW(B841))</f>
        <v/>
      </c>
      <c r="W860" s="73" t="str">
        <f t="array" ref="W860">INDIRECT("Update"&amp;Projections!$AH$17&amp;"!L"&amp;ROW(B841))</f>
        <v/>
      </c>
      <c r="X860" s="73" t="str">
        <f t="array" ref="X860">INDIRECT("Update"&amp;Projections!$AH$17&amp;"!N"&amp;ROW(B841))</f>
        <v/>
      </c>
      <c r="Y860" s="73" t="str">
        <f t="array" ref="Y860">INDIRECT("Update"&amp;Projections!$AH$17&amp;"!O"&amp;ROW(B841))</f>
        <v/>
      </c>
      <c r="Z860" s="73" t="str">
        <f t="array" ref="Z860">INDIRECT("Update"&amp;Projections!$AH$17&amp;"!P"&amp;ROW(B841))</f>
        <v/>
      </c>
      <c r="AA860" s="73" t="str">
        <f t="array" ref="AA860">INDIRECT("Update"&amp;Projections!$AH$17&amp;"!Q"&amp;ROW(B841))</f>
        <v/>
      </c>
      <c r="AB860" s="107" t="str">
        <f t="array" ref="AB860">INDIRECT("Update"&amp;Projections!$AH$17&amp;"!I"&amp;ROW(B841))</f>
        <v/>
      </c>
      <c r="AC860" s="107" t="str">
        <f t="array" ref="AC860">INDIRECT("Update"&amp;Projections!$AH$17&amp;"!K"&amp;ROW(B841))</f>
        <v/>
      </c>
      <c r="AD860" s="73" t="str">
        <f t="array" ref="AD860">INDIRECT("Update"&amp;Projections!$AH$17&amp;"!R"&amp;ROW(B841))</f>
        <v/>
      </c>
      <c r="AE860" s="73">
        <f t="shared" si="16"/>
        <v>-3.155358621</v>
      </c>
      <c r="AF860" s="73">
        <f t="shared" si="17"/>
        <v>-1.740686581</v>
      </c>
      <c r="AG860" s="73">
        <f t="shared" si="18"/>
        <v>-2.380599106</v>
      </c>
      <c r="AH860" s="73">
        <f t="shared" si="19"/>
        <v>-1.79320266</v>
      </c>
      <c r="AI860" s="73">
        <f t="shared" si="20"/>
        <v>-3.240190514</v>
      </c>
      <c r="AJ860" s="73">
        <f t="shared" si="21"/>
        <v>-1.329092151</v>
      </c>
      <c r="AK860" s="73">
        <f t="shared" si="22"/>
        <v>0</v>
      </c>
      <c r="AL860" s="73">
        <f t="shared" si="23"/>
        <v>0</v>
      </c>
      <c r="AM860" s="73">
        <f t="shared" si="24"/>
        <v>0.433638093</v>
      </c>
      <c r="AN860" s="120">
        <f t="shared" si="25"/>
        <v>-3.240190514</v>
      </c>
      <c r="AO860" s="120">
        <f t="shared" si="26"/>
        <v>-6.395549135</v>
      </c>
      <c r="AP860" s="120" t="str">
        <f t="array" ref="AP860">INDIRECT("Update"&amp;Projections!$AH$17&amp;"!S"&amp;ROW(B841))</f>
        <v/>
      </c>
      <c r="AQ860" s="120" t="str">
        <f t="array" ref="AQ860">INDIRECT("Update"&amp;Projections!$AH$17&amp;"!T"&amp;ROW(B841))</f>
        <v/>
      </c>
      <c r="AR860" s="100">
        <f t="shared" si="27"/>
        <v>-9.965301026</v>
      </c>
    </row>
    <row r="861">
      <c r="A861" t="str">
        <f t="shared" si="3"/>
        <v/>
      </c>
      <c r="B861" s="42">
        <f t="shared" si="4"/>
        <v>-3.155358621</v>
      </c>
      <c r="C861" s="43">
        <f t="shared" si="5"/>
        <v>-1.740686581</v>
      </c>
      <c r="D861" s="42">
        <f t="shared" si="6"/>
        <v>-2.380599106</v>
      </c>
      <c r="E861" s="42">
        <f t="shared" si="7"/>
        <v>-1.79320266</v>
      </c>
      <c r="F861" s="42">
        <f t="shared" si="8"/>
        <v>-3.240190514</v>
      </c>
      <c r="G861" s="42">
        <f t="shared" si="9"/>
        <v>-1.329092151</v>
      </c>
      <c r="H861" s="42">
        <f t="shared" si="10"/>
        <v>0</v>
      </c>
      <c r="I861" s="42" t="str">
        <f>UpdateHashtag!S859</f>
        <v/>
      </c>
      <c r="J861" s="47">
        <f t="shared" si="11"/>
        <v>0</v>
      </c>
      <c r="K861" s="48" t="str">
        <f>UpdateHashtag!T859</f>
        <v/>
      </c>
      <c r="L861" s="42">
        <f t="shared" si="12"/>
        <v>-1.734552372</v>
      </c>
      <c r="N861" s="100">
        <f t="shared" si="13"/>
        <v>401</v>
      </c>
      <c r="O861" s="94" t="str">
        <f t="array" ref="O861">INDIRECT("Update"&amp;Projections!$AH$17&amp;"!B"&amp;ROW(B842))</f>
        <v/>
      </c>
      <c r="P861" s="414" t="str">
        <f t="array" ref="P861">INDIRECT("Update"&amp;Projections!$AH$17&amp;"!C"&amp;ROW(B842))</f>
        <v/>
      </c>
      <c r="Q861" s="94" t="str">
        <f>UpdateHashtag!F891</f>
        <v/>
      </c>
      <c r="R861" s="105" t="str">
        <f t="array" ref="R861">INDIRECT("Update"&amp;Projections!$AH$17&amp;"!D"&amp;ROW(B842))</f>
        <v/>
      </c>
      <c r="S861" s="73">
        <f t="shared" si="14"/>
        <v>-9.965301026</v>
      </c>
      <c r="T861" s="73">
        <f>SUM(AE861:AM861)-IFERROR(IFS(Projections!$I$17,AN861,Projections!$J$17,AO861),"")</f>
        <v>-9.965301026</v>
      </c>
      <c r="U861" s="73">
        <f t="shared" si="15"/>
        <v>0</v>
      </c>
      <c r="V861" s="73" t="str">
        <f t="array" ref="V861">INDIRECT("Update"&amp;Projections!$AH$17&amp;"!M"&amp;ROW(B842))</f>
        <v/>
      </c>
      <c r="W861" s="73" t="str">
        <f t="array" ref="W861">INDIRECT("Update"&amp;Projections!$AH$17&amp;"!L"&amp;ROW(B842))</f>
        <v/>
      </c>
      <c r="X861" s="73" t="str">
        <f t="array" ref="X861">INDIRECT("Update"&amp;Projections!$AH$17&amp;"!N"&amp;ROW(B842))</f>
        <v/>
      </c>
      <c r="Y861" s="73" t="str">
        <f t="array" ref="Y861">INDIRECT("Update"&amp;Projections!$AH$17&amp;"!O"&amp;ROW(B842))</f>
        <v/>
      </c>
      <c r="Z861" s="73" t="str">
        <f t="array" ref="Z861">INDIRECT("Update"&amp;Projections!$AH$17&amp;"!P"&amp;ROW(B842))</f>
        <v/>
      </c>
      <c r="AA861" s="73" t="str">
        <f t="array" ref="AA861">INDIRECT("Update"&amp;Projections!$AH$17&amp;"!Q"&amp;ROW(B842))</f>
        <v/>
      </c>
      <c r="AB861" s="107" t="str">
        <f t="array" ref="AB861">INDIRECT("Update"&amp;Projections!$AH$17&amp;"!I"&amp;ROW(B842))</f>
        <v/>
      </c>
      <c r="AC861" s="107" t="str">
        <f t="array" ref="AC861">INDIRECT("Update"&amp;Projections!$AH$17&amp;"!K"&amp;ROW(B842))</f>
        <v/>
      </c>
      <c r="AD861" s="73" t="str">
        <f t="array" ref="AD861">INDIRECT("Update"&amp;Projections!$AH$17&amp;"!R"&amp;ROW(B842))</f>
        <v/>
      </c>
      <c r="AE861" s="73">
        <f t="shared" si="16"/>
        <v>-3.155358621</v>
      </c>
      <c r="AF861" s="73">
        <f t="shared" si="17"/>
        <v>-1.740686581</v>
      </c>
      <c r="AG861" s="73">
        <f t="shared" si="18"/>
        <v>-2.380599106</v>
      </c>
      <c r="AH861" s="73">
        <f t="shared" si="19"/>
        <v>-1.79320266</v>
      </c>
      <c r="AI861" s="73">
        <f t="shared" si="20"/>
        <v>-3.240190514</v>
      </c>
      <c r="AJ861" s="73">
        <f t="shared" si="21"/>
        <v>-1.329092151</v>
      </c>
      <c r="AK861" s="73">
        <f t="shared" si="22"/>
        <v>0</v>
      </c>
      <c r="AL861" s="73">
        <f t="shared" si="23"/>
        <v>0</v>
      </c>
      <c r="AM861" s="73">
        <f t="shared" si="24"/>
        <v>0.433638093</v>
      </c>
      <c r="AN861" s="120">
        <f t="shared" si="25"/>
        <v>-3.240190514</v>
      </c>
      <c r="AO861" s="120">
        <f t="shared" si="26"/>
        <v>-6.395549135</v>
      </c>
      <c r="AP861" s="120" t="str">
        <f t="array" ref="AP861">INDIRECT("Update"&amp;Projections!$AH$17&amp;"!S"&amp;ROW(B842))</f>
        <v/>
      </c>
      <c r="AQ861" s="120" t="str">
        <f t="array" ref="AQ861">INDIRECT("Update"&amp;Projections!$AH$17&amp;"!T"&amp;ROW(B842))</f>
        <v/>
      </c>
      <c r="AR861" s="100">
        <f t="shared" si="27"/>
        <v>-9.965301026</v>
      </c>
    </row>
    <row r="862">
      <c r="A862" t="str">
        <f t="shared" si="3"/>
        <v/>
      </c>
      <c r="B862" s="42">
        <f t="shared" si="4"/>
        <v>-3.155358621</v>
      </c>
      <c r="C862" s="43">
        <f t="shared" si="5"/>
        <v>-1.740686581</v>
      </c>
      <c r="D862" s="42">
        <f t="shared" si="6"/>
        <v>-2.380599106</v>
      </c>
      <c r="E862" s="42">
        <f t="shared" si="7"/>
        <v>-1.79320266</v>
      </c>
      <c r="F862" s="42">
        <f t="shared" si="8"/>
        <v>-3.240190514</v>
      </c>
      <c r="G862" s="42">
        <f t="shared" si="9"/>
        <v>-1.329092151</v>
      </c>
      <c r="H862" s="42">
        <f t="shared" si="10"/>
        <v>0</v>
      </c>
      <c r="I862" s="42" t="str">
        <f>UpdateHashtag!S860</f>
        <v/>
      </c>
      <c r="J862" s="47">
        <f t="shared" si="11"/>
        <v>0</v>
      </c>
      <c r="K862" s="48" t="str">
        <f>UpdateHashtag!T860</f>
        <v/>
      </c>
      <c r="L862" s="42">
        <f t="shared" si="12"/>
        <v>-1.734552372</v>
      </c>
      <c r="N862" s="100">
        <f t="shared" si="13"/>
        <v>401</v>
      </c>
      <c r="O862" s="94" t="str">
        <f t="array" ref="O862">INDIRECT("Update"&amp;Projections!$AH$17&amp;"!B"&amp;ROW(B843))</f>
        <v/>
      </c>
      <c r="P862" s="414" t="str">
        <f t="array" ref="P862">INDIRECT("Update"&amp;Projections!$AH$17&amp;"!C"&amp;ROW(B843))</f>
        <v/>
      </c>
      <c r="Q862" s="94" t="str">
        <f>UpdateHashtag!F892</f>
        <v/>
      </c>
      <c r="R862" s="105" t="str">
        <f t="array" ref="R862">INDIRECT("Update"&amp;Projections!$AH$17&amp;"!D"&amp;ROW(B843))</f>
        <v/>
      </c>
      <c r="S862" s="73">
        <f t="shared" si="14"/>
        <v>-9.965301026</v>
      </c>
      <c r="T862" s="73">
        <f>SUM(AE862:AM862)-IFERROR(IFS(Projections!$I$17,AN862,Projections!$J$17,AO862),"")</f>
        <v>-9.965301026</v>
      </c>
      <c r="U862" s="73">
        <f t="shared" si="15"/>
        <v>0</v>
      </c>
      <c r="V862" s="73" t="str">
        <f t="array" ref="V862">INDIRECT("Update"&amp;Projections!$AH$17&amp;"!M"&amp;ROW(B843))</f>
        <v/>
      </c>
      <c r="W862" s="73" t="str">
        <f t="array" ref="W862">INDIRECT("Update"&amp;Projections!$AH$17&amp;"!L"&amp;ROW(B843))</f>
        <v/>
      </c>
      <c r="X862" s="73" t="str">
        <f t="array" ref="X862">INDIRECT("Update"&amp;Projections!$AH$17&amp;"!N"&amp;ROW(B843))</f>
        <v/>
      </c>
      <c r="Y862" s="73" t="str">
        <f t="array" ref="Y862">INDIRECT("Update"&amp;Projections!$AH$17&amp;"!O"&amp;ROW(B843))</f>
        <v/>
      </c>
      <c r="Z862" s="73" t="str">
        <f t="array" ref="Z862">INDIRECT("Update"&amp;Projections!$AH$17&amp;"!P"&amp;ROW(B843))</f>
        <v/>
      </c>
      <c r="AA862" s="73" t="str">
        <f t="array" ref="AA862">INDIRECT("Update"&amp;Projections!$AH$17&amp;"!Q"&amp;ROW(B843))</f>
        <v/>
      </c>
      <c r="AB862" s="107" t="str">
        <f t="array" ref="AB862">INDIRECT("Update"&amp;Projections!$AH$17&amp;"!I"&amp;ROW(B843))</f>
        <v/>
      </c>
      <c r="AC862" s="107" t="str">
        <f t="array" ref="AC862">INDIRECT("Update"&amp;Projections!$AH$17&amp;"!K"&amp;ROW(B843))</f>
        <v/>
      </c>
      <c r="AD862" s="73" t="str">
        <f t="array" ref="AD862">INDIRECT("Update"&amp;Projections!$AH$17&amp;"!R"&amp;ROW(B843))</f>
        <v/>
      </c>
      <c r="AE862" s="73">
        <f t="shared" si="16"/>
        <v>-3.155358621</v>
      </c>
      <c r="AF862" s="73">
        <f t="shared" si="17"/>
        <v>-1.740686581</v>
      </c>
      <c r="AG862" s="73">
        <f t="shared" si="18"/>
        <v>-2.380599106</v>
      </c>
      <c r="AH862" s="73">
        <f t="shared" si="19"/>
        <v>-1.79320266</v>
      </c>
      <c r="AI862" s="73">
        <f t="shared" si="20"/>
        <v>-3.240190514</v>
      </c>
      <c r="AJ862" s="73">
        <f t="shared" si="21"/>
        <v>-1.329092151</v>
      </c>
      <c r="AK862" s="73">
        <f t="shared" si="22"/>
        <v>0</v>
      </c>
      <c r="AL862" s="73">
        <f t="shared" si="23"/>
        <v>0</v>
      </c>
      <c r="AM862" s="73">
        <f t="shared" si="24"/>
        <v>0.433638093</v>
      </c>
      <c r="AN862" s="120">
        <f t="shared" si="25"/>
        <v>-3.240190514</v>
      </c>
      <c r="AO862" s="120">
        <f t="shared" si="26"/>
        <v>-6.395549135</v>
      </c>
      <c r="AP862" s="120" t="str">
        <f t="array" ref="AP862">INDIRECT("Update"&amp;Projections!$AH$17&amp;"!S"&amp;ROW(B843))</f>
        <v/>
      </c>
      <c r="AQ862" s="120" t="str">
        <f t="array" ref="AQ862">INDIRECT("Update"&amp;Projections!$AH$17&amp;"!T"&amp;ROW(B843))</f>
        <v/>
      </c>
      <c r="AR862" s="100">
        <f t="shared" si="27"/>
        <v>-9.965301026</v>
      </c>
    </row>
    <row r="863">
      <c r="A863" t="str">
        <f t="shared" si="3"/>
        <v/>
      </c>
      <c r="B863" s="42">
        <f t="shared" si="4"/>
        <v>-3.155358621</v>
      </c>
      <c r="C863" s="43">
        <f t="shared" si="5"/>
        <v>-1.740686581</v>
      </c>
      <c r="D863" s="42">
        <f t="shared" si="6"/>
        <v>-2.380599106</v>
      </c>
      <c r="E863" s="42">
        <f t="shared" si="7"/>
        <v>-1.79320266</v>
      </c>
      <c r="F863" s="42">
        <f t="shared" si="8"/>
        <v>-3.240190514</v>
      </c>
      <c r="G863" s="42">
        <f t="shared" si="9"/>
        <v>-1.329092151</v>
      </c>
      <c r="H863" s="42">
        <f t="shared" si="10"/>
        <v>0</v>
      </c>
      <c r="I863" s="42" t="str">
        <f>UpdateHashtag!S861</f>
        <v/>
      </c>
      <c r="J863" s="47">
        <f t="shared" si="11"/>
        <v>0</v>
      </c>
      <c r="K863" s="48" t="str">
        <f>UpdateHashtag!T861</f>
        <v/>
      </c>
      <c r="L863" s="42">
        <f t="shared" si="12"/>
        <v>-1.734552372</v>
      </c>
      <c r="N863" s="100">
        <f t="shared" si="13"/>
        <v>401</v>
      </c>
      <c r="O863" s="94" t="str">
        <f t="array" ref="O863">INDIRECT("Update"&amp;Projections!$AH$17&amp;"!B"&amp;ROW(B844))</f>
        <v/>
      </c>
      <c r="P863" s="414" t="str">
        <f t="array" ref="P863">INDIRECT("Update"&amp;Projections!$AH$17&amp;"!C"&amp;ROW(B844))</f>
        <v/>
      </c>
      <c r="Q863" s="94" t="str">
        <f>UpdateHashtag!F893</f>
        <v/>
      </c>
      <c r="R863" s="105" t="str">
        <f t="array" ref="R863">INDIRECT("Update"&amp;Projections!$AH$17&amp;"!D"&amp;ROW(B844))</f>
        <v/>
      </c>
      <c r="S863" s="73">
        <f t="shared" si="14"/>
        <v>-9.965301026</v>
      </c>
      <c r="T863" s="73">
        <f>SUM(AE863:AM863)-IFERROR(IFS(Projections!$I$17,AN863,Projections!$J$17,AO863),"")</f>
        <v>-9.965301026</v>
      </c>
      <c r="U863" s="73">
        <f t="shared" si="15"/>
        <v>0</v>
      </c>
      <c r="V863" s="73" t="str">
        <f t="array" ref="V863">INDIRECT("Update"&amp;Projections!$AH$17&amp;"!M"&amp;ROW(B844))</f>
        <v/>
      </c>
      <c r="W863" s="73" t="str">
        <f t="array" ref="W863">INDIRECT("Update"&amp;Projections!$AH$17&amp;"!L"&amp;ROW(B844))</f>
        <v/>
      </c>
      <c r="X863" s="73" t="str">
        <f t="array" ref="X863">INDIRECT("Update"&amp;Projections!$AH$17&amp;"!N"&amp;ROW(B844))</f>
        <v/>
      </c>
      <c r="Y863" s="73" t="str">
        <f t="array" ref="Y863">INDIRECT("Update"&amp;Projections!$AH$17&amp;"!O"&amp;ROW(B844))</f>
        <v/>
      </c>
      <c r="Z863" s="73" t="str">
        <f t="array" ref="Z863">INDIRECT("Update"&amp;Projections!$AH$17&amp;"!P"&amp;ROW(B844))</f>
        <v/>
      </c>
      <c r="AA863" s="73" t="str">
        <f t="array" ref="AA863">INDIRECT("Update"&amp;Projections!$AH$17&amp;"!Q"&amp;ROW(B844))</f>
        <v/>
      </c>
      <c r="AB863" s="107" t="str">
        <f t="array" ref="AB863">INDIRECT("Update"&amp;Projections!$AH$17&amp;"!I"&amp;ROW(B844))</f>
        <v/>
      </c>
      <c r="AC863" s="107" t="str">
        <f t="array" ref="AC863">INDIRECT("Update"&amp;Projections!$AH$17&amp;"!K"&amp;ROW(B844))</f>
        <v/>
      </c>
      <c r="AD863" s="73" t="str">
        <f t="array" ref="AD863">INDIRECT("Update"&amp;Projections!$AH$17&amp;"!R"&amp;ROW(B844))</f>
        <v/>
      </c>
      <c r="AE863" s="73">
        <f t="shared" si="16"/>
        <v>-3.155358621</v>
      </c>
      <c r="AF863" s="73">
        <f t="shared" si="17"/>
        <v>-1.740686581</v>
      </c>
      <c r="AG863" s="73">
        <f t="shared" si="18"/>
        <v>-2.380599106</v>
      </c>
      <c r="AH863" s="73">
        <f t="shared" si="19"/>
        <v>-1.79320266</v>
      </c>
      <c r="AI863" s="73">
        <f t="shared" si="20"/>
        <v>-3.240190514</v>
      </c>
      <c r="AJ863" s="73">
        <f t="shared" si="21"/>
        <v>-1.329092151</v>
      </c>
      <c r="AK863" s="73">
        <f t="shared" si="22"/>
        <v>0</v>
      </c>
      <c r="AL863" s="73">
        <f t="shared" si="23"/>
        <v>0</v>
      </c>
      <c r="AM863" s="73">
        <f t="shared" si="24"/>
        <v>0.433638093</v>
      </c>
      <c r="AN863" s="120">
        <f t="shared" si="25"/>
        <v>-3.240190514</v>
      </c>
      <c r="AO863" s="120">
        <f t="shared" si="26"/>
        <v>-6.395549135</v>
      </c>
      <c r="AP863" s="120" t="str">
        <f t="array" ref="AP863">INDIRECT("Update"&amp;Projections!$AH$17&amp;"!S"&amp;ROW(B844))</f>
        <v/>
      </c>
      <c r="AQ863" s="120" t="str">
        <f t="array" ref="AQ863">INDIRECT("Update"&amp;Projections!$AH$17&amp;"!T"&amp;ROW(B844))</f>
        <v/>
      </c>
      <c r="AR863" s="100">
        <f t="shared" si="27"/>
        <v>-9.965301026</v>
      </c>
    </row>
    <row r="864">
      <c r="A864" t="str">
        <f t="shared" si="3"/>
        <v/>
      </c>
      <c r="B864" s="42">
        <f t="shared" si="4"/>
        <v>-3.155358621</v>
      </c>
      <c r="C864" s="43">
        <f t="shared" si="5"/>
        <v>-1.740686581</v>
      </c>
      <c r="D864" s="42">
        <f t="shared" si="6"/>
        <v>-2.380599106</v>
      </c>
      <c r="E864" s="42">
        <f t="shared" si="7"/>
        <v>-1.79320266</v>
      </c>
      <c r="F864" s="42">
        <f t="shared" si="8"/>
        <v>-3.240190514</v>
      </c>
      <c r="G864" s="42">
        <f t="shared" si="9"/>
        <v>-1.329092151</v>
      </c>
      <c r="H864" s="42">
        <f t="shared" si="10"/>
        <v>0</v>
      </c>
      <c r="I864" s="42" t="str">
        <f>UpdateHashtag!S862</f>
        <v/>
      </c>
      <c r="J864" s="47">
        <f t="shared" si="11"/>
        <v>0</v>
      </c>
      <c r="K864" s="48" t="str">
        <f>UpdateHashtag!T862</f>
        <v/>
      </c>
      <c r="L864" s="42">
        <f t="shared" si="12"/>
        <v>-1.734552372</v>
      </c>
      <c r="N864" s="100">
        <f t="shared" si="13"/>
        <v>401</v>
      </c>
      <c r="O864" s="94" t="str">
        <f t="array" ref="O864">INDIRECT("Update"&amp;Projections!$AH$17&amp;"!B"&amp;ROW(B845))</f>
        <v/>
      </c>
      <c r="P864" s="414" t="str">
        <f t="array" ref="P864">INDIRECT("Update"&amp;Projections!$AH$17&amp;"!C"&amp;ROW(B845))</f>
        <v/>
      </c>
      <c r="Q864" s="94" t="str">
        <f>UpdateHashtag!F894</f>
        <v/>
      </c>
      <c r="R864" s="105" t="str">
        <f t="array" ref="R864">INDIRECT("Update"&amp;Projections!$AH$17&amp;"!D"&amp;ROW(B845))</f>
        <v/>
      </c>
      <c r="S864" s="73">
        <f t="shared" si="14"/>
        <v>-9.965301026</v>
      </c>
      <c r="T864" s="73">
        <f>SUM(AE864:AM864)-IFERROR(IFS(Projections!$I$17,AN864,Projections!$J$17,AO864),"")</f>
        <v>-9.965301026</v>
      </c>
      <c r="U864" s="73">
        <f t="shared" si="15"/>
        <v>0</v>
      </c>
      <c r="V864" s="73" t="str">
        <f t="array" ref="V864">INDIRECT("Update"&amp;Projections!$AH$17&amp;"!M"&amp;ROW(B845))</f>
        <v/>
      </c>
      <c r="W864" s="73" t="str">
        <f t="array" ref="W864">INDIRECT("Update"&amp;Projections!$AH$17&amp;"!L"&amp;ROW(B845))</f>
        <v/>
      </c>
      <c r="X864" s="73" t="str">
        <f t="array" ref="X864">INDIRECT("Update"&amp;Projections!$AH$17&amp;"!N"&amp;ROW(B845))</f>
        <v/>
      </c>
      <c r="Y864" s="73" t="str">
        <f t="array" ref="Y864">INDIRECT("Update"&amp;Projections!$AH$17&amp;"!O"&amp;ROW(B845))</f>
        <v/>
      </c>
      <c r="Z864" s="73" t="str">
        <f t="array" ref="Z864">INDIRECT("Update"&amp;Projections!$AH$17&amp;"!P"&amp;ROW(B845))</f>
        <v/>
      </c>
      <c r="AA864" s="73" t="str">
        <f t="array" ref="AA864">INDIRECT("Update"&amp;Projections!$AH$17&amp;"!Q"&amp;ROW(B845))</f>
        <v/>
      </c>
      <c r="AB864" s="107" t="str">
        <f t="array" ref="AB864">INDIRECT("Update"&amp;Projections!$AH$17&amp;"!I"&amp;ROW(B845))</f>
        <v/>
      </c>
      <c r="AC864" s="107" t="str">
        <f t="array" ref="AC864">INDIRECT("Update"&amp;Projections!$AH$17&amp;"!K"&amp;ROW(B845))</f>
        <v/>
      </c>
      <c r="AD864" s="73" t="str">
        <f t="array" ref="AD864">INDIRECT("Update"&amp;Projections!$AH$17&amp;"!R"&amp;ROW(B845))</f>
        <v/>
      </c>
      <c r="AE864" s="73">
        <f t="shared" si="16"/>
        <v>-3.155358621</v>
      </c>
      <c r="AF864" s="73">
        <f t="shared" si="17"/>
        <v>-1.740686581</v>
      </c>
      <c r="AG864" s="73">
        <f t="shared" si="18"/>
        <v>-2.380599106</v>
      </c>
      <c r="AH864" s="73">
        <f t="shared" si="19"/>
        <v>-1.79320266</v>
      </c>
      <c r="AI864" s="73">
        <f t="shared" si="20"/>
        <v>-3.240190514</v>
      </c>
      <c r="AJ864" s="73">
        <f t="shared" si="21"/>
        <v>-1.329092151</v>
      </c>
      <c r="AK864" s="73">
        <f t="shared" si="22"/>
        <v>0</v>
      </c>
      <c r="AL864" s="73">
        <f t="shared" si="23"/>
        <v>0</v>
      </c>
      <c r="AM864" s="73">
        <f t="shared" si="24"/>
        <v>0.433638093</v>
      </c>
      <c r="AN864" s="120">
        <f t="shared" si="25"/>
        <v>-3.240190514</v>
      </c>
      <c r="AO864" s="120">
        <f t="shared" si="26"/>
        <v>-6.395549135</v>
      </c>
      <c r="AP864" s="120" t="str">
        <f t="array" ref="AP864">INDIRECT("Update"&amp;Projections!$AH$17&amp;"!S"&amp;ROW(B845))</f>
        <v/>
      </c>
      <c r="AQ864" s="120" t="str">
        <f t="array" ref="AQ864">INDIRECT("Update"&amp;Projections!$AH$17&amp;"!T"&amp;ROW(B845))</f>
        <v/>
      </c>
      <c r="AR864" s="100">
        <f t="shared" si="27"/>
        <v>-9.965301026</v>
      </c>
    </row>
    <row r="865">
      <c r="A865" t="str">
        <f t="shared" si="3"/>
        <v/>
      </c>
      <c r="B865" s="42">
        <f t="shared" si="4"/>
        <v>-3.155358621</v>
      </c>
      <c r="C865" s="43">
        <f t="shared" si="5"/>
        <v>-1.740686581</v>
      </c>
      <c r="D865" s="42">
        <f t="shared" si="6"/>
        <v>-2.380599106</v>
      </c>
      <c r="E865" s="42">
        <f t="shared" si="7"/>
        <v>-1.79320266</v>
      </c>
      <c r="F865" s="42">
        <f t="shared" si="8"/>
        <v>-3.240190514</v>
      </c>
      <c r="G865" s="42">
        <f t="shared" si="9"/>
        <v>-1.329092151</v>
      </c>
      <c r="H865" s="42">
        <f t="shared" si="10"/>
        <v>0</v>
      </c>
      <c r="I865" s="42" t="str">
        <f>UpdateHashtag!S863</f>
        <v/>
      </c>
      <c r="J865" s="47">
        <f t="shared" si="11"/>
        <v>0</v>
      </c>
      <c r="K865" s="48" t="str">
        <f>UpdateHashtag!T863</f>
        <v/>
      </c>
      <c r="L865" s="42">
        <f t="shared" si="12"/>
        <v>-1.734552372</v>
      </c>
      <c r="N865" s="100">
        <f t="shared" si="13"/>
        <v>401</v>
      </c>
      <c r="O865" s="94" t="str">
        <f t="array" ref="O865">INDIRECT("Update"&amp;Projections!$AH$17&amp;"!B"&amp;ROW(B846))</f>
        <v/>
      </c>
      <c r="P865" s="414" t="str">
        <f t="array" ref="P865">INDIRECT("Update"&amp;Projections!$AH$17&amp;"!C"&amp;ROW(B846))</f>
        <v/>
      </c>
      <c r="Q865" s="94" t="str">
        <f>UpdateHashtag!F895</f>
        <v/>
      </c>
      <c r="R865" s="105" t="str">
        <f t="array" ref="R865">INDIRECT("Update"&amp;Projections!$AH$17&amp;"!D"&amp;ROW(B846))</f>
        <v/>
      </c>
      <c r="S865" s="73">
        <f t="shared" si="14"/>
        <v>-9.965301026</v>
      </c>
      <c r="T865" s="73">
        <f>SUM(AE865:AM865)-IFERROR(IFS(Projections!$I$17,AN865,Projections!$J$17,AO865),"")</f>
        <v>-9.965301026</v>
      </c>
      <c r="U865" s="73">
        <f t="shared" si="15"/>
        <v>0</v>
      </c>
      <c r="V865" s="73" t="str">
        <f t="array" ref="V865">INDIRECT("Update"&amp;Projections!$AH$17&amp;"!M"&amp;ROW(B846))</f>
        <v/>
      </c>
      <c r="W865" s="73" t="str">
        <f t="array" ref="W865">INDIRECT("Update"&amp;Projections!$AH$17&amp;"!L"&amp;ROW(B846))</f>
        <v/>
      </c>
      <c r="X865" s="73" t="str">
        <f t="array" ref="X865">INDIRECT("Update"&amp;Projections!$AH$17&amp;"!N"&amp;ROW(B846))</f>
        <v/>
      </c>
      <c r="Y865" s="73" t="str">
        <f t="array" ref="Y865">INDIRECT("Update"&amp;Projections!$AH$17&amp;"!O"&amp;ROW(B846))</f>
        <v/>
      </c>
      <c r="Z865" s="73" t="str">
        <f t="array" ref="Z865">INDIRECT("Update"&amp;Projections!$AH$17&amp;"!P"&amp;ROW(B846))</f>
        <v/>
      </c>
      <c r="AA865" s="73" t="str">
        <f t="array" ref="AA865">INDIRECT("Update"&amp;Projections!$AH$17&amp;"!Q"&amp;ROW(B846))</f>
        <v/>
      </c>
      <c r="AB865" s="107" t="str">
        <f t="array" ref="AB865">INDIRECT("Update"&amp;Projections!$AH$17&amp;"!I"&amp;ROW(B846))</f>
        <v/>
      </c>
      <c r="AC865" s="107" t="str">
        <f t="array" ref="AC865">INDIRECT("Update"&amp;Projections!$AH$17&amp;"!K"&amp;ROW(B846))</f>
        <v/>
      </c>
      <c r="AD865" s="73" t="str">
        <f t="array" ref="AD865">INDIRECT("Update"&amp;Projections!$AH$17&amp;"!R"&amp;ROW(B846))</f>
        <v/>
      </c>
      <c r="AE865" s="73">
        <f t="shared" si="16"/>
        <v>-3.155358621</v>
      </c>
      <c r="AF865" s="73">
        <f t="shared" si="17"/>
        <v>-1.740686581</v>
      </c>
      <c r="AG865" s="73">
        <f t="shared" si="18"/>
        <v>-2.380599106</v>
      </c>
      <c r="AH865" s="73">
        <f t="shared" si="19"/>
        <v>-1.79320266</v>
      </c>
      <c r="AI865" s="73">
        <f t="shared" si="20"/>
        <v>-3.240190514</v>
      </c>
      <c r="AJ865" s="73">
        <f t="shared" si="21"/>
        <v>-1.329092151</v>
      </c>
      <c r="AK865" s="73">
        <f t="shared" si="22"/>
        <v>0</v>
      </c>
      <c r="AL865" s="73">
        <f t="shared" si="23"/>
        <v>0</v>
      </c>
      <c r="AM865" s="73">
        <f t="shared" si="24"/>
        <v>0.433638093</v>
      </c>
      <c r="AN865" s="120">
        <f t="shared" si="25"/>
        <v>-3.240190514</v>
      </c>
      <c r="AO865" s="120">
        <f t="shared" si="26"/>
        <v>-6.395549135</v>
      </c>
      <c r="AP865" s="120" t="str">
        <f t="array" ref="AP865">INDIRECT("Update"&amp;Projections!$AH$17&amp;"!S"&amp;ROW(B846))</f>
        <v/>
      </c>
      <c r="AQ865" s="120" t="str">
        <f t="array" ref="AQ865">INDIRECT("Update"&amp;Projections!$AH$17&amp;"!T"&amp;ROW(B846))</f>
        <v/>
      </c>
      <c r="AR865" s="100">
        <f t="shared" si="27"/>
        <v>-9.965301026</v>
      </c>
    </row>
    <row r="866">
      <c r="A866" t="str">
        <f t="shared" si="3"/>
        <v/>
      </c>
      <c r="B866" s="42">
        <f t="shared" si="4"/>
        <v>-3.155358621</v>
      </c>
      <c r="C866" s="43">
        <f t="shared" si="5"/>
        <v>-1.740686581</v>
      </c>
      <c r="D866" s="42">
        <f t="shared" si="6"/>
        <v>-2.380599106</v>
      </c>
      <c r="E866" s="42">
        <f t="shared" si="7"/>
        <v>-1.79320266</v>
      </c>
      <c r="F866" s="42">
        <f t="shared" si="8"/>
        <v>-3.240190514</v>
      </c>
      <c r="G866" s="42">
        <f t="shared" si="9"/>
        <v>-1.329092151</v>
      </c>
      <c r="H866" s="42">
        <f t="shared" si="10"/>
        <v>0</v>
      </c>
      <c r="I866" s="42" t="str">
        <f>UpdateHashtag!S864</f>
        <v/>
      </c>
      <c r="J866" s="47">
        <f t="shared" si="11"/>
        <v>0</v>
      </c>
      <c r="K866" s="48" t="str">
        <f>UpdateHashtag!T864</f>
        <v/>
      </c>
      <c r="L866" s="42">
        <f t="shared" si="12"/>
        <v>-1.734552372</v>
      </c>
      <c r="N866" s="100">
        <f t="shared" si="13"/>
        <v>401</v>
      </c>
      <c r="O866" s="94" t="str">
        <f t="array" ref="O866">INDIRECT("Update"&amp;Projections!$AH$17&amp;"!B"&amp;ROW(B847))</f>
        <v/>
      </c>
      <c r="P866" s="414" t="str">
        <f t="array" ref="P866">INDIRECT("Update"&amp;Projections!$AH$17&amp;"!C"&amp;ROW(B847))</f>
        <v/>
      </c>
      <c r="Q866" s="94" t="str">
        <f>UpdateHashtag!F896</f>
        <v/>
      </c>
      <c r="R866" s="105" t="str">
        <f t="array" ref="R866">INDIRECT("Update"&amp;Projections!$AH$17&amp;"!D"&amp;ROW(B847))</f>
        <v/>
      </c>
      <c r="S866" s="73">
        <f t="shared" si="14"/>
        <v>-9.965301026</v>
      </c>
      <c r="T866" s="73">
        <f>SUM(AE866:AM866)-IFERROR(IFS(Projections!$I$17,AN866,Projections!$J$17,AO866),"")</f>
        <v>-9.965301026</v>
      </c>
      <c r="U866" s="73">
        <f t="shared" si="15"/>
        <v>0</v>
      </c>
      <c r="V866" s="73" t="str">
        <f t="array" ref="V866">INDIRECT("Update"&amp;Projections!$AH$17&amp;"!M"&amp;ROW(B847))</f>
        <v/>
      </c>
      <c r="W866" s="73" t="str">
        <f t="array" ref="W866">INDIRECT("Update"&amp;Projections!$AH$17&amp;"!L"&amp;ROW(B847))</f>
        <v/>
      </c>
      <c r="X866" s="73" t="str">
        <f t="array" ref="X866">INDIRECT("Update"&amp;Projections!$AH$17&amp;"!N"&amp;ROW(B847))</f>
        <v/>
      </c>
      <c r="Y866" s="73" t="str">
        <f t="array" ref="Y866">INDIRECT("Update"&amp;Projections!$AH$17&amp;"!O"&amp;ROW(B847))</f>
        <v/>
      </c>
      <c r="Z866" s="73" t="str">
        <f t="array" ref="Z866">INDIRECT("Update"&amp;Projections!$AH$17&amp;"!P"&amp;ROW(B847))</f>
        <v/>
      </c>
      <c r="AA866" s="73" t="str">
        <f t="array" ref="AA866">INDIRECT("Update"&amp;Projections!$AH$17&amp;"!Q"&amp;ROW(B847))</f>
        <v/>
      </c>
      <c r="AB866" s="107" t="str">
        <f t="array" ref="AB866">INDIRECT("Update"&amp;Projections!$AH$17&amp;"!I"&amp;ROW(B847))</f>
        <v/>
      </c>
      <c r="AC866" s="107" t="str">
        <f t="array" ref="AC866">INDIRECT("Update"&amp;Projections!$AH$17&amp;"!K"&amp;ROW(B847))</f>
        <v/>
      </c>
      <c r="AD866" s="73" t="str">
        <f t="array" ref="AD866">INDIRECT("Update"&amp;Projections!$AH$17&amp;"!R"&amp;ROW(B847))</f>
        <v/>
      </c>
      <c r="AE866" s="73">
        <f t="shared" si="16"/>
        <v>-3.155358621</v>
      </c>
      <c r="AF866" s="73">
        <f t="shared" si="17"/>
        <v>-1.740686581</v>
      </c>
      <c r="AG866" s="73">
        <f t="shared" si="18"/>
        <v>-2.380599106</v>
      </c>
      <c r="AH866" s="73">
        <f t="shared" si="19"/>
        <v>-1.79320266</v>
      </c>
      <c r="AI866" s="73">
        <f t="shared" si="20"/>
        <v>-3.240190514</v>
      </c>
      <c r="AJ866" s="73">
        <f t="shared" si="21"/>
        <v>-1.329092151</v>
      </c>
      <c r="AK866" s="73">
        <f t="shared" si="22"/>
        <v>0</v>
      </c>
      <c r="AL866" s="73">
        <f t="shared" si="23"/>
        <v>0</v>
      </c>
      <c r="AM866" s="73">
        <f t="shared" si="24"/>
        <v>0.433638093</v>
      </c>
      <c r="AN866" s="120">
        <f t="shared" si="25"/>
        <v>-3.240190514</v>
      </c>
      <c r="AO866" s="120">
        <f t="shared" si="26"/>
        <v>-6.395549135</v>
      </c>
      <c r="AP866" s="120" t="str">
        <f t="array" ref="AP866">INDIRECT("Update"&amp;Projections!$AH$17&amp;"!S"&amp;ROW(B847))</f>
        <v/>
      </c>
      <c r="AQ866" s="120" t="str">
        <f t="array" ref="AQ866">INDIRECT("Update"&amp;Projections!$AH$17&amp;"!T"&amp;ROW(B847))</f>
        <v/>
      </c>
      <c r="AR866" s="100">
        <f t="shared" si="27"/>
        <v>-9.965301026</v>
      </c>
    </row>
    <row r="867">
      <c r="A867" t="str">
        <f t="shared" si="3"/>
        <v/>
      </c>
      <c r="B867" s="42">
        <f t="shared" si="4"/>
        <v>-3.155358621</v>
      </c>
      <c r="C867" s="43">
        <f t="shared" si="5"/>
        <v>-1.740686581</v>
      </c>
      <c r="D867" s="42">
        <f t="shared" si="6"/>
        <v>-2.380599106</v>
      </c>
      <c r="E867" s="42">
        <f t="shared" si="7"/>
        <v>-1.79320266</v>
      </c>
      <c r="F867" s="42">
        <f t="shared" si="8"/>
        <v>-3.240190514</v>
      </c>
      <c r="G867" s="42">
        <f t="shared" si="9"/>
        <v>-1.329092151</v>
      </c>
      <c r="H867" s="42">
        <f t="shared" si="10"/>
        <v>0</v>
      </c>
      <c r="I867" s="42" t="str">
        <f>UpdateHashtag!S865</f>
        <v/>
      </c>
      <c r="J867" s="47">
        <f t="shared" si="11"/>
        <v>0</v>
      </c>
      <c r="K867" s="48" t="str">
        <f>UpdateHashtag!T865</f>
        <v/>
      </c>
      <c r="L867" s="42">
        <f t="shared" si="12"/>
        <v>-1.734552372</v>
      </c>
      <c r="N867" s="100">
        <f t="shared" si="13"/>
        <v>401</v>
      </c>
      <c r="O867" s="94" t="str">
        <f t="array" ref="O867">INDIRECT("Update"&amp;Projections!$AH$17&amp;"!B"&amp;ROW(B848))</f>
        <v/>
      </c>
      <c r="P867" s="414" t="str">
        <f t="array" ref="P867">INDIRECT("Update"&amp;Projections!$AH$17&amp;"!C"&amp;ROW(B848))</f>
        <v/>
      </c>
      <c r="Q867" s="94" t="str">
        <f>UpdateHashtag!F897</f>
        <v/>
      </c>
      <c r="R867" s="105" t="str">
        <f t="array" ref="R867">INDIRECT("Update"&amp;Projections!$AH$17&amp;"!D"&amp;ROW(B848))</f>
        <v/>
      </c>
      <c r="S867" s="73">
        <f t="shared" si="14"/>
        <v>-9.965301026</v>
      </c>
      <c r="T867" s="73">
        <f>SUM(AE867:AM867)-IFERROR(IFS(Projections!$I$17,AN867,Projections!$J$17,AO867),"")</f>
        <v>-9.965301026</v>
      </c>
      <c r="U867" s="73">
        <f t="shared" si="15"/>
        <v>0</v>
      </c>
      <c r="V867" s="73" t="str">
        <f t="array" ref="V867">INDIRECT("Update"&amp;Projections!$AH$17&amp;"!M"&amp;ROW(B848))</f>
        <v/>
      </c>
      <c r="W867" s="73" t="str">
        <f t="array" ref="W867">INDIRECT("Update"&amp;Projections!$AH$17&amp;"!L"&amp;ROW(B848))</f>
        <v/>
      </c>
      <c r="X867" s="73" t="str">
        <f t="array" ref="X867">INDIRECT("Update"&amp;Projections!$AH$17&amp;"!N"&amp;ROW(B848))</f>
        <v/>
      </c>
      <c r="Y867" s="73" t="str">
        <f t="array" ref="Y867">INDIRECT("Update"&amp;Projections!$AH$17&amp;"!O"&amp;ROW(B848))</f>
        <v/>
      </c>
      <c r="Z867" s="73" t="str">
        <f t="array" ref="Z867">INDIRECT("Update"&amp;Projections!$AH$17&amp;"!P"&amp;ROW(B848))</f>
        <v/>
      </c>
      <c r="AA867" s="73" t="str">
        <f t="array" ref="AA867">INDIRECT("Update"&amp;Projections!$AH$17&amp;"!Q"&amp;ROW(B848))</f>
        <v/>
      </c>
      <c r="AB867" s="107" t="str">
        <f t="array" ref="AB867">INDIRECT("Update"&amp;Projections!$AH$17&amp;"!I"&amp;ROW(B848))</f>
        <v/>
      </c>
      <c r="AC867" s="107" t="str">
        <f t="array" ref="AC867">INDIRECT("Update"&amp;Projections!$AH$17&amp;"!K"&amp;ROW(B848))</f>
        <v/>
      </c>
      <c r="AD867" s="73" t="str">
        <f t="array" ref="AD867">INDIRECT("Update"&amp;Projections!$AH$17&amp;"!R"&amp;ROW(B848))</f>
        <v/>
      </c>
      <c r="AE867" s="73">
        <f t="shared" si="16"/>
        <v>-3.155358621</v>
      </c>
      <c r="AF867" s="73">
        <f t="shared" si="17"/>
        <v>-1.740686581</v>
      </c>
      <c r="AG867" s="73">
        <f t="shared" si="18"/>
        <v>-2.380599106</v>
      </c>
      <c r="AH867" s="73">
        <f t="shared" si="19"/>
        <v>-1.79320266</v>
      </c>
      <c r="AI867" s="73">
        <f t="shared" si="20"/>
        <v>-3.240190514</v>
      </c>
      <c r="AJ867" s="73">
        <f t="shared" si="21"/>
        <v>-1.329092151</v>
      </c>
      <c r="AK867" s="73">
        <f t="shared" si="22"/>
        <v>0</v>
      </c>
      <c r="AL867" s="73">
        <f t="shared" si="23"/>
        <v>0</v>
      </c>
      <c r="AM867" s="73">
        <f t="shared" si="24"/>
        <v>0.433638093</v>
      </c>
      <c r="AN867" s="120">
        <f t="shared" si="25"/>
        <v>-3.240190514</v>
      </c>
      <c r="AO867" s="120">
        <f t="shared" si="26"/>
        <v>-6.395549135</v>
      </c>
      <c r="AP867" s="120" t="str">
        <f t="array" ref="AP867">INDIRECT("Update"&amp;Projections!$AH$17&amp;"!S"&amp;ROW(B848))</f>
        <v/>
      </c>
      <c r="AQ867" s="120" t="str">
        <f t="array" ref="AQ867">INDIRECT("Update"&amp;Projections!$AH$17&amp;"!T"&amp;ROW(B848))</f>
        <v/>
      </c>
      <c r="AR867" s="100">
        <f t="shared" si="27"/>
        <v>-9.965301026</v>
      </c>
    </row>
    <row r="868">
      <c r="A868" t="str">
        <f t="shared" si="3"/>
        <v/>
      </c>
      <c r="B868" s="42">
        <f t="shared" si="4"/>
        <v>-3.155358621</v>
      </c>
      <c r="C868" s="43">
        <f t="shared" si="5"/>
        <v>-1.740686581</v>
      </c>
      <c r="D868" s="42">
        <f t="shared" si="6"/>
        <v>-2.380599106</v>
      </c>
      <c r="E868" s="42">
        <f t="shared" si="7"/>
        <v>-1.79320266</v>
      </c>
      <c r="F868" s="42">
        <f t="shared" si="8"/>
        <v>-3.240190514</v>
      </c>
      <c r="G868" s="42">
        <f t="shared" si="9"/>
        <v>-1.329092151</v>
      </c>
      <c r="H868" s="42">
        <f t="shared" si="10"/>
        <v>0</v>
      </c>
      <c r="I868" s="42" t="str">
        <f>UpdateHashtag!S866</f>
        <v/>
      </c>
      <c r="J868" s="47">
        <f t="shared" si="11"/>
        <v>0</v>
      </c>
      <c r="K868" s="48" t="str">
        <f>UpdateHashtag!T866</f>
        <v/>
      </c>
      <c r="L868" s="42">
        <f t="shared" si="12"/>
        <v>-1.734552372</v>
      </c>
      <c r="N868" s="100">
        <f t="shared" si="13"/>
        <v>401</v>
      </c>
      <c r="O868" s="94" t="str">
        <f t="array" ref="O868">INDIRECT("Update"&amp;Projections!$AH$17&amp;"!B"&amp;ROW(B849))</f>
        <v/>
      </c>
      <c r="P868" s="414" t="str">
        <f t="array" ref="P868">INDIRECT("Update"&amp;Projections!$AH$17&amp;"!C"&amp;ROW(B849))</f>
        <v/>
      </c>
      <c r="Q868" s="94" t="str">
        <f>UpdateHashtag!F898</f>
        <v/>
      </c>
      <c r="R868" s="105" t="str">
        <f t="array" ref="R868">INDIRECT("Update"&amp;Projections!$AH$17&amp;"!D"&amp;ROW(B849))</f>
        <v/>
      </c>
      <c r="S868" s="73">
        <f t="shared" si="14"/>
        <v>-9.965301026</v>
      </c>
      <c r="T868" s="73">
        <f>SUM(AE868:AM868)-IFERROR(IFS(Projections!$I$17,AN868,Projections!$J$17,AO868),"")</f>
        <v>-9.965301026</v>
      </c>
      <c r="U868" s="73">
        <f t="shared" si="15"/>
        <v>0</v>
      </c>
      <c r="V868" s="73" t="str">
        <f t="array" ref="V868">INDIRECT("Update"&amp;Projections!$AH$17&amp;"!M"&amp;ROW(B849))</f>
        <v/>
      </c>
      <c r="W868" s="73" t="str">
        <f t="array" ref="W868">INDIRECT("Update"&amp;Projections!$AH$17&amp;"!L"&amp;ROW(B849))</f>
        <v/>
      </c>
      <c r="X868" s="73" t="str">
        <f t="array" ref="X868">INDIRECT("Update"&amp;Projections!$AH$17&amp;"!N"&amp;ROW(B849))</f>
        <v/>
      </c>
      <c r="Y868" s="73" t="str">
        <f t="array" ref="Y868">INDIRECT("Update"&amp;Projections!$AH$17&amp;"!O"&amp;ROW(B849))</f>
        <v/>
      </c>
      <c r="Z868" s="73" t="str">
        <f t="array" ref="Z868">INDIRECT("Update"&amp;Projections!$AH$17&amp;"!P"&amp;ROW(B849))</f>
        <v/>
      </c>
      <c r="AA868" s="73" t="str">
        <f t="array" ref="AA868">INDIRECT("Update"&amp;Projections!$AH$17&amp;"!Q"&amp;ROW(B849))</f>
        <v/>
      </c>
      <c r="AB868" s="107" t="str">
        <f t="array" ref="AB868">INDIRECT("Update"&amp;Projections!$AH$17&amp;"!I"&amp;ROW(B849))</f>
        <v/>
      </c>
      <c r="AC868" s="107" t="str">
        <f t="array" ref="AC868">INDIRECT("Update"&amp;Projections!$AH$17&amp;"!K"&amp;ROW(B849))</f>
        <v/>
      </c>
      <c r="AD868" s="73" t="str">
        <f t="array" ref="AD868">INDIRECT("Update"&amp;Projections!$AH$17&amp;"!R"&amp;ROW(B849))</f>
        <v/>
      </c>
      <c r="AE868" s="73">
        <f t="shared" si="16"/>
        <v>-3.155358621</v>
      </c>
      <c r="AF868" s="73">
        <f t="shared" si="17"/>
        <v>-1.740686581</v>
      </c>
      <c r="AG868" s="73">
        <f t="shared" si="18"/>
        <v>-2.380599106</v>
      </c>
      <c r="AH868" s="73">
        <f t="shared" si="19"/>
        <v>-1.79320266</v>
      </c>
      <c r="AI868" s="73">
        <f t="shared" si="20"/>
        <v>-3.240190514</v>
      </c>
      <c r="AJ868" s="73">
        <f t="shared" si="21"/>
        <v>-1.329092151</v>
      </c>
      <c r="AK868" s="73">
        <f t="shared" si="22"/>
        <v>0</v>
      </c>
      <c r="AL868" s="73">
        <f t="shared" si="23"/>
        <v>0</v>
      </c>
      <c r="AM868" s="73">
        <f t="shared" si="24"/>
        <v>0.433638093</v>
      </c>
      <c r="AN868" s="120">
        <f t="shared" si="25"/>
        <v>-3.240190514</v>
      </c>
      <c r="AO868" s="120">
        <f t="shared" si="26"/>
        <v>-6.395549135</v>
      </c>
      <c r="AP868" s="120" t="str">
        <f t="array" ref="AP868">INDIRECT("Update"&amp;Projections!$AH$17&amp;"!S"&amp;ROW(B849))</f>
        <v/>
      </c>
      <c r="AQ868" s="120" t="str">
        <f t="array" ref="AQ868">INDIRECT("Update"&amp;Projections!$AH$17&amp;"!T"&amp;ROW(B849))</f>
        <v/>
      </c>
      <c r="AR868" s="100">
        <f t="shared" si="27"/>
        <v>-9.965301026</v>
      </c>
    </row>
    <row r="869">
      <c r="A869" t="str">
        <f t="shared" si="3"/>
        <v/>
      </c>
      <c r="B869" s="42">
        <f t="shared" si="4"/>
        <v>-3.155358621</v>
      </c>
      <c r="C869" s="43">
        <f t="shared" si="5"/>
        <v>-1.740686581</v>
      </c>
      <c r="D869" s="42">
        <f t="shared" si="6"/>
        <v>-2.380599106</v>
      </c>
      <c r="E869" s="42">
        <f t="shared" si="7"/>
        <v>-1.79320266</v>
      </c>
      <c r="F869" s="42">
        <f t="shared" si="8"/>
        <v>-3.240190514</v>
      </c>
      <c r="G869" s="42">
        <f t="shared" si="9"/>
        <v>-1.329092151</v>
      </c>
      <c r="H869" s="42">
        <f t="shared" si="10"/>
        <v>0</v>
      </c>
      <c r="I869" s="42" t="str">
        <f>UpdateHashtag!S867</f>
        <v/>
      </c>
      <c r="J869" s="47">
        <f t="shared" si="11"/>
        <v>0</v>
      </c>
      <c r="K869" s="48" t="str">
        <f>UpdateHashtag!T867</f>
        <v/>
      </c>
      <c r="L869" s="42">
        <f t="shared" si="12"/>
        <v>-1.734552372</v>
      </c>
      <c r="N869" s="100">
        <f t="shared" si="13"/>
        <v>401</v>
      </c>
      <c r="O869" s="94" t="str">
        <f t="array" ref="O869">INDIRECT("Update"&amp;Projections!$AH$17&amp;"!B"&amp;ROW(B850))</f>
        <v/>
      </c>
      <c r="P869" s="414" t="str">
        <f t="array" ref="P869">INDIRECT("Update"&amp;Projections!$AH$17&amp;"!C"&amp;ROW(B850))</f>
        <v/>
      </c>
      <c r="Q869" s="94" t="str">
        <f>UpdateHashtag!F899</f>
        <v/>
      </c>
      <c r="R869" s="105" t="str">
        <f t="array" ref="R869">INDIRECT("Update"&amp;Projections!$AH$17&amp;"!D"&amp;ROW(B850))</f>
        <v/>
      </c>
      <c r="S869" s="73">
        <f t="shared" si="14"/>
        <v>-9.965301026</v>
      </c>
      <c r="T869" s="73">
        <f>SUM(AE869:AM869)-IFERROR(IFS(Projections!$I$17,AN869,Projections!$J$17,AO869),"")</f>
        <v>-9.965301026</v>
      </c>
      <c r="U869" s="73">
        <f t="shared" si="15"/>
        <v>0</v>
      </c>
      <c r="V869" s="73" t="str">
        <f t="array" ref="V869">INDIRECT("Update"&amp;Projections!$AH$17&amp;"!M"&amp;ROW(B850))</f>
        <v/>
      </c>
      <c r="W869" s="73" t="str">
        <f t="array" ref="W869">INDIRECT("Update"&amp;Projections!$AH$17&amp;"!L"&amp;ROW(B850))</f>
        <v/>
      </c>
      <c r="X869" s="73" t="str">
        <f t="array" ref="X869">INDIRECT("Update"&amp;Projections!$AH$17&amp;"!N"&amp;ROW(B850))</f>
        <v/>
      </c>
      <c r="Y869" s="73" t="str">
        <f t="array" ref="Y869">INDIRECT("Update"&amp;Projections!$AH$17&amp;"!O"&amp;ROW(B850))</f>
        <v/>
      </c>
      <c r="Z869" s="73" t="str">
        <f t="array" ref="Z869">INDIRECT("Update"&amp;Projections!$AH$17&amp;"!P"&amp;ROW(B850))</f>
        <v/>
      </c>
      <c r="AA869" s="73" t="str">
        <f t="array" ref="AA869">INDIRECT("Update"&amp;Projections!$AH$17&amp;"!Q"&amp;ROW(B850))</f>
        <v/>
      </c>
      <c r="AB869" s="107" t="str">
        <f t="array" ref="AB869">INDIRECT("Update"&amp;Projections!$AH$17&amp;"!I"&amp;ROW(B850))</f>
        <v/>
      </c>
      <c r="AC869" s="107" t="str">
        <f t="array" ref="AC869">INDIRECT("Update"&amp;Projections!$AH$17&amp;"!K"&amp;ROW(B850))</f>
        <v/>
      </c>
      <c r="AD869" s="73" t="str">
        <f t="array" ref="AD869">INDIRECT("Update"&amp;Projections!$AH$17&amp;"!R"&amp;ROW(B850))</f>
        <v/>
      </c>
      <c r="AE869" s="73">
        <f t="shared" si="16"/>
        <v>-3.155358621</v>
      </c>
      <c r="AF869" s="73">
        <f t="shared" si="17"/>
        <v>-1.740686581</v>
      </c>
      <c r="AG869" s="73">
        <f t="shared" si="18"/>
        <v>-2.380599106</v>
      </c>
      <c r="AH869" s="73">
        <f t="shared" si="19"/>
        <v>-1.79320266</v>
      </c>
      <c r="AI869" s="73">
        <f t="shared" si="20"/>
        <v>-3.240190514</v>
      </c>
      <c r="AJ869" s="73">
        <f t="shared" si="21"/>
        <v>-1.329092151</v>
      </c>
      <c r="AK869" s="73">
        <f t="shared" si="22"/>
        <v>0</v>
      </c>
      <c r="AL869" s="73">
        <f t="shared" si="23"/>
        <v>0</v>
      </c>
      <c r="AM869" s="73">
        <f t="shared" si="24"/>
        <v>0.433638093</v>
      </c>
      <c r="AN869" s="120">
        <f t="shared" si="25"/>
        <v>-3.240190514</v>
      </c>
      <c r="AO869" s="120">
        <f t="shared" si="26"/>
        <v>-6.395549135</v>
      </c>
      <c r="AP869" s="120" t="str">
        <f t="array" ref="AP869">INDIRECT("Update"&amp;Projections!$AH$17&amp;"!S"&amp;ROW(B850))</f>
        <v/>
      </c>
      <c r="AQ869" s="120" t="str">
        <f t="array" ref="AQ869">INDIRECT("Update"&amp;Projections!$AH$17&amp;"!T"&amp;ROW(B850))</f>
        <v/>
      </c>
      <c r="AR869" s="100">
        <f t="shared" si="27"/>
        <v>-9.965301026</v>
      </c>
    </row>
    <row r="870">
      <c r="A870" t="str">
        <f t="shared" si="3"/>
        <v/>
      </c>
      <c r="B870" s="42">
        <f t="shared" si="4"/>
        <v>-3.155358621</v>
      </c>
      <c r="C870" s="43">
        <f t="shared" si="5"/>
        <v>-1.740686581</v>
      </c>
      <c r="D870" s="42">
        <f t="shared" si="6"/>
        <v>-2.380599106</v>
      </c>
      <c r="E870" s="42">
        <f t="shared" si="7"/>
        <v>-1.79320266</v>
      </c>
      <c r="F870" s="42">
        <f t="shared" si="8"/>
        <v>-3.240190514</v>
      </c>
      <c r="G870" s="42">
        <f t="shared" si="9"/>
        <v>-1.329092151</v>
      </c>
      <c r="H870" s="42">
        <f t="shared" si="10"/>
        <v>0</v>
      </c>
      <c r="I870" s="42" t="str">
        <f>UpdateHashtag!S868</f>
        <v/>
      </c>
      <c r="J870" s="47">
        <f t="shared" si="11"/>
        <v>0</v>
      </c>
      <c r="K870" s="48" t="str">
        <f>UpdateHashtag!T868</f>
        <v/>
      </c>
      <c r="L870" s="42">
        <f t="shared" si="12"/>
        <v>-1.734552372</v>
      </c>
      <c r="N870" s="100">
        <f t="shared" si="13"/>
        <v>401</v>
      </c>
      <c r="O870" s="94" t="str">
        <f t="array" ref="O870">INDIRECT("Update"&amp;Projections!$AH$17&amp;"!B"&amp;ROW(B851))</f>
        <v/>
      </c>
      <c r="P870" s="414" t="str">
        <f t="array" ref="P870">INDIRECT("Update"&amp;Projections!$AH$17&amp;"!C"&amp;ROW(B851))</f>
        <v/>
      </c>
      <c r="Q870" s="94" t="str">
        <f>UpdateHashtag!F900</f>
        <v/>
      </c>
      <c r="R870" s="105" t="str">
        <f t="array" ref="R870">INDIRECT("Update"&amp;Projections!$AH$17&amp;"!D"&amp;ROW(B851))</f>
        <v/>
      </c>
      <c r="S870" s="73">
        <f t="shared" si="14"/>
        <v>-9.965301026</v>
      </c>
      <c r="T870" s="73">
        <f>SUM(AE870:AM870)-IFERROR(IFS(Projections!$I$17,AN870,Projections!$J$17,AO870),"")</f>
        <v>-9.965301026</v>
      </c>
      <c r="U870" s="73">
        <f t="shared" si="15"/>
        <v>0</v>
      </c>
      <c r="V870" s="73" t="str">
        <f t="array" ref="V870">INDIRECT("Update"&amp;Projections!$AH$17&amp;"!M"&amp;ROW(B851))</f>
        <v/>
      </c>
      <c r="W870" s="73" t="str">
        <f t="array" ref="W870">INDIRECT("Update"&amp;Projections!$AH$17&amp;"!L"&amp;ROW(B851))</f>
        <v/>
      </c>
      <c r="X870" s="73" t="str">
        <f t="array" ref="X870">INDIRECT("Update"&amp;Projections!$AH$17&amp;"!N"&amp;ROW(B851))</f>
        <v/>
      </c>
      <c r="Y870" s="73" t="str">
        <f t="array" ref="Y870">INDIRECT("Update"&amp;Projections!$AH$17&amp;"!O"&amp;ROW(B851))</f>
        <v/>
      </c>
      <c r="Z870" s="73" t="str">
        <f t="array" ref="Z870">INDIRECT("Update"&amp;Projections!$AH$17&amp;"!P"&amp;ROW(B851))</f>
        <v/>
      </c>
      <c r="AA870" s="73" t="str">
        <f t="array" ref="AA870">INDIRECT("Update"&amp;Projections!$AH$17&amp;"!Q"&amp;ROW(B851))</f>
        <v/>
      </c>
      <c r="AB870" s="107" t="str">
        <f t="array" ref="AB870">INDIRECT("Update"&amp;Projections!$AH$17&amp;"!I"&amp;ROW(B851))</f>
        <v/>
      </c>
      <c r="AC870" s="107" t="str">
        <f t="array" ref="AC870">INDIRECT("Update"&amp;Projections!$AH$17&amp;"!K"&amp;ROW(B851))</f>
        <v/>
      </c>
      <c r="AD870" s="73" t="str">
        <f t="array" ref="AD870">INDIRECT("Update"&amp;Projections!$AH$17&amp;"!R"&amp;ROW(B851))</f>
        <v/>
      </c>
      <c r="AE870" s="73">
        <f t="shared" si="16"/>
        <v>-3.155358621</v>
      </c>
      <c r="AF870" s="73">
        <f t="shared" si="17"/>
        <v>-1.740686581</v>
      </c>
      <c r="AG870" s="73">
        <f t="shared" si="18"/>
        <v>-2.380599106</v>
      </c>
      <c r="AH870" s="73">
        <f t="shared" si="19"/>
        <v>-1.79320266</v>
      </c>
      <c r="AI870" s="73">
        <f t="shared" si="20"/>
        <v>-3.240190514</v>
      </c>
      <c r="AJ870" s="73">
        <f t="shared" si="21"/>
        <v>-1.329092151</v>
      </c>
      <c r="AK870" s="73">
        <f t="shared" si="22"/>
        <v>0</v>
      </c>
      <c r="AL870" s="73">
        <f t="shared" si="23"/>
        <v>0</v>
      </c>
      <c r="AM870" s="73">
        <f t="shared" si="24"/>
        <v>0.433638093</v>
      </c>
      <c r="AN870" s="120">
        <f t="shared" si="25"/>
        <v>-3.240190514</v>
      </c>
      <c r="AO870" s="120">
        <f t="shared" si="26"/>
        <v>-6.395549135</v>
      </c>
      <c r="AP870" s="120" t="str">
        <f t="array" ref="AP870">INDIRECT("Update"&amp;Projections!$AH$17&amp;"!S"&amp;ROW(B851))</f>
        <v/>
      </c>
      <c r="AQ870" s="120" t="str">
        <f t="array" ref="AQ870">INDIRECT("Update"&amp;Projections!$AH$17&amp;"!T"&amp;ROW(B851))</f>
        <v/>
      </c>
      <c r="AR870" s="100">
        <f t="shared" si="27"/>
        <v>-9.965301026</v>
      </c>
    </row>
    <row r="871">
      <c r="A871" t="str">
        <f t="shared" si="3"/>
        <v/>
      </c>
      <c r="B871" s="42">
        <f t="shared" si="4"/>
        <v>-3.155358621</v>
      </c>
      <c r="C871" s="43">
        <f t="shared" si="5"/>
        <v>-1.740686581</v>
      </c>
      <c r="D871" s="42">
        <f t="shared" si="6"/>
        <v>-2.380599106</v>
      </c>
      <c r="E871" s="42">
        <f t="shared" si="7"/>
        <v>-1.79320266</v>
      </c>
      <c r="F871" s="42">
        <f t="shared" si="8"/>
        <v>-3.240190514</v>
      </c>
      <c r="G871" s="42">
        <f t="shared" si="9"/>
        <v>-1.329092151</v>
      </c>
      <c r="H871" s="42">
        <f t="shared" si="10"/>
        <v>0</v>
      </c>
      <c r="I871" s="42" t="str">
        <f>UpdateHashtag!S869</f>
        <v/>
      </c>
      <c r="J871" s="47">
        <f t="shared" si="11"/>
        <v>0</v>
      </c>
      <c r="K871" s="48" t="str">
        <f>UpdateHashtag!T869</f>
        <v/>
      </c>
      <c r="L871" s="42">
        <f t="shared" si="12"/>
        <v>-1.734552372</v>
      </c>
      <c r="N871" s="100">
        <f t="shared" si="13"/>
        <v>401</v>
      </c>
      <c r="O871" s="94" t="str">
        <f t="array" ref="O871">INDIRECT("Update"&amp;Projections!$AH$17&amp;"!B"&amp;ROW(B852))</f>
        <v/>
      </c>
      <c r="P871" s="414" t="str">
        <f t="array" ref="P871">INDIRECT("Update"&amp;Projections!$AH$17&amp;"!C"&amp;ROW(B852))</f>
        <v/>
      </c>
      <c r="Q871" s="94" t="str">
        <f>UpdateHashtag!F901</f>
        <v/>
      </c>
      <c r="R871" s="105" t="str">
        <f t="array" ref="R871">INDIRECT("Update"&amp;Projections!$AH$17&amp;"!D"&amp;ROW(B852))</f>
        <v/>
      </c>
      <c r="S871" s="73">
        <f t="shared" si="14"/>
        <v>-9.965301026</v>
      </c>
      <c r="T871" s="73">
        <f>SUM(AE871:AM871)-IFERROR(IFS(Projections!$I$17,AN871,Projections!$J$17,AO871),"")</f>
        <v>-9.965301026</v>
      </c>
      <c r="U871" s="73">
        <f t="shared" si="15"/>
        <v>0</v>
      </c>
      <c r="V871" s="73" t="str">
        <f t="array" ref="V871">INDIRECT("Update"&amp;Projections!$AH$17&amp;"!M"&amp;ROW(B852))</f>
        <v/>
      </c>
      <c r="W871" s="73" t="str">
        <f t="array" ref="W871">INDIRECT("Update"&amp;Projections!$AH$17&amp;"!L"&amp;ROW(B852))</f>
        <v/>
      </c>
      <c r="X871" s="73" t="str">
        <f t="array" ref="X871">INDIRECT("Update"&amp;Projections!$AH$17&amp;"!N"&amp;ROW(B852))</f>
        <v/>
      </c>
      <c r="Y871" s="73" t="str">
        <f t="array" ref="Y871">INDIRECT("Update"&amp;Projections!$AH$17&amp;"!O"&amp;ROW(B852))</f>
        <v/>
      </c>
      <c r="Z871" s="73" t="str">
        <f t="array" ref="Z871">INDIRECT("Update"&amp;Projections!$AH$17&amp;"!P"&amp;ROW(B852))</f>
        <v/>
      </c>
      <c r="AA871" s="73" t="str">
        <f t="array" ref="AA871">INDIRECT("Update"&amp;Projections!$AH$17&amp;"!Q"&amp;ROW(B852))</f>
        <v/>
      </c>
      <c r="AB871" s="107" t="str">
        <f t="array" ref="AB871">INDIRECT("Update"&amp;Projections!$AH$17&amp;"!I"&amp;ROW(B852))</f>
        <v/>
      </c>
      <c r="AC871" s="107" t="str">
        <f t="array" ref="AC871">INDIRECT("Update"&amp;Projections!$AH$17&amp;"!K"&amp;ROW(B852))</f>
        <v/>
      </c>
      <c r="AD871" s="73" t="str">
        <f t="array" ref="AD871">INDIRECT("Update"&amp;Projections!$AH$17&amp;"!R"&amp;ROW(B852))</f>
        <v/>
      </c>
      <c r="AE871" s="73">
        <f t="shared" si="16"/>
        <v>-3.155358621</v>
      </c>
      <c r="AF871" s="73">
        <f t="shared" si="17"/>
        <v>-1.740686581</v>
      </c>
      <c r="AG871" s="73">
        <f t="shared" si="18"/>
        <v>-2.380599106</v>
      </c>
      <c r="AH871" s="73">
        <f t="shared" si="19"/>
        <v>-1.79320266</v>
      </c>
      <c r="AI871" s="73">
        <f t="shared" si="20"/>
        <v>-3.240190514</v>
      </c>
      <c r="AJ871" s="73">
        <f t="shared" si="21"/>
        <v>-1.329092151</v>
      </c>
      <c r="AK871" s="73">
        <f t="shared" si="22"/>
        <v>0</v>
      </c>
      <c r="AL871" s="73">
        <f t="shared" si="23"/>
        <v>0</v>
      </c>
      <c r="AM871" s="73">
        <f t="shared" si="24"/>
        <v>0.433638093</v>
      </c>
      <c r="AN871" s="120">
        <f t="shared" si="25"/>
        <v>-3.240190514</v>
      </c>
      <c r="AO871" s="120">
        <f t="shared" si="26"/>
        <v>-6.395549135</v>
      </c>
      <c r="AP871" s="120" t="str">
        <f t="array" ref="AP871">INDIRECT("Update"&amp;Projections!$AH$17&amp;"!S"&amp;ROW(B852))</f>
        <v/>
      </c>
      <c r="AQ871" s="120" t="str">
        <f t="array" ref="AQ871">INDIRECT("Update"&amp;Projections!$AH$17&amp;"!T"&amp;ROW(B852))</f>
        <v/>
      </c>
      <c r="AR871" s="100">
        <f t="shared" si="27"/>
        <v>-9.965301026</v>
      </c>
    </row>
    <row r="872">
      <c r="A872" t="str">
        <f t="shared" si="3"/>
        <v/>
      </c>
      <c r="B872" s="42">
        <f t="shared" si="4"/>
        <v>-3.155358621</v>
      </c>
      <c r="C872" s="43">
        <f t="shared" si="5"/>
        <v>-1.740686581</v>
      </c>
      <c r="D872" s="42">
        <f t="shared" si="6"/>
        <v>-2.380599106</v>
      </c>
      <c r="E872" s="42">
        <f t="shared" si="7"/>
        <v>-1.79320266</v>
      </c>
      <c r="F872" s="42">
        <f t="shared" si="8"/>
        <v>-3.240190514</v>
      </c>
      <c r="G872" s="42">
        <f t="shared" si="9"/>
        <v>-1.329092151</v>
      </c>
      <c r="H872" s="42">
        <f t="shared" si="10"/>
        <v>0</v>
      </c>
      <c r="I872" s="42" t="str">
        <f>UpdateHashtag!S870</f>
        <v/>
      </c>
      <c r="J872" s="47">
        <f t="shared" si="11"/>
        <v>0</v>
      </c>
      <c r="K872" s="48" t="str">
        <f>UpdateHashtag!T870</f>
        <v/>
      </c>
      <c r="L872" s="42">
        <f t="shared" si="12"/>
        <v>-1.734552372</v>
      </c>
      <c r="N872" s="100">
        <f t="shared" si="13"/>
        <v>401</v>
      </c>
      <c r="O872" s="94" t="str">
        <f t="array" ref="O872">INDIRECT("Update"&amp;Projections!$AH$17&amp;"!B"&amp;ROW(B853))</f>
        <v/>
      </c>
      <c r="P872" s="414" t="str">
        <f t="array" ref="P872">INDIRECT("Update"&amp;Projections!$AH$17&amp;"!C"&amp;ROW(B853))</f>
        <v/>
      </c>
      <c r="Q872" s="94" t="str">
        <f>UpdateHashtag!F902</f>
        <v/>
      </c>
      <c r="R872" s="105" t="str">
        <f t="array" ref="R872">INDIRECT("Update"&amp;Projections!$AH$17&amp;"!D"&amp;ROW(B853))</f>
        <v/>
      </c>
      <c r="S872" s="73">
        <f t="shared" si="14"/>
        <v>-9.965301026</v>
      </c>
      <c r="T872" s="73">
        <f>SUM(AE872:AM872)-IFERROR(IFS(Projections!$I$17,AN872,Projections!$J$17,AO872),"")</f>
        <v>-9.965301026</v>
      </c>
      <c r="U872" s="73">
        <f t="shared" si="15"/>
        <v>0</v>
      </c>
      <c r="V872" s="73" t="str">
        <f t="array" ref="V872">INDIRECT("Update"&amp;Projections!$AH$17&amp;"!M"&amp;ROW(B853))</f>
        <v/>
      </c>
      <c r="W872" s="73" t="str">
        <f t="array" ref="W872">INDIRECT("Update"&amp;Projections!$AH$17&amp;"!L"&amp;ROW(B853))</f>
        <v/>
      </c>
      <c r="X872" s="73" t="str">
        <f t="array" ref="X872">INDIRECT("Update"&amp;Projections!$AH$17&amp;"!N"&amp;ROW(B853))</f>
        <v/>
      </c>
      <c r="Y872" s="73" t="str">
        <f t="array" ref="Y872">INDIRECT("Update"&amp;Projections!$AH$17&amp;"!O"&amp;ROW(B853))</f>
        <v/>
      </c>
      <c r="Z872" s="73" t="str">
        <f t="array" ref="Z872">INDIRECT("Update"&amp;Projections!$AH$17&amp;"!P"&amp;ROW(B853))</f>
        <v/>
      </c>
      <c r="AA872" s="73" t="str">
        <f t="array" ref="AA872">INDIRECT("Update"&amp;Projections!$AH$17&amp;"!Q"&amp;ROW(B853))</f>
        <v/>
      </c>
      <c r="AB872" s="107" t="str">
        <f t="array" ref="AB872">INDIRECT("Update"&amp;Projections!$AH$17&amp;"!I"&amp;ROW(B853))</f>
        <v/>
      </c>
      <c r="AC872" s="107" t="str">
        <f t="array" ref="AC872">INDIRECT("Update"&amp;Projections!$AH$17&amp;"!K"&amp;ROW(B853))</f>
        <v/>
      </c>
      <c r="AD872" s="73" t="str">
        <f t="array" ref="AD872">INDIRECT("Update"&amp;Projections!$AH$17&amp;"!R"&amp;ROW(B853))</f>
        <v/>
      </c>
      <c r="AE872" s="73">
        <f t="shared" si="16"/>
        <v>-3.155358621</v>
      </c>
      <c r="AF872" s="73">
        <f t="shared" si="17"/>
        <v>-1.740686581</v>
      </c>
      <c r="AG872" s="73">
        <f t="shared" si="18"/>
        <v>-2.380599106</v>
      </c>
      <c r="AH872" s="73">
        <f t="shared" si="19"/>
        <v>-1.79320266</v>
      </c>
      <c r="AI872" s="73">
        <f t="shared" si="20"/>
        <v>-3.240190514</v>
      </c>
      <c r="AJ872" s="73">
        <f t="shared" si="21"/>
        <v>-1.329092151</v>
      </c>
      <c r="AK872" s="73">
        <f t="shared" si="22"/>
        <v>0</v>
      </c>
      <c r="AL872" s="73">
        <f t="shared" si="23"/>
        <v>0</v>
      </c>
      <c r="AM872" s="73">
        <f t="shared" si="24"/>
        <v>0.433638093</v>
      </c>
      <c r="AN872" s="120">
        <f t="shared" si="25"/>
        <v>-3.240190514</v>
      </c>
      <c r="AO872" s="120">
        <f t="shared" si="26"/>
        <v>-6.395549135</v>
      </c>
      <c r="AP872" s="120" t="str">
        <f t="array" ref="AP872">INDIRECT("Update"&amp;Projections!$AH$17&amp;"!S"&amp;ROW(B853))</f>
        <v/>
      </c>
      <c r="AQ872" s="120" t="str">
        <f t="array" ref="AQ872">INDIRECT("Update"&amp;Projections!$AH$17&amp;"!T"&amp;ROW(B853))</f>
        <v/>
      </c>
      <c r="AR872" s="100">
        <f t="shared" si="27"/>
        <v>-9.965301026</v>
      </c>
    </row>
    <row r="873">
      <c r="A873" t="str">
        <f t="shared" si="3"/>
        <v/>
      </c>
      <c r="B873" s="42">
        <f t="shared" si="4"/>
        <v>-3.155358621</v>
      </c>
      <c r="C873" s="43">
        <f t="shared" si="5"/>
        <v>-1.740686581</v>
      </c>
      <c r="D873" s="42">
        <f t="shared" si="6"/>
        <v>-2.380599106</v>
      </c>
      <c r="E873" s="42">
        <f t="shared" si="7"/>
        <v>-1.79320266</v>
      </c>
      <c r="F873" s="42">
        <f t="shared" si="8"/>
        <v>-3.240190514</v>
      </c>
      <c r="G873" s="42">
        <f t="shared" si="9"/>
        <v>-1.329092151</v>
      </c>
      <c r="H873" s="42">
        <f t="shared" si="10"/>
        <v>0</v>
      </c>
      <c r="I873" s="42" t="str">
        <f>UpdateHashtag!S871</f>
        <v/>
      </c>
      <c r="J873" s="47">
        <f t="shared" si="11"/>
        <v>0</v>
      </c>
      <c r="K873" s="48" t="str">
        <f>UpdateHashtag!T871</f>
        <v/>
      </c>
      <c r="L873" s="42">
        <f t="shared" si="12"/>
        <v>-1.734552372</v>
      </c>
      <c r="N873" s="100">
        <f t="shared" si="13"/>
        <v>401</v>
      </c>
      <c r="O873" s="94" t="str">
        <f t="array" ref="O873">INDIRECT("Update"&amp;Projections!$AH$17&amp;"!B"&amp;ROW(B854))</f>
        <v/>
      </c>
      <c r="P873" s="414" t="str">
        <f t="array" ref="P873">INDIRECT("Update"&amp;Projections!$AH$17&amp;"!C"&amp;ROW(B854))</f>
        <v/>
      </c>
      <c r="Q873" s="94" t="str">
        <f>UpdateHashtag!F903</f>
        <v/>
      </c>
      <c r="R873" s="105" t="str">
        <f t="array" ref="R873">INDIRECT("Update"&amp;Projections!$AH$17&amp;"!D"&amp;ROW(B854))</f>
        <v/>
      </c>
      <c r="S873" s="73">
        <f t="shared" si="14"/>
        <v>-9.965301026</v>
      </c>
      <c r="T873" s="73">
        <f>SUM(AE873:AM873)-IFERROR(IFS(Projections!$I$17,AN873,Projections!$J$17,AO873),"")</f>
        <v>-9.965301026</v>
      </c>
      <c r="U873" s="73">
        <f t="shared" si="15"/>
        <v>0</v>
      </c>
      <c r="V873" s="73" t="str">
        <f t="array" ref="V873">INDIRECT("Update"&amp;Projections!$AH$17&amp;"!M"&amp;ROW(B854))</f>
        <v/>
      </c>
      <c r="W873" s="73" t="str">
        <f t="array" ref="W873">INDIRECT("Update"&amp;Projections!$AH$17&amp;"!L"&amp;ROW(B854))</f>
        <v/>
      </c>
      <c r="X873" s="73" t="str">
        <f t="array" ref="X873">INDIRECT("Update"&amp;Projections!$AH$17&amp;"!N"&amp;ROW(B854))</f>
        <v/>
      </c>
      <c r="Y873" s="73" t="str">
        <f t="array" ref="Y873">INDIRECT("Update"&amp;Projections!$AH$17&amp;"!O"&amp;ROW(B854))</f>
        <v/>
      </c>
      <c r="Z873" s="73" t="str">
        <f t="array" ref="Z873">INDIRECT("Update"&amp;Projections!$AH$17&amp;"!P"&amp;ROW(B854))</f>
        <v/>
      </c>
      <c r="AA873" s="73" t="str">
        <f t="array" ref="AA873">INDIRECT("Update"&amp;Projections!$AH$17&amp;"!Q"&amp;ROW(B854))</f>
        <v/>
      </c>
      <c r="AB873" s="107" t="str">
        <f t="array" ref="AB873">INDIRECT("Update"&amp;Projections!$AH$17&amp;"!I"&amp;ROW(B854))</f>
        <v/>
      </c>
      <c r="AC873" s="107" t="str">
        <f t="array" ref="AC873">INDIRECT("Update"&amp;Projections!$AH$17&amp;"!K"&amp;ROW(B854))</f>
        <v/>
      </c>
      <c r="AD873" s="73" t="str">
        <f t="array" ref="AD873">INDIRECT("Update"&amp;Projections!$AH$17&amp;"!R"&amp;ROW(B854))</f>
        <v/>
      </c>
      <c r="AE873" s="73">
        <f t="shared" si="16"/>
        <v>-3.155358621</v>
      </c>
      <c r="AF873" s="73">
        <f t="shared" si="17"/>
        <v>-1.740686581</v>
      </c>
      <c r="AG873" s="73">
        <f t="shared" si="18"/>
        <v>-2.380599106</v>
      </c>
      <c r="AH873" s="73">
        <f t="shared" si="19"/>
        <v>-1.79320266</v>
      </c>
      <c r="AI873" s="73">
        <f t="shared" si="20"/>
        <v>-3.240190514</v>
      </c>
      <c r="AJ873" s="73">
        <f t="shared" si="21"/>
        <v>-1.329092151</v>
      </c>
      <c r="AK873" s="73">
        <f t="shared" si="22"/>
        <v>0</v>
      </c>
      <c r="AL873" s="73">
        <f t="shared" si="23"/>
        <v>0</v>
      </c>
      <c r="AM873" s="73">
        <f t="shared" si="24"/>
        <v>0.433638093</v>
      </c>
      <c r="AN873" s="120">
        <f t="shared" si="25"/>
        <v>-3.240190514</v>
      </c>
      <c r="AO873" s="120">
        <f t="shared" si="26"/>
        <v>-6.395549135</v>
      </c>
      <c r="AP873" s="120" t="str">
        <f t="array" ref="AP873">INDIRECT("Update"&amp;Projections!$AH$17&amp;"!S"&amp;ROW(B854))</f>
        <v/>
      </c>
      <c r="AQ873" s="120" t="str">
        <f t="array" ref="AQ873">INDIRECT("Update"&amp;Projections!$AH$17&amp;"!T"&amp;ROW(B854))</f>
        <v/>
      </c>
      <c r="AR873" s="100">
        <f t="shared" si="27"/>
        <v>-9.965301026</v>
      </c>
    </row>
    <row r="874">
      <c r="A874" t="str">
        <f t="shared" si="3"/>
        <v/>
      </c>
      <c r="B874" s="42">
        <f t="shared" si="4"/>
        <v>-3.155358621</v>
      </c>
      <c r="C874" s="43">
        <f t="shared" si="5"/>
        <v>-1.740686581</v>
      </c>
      <c r="D874" s="42">
        <f t="shared" si="6"/>
        <v>-2.380599106</v>
      </c>
      <c r="E874" s="42">
        <f t="shared" si="7"/>
        <v>-1.79320266</v>
      </c>
      <c r="F874" s="42">
        <f t="shared" si="8"/>
        <v>-3.240190514</v>
      </c>
      <c r="G874" s="42">
        <f t="shared" si="9"/>
        <v>-1.329092151</v>
      </c>
      <c r="H874" s="42">
        <f t="shared" si="10"/>
        <v>0</v>
      </c>
      <c r="I874" s="42" t="str">
        <f>UpdateHashtag!S872</f>
        <v/>
      </c>
      <c r="J874" s="47">
        <f t="shared" si="11"/>
        <v>0</v>
      </c>
      <c r="K874" s="48" t="str">
        <f>UpdateHashtag!T872</f>
        <v/>
      </c>
      <c r="L874" s="42">
        <f t="shared" si="12"/>
        <v>-1.734552372</v>
      </c>
      <c r="N874" s="100">
        <f t="shared" si="13"/>
        <v>401</v>
      </c>
      <c r="O874" s="94" t="str">
        <f t="array" ref="O874">INDIRECT("Update"&amp;Projections!$AH$17&amp;"!B"&amp;ROW(B855))</f>
        <v/>
      </c>
      <c r="P874" s="414" t="str">
        <f t="array" ref="P874">INDIRECT("Update"&amp;Projections!$AH$17&amp;"!C"&amp;ROW(B855))</f>
        <v/>
      </c>
      <c r="Q874" s="94" t="str">
        <f>UpdateHashtag!F904</f>
        <v/>
      </c>
      <c r="R874" s="105" t="str">
        <f t="array" ref="R874">INDIRECT("Update"&amp;Projections!$AH$17&amp;"!D"&amp;ROW(B855))</f>
        <v/>
      </c>
      <c r="S874" s="73">
        <f t="shared" si="14"/>
        <v>-9.965301026</v>
      </c>
      <c r="T874" s="73">
        <f>SUM(AE874:AM874)-IFERROR(IFS(Projections!$I$17,AN874,Projections!$J$17,AO874),"")</f>
        <v>-9.965301026</v>
      </c>
      <c r="U874" s="73">
        <f t="shared" si="15"/>
        <v>0</v>
      </c>
      <c r="V874" s="73" t="str">
        <f t="array" ref="V874">INDIRECT("Update"&amp;Projections!$AH$17&amp;"!M"&amp;ROW(B855))</f>
        <v/>
      </c>
      <c r="W874" s="73" t="str">
        <f t="array" ref="W874">INDIRECT("Update"&amp;Projections!$AH$17&amp;"!L"&amp;ROW(B855))</f>
        <v/>
      </c>
      <c r="X874" s="73" t="str">
        <f t="array" ref="X874">INDIRECT("Update"&amp;Projections!$AH$17&amp;"!N"&amp;ROW(B855))</f>
        <v/>
      </c>
      <c r="Y874" s="73" t="str">
        <f t="array" ref="Y874">INDIRECT("Update"&amp;Projections!$AH$17&amp;"!O"&amp;ROW(B855))</f>
        <v/>
      </c>
      <c r="Z874" s="73" t="str">
        <f t="array" ref="Z874">INDIRECT("Update"&amp;Projections!$AH$17&amp;"!P"&amp;ROW(B855))</f>
        <v/>
      </c>
      <c r="AA874" s="73" t="str">
        <f t="array" ref="AA874">INDIRECT("Update"&amp;Projections!$AH$17&amp;"!Q"&amp;ROW(B855))</f>
        <v/>
      </c>
      <c r="AB874" s="107" t="str">
        <f t="array" ref="AB874">INDIRECT("Update"&amp;Projections!$AH$17&amp;"!I"&amp;ROW(B855))</f>
        <v/>
      </c>
      <c r="AC874" s="107" t="str">
        <f t="array" ref="AC874">INDIRECT("Update"&amp;Projections!$AH$17&amp;"!K"&amp;ROW(B855))</f>
        <v/>
      </c>
      <c r="AD874" s="73" t="str">
        <f t="array" ref="AD874">INDIRECT("Update"&amp;Projections!$AH$17&amp;"!R"&amp;ROW(B855))</f>
        <v/>
      </c>
      <c r="AE874" s="73">
        <f t="shared" si="16"/>
        <v>-3.155358621</v>
      </c>
      <c r="AF874" s="73">
        <f t="shared" si="17"/>
        <v>-1.740686581</v>
      </c>
      <c r="AG874" s="73">
        <f t="shared" si="18"/>
        <v>-2.380599106</v>
      </c>
      <c r="AH874" s="73">
        <f t="shared" si="19"/>
        <v>-1.79320266</v>
      </c>
      <c r="AI874" s="73">
        <f t="shared" si="20"/>
        <v>-3.240190514</v>
      </c>
      <c r="AJ874" s="73">
        <f t="shared" si="21"/>
        <v>-1.329092151</v>
      </c>
      <c r="AK874" s="73">
        <f t="shared" si="22"/>
        <v>0</v>
      </c>
      <c r="AL874" s="73">
        <f t="shared" si="23"/>
        <v>0</v>
      </c>
      <c r="AM874" s="73">
        <f t="shared" si="24"/>
        <v>0.433638093</v>
      </c>
      <c r="AN874" s="120">
        <f t="shared" si="25"/>
        <v>-3.240190514</v>
      </c>
      <c r="AO874" s="120">
        <f t="shared" si="26"/>
        <v>-6.395549135</v>
      </c>
      <c r="AP874" s="120" t="str">
        <f t="array" ref="AP874">INDIRECT("Update"&amp;Projections!$AH$17&amp;"!S"&amp;ROW(B855))</f>
        <v/>
      </c>
      <c r="AQ874" s="120" t="str">
        <f t="array" ref="AQ874">INDIRECT("Update"&amp;Projections!$AH$17&amp;"!T"&amp;ROW(B855))</f>
        <v/>
      </c>
      <c r="AR874" s="100">
        <f t="shared" si="27"/>
        <v>-9.965301026</v>
      </c>
    </row>
    <row r="875">
      <c r="A875" t="str">
        <f t="shared" si="3"/>
        <v/>
      </c>
      <c r="B875" s="42">
        <f t="shared" si="4"/>
        <v>-3.155358621</v>
      </c>
      <c r="C875" s="43">
        <f t="shared" si="5"/>
        <v>-1.740686581</v>
      </c>
      <c r="D875" s="42">
        <f t="shared" si="6"/>
        <v>-2.380599106</v>
      </c>
      <c r="E875" s="42">
        <f t="shared" si="7"/>
        <v>-1.79320266</v>
      </c>
      <c r="F875" s="42">
        <f t="shared" si="8"/>
        <v>-3.240190514</v>
      </c>
      <c r="G875" s="42">
        <f t="shared" si="9"/>
        <v>-1.329092151</v>
      </c>
      <c r="H875" s="42">
        <f t="shared" si="10"/>
        <v>0</v>
      </c>
      <c r="I875" s="42" t="str">
        <f>UpdateHashtag!S873</f>
        <v/>
      </c>
      <c r="J875" s="47">
        <f t="shared" si="11"/>
        <v>0</v>
      </c>
      <c r="K875" s="48" t="str">
        <f>UpdateHashtag!T873</f>
        <v/>
      </c>
      <c r="L875" s="42">
        <f t="shared" si="12"/>
        <v>-1.734552372</v>
      </c>
      <c r="N875" s="100">
        <f t="shared" si="13"/>
        <v>401</v>
      </c>
      <c r="O875" s="94" t="str">
        <f t="array" ref="O875">INDIRECT("Update"&amp;Projections!$AH$17&amp;"!B"&amp;ROW(B856))</f>
        <v/>
      </c>
      <c r="P875" s="414" t="str">
        <f t="array" ref="P875">INDIRECT("Update"&amp;Projections!$AH$17&amp;"!C"&amp;ROW(B856))</f>
        <v/>
      </c>
      <c r="Q875" s="94" t="str">
        <f>UpdateHashtag!F905</f>
        <v/>
      </c>
      <c r="R875" s="105" t="str">
        <f t="array" ref="R875">INDIRECT("Update"&amp;Projections!$AH$17&amp;"!D"&amp;ROW(B856))</f>
        <v/>
      </c>
      <c r="S875" s="73">
        <f t="shared" si="14"/>
        <v>-9.965301026</v>
      </c>
      <c r="T875" s="73">
        <f>SUM(AE875:AM875)-IFERROR(IFS(Projections!$I$17,AN875,Projections!$J$17,AO875),"")</f>
        <v>-9.965301026</v>
      </c>
      <c r="U875" s="73">
        <f t="shared" si="15"/>
        <v>0</v>
      </c>
      <c r="V875" s="73" t="str">
        <f t="array" ref="V875">INDIRECT("Update"&amp;Projections!$AH$17&amp;"!M"&amp;ROW(B856))</f>
        <v/>
      </c>
      <c r="W875" s="73" t="str">
        <f t="array" ref="W875">INDIRECT("Update"&amp;Projections!$AH$17&amp;"!L"&amp;ROW(B856))</f>
        <v/>
      </c>
      <c r="X875" s="73" t="str">
        <f t="array" ref="X875">INDIRECT("Update"&amp;Projections!$AH$17&amp;"!N"&amp;ROW(B856))</f>
        <v/>
      </c>
      <c r="Y875" s="73" t="str">
        <f t="array" ref="Y875">INDIRECT("Update"&amp;Projections!$AH$17&amp;"!O"&amp;ROW(B856))</f>
        <v/>
      </c>
      <c r="Z875" s="73" t="str">
        <f t="array" ref="Z875">INDIRECT("Update"&amp;Projections!$AH$17&amp;"!P"&amp;ROW(B856))</f>
        <v/>
      </c>
      <c r="AA875" s="73" t="str">
        <f t="array" ref="AA875">INDIRECT("Update"&amp;Projections!$AH$17&amp;"!Q"&amp;ROW(B856))</f>
        <v/>
      </c>
      <c r="AB875" s="107" t="str">
        <f t="array" ref="AB875">INDIRECT("Update"&amp;Projections!$AH$17&amp;"!I"&amp;ROW(B856))</f>
        <v/>
      </c>
      <c r="AC875" s="107" t="str">
        <f t="array" ref="AC875">INDIRECT("Update"&amp;Projections!$AH$17&amp;"!K"&amp;ROW(B856))</f>
        <v/>
      </c>
      <c r="AD875" s="73" t="str">
        <f t="array" ref="AD875">INDIRECT("Update"&amp;Projections!$AH$17&amp;"!R"&amp;ROW(B856))</f>
        <v/>
      </c>
      <c r="AE875" s="73">
        <f t="shared" si="16"/>
        <v>-3.155358621</v>
      </c>
      <c r="AF875" s="73">
        <f t="shared" si="17"/>
        <v>-1.740686581</v>
      </c>
      <c r="AG875" s="73">
        <f t="shared" si="18"/>
        <v>-2.380599106</v>
      </c>
      <c r="AH875" s="73">
        <f t="shared" si="19"/>
        <v>-1.79320266</v>
      </c>
      <c r="AI875" s="73">
        <f t="shared" si="20"/>
        <v>-3.240190514</v>
      </c>
      <c r="AJ875" s="73">
        <f t="shared" si="21"/>
        <v>-1.329092151</v>
      </c>
      <c r="AK875" s="73">
        <f t="shared" si="22"/>
        <v>0</v>
      </c>
      <c r="AL875" s="73">
        <f t="shared" si="23"/>
        <v>0</v>
      </c>
      <c r="AM875" s="73">
        <f t="shared" si="24"/>
        <v>0.433638093</v>
      </c>
      <c r="AN875" s="120">
        <f t="shared" si="25"/>
        <v>-3.240190514</v>
      </c>
      <c r="AO875" s="120">
        <f t="shared" si="26"/>
        <v>-6.395549135</v>
      </c>
      <c r="AP875" s="120" t="str">
        <f t="array" ref="AP875">INDIRECT("Update"&amp;Projections!$AH$17&amp;"!S"&amp;ROW(B856))</f>
        <v/>
      </c>
      <c r="AQ875" s="120" t="str">
        <f t="array" ref="AQ875">INDIRECT("Update"&amp;Projections!$AH$17&amp;"!T"&amp;ROW(B856))</f>
        <v/>
      </c>
      <c r="AR875" s="100">
        <f t="shared" si="27"/>
        <v>-9.965301026</v>
      </c>
    </row>
    <row r="876">
      <c r="A876" t="str">
        <f t="shared" si="3"/>
        <v/>
      </c>
      <c r="B876" s="42">
        <f t="shared" si="4"/>
        <v>-3.155358621</v>
      </c>
      <c r="C876" s="43">
        <f t="shared" si="5"/>
        <v>-1.740686581</v>
      </c>
      <c r="D876" s="42">
        <f t="shared" si="6"/>
        <v>-2.380599106</v>
      </c>
      <c r="E876" s="42">
        <f t="shared" si="7"/>
        <v>-1.79320266</v>
      </c>
      <c r="F876" s="42">
        <f t="shared" si="8"/>
        <v>-3.240190514</v>
      </c>
      <c r="G876" s="42">
        <f t="shared" si="9"/>
        <v>-1.329092151</v>
      </c>
      <c r="H876" s="42">
        <f t="shared" si="10"/>
        <v>0</v>
      </c>
      <c r="I876" s="42" t="str">
        <f>UpdateHashtag!S874</f>
        <v/>
      </c>
      <c r="J876" s="47">
        <f t="shared" si="11"/>
        <v>0</v>
      </c>
      <c r="K876" s="48" t="str">
        <f>UpdateHashtag!T874</f>
        <v/>
      </c>
      <c r="L876" s="42">
        <f t="shared" si="12"/>
        <v>-1.734552372</v>
      </c>
      <c r="N876" s="100">
        <f t="shared" si="13"/>
        <v>401</v>
      </c>
      <c r="O876" s="94" t="str">
        <f t="array" ref="O876">INDIRECT("Update"&amp;Projections!$AH$17&amp;"!B"&amp;ROW(B857))</f>
        <v/>
      </c>
      <c r="P876" s="414" t="str">
        <f t="array" ref="P876">INDIRECT("Update"&amp;Projections!$AH$17&amp;"!C"&amp;ROW(B857))</f>
        <v/>
      </c>
      <c r="Q876" s="94" t="str">
        <f>UpdateHashtag!F906</f>
        <v/>
      </c>
      <c r="R876" s="105" t="str">
        <f t="array" ref="R876">INDIRECT("Update"&amp;Projections!$AH$17&amp;"!D"&amp;ROW(B857))</f>
        <v/>
      </c>
      <c r="S876" s="73">
        <f t="shared" si="14"/>
        <v>-9.965301026</v>
      </c>
      <c r="T876" s="73">
        <f>SUM(AE876:AM876)-IFERROR(IFS(Projections!$I$17,AN876,Projections!$J$17,AO876),"")</f>
        <v>-9.965301026</v>
      </c>
      <c r="U876" s="73">
        <f t="shared" si="15"/>
        <v>0</v>
      </c>
      <c r="V876" s="73" t="str">
        <f t="array" ref="V876">INDIRECT("Update"&amp;Projections!$AH$17&amp;"!M"&amp;ROW(B857))</f>
        <v/>
      </c>
      <c r="W876" s="73" t="str">
        <f t="array" ref="W876">INDIRECT("Update"&amp;Projections!$AH$17&amp;"!L"&amp;ROW(B857))</f>
        <v/>
      </c>
      <c r="X876" s="73" t="str">
        <f t="array" ref="X876">INDIRECT("Update"&amp;Projections!$AH$17&amp;"!N"&amp;ROW(B857))</f>
        <v/>
      </c>
      <c r="Y876" s="73" t="str">
        <f t="array" ref="Y876">INDIRECT("Update"&amp;Projections!$AH$17&amp;"!O"&amp;ROW(B857))</f>
        <v/>
      </c>
      <c r="Z876" s="73" t="str">
        <f t="array" ref="Z876">INDIRECT("Update"&amp;Projections!$AH$17&amp;"!P"&amp;ROW(B857))</f>
        <v/>
      </c>
      <c r="AA876" s="73" t="str">
        <f t="array" ref="AA876">INDIRECT("Update"&amp;Projections!$AH$17&amp;"!Q"&amp;ROW(B857))</f>
        <v/>
      </c>
      <c r="AB876" s="107" t="str">
        <f t="array" ref="AB876">INDIRECT("Update"&amp;Projections!$AH$17&amp;"!I"&amp;ROW(B857))</f>
        <v/>
      </c>
      <c r="AC876" s="107" t="str">
        <f t="array" ref="AC876">INDIRECT("Update"&amp;Projections!$AH$17&amp;"!K"&amp;ROW(B857))</f>
        <v/>
      </c>
      <c r="AD876" s="73" t="str">
        <f t="array" ref="AD876">INDIRECT("Update"&amp;Projections!$AH$17&amp;"!R"&amp;ROW(B857))</f>
        <v/>
      </c>
      <c r="AE876" s="73">
        <f t="shared" si="16"/>
        <v>-3.155358621</v>
      </c>
      <c r="AF876" s="73">
        <f t="shared" si="17"/>
        <v>-1.740686581</v>
      </c>
      <c r="AG876" s="73">
        <f t="shared" si="18"/>
        <v>-2.380599106</v>
      </c>
      <c r="AH876" s="73">
        <f t="shared" si="19"/>
        <v>-1.79320266</v>
      </c>
      <c r="AI876" s="73">
        <f t="shared" si="20"/>
        <v>-3.240190514</v>
      </c>
      <c r="AJ876" s="73">
        <f t="shared" si="21"/>
        <v>-1.329092151</v>
      </c>
      <c r="AK876" s="73">
        <f t="shared" si="22"/>
        <v>0</v>
      </c>
      <c r="AL876" s="73">
        <f t="shared" si="23"/>
        <v>0</v>
      </c>
      <c r="AM876" s="73">
        <f t="shared" si="24"/>
        <v>0.433638093</v>
      </c>
      <c r="AN876" s="120">
        <f t="shared" si="25"/>
        <v>-3.240190514</v>
      </c>
      <c r="AO876" s="120">
        <f t="shared" si="26"/>
        <v>-6.395549135</v>
      </c>
      <c r="AP876" s="120" t="str">
        <f t="array" ref="AP876">INDIRECT("Update"&amp;Projections!$AH$17&amp;"!S"&amp;ROW(B857))</f>
        <v/>
      </c>
      <c r="AQ876" s="120" t="str">
        <f t="array" ref="AQ876">INDIRECT("Update"&amp;Projections!$AH$17&amp;"!T"&amp;ROW(B857))</f>
        <v/>
      </c>
      <c r="AR876" s="100">
        <f t="shared" si="27"/>
        <v>-9.965301026</v>
      </c>
    </row>
    <row r="877">
      <c r="A877" t="str">
        <f t="shared" si="3"/>
        <v/>
      </c>
      <c r="B877" s="42">
        <f t="shared" si="4"/>
        <v>-3.155358621</v>
      </c>
      <c r="C877" s="43">
        <f t="shared" si="5"/>
        <v>-1.740686581</v>
      </c>
      <c r="D877" s="42">
        <f t="shared" si="6"/>
        <v>-2.380599106</v>
      </c>
      <c r="E877" s="42">
        <f t="shared" si="7"/>
        <v>-1.79320266</v>
      </c>
      <c r="F877" s="42">
        <f t="shared" si="8"/>
        <v>-3.240190514</v>
      </c>
      <c r="G877" s="42">
        <f t="shared" si="9"/>
        <v>-1.329092151</v>
      </c>
      <c r="H877" s="42">
        <f t="shared" si="10"/>
        <v>0</v>
      </c>
      <c r="I877" s="42" t="str">
        <f>UpdateHashtag!S875</f>
        <v/>
      </c>
      <c r="J877" s="47">
        <f t="shared" si="11"/>
        <v>0</v>
      </c>
      <c r="K877" s="48" t="str">
        <f>UpdateHashtag!T875</f>
        <v/>
      </c>
      <c r="L877" s="42">
        <f t="shared" si="12"/>
        <v>-1.734552372</v>
      </c>
      <c r="N877" s="100">
        <f t="shared" si="13"/>
        <v>401</v>
      </c>
      <c r="O877" s="94" t="str">
        <f t="array" ref="O877">INDIRECT("Update"&amp;Projections!$AH$17&amp;"!B"&amp;ROW(B858))</f>
        <v/>
      </c>
      <c r="P877" s="414" t="str">
        <f t="array" ref="P877">INDIRECT("Update"&amp;Projections!$AH$17&amp;"!C"&amp;ROW(B858))</f>
        <v/>
      </c>
      <c r="Q877" s="94" t="str">
        <f>UpdateHashtag!F907</f>
        <v/>
      </c>
      <c r="R877" s="105" t="str">
        <f t="array" ref="R877">INDIRECT("Update"&amp;Projections!$AH$17&amp;"!D"&amp;ROW(B858))</f>
        <v/>
      </c>
      <c r="S877" s="73">
        <f t="shared" si="14"/>
        <v>-9.965301026</v>
      </c>
      <c r="T877" s="73">
        <f>SUM(AE877:AM877)-IFERROR(IFS(Projections!$I$17,AN877,Projections!$J$17,AO877),"")</f>
        <v>-9.965301026</v>
      </c>
      <c r="U877" s="73">
        <f t="shared" si="15"/>
        <v>0</v>
      </c>
      <c r="V877" s="73" t="str">
        <f t="array" ref="V877">INDIRECT("Update"&amp;Projections!$AH$17&amp;"!M"&amp;ROW(B858))</f>
        <v/>
      </c>
      <c r="W877" s="73" t="str">
        <f t="array" ref="W877">INDIRECT("Update"&amp;Projections!$AH$17&amp;"!L"&amp;ROW(B858))</f>
        <v/>
      </c>
      <c r="X877" s="73" t="str">
        <f t="array" ref="X877">INDIRECT("Update"&amp;Projections!$AH$17&amp;"!N"&amp;ROW(B858))</f>
        <v/>
      </c>
      <c r="Y877" s="73" t="str">
        <f t="array" ref="Y877">INDIRECT("Update"&amp;Projections!$AH$17&amp;"!O"&amp;ROW(B858))</f>
        <v/>
      </c>
      <c r="Z877" s="73" t="str">
        <f t="array" ref="Z877">INDIRECT("Update"&amp;Projections!$AH$17&amp;"!P"&amp;ROW(B858))</f>
        <v/>
      </c>
      <c r="AA877" s="73" t="str">
        <f t="array" ref="AA877">INDIRECT("Update"&amp;Projections!$AH$17&amp;"!Q"&amp;ROW(B858))</f>
        <v/>
      </c>
      <c r="AB877" s="107" t="str">
        <f t="array" ref="AB877">INDIRECT("Update"&amp;Projections!$AH$17&amp;"!I"&amp;ROW(B858))</f>
        <v/>
      </c>
      <c r="AC877" s="107" t="str">
        <f t="array" ref="AC877">INDIRECT("Update"&amp;Projections!$AH$17&amp;"!K"&amp;ROW(B858))</f>
        <v/>
      </c>
      <c r="AD877" s="73" t="str">
        <f t="array" ref="AD877">INDIRECT("Update"&amp;Projections!$AH$17&amp;"!R"&amp;ROW(B858))</f>
        <v/>
      </c>
      <c r="AE877" s="73">
        <f t="shared" si="16"/>
        <v>-3.155358621</v>
      </c>
      <c r="AF877" s="73">
        <f t="shared" si="17"/>
        <v>-1.740686581</v>
      </c>
      <c r="AG877" s="73">
        <f t="shared" si="18"/>
        <v>-2.380599106</v>
      </c>
      <c r="AH877" s="73">
        <f t="shared" si="19"/>
        <v>-1.79320266</v>
      </c>
      <c r="AI877" s="73">
        <f t="shared" si="20"/>
        <v>-3.240190514</v>
      </c>
      <c r="AJ877" s="73">
        <f t="shared" si="21"/>
        <v>-1.329092151</v>
      </c>
      <c r="AK877" s="73">
        <f t="shared" si="22"/>
        <v>0</v>
      </c>
      <c r="AL877" s="73">
        <f t="shared" si="23"/>
        <v>0</v>
      </c>
      <c r="AM877" s="73">
        <f t="shared" si="24"/>
        <v>0.433638093</v>
      </c>
      <c r="AN877" s="120">
        <f t="shared" si="25"/>
        <v>-3.240190514</v>
      </c>
      <c r="AO877" s="120">
        <f t="shared" si="26"/>
        <v>-6.395549135</v>
      </c>
      <c r="AP877" s="120" t="str">
        <f t="array" ref="AP877">INDIRECT("Update"&amp;Projections!$AH$17&amp;"!S"&amp;ROW(B858))</f>
        <v/>
      </c>
      <c r="AQ877" s="120" t="str">
        <f t="array" ref="AQ877">INDIRECT("Update"&amp;Projections!$AH$17&amp;"!T"&amp;ROW(B858))</f>
        <v/>
      </c>
      <c r="AR877" s="100">
        <f t="shared" si="27"/>
        <v>-9.965301026</v>
      </c>
    </row>
    <row r="878">
      <c r="A878" t="str">
        <f t="shared" si="3"/>
        <v/>
      </c>
      <c r="B878" s="42">
        <f t="shared" si="4"/>
        <v>-3.155358621</v>
      </c>
      <c r="C878" s="43">
        <f t="shared" si="5"/>
        <v>-1.740686581</v>
      </c>
      <c r="D878" s="42">
        <f t="shared" si="6"/>
        <v>-2.380599106</v>
      </c>
      <c r="E878" s="42">
        <f t="shared" si="7"/>
        <v>-1.79320266</v>
      </c>
      <c r="F878" s="42">
        <f t="shared" si="8"/>
        <v>-3.240190514</v>
      </c>
      <c r="G878" s="42">
        <f t="shared" si="9"/>
        <v>-1.329092151</v>
      </c>
      <c r="H878" s="42">
        <f t="shared" si="10"/>
        <v>0</v>
      </c>
      <c r="I878" s="42" t="str">
        <f>UpdateHashtag!S876</f>
        <v/>
      </c>
      <c r="J878" s="47">
        <f t="shared" si="11"/>
        <v>0</v>
      </c>
      <c r="K878" s="48" t="str">
        <f>UpdateHashtag!T876</f>
        <v/>
      </c>
      <c r="L878" s="42">
        <f t="shared" si="12"/>
        <v>-1.734552372</v>
      </c>
      <c r="N878" s="100">
        <f t="shared" si="13"/>
        <v>401</v>
      </c>
      <c r="O878" s="94" t="str">
        <f t="array" ref="O878">INDIRECT("Update"&amp;Projections!$AH$17&amp;"!B"&amp;ROW(B859))</f>
        <v/>
      </c>
      <c r="P878" s="414" t="str">
        <f t="array" ref="P878">INDIRECT("Update"&amp;Projections!$AH$17&amp;"!C"&amp;ROW(B859))</f>
        <v/>
      </c>
      <c r="Q878" s="94" t="str">
        <f>UpdateHashtag!F908</f>
        <v/>
      </c>
      <c r="R878" s="105" t="str">
        <f t="array" ref="R878">INDIRECT("Update"&amp;Projections!$AH$17&amp;"!D"&amp;ROW(B859))</f>
        <v/>
      </c>
      <c r="S878" s="73">
        <f t="shared" si="14"/>
        <v>-9.965301026</v>
      </c>
      <c r="T878" s="73">
        <f>SUM(AE878:AM878)-IFERROR(IFS(Projections!$I$17,AN878,Projections!$J$17,AO878),"")</f>
        <v>-9.965301026</v>
      </c>
      <c r="U878" s="73">
        <f t="shared" si="15"/>
        <v>0</v>
      </c>
      <c r="V878" s="73" t="str">
        <f t="array" ref="V878">INDIRECT("Update"&amp;Projections!$AH$17&amp;"!M"&amp;ROW(B859))</f>
        <v/>
      </c>
      <c r="W878" s="73" t="str">
        <f t="array" ref="W878">INDIRECT("Update"&amp;Projections!$AH$17&amp;"!L"&amp;ROW(B859))</f>
        <v/>
      </c>
      <c r="X878" s="73" t="str">
        <f t="array" ref="X878">INDIRECT("Update"&amp;Projections!$AH$17&amp;"!N"&amp;ROW(B859))</f>
        <v/>
      </c>
      <c r="Y878" s="73" t="str">
        <f t="array" ref="Y878">INDIRECT("Update"&amp;Projections!$AH$17&amp;"!O"&amp;ROW(B859))</f>
        <v/>
      </c>
      <c r="Z878" s="73" t="str">
        <f t="array" ref="Z878">INDIRECT("Update"&amp;Projections!$AH$17&amp;"!P"&amp;ROW(B859))</f>
        <v/>
      </c>
      <c r="AA878" s="73" t="str">
        <f t="array" ref="AA878">INDIRECT("Update"&amp;Projections!$AH$17&amp;"!Q"&amp;ROW(B859))</f>
        <v/>
      </c>
      <c r="AB878" s="107" t="str">
        <f t="array" ref="AB878">INDIRECT("Update"&amp;Projections!$AH$17&amp;"!I"&amp;ROW(B859))</f>
        <v/>
      </c>
      <c r="AC878" s="107" t="str">
        <f t="array" ref="AC878">INDIRECT("Update"&amp;Projections!$AH$17&amp;"!K"&amp;ROW(B859))</f>
        <v/>
      </c>
      <c r="AD878" s="73" t="str">
        <f t="array" ref="AD878">INDIRECT("Update"&amp;Projections!$AH$17&amp;"!R"&amp;ROW(B859))</f>
        <v/>
      </c>
      <c r="AE878" s="73">
        <f t="shared" si="16"/>
        <v>-3.155358621</v>
      </c>
      <c r="AF878" s="73">
        <f t="shared" si="17"/>
        <v>-1.740686581</v>
      </c>
      <c r="AG878" s="73">
        <f t="shared" si="18"/>
        <v>-2.380599106</v>
      </c>
      <c r="AH878" s="73">
        <f t="shared" si="19"/>
        <v>-1.79320266</v>
      </c>
      <c r="AI878" s="73">
        <f t="shared" si="20"/>
        <v>-3.240190514</v>
      </c>
      <c r="AJ878" s="73">
        <f t="shared" si="21"/>
        <v>-1.329092151</v>
      </c>
      <c r="AK878" s="73">
        <f t="shared" si="22"/>
        <v>0</v>
      </c>
      <c r="AL878" s="73">
        <f t="shared" si="23"/>
        <v>0</v>
      </c>
      <c r="AM878" s="73">
        <f t="shared" si="24"/>
        <v>0.433638093</v>
      </c>
      <c r="AN878" s="120">
        <f t="shared" si="25"/>
        <v>-3.240190514</v>
      </c>
      <c r="AO878" s="120">
        <f t="shared" si="26"/>
        <v>-6.395549135</v>
      </c>
      <c r="AP878" s="120" t="str">
        <f t="array" ref="AP878">INDIRECT("Update"&amp;Projections!$AH$17&amp;"!S"&amp;ROW(B859))</f>
        <v/>
      </c>
      <c r="AQ878" s="120" t="str">
        <f t="array" ref="AQ878">INDIRECT("Update"&amp;Projections!$AH$17&amp;"!T"&amp;ROW(B859))</f>
        <v/>
      </c>
      <c r="AR878" s="100">
        <f t="shared" si="27"/>
        <v>-9.965301026</v>
      </c>
    </row>
    <row r="879">
      <c r="A879" t="str">
        <f t="shared" si="3"/>
        <v/>
      </c>
      <c r="B879" s="42">
        <f t="shared" si="4"/>
        <v>-3.155358621</v>
      </c>
      <c r="C879" s="43">
        <f t="shared" si="5"/>
        <v>-1.740686581</v>
      </c>
      <c r="D879" s="42">
        <f t="shared" si="6"/>
        <v>-2.380599106</v>
      </c>
      <c r="E879" s="42">
        <f t="shared" si="7"/>
        <v>-1.79320266</v>
      </c>
      <c r="F879" s="42">
        <f t="shared" si="8"/>
        <v>-3.240190514</v>
      </c>
      <c r="G879" s="42">
        <f t="shared" si="9"/>
        <v>-1.329092151</v>
      </c>
      <c r="H879" s="42">
        <f t="shared" si="10"/>
        <v>0</v>
      </c>
      <c r="I879" s="42" t="str">
        <f>UpdateHashtag!S877</f>
        <v/>
      </c>
      <c r="J879" s="47">
        <f t="shared" si="11"/>
        <v>0</v>
      </c>
      <c r="K879" s="48" t="str">
        <f>UpdateHashtag!T877</f>
        <v/>
      </c>
      <c r="L879" s="42">
        <f t="shared" si="12"/>
        <v>-1.734552372</v>
      </c>
      <c r="N879" s="100">
        <f t="shared" si="13"/>
        <v>401</v>
      </c>
      <c r="O879" s="94" t="str">
        <f t="array" ref="O879">INDIRECT("Update"&amp;Projections!$AH$17&amp;"!B"&amp;ROW(B860))</f>
        <v/>
      </c>
      <c r="P879" s="414" t="str">
        <f t="array" ref="P879">INDIRECT("Update"&amp;Projections!$AH$17&amp;"!C"&amp;ROW(B860))</f>
        <v/>
      </c>
      <c r="Q879" s="94" t="str">
        <f>UpdateHashtag!F909</f>
        <v/>
      </c>
      <c r="R879" s="105" t="str">
        <f t="array" ref="R879">INDIRECT("Update"&amp;Projections!$AH$17&amp;"!D"&amp;ROW(B860))</f>
        <v/>
      </c>
      <c r="S879" s="73">
        <f t="shared" si="14"/>
        <v>-9.965301026</v>
      </c>
      <c r="T879" s="73">
        <f>SUM(AE879:AM879)-IFERROR(IFS(Projections!$I$17,AN879,Projections!$J$17,AO879),"")</f>
        <v>-9.965301026</v>
      </c>
      <c r="U879" s="73">
        <f t="shared" si="15"/>
        <v>0</v>
      </c>
      <c r="V879" s="73" t="str">
        <f t="array" ref="V879">INDIRECT("Update"&amp;Projections!$AH$17&amp;"!M"&amp;ROW(B860))</f>
        <v/>
      </c>
      <c r="W879" s="73" t="str">
        <f t="array" ref="W879">INDIRECT("Update"&amp;Projections!$AH$17&amp;"!L"&amp;ROW(B860))</f>
        <v/>
      </c>
      <c r="X879" s="73" t="str">
        <f t="array" ref="X879">INDIRECT("Update"&amp;Projections!$AH$17&amp;"!N"&amp;ROW(B860))</f>
        <v/>
      </c>
      <c r="Y879" s="73" t="str">
        <f t="array" ref="Y879">INDIRECT("Update"&amp;Projections!$AH$17&amp;"!O"&amp;ROW(B860))</f>
        <v/>
      </c>
      <c r="Z879" s="73" t="str">
        <f t="array" ref="Z879">INDIRECT("Update"&amp;Projections!$AH$17&amp;"!P"&amp;ROW(B860))</f>
        <v/>
      </c>
      <c r="AA879" s="73" t="str">
        <f t="array" ref="AA879">INDIRECT("Update"&amp;Projections!$AH$17&amp;"!Q"&amp;ROW(B860))</f>
        <v/>
      </c>
      <c r="AB879" s="107" t="str">
        <f t="array" ref="AB879">INDIRECT("Update"&amp;Projections!$AH$17&amp;"!I"&amp;ROW(B860))</f>
        <v/>
      </c>
      <c r="AC879" s="107" t="str">
        <f t="array" ref="AC879">INDIRECT("Update"&amp;Projections!$AH$17&amp;"!K"&amp;ROW(B860))</f>
        <v/>
      </c>
      <c r="AD879" s="73" t="str">
        <f t="array" ref="AD879">INDIRECT("Update"&amp;Projections!$AH$17&amp;"!R"&amp;ROW(B860))</f>
        <v/>
      </c>
      <c r="AE879" s="73">
        <f t="shared" si="16"/>
        <v>-3.155358621</v>
      </c>
      <c r="AF879" s="73">
        <f t="shared" si="17"/>
        <v>-1.740686581</v>
      </c>
      <c r="AG879" s="73">
        <f t="shared" si="18"/>
        <v>-2.380599106</v>
      </c>
      <c r="AH879" s="73">
        <f t="shared" si="19"/>
        <v>-1.79320266</v>
      </c>
      <c r="AI879" s="73">
        <f t="shared" si="20"/>
        <v>-3.240190514</v>
      </c>
      <c r="AJ879" s="73">
        <f t="shared" si="21"/>
        <v>-1.329092151</v>
      </c>
      <c r="AK879" s="73">
        <f t="shared" si="22"/>
        <v>0</v>
      </c>
      <c r="AL879" s="73">
        <f t="shared" si="23"/>
        <v>0</v>
      </c>
      <c r="AM879" s="73">
        <f t="shared" si="24"/>
        <v>0.433638093</v>
      </c>
      <c r="AN879" s="120">
        <f t="shared" si="25"/>
        <v>-3.240190514</v>
      </c>
      <c r="AO879" s="120">
        <f t="shared" si="26"/>
        <v>-6.395549135</v>
      </c>
      <c r="AP879" s="120" t="str">
        <f t="array" ref="AP879">INDIRECT("Update"&amp;Projections!$AH$17&amp;"!S"&amp;ROW(B860))</f>
        <v/>
      </c>
      <c r="AQ879" s="120" t="str">
        <f t="array" ref="AQ879">INDIRECT("Update"&amp;Projections!$AH$17&amp;"!T"&amp;ROW(B860))</f>
        <v/>
      </c>
      <c r="AR879" s="100">
        <f t="shared" si="27"/>
        <v>-9.965301026</v>
      </c>
    </row>
    <row r="880">
      <c r="A880" t="str">
        <f t="shared" si="3"/>
        <v/>
      </c>
      <c r="B880" s="42">
        <f t="shared" si="4"/>
        <v>-3.155358621</v>
      </c>
      <c r="C880" s="43">
        <f t="shared" si="5"/>
        <v>-1.740686581</v>
      </c>
      <c r="D880" s="42">
        <f t="shared" si="6"/>
        <v>-2.380599106</v>
      </c>
      <c r="E880" s="42">
        <f t="shared" si="7"/>
        <v>-1.79320266</v>
      </c>
      <c r="F880" s="42">
        <f t="shared" si="8"/>
        <v>-3.240190514</v>
      </c>
      <c r="G880" s="42">
        <f t="shared" si="9"/>
        <v>-1.329092151</v>
      </c>
      <c r="H880" s="42">
        <f t="shared" si="10"/>
        <v>0</v>
      </c>
      <c r="I880" s="42" t="str">
        <f>UpdateHashtag!S878</f>
        <v/>
      </c>
      <c r="J880" s="47">
        <f t="shared" si="11"/>
        <v>0</v>
      </c>
      <c r="K880" s="48" t="str">
        <f>UpdateHashtag!T878</f>
        <v/>
      </c>
      <c r="L880" s="42">
        <f t="shared" si="12"/>
        <v>-1.734552372</v>
      </c>
      <c r="N880" s="100">
        <f t="shared" si="13"/>
        <v>401</v>
      </c>
      <c r="O880" s="94" t="str">
        <f t="array" ref="O880">INDIRECT("Update"&amp;Projections!$AH$17&amp;"!B"&amp;ROW(B861))</f>
        <v/>
      </c>
      <c r="P880" s="414" t="str">
        <f t="array" ref="P880">INDIRECT("Update"&amp;Projections!$AH$17&amp;"!C"&amp;ROW(B861))</f>
        <v/>
      </c>
      <c r="Q880" s="94" t="str">
        <f>UpdateHashtag!F910</f>
        <v/>
      </c>
      <c r="R880" s="105" t="str">
        <f t="array" ref="R880">INDIRECT("Update"&amp;Projections!$AH$17&amp;"!D"&amp;ROW(B861))</f>
        <v/>
      </c>
      <c r="S880" s="73">
        <f t="shared" si="14"/>
        <v>-9.965301026</v>
      </c>
      <c r="T880" s="73">
        <f>SUM(AE880:AM880)-IFERROR(IFS(Projections!$I$17,AN880,Projections!$J$17,AO880),"")</f>
        <v>-9.965301026</v>
      </c>
      <c r="U880" s="73">
        <f t="shared" si="15"/>
        <v>0</v>
      </c>
      <c r="V880" s="73" t="str">
        <f t="array" ref="V880">INDIRECT("Update"&amp;Projections!$AH$17&amp;"!M"&amp;ROW(B861))</f>
        <v/>
      </c>
      <c r="W880" s="73" t="str">
        <f t="array" ref="W880">INDIRECT("Update"&amp;Projections!$AH$17&amp;"!L"&amp;ROW(B861))</f>
        <v/>
      </c>
      <c r="X880" s="73" t="str">
        <f t="array" ref="X880">INDIRECT("Update"&amp;Projections!$AH$17&amp;"!N"&amp;ROW(B861))</f>
        <v/>
      </c>
      <c r="Y880" s="73" t="str">
        <f t="array" ref="Y880">INDIRECT("Update"&amp;Projections!$AH$17&amp;"!O"&amp;ROW(B861))</f>
        <v/>
      </c>
      <c r="Z880" s="73" t="str">
        <f t="array" ref="Z880">INDIRECT("Update"&amp;Projections!$AH$17&amp;"!P"&amp;ROW(B861))</f>
        <v/>
      </c>
      <c r="AA880" s="73" t="str">
        <f t="array" ref="AA880">INDIRECT("Update"&amp;Projections!$AH$17&amp;"!Q"&amp;ROW(B861))</f>
        <v/>
      </c>
      <c r="AB880" s="107" t="str">
        <f t="array" ref="AB880">INDIRECT("Update"&amp;Projections!$AH$17&amp;"!I"&amp;ROW(B861))</f>
        <v/>
      </c>
      <c r="AC880" s="107" t="str">
        <f t="array" ref="AC880">INDIRECT("Update"&amp;Projections!$AH$17&amp;"!K"&amp;ROW(B861))</f>
        <v/>
      </c>
      <c r="AD880" s="73" t="str">
        <f t="array" ref="AD880">INDIRECT("Update"&amp;Projections!$AH$17&amp;"!R"&amp;ROW(B861))</f>
        <v/>
      </c>
      <c r="AE880" s="73">
        <f t="shared" si="16"/>
        <v>-3.155358621</v>
      </c>
      <c r="AF880" s="73">
        <f t="shared" si="17"/>
        <v>-1.740686581</v>
      </c>
      <c r="AG880" s="73">
        <f t="shared" si="18"/>
        <v>-2.380599106</v>
      </c>
      <c r="AH880" s="73">
        <f t="shared" si="19"/>
        <v>-1.79320266</v>
      </c>
      <c r="AI880" s="73">
        <f t="shared" si="20"/>
        <v>-3.240190514</v>
      </c>
      <c r="AJ880" s="73">
        <f t="shared" si="21"/>
        <v>-1.329092151</v>
      </c>
      <c r="AK880" s="73">
        <f t="shared" si="22"/>
        <v>0</v>
      </c>
      <c r="AL880" s="73">
        <f t="shared" si="23"/>
        <v>0</v>
      </c>
      <c r="AM880" s="73">
        <f t="shared" si="24"/>
        <v>0.433638093</v>
      </c>
      <c r="AN880" s="120">
        <f t="shared" si="25"/>
        <v>-3.240190514</v>
      </c>
      <c r="AO880" s="120">
        <f t="shared" si="26"/>
        <v>-6.395549135</v>
      </c>
      <c r="AP880" s="120" t="str">
        <f t="array" ref="AP880">INDIRECT("Update"&amp;Projections!$AH$17&amp;"!S"&amp;ROW(B861))</f>
        <v/>
      </c>
      <c r="AQ880" s="120" t="str">
        <f t="array" ref="AQ880">INDIRECT("Update"&amp;Projections!$AH$17&amp;"!T"&amp;ROW(B861))</f>
        <v/>
      </c>
      <c r="AR880" s="100">
        <f t="shared" si="27"/>
        <v>-9.965301026</v>
      </c>
    </row>
    <row r="881">
      <c r="A881" t="str">
        <f t="shared" si="3"/>
        <v/>
      </c>
      <c r="B881" s="42">
        <f t="shared" si="4"/>
        <v>-3.155358621</v>
      </c>
      <c r="C881" s="43">
        <f t="shared" si="5"/>
        <v>-1.740686581</v>
      </c>
      <c r="D881" s="42">
        <f t="shared" si="6"/>
        <v>-2.380599106</v>
      </c>
      <c r="E881" s="42">
        <f t="shared" si="7"/>
        <v>-1.79320266</v>
      </c>
      <c r="F881" s="42">
        <f t="shared" si="8"/>
        <v>-3.240190514</v>
      </c>
      <c r="G881" s="42">
        <f t="shared" si="9"/>
        <v>-1.329092151</v>
      </c>
      <c r="H881" s="42">
        <f t="shared" si="10"/>
        <v>0</v>
      </c>
      <c r="I881" s="42" t="str">
        <f>UpdateHashtag!S879</f>
        <v/>
      </c>
      <c r="J881" s="47">
        <f t="shared" si="11"/>
        <v>0</v>
      </c>
      <c r="K881" s="48" t="str">
        <f>UpdateHashtag!T879</f>
        <v/>
      </c>
      <c r="L881" s="42">
        <f t="shared" si="12"/>
        <v>-1.734552372</v>
      </c>
      <c r="N881" s="100">
        <f t="shared" si="13"/>
        <v>401</v>
      </c>
      <c r="O881" s="94" t="str">
        <f t="array" ref="O881">INDIRECT("Update"&amp;Projections!$AH$17&amp;"!B"&amp;ROW(B862))</f>
        <v/>
      </c>
      <c r="P881" s="414" t="str">
        <f t="array" ref="P881">INDIRECT("Update"&amp;Projections!$AH$17&amp;"!C"&amp;ROW(B862))</f>
        <v/>
      </c>
      <c r="Q881" s="94" t="str">
        <f>UpdateHashtag!F911</f>
        <v/>
      </c>
      <c r="R881" s="105" t="str">
        <f t="array" ref="R881">INDIRECT("Update"&amp;Projections!$AH$17&amp;"!D"&amp;ROW(B862))</f>
        <v/>
      </c>
      <c r="S881" s="73">
        <f t="shared" si="14"/>
        <v>-9.965301026</v>
      </c>
      <c r="T881" s="73">
        <f>SUM(AE881:AM881)-IFERROR(IFS(Projections!$I$17,AN881,Projections!$J$17,AO881),"")</f>
        <v>-9.965301026</v>
      </c>
      <c r="U881" s="73">
        <f t="shared" si="15"/>
        <v>0</v>
      </c>
      <c r="V881" s="73" t="str">
        <f t="array" ref="V881">INDIRECT("Update"&amp;Projections!$AH$17&amp;"!M"&amp;ROW(B862))</f>
        <v/>
      </c>
      <c r="W881" s="73" t="str">
        <f t="array" ref="W881">INDIRECT("Update"&amp;Projections!$AH$17&amp;"!L"&amp;ROW(B862))</f>
        <v/>
      </c>
      <c r="X881" s="73" t="str">
        <f t="array" ref="X881">INDIRECT("Update"&amp;Projections!$AH$17&amp;"!N"&amp;ROW(B862))</f>
        <v/>
      </c>
      <c r="Y881" s="73" t="str">
        <f t="array" ref="Y881">INDIRECT("Update"&amp;Projections!$AH$17&amp;"!O"&amp;ROW(B862))</f>
        <v/>
      </c>
      <c r="Z881" s="73" t="str">
        <f t="array" ref="Z881">INDIRECT("Update"&amp;Projections!$AH$17&amp;"!P"&amp;ROW(B862))</f>
        <v/>
      </c>
      <c r="AA881" s="73" t="str">
        <f t="array" ref="AA881">INDIRECT("Update"&amp;Projections!$AH$17&amp;"!Q"&amp;ROW(B862))</f>
        <v/>
      </c>
      <c r="AB881" s="107" t="str">
        <f t="array" ref="AB881">INDIRECT("Update"&amp;Projections!$AH$17&amp;"!I"&amp;ROW(B862))</f>
        <v/>
      </c>
      <c r="AC881" s="107" t="str">
        <f t="array" ref="AC881">INDIRECT("Update"&amp;Projections!$AH$17&amp;"!K"&amp;ROW(B862))</f>
        <v/>
      </c>
      <c r="AD881" s="73" t="str">
        <f t="array" ref="AD881">INDIRECT("Update"&amp;Projections!$AH$17&amp;"!R"&amp;ROW(B862))</f>
        <v/>
      </c>
      <c r="AE881" s="73">
        <f t="shared" si="16"/>
        <v>-3.155358621</v>
      </c>
      <c r="AF881" s="73">
        <f t="shared" si="17"/>
        <v>-1.740686581</v>
      </c>
      <c r="AG881" s="73">
        <f t="shared" si="18"/>
        <v>-2.380599106</v>
      </c>
      <c r="AH881" s="73">
        <f t="shared" si="19"/>
        <v>-1.79320266</v>
      </c>
      <c r="AI881" s="73">
        <f t="shared" si="20"/>
        <v>-3.240190514</v>
      </c>
      <c r="AJ881" s="73">
        <f t="shared" si="21"/>
        <v>-1.329092151</v>
      </c>
      <c r="AK881" s="73">
        <f t="shared" si="22"/>
        <v>0</v>
      </c>
      <c r="AL881" s="73">
        <f t="shared" si="23"/>
        <v>0</v>
      </c>
      <c r="AM881" s="73">
        <f t="shared" si="24"/>
        <v>0.433638093</v>
      </c>
      <c r="AN881" s="120">
        <f t="shared" si="25"/>
        <v>-3.240190514</v>
      </c>
      <c r="AO881" s="120">
        <f t="shared" si="26"/>
        <v>-6.395549135</v>
      </c>
      <c r="AP881" s="120" t="str">
        <f t="array" ref="AP881">INDIRECT("Update"&amp;Projections!$AH$17&amp;"!S"&amp;ROW(B862))</f>
        <v/>
      </c>
      <c r="AQ881" s="120" t="str">
        <f t="array" ref="AQ881">INDIRECT("Update"&amp;Projections!$AH$17&amp;"!T"&amp;ROW(B862))</f>
        <v/>
      </c>
      <c r="AR881" s="100">
        <f t="shared" si="27"/>
        <v>-9.965301026</v>
      </c>
    </row>
    <row r="882">
      <c r="A882" t="str">
        <f t="shared" si="3"/>
        <v/>
      </c>
      <c r="B882" s="42">
        <f t="shared" si="4"/>
        <v>-3.155358621</v>
      </c>
      <c r="C882" s="43">
        <f t="shared" si="5"/>
        <v>-1.740686581</v>
      </c>
      <c r="D882" s="42">
        <f t="shared" si="6"/>
        <v>-2.380599106</v>
      </c>
      <c r="E882" s="42">
        <f t="shared" si="7"/>
        <v>-1.79320266</v>
      </c>
      <c r="F882" s="42">
        <f t="shared" si="8"/>
        <v>-3.240190514</v>
      </c>
      <c r="G882" s="42">
        <f t="shared" si="9"/>
        <v>-1.329092151</v>
      </c>
      <c r="H882" s="42">
        <f t="shared" si="10"/>
        <v>0</v>
      </c>
      <c r="I882" s="42" t="str">
        <f>UpdateHashtag!S880</f>
        <v/>
      </c>
      <c r="J882" s="47">
        <f t="shared" si="11"/>
        <v>0</v>
      </c>
      <c r="K882" s="48" t="str">
        <f>UpdateHashtag!T880</f>
        <v/>
      </c>
      <c r="L882" s="42">
        <f t="shared" si="12"/>
        <v>-1.734552372</v>
      </c>
      <c r="N882" s="100">
        <f t="shared" si="13"/>
        <v>401</v>
      </c>
      <c r="O882" s="94" t="str">
        <f t="array" ref="O882">INDIRECT("Update"&amp;Projections!$AH$17&amp;"!B"&amp;ROW(B863))</f>
        <v/>
      </c>
      <c r="P882" s="414" t="str">
        <f t="array" ref="P882">INDIRECT("Update"&amp;Projections!$AH$17&amp;"!C"&amp;ROW(B863))</f>
        <v/>
      </c>
      <c r="Q882" s="94" t="str">
        <f>UpdateHashtag!F912</f>
        <v/>
      </c>
      <c r="R882" s="105" t="str">
        <f t="array" ref="R882">INDIRECT("Update"&amp;Projections!$AH$17&amp;"!D"&amp;ROW(B863))</f>
        <v/>
      </c>
      <c r="S882" s="73">
        <f t="shared" si="14"/>
        <v>-9.965301026</v>
      </c>
      <c r="T882" s="73">
        <f>SUM(AE882:AM882)-IFERROR(IFS(Projections!$I$17,AN882,Projections!$J$17,AO882),"")</f>
        <v>-9.965301026</v>
      </c>
      <c r="U882" s="73">
        <f t="shared" si="15"/>
        <v>0</v>
      </c>
      <c r="V882" s="73" t="str">
        <f t="array" ref="V882">INDIRECT("Update"&amp;Projections!$AH$17&amp;"!M"&amp;ROW(B863))</f>
        <v/>
      </c>
      <c r="W882" s="73" t="str">
        <f t="array" ref="W882">INDIRECT("Update"&amp;Projections!$AH$17&amp;"!L"&amp;ROW(B863))</f>
        <v/>
      </c>
      <c r="X882" s="73" t="str">
        <f t="array" ref="X882">INDIRECT("Update"&amp;Projections!$AH$17&amp;"!N"&amp;ROW(B863))</f>
        <v/>
      </c>
      <c r="Y882" s="73" t="str">
        <f t="array" ref="Y882">INDIRECT("Update"&amp;Projections!$AH$17&amp;"!O"&amp;ROW(B863))</f>
        <v/>
      </c>
      <c r="Z882" s="73" t="str">
        <f t="array" ref="Z882">INDIRECT("Update"&amp;Projections!$AH$17&amp;"!P"&amp;ROW(B863))</f>
        <v/>
      </c>
      <c r="AA882" s="73" t="str">
        <f t="array" ref="AA882">INDIRECT("Update"&amp;Projections!$AH$17&amp;"!Q"&amp;ROW(B863))</f>
        <v/>
      </c>
      <c r="AB882" s="107" t="str">
        <f t="array" ref="AB882">INDIRECT("Update"&amp;Projections!$AH$17&amp;"!I"&amp;ROW(B863))</f>
        <v/>
      </c>
      <c r="AC882" s="107" t="str">
        <f t="array" ref="AC882">INDIRECT("Update"&amp;Projections!$AH$17&amp;"!K"&amp;ROW(B863))</f>
        <v/>
      </c>
      <c r="AD882" s="73" t="str">
        <f t="array" ref="AD882">INDIRECT("Update"&amp;Projections!$AH$17&amp;"!R"&amp;ROW(B863))</f>
        <v/>
      </c>
      <c r="AE882" s="73">
        <f t="shared" si="16"/>
        <v>-3.155358621</v>
      </c>
      <c r="AF882" s="73">
        <f t="shared" si="17"/>
        <v>-1.740686581</v>
      </c>
      <c r="AG882" s="73">
        <f t="shared" si="18"/>
        <v>-2.380599106</v>
      </c>
      <c r="AH882" s="73">
        <f t="shared" si="19"/>
        <v>-1.79320266</v>
      </c>
      <c r="AI882" s="73">
        <f t="shared" si="20"/>
        <v>-3.240190514</v>
      </c>
      <c r="AJ882" s="73">
        <f t="shared" si="21"/>
        <v>-1.329092151</v>
      </c>
      <c r="AK882" s="73">
        <f t="shared" si="22"/>
        <v>0</v>
      </c>
      <c r="AL882" s="73">
        <f t="shared" si="23"/>
        <v>0</v>
      </c>
      <c r="AM882" s="73">
        <f t="shared" si="24"/>
        <v>0.433638093</v>
      </c>
      <c r="AN882" s="120">
        <f t="shared" si="25"/>
        <v>-3.240190514</v>
      </c>
      <c r="AO882" s="120">
        <f t="shared" si="26"/>
        <v>-6.395549135</v>
      </c>
      <c r="AP882" s="120" t="str">
        <f t="array" ref="AP882">INDIRECT("Update"&amp;Projections!$AH$17&amp;"!S"&amp;ROW(B863))</f>
        <v/>
      </c>
      <c r="AQ882" s="120" t="str">
        <f t="array" ref="AQ882">INDIRECT("Update"&amp;Projections!$AH$17&amp;"!T"&amp;ROW(B863))</f>
        <v/>
      </c>
      <c r="AR882" s="100">
        <f t="shared" si="27"/>
        <v>-9.965301026</v>
      </c>
    </row>
    <row r="883">
      <c r="A883" t="str">
        <f t="shared" si="3"/>
        <v/>
      </c>
      <c r="B883" s="42">
        <f t="shared" si="4"/>
        <v>-3.155358621</v>
      </c>
      <c r="C883" s="43">
        <f t="shared" si="5"/>
        <v>-1.740686581</v>
      </c>
      <c r="D883" s="42">
        <f t="shared" si="6"/>
        <v>-2.380599106</v>
      </c>
      <c r="E883" s="42">
        <f t="shared" si="7"/>
        <v>-1.79320266</v>
      </c>
      <c r="F883" s="42">
        <f t="shared" si="8"/>
        <v>-3.240190514</v>
      </c>
      <c r="G883" s="42">
        <f t="shared" si="9"/>
        <v>-1.329092151</v>
      </c>
      <c r="H883" s="42">
        <f t="shared" si="10"/>
        <v>0</v>
      </c>
      <c r="I883" s="42" t="str">
        <f>UpdateHashtag!S881</f>
        <v/>
      </c>
      <c r="J883" s="47">
        <f t="shared" si="11"/>
        <v>0</v>
      </c>
      <c r="K883" s="48" t="str">
        <f>UpdateHashtag!T881</f>
        <v/>
      </c>
      <c r="L883" s="42">
        <f t="shared" si="12"/>
        <v>-1.734552372</v>
      </c>
      <c r="N883" s="100">
        <f t="shared" si="13"/>
        <v>401</v>
      </c>
      <c r="O883" s="94" t="str">
        <f t="array" ref="O883">INDIRECT("Update"&amp;Projections!$AH$17&amp;"!B"&amp;ROW(B864))</f>
        <v/>
      </c>
      <c r="P883" s="414" t="str">
        <f t="array" ref="P883">INDIRECT("Update"&amp;Projections!$AH$17&amp;"!C"&amp;ROW(B864))</f>
        <v/>
      </c>
      <c r="Q883" s="94" t="str">
        <f>UpdateHashtag!F913</f>
        <v/>
      </c>
      <c r="R883" s="105" t="str">
        <f t="array" ref="R883">INDIRECT("Update"&amp;Projections!$AH$17&amp;"!D"&amp;ROW(B864))</f>
        <v/>
      </c>
      <c r="S883" s="73">
        <f t="shared" si="14"/>
        <v>-9.965301026</v>
      </c>
      <c r="T883" s="73">
        <f>SUM(AE883:AM883)-IFERROR(IFS(Projections!$I$17,AN883,Projections!$J$17,AO883),"")</f>
        <v>-9.965301026</v>
      </c>
      <c r="U883" s="73">
        <f t="shared" si="15"/>
        <v>0</v>
      </c>
      <c r="V883" s="73" t="str">
        <f t="array" ref="V883">INDIRECT("Update"&amp;Projections!$AH$17&amp;"!M"&amp;ROW(B864))</f>
        <v/>
      </c>
      <c r="W883" s="73" t="str">
        <f t="array" ref="W883">INDIRECT("Update"&amp;Projections!$AH$17&amp;"!L"&amp;ROW(B864))</f>
        <v/>
      </c>
      <c r="X883" s="73" t="str">
        <f t="array" ref="X883">INDIRECT("Update"&amp;Projections!$AH$17&amp;"!N"&amp;ROW(B864))</f>
        <v/>
      </c>
      <c r="Y883" s="73" t="str">
        <f t="array" ref="Y883">INDIRECT("Update"&amp;Projections!$AH$17&amp;"!O"&amp;ROW(B864))</f>
        <v/>
      </c>
      <c r="Z883" s="73" t="str">
        <f t="array" ref="Z883">INDIRECT("Update"&amp;Projections!$AH$17&amp;"!P"&amp;ROW(B864))</f>
        <v/>
      </c>
      <c r="AA883" s="73" t="str">
        <f t="array" ref="AA883">INDIRECT("Update"&amp;Projections!$AH$17&amp;"!Q"&amp;ROW(B864))</f>
        <v/>
      </c>
      <c r="AB883" s="107" t="str">
        <f t="array" ref="AB883">INDIRECT("Update"&amp;Projections!$AH$17&amp;"!I"&amp;ROW(B864))</f>
        <v/>
      </c>
      <c r="AC883" s="107" t="str">
        <f t="array" ref="AC883">INDIRECT("Update"&amp;Projections!$AH$17&amp;"!K"&amp;ROW(B864))</f>
        <v/>
      </c>
      <c r="AD883" s="73" t="str">
        <f t="array" ref="AD883">INDIRECT("Update"&amp;Projections!$AH$17&amp;"!R"&amp;ROW(B864))</f>
        <v/>
      </c>
      <c r="AE883" s="73">
        <f t="shared" si="16"/>
        <v>-3.155358621</v>
      </c>
      <c r="AF883" s="73">
        <f t="shared" si="17"/>
        <v>-1.740686581</v>
      </c>
      <c r="AG883" s="73">
        <f t="shared" si="18"/>
        <v>-2.380599106</v>
      </c>
      <c r="AH883" s="73">
        <f t="shared" si="19"/>
        <v>-1.79320266</v>
      </c>
      <c r="AI883" s="73">
        <f t="shared" si="20"/>
        <v>-3.240190514</v>
      </c>
      <c r="AJ883" s="73">
        <f t="shared" si="21"/>
        <v>-1.329092151</v>
      </c>
      <c r="AK883" s="73">
        <f t="shared" si="22"/>
        <v>0</v>
      </c>
      <c r="AL883" s="73">
        <f t="shared" si="23"/>
        <v>0</v>
      </c>
      <c r="AM883" s="73">
        <f t="shared" si="24"/>
        <v>0.433638093</v>
      </c>
      <c r="AN883" s="120">
        <f t="shared" si="25"/>
        <v>-3.240190514</v>
      </c>
      <c r="AO883" s="120">
        <f t="shared" si="26"/>
        <v>-6.395549135</v>
      </c>
      <c r="AP883" s="120" t="str">
        <f t="array" ref="AP883">INDIRECT("Update"&amp;Projections!$AH$17&amp;"!S"&amp;ROW(B864))</f>
        <v/>
      </c>
      <c r="AQ883" s="120" t="str">
        <f t="array" ref="AQ883">INDIRECT("Update"&amp;Projections!$AH$17&amp;"!T"&amp;ROW(B864))</f>
        <v/>
      </c>
      <c r="AR883" s="100">
        <f t="shared" si="27"/>
        <v>-9.965301026</v>
      </c>
    </row>
    <row r="884">
      <c r="A884" t="str">
        <f t="shared" si="3"/>
        <v/>
      </c>
      <c r="B884" s="42">
        <f t="shared" si="4"/>
        <v>-3.155358621</v>
      </c>
      <c r="C884" s="43">
        <f t="shared" si="5"/>
        <v>-1.740686581</v>
      </c>
      <c r="D884" s="42">
        <f t="shared" si="6"/>
        <v>-2.380599106</v>
      </c>
      <c r="E884" s="42">
        <f t="shared" si="7"/>
        <v>-1.79320266</v>
      </c>
      <c r="F884" s="42">
        <f t="shared" si="8"/>
        <v>-3.240190514</v>
      </c>
      <c r="G884" s="42">
        <f t="shared" si="9"/>
        <v>-1.329092151</v>
      </c>
      <c r="H884" s="42">
        <f t="shared" si="10"/>
        <v>0</v>
      </c>
      <c r="I884" s="42" t="str">
        <f>UpdateHashtag!S882</f>
        <v/>
      </c>
      <c r="J884" s="47">
        <f t="shared" si="11"/>
        <v>0</v>
      </c>
      <c r="K884" s="48" t="str">
        <f>UpdateHashtag!T882</f>
        <v/>
      </c>
      <c r="L884" s="42">
        <f t="shared" si="12"/>
        <v>-1.734552372</v>
      </c>
      <c r="N884" s="100">
        <f t="shared" si="13"/>
        <v>401</v>
      </c>
      <c r="O884" s="94" t="str">
        <f t="array" ref="O884">INDIRECT("Update"&amp;Projections!$AH$17&amp;"!B"&amp;ROW(B865))</f>
        <v/>
      </c>
      <c r="P884" s="414" t="str">
        <f t="array" ref="P884">INDIRECT("Update"&amp;Projections!$AH$17&amp;"!C"&amp;ROW(B865))</f>
        <v/>
      </c>
      <c r="Q884" s="94" t="str">
        <f>UpdateHashtag!F914</f>
        <v/>
      </c>
      <c r="R884" s="105" t="str">
        <f t="array" ref="R884">INDIRECT("Update"&amp;Projections!$AH$17&amp;"!D"&amp;ROW(B865))</f>
        <v/>
      </c>
      <c r="S884" s="73">
        <f t="shared" si="14"/>
        <v>-9.965301026</v>
      </c>
      <c r="T884" s="73">
        <f>SUM(AE884:AM884)-IFERROR(IFS(Projections!$I$17,AN884,Projections!$J$17,AO884),"")</f>
        <v>-9.965301026</v>
      </c>
      <c r="U884" s="73">
        <f t="shared" si="15"/>
        <v>0</v>
      </c>
      <c r="V884" s="73" t="str">
        <f t="array" ref="V884">INDIRECT("Update"&amp;Projections!$AH$17&amp;"!M"&amp;ROW(B865))</f>
        <v/>
      </c>
      <c r="W884" s="73" t="str">
        <f t="array" ref="W884">INDIRECT("Update"&amp;Projections!$AH$17&amp;"!L"&amp;ROW(B865))</f>
        <v/>
      </c>
      <c r="X884" s="73" t="str">
        <f t="array" ref="X884">INDIRECT("Update"&amp;Projections!$AH$17&amp;"!N"&amp;ROW(B865))</f>
        <v/>
      </c>
      <c r="Y884" s="73" t="str">
        <f t="array" ref="Y884">INDIRECT("Update"&amp;Projections!$AH$17&amp;"!O"&amp;ROW(B865))</f>
        <v/>
      </c>
      <c r="Z884" s="73" t="str">
        <f t="array" ref="Z884">INDIRECT("Update"&amp;Projections!$AH$17&amp;"!P"&amp;ROW(B865))</f>
        <v/>
      </c>
      <c r="AA884" s="73" t="str">
        <f t="array" ref="AA884">INDIRECT("Update"&amp;Projections!$AH$17&amp;"!Q"&amp;ROW(B865))</f>
        <v/>
      </c>
      <c r="AB884" s="107" t="str">
        <f t="array" ref="AB884">INDIRECT("Update"&amp;Projections!$AH$17&amp;"!I"&amp;ROW(B865))</f>
        <v/>
      </c>
      <c r="AC884" s="107" t="str">
        <f t="array" ref="AC884">INDIRECT("Update"&amp;Projections!$AH$17&amp;"!K"&amp;ROW(B865))</f>
        <v/>
      </c>
      <c r="AD884" s="73" t="str">
        <f t="array" ref="AD884">INDIRECT("Update"&amp;Projections!$AH$17&amp;"!R"&amp;ROW(B865))</f>
        <v/>
      </c>
      <c r="AE884" s="73">
        <f t="shared" si="16"/>
        <v>-3.155358621</v>
      </c>
      <c r="AF884" s="73">
        <f t="shared" si="17"/>
        <v>-1.740686581</v>
      </c>
      <c r="AG884" s="73">
        <f t="shared" si="18"/>
        <v>-2.380599106</v>
      </c>
      <c r="AH884" s="73">
        <f t="shared" si="19"/>
        <v>-1.79320266</v>
      </c>
      <c r="AI884" s="73">
        <f t="shared" si="20"/>
        <v>-3.240190514</v>
      </c>
      <c r="AJ884" s="73">
        <f t="shared" si="21"/>
        <v>-1.329092151</v>
      </c>
      <c r="AK884" s="73">
        <f t="shared" si="22"/>
        <v>0</v>
      </c>
      <c r="AL884" s="73">
        <f t="shared" si="23"/>
        <v>0</v>
      </c>
      <c r="AM884" s="73">
        <f t="shared" si="24"/>
        <v>0.433638093</v>
      </c>
      <c r="AN884" s="120">
        <f t="shared" si="25"/>
        <v>-3.240190514</v>
      </c>
      <c r="AO884" s="120">
        <f t="shared" si="26"/>
        <v>-6.395549135</v>
      </c>
      <c r="AP884" s="120" t="str">
        <f t="array" ref="AP884">INDIRECT("Update"&amp;Projections!$AH$17&amp;"!S"&amp;ROW(B865))</f>
        <v/>
      </c>
      <c r="AQ884" s="120" t="str">
        <f t="array" ref="AQ884">INDIRECT("Update"&amp;Projections!$AH$17&amp;"!T"&amp;ROW(B865))</f>
        <v/>
      </c>
      <c r="AR884" s="100">
        <f t="shared" si="27"/>
        <v>-9.965301026</v>
      </c>
    </row>
    <row r="885">
      <c r="A885" t="str">
        <f t="shared" si="3"/>
        <v/>
      </c>
      <c r="B885" s="42">
        <f t="shared" si="4"/>
        <v>-3.155358621</v>
      </c>
      <c r="C885" s="43">
        <f t="shared" si="5"/>
        <v>-1.740686581</v>
      </c>
      <c r="D885" s="42">
        <f t="shared" si="6"/>
        <v>-2.380599106</v>
      </c>
      <c r="E885" s="42">
        <f t="shared" si="7"/>
        <v>-1.79320266</v>
      </c>
      <c r="F885" s="42">
        <f t="shared" si="8"/>
        <v>-3.240190514</v>
      </c>
      <c r="G885" s="42">
        <f t="shared" si="9"/>
        <v>-1.329092151</v>
      </c>
      <c r="H885" s="42">
        <f t="shared" si="10"/>
        <v>0</v>
      </c>
      <c r="I885" s="42" t="str">
        <f>UpdateHashtag!S883</f>
        <v/>
      </c>
      <c r="J885" s="47">
        <f t="shared" si="11"/>
        <v>0</v>
      </c>
      <c r="K885" s="48" t="str">
        <f>UpdateHashtag!T883</f>
        <v/>
      </c>
      <c r="L885" s="42">
        <f t="shared" si="12"/>
        <v>-1.734552372</v>
      </c>
      <c r="N885" s="100">
        <f t="shared" si="13"/>
        <v>401</v>
      </c>
      <c r="O885" s="94" t="str">
        <f t="array" ref="O885">INDIRECT("Update"&amp;Projections!$AH$17&amp;"!B"&amp;ROW(B866))</f>
        <v/>
      </c>
      <c r="P885" s="414" t="str">
        <f t="array" ref="P885">INDIRECT("Update"&amp;Projections!$AH$17&amp;"!C"&amp;ROW(B866))</f>
        <v/>
      </c>
      <c r="Q885" s="94" t="str">
        <f>UpdateHashtag!F915</f>
        <v/>
      </c>
      <c r="R885" s="105" t="str">
        <f t="array" ref="R885">INDIRECT("Update"&amp;Projections!$AH$17&amp;"!D"&amp;ROW(B866))</f>
        <v/>
      </c>
      <c r="S885" s="73">
        <f t="shared" si="14"/>
        <v>-9.965301026</v>
      </c>
      <c r="T885" s="73">
        <f>SUM(AE885:AM885)-IFERROR(IFS(Projections!$I$17,AN885,Projections!$J$17,AO885),"")</f>
        <v>-9.965301026</v>
      </c>
      <c r="U885" s="73">
        <f t="shared" si="15"/>
        <v>0</v>
      </c>
      <c r="V885" s="73" t="str">
        <f t="array" ref="V885">INDIRECT("Update"&amp;Projections!$AH$17&amp;"!M"&amp;ROW(B866))</f>
        <v/>
      </c>
      <c r="W885" s="73" t="str">
        <f t="array" ref="W885">INDIRECT("Update"&amp;Projections!$AH$17&amp;"!L"&amp;ROW(B866))</f>
        <v/>
      </c>
      <c r="X885" s="73" t="str">
        <f t="array" ref="X885">INDIRECT("Update"&amp;Projections!$AH$17&amp;"!N"&amp;ROW(B866))</f>
        <v/>
      </c>
      <c r="Y885" s="73" t="str">
        <f t="array" ref="Y885">INDIRECT("Update"&amp;Projections!$AH$17&amp;"!O"&amp;ROW(B866))</f>
        <v/>
      </c>
      <c r="Z885" s="73" t="str">
        <f t="array" ref="Z885">INDIRECT("Update"&amp;Projections!$AH$17&amp;"!P"&amp;ROW(B866))</f>
        <v/>
      </c>
      <c r="AA885" s="73" t="str">
        <f t="array" ref="AA885">INDIRECT("Update"&amp;Projections!$AH$17&amp;"!Q"&amp;ROW(B866))</f>
        <v/>
      </c>
      <c r="AB885" s="107" t="str">
        <f t="array" ref="AB885">INDIRECT("Update"&amp;Projections!$AH$17&amp;"!I"&amp;ROW(B866))</f>
        <v/>
      </c>
      <c r="AC885" s="107" t="str">
        <f t="array" ref="AC885">INDIRECT("Update"&amp;Projections!$AH$17&amp;"!K"&amp;ROW(B866))</f>
        <v/>
      </c>
      <c r="AD885" s="73" t="str">
        <f t="array" ref="AD885">INDIRECT("Update"&amp;Projections!$AH$17&amp;"!R"&amp;ROW(B866))</f>
        <v/>
      </c>
      <c r="AE885" s="73">
        <f t="shared" si="16"/>
        <v>-3.155358621</v>
      </c>
      <c r="AF885" s="73">
        <f t="shared" si="17"/>
        <v>-1.740686581</v>
      </c>
      <c r="AG885" s="73">
        <f t="shared" si="18"/>
        <v>-2.380599106</v>
      </c>
      <c r="AH885" s="73">
        <f t="shared" si="19"/>
        <v>-1.79320266</v>
      </c>
      <c r="AI885" s="73">
        <f t="shared" si="20"/>
        <v>-3.240190514</v>
      </c>
      <c r="AJ885" s="73">
        <f t="shared" si="21"/>
        <v>-1.329092151</v>
      </c>
      <c r="AK885" s="73">
        <f t="shared" si="22"/>
        <v>0</v>
      </c>
      <c r="AL885" s="73">
        <f t="shared" si="23"/>
        <v>0</v>
      </c>
      <c r="AM885" s="73">
        <f t="shared" si="24"/>
        <v>0.433638093</v>
      </c>
      <c r="AN885" s="120">
        <f t="shared" si="25"/>
        <v>-3.240190514</v>
      </c>
      <c r="AO885" s="120">
        <f t="shared" si="26"/>
        <v>-6.395549135</v>
      </c>
      <c r="AP885" s="120" t="str">
        <f t="array" ref="AP885">INDIRECT("Update"&amp;Projections!$AH$17&amp;"!S"&amp;ROW(B866))</f>
        <v/>
      </c>
      <c r="AQ885" s="120" t="str">
        <f t="array" ref="AQ885">INDIRECT("Update"&amp;Projections!$AH$17&amp;"!T"&amp;ROW(B866))</f>
        <v/>
      </c>
      <c r="AR885" s="100">
        <f t="shared" si="27"/>
        <v>-9.965301026</v>
      </c>
    </row>
    <row r="886">
      <c r="A886" t="str">
        <f t="shared" si="3"/>
        <v/>
      </c>
      <c r="B886" s="42">
        <f t="shared" si="4"/>
        <v>-3.155358621</v>
      </c>
      <c r="C886" s="43">
        <f t="shared" si="5"/>
        <v>-1.740686581</v>
      </c>
      <c r="D886" s="42">
        <f t="shared" si="6"/>
        <v>-2.380599106</v>
      </c>
      <c r="E886" s="42">
        <f t="shared" si="7"/>
        <v>-1.79320266</v>
      </c>
      <c r="F886" s="42">
        <f t="shared" si="8"/>
        <v>-3.240190514</v>
      </c>
      <c r="G886" s="42">
        <f t="shared" si="9"/>
        <v>-1.329092151</v>
      </c>
      <c r="H886" s="42">
        <f t="shared" si="10"/>
        <v>0</v>
      </c>
      <c r="I886" s="42" t="str">
        <f>UpdateHashtag!S884</f>
        <v/>
      </c>
      <c r="J886" s="47">
        <f t="shared" si="11"/>
        <v>0</v>
      </c>
      <c r="K886" s="48" t="str">
        <f>UpdateHashtag!T884</f>
        <v/>
      </c>
      <c r="L886" s="42">
        <f t="shared" si="12"/>
        <v>-1.734552372</v>
      </c>
      <c r="N886" s="100">
        <f t="shared" si="13"/>
        <v>401</v>
      </c>
      <c r="O886" s="94" t="str">
        <f t="array" ref="O886">INDIRECT("Update"&amp;Projections!$AH$17&amp;"!B"&amp;ROW(B867))</f>
        <v/>
      </c>
      <c r="P886" s="414" t="str">
        <f t="array" ref="P886">INDIRECT("Update"&amp;Projections!$AH$17&amp;"!C"&amp;ROW(B867))</f>
        <v/>
      </c>
      <c r="Q886" s="94" t="str">
        <f>UpdateHashtag!F916</f>
        <v/>
      </c>
      <c r="R886" s="105" t="str">
        <f t="array" ref="R886">INDIRECT("Update"&amp;Projections!$AH$17&amp;"!D"&amp;ROW(B867))</f>
        <v/>
      </c>
      <c r="S886" s="73">
        <f t="shared" si="14"/>
        <v>-9.965301026</v>
      </c>
      <c r="T886" s="73">
        <f>SUM(AE886:AM886)-IFERROR(IFS(Projections!$I$17,AN886,Projections!$J$17,AO886),"")</f>
        <v>-9.965301026</v>
      </c>
      <c r="U886" s="73">
        <f t="shared" si="15"/>
        <v>0</v>
      </c>
      <c r="V886" s="73" t="str">
        <f t="array" ref="V886">INDIRECT("Update"&amp;Projections!$AH$17&amp;"!M"&amp;ROW(B867))</f>
        <v/>
      </c>
      <c r="W886" s="73" t="str">
        <f t="array" ref="W886">INDIRECT("Update"&amp;Projections!$AH$17&amp;"!L"&amp;ROW(B867))</f>
        <v/>
      </c>
      <c r="X886" s="73" t="str">
        <f t="array" ref="X886">INDIRECT("Update"&amp;Projections!$AH$17&amp;"!N"&amp;ROW(B867))</f>
        <v/>
      </c>
      <c r="Y886" s="73" t="str">
        <f t="array" ref="Y886">INDIRECT("Update"&amp;Projections!$AH$17&amp;"!O"&amp;ROW(B867))</f>
        <v/>
      </c>
      <c r="Z886" s="73" t="str">
        <f t="array" ref="Z886">INDIRECT("Update"&amp;Projections!$AH$17&amp;"!P"&amp;ROW(B867))</f>
        <v/>
      </c>
      <c r="AA886" s="73" t="str">
        <f t="array" ref="AA886">INDIRECT("Update"&amp;Projections!$AH$17&amp;"!Q"&amp;ROW(B867))</f>
        <v/>
      </c>
      <c r="AB886" s="107" t="str">
        <f t="array" ref="AB886">INDIRECT("Update"&amp;Projections!$AH$17&amp;"!I"&amp;ROW(B867))</f>
        <v/>
      </c>
      <c r="AC886" s="107" t="str">
        <f t="array" ref="AC886">INDIRECT("Update"&amp;Projections!$AH$17&amp;"!K"&amp;ROW(B867))</f>
        <v/>
      </c>
      <c r="AD886" s="73" t="str">
        <f t="array" ref="AD886">INDIRECT("Update"&amp;Projections!$AH$17&amp;"!R"&amp;ROW(B867))</f>
        <v/>
      </c>
      <c r="AE886" s="73">
        <f t="shared" si="16"/>
        <v>-3.155358621</v>
      </c>
      <c r="AF886" s="73">
        <f t="shared" si="17"/>
        <v>-1.740686581</v>
      </c>
      <c r="AG886" s="73">
        <f t="shared" si="18"/>
        <v>-2.380599106</v>
      </c>
      <c r="AH886" s="73">
        <f t="shared" si="19"/>
        <v>-1.79320266</v>
      </c>
      <c r="AI886" s="73">
        <f t="shared" si="20"/>
        <v>-3.240190514</v>
      </c>
      <c r="AJ886" s="73">
        <f t="shared" si="21"/>
        <v>-1.329092151</v>
      </c>
      <c r="AK886" s="73">
        <f t="shared" si="22"/>
        <v>0</v>
      </c>
      <c r="AL886" s="73">
        <f t="shared" si="23"/>
        <v>0</v>
      </c>
      <c r="AM886" s="73">
        <f t="shared" si="24"/>
        <v>0.433638093</v>
      </c>
      <c r="AN886" s="120">
        <f t="shared" si="25"/>
        <v>-3.240190514</v>
      </c>
      <c r="AO886" s="120">
        <f t="shared" si="26"/>
        <v>-6.395549135</v>
      </c>
      <c r="AP886" s="120" t="str">
        <f t="array" ref="AP886">INDIRECT("Update"&amp;Projections!$AH$17&amp;"!S"&amp;ROW(B867))</f>
        <v/>
      </c>
      <c r="AQ886" s="120" t="str">
        <f t="array" ref="AQ886">INDIRECT("Update"&amp;Projections!$AH$17&amp;"!T"&amp;ROW(B867))</f>
        <v/>
      </c>
      <c r="AR886" s="100">
        <f t="shared" si="27"/>
        <v>-9.965301026</v>
      </c>
    </row>
    <row r="887">
      <c r="A887" t="str">
        <f t="shared" si="3"/>
        <v/>
      </c>
      <c r="B887" s="42">
        <f t="shared" si="4"/>
        <v>-3.155358621</v>
      </c>
      <c r="C887" s="43">
        <f t="shared" si="5"/>
        <v>-1.740686581</v>
      </c>
      <c r="D887" s="42">
        <f t="shared" si="6"/>
        <v>-2.380599106</v>
      </c>
      <c r="E887" s="42">
        <f t="shared" si="7"/>
        <v>-1.79320266</v>
      </c>
      <c r="F887" s="42">
        <f t="shared" si="8"/>
        <v>-3.240190514</v>
      </c>
      <c r="G887" s="42">
        <f t="shared" si="9"/>
        <v>-1.329092151</v>
      </c>
      <c r="H887" s="42">
        <f t="shared" si="10"/>
        <v>0</v>
      </c>
      <c r="I887" s="42" t="str">
        <f>UpdateHashtag!S885</f>
        <v/>
      </c>
      <c r="J887" s="47">
        <f t="shared" si="11"/>
        <v>0</v>
      </c>
      <c r="K887" s="48" t="str">
        <f>UpdateHashtag!T885</f>
        <v/>
      </c>
      <c r="L887" s="42">
        <f t="shared" si="12"/>
        <v>-1.734552372</v>
      </c>
      <c r="N887" s="100">
        <f t="shared" si="13"/>
        <v>401</v>
      </c>
      <c r="O887" s="94" t="str">
        <f t="array" ref="O887">INDIRECT("Update"&amp;Projections!$AH$17&amp;"!B"&amp;ROW(B868))</f>
        <v/>
      </c>
      <c r="P887" s="414" t="str">
        <f t="array" ref="P887">INDIRECT("Update"&amp;Projections!$AH$17&amp;"!C"&amp;ROW(B868))</f>
        <v/>
      </c>
      <c r="Q887" s="94" t="str">
        <f>UpdateHashtag!F917</f>
        <v/>
      </c>
      <c r="R887" s="105" t="str">
        <f t="array" ref="R887">INDIRECT("Update"&amp;Projections!$AH$17&amp;"!D"&amp;ROW(B868))</f>
        <v/>
      </c>
      <c r="S887" s="73">
        <f t="shared" si="14"/>
        <v>-9.965301026</v>
      </c>
      <c r="T887" s="73">
        <f>SUM(AE887:AM887)-IFERROR(IFS(Projections!$I$17,AN887,Projections!$J$17,AO887),"")</f>
        <v>-9.965301026</v>
      </c>
      <c r="U887" s="73">
        <f t="shared" si="15"/>
        <v>0</v>
      </c>
      <c r="V887" s="73" t="str">
        <f t="array" ref="V887">INDIRECT("Update"&amp;Projections!$AH$17&amp;"!M"&amp;ROW(B868))</f>
        <v/>
      </c>
      <c r="W887" s="73" t="str">
        <f t="array" ref="W887">INDIRECT("Update"&amp;Projections!$AH$17&amp;"!L"&amp;ROW(B868))</f>
        <v/>
      </c>
      <c r="X887" s="73" t="str">
        <f t="array" ref="X887">INDIRECT("Update"&amp;Projections!$AH$17&amp;"!N"&amp;ROW(B868))</f>
        <v/>
      </c>
      <c r="Y887" s="73" t="str">
        <f t="array" ref="Y887">INDIRECT("Update"&amp;Projections!$AH$17&amp;"!O"&amp;ROW(B868))</f>
        <v/>
      </c>
      <c r="Z887" s="73" t="str">
        <f t="array" ref="Z887">INDIRECT("Update"&amp;Projections!$AH$17&amp;"!P"&amp;ROW(B868))</f>
        <v/>
      </c>
      <c r="AA887" s="73" t="str">
        <f t="array" ref="AA887">INDIRECT("Update"&amp;Projections!$AH$17&amp;"!Q"&amp;ROW(B868))</f>
        <v/>
      </c>
      <c r="AB887" s="107" t="str">
        <f t="array" ref="AB887">INDIRECT("Update"&amp;Projections!$AH$17&amp;"!I"&amp;ROW(B868))</f>
        <v/>
      </c>
      <c r="AC887" s="107" t="str">
        <f t="array" ref="AC887">INDIRECT("Update"&amp;Projections!$AH$17&amp;"!K"&amp;ROW(B868))</f>
        <v/>
      </c>
      <c r="AD887" s="73" t="str">
        <f t="array" ref="AD887">INDIRECT("Update"&amp;Projections!$AH$17&amp;"!R"&amp;ROW(B868))</f>
        <v/>
      </c>
      <c r="AE887" s="73">
        <f t="shared" si="16"/>
        <v>-3.155358621</v>
      </c>
      <c r="AF887" s="73">
        <f t="shared" si="17"/>
        <v>-1.740686581</v>
      </c>
      <c r="AG887" s="73">
        <f t="shared" si="18"/>
        <v>-2.380599106</v>
      </c>
      <c r="AH887" s="73">
        <f t="shared" si="19"/>
        <v>-1.79320266</v>
      </c>
      <c r="AI887" s="73">
        <f t="shared" si="20"/>
        <v>-3.240190514</v>
      </c>
      <c r="AJ887" s="73">
        <f t="shared" si="21"/>
        <v>-1.329092151</v>
      </c>
      <c r="AK887" s="73">
        <f t="shared" si="22"/>
        <v>0</v>
      </c>
      <c r="AL887" s="73">
        <f t="shared" si="23"/>
        <v>0</v>
      </c>
      <c r="AM887" s="73">
        <f t="shared" si="24"/>
        <v>0.433638093</v>
      </c>
      <c r="AN887" s="120">
        <f t="shared" si="25"/>
        <v>-3.240190514</v>
      </c>
      <c r="AO887" s="120">
        <f t="shared" si="26"/>
        <v>-6.395549135</v>
      </c>
      <c r="AP887" s="120" t="str">
        <f t="array" ref="AP887">INDIRECT("Update"&amp;Projections!$AH$17&amp;"!S"&amp;ROW(B868))</f>
        <v/>
      </c>
      <c r="AQ887" s="120" t="str">
        <f t="array" ref="AQ887">INDIRECT("Update"&amp;Projections!$AH$17&amp;"!T"&amp;ROW(B868))</f>
        <v/>
      </c>
      <c r="AR887" s="100">
        <f t="shared" si="27"/>
        <v>-9.965301026</v>
      </c>
    </row>
    <row r="888">
      <c r="A888" t="str">
        <f t="shared" si="3"/>
        <v/>
      </c>
      <c r="B888" s="42">
        <f t="shared" si="4"/>
        <v>-3.155358621</v>
      </c>
      <c r="C888" s="43">
        <f t="shared" si="5"/>
        <v>-1.740686581</v>
      </c>
      <c r="D888" s="42">
        <f t="shared" si="6"/>
        <v>-2.380599106</v>
      </c>
      <c r="E888" s="42">
        <f t="shared" si="7"/>
        <v>-1.79320266</v>
      </c>
      <c r="F888" s="42">
        <f t="shared" si="8"/>
        <v>-3.240190514</v>
      </c>
      <c r="G888" s="42">
        <f t="shared" si="9"/>
        <v>-1.329092151</v>
      </c>
      <c r="H888" s="42">
        <f t="shared" si="10"/>
        <v>0</v>
      </c>
      <c r="I888" s="42" t="str">
        <f>UpdateHashtag!S886</f>
        <v/>
      </c>
      <c r="J888" s="47">
        <f t="shared" si="11"/>
        <v>0</v>
      </c>
      <c r="K888" s="48" t="str">
        <f>UpdateHashtag!T886</f>
        <v/>
      </c>
      <c r="L888" s="42">
        <f t="shared" si="12"/>
        <v>-1.734552372</v>
      </c>
      <c r="N888" s="100">
        <f t="shared" si="13"/>
        <v>401</v>
      </c>
      <c r="O888" s="94" t="str">
        <f t="array" ref="O888">INDIRECT("Update"&amp;Projections!$AH$17&amp;"!B"&amp;ROW(B869))</f>
        <v/>
      </c>
      <c r="P888" s="414" t="str">
        <f t="array" ref="P888">INDIRECT("Update"&amp;Projections!$AH$17&amp;"!C"&amp;ROW(B869))</f>
        <v/>
      </c>
      <c r="Q888" s="94" t="str">
        <f>UpdateHashtag!F918</f>
        <v/>
      </c>
      <c r="R888" s="105" t="str">
        <f t="array" ref="R888">INDIRECT("Update"&amp;Projections!$AH$17&amp;"!D"&amp;ROW(B869))</f>
        <v/>
      </c>
      <c r="S888" s="73">
        <f t="shared" si="14"/>
        <v>-9.965301026</v>
      </c>
      <c r="T888" s="73">
        <f>SUM(AE888:AM888)-IFERROR(IFS(Projections!$I$17,AN888,Projections!$J$17,AO888),"")</f>
        <v>-9.965301026</v>
      </c>
      <c r="U888" s="73">
        <f t="shared" si="15"/>
        <v>0</v>
      </c>
      <c r="V888" s="73" t="str">
        <f t="array" ref="V888">INDIRECT("Update"&amp;Projections!$AH$17&amp;"!M"&amp;ROW(B869))</f>
        <v/>
      </c>
      <c r="W888" s="73" t="str">
        <f t="array" ref="W888">INDIRECT("Update"&amp;Projections!$AH$17&amp;"!L"&amp;ROW(B869))</f>
        <v/>
      </c>
      <c r="X888" s="73" t="str">
        <f t="array" ref="X888">INDIRECT("Update"&amp;Projections!$AH$17&amp;"!N"&amp;ROW(B869))</f>
        <v/>
      </c>
      <c r="Y888" s="73" t="str">
        <f t="array" ref="Y888">INDIRECT("Update"&amp;Projections!$AH$17&amp;"!O"&amp;ROW(B869))</f>
        <v/>
      </c>
      <c r="Z888" s="73" t="str">
        <f t="array" ref="Z888">INDIRECT("Update"&amp;Projections!$AH$17&amp;"!P"&amp;ROW(B869))</f>
        <v/>
      </c>
      <c r="AA888" s="73" t="str">
        <f t="array" ref="AA888">INDIRECT("Update"&amp;Projections!$AH$17&amp;"!Q"&amp;ROW(B869))</f>
        <v/>
      </c>
      <c r="AB888" s="107" t="str">
        <f t="array" ref="AB888">INDIRECT("Update"&amp;Projections!$AH$17&amp;"!I"&amp;ROW(B869))</f>
        <v/>
      </c>
      <c r="AC888" s="107" t="str">
        <f t="array" ref="AC888">INDIRECT("Update"&amp;Projections!$AH$17&amp;"!K"&amp;ROW(B869))</f>
        <v/>
      </c>
      <c r="AD888" s="73" t="str">
        <f t="array" ref="AD888">INDIRECT("Update"&amp;Projections!$AH$17&amp;"!R"&amp;ROW(B869))</f>
        <v/>
      </c>
      <c r="AE888" s="73">
        <f t="shared" si="16"/>
        <v>-3.155358621</v>
      </c>
      <c r="AF888" s="73">
        <f t="shared" si="17"/>
        <v>-1.740686581</v>
      </c>
      <c r="AG888" s="73">
        <f t="shared" si="18"/>
        <v>-2.380599106</v>
      </c>
      <c r="AH888" s="73">
        <f t="shared" si="19"/>
        <v>-1.79320266</v>
      </c>
      <c r="AI888" s="73">
        <f t="shared" si="20"/>
        <v>-3.240190514</v>
      </c>
      <c r="AJ888" s="73">
        <f t="shared" si="21"/>
        <v>-1.329092151</v>
      </c>
      <c r="AK888" s="73">
        <f t="shared" si="22"/>
        <v>0</v>
      </c>
      <c r="AL888" s="73">
        <f t="shared" si="23"/>
        <v>0</v>
      </c>
      <c r="AM888" s="73">
        <f t="shared" si="24"/>
        <v>0.433638093</v>
      </c>
      <c r="AN888" s="120">
        <f t="shared" si="25"/>
        <v>-3.240190514</v>
      </c>
      <c r="AO888" s="120">
        <f t="shared" si="26"/>
        <v>-6.395549135</v>
      </c>
      <c r="AP888" s="120" t="str">
        <f t="array" ref="AP888">INDIRECT("Update"&amp;Projections!$AH$17&amp;"!S"&amp;ROW(B869))</f>
        <v/>
      </c>
      <c r="AQ888" s="120" t="str">
        <f t="array" ref="AQ888">INDIRECT("Update"&amp;Projections!$AH$17&amp;"!T"&amp;ROW(B869))</f>
        <v/>
      </c>
      <c r="AR888" s="100">
        <f t="shared" si="27"/>
        <v>-9.965301026</v>
      </c>
    </row>
    <row r="889">
      <c r="A889" t="str">
        <f t="shared" si="3"/>
        <v/>
      </c>
      <c r="B889" s="42">
        <f t="shared" si="4"/>
        <v>-3.155358621</v>
      </c>
      <c r="C889" s="43">
        <f t="shared" si="5"/>
        <v>-1.740686581</v>
      </c>
      <c r="D889" s="42">
        <f t="shared" si="6"/>
        <v>-2.380599106</v>
      </c>
      <c r="E889" s="42">
        <f t="shared" si="7"/>
        <v>-1.79320266</v>
      </c>
      <c r="F889" s="42">
        <f t="shared" si="8"/>
        <v>-3.240190514</v>
      </c>
      <c r="G889" s="42">
        <f t="shared" si="9"/>
        <v>-1.329092151</v>
      </c>
      <c r="H889" s="42">
        <f t="shared" si="10"/>
        <v>0</v>
      </c>
      <c r="I889" s="42" t="str">
        <f>UpdateHashtag!S887</f>
        <v/>
      </c>
      <c r="J889" s="47">
        <f t="shared" si="11"/>
        <v>0</v>
      </c>
      <c r="K889" s="48" t="str">
        <f>UpdateHashtag!T887</f>
        <v/>
      </c>
      <c r="L889" s="42">
        <f t="shared" si="12"/>
        <v>-1.734552372</v>
      </c>
      <c r="N889" s="100">
        <f t="shared" si="13"/>
        <v>401</v>
      </c>
      <c r="O889" s="94" t="str">
        <f t="array" ref="O889">INDIRECT("Update"&amp;Projections!$AH$17&amp;"!B"&amp;ROW(B870))</f>
        <v/>
      </c>
      <c r="P889" s="414" t="str">
        <f t="array" ref="P889">INDIRECT("Update"&amp;Projections!$AH$17&amp;"!C"&amp;ROW(B870))</f>
        <v/>
      </c>
      <c r="Q889" s="94" t="str">
        <f>UpdateHashtag!F919</f>
        <v/>
      </c>
      <c r="R889" s="105" t="str">
        <f t="array" ref="R889">INDIRECT("Update"&amp;Projections!$AH$17&amp;"!D"&amp;ROW(B870))</f>
        <v/>
      </c>
      <c r="S889" s="73">
        <f t="shared" si="14"/>
        <v>-9.965301026</v>
      </c>
      <c r="T889" s="73">
        <f>SUM(AE889:AM889)-IFERROR(IFS(Projections!$I$17,AN889,Projections!$J$17,AO889),"")</f>
        <v>-9.965301026</v>
      </c>
      <c r="U889" s="73">
        <f t="shared" si="15"/>
        <v>0</v>
      </c>
      <c r="V889" s="73" t="str">
        <f t="array" ref="V889">INDIRECT("Update"&amp;Projections!$AH$17&amp;"!M"&amp;ROW(B870))</f>
        <v/>
      </c>
      <c r="W889" s="73" t="str">
        <f t="array" ref="W889">INDIRECT("Update"&amp;Projections!$AH$17&amp;"!L"&amp;ROW(B870))</f>
        <v/>
      </c>
      <c r="X889" s="73" t="str">
        <f t="array" ref="X889">INDIRECT("Update"&amp;Projections!$AH$17&amp;"!N"&amp;ROW(B870))</f>
        <v/>
      </c>
      <c r="Y889" s="73" t="str">
        <f t="array" ref="Y889">INDIRECT("Update"&amp;Projections!$AH$17&amp;"!O"&amp;ROW(B870))</f>
        <v/>
      </c>
      <c r="Z889" s="73" t="str">
        <f t="array" ref="Z889">INDIRECT("Update"&amp;Projections!$AH$17&amp;"!P"&amp;ROW(B870))</f>
        <v/>
      </c>
      <c r="AA889" s="73" t="str">
        <f t="array" ref="AA889">INDIRECT("Update"&amp;Projections!$AH$17&amp;"!Q"&amp;ROW(B870))</f>
        <v/>
      </c>
      <c r="AB889" s="107" t="str">
        <f t="array" ref="AB889">INDIRECT("Update"&amp;Projections!$AH$17&amp;"!I"&amp;ROW(B870))</f>
        <v/>
      </c>
      <c r="AC889" s="107" t="str">
        <f t="array" ref="AC889">INDIRECT("Update"&amp;Projections!$AH$17&amp;"!K"&amp;ROW(B870))</f>
        <v/>
      </c>
      <c r="AD889" s="73" t="str">
        <f t="array" ref="AD889">INDIRECT("Update"&amp;Projections!$AH$17&amp;"!R"&amp;ROW(B870))</f>
        <v/>
      </c>
      <c r="AE889" s="73">
        <f t="shared" si="16"/>
        <v>-3.155358621</v>
      </c>
      <c r="AF889" s="73">
        <f t="shared" si="17"/>
        <v>-1.740686581</v>
      </c>
      <c r="AG889" s="73">
        <f t="shared" si="18"/>
        <v>-2.380599106</v>
      </c>
      <c r="AH889" s="73">
        <f t="shared" si="19"/>
        <v>-1.79320266</v>
      </c>
      <c r="AI889" s="73">
        <f t="shared" si="20"/>
        <v>-3.240190514</v>
      </c>
      <c r="AJ889" s="73">
        <f t="shared" si="21"/>
        <v>-1.329092151</v>
      </c>
      <c r="AK889" s="73">
        <f t="shared" si="22"/>
        <v>0</v>
      </c>
      <c r="AL889" s="73">
        <f t="shared" si="23"/>
        <v>0</v>
      </c>
      <c r="AM889" s="73">
        <f t="shared" si="24"/>
        <v>0.433638093</v>
      </c>
      <c r="AN889" s="120">
        <f t="shared" si="25"/>
        <v>-3.240190514</v>
      </c>
      <c r="AO889" s="120">
        <f t="shared" si="26"/>
        <v>-6.395549135</v>
      </c>
      <c r="AP889" s="120" t="str">
        <f t="array" ref="AP889">INDIRECT("Update"&amp;Projections!$AH$17&amp;"!S"&amp;ROW(B870))</f>
        <v/>
      </c>
      <c r="AQ889" s="120" t="str">
        <f t="array" ref="AQ889">INDIRECT("Update"&amp;Projections!$AH$17&amp;"!T"&amp;ROW(B870))</f>
        <v/>
      </c>
      <c r="AR889" s="100">
        <f t="shared" si="27"/>
        <v>-9.965301026</v>
      </c>
    </row>
    <row r="890">
      <c r="A890" t="str">
        <f t="shared" si="3"/>
        <v/>
      </c>
      <c r="B890" s="42">
        <f t="shared" si="4"/>
        <v>-3.155358621</v>
      </c>
      <c r="C890" s="43">
        <f t="shared" si="5"/>
        <v>-1.740686581</v>
      </c>
      <c r="D890" s="42">
        <f t="shared" si="6"/>
        <v>-2.380599106</v>
      </c>
      <c r="E890" s="42">
        <f t="shared" si="7"/>
        <v>-1.79320266</v>
      </c>
      <c r="F890" s="42">
        <f t="shared" si="8"/>
        <v>-3.240190514</v>
      </c>
      <c r="G890" s="42">
        <f t="shared" si="9"/>
        <v>-1.329092151</v>
      </c>
      <c r="H890" s="42">
        <f t="shared" si="10"/>
        <v>0</v>
      </c>
      <c r="I890" s="42" t="str">
        <f>UpdateHashtag!S888</f>
        <v/>
      </c>
      <c r="J890" s="47">
        <f t="shared" si="11"/>
        <v>0</v>
      </c>
      <c r="K890" s="48" t="str">
        <f>UpdateHashtag!T888</f>
        <v/>
      </c>
      <c r="L890" s="42">
        <f t="shared" si="12"/>
        <v>-1.734552372</v>
      </c>
      <c r="N890" s="100">
        <f t="shared" si="13"/>
        <v>401</v>
      </c>
      <c r="O890" s="94" t="str">
        <f t="array" ref="O890">INDIRECT("Update"&amp;Projections!$AH$17&amp;"!B"&amp;ROW(B871))</f>
        <v/>
      </c>
      <c r="P890" s="414" t="str">
        <f t="array" ref="P890">INDIRECT("Update"&amp;Projections!$AH$17&amp;"!C"&amp;ROW(B871))</f>
        <v/>
      </c>
      <c r="Q890" s="94" t="str">
        <f>UpdateHashtag!F920</f>
        <v/>
      </c>
      <c r="R890" s="105" t="str">
        <f t="array" ref="R890">INDIRECT("Update"&amp;Projections!$AH$17&amp;"!D"&amp;ROW(B871))</f>
        <v/>
      </c>
      <c r="S890" s="73">
        <f t="shared" si="14"/>
        <v>-9.965301026</v>
      </c>
      <c r="T890" s="73">
        <f>SUM(AE890:AM890)-IFERROR(IFS(Projections!$I$17,AN890,Projections!$J$17,AO890),"")</f>
        <v>-9.965301026</v>
      </c>
      <c r="U890" s="73">
        <f t="shared" si="15"/>
        <v>0</v>
      </c>
      <c r="V890" s="73" t="str">
        <f t="array" ref="V890">INDIRECT("Update"&amp;Projections!$AH$17&amp;"!M"&amp;ROW(B871))</f>
        <v/>
      </c>
      <c r="W890" s="73" t="str">
        <f t="array" ref="W890">INDIRECT("Update"&amp;Projections!$AH$17&amp;"!L"&amp;ROW(B871))</f>
        <v/>
      </c>
      <c r="X890" s="73" t="str">
        <f t="array" ref="X890">INDIRECT("Update"&amp;Projections!$AH$17&amp;"!N"&amp;ROW(B871))</f>
        <v/>
      </c>
      <c r="Y890" s="73" t="str">
        <f t="array" ref="Y890">INDIRECT("Update"&amp;Projections!$AH$17&amp;"!O"&amp;ROW(B871))</f>
        <v/>
      </c>
      <c r="Z890" s="73" t="str">
        <f t="array" ref="Z890">INDIRECT("Update"&amp;Projections!$AH$17&amp;"!P"&amp;ROW(B871))</f>
        <v/>
      </c>
      <c r="AA890" s="73" t="str">
        <f t="array" ref="AA890">INDIRECT("Update"&amp;Projections!$AH$17&amp;"!Q"&amp;ROW(B871))</f>
        <v/>
      </c>
      <c r="AB890" s="107" t="str">
        <f t="array" ref="AB890">INDIRECT("Update"&amp;Projections!$AH$17&amp;"!I"&amp;ROW(B871))</f>
        <v/>
      </c>
      <c r="AC890" s="107" t="str">
        <f t="array" ref="AC890">INDIRECT("Update"&amp;Projections!$AH$17&amp;"!K"&amp;ROW(B871))</f>
        <v/>
      </c>
      <c r="AD890" s="73" t="str">
        <f t="array" ref="AD890">INDIRECT("Update"&amp;Projections!$AH$17&amp;"!R"&amp;ROW(B871))</f>
        <v/>
      </c>
      <c r="AE890" s="73">
        <f t="shared" si="16"/>
        <v>-3.155358621</v>
      </c>
      <c r="AF890" s="73">
        <f t="shared" si="17"/>
        <v>-1.740686581</v>
      </c>
      <c r="AG890" s="73">
        <f t="shared" si="18"/>
        <v>-2.380599106</v>
      </c>
      <c r="AH890" s="73">
        <f t="shared" si="19"/>
        <v>-1.79320266</v>
      </c>
      <c r="AI890" s="73">
        <f t="shared" si="20"/>
        <v>-3.240190514</v>
      </c>
      <c r="AJ890" s="73">
        <f t="shared" si="21"/>
        <v>-1.329092151</v>
      </c>
      <c r="AK890" s="73">
        <f t="shared" si="22"/>
        <v>0</v>
      </c>
      <c r="AL890" s="73">
        <f t="shared" si="23"/>
        <v>0</v>
      </c>
      <c r="AM890" s="73">
        <f t="shared" si="24"/>
        <v>0.433638093</v>
      </c>
      <c r="AN890" s="120">
        <f t="shared" si="25"/>
        <v>-3.240190514</v>
      </c>
      <c r="AO890" s="120">
        <f t="shared" si="26"/>
        <v>-6.395549135</v>
      </c>
      <c r="AP890" s="120" t="str">
        <f t="array" ref="AP890">INDIRECT("Update"&amp;Projections!$AH$17&amp;"!S"&amp;ROW(B871))</f>
        <v/>
      </c>
      <c r="AQ890" s="120" t="str">
        <f t="array" ref="AQ890">INDIRECT("Update"&amp;Projections!$AH$17&amp;"!T"&amp;ROW(B871))</f>
        <v/>
      </c>
      <c r="AR890" s="100">
        <f t="shared" si="27"/>
        <v>-9.965301026</v>
      </c>
    </row>
    <row r="891">
      <c r="A891" t="str">
        <f t="shared" si="3"/>
        <v/>
      </c>
      <c r="B891" s="42">
        <f t="shared" si="4"/>
        <v>-3.155358621</v>
      </c>
      <c r="C891" s="43">
        <f t="shared" si="5"/>
        <v>-1.740686581</v>
      </c>
      <c r="D891" s="42">
        <f t="shared" si="6"/>
        <v>-2.380599106</v>
      </c>
      <c r="E891" s="42">
        <f t="shared" si="7"/>
        <v>-1.79320266</v>
      </c>
      <c r="F891" s="42">
        <f t="shared" si="8"/>
        <v>-3.240190514</v>
      </c>
      <c r="G891" s="42">
        <f t="shared" si="9"/>
        <v>-1.329092151</v>
      </c>
      <c r="H891" s="42">
        <f t="shared" si="10"/>
        <v>0</v>
      </c>
      <c r="I891" s="42" t="str">
        <f>UpdateHashtag!S889</f>
        <v/>
      </c>
      <c r="J891" s="47">
        <f t="shared" si="11"/>
        <v>0</v>
      </c>
      <c r="K891" s="48" t="str">
        <f>UpdateHashtag!T889</f>
        <v/>
      </c>
      <c r="L891" s="42">
        <f t="shared" si="12"/>
        <v>-1.734552372</v>
      </c>
      <c r="N891" s="100">
        <f t="shared" si="13"/>
        <v>401</v>
      </c>
      <c r="O891" s="94" t="str">
        <f t="array" ref="O891">INDIRECT("Update"&amp;Projections!$AH$17&amp;"!B"&amp;ROW(B872))</f>
        <v/>
      </c>
      <c r="P891" s="414" t="str">
        <f t="array" ref="P891">INDIRECT("Update"&amp;Projections!$AH$17&amp;"!C"&amp;ROW(B872))</f>
        <v/>
      </c>
      <c r="Q891" s="94" t="str">
        <f>UpdateHashtag!F921</f>
        <v/>
      </c>
      <c r="R891" s="105" t="str">
        <f t="array" ref="R891">INDIRECT("Update"&amp;Projections!$AH$17&amp;"!D"&amp;ROW(B872))</f>
        <v/>
      </c>
      <c r="S891" s="73">
        <f t="shared" si="14"/>
        <v>-9.965301026</v>
      </c>
      <c r="T891" s="73">
        <f>SUM(AE891:AM891)-IFERROR(IFS(Projections!$I$17,AN891,Projections!$J$17,AO891),"")</f>
        <v>-9.965301026</v>
      </c>
      <c r="U891" s="73">
        <f t="shared" si="15"/>
        <v>0</v>
      </c>
      <c r="V891" s="73" t="str">
        <f t="array" ref="V891">INDIRECT("Update"&amp;Projections!$AH$17&amp;"!M"&amp;ROW(B872))</f>
        <v/>
      </c>
      <c r="W891" s="73" t="str">
        <f t="array" ref="W891">INDIRECT("Update"&amp;Projections!$AH$17&amp;"!L"&amp;ROW(B872))</f>
        <v/>
      </c>
      <c r="X891" s="73" t="str">
        <f t="array" ref="X891">INDIRECT("Update"&amp;Projections!$AH$17&amp;"!N"&amp;ROW(B872))</f>
        <v/>
      </c>
      <c r="Y891" s="73" t="str">
        <f t="array" ref="Y891">INDIRECT("Update"&amp;Projections!$AH$17&amp;"!O"&amp;ROW(B872))</f>
        <v/>
      </c>
      <c r="Z891" s="73" t="str">
        <f t="array" ref="Z891">INDIRECT("Update"&amp;Projections!$AH$17&amp;"!P"&amp;ROW(B872))</f>
        <v/>
      </c>
      <c r="AA891" s="73" t="str">
        <f t="array" ref="AA891">INDIRECT("Update"&amp;Projections!$AH$17&amp;"!Q"&amp;ROW(B872))</f>
        <v/>
      </c>
      <c r="AB891" s="107" t="str">
        <f t="array" ref="AB891">INDIRECT("Update"&amp;Projections!$AH$17&amp;"!I"&amp;ROW(B872))</f>
        <v/>
      </c>
      <c r="AC891" s="107" t="str">
        <f t="array" ref="AC891">INDIRECT("Update"&amp;Projections!$AH$17&amp;"!K"&amp;ROW(B872))</f>
        <v/>
      </c>
      <c r="AD891" s="73" t="str">
        <f t="array" ref="AD891">INDIRECT("Update"&amp;Projections!$AH$17&amp;"!R"&amp;ROW(B872))</f>
        <v/>
      </c>
      <c r="AE891" s="73">
        <f t="shared" si="16"/>
        <v>-3.155358621</v>
      </c>
      <c r="AF891" s="73">
        <f t="shared" si="17"/>
        <v>-1.740686581</v>
      </c>
      <c r="AG891" s="73">
        <f t="shared" si="18"/>
        <v>-2.380599106</v>
      </c>
      <c r="AH891" s="73">
        <f t="shared" si="19"/>
        <v>-1.79320266</v>
      </c>
      <c r="AI891" s="73">
        <f t="shared" si="20"/>
        <v>-3.240190514</v>
      </c>
      <c r="AJ891" s="73">
        <f t="shared" si="21"/>
        <v>-1.329092151</v>
      </c>
      <c r="AK891" s="73">
        <f t="shared" si="22"/>
        <v>0</v>
      </c>
      <c r="AL891" s="73">
        <f t="shared" si="23"/>
        <v>0</v>
      </c>
      <c r="AM891" s="73">
        <f t="shared" si="24"/>
        <v>0.433638093</v>
      </c>
      <c r="AN891" s="120">
        <f t="shared" si="25"/>
        <v>-3.240190514</v>
      </c>
      <c r="AO891" s="120">
        <f t="shared" si="26"/>
        <v>-6.395549135</v>
      </c>
      <c r="AP891" s="120" t="str">
        <f t="array" ref="AP891">INDIRECT("Update"&amp;Projections!$AH$17&amp;"!S"&amp;ROW(B872))</f>
        <v/>
      </c>
      <c r="AQ891" s="120" t="str">
        <f t="array" ref="AQ891">INDIRECT("Update"&amp;Projections!$AH$17&amp;"!T"&amp;ROW(B872))</f>
        <v/>
      </c>
      <c r="AR891" s="100">
        <f t="shared" si="27"/>
        <v>-9.965301026</v>
      </c>
    </row>
    <row r="892">
      <c r="A892" t="str">
        <f t="shared" si="3"/>
        <v/>
      </c>
      <c r="B892" s="42">
        <f t="shared" si="4"/>
        <v>-3.155358621</v>
      </c>
      <c r="C892" s="43">
        <f t="shared" si="5"/>
        <v>-1.740686581</v>
      </c>
      <c r="D892" s="42">
        <f t="shared" si="6"/>
        <v>-2.380599106</v>
      </c>
      <c r="E892" s="42">
        <f t="shared" si="7"/>
        <v>-1.79320266</v>
      </c>
      <c r="F892" s="42">
        <f t="shared" si="8"/>
        <v>-3.240190514</v>
      </c>
      <c r="G892" s="42">
        <f t="shared" si="9"/>
        <v>-1.329092151</v>
      </c>
      <c r="H892" s="42">
        <f t="shared" si="10"/>
        <v>0</v>
      </c>
      <c r="I892" s="42" t="str">
        <f>UpdateHashtag!S890</f>
        <v/>
      </c>
      <c r="J892" s="47">
        <f t="shared" si="11"/>
        <v>0</v>
      </c>
      <c r="K892" s="48" t="str">
        <f>UpdateHashtag!T890</f>
        <v/>
      </c>
      <c r="L892" s="42">
        <f t="shared" si="12"/>
        <v>-1.734552372</v>
      </c>
      <c r="N892" s="100">
        <f t="shared" si="13"/>
        <v>401</v>
      </c>
      <c r="O892" s="94" t="str">
        <f t="array" ref="O892">INDIRECT("Update"&amp;Projections!$AH$17&amp;"!B"&amp;ROW(B873))</f>
        <v/>
      </c>
      <c r="P892" s="414" t="str">
        <f t="array" ref="P892">INDIRECT("Update"&amp;Projections!$AH$17&amp;"!C"&amp;ROW(B873))</f>
        <v/>
      </c>
      <c r="Q892" s="94" t="str">
        <f>UpdateHashtag!F922</f>
        <v/>
      </c>
      <c r="R892" s="105" t="str">
        <f t="array" ref="R892">INDIRECT("Update"&amp;Projections!$AH$17&amp;"!D"&amp;ROW(B873))</f>
        <v/>
      </c>
      <c r="S892" s="73">
        <f t="shared" si="14"/>
        <v>-9.965301026</v>
      </c>
      <c r="T892" s="73">
        <f>SUM(AE892:AM892)-IFERROR(IFS(Projections!$I$17,AN892,Projections!$J$17,AO892),"")</f>
        <v>-9.965301026</v>
      </c>
      <c r="U892" s="73">
        <f t="shared" si="15"/>
        <v>0</v>
      </c>
      <c r="V892" s="73" t="str">
        <f t="array" ref="V892">INDIRECT("Update"&amp;Projections!$AH$17&amp;"!M"&amp;ROW(B873))</f>
        <v/>
      </c>
      <c r="W892" s="73" t="str">
        <f t="array" ref="W892">INDIRECT("Update"&amp;Projections!$AH$17&amp;"!L"&amp;ROW(B873))</f>
        <v/>
      </c>
      <c r="X892" s="73" t="str">
        <f t="array" ref="X892">INDIRECT("Update"&amp;Projections!$AH$17&amp;"!N"&amp;ROW(B873))</f>
        <v/>
      </c>
      <c r="Y892" s="73" t="str">
        <f t="array" ref="Y892">INDIRECT("Update"&amp;Projections!$AH$17&amp;"!O"&amp;ROW(B873))</f>
        <v/>
      </c>
      <c r="Z892" s="73" t="str">
        <f t="array" ref="Z892">INDIRECT("Update"&amp;Projections!$AH$17&amp;"!P"&amp;ROW(B873))</f>
        <v/>
      </c>
      <c r="AA892" s="73" t="str">
        <f t="array" ref="AA892">INDIRECT("Update"&amp;Projections!$AH$17&amp;"!Q"&amp;ROW(B873))</f>
        <v/>
      </c>
      <c r="AB892" s="107" t="str">
        <f t="array" ref="AB892">INDIRECT("Update"&amp;Projections!$AH$17&amp;"!I"&amp;ROW(B873))</f>
        <v/>
      </c>
      <c r="AC892" s="107" t="str">
        <f t="array" ref="AC892">INDIRECT("Update"&amp;Projections!$AH$17&amp;"!K"&amp;ROW(B873))</f>
        <v/>
      </c>
      <c r="AD892" s="73" t="str">
        <f t="array" ref="AD892">INDIRECT("Update"&amp;Projections!$AH$17&amp;"!R"&amp;ROW(B873))</f>
        <v/>
      </c>
      <c r="AE892" s="73">
        <f t="shared" si="16"/>
        <v>-3.155358621</v>
      </c>
      <c r="AF892" s="73">
        <f t="shared" si="17"/>
        <v>-1.740686581</v>
      </c>
      <c r="AG892" s="73">
        <f t="shared" si="18"/>
        <v>-2.380599106</v>
      </c>
      <c r="AH892" s="73">
        <f t="shared" si="19"/>
        <v>-1.79320266</v>
      </c>
      <c r="AI892" s="73">
        <f t="shared" si="20"/>
        <v>-3.240190514</v>
      </c>
      <c r="AJ892" s="73">
        <f t="shared" si="21"/>
        <v>-1.329092151</v>
      </c>
      <c r="AK892" s="73">
        <f t="shared" si="22"/>
        <v>0</v>
      </c>
      <c r="AL892" s="73">
        <f t="shared" si="23"/>
        <v>0</v>
      </c>
      <c r="AM892" s="73">
        <f t="shared" si="24"/>
        <v>0.433638093</v>
      </c>
      <c r="AN892" s="120">
        <f t="shared" si="25"/>
        <v>-3.240190514</v>
      </c>
      <c r="AO892" s="120">
        <f t="shared" si="26"/>
        <v>-6.395549135</v>
      </c>
      <c r="AP892" s="120" t="str">
        <f t="array" ref="AP892">INDIRECT("Update"&amp;Projections!$AH$17&amp;"!S"&amp;ROW(B873))</f>
        <v/>
      </c>
      <c r="AQ892" s="120" t="str">
        <f t="array" ref="AQ892">INDIRECT("Update"&amp;Projections!$AH$17&amp;"!T"&amp;ROW(B873))</f>
        <v/>
      </c>
      <c r="AR892" s="100">
        <f t="shared" si="27"/>
        <v>-9.965301026</v>
      </c>
    </row>
    <row r="893">
      <c r="A893" t="str">
        <f t="shared" si="3"/>
        <v/>
      </c>
      <c r="B893" s="42">
        <f t="shared" si="4"/>
        <v>-3.155358621</v>
      </c>
      <c r="C893" s="43">
        <f t="shared" si="5"/>
        <v>-1.740686581</v>
      </c>
      <c r="D893" s="42">
        <f t="shared" si="6"/>
        <v>-2.380599106</v>
      </c>
      <c r="E893" s="42">
        <f t="shared" si="7"/>
        <v>-1.79320266</v>
      </c>
      <c r="F893" s="42">
        <f t="shared" si="8"/>
        <v>-3.240190514</v>
      </c>
      <c r="G893" s="42">
        <f t="shared" si="9"/>
        <v>-1.329092151</v>
      </c>
      <c r="H893" s="42">
        <f t="shared" si="10"/>
        <v>0</v>
      </c>
      <c r="I893" s="42" t="str">
        <f>UpdateHashtag!S891</f>
        <v/>
      </c>
      <c r="J893" s="47">
        <f t="shared" si="11"/>
        <v>0</v>
      </c>
      <c r="K893" s="48" t="str">
        <f>UpdateHashtag!T891</f>
        <v/>
      </c>
      <c r="L893" s="42">
        <f t="shared" si="12"/>
        <v>-1.734552372</v>
      </c>
      <c r="N893" s="100">
        <f t="shared" si="13"/>
        <v>401</v>
      </c>
      <c r="O893" s="94" t="str">
        <f t="array" ref="O893">INDIRECT("Update"&amp;Projections!$AH$17&amp;"!B"&amp;ROW(B874))</f>
        <v/>
      </c>
      <c r="P893" s="414" t="str">
        <f t="array" ref="P893">INDIRECT("Update"&amp;Projections!$AH$17&amp;"!C"&amp;ROW(B874))</f>
        <v/>
      </c>
      <c r="Q893" s="94" t="str">
        <f>UpdateHashtag!F923</f>
        <v/>
      </c>
      <c r="R893" s="105" t="str">
        <f t="array" ref="R893">INDIRECT("Update"&amp;Projections!$AH$17&amp;"!D"&amp;ROW(B874))</f>
        <v/>
      </c>
      <c r="S893" s="73">
        <f t="shared" si="14"/>
        <v>-9.965301026</v>
      </c>
      <c r="T893" s="73">
        <f>SUM(AE893:AM893)-IFERROR(IFS(Projections!$I$17,AN893,Projections!$J$17,AO893),"")</f>
        <v>-9.965301026</v>
      </c>
      <c r="U893" s="73">
        <f t="shared" si="15"/>
        <v>0</v>
      </c>
      <c r="V893" s="73" t="str">
        <f t="array" ref="V893">INDIRECT("Update"&amp;Projections!$AH$17&amp;"!M"&amp;ROW(B874))</f>
        <v/>
      </c>
      <c r="W893" s="73" t="str">
        <f t="array" ref="W893">INDIRECT("Update"&amp;Projections!$AH$17&amp;"!L"&amp;ROW(B874))</f>
        <v/>
      </c>
      <c r="X893" s="73" t="str">
        <f t="array" ref="X893">INDIRECT("Update"&amp;Projections!$AH$17&amp;"!N"&amp;ROW(B874))</f>
        <v/>
      </c>
      <c r="Y893" s="73" t="str">
        <f t="array" ref="Y893">INDIRECT("Update"&amp;Projections!$AH$17&amp;"!O"&amp;ROW(B874))</f>
        <v/>
      </c>
      <c r="Z893" s="73" t="str">
        <f t="array" ref="Z893">INDIRECT("Update"&amp;Projections!$AH$17&amp;"!P"&amp;ROW(B874))</f>
        <v/>
      </c>
      <c r="AA893" s="73" t="str">
        <f t="array" ref="AA893">INDIRECT("Update"&amp;Projections!$AH$17&amp;"!Q"&amp;ROW(B874))</f>
        <v/>
      </c>
      <c r="AB893" s="107" t="str">
        <f t="array" ref="AB893">INDIRECT("Update"&amp;Projections!$AH$17&amp;"!I"&amp;ROW(B874))</f>
        <v/>
      </c>
      <c r="AC893" s="107" t="str">
        <f t="array" ref="AC893">INDIRECT("Update"&amp;Projections!$AH$17&amp;"!K"&amp;ROW(B874))</f>
        <v/>
      </c>
      <c r="AD893" s="73" t="str">
        <f t="array" ref="AD893">INDIRECT("Update"&amp;Projections!$AH$17&amp;"!R"&amp;ROW(B874))</f>
        <v/>
      </c>
      <c r="AE893" s="73">
        <f t="shared" si="16"/>
        <v>-3.155358621</v>
      </c>
      <c r="AF893" s="73">
        <f t="shared" si="17"/>
        <v>-1.740686581</v>
      </c>
      <c r="AG893" s="73">
        <f t="shared" si="18"/>
        <v>-2.380599106</v>
      </c>
      <c r="AH893" s="73">
        <f t="shared" si="19"/>
        <v>-1.79320266</v>
      </c>
      <c r="AI893" s="73">
        <f t="shared" si="20"/>
        <v>-3.240190514</v>
      </c>
      <c r="AJ893" s="73">
        <f t="shared" si="21"/>
        <v>-1.329092151</v>
      </c>
      <c r="AK893" s="73">
        <f t="shared" si="22"/>
        <v>0</v>
      </c>
      <c r="AL893" s="73">
        <f t="shared" si="23"/>
        <v>0</v>
      </c>
      <c r="AM893" s="73">
        <f t="shared" si="24"/>
        <v>0.433638093</v>
      </c>
      <c r="AN893" s="120">
        <f t="shared" si="25"/>
        <v>-3.240190514</v>
      </c>
      <c r="AO893" s="120">
        <f t="shared" si="26"/>
        <v>-6.395549135</v>
      </c>
      <c r="AP893" s="120" t="str">
        <f t="array" ref="AP893">INDIRECT("Update"&amp;Projections!$AH$17&amp;"!S"&amp;ROW(B874))</f>
        <v/>
      </c>
      <c r="AQ893" s="120" t="str">
        <f t="array" ref="AQ893">INDIRECT("Update"&amp;Projections!$AH$17&amp;"!T"&amp;ROW(B874))</f>
        <v/>
      </c>
      <c r="AR893" s="100">
        <f t="shared" si="27"/>
        <v>-9.965301026</v>
      </c>
    </row>
    <row r="894">
      <c r="A894" t="str">
        <f t="shared" si="3"/>
        <v/>
      </c>
      <c r="B894" s="42">
        <f t="shared" si="4"/>
        <v>-3.155358621</v>
      </c>
      <c r="C894" s="43">
        <f t="shared" si="5"/>
        <v>-1.740686581</v>
      </c>
      <c r="D894" s="42">
        <f t="shared" si="6"/>
        <v>-2.380599106</v>
      </c>
      <c r="E894" s="42">
        <f t="shared" si="7"/>
        <v>-1.79320266</v>
      </c>
      <c r="F894" s="42">
        <f t="shared" si="8"/>
        <v>-3.240190514</v>
      </c>
      <c r="G894" s="42">
        <f t="shared" si="9"/>
        <v>-1.329092151</v>
      </c>
      <c r="H894" s="42">
        <f t="shared" si="10"/>
        <v>0</v>
      </c>
      <c r="I894" s="42" t="str">
        <f>UpdateHashtag!S892</f>
        <v/>
      </c>
      <c r="J894" s="47">
        <f t="shared" si="11"/>
        <v>0</v>
      </c>
      <c r="K894" s="48" t="str">
        <f>UpdateHashtag!T892</f>
        <v/>
      </c>
      <c r="L894" s="42">
        <f t="shared" si="12"/>
        <v>-1.734552372</v>
      </c>
      <c r="N894" s="100">
        <f t="shared" si="13"/>
        <v>401</v>
      </c>
      <c r="O894" s="94" t="str">
        <f t="array" ref="O894">INDIRECT("Update"&amp;Projections!$AH$17&amp;"!B"&amp;ROW(B875))</f>
        <v/>
      </c>
      <c r="P894" s="414" t="str">
        <f t="array" ref="P894">INDIRECT("Update"&amp;Projections!$AH$17&amp;"!C"&amp;ROW(B875))</f>
        <v/>
      </c>
      <c r="Q894" s="94" t="str">
        <f>UpdateHashtag!F924</f>
        <v/>
      </c>
      <c r="R894" s="105" t="str">
        <f t="array" ref="R894">INDIRECT("Update"&amp;Projections!$AH$17&amp;"!D"&amp;ROW(B875))</f>
        <v/>
      </c>
      <c r="S894" s="73">
        <f t="shared" si="14"/>
        <v>-9.965301026</v>
      </c>
      <c r="T894" s="73">
        <f>SUM(AE894:AM894)-IFERROR(IFS(Projections!$I$17,AN894,Projections!$J$17,AO894),"")</f>
        <v>-9.965301026</v>
      </c>
      <c r="U894" s="73">
        <f t="shared" si="15"/>
        <v>0</v>
      </c>
      <c r="V894" s="73" t="str">
        <f t="array" ref="V894">INDIRECT("Update"&amp;Projections!$AH$17&amp;"!M"&amp;ROW(B875))</f>
        <v/>
      </c>
      <c r="W894" s="73" t="str">
        <f t="array" ref="W894">INDIRECT("Update"&amp;Projections!$AH$17&amp;"!L"&amp;ROW(B875))</f>
        <v/>
      </c>
      <c r="X894" s="73" t="str">
        <f t="array" ref="X894">INDIRECT("Update"&amp;Projections!$AH$17&amp;"!N"&amp;ROW(B875))</f>
        <v/>
      </c>
      <c r="Y894" s="73" t="str">
        <f t="array" ref="Y894">INDIRECT("Update"&amp;Projections!$AH$17&amp;"!O"&amp;ROW(B875))</f>
        <v/>
      </c>
      <c r="Z894" s="73" t="str">
        <f t="array" ref="Z894">INDIRECT("Update"&amp;Projections!$AH$17&amp;"!P"&amp;ROW(B875))</f>
        <v/>
      </c>
      <c r="AA894" s="73" t="str">
        <f t="array" ref="AA894">INDIRECT("Update"&amp;Projections!$AH$17&amp;"!Q"&amp;ROW(B875))</f>
        <v/>
      </c>
      <c r="AB894" s="107" t="str">
        <f t="array" ref="AB894">INDIRECT("Update"&amp;Projections!$AH$17&amp;"!I"&amp;ROW(B875))</f>
        <v/>
      </c>
      <c r="AC894" s="107" t="str">
        <f t="array" ref="AC894">INDIRECT("Update"&amp;Projections!$AH$17&amp;"!K"&amp;ROW(B875))</f>
        <v/>
      </c>
      <c r="AD894" s="73" t="str">
        <f t="array" ref="AD894">INDIRECT("Update"&amp;Projections!$AH$17&amp;"!R"&amp;ROW(B875))</f>
        <v/>
      </c>
      <c r="AE894" s="73">
        <f t="shared" si="16"/>
        <v>-3.155358621</v>
      </c>
      <c r="AF894" s="73">
        <f t="shared" si="17"/>
        <v>-1.740686581</v>
      </c>
      <c r="AG894" s="73">
        <f t="shared" si="18"/>
        <v>-2.380599106</v>
      </c>
      <c r="AH894" s="73">
        <f t="shared" si="19"/>
        <v>-1.79320266</v>
      </c>
      <c r="AI894" s="73">
        <f t="shared" si="20"/>
        <v>-3.240190514</v>
      </c>
      <c r="AJ894" s="73">
        <f t="shared" si="21"/>
        <v>-1.329092151</v>
      </c>
      <c r="AK894" s="73">
        <f t="shared" si="22"/>
        <v>0</v>
      </c>
      <c r="AL894" s="73">
        <f t="shared" si="23"/>
        <v>0</v>
      </c>
      <c r="AM894" s="73">
        <f t="shared" si="24"/>
        <v>0.433638093</v>
      </c>
      <c r="AN894" s="120">
        <f t="shared" si="25"/>
        <v>-3.240190514</v>
      </c>
      <c r="AO894" s="120">
        <f t="shared" si="26"/>
        <v>-6.395549135</v>
      </c>
      <c r="AP894" s="120" t="str">
        <f t="array" ref="AP894">INDIRECT("Update"&amp;Projections!$AH$17&amp;"!S"&amp;ROW(B875))</f>
        <v/>
      </c>
      <c r="AQ894" s="120" t="str">
        <f t="array" ref="AQ894">INDIRECT("Update"&amp;Projections!$AH$17&amp;"!T"&amp;ROW(B875))</f>
        <v/>
      </c>
      <c r="AR894" s="100">
        <f t="shared" si="27"/>
        <v>-9.965301026</v>
      </c>
    </row>
    <row r="895">
      <c r="A895" t="str">
        <f t="shared" si="3"/>
        <v/>
      </c>
      <c r="B895" s="42">
        <f t="shared" si="4"/>
        <v>-3.155358621</v>
      </c>
      <c r="C895" s="43">
        <f t="shared" si="5"/>
        <v>-1.740686581</v>
      </c>
      <c r="D895" s="42">
        <f t="shared" si="6"/>
        <v>-2.380599106</v>
      </c>
      <c r="E895" s="42">
        <f t="shared" si="7"/>
        <v>-1.79320266</v>
      </c>
      <c r="F895" s="42">
        <f t="shared" si="8"/>
        <v>-3.240190514</v>
      </c>
      <c r="G895" s="42">
        <f t="shared" si="9"/>
        <v>-1.329092151</v>
      </c>
      <c r="H895" s="42">
        <f t="shared" si="10"/>
        <v>0</v>
      </c>
      <c r="I895" s="42" t="str">
        <f>UpdateHashtag!S893</f>
        <v/>
      </c>
      <c r="J895" s="47">
        <f t="shared" si="11"/>
        <v>0</v>
      </c>
      <c r="K895" s="48" t="str">
        <f>UpdateHashtag!T893</f>
        <v/>
      </c>
      <c r="L895" s="42">
        <f t="shared" si="12"/>
        <v>-1.734552372</v>
      </c>
      <c r="N895" s="100">
        <f t="shared" si="13"/>
        <v>401</v>
      </c>
      <c r="O895" s="94" t="str">
        <f t="array" ref="O895">INDIRECT("Update"&amp;Projections!$AH$17&amp;"!B"&amp;ROW(B876))</f>
        <v/>
      </c>
      <c r="P895" s="414" t="str">
        <f t="array" ref="P895">INDIRECT("Update"&amp;Projections!$AH$17&amp;"!C"&amp;ROW(B876))</f>
        <v/>
      </c>
      <c r="Q895" s="94" t="str">
        <f>UpdateHashtag!F925</f>
        <v/>
      </c>
      <c r="R895" s="105" t="str">
        <f t="array" ref="R895">INDIRECT("Update"&amp;Projections!$AH$17&amp;"!D"&amp;ROW(B876))</f>
        <v/>
      </c>
      <c r="S895" s="73">
        <f t="shared" si="14"/>
        <v>-9.965301026</v>
      </c>
      <c r="T895" s="73">
        <f>SUM(AE895:AM895)-IFERROR(IFS(Projections!$I$17,AN895,Projections!$J$17,AO895),"")</f>
        <v>-9.965301026</v>
      </c>
      <c r="U895" s="73">
        <f t="shared" si="15"/>
        <v>0</v>
      </c>
      <c r="V895" s="73" t="str">
        <f t="array" ref="V895">INDIRECT("Update"&amp;Projections!$AH$17&amp;"!M"&amp;ROW(B876))</f>
        <v/>
      </c>
      <c r="W895" s="73" t="str">
        <f t="array" ref="W895">INDIRECT("Update"&amp;Projections!$AH$17&amp;"!L"&amp;ROW(B876))</f>
        <v/>
      </c>
      <c r="X895" s="73" t="str">
        <f t="array" ref="X895">INDIRECT("Update"&amp;Projections!$AH$17&amp;"!N"&amp;ROW(B876))</f>
        <v/>
      </c>
      <c r="Y895" s="73" t="str">
        <f t="array" ref="Y895">INDIRECT("Update"&amp;Projections!$AH$17&amp;"!O"&amp;ROW(B876))</f>
        <v/>
      </c>
      <c r="Z895" s="73" t="str">
        <f t="array" ref="Z895">INDIRECT("Update"&amp;Projections!$AH$17&amp;"!P"&amp;ROW(B876))</f>
        <v/>
      </c>
      <c r="AA895" s="73" t="str">
        <f t="array" ref="AA895">INDIRECT("Update"&amp;Projections!$AH$17&amp;"!Q"&amp;ROW(B876))</f>
        <v/>
      </c>
      <c r="AB895" s="107" t="str">
        <f t="array" ref="AB895">INDIRECT("Update"&amp;Projections!$AH$17&amp;"!I"&amp;ROW(B876))</f>
        <v/>
      </c>
      <c r="AC895" s="107" t="str">
        <f t="array" ref="AC895">INDIRECT("Update"&amp;Projections!$AH$17&amp;"!K"&amp;ROW(B876))</f>
        <v/>
      </c>
      <c r="AD895" s="73" t="str">
        <f t="array" ref="AD895">INDIRECT("Update"&amp;Projections!$AH$17&amp;"!R"&amp;ROW(B876))</f>
        <v/>
      </c>
      <c r="AE895" s="73">
        <f t="shared" si="16"/>
        <v>-3.155358621</v>
      </c>
      <c r="AF895" s="73">
        <f t="shared" si="17"/>
        <v>-1.740686581</v>
      </c>
      <c r="AG895" s="73">
        <f t="shared" si="18"/>
        <v>-2.380599106</v>
      </c>
      <c r="AH895" s="73">
        <f t="shared" si="19"/>
        <v>-1.79320266</v>
      </c>
      <c r="AI895" s="73">
        <f t="shared" si="20"/>
        <v>-3.240190514</v>
      </c>
      <c r="AJ895" s="73">
        <f t="shared" si="21"/>
        <v>-1.329092151</v>
      </c>
      <c r="AK895" s="73">
        <f t="shared" si="22"/>
        <v>0</v>
      </c>
      <c r="AL895" s="73">
        <f t="shared" si="23"/>
        <v>0</v>
      </c>
      <c r="AM895" s="73">
        <f t="shared" si="24"/>
        <v>0.433638093</v>
      </c>
      <c r="AN895" s="120">
        <f t="shared" si="25"/>
        <v>-3.240190514</v>
      </c>
      <c r="AO895" s="120">
        <f t="shared" si="26"/>
        <v>-6.395549135</v>
      </c>
      <c r="AP895" s="120" t="str">
        <f t="array" ref="AP895">INDIRECT("Update"&amp;Projections!$AH$17&amp;"!S"&amp;ROW(B876))</f>
        <v/>
      </c>
      <c r="AQ895" s="120" t="str">
        <f t="array" ref="AQ895">INDIRECT("Update"&amp;Projections!$AH$17&amp;"!T"&amp;ROW(B876))</f>
        <v/>
      </c>
      <c r="AR895" s="100">
        <f t="shared" si="27"/>
        <v>-9.965301026</v>
      </c>
    </row>
    <row r="896">
      <c r="A896" t="str">
        <f t="shared" si="3"/>
        <v/>
      </c>
      <c r="B896" s="42">
        <f t="shared" si="4"/>
        <v>-3.155358621</v>
      </c>
      <c r="C896" s="43">
        <f t="shared" si="5"/>
        <v>-1.740686581</v>
      </c>
      <c r="D896" s="42">
        <f t="shared" si="6"/>
        <v>-2.380599106</v>
      </c>
      <c r="E896" s="42">
        <f t="shared" si="7"/>
        <v>-1.79320266</v>
      </c>
      <c r="F896" s="42">
        <f t="shared" si="8"/>
        <v>-3.240190514</v>
      </c>
      <c r="G896" s="42">
        <f t="shared" si="9"/>
        <v>-1.329092151</v>
      </c>
      <c r="H896" s="42">
        <f t="shared" si="10"/>
        <v>0</v>
      </c>
      <c r="I896" s="42" t="str">
        <f>UpdateHashtag!S894</f>
        <v/>
      </c>
      <c r="J896" s="47">
        <f t="shared" si="11"/>
        <v>0</v>
      </c>
      <c r="K896" s="48" t="str">
        <f>UpdateHashtag!T894</f>
        <v/>
      </c>
      <c r="L896" s="42">
        <f t="shared" si="12"/>
        <v>-1.734552372</v>
      </c>
      <c r="N896" s="100">
        <f t="shared" si="13"/>
        <v>401</v>
      </c>
      <c r="O896" s="94" t="str">
        <f t="array" ref="O896">INDIRECT("Update"&amp;Projections!$AH$17&amp;"!B"&amp;ROW(B877))</f>
        <v/>
      </c>
      <c r="P896" s="414" t="str">
        <f t="array" ref="P896">INDIRECT("Update"&amp;Projections!$AH$17&amp;"!C"&amp;ROW(B877))</f>
        <v/>
      </c>
      <c r="Q896" s="94" t="str">
        <f>UpdateHashtag!F926</f>
        <v/>
      </c>
      <c r="R896" s="105" t="str">
        <f t="array" ref="R896">INDIRECT("Update"&amp;Projections!$AH$17&amp;"!D"&amp;ROW(B877))</f>
        <v/>
      </c>
      <c r="S896" s="73">
        <f t="shared" si="14"/>
        <v>-9.965301026</v>
      </c>
      <c r="T896" s="73">
        <f>SUM(AE896:AM896)-IFERROR(IFS(Projections!$I$17,AN896,Projections!$J$17,AO896),"")</f>
        <v>-9.965301026</v>
      </c>
      <c r="U896" s="73">
        <f t="shared" si="15"/>
        <v>0</v>
      </c>
      <c r="V896" s="73" t="str">
        <f t="array" ref="V896">INDIRECT("Update"&amp;Projections!$AH$17&amp;"!M"&amp;ROW(B877))</f>
        <v/>
      </c>
      <c r="W896" s="73" t="str">
        <f t="array" ref="W896">INDIRECT("Update"&amp;Projections!$AH$17&amp;"!L"&amp;ROW(B877))</f>
        <v/>
      </c>
      <c r="X896" s="73" t="str">
        <f t="array" ref="X896">INDIRECT("Update"&amp;Projections!$AH$17&amp;"!N"&amp;ROW(B877))</f>
        <v/>
      </c>
      <c r="Y896" s="73" t="str">
        <f t="array" ref="Y896">INDIRECT("Update"&amp;Projections!$AH$17&amp;"!O"&amp;ROW(B877))</f>
        <v/>
      </c>
      <c r="Z896" s="73" t="str">
        <f t="array" ref="Z896">INDIRECT("Update"&amp;Projections!$AH$17&amp;"!P"&amp;ROW(B877))</f>
        <v/>
      </c>
      <c r="AA896" s="73" t="str">
        <f t="array" ref="AA896">INDIRECT("Update"&amp;Projections!$AH$17&amp;"!Q"&amp;ROW(B877))</f>
        <v/>
      </c>
      <c r="AB896" s="107" t="str">
        <f t="array" ref="AB896">INDIRECT("Update"&amp;Projections!$AH$17&amp;"!I"&amp;ROW(B877))</f>
        <v/>
      </c>
      <c r="AC896" s="107" t="str">
        <f t="array" ref="AC896">INDIRECT("Update"&amp;Projections!$AH$17&amp;"!K"&amp;ROW(B877))</f>
        <v/>
      </c>
      <c r="AD896" s="73" t="str">
        <f t="array" ref="AD896">INDIRECT("Update"&amp;Projections!$AH$17&amp;"!R"&amp;ROW(B877))</f>
        <v/>
      </c>
      <c r="AE896" s="73">
        <f t="shared" si="16"/>
        <v>-3.155358621</v>
      </c>
      <c r="AF896" s="73">
        <f t="shared" si="17"/>
        <v>-1.740686581</v>
      </c>
      <c r="AG896" s="73">
        <f t="shared" si="18"/>
        <v>-2.380599106</v>
      </c>
      <c r="AH896" s="73">
        <f t="shared" si="19"/>
        <v>-1.79320266</v>
      </c>
      <c r="AI896" s="73">
        <f t="shared" si="20"/>
        <v>-3.240190514</v>
      </c>
      <c r="AJ896" s="73">
        <f t="shared" si="21"/>
        <v>-1.329092151</v>
      </c>
      <c r="AK896" s="73">
        <f t="shared" si="22"/>
        <v>0</v>
      </c>
      <c r="AL896" s="73">
        <f t="shared" si="23"/>
        <v>0</v>
      </c>
      <c r="AM896" s="73">
        <f t="shared" si="24"/>
        <v>0.433638093</v>
      </c>
      <c r="AN896" s="120">
        <f t="shared" si="25"/>
        <v>-3.240190514</v>
      </c>
      <c r="AO896" s="120">
        <f t="shared" si="26"/>
        <v>-6.395549135</v>
      </c>
      <c r="AP896" s="120" t="str">
        <f t="array" ref="AP896">INDIRECT("Update"&amp;Projections!$AH$17&amp;"!S"&amp;ROW(B877))</f>
        <v/>
      </c>
      <c r="AQ896" s="120" t="str">
        <f t="array" ref="AQ896">INDIRECT("Update"&amp;Projections!$AH$17&amp;"!T"&amp;ROW(B877))</f>
        <v/>
      </c>
      <c r="AR896" s="100">
        <f t="shared" si="27"/>
        <v>-9.965301026</v>
      </c>
    </row>
    <row r="897">
      <c r="A897" t="str">
        <f t="shared" si="3"/>
        <v/>
      </c>
      <c r="B897" s="42">
        <f t="shared" si="4"/>
        <v>-3.155358621</v>
      </c>
      <c r="C897" s="43">
        <f t="shared" si="5"/>
        <v>-1.740686581</v>
      </c>
      <c r="D897" s="42">
        <f t="shared" si="6"/>
        <v>-2.380599106</v>
      </c>
      <c r="E897" s="42">
        <f t="shared" si="7"/>
        <v>-1.79320266</v>
      </c>
      <c r="F897" s="42">
        <f t="shared" si="8"/>
        <v>-3.240190514</v>
      </c>
      <c r="G897" s="42">
        <f t="shared" si="9"/>
        <v>-1.329092151</v>
      </c>
      <c r="H897" s="42">
        <f t="shared" si="10"/>
        <v>0</v>
      </c>
      <c r="I897" s="42" t="str">
        <f>UpdateHashtag!S895</f>
        <v/>
      </c>
      <c r="J897" s="47">
        <f t="shared" si="11"/>
        <v>0</v>
      </c>
      <c r="K897" s="48" t="str">
        <f>UpdateHashtag!T895</f>
        <v/>
      </c>
      <c r="L897" s="42">
        <f t="shared" si="12"/>
        <v>-1.734552372</v>
      </c>
      <c r="N897" s="100">
        <f t="shared" si="13"/>
        <v>401</v>
      </c>
      <c r="O897" s="94" t="str">
        <f t="array" ref="O897">INDIRECT("Update"&amp;Projections!$AH$17&amp;"!B"&amp;ROW(B878))</f>
        <v/>
      </c>
      <c r="P897" s="414" t="str">
        <f t="array" ref="P897">INDIRECT("Update"&amp;Projections!$AH$17&amp;"!C"&amp;ROW(B878))</f>
        <v/>
      </c>
      <c r="Q897" s="94" t="str">
        <f>UpdateHashtag!F927</f>
        <v/>
      </c>
      <c r="R897" s="105" t="str">
        <f t="array" ref="R897">INDIRECT("Update"&amp;Projections!$AH$17&amp;"!D"&amp;ROW(B878))</f>
        <v/>
      </c>
      <c r="S897" s="73">
        <f t="shared" si="14"/>
        <v>-9.965301026</v>
      </c>
      <c r="T897" s="73">
        <f>SUM(AE897:AM897)-IFERROR(IFS(Projections!$I$17,AN897,Projections!$J$17,AO897),"")</f>
        <v>-9.965301026</v>
      </c>
      <c r="U897" s="73">
        <f t="shared" si="15"/>
        <v>0</v>
      </c>
      <c r="V897" s="73" t="str">
        <f t="array" ref="V897">INDIRECT("Update"&amp;Projections!$AH$17&amp;"!M"&amp;ROW(B878))</f>
        <v/>
      </c>
      <c r="W897" s="73" t="str">
        <f t="array" ref="W897">INDIRECT("Update"&amp;Projections!$AH$17&amp;"!L"&amp;ROW(B878))</f>
        <v/>
      </c>
      <c r="X897" s="73" t="str">
        <f t="array" ref="X897">INDIRECT("Update"&amp;Projections!$AH$17&amp;"!N"&amp;ROW(B878))</f>
        <v/>
      </c>
      <c r="Y897" s="73" t="str">
        <f t="array" ref="Y897">INDIRECT("Update"&amp;Projections!$AH$17&amp;"!O"&amp;ROW(B878))</f>
        <v/>
      </c>
      <c r="Z897" s="73" t="str">
        <f t="array" ref="Z897">INDIRECT("Update"&amp;Projections!$AH$17&amp;"!P"&amp;ROW(B878))</f>
        <v/>
      </c>
      <c r="AA897" s="73" t="str">
        <f t="array" ref="AA897">INDIRECT("Update"&amp;Projections!$AH$17&amp;"!Q"&amp;ROW(B878))</f>
        <v/>
      </c>
      <c r="AB897" s="107" t="str">
        <f t="array" ref="AB897">INDIRECT("Update"&amp;Projections!$AH$17&amp;"!I"&amp;ROW(B878))</f>
        <v/>
      </c>
      <c r="AC897" s="107" t="str">
        <f t="array" ref="AC897">INDIRECT("Update"&amp;Projections!$AH$17&amp;"!K"&amp;ROW(B878))</f>
        <v/>
      </c>
      <c r="AD897" s="73" t="str">
        <f t="array" ref="AD897">INDIRECT("Update"&amp;Projections!$AH$17&amp;"!R"&amp;ROW(B878))</f>
        <v/>
      </c>
      <c r="AE897" s="73">
        <f t="shared" si="16"/>
        <v>-3.155358621</v>
      </c>
      <c r="AF897" s="73">
        <f t="shared" si="17"/>
        <v>-1.740686581</v>
      </c>
      <c r="AG897" s="73">
        <f t="shared" si="18"/>
        <v>-2.380599106</v>
      </c>
      <c r="AH897" s="73">
        <f t="shared" si="19"/>
        <v>-1.79320266</v>
      </c>
      <c r="AI897" s="73">
        <f t="shared" si="20"/>
        <v>-3.240190514</v>
      </c>
      <c r="AJ897" s="73">
        <f t="shared" si="21"/>
        <v>-1.329092151</v>
      </c>
      <c r="AK897" s="73">
        <f t="shared" si="22"/>
        <v>0</v>
      </c>
      <c r="AL897" s="73">
        <f t="shared" si="23"/>
        <v>0</v>
      </c>
      <c r="AM897" s="73">
        <f t="shared" si="24"/>
        <v>0.433638093</v>
      </c>
      <c r="AN897" s="120">
        <f t="shared" si="25"/>
        <v>-3.240190514</v>
      </c>
      <c r="AO897" s="120">
        <f t="shared" si="26"/>
        <v>-6.395549135</v>
      </c>
      <c r="AP897" s="120" t="str">
        <f t="array" ref="AP897">INDIRECT("Update"&amp;Projections!$AH$17&amp;"!S"&amp;ROW(B878))</f>
        <v/>
      </c>
      <c r="AQ897" s="120" t="str">
        <f t="array" ref="AQ897">INDIRECT("Update"&amp;Projections!$AH$17&amp;"!T"&amp;ROW(B878))</f>
        <v/>
      </c>
      <c r="AR897" s="100">
        <f t="shared" si="27"/>
        <v>-9.965301026</v>
      </c>
    </row>
    <row r="898">
      <c r="A898" t="str">
        <f t="shared" si="3"/>
        <v/>
      </c>
      <c r="B898" s="42">
        <f t="shared" si="4"/>
        <v>-3.155358621</v>
      </c>
      <c r="C898" s="43">
        <f t="shared" si="5"/>
        <v>-1.740686581</v>
      </c>
      <c r="D898" s="42">
        <f t="shared" si="6"/>
        <v>-2.380599106</v>
      </c>
      <c r="E898" s="42">
        <f t="shared" si="7"/>
        <v>-1.79320266</v>
      </c>
      <c r="F898" s="42">
        <f t="shared" si="8"/>
        <v>-3.240190514</v>
      </c>
      <c r="G898" s="42">
        <f t="shared" si="9"/>
        <v>-1.329092151</v>
      </c>
      <c r="H898" s="42">
        <f t="shared" si="10"/>
        <v>0</v>
      </c>
      <c r="I898" s="42" t="str">
        <f>UpdateHashtag!S896</f>
        <v/>
      </c>
      <c r="J898" s="47">
        <f t="shared" si="11"/>
        <v>0</v>
      </c>
      <c r="K898" s="48" t="str">
        <f>UpdateHashtag!T896</f>
        <v/>
      </c>
      <c r="L898" s="42">
        <f t="shared" si="12"/>
        <v>-1.734552372</v>
      </c>
      <c r="N898" s="100">
        <f t="shared" si="13"/>
        <v>401</v>
      </c>
      <c r="O898" s="94" t="str">
        <f t="array" ref="O898">INDIRECT("Update"&amp;Projections!$AH$17&amp;"!B"&amp;ROW(B879))</f>
        <v/>
      </c>
      <c r="P898" s="414" t="str">
        <f t="array" ref="P898">INDIRECT("Update"&amp;Projections!$AH$17&amp;"!C"&amp;ROW(B879))</f>
        <v/>
      </c>
      <c r="Q898" s="94" t="str">
        <f>UpdateHashtag!F928</f>
        <v/>
      </c>
      <c r="R898" s="105" t="str">
        <f t="array" ref="R898">INDIRECT("Update"&amp;Projections!$AH$17&amp;"!D"&amp;ROW(B879))</f>
        <v/>
      </c>
      <c r="S898" s="73">
        <f t="shared" si="14"/>
        <v>-9.965301026</v>
      </c>
      <c r="T898" s="73">
        <f>SUM(AE898:AM898)-IFERROR(IFS(Projections!$I$17,AN898,Projections!$J$17,AO898),"")</f>
        <v>-9.965301026</v>
      </c>
      <c r="U898" s="73">
        <f t="shared" si="15"/>
        <v>0</v>
      </c>
      <c r="V898" s="73" t="str">
        <f t="array" ref="V898">INDIRECT("Update"&amp;Projections!$AH$17&amp;"!M"&amp;ROW(B879))</f>
        <v/>
      </c>
      <c r="W898" s="73" t="str">
        <f t="array" ref="W898">INDIRECT("Update"&amp;Projections!$AH$17&amp;"!L"&amp;ROW(B879))</f>
        <v/>
      </c>
      <c r="X898" s="73" t="str">
        <f t="array" ref="X898">INDIRECT("Update"&amp;Projections!$AH$17&amp;"!N"&amp;ROW(B879))</f>
        <v/>
      </c>
      <c r="Y898" s="73" t="str">
        <f t="array" ref="Y898">INDIRECT("Update"&amp;Projections!$AH$17&amp;"!O"&amp;ROW(B879))</f>
        <v/>
      </c>
      <c r="Z898" s="73" t="str">
        <f t="array" ref="Z898">INDIRECT("Update"&amp;Projections!$AH$17&amp;"!P"&amp;ROW(B879))</f>
        <v/>
      </c>
      <c r="AA898" s="73" t="str">
        <f t="array" ref="AA898">INDIRECT("Update"&amp;Projections!$AH$17&amp;"!Q"&amp;ROW(B879))</f>
        <v/>
      </c>
      <c r="AB898" s="107" t="str">
        <f t="array" ref="AB898">INDIRECT("Update"&amp;Projections!$AH$17&amp;"!I"&amp;ROW(B879))</f>
        <v/>
      </c>
      <c r="AC898" s="107" t="str">
        <f t="array" ref="AC898">INDIRECT("Update"&amp;Projections!$AH$17&amp;"!K"&amp;ROW(B879))</f>
        <v/>
      </c>
      <c r="AD898" s="73" t="str">
        <f t="array" ref="AD898">INDIRECT("Update"&amp;Projections!$AH$17&amp;"!R"&amp;ROW(B879))</f>
        <v/>
      </c>
      <c r="AE898" s="73">
        <f t="shared" si="16"/>
        <v>-3.155358621</v>
      </c>
      <c r="AF898" s="73">
        <f t="shared" si="17"/>
        <v>-1.740686581</v>
      </c>
      <c r="AG898" s="73">
        <f t="shared" si="18"/>
        <v>-2.380599106</v>
      </c>
      <c r="AH898" s="73">
        <f t="shared" si="19"/>
        <v>-1.79320266</v>
      </c>
      <c r="AI898" s="73">
        <f t="shared" si="20"/>
        <v>-3.240190514</v>
      </c>
      <c r="AJ898" s="73">
        <f t="shared" si="21"/>
        <v>-1.329092151</v>
      </c>
      <c r="AK898" s="73">
        <f t="shared" si="22"/>
        <v>0</v>
      </c>
      <c r="AL898" s="73">
        <f t="shared" si="23"/>
        <v>0</v>
      </c>
      <c r="AM898" s="73">
        <f t="shared" si="24"/>
        <v>0.433638093</v>
      </c>
      <c r="AN898" s="120">
        <f t="shared" si="25"/>
        <v>-3.240190514</v>
      </c>
      <c r="AO898" s="120">
        <f t="shared" si="26"/>
        <v>-6.395549135</v>
      </c>
      <c r="AP898" s="120" t="str">
        <f t="array" ref="AP898">INDIRECT("Update"&amp;Projections!$AH$17&amp;"!S"&amp;ROW(B879))</f>
        <v/>
      </c>
      <c r="AQ898" s="120" t="str">
        <f t="array" ref="AQ898">INDIRECT("Update"&amp;Projections!$AH$17&amp;"!T"&amp;ROW(B879))</f>
        <v/>
      </c>
      <c r="AR898" s="100">
        <f t="shared" si="27"/>
        <v>-9.965301026</v>
      </c>
    </row>
    <row r="899">
      <c r="A899" t="str">
        <f t="shared" si="3"/>
        <v/>
      </c>
      <c r="B899" s="42">
        <f t="shared" si="4"/>
        <v>-3.155358621</v>
      </c>
      <c r="C899" s="43">
        <f t="shared" si="5"/>
        <v>-1.740686581</v>
      </c>
      <c r="D899" s="42">
        <f t="shared" si="6"/>
        <v>-2.380599106</v>
      </c>
      <c r="E899" s="42">
        <f t="shared" si="7"/>
        <v>-1.79320266</v>
      </c>
      <c r="F899" s="42">
        <f t="shared" si="8"/>
        <v>-3.240190514</v>
      </c>
      <c r="G899" s="42">
        <f t="shared" si="9"/>
        <v>-1.329092151</v>
      </c>
      <c r="H899" s="42">
        <f t="shared" si="10"/>
        <v>0</v>
      </c>
      <c r="I899" s="42" t="str">
        <f>UpdateHashtag!S897</f>
        <v/>
      </c>
      <c r="J899" s="47">
        <f t="shared" si="11"/>
        <v>0</v>
      </c>
      <c r="K899" s="48" t="str">
        <f>UpdateHashtag!T897</f>
        <v/>
      </c>
      <c r="L899" s="42">
        <f t="shared" si="12"/>
        <v>-1.734552372</v>
      </c>
      <c r="N899" s="100">
        <f t="shared" si="13"/>
        <v>401</v>
      </c>
      <c r="O899" s="94" t="str">
        <f t="array" ref="O899">INDIRECT("Update"&amp;Projections!$AH$17&amp;"!B"&amp;ROW(B880))</f>
        <v/>
      </c>
      <c r="P899" s="414" t="str">
        <f t="array" ref="P899">INDIRECT("Update"&amp;Projections!$AH$17&amp;"!C"&amp;ROW(B880))</f>
        <v/>
      </c>
      <c r="Q899" s="94" t="str">
        <f>UpdateHashtag!F929</f>
        <v/>
      </c>
      <c r="R899" s="105" t="str">
        <f t="array" ref="R899">INDIRECT("Update"&amp;Projections!$AH$17&amp;"!D"&amp;ROW(B880))</f>
        <v/>
      </c>
      <c r="S899" s="73">
        <f t="shared" si="14"/>
        <v>-9.965301026</v>
      </c>
      <c r="T899" s="73">
        <f>SUM(AE899:AM899)-IFERROR(IFS(Projections!$I$17,AN899,Projections!$J$17,AO899),"")</f>
        <v>-9.965301026</v>
      </c>
      <c r="U899" s="73">
        <f t="shared" si="15"/>
        <v>0</v>
      </c>
      <c r="V899" s="73" t="str">
        <f t="array" ref="V899">INDIRECT("Update"&amp;Projections!$AH$17&amp;"!M"&amp;ROW(B880))</f>
        <v/>
      </c>
      <c r="W899" s="73" t="str">
        <f t="array" ref="W899">INDIRECT("Update"&amp;Projections!$AH$17&amp;"!L"&amp;ROW(B880))</f>
        <v/>
      </c>
      <c r="X899" s="73" t="str">
        <f t="array" ref="X899">INDIRECT("Update"&amp;Projections!$AH$17&amp;"!N"&amp;ROW(B880))</f>
        <v/>
      </c>
      <c r="Y899" s="73" t="str">
        <f t="array" ref="Y899">INDIRECT("Update"&amp;Projections!$AH$17&amp;"!O"&amp;ROW(B880))</f>
        <v/>
      </c>
      <c r="Z899" s="73" t="str">
        <f t="array" ref="Z899">INDIRECT("Update"&amp;Projections!$AH$17&amp;"!P"&amp;ROW(B880))</f>
        <v/>
      </c>
      <c r="AA899" s="73" t="str">
        <f t="array" ref="AA899">INDIRECT("Update"&amp;Projections!$AH$17&amp;"!Q"&amp;ROW(B880))</f>
        <v/>
      </c>
      <c r="AB899" s="107" t="str">
        <f t="array" ref="AB899">INDIRECT("Update"&amp;Projections!$AH$17&amp;"!I"&amp;ROW(B880))</f>
        <v/>
      </c>
      <c r="AC899" s="107" t="str">
        <f t="array" ref="AC899">INDIRECT("Update"&amp;Projections!$AH$17&amp;"!K"&amp;ROW(B880))</f>
        <v/>
      </c>
      <c r="AD899" s="73" t="str">
        <f t="array" ref="AD899">INDIRECT("Update"&amp;Projections!$AH$17&amp;"!R"&amp;ROW(B880))</f>
        <v/>
      </c>
      <c r="AE899" s="73">
        <f t="shared" si="16"/>
        <v>-3.155358621</v>
      </c>
      <c r="AF899" s="73">
        <f t="shared" si="17"/>
        <v>-1.740686581</v>
      </c>
      <c r="AG899" s="73">
        <f t="shared" si="18"/>
        <v>-2.380599106</v>
      </c>
      <c r="AH899" s="73">
        <f t="shared" si="19"/>
        <v>-1.79320266</v>
      </c>
      <c r="AI899" s="73">
        <f t="shared" si="20"/>
        <v>-3.240190514</v>
      </c>
      <c r="AJ899" s="73">
        <f t="shared" si="21"/>
        <v>-1.329092151</v>
      </c>
      <c r="AK899" s="73">
        <f t="shared" si="22"/>
        <v>0</v>
      </c>
      <c r="AL899" s="73">
        <f t="shared" si="23"/>
        <v>0</v>
      </c>
      <c r="AM899" s="73">
        <f t="shared" si="24"/>
        <v>0.433638093</v>
      </c>
      <c r="AN899" s="120">
        <f t="shared" si="25"/>
        <v>-3.240190514</v>
      </c>
      <c r="AO899" s="120">
        <f t="shared" si="26"/>
        <v>-6.395549135</v>
      </c>
      <c r="AP899" s="120" t="str">
        <f t="array" ref="AP899">INDIRECT("Update"&amp;Projections!$AH$17&amp;"!S"&amp;ROW(B880))</f>
        <v/>
      </c>
      <c r="AQ899" s="120" t="str">
        <f t="array" ref="AQ899">INDIRECT("Update"&amp;Projections!$AH$17&amp;"!T"&amp;ROW(B880))</f>
        <v/>
      </c>
      <c r="AR899" s="100">
        <f t="shared" si="27"/>
        <v>-9.965301026</v>
      </c>
    </row>
    <row r="900">
      <c r="A900" t="str">
        <f t="shared" si="3"/>
        <v/>
      </c>
      <c r="B900" s="42">
        <f t="shared" si="4"/>
        <v>-3.155358621</v>
      </c>
      <c r="C900" s="43">
        <f t="shared" si="5"/>
        <v>-1.740686581</v>
      </c>
      <c r="D900" s="42">
        <f t="shared" si="6"/>
        <v>-2.380599106</v>
      </c>
      <c r="E900" s="42">
        <f t="shared" si="7"/>
        <v>-1.79320266</v>
      </c>
      <c r="F900" s="42">
        <f t="shared" si="8"/>
        <v>-3.240190514</v>
      </c>
      <c r="G900" s="42">
        <f t="shared" si="9"/>
        <v>-1.329092151</v>
      </c>
      <c r="H900" s="42">
        <f t="shared" si="10"/>
        <v>0</v>
      </c>
      <c r="I900" s="42" t="str">
        <f>UpdateHashtag!S898</f>
        <v/>
      </c>
      <c r="J900" s="47">
        <f t="shared" si="11"/>
        <v>0</v>
      </c>
      <c r="K900" s="48" t="str">
        <f>UpdateHashtag!T898</f>
        <v/>
      </c>
      <c r="L900" s="42">
        <f t="shared" si="12"/>
        <v>-1.734552372</v>
      </c>
      <c r="N900" s="100">
        <f t="shared" si="13"/>
        <v>401</v>
      </c>
      <c r="O900" s="94" t="str">
        <f t="array" ref="O900">INDIRECT("Update"&amp;Projections!$AH$17&amp;"!B"&amp;ROW(B881))</f>
        <v/>
      </c>
      <c r="P900" s="414" t="str">
        <f t="array" ref="P900">INDIRECT("Update"&amp;Projections!$AH$17&amp;"!C"&amp;ROW(B881))</f>
        <v/>
      </c>
      <c r="Q900" s="94" t="str">
        <f>UpdateHashtag!F930</f>
        <v/>
      </c>
      <c r="R900" s="105" t="str">
        <f t="array" ref="R900">INDIRECT("Update"&amp;Projections!$AH$17&amp;"!D"&amp;ROW(B881))</f>
        <v/>
      </c>
      <c r="S900" s="73">
        <f t="shared" si="14"/>
        <v>-9.965301026</v>
      </c>
      <c r="T900" s="73">
        <f>SUM(AE900:AM900)-IFERROR(IFS(Projections!$I$17,AN900,Projections!$J$17,AO900),"")</f>
        <v>-9.965301026</v>
      </c>
      <c r="U900" s="73">
        <f t="shared" si="15"/>
        <v>0</v>
      </c>
      <c r="V900" s="73" t="str">
        <f t="array" ref="V900">INDIRECT("Update"&amp;Projections!$AH$17&amp;"!M"&amp;ROW(B881))</f>
        <v/>
      </c>
      <c r="W900" s="73" t="str">
        <f t="array" ref="W900">INDIRECT("Update"&amp;Projections!$AH$17&amp;"!L"&amp;ROW(B881))</f>
        <v/>
      </c>
      <c r="X900" s="73" t="str">
        <f t="array" ref="X900">INDIRECT("Update"&amp;Projections!$AH$17&amp;"!N"&amp;ROW(B881))</f>
        <v/>
      </c>
      <c r="Y900" s="73" t="str">
        <f t="array" ref="Y900">INDIRECT("Update"&amp;Projections!$AH$17&amp;"!O"&amp;ROW(B881))</f>
        <v/>
      </c>
      <c r="Z900" s="73" t="str">
        <f t="array" ref="Z900">INDIRECT("Update"&amp;Projections!$AH$17&amp;"!P"&amp;ROW(B881))</f>
        <v/>
      </c>
      <c r="AA900" s="73" t="str">
        <f t="array" ref="AA900">INDIRECT("Update"&amp;Projections!$AH$17&amp;"!Q"&amp;ROW(B881))</f>
        <v/>
      </c>
      <c r="AB900" s="107" t="str">
        <f t="array" ref="AB900">INDIRECT("Update"&amp;Projections!$AH$17&amp;"!I"&amp;ROW(B881))</f>
        <v/>
      </c>
      <c r="AC900" s="107" t="str">
        <f t="array" ref="AC900">INDIRECT("Update"&amp;Projections!$AH$17&amp;"!K"&amp;ROW(B881))</f>
        <v/>
      </c>
      <c r="AD900" s="73" t="str">
        <f t="array" ref="AD900">INDIRECT("Update"&amp;Projections!$AH$17&amp;"!R"&amp;ROW(B881))</f>
        <v/>
      </c>
      <c r="AE900" s="73">
        <f t="shared" si="16"/>
        <v>-3.155358621</v>
      </c>
      <c r="AF900" s="73">
        <f t="shared" si="17"/>
        <v>-1.740686581</v>
      </c>
      <c r="AG900" s="73">
        <f t="shared" si="18"/>
        <v>-2.380599106</v>
      </c>
      <c r="AH900" s="73">
        <f t="shared" si="19"/>
        <v>-1.79320266</v>
      </c>
      <c r="AI900" s="73">
        <f t="shared" si="20"/>
        <v>-3.240190514</v>
      </c>
      <c r="AJ900" s="73">
        <f t="shared" si="21"/>
        <v>-1.329092151</v>
      </c>
      <c r="AK900" s="73">
        <f t="shared" si="22"/>
        <v>0</v>
      </c>
      <c r="AL900" s="73">
        <f t="shared" si="23"/>
        <v>0</v>
      </c>
      <c r="AM900" s="73">
        <f t="shared" si="24"/>
        <v>0.433638093</v>
      </c>
      <c r="AN900" s="120">
        <f t="shared" si="25"/>
        <v>-3.240190514</v>
      </c>
      <c r="AO900" s="120">
        <f t="shared" si="26"/>
        <v>-6.395549135</v>
      </c>
      <c r="AP900" s="120" t="str">
        <f t="array" ref="AP900">INDIRECT("Update"&amp;Projections!$AH$17&amp;"!S"&amp;ROW(B881))</f>
        <v/>
      </c>
      <c r="AQ900" s="120" t="str">
        <f t="array" ref="AQ900">INDIRECT("Update"&amp;Projections!$AH$17&amp;"!T"&amp;ROW(B881))</f>
        <v/>
      </c>
      <c r="AR900" s="100">
        <f t="shared" si="27"/>
        <v>-9.965301026</v>
      </c>
    </row>
    <row r="901">
      <c r="A901" t="str">
        <f t="shared" si="3"/>
        <v/>
      </c>
      <c r="B901" s="42">
        <f t="shared" si="4"/>
        <v>-3.155358621</v>
      </c>
      <c r="C901" s="43">
        <f t="shared" si="5"/>
        <v>-1.740686581</v>
      </c>
      <c r="D901" s="42">
        <f t="shared" si="6"/>
        <v>-2.380599106</v>
      </c>
      <c r="E901" s="42">
        <f t="shared" si="7"/>
        <v>-1.79320266</v>
      </c>
      <c r="F901" s="42">
        <f t="shared" si="8"/>
        <v>-3.240190514</v>
      </c>
      <c r="G901" s="42">
        <f t="shared" si="9"/>
        <v>-1.329092151</v>
      </c>
      <c r="H901" s="42">
        <f t="shared" si="10"/>
        <v>0</v>
      </c>
      <c r="I901" s="42" t="str">
        <f>UpdateHashtag!S899</f>
        <v/>
      </c>
      <c r="J901" s="47">
        <f t="shared" si="11"/>
        <v>0</v>
      </c>
      <c r="K901" s="48" t="str">
        <f>UpdateHashtag!T899</f>
        <v/>
      </c>
      <c r="L901" s="42">
        <f t="shared" si="12"/>
        <v>-1.734552372</v>
      </c>
      <c r="N901" s="100">
        <f t="shared" si="13"/>
        <v>401</v>
      </c>
      <c r="O901" s="94" t="str">
        <f t="array" ref="O901">INDIRECT("Update"&amp;Projections!$AH$17&amp;"!B"&amp;ROW(B882))</f>
        <v/>
      </c>
      <c r="P901" s="414" t="str">
        <f t="array" ref="P901">INDIRECT("Update"&amp;Projections!$AH$17&amp;"!C"&amp;ROW(B882))</f>
        <v/>
      </c>
      <c r="Q901" s="94" t="str">
        <f>UpdateHashtag!F931</f>
        <v/>
      </c>
      <c r="R901" s="105" t="str">
        <f t="array" ref="R901">INDIRECT("Update"&amp;Projections!$AH$17&amp;"!D"&amp;ROW(B882))</f>
        <v/>
      </c>
      <c r="S901" s="73">
        <f t="shared" si="14"/>
        <v>-9.965301026</v>
      </c>
      <c r="T901" s="73">
        <f>SUM(AE901:AM901)-IFERROR(IFS(Projections!$I$17,AN901,Projections!$J$17,AO901),"")</f>
        <v>-9.965301026</v>
      </c>
      <c r="U901" s="73">
        <f t="shared" si="15"/>
        <v>0</v>
      </c>
      <c r="V901" s="73" t="str">
        <f t="array" ref="V901">INDIRECT("Update"&amp;Projections!$AH$17&amp;"!M"&amp;ROW(B882))</f>
        <v/>
      </c>
      <c r="W901" s="73" t="str">
        <f t="array" ref="W901">INDIRECT("Update"&amp;Projections!$AH$17&amp;"!L"&amp;ROW(B882))</f>
        <v/>
      </c>
      <c r="X901" s="73" t="str">
        <f t="array" ref="X901">INDIRECT("Update"&amp;Projections!$AH$17&amp;"!N"&amp;ROW(B882))</f>
        <v/>
      </c>
      <c r="Y901" s="73" t="str">
        <f t="array" ref="Y901">INDIRECT("Update"&amp;Projections!$AH$17&amp;"!O"&amp;ROW(B882))</f>
        <v/>
      </c>
      <c r="Z901" s="73" t="str">
        <f t="array" ref="Z901">INDIRECT("Update"&amp;Projections!$AH$17&amp;"!P"&amp;ROW(B882))</f>
        <v/>
      </c>
      <c r="AA901" s="73" t="str">
        <f t="array" ref="AA901">INDIRECT("Update"&amp;Projections!$AH$17&amp;"!Q"&amp;ROW(B882))</f>
        <v/>
      </c>
      <c r="AB901" s="107" t="str">
        <f t="array" ref="AB901">INDIRECT("Update"&amp;Projections!$AH$17&amp;"!I"&amp;ROW(B882))</f>
        <v/>
      </c>
      <c r="AC901" s="107" t="str">
        <f t="array" ref="AC901">INDIRECT("Update"&amp;Projections!$AH$17&amp;"!K"&amp;ROW(B882))</f>
        <v/>
      </c>
      <c r="AD901" s="73" t="str">
        <f t="array" ref="AD901">INDIRECT("Update"&amp;Projections!$AH$17&amp;"!R"&amp;ROW(B882))</f>
        <v/>
      </c>
      <c r="AE901" s="73">
        <f t="shared" si="16"/>
        <v>-3.155358621</v>
      </c>
      <c r="AF901" s="73">
        <f t="shared" si="17"/>
        <v>-1.740686581</v>
      </c>
      <c r="AG901" s="73">
        <f t="shared" si="18"/>
        <v>-2.380599106</v>
      </c>
      <c r="AH901" s="73">
        <f t="shared" si="19"/>
        <v>-1.79320266</v>
      </c>
      <c r="AI901" s="73">
        <f t="shared" si="20"/>
        <v>-3.240190514</v>
      </c>
      <c r="AJ901" s="73">
        <f t="shared" si="21"/>
        <v>-1.329092151</v>
      </c>
      <c r="AK901" s="73">
        <f t="shared" si="22"/>
        <v>0</v>
      </c>
      <c r="AL901" s="73">
        <f t="shared" si="23"/>
        <v>0</v>
      </c>
      <c r="AM901" s="73">
        <f t="shared" si="24"/>
        <v>0.433638093</v>
      </c>
      <c r="AN901" s="120">
        <f t="shared" si="25"/>
        <v>-3.240190514</v>
      </c>
      <c r="AO901" s="120">
        <f t="shared" si="26"/>
        <v>-6.395549135</v>
      </c>
      <c r="AP901" s="120" t="str">
        <f t="array" ref="AP901">INDIRECT("Update"&amp;Projections!$AH$17&amp;"!S"&amp;ROW(B882))</f>
        <v/>
      </c>
      <c r="AQ901" s="120" t="str">
        <f t="array" ref="AQ901">INDIRECT("Update"&amp;Projections!$AH$17&amp;"!T"&amp;ROW(B882))</f>
        <v/>
      </c>
      <c r="AR901" s="100">
        <f t="shared" si="27"/>
        <v>-9.965301026</v>
      </c>
    </row>
    <row r="902">
      <c r="A902" t="str">
        <f t="shared" si="3"/>
        <v/>
      </c>
      <c r="B902" s="42">
        <f t="shared" si="4"/>
        <v>-3.155358621</v>
      </c>
      <c r="C902" s="43">
        <f t="shared" si="5"/>
        <v>-1.740686581</v>
      </c>
      <c r="D902" s="42">
        <f t="shared" si="6"/>
        <v>-2.380599106</v>
      </c>
      <c r="E902" s="42">
        <f t="shared" si="7"/>
        <v>-1.79320266</v>
      </c>
      <c r="F902" s="42">
        <f t="shared" si="8"/>
        <v>-3.240190514</v>
      </c>
      <c r="G902" s="42">
        <f t="shared" si="9"/>
        <v>-1.329092151</v>
      </c>
      <c r="H902" s="42">
        <f t="shared" si="10"/>
        <v>0</v>
      </c>
      <c r="I902" s="42" t="str">
        <f>UpdateHashtag!S900</f>
        <v/>
      </c>
      <c r="J902" s="47">
        <f t="shared" si="11"/>
        <v>0</v>
      </c>
      <c r="K902" s="48" t="str">
        <f>UpdateHashtag!T900</f>
        <v/>
      </c>
      <c r="L902" s="42">
        <f t="shared" si="12"/>
        <v>-1.734552372</v>
      </c>
      <c r="N902" s="100">
        <f t="shared" si="13"/>
        <v>401</v>
      </c>
      <c r="O902" s="94" t="str">
        <f t="array" ref="O902">INDIRECT("Update"&amp;Projections!$AH$17&amp;"!B"&amp;ROW(B883))</f>
        <v/>
      </c>
      <c r="P902" s="414" t="str">
        <f t="array" ref="P902">INDIRECT("Update"&amp;Projections!$AH$17&amp;"!C"&amp;ROW(B883))</f>
        <v/>
      </c>
      <c r="Q902" s="94" t="str">
        <f>UpdateHashtag!F932</f>
        <v/>
      </c>
      <c r="R902" s="105" t="str">
        <f t="array" ref="R902">INDIRECT("Update"&amp;Projections!$AH$17&amp;"!D"&amp;ROW(B883))</f>
        <v/>
      </c>
      <c r="S902" s="73">
        <f t="shared" si="14"/>
        <v>-9.965301026</v>
      </c>
      <c r="T902" s="73">
        <f>SUM(AE902:AM902)-IFERROR(IFS(Projections!$I$17,AN902,Projections!$J$17,AO902),"")</f>
        <v>-9.965301026</v>
      </c>
      <c r="U902" s="73">
        <f t="shared" si="15"/>
        <v>0</v>
      </c>
      <c r="V902" s="73" t="str">
        <f t="array" ref="V902">INDIRECT("Update"&amp;Projections!$AH$17&amp;"!M"&amp;ROW(B883))</f>
        <v/>
      </c>
      <c r="W902" s="73" t="str">
        <f t="array" ref="W902">INDIRECT("Update"&amp;Projections!$AH$17&amp;"!L"&amp;ROW(B883))</f>
        <v/>
      </c>
      <c r="X902" s="73" t="str">
        <f t="array" ref="X902">INDIRECT("Update"&amp;Projections!$AH$17&amp;"!N"&amp;ROW(B883))</f>
        <v/>
      </c>
      <c r="Y902" s="73" t="str">
        <f t="array" ref="Y902">INDIRECT("Update"&amp;Projections!$AH$17&amp;"!O"&amp;ROW(B883))</f>
        <v/>
      </c>
      <c r="Z902" s="73" t="str">
        <f t="array" ref="Z902">INDIRECT("Update"&amp;Projections!$AH$17&amp;"!P"&amp;ROW(B883))</f>
        <v/>
      </c>
      <c r="AA902" s="73" t="str">
        <f t="array" ref="AA902">INDIRECT("Update"&amp;Projections!$AH$17&amp;"!Q"&amp;ROW(B883))</f>
        <v/>
      </c>
      <c r="AB902" s="107" t="str">
        <f t="array" ref="AB902">INDIRECT("Update"&amp;Projections!$AH$17&amp;"!I"&amp;ROW(B883))</f>
        <v/>
      </c>
      <c r="AC902" s="107" t="str">
        <f t="array" ref="AC902">INDIRECT("Update"&amp;Projections!$AH$17&amp;"!K"&amp;ROW(B883))</f>
        <v/>
      </c>
      <c r="AD902" s="73" t="str">
        <f t="array" ref="AD902">INDIRECT("Update"&amp;Projections!$AH$17&amp;"!R"&amp;ROW(B883))</f>
        <v/>
      </c>
      <c r="AE902" s="73">
        <f t="shared" si="16"/>
        <v>-3.155358621</v>
      </c>
      <c r="AF902" s="73">
        <f t="shared" si="17"/>
        <v>-1.740686581</v>
      </c>
      <c r="AG902" s="73">
        <f t="shared" si="18"/>
        <v>-2.380599106</v>
      </c>
      <c r="AH902" s="73">
        <f t="shared" si="19"/>
        <v>-1.79320266</v>
      </c>
      <c r="AI902" s="73">
        <f t="shared" si="20"/>
        <v>-3.240190514</v>
      </c>
      <c r="AJ902" s="73">
        <f t="shared" si="21"/>
        <v>-1.329092151</v>
      </c>
      <c r="AK902" s="73">
        <f t="shared" si="22"/>
        <v>0</v>
      </c>
      <c r="AL902" s="73">
        <f t="shared" si="23"/>
        <v>0</v>
      </c>
      <c r="AM902" s="73">
        <f t="shared" si="24"/>
        <v>0.433638093</v>
      </c>
      <c r="AN902" s="120">
        <f t="shared" si="25"/>
        <v>-3.240190514</v>
      </c>
      <c r="AO902" s="120">
        <f t="shared" si="26"/>
        <v>-6.395549135</v>
      </c>
      <c r="AP902" s="120" t="str">
        <f t="array" ref="AP902">INDIRECT("Update"&amp;Projections!$AH$17&amp;"!S"&amp;ROW(B883))</f>
        <v/>
      </c>
      <c r="AQ902" s="120" t="str">
        <f t="array" ref="AQ902">INDIRECT("Update"&amp;Projections!$AH$17&amp;"!T"&amp;ROW(B883))</f>
        <v/>
      </c>
      <c r="AR902" s="100">
        <f t="shared" si="27"/>
        <v>-9.965301026</v>
      </c>
    </row>
    <row r="903">
      <c r="A903" t="str">
        <f t="shared" si="3"/>
        <v/>
      </c>
      <c r="B903" s="42">
        <f t="shared" si="4"/>
        <v>-3.155358621</v>
      </c>
      <c r="C903" s="43">
        <f t="shared" si="5"/>
        <v>-1.740686581</v>
      </c>
      <c r="D903" s="42">
        <f t="shared" si="6"/>
        <v>-2.380599106</v>
      </c>
      <c r="E903" s="42">
        <f t="shared" si="7"/>
        <v>-1.79320266</v>
      </c>
      <c r="F903" s="42">
        <f t="shared" si="8"/>
        <v>-3.240190514</v>
      </c>
      <c r="G903" s="42">
        <f t="shared" si="9"/>
        <v>-1.329092151</v>
      </c>
      <c r="H903" s="42">
        <f t="shared" si="10"/>
        <v>0</v>
      </c>
      <c r="I903" s="42" t="str">
        <f>UpdateHashtag!S901</f>
        <v/>
      </c>
      <c r="J903" s="47">
        <f t="shared" si="11"/>
        <v>0</v>
      </c>
      <c r="K903" s="48" t="str">
        <f>UpdateHashtag!T901</f>
        <v/>
      </c>
      <c r="L903" s="42">
        <f t="shared" si="12"/>
        <v>-1.734552372</v>
      </c>
      <c r="N903" s="100">
        <f t="shared" si="13"/>
        <v>401</v>
      </c>
      <c r="O903" s="94" t="str">
        <f t="array" ref="O903">INDIRECT("Update"&amp;Projections!$AH$17&amp;"!B"&amp;ROW(B884))</f>
        <v/>
      </c>
      <c r="P903" s="414" t="str">
        <f t="array" ref="P903">INDIRECT("Update"&amp;Projections!$AH$17&amp;"!C"&amp;ROW(B884))</f>
        <v/>
      </c>
      <c r="Q903" s="94" t="str">
        <f>UpdateHashtag!F933</f>
        <v/>
      </c>
      <c r="R903" s="105" t="str">
        <f t="array" ref="R903">INDIRECT("Update"&amp;Projections!$AH$17&amp;"!D"&amp;ROW(B884))</f>
        <v/>
      </c>
      <c r="S903" s="73">
        <f t="shared" si="14"/>
        <v>-9.965301026</v>
      </c>
      <c r="T903" s="73">
        <f>SUM(AE903:AM903)-IFERROR(IFS(Projections!$I$17,AN903,Projections!$J$17,AO903),"")</f>
        <v>-9.965301026</v>
      </c>
      <c r="U903" s="73">
        <f t="shared" si="15"/>
        <v>0</v>
      </c>
      <c r="V903" s="73" t="str">
        <f t="array" ref="V903">INDIRECT("Update"&amp;Projections!$AH$17&amp;"!M"&amp;ROW(B884))</f>
        <v/>
      </c>
      <c r="W903" s="73" t="str">
        <f t="array" ref="W903">INDIRECT("Update"&amp;Projections!$AH$17&amp;"!L"&amp;ROW(B884))</f>
        <v/>
      </c>
      <c r="X903" s="73" t="str">
        <f t="array" ref="X903">INDIRECT("Update"&amp;Projections!$AH$17&amp;"!N"&amp;ROW(B884))</f>
        <v/>
      </c>
      <c r="Y903" s="73" t="str">
        <f t="array" ref="Y903">INDIRECT("Update"&amp;Projections!$AH$17&amp;"!O"&amp;ROW(B884))</f>
        <v/>
      </c>
      <c r="Z903" s="73" t="str">
        <f t="array" ref="Z903">INDIRECT("Update"&amp;Projections!$AH$17&amp;"!P"&amp;ROW(B884))</f>
        <v/>
      </c>
      <c r="AA903" s="73" t="str">
        <f t="array" ref="AA903">INDIRECT("Update"&amp;Projections!$AH$17&amp;"!Q"&amp;ROW(B884))</f>
        <v/>
      </c>
      <c r="AB903" s="107" t="str">
        <f t="array" ref="AB903">INDIRECT("Update"&amp;Projections!$AH$17&amp;"!I"&amp;ROW(B884))</f>
        <v/>
      </c>
      <c r="AC903" s="107" t="str">
        <f t="array" ref="AC903">INDIRECT("Update"&amp;Projections!$AH$17&amp;"!K"&amp;ROW(B884))</f>
        <v/>
      </c>
      <c r="AD903" s="73" t="str">
        <f t="array" ref="AD903">INDIRECT("Update"&amp;Projections!$AH$17&amp;"!R"&amp;ROW(B884))</f>
        <v/>
      </c>
      <c r="AE903" s="73">
        <f t="shared" si="16"/>
        <v>-3.155358621</v>
      </c>
      <c r="AF903" s="73">
        <f t="shared" si="17"/>
        <v>-1.740686581</v>
      </c>
      <c r="AG903" s="73">
        <f t="shared" si="18"/>
        <v>-2.380599106</v>
      </c>
      <c r="AH903" s="73">
        <f t="shared" si="19"/>
        <v>-1.79320266</v>
      </c>
      <c r="AI903" s="73">
        <f t="shared" si="20"/>
        <v>-3.240190514</v>
      </c>
      <c r="AJ903" s="73">
        <f t="shared" si="21"/>
        <v>-1.329092151</v>
      </c>
      <c r="AK903" s="73">
        <f t="shared" si="22"/>
        <v>0</v>
      </c>
      <c r="AL903" s="73">
        <f t="shared" si="23"/>
        <v>0</v>
      </c>
      <c r="AM903" s="73">
        <f t="shared" si="24"/>
        <v>0.433638093</v>
      </c>
      <c r="AN903" s="120">
        <f t="shared" si="25"/>
        <v>-3.240190514</v>
      </c>
      <c r="AO903" s="120">
        <f t="shared" si="26"/>
        <v>-6.395549135</v>
      </c>
      <c r="AP903" s="120" t="str">
        <f t="array" ref="AP903">INDIRECT("Update"&amp;Projections!$AH$17&amp;"!S"&amp;ROW(B884))</f>
        <v/>
      </c>
      <c r="AQ903" s="120" t="str">
        <f t="array" ref="AQ903">INDIRECT("Update"&amp;Projections!$AH$17&amp;"!T"&amp;ROW(B884))</f>
        <v/>
      </c>
      <c r="AR903" s="100">
        <f t="shared" si="27"/>
        <v>-9.965301026</v>
      </c>
    </row>
    <row r="904">
      <c r="A904" t="str">
        <f t="shared" si="3"/>
        <v/>
      </c>
      <c r="B904" s="42">
        <f t="shared" si="4"/>
        <v>-3.155358621</v>
      </c>
      <c r="C904" s="43">
        <f t="shared" si="5"/>
        <v>-1.740686581</v>
      </c>
      <c r="D904" s="42">
        <f t="shared" si="6"/>
        <v>-2.380599106</v>
      </c>
      <c r="E904" s="42">
        <f t="shared" si="7"/>
        <v>-1.79320266</v>
      </c>
      <c r="F904" s="42">
        <f t="shared" si="8"/>
        <v>-3.240190514</v>
      </c>
      <c r="G904" s="42">
        <f t="shared" si="9"/>
        <v>-1.329092151</v>
      </c>
      <c r="H904" s="42">
        <f t="shared" si="10"/>
        <v>0</v>
      </c>
      <c r="I904" s="42" t="str">
        <f>UpdateHashtag!S902</f>
        <v/>
      </c>
      <c r="J904" s="47">
        <f t="shared" si="11"/>
        <v>0</v>
      </c>
      <c r="K904" s="48" t="str">
        <f>UpdateHashtag!T902</f>
        <v/>
      </c>
      <c r="L904" s="42">
        <f t="shared" si="12"/>
        <v>-1.734552372</v>
      </c>
      <c r="N904" s="100">
        <f t="shared" si="13"/>
        <v>401</v>
      </c>
      <c r="O904" s="94" t="str">
        <f t="array" ref="O904">INDIRECT("Update"&amp;Projections!$AH$17&amp;"!B"&amp;ROW(B885))</f>
        <v/>
      </c>
      <c r="P904" s="414" t="str">
        <f t="array" ref="P904">INDIRECT("Update"&amp;Projections!$AH$17&amp;"!C"&amp;ROW(B885))</f>
        <v/>
      </c>
      <c r="Q904" s="94" t="str">
        <f>UpdateHashtag!F934</f>
        <v/>
      </c>
      <c r="R904" s="105" t="str">
        <f t="array" ref="R904">INDIRECT("Update"&amp;Projections!$AH$17&amp;"!D"&amp;ROW(B885))</f>
        <v/>
      </c>
      <c r="S904" s="73">
        <f t="shared" si="14"/>
        <v>-9.965301026</v>
      </c>
      <c r="T904" s="73">
        <f>SUM(AE904:AM904)-IFERROR(IFS(Projections!$I$17,AN904,Projections!$J$17,AO904),"")</f>
        <v>-9.965301026</v>
      </c>
      <c r="U904" s="73">
        <f t="shared" si="15"/>
        <v>0</v>
      </c>
      <c r="V904" s="73" t="str">
        <f t="array" ref="V904">INDIRECT("Update"&amp;Projections!$AH$17&amp;"!M"&amp;ROW(B885))</f>
        <v/>
      </c>
      <c r="W904" s="73" t="str">
        <f t="array" ref="W904">INDIRECT("Update"&amp;Projections!$AH$17&amp;"!L"&amp;ROW(B885))</f>
        <v/>
      </c>
      <c r="X904" s="73" t="str">
        <f t="array" ref="X904">INDIRECT("Update"&amp;Projections!$AH$17&amp;"!N"&amp;ROW(B885))</f>
        <v/>
      </c>
      <c r="Y904" s="73" t="str">
        <f t="array" ref="Y904">INDIRECT("Update"&amp;Projections!$AH$17&amp;"!O"&amp;ROW(B885))</f>
        <v/>
      </c>
      <c r="Z904" s="73" t="str">
        <f t="array" ref="Z904">INDIRECT("Update"&amp;Projections!$AH$17&amp;"!P"&amp;ROW(B885))</f>
        <v/>
      </c>
      <c r="AA904" s="73" t="str">
        <f t="array" ref="AA904">INDIRECT("Update"&amp;Projections!$AH$17&amp;"!Q"&amp;ROW(B885))</f>
        <v/>
      </c>
      <c r="AB904" s="107" t="str">
        <f t="array" ref="AB904">INDIRECT("Update"&amp;Projections!$AH$17&amp;"!I"&amp;ROW(B885))</f>
        <v/>
      </c>
      <c r="AC904" s="107" t="str">
        <f t="array" ref="AC904">INDIRECT("Update"&amp;Projections!$AH$17&amp;"!K"&amp;ROW(B885))</f>
        <v/>
      </c>
      <c r="AD904" s="73" t="str">
        <f t="array" ref="AD904">INDIRECT("Update"&amp;Projections!$AH$17&amp;"!R"&amp;ROW(B885))</f>
        <v/>
      </c>
      <c r="AE904" s="73">
        <f t="shared" si="16"/>
        <v>-3.155358621</v>
      </c>
      <c r="AF904" s="73">
        <f t="shared" si="17"/>
        <v>-1.740686581</v>
      </c>
      <c r="AG904" s="73">
        <f t="shared" si="18"/>
        <v>-2.380599106</v>
      </c>
      <c r="AH904" s="73">
        <f t="shared" si="19"/>
        <v>-1.79320266</v>
      </c>
      <c r="AI904" s="73">
        <f t="shared" si="20"/>
        <v>-3.240190514</v>
      </c>
      <c r="AJ904" s="73">
        <f t="shared" si="21"/>
        <v>-1.329092151</v>
      </c>
      <c r="AK904" s="73">
        <f t="shared" si="22"/>
        <v>0</v>
      </c>
      <c r="AL904" s="73">
        <f t="shared" si="23"/>
        <v>0</v>
      </c>
      <c r="AM904" s="73">
        <f t="shared" si="24"/>
        <v>0.433638093</v>
      </c>
      <c r="AN904" s="120">
        <f t="shared" si="25"/>
        <v>-3.240190514</v>
      </c>
      <c r="AO904" s="120">
        <f t="shared" si="26"/>
        <v>-6.395549135</v>
      </c>
      <c r="AP904" s="120" t="str">
        <f t="array" ref="AP904">INDIRECT("Update"&amp;Projections!$AH$17&amp;"!S"&amp;ROW(B885))</f>
        <v/>
      </c>
      <c r="AQ904" s="120" t="str">
        <f t="array" ref="AQ904">INDIRECT("Update"&amp;Projections!$AH$17&amp;"!T"&amp;ROW(B885))</f>
        <v/>
      </c>
      <c r="AR904" s="100">
        <f t="shared" si="27"/>
        <v>-9.965301026</v>
      </c>
    </row>
    <row r="905">
      <c r="A905" t="str">
        <f t="shared" si="3"/>
        <v/>
      </c>
      <c r="B905" s="42">
        <f t="shared" si="4"/>
        <v>-3.155358621</v>
      </c>
      <c r="C905" s="43">
        <f t="shared" si="5"/>
        <v>-1.740686581</v>
      </c>
      <c r="D905" s="42">
        <f t="shared" si="6"/>
        <v>-2.380599106</v>
      </c>
      <c r="E905" s="42">
        <f t="shared" si="7"/>
        <v>-1.79320266</v>
      </c>
      <c r="F905" s="42">
        <f t="shared" si="8"/>
        <v>-3.240190514</v>
      </c>
      <c r="G905" s="42">
        <f t="shared" si="9"/>
        <v>-1.329092151</v>
      </c>
      <c r="H905" s="42">
        <f t="shared" si="10"/>
        <v>0</v>
      </c>
      <c r="I905" s="42" t="str">
        <f>UpdateHashtag!S903</f>
        <v/>
      </c>
      <c r="J905" s="47">
        <f t="shared" si="11"/>
        <v>0</v>
      </c>
      <c r="K905" s="48" t="str">
        <f>UpdateHashtag!T903</f>
        <v/>
      </c>
      <c r="L905" s="42">
        <f t="shared" si="12"/>
        <v>-1.734552372</v>
      </c>
      <c r="N905" s="100">
        <f t="shared" si="13"/>
        <v>401</v>
      </c>
      <c r="O905" s="94" t="str">
        <f t="array" ref="O905">INDIRECT("Update"&amp;Projections!$AH$17&amp;"!B"&amp;ROW(B886))</f>
        <v/>
      </c>
      <c r="P905" s="414" t="str">
        <f t="array" ref="P905">INDIRECT("Update"&amp;Projections!$AH$17&amp;"!C"&amp;ROW(B886))</f>
        <v/>
      </c>
      <c r="Q905" s="94" t="str">
        <f>UpdateHashtag!F935</f>
        <v/>
      </c>
      <c r="R905" s="105" t="str">
        <f t="array" ref="R905">INDIRECT("Update"&amp;Projections!$AH$17&amp;"!D"&amp;ROW(B886))</f>
        <v/>
      </c>
      <c r="S905" s="73">
        <f t="shared" si="14"/>
        <v>-9.965301026</v>
      </c>
      <c r="T905" s="73">
        <f>SUM(AE905:AM905)-IFERROR(IFS(Projections!$I$17,AN905,Projections!$J$17,AO905),"")</f>
        <v>-9.965301026</v>
      </c>
      <c r="U905" s="73">
        <f t="shared" si="15"/>
        <v>0</v>
      </c>
      <c r="V905" s="73" t="str">
        <f t="array" ref="V905">INDIRECT("Update"&amp;Projections!$AH$17&amp;"!M"&amp;ROW(B886))</f>
        <v/>
      </c>
      <c r="W905" s="73" t="str">
        <f t="array" ref="W905">INDIRECT("Update"&amp;Projections!$AH$17&amp;"!L"&amp;ROW(B886))</f>
        <v/>
      </c>
      <c r="X905" s="73" t="str">
        <f t="array" ref="X905">INDIRECT("Update"&amp;Projections!$AH$17&amp;"!N"&amp;ROW(B886))</f>
        <v/>
      </c>
      <c r="Y905" s="73" t="str">
        <f t="array" ref="Y905">INDIRECT("Update"&amp;Projections!$AH$17&amp;"!O"&amp;ROW(B886))</f>
        <v/>
      </c>
      <c r="Z905" s="73" t="str">
        <f t="array" ref="Z905">INDIRECT("Update"&amp;Projections!$AH$17&amp;"!P"&amp;ROW(B886))</f>
        <v/>
      </c>
      <c r="AA905" s="73" t="str">
        <f t="array" ref="AA905">INDIRECT("Update"&amp;Projections!$AH$17&amp;"!Q"&amp;ROW(B886))</f>
        <v/>
      </c>
      <c r="AB905" s="107" t="str">
        <f t="array" ref="AB905">INDIRECT("Update"&amp;Projections!$AH$17&amp;"!I"&amp;ROW(B886))</f>
        <v/>
      </c>
      <c r="AC905" s="107" t="str">
        <f t="array" ref="AC905">INDIRECT("Update"&amp;Projections!$AH$17&amp;"!K"&amp;ROW(B886))</f>
        <v/>
      </c>
      <c r="AD905" s="73" t="str">
        <f t="array" ref="AD905">INDIRECT("Update"&amp;Projections!$AH$17&amp;"!R"&amp;ROW(B886))</f>
        <v/>
      </c>
      <c r="AE905" s="73">
        <f t="shared" si="16"/>
        <v>-3.155358621</v>
      </c>
      <c r="AF905" s="73">
        <f t="shared" si="17"/>
        <v>-1.740686581</v>
      </c>
      <c r="AG905" s="73">
        <f t="shared" si="18"/>
        <v>-2.380599106</v>
      </c>
      <c r="AH905" s="73">
        <f t="shared" si="19"/>
        <v>-1.79320266</v>
      </c>
      <c r="AI905" s="73">
        <f t="shared" si="20"/>
        <v>-3.240190514</v>
      </c>
      <c r="AJ905" s="73">
        <f t="shared" si="21"/>
        <v>-1.329092151</v>
      </c>
      <c r="AK905" s="73">
        <f t="shared" si="22"/>
        <v>0</v>
      </c>
      <c r="AL905" s="73">
        <f t="shared" si="23"/>
        <v>0</v>
      </c>
      <c r="AM905" s="73">
        <f t="shared" si="24"/>
        <v>0.433638093</v>
      </c>
      <c r="AN905" s="120">
        <f t="shared" si="25"/>
        <v>-3.240190514</v>
      </c>
      <c r="AO905" s="120">
        <f t="shared" si="26"/>
        <v>-6.395549135</v>
      </c>
      <c r="AP905" s="120" t="str">
        <f t="array" ref="AP905">INDIRECT("Update"&amp;Projections!$AH$17&amp;"!S"&amp;ROW(B886))</f>
        <v/>
      </c>
      <c r="AQ905" s="120" t="str">
        <f t="array" ref="AQ905">INDIRECT("Update"&amp;Projections!$AH$17&amp;"!T"&amp;ROW(B886))</f>
        <v/>
      </c>
      <c r="AR905" s="100">
        <f t="shared" si="27"/>
        <v>-9.965301026</v>
      </c>
    </row>
    <row r="906">
      <c r="A906" t="str">
        <f t="shared" si="3"/>
        <v/>
      </c>
      <c r="B906" s="42">
        <f t="shared" si="4"/>
        <v>-3.155358621</v>
      </c>
      <c r="C906" s="43">
        <f t="shared" si="5"/>
        <v>-1.740686581</v>
      </c>
      <c r="D906" s="42">
        <f t="shared" si="6"/>
        <v>-2.380599106</v>
      </c>
      <c r="E906" s="42">
        <f t="shared" si="7"/>
        <v>-1.79320266</v>
      </c>
      <c r="F906" s="42">
        <f t="shared" si="8"/>
        <v>-3.240190514</v>
      </c>
      <c r="G906" s="42">
        <f t="shared" si="9"/>
        <v>-1.329092151</v>
      </c>
      <c r="H906" s="42">
        <f t="shared" si="10"/>
        <v>0</v>
      </c>
      <c r="I906" s="42" t="str">
        <f>UpdateHashtag!S904</f>
        <v/>
      </c>
      <c r="J906" s="47">
        <f t="shared" si="11"/>
        <v>0</v>
      </c>
      <c r="K906" s="48" t="str">
        <f>UpdateHashtag!T904</f>
        <v/>
      </c>
      <c r="L906" s="42">
        <f t="shared" si="12"/>
        <v>-1.734552372</v>
      </c>
      <c r="N906" s="100">
        <f t="shared" si="13"/>
        <v>401</v>
      </c>
      <c r="O906" s="94" t="str">
        <f t="array" ref="O906">INDIRECT("Update"&amp;Projections!$AH$17&amp;"!B"&amp;ROW(B887))</f>
        <v/>
      </c>
      <c r="P906" s="414" t="str">
        <f t="array" ref="P906">INDIRECT("Update"&amp;Projections!$AH$17&amp;"!C"&amp;ROW(B887))</f>
        <v/>
      </c>
      <c r="Q906" s="94" t="str">
        <f>UpdateHashtag!F936</f>
        <v/>
      </c>
      <c r="R906" s="105" t="str">
        <f t="array" ref="R906">INDIRECT("Update"&amp;Projections!$AH$17&amp;"!D"&amp;ROW(B887))</f>
        <v/>
      </c>
      <c r="S906" s="73">
        <f t="shared" si="14"/>
        <v>-9.965301026</v>
      </c>
      <c r="T906" s="73">
        <f>SUM(AE906:AM906)-IFERROR(IFS(Projections!$I$17,AN906,Projections!$J$17,AO906),"")</f>
        <v>-9.965301026</v>
      </c>
      <c r="U906" s="73">
        <f t="shared" si="15"/>
        <v>0</v>
      </c>
      <c r="V906" s="73" t="str">
        <f t="array" ref="V906">INDIRECT("Update"&amp;Projections!$AH$17&amp;"!M"&amp;ROW(B887))</f>
        <v/>
      </c>
      <c r="W906" s="73" t="str">
        <f t="array" ref="W906">INDIRECT("Update"&amp;Projections!$AH$17&amp;"!L"&amp;ROW(B887))</f>
        <v/>
      </c>
      <c r="X906" s="73" t="str">
        <f t="array" ref="X906">INDIRECT("Update"&amp;Projections!$AH$17&amp;"!N"&amp;ROW(B887))</f>
        <v/>
      </c>
      <c r="Y906" s="73" t="str">
        <f t="array" ref="Y906">INDIRECT("Update"&amp;Projections!$AH$17&amp;"!O"&amp;ROW(B887))</f>
        <v/>
      </c>
      <c r="Z906" s="73" t="str">
        <f t="array" ref="Z906">INDIRECT("Update"&amp;Projections!$AH$17&amp;"!P"&amp;ROW(B887))</f>
        <v/>
      </c>
      <c r="AA906" s="73" t="str">
        <f t="array" ref="AA906">INDIRECT("Update"&amp;Projections!$AH$17&amp;"!Q"&amp;ROW(B887))</f>
        <v/>
      </c>
      <c r="AB906" s="107" t="str">
        <f t="array" ref="AB906">INDIRECT("Update"&amp;Projections!$AH$17&amp;"!I"&amp;ROW(B887))</f>
        <v/>
      </c>
      <c r="AC906" s="107" t="str">
        <f t="array" ref="AC906">INDIRECT("Update"&amp;Projections!$AH$17&amp;"!K"&amp;ROW(B887))</f>
        <v/>
      </c>
      <c r="AD906" s="73" t="str">
        <f t="array" ref="AD906">INDIRECT("Update"&amp;Projections!$AH$17&amp;"!R"&amp;ROW(B887))</f>
        <v/>
      </c>
      <c r="AE906" s="73">
        <f t="shared" si="16"/>
        <v>-3.155358621</v>
      </c>
      <c r="AF906" s="73">
        <f t="shared" si="17"/>
        <v>-1.740686581</v>
      </c>
      <c r="AG906" s="73">
        <f t="shared" si="18"/>
        <v>-2.380599106</v>
      </c>
      <c r="AH906" s="73">
        <f t="shared" si="19"/>
        <v>-1.79320266</v>
      </c>
      <c r="AI906" s="73">
        <f t="shared" si="20"/>
        <v>-3.240190514</v>
      </c>
      <c r="AJ906" s="73">
        <f t="shared" si="21"/>
        <v>-1.329092151</v>
      </c>
      <c r="AK906" s="73">
        <f t="shared" si="22"/>
        <v>0</v>
      </c>
      <c r="AL906" s="73">
        <f t="shared" si="23"/>
        <v>0</v>
      </c>
      <c r="AM906" s="73">
        <f t="shared" si="24"/>
        <v>0.433638093</v>
      </c>
      <c r="AN906" s="120">
        <f t="shared" si="25"/>
        <v>-3.240190514</v>
      </c>
      <c r="AO906" s="120">
        <f t="shared" si="26"/>
        <v>-6.395549135</v>
      </c>
      <c r="AP906" s="120" t="str">
        <f t="array" ref="AP906">INDIRECT("Update"&amp;Projections!$AH$17&amp;"!S"&amp;ROW(B887))</f>
        <v/>
      </c>
      <c r="AQ906" s="120" t="str">
        <f t="array" ref="AQ906">INDIRECT("Update"&amp;Projections!$AH$17&amp;"!T"&amp;ROW(B887))</f>
        <v/>
      </c>
      <c r="AR906" s="100">
        <f t="shared" si="27"/>
        <v>-9.965301026</v>
      </c>
    </row>
    <row r="907">
      <c r="A907" t="str">
        <f t="shared" si="3"/>
        <v/>
      </c>
      <c r="B907" s="42">
        <f t="shared" si="4"/>
        <v>-3.155358621</v>
      </c>
      <c r="C907" s="43">
        <f t="shared" si="5"/>
        <v>-1.740686581</v>
      </c>
      <c r="D907" s="42">
        <f t="shared" si="6"/>
        <v>-2.380599106</v>
      </c>
      <c r="E907" s="42">
        <f t="shared" si="7"/>
        <v>-1.79320266</v>
      </c>
      <c r="F907" s="42">
        <f t="shared" si="8"/>
        <v>-3.240190514</v>
      </c>
      <c r="G907" s="42">
        <f t="shared" si="9"/>
        <v>-1.329092151</v>
      </c>
      <c r="H907" s="42">
        <f t="shared" si="10"/>
        <v>0</v>
      </c>
      <c r="I907" s="42" t="str">
        <f>UpdateHashtag!S905</f>
        <v/>
      </c>
      <c r="J907" s="47">
        <f t="shared" si="11"/>
        <v>0</v>
      </c>
      <c r="K907" s="48" t="str">
        <f>UpdateHashtag!T905</f>
        <v/>
      </c>
      <c r="L907" s="42">
        <f t="shared" si="12"/>
        <v>-1.734552372</v>
      </c>
      <c r="N907" s="100">
        <f t="shared" si="13"/>
        <v>401</v>
      </c>
      <c r="O907" s="94" t="str">
        <f t="array" ref="O907">INDIRECT("Update"&amp;Projections!$AH$17&amp;"!B"&amp;ROW(B888))</f>
        <v/>
      </c>
      <c r="P907" s="414" t="str">
        <f t="array" ref="P907">INDIRECT("Update"&amp;Projections!$AH$17&amp;"!C"&amp;ROW(B888))</f>
        <v/>
      </c>
      <c r="Q907" s="94" t="str">
        <f>UpdateHashtag!F937</f>
        <v/>
      </c>
      <c r="R907" s="105" t="str">
        <f t="array" ref="R907">INDIRECT("Update"&amp;Projections!$AH$17&amp;"!D"&amp;ROW(B888))</f>
        <v/>
      </c>
      <c r="S907" s="73">
        <f t="shared" si="14"/>
        <v>-9.965301026</v>
      </c>
      <c r="T907" s="73">
        <f>SUM(AE907:AM907)-IFERROR(IFS(Projections!$I$17,AN907,Projections!$J$17,AO907),"")</f>
        <v>-9.965301026</v>
      </c>
      <c r="U907" s="73">
        <f t="shared" si="15"/>
        <v>0</v>
      </c>
      <c r="V907" s="73" t="str">
        <f t="array" ref="V907">INDIRECT("Update"&amp;Projections!$AH$17&amp;"!M"&amp;ROW(B888))</f>
        <v/>
      </c>
      <c r="W907" s="73" t="str">
        <f t="array" ref="W907">INDIRECT("Update"&amp;Projections!$AH$17&amp;"!L"&amp;ROW(B888))</f>
        <v/>
      </c>
      <c r="X907" s="73" t="str">
        <f t="array" ref="X907">INDIRECT("Update"&amp;Projections!$AH$17&amp;"!N"&amp;ROW(B888))</f>
        <v/>
      </c>
      <c r="Y907" s="73" t="str">
        <f t="array" ref="Y907">INDIRECT("Update"&amp;Projections!$AH$17&amp;"!O"&amp;ROW(B888))</f>
        <v/>
      </c>
      <c r="Z907" s="73" t="str">
        <f t="array" ref="Z907">INDIRECT("Update"&amp;Projections!$AH$17&amp;"!P"&amp;ROW(B888))</f>
        <v/>
      </c>
      <c r="AA907" s="73" t="str">
        <f t="array" ref="AA907">INDIRECT("Update"&amp;Projections!$AH$17&amp;"!Q"&amp;ROW(B888))</f>
        <v/>
      </c>
      <c r="AB907" s="107" t="str">
        <f t="array" ref="AB907">INDIRECT("Update"&amp;Projections!$AH$17&amp;"!I"&amp;ROW(B888))</f>
        <v/>
      </c>
      <c r="AC907" s="107" t="str">
        <f t="array" ref="AC907">INDIRECT("Update"&amp;Projections!$AH$17&amp;"!K"&amp;ROW(B888))</f>
        <v/>
      </c>
      <c r="AD907" s="73" t="str">
        <f t="array" ref="AD907">INDIRECT("Update"&amp;Projections!$AH$17&amp;"!R"&amp;ROW(B888))</f>
        <v/>
      </c>
      <c r="AE907" s="73">
        <f t="shared" si="16"/>
        <v>-3.155358621</v>
      </c>
      <c r="AF907" s="73">
        <f t="shared" si="17"/>
        <v>-1.740686581</v>
      </c>
      <c r="AG907" s="73">
        <f t="shared" si="18"/>
        <v>-2.380599106</v>
      </c>
      <c r="AH907" s="73">
        <f t="shared" si="19"/>
        <v>-1.79320266</v>
      </c>
      <c r="AI907" s="73">
        <f t="shared" si="20"/>
        <v>-3.240190514</v>
      </c>
      <c r="AJ907" s="73">
        <f t="shared" si="21"/>
        <v>-1.329092151</v>
      </c>
      <c r="AK907" s="73">
        <f t="shared" si="22"/>
        <v>0</v>
      </c>
      <c r="AL907" s="73">
        <f t="shared" si="23"/>
        <v>0</v>
      </c>
      <c r="AM907" s="73">
        <f t="shared" si="24"/>
        <v>0.433638093</v>
      </c>
      <c r="AN907" s="120">
        <f t="shared" si="25"/>
        <v>-3.240190514</v>
      </c>
      <c r="AO907" s="120">
        <f t="shared" si="26"/>
        <v>-6.395549135</v>
      </c>
      <c r="AP907" s="120" t="str">
        <f t="array" ref="AP907">INDIRECT("Update"&amp;Projections!$AH$17&amp;"!S"&amp;ROW(B888))</f>
        <v/>
      </c>
      <c r="AQ907" s="120" t="str">
        <f t="array" ref="AQ907">INDIRECT("Update"&amp;Projections!$AH$17&amp;"!T"&amp;ROW(B888))</f>
        <v/>
      </c>
      <c r="AR907" s="100">
        <f t="shared" si="27"/>
        <v>-9.965301026</v>
      </c>
    </row>
    <row r="908">
      <c r="A908" t="str">
        <f t="shared" si="3"/>
        <v/>
      </c>
      <c r="B908" s="42">
        <f t="shared" si="4"/>
        <v>-3.155358621</v>
      </c>
      <c r="C908" s="43">
        <f t="shared" si="5"/>
        <v>-1.740686581</v>
      </c>
      <c r="D908" s="42">
        <f t="shared" si="6"/>
        <v>-2.380599106</v>
      </c>
      <c r="E908" s="42">
        <f t="shared" si="7"/>
        <v>-1.79320266</v>
      </c>
      <c r="F908" s="42">
        <f t="shared" si="8"/>
        <v>-3.240190514</v>
      </c>
      <c r="G908" s="42">
        <f t="shared" si="9"/>
        <v>-1.329092151</v>
      </c>
      <c r="H908" s="42">
        <f t="shared" si="10"/>
        <v>0</v>
      </c>
      <c r="I908" s="42" t="str">
        <f>UpdateHashtag!S906</f>
        <v/>
      </c>
      <c r="J908" s="47">
        <f t="shared" si="11"/>
        <v>0</v>
      </c>
      <c r="K908" s="48" t="str">
        <f>UpdateHashtag!T906</f>
        <v/>
      </c>
      <c r="L908" s="42">
        <f t="shared" si="12"/>
        <v>-1.734552372</v>
      </c>
      <c r="N908" s="100">
        <f t="shared" si="13"/>
        <v>401</v>
      </c>
      <c r="O908" s="94" t="str">
        <f t="array" ref="O908">INDIRECT("Update"&amp;Projections!$AH$17&amp;"!B"&amp;ROW(B889))</f>
        <v/>
      </c>
      <c r="P908" s="414" t="str">
        <f t="array" ref="P908">INDIRECT("Update"&amp;Projections!$AH$17&amp;"!C"&amp;ROW(B889))</f>
        <v/>
      </c>
      <c r="Q908" s="94" t="str">
        <f>UpdateHashtag!F938</f>
        <v/>
      </c>
      <c r="R908" s="105" t="str">
        <f t="array" ref="R908">INDIRECT("Update"&amp;Projections!$AH$17&amp;"!D"&amp;ROW(B889))</f>
        <v/>
      </c>
      <c r="S908" s="73">
        <f t="shared" si="14"/>
        <v>-9.965301026</v>
      </c>
      <c r="T908" s="73">
        <f>SUM(AE908:AM908)-IFERROR(IFS(Projections!$I$17,AN908,Projections!$J$17,AO908),"")</f>
        <v>-9.965301026</v>
      </c>
      <c r="U908" s="73">
        <f t="shared" si="15"/>
        <v>0</v>
      </c>
      <c r="V908" s="73" t="str">
        <f t="array" ref="V908">INDIRECT("Update"&amp;Projections!$AH$17&amp;"!M"&amp;ROW(B889))</f>
        <v/>
      </c>
      <c r="W908" s="73" t="str">
        <f t="array" ref="W908">INDIRECT("Update"&amp;Projections!$AH$17&amp;"!L"&amp;ROW(B889))</f>
        <v/>
      </c>
      <c r="X908" s="73" t="str">
        <f t="array" ref="X908">INDIRECT("Update"&amp;Projections!$AH$17&amp;"!N"&amp;ROW(B889))</f>
        <v/>
      </c>
      <c r="Y908" s="73" t="str">
        <f t="array" ref="Y908">INDIRECT("Update"&amp;Projections!$AH$17&amp;"!O"&amp;ROW(B889))</f>
        <v/>
      </c>
      <c r="Z908" s="73" t="str">
        <f t="array" ref="Z908">INDIRECT("Update"&amp;Projections!$AH$17&amp;"!P"&amp;ROW(B889))</f>
        <v/>
      </c>
      <c r="AA908" s="73" t="str">
        <f t="array" ref="AA908">INDIRECT("Update"&amp;Projections!$AH$17&amp;"!Q"&amp;ROW(B889))</f>
        <v/>
      </c>
      <c r="AB908" s="107" t="str">
        <f t="array" ref="AB908">INDIRECT("Update"&amp;Projections!$AH$17&amp;"!I"&amp;ROW(B889))</f>
        <v/>
      </c>
      <c r="AC908" s="107" t="str">
        <f t="array" ref="AC908">INDIRECT("Update"&amp;Projections!$AH$17&amp;"!K"&amp;ROW(B889))</f>
        <v/>
      </c>
      <c r="AD908" s="73" t="str">
        <f t="array" ref="AD908">INDIRECT("Update"&amp;Projections!$AH$17&amp;"!R"&amp;ROW(B889))</f>
        <v/>
      </c>
      <c r="AE908" s="73">
        <f t="shared" si="16"/>
        <v>-3.155358621</v>
      </c>
      <c r="AF908" s="73">
        <f t="shared" si="17"/>
        <v>-1.740686581</v>
      </c>
      <c r="AG908" s="73">
        <f t="shared" si="18"/>
        <v>-2.380599106</v>
      </c>
      <c r="AH908" s="73">
        <f t="shared" si="19"/>
        <v>-1.79320266</v>
      </c>
      <c r="AI908" s="73">
        <f t="shared" si="20"/>
        <v>-3.240190514</v>
      </c>
      <c r="AJ908" s="73">
        <f t="shared" si="21"/>
        <v>-1.329092151</v>
      </c>
      <c r="AK908" s="73">
        <f t="shared" si="22"/>
        <v>0</v>
      </c>
      <c r="AL908" s="73">
        <f t="shared" si="23"/>
        <v>0</v>
      </c>
      <c r="AM908" s="73">
        <f t="shared" si="24"/>
        <v>0.433638093</v>
      </c>
      <c r="AN908" s="120">
        <f t="shared" si="25"/>
        <v>-3.240190514</v>
      </c>
      <c r="AO908" s="120">
        <f t="shared" si="26"/>
        <v>-6.395549135</v>
      </c>
      <c r="AP908" s="120" t="str">
        <f t="array" ref="AP908">INDIRECT("Update"&amp;Projections!$AH$17&amp;"!S"&amp;ROW(B889))</f>
        <v/>
      </c>
      <c r="AQ908" s="120" t="str">
        <f t="array" ref="AQ908">INDIRECT("Update"&amp;Projections!$AH$17&amp;"!T"&amp;ROW(B889))</f>
        <v/>
      </c>
      <c r="AR908" s="100">
        <f t="shared" si="27"/>
        <v>-9.965301026</v>
      </c>
    </row>
    <row r="909">
      <c r="A909" t="str">
        <f t="shared" si="3"/>
        <v/>
      </c>
      <c r="B909" s="42">
        <f t="shared" si="4"/>
        <v>-3.155358621</v>
      </c>
      <c r="C909" s="43">
        <f t="shared" si="5"/>
        <v>-1.740686581</v>
      </c>
      <c r="D909" s="42">
        <f t="shared" si="6"/>
        <v>-2.380599106</v>
      </c>
      <c r="E909" s="42">
        <f t="shared" si="7"/>
        <v>-1.79320266</v>
      </c>
      <c r="F909" s="42">
        <f t="shared" si="8"/>
        <v>-3.240190514</v>
      </c>
      <c r="G909" s="42">
        <f t="shared" si="9"/>
        <v>-1.329092151</v>
      </c>
      <c r="H909" s="42">
        <f t="shared" si="10"/>
        <v>0</v>
      </c>
      <c r="I909" s="42" t="str">
        <f>UpdateHashtag!S907</f>
        <v/>
      </c>
      <c r="J909" s="47">
        <f t="shared" si="11"/>
        <v>0</v>
      </c>
      <c r="K909" s="48" t="str">
        <f>UpdateHashtag!T907</f>
        <v/>
      </c>
      <c r="L909" s="42">
        <f t="shared" si="12"/>
        <v>-1.734552372</v>
      </c>
      <c r="N909" s="100">
        <f t="shared" si="13"/>
        <v>401</v>
      </c>
      <c r="O909" s="94" t="str">
        <f t="array" ref="O909">INDIRECT("Update"&amp;Projections!$AH$17&amp;"!B"&amp;ROW(B890))</f>
        <v/>
      </c>
      <c r="P909" s="414" t="str">
        <f t="array" ref="P909">INDIRECT("Update"&amp;Projections!$AH$17&amp;"!C"&amp;ROW(B890))</f>
        <v/>
      </c>
      <c r="Q909" s="94" t="str">
        <f>UpdateHashtag!F939</f>
        <v/>
      </c>
      <c r="R909" s="105" t="str">
        <f t="array" ref="R909">INDIRECT("Update"&amp;Projections!$AH$17&amp;"!D"&amp;ROW(B890))</f>
        <v/>
      </c>
      <c r="S909" s="73">
        <f t="shared" si="14"/>
        <v>-9.965301026</v>
      </c>
      <c r="T909" s="73">
        <f>SUM(AE909:AM909)-IFERROR(IFS(Projections!$I$17,AN909,Projections!$J$17,AO909),"")</f>
        <v>-9.965301026</v>
      </c>
      <c r="U909" s="73">
        <f t="shared" si="15"/>
        <v>0</v>
      </c>
      <c r="V909" s="73" t="str">
        <f t="array" ref="V909">INDIRECT("Update"&amp;Projections!$AH$17&amp;"!M"&amp;ROW(B890))</f>
        <v/>
      </c>
      <c r="W909" s="73" t="str">
        <f t="array" ref="W909">INDIRECT("Update"&amp;Projections!$AH$17&amp;"!L"&amp;ROW(B890))</f>
        <v/>
      </c>
      <c r="X909" s="73" t="str">
        <f t="array" ref="X909">INDIRECT("Update"&amp;Projections!$AH$17&amp;"!N"&amp;ROW(B890))</f>
        <v/>
      </c>
      <c r="Y909" s="73" t="str">
        <f t="array" ref="Y909">INDIRECT("Update"&amp;Projections!$AH$17&amp;"!O"&amp;ROW(B890))</f>
        <v/>
      </c>
      <c r="Z909" s="73" t="str">
        <f t="array" ref="Z909">INDIRECT("Update"&amp;Projections!$AH$17&amp;"!P"&amp;ROW(B890))</f>
        <v/>
      </c>
      <c r="AA909" s="73" t="str">
        <f t="array" ref="AA909">INDIRECT("Update"&amp;Projections!$AH$17&amp;"!Q"&amp;ROW(B890))</f>
        <v/>
      </c>
      <c r="AB909" s="107" t="str">
        <f t="array" ref="AB909">INDIRECT("Update"&amp;Projections!$AH$17&amp;"!I"&amp;ROW(B890))</f>
        <v/>
      </c>
      <c r="AC909" s="107" t="str">
        <f t="array" ref="AC909">INDIRECT("Update"&amp;Projections!$AH$17&amp;"!K"&amp;ROW(B890))</f>
        <v/>
      </c>
      <c r="AD909" s="73" t="str">
        <f t="array" ref="AD909">INDIRECT("Update"&amp;Projections!$AH$17&amp;"!R"&amp;ROW(B890))</f>
        <v/>
      </c>
      <c r="AE909" s="73">
        <f t="shared" si="16"/>
        <v>-3.155358621</v>
      </c>
      <c r="AF909" s="73">
        <f t="shared" si="17"/>
        <v>-1.740686581</v>
      </c>
      <c r="AG909" s="73">
        <f t="shared" si="18"/>
        <v>-2.380599106</v>
      </c>
      <c r="AH909" s="73">
        <f t="shared" si="19"/>
        <v>-1.79320266</v>
      </c>
      <c r="AI909" s="73">
        <f t="shared" si="20"/>
        <v>-3.240190514</v>
      </c>
      <c r="AJ909" s="73">
        <f t="shared" si="21"/>
        <v>-1.329092151</v>
      </c>
      <c r="AK909" s="73">
        <f t="shared" si="22"/>
        <v>0</v>
      </c>
      <c r="AL909" s="73">
        <f t="shared" si="23"/>
        <v>0</v>
      </c>
      <c r="AM909" s="73">
        <f t="shared" si="24"/>
        <v>0.433638093</v>
      </c>
      <c r="AN909" s="120">
        <f t="shared" si="25"/>
        <v>-3.240190514</v>
      </c>
      <c r="AO909" s="120">
        <f t="shared" si="26"/>
        <v>-6.395549135</v>
      </c>
      <c r="AP909" s="120" t="str">
        <f t="array" ref="AP909">INDIRECT("Update"&amp;Projections!$AH$17&amp;"!S"&amp;ROW(B890))</f>
        <v/>
      </c>
      <c r="AQ909" s="120" t="str">
        <f t="array" ref="AQ909">INDIRECT("Update"&amp;Projections!$AH$17&amp;"!T"&amp;ROW(B890))</f>
        <v/>
      </c>
      <c r="AR909" s="100">
        <f t="shared" si="27"/>
        <v>-9.965301026</v>
      </c>
    </row>
    <row r="910">
      <c r="A910" t="str">
        <f t="shared" si="3"/>
        <v/>
      </c>
      <c r="B910" s="42">
        <f t="shared" si="4"/>
        <v>-3.155358621</v>
      </c>
      <c r="C910" s="43">
        <f t="shared" si="5"/>
        <v>-1.740686581</v>
      </c>
      <c r="D910" s="42">
        <f t="shared" si="6"/>
        <v>-2.380599106</v>
      </c>
      <c r="E910" s="42">
        <f t="shared" si="7"/>
        <v>-1.79320266</v>
      </c>
      <c r="F910" s="42">
        <f t="shared" si="8"/>
        <v>-3.240190514</v>
      </c>
      <c r="G910" s="42">
        <f t="shared" si="9"/>
        <v>-1.329092151</v>
      </c>
      <c r="H910" s="42">
        <f t="shared" si="10"/>
        <v>0</v>
      </c>
      <c r="I910" s="42" t="str">
        <f>UpdateHashtag!S908</f>
        <v/>
      </c>
      <c r="J910" s="47">
        <f t="shared" si="11"/>
        <v>0</v>
      </c>
      <c r="K910" s="48" t="str">
        <f>UpdateHashtag!T908</f>
        <v/>
      </c>
      <c r="L910" s="42">
        <f t="shared" si="12"/>
        <v>-1.734552372</v>
      </c>
      <c r="N910" s="100">
        <f t="shared" si="13"/>
        <v>401</v>
      </c>
      <c r="O910" s="94" t="str">
        <f t="array" ref="O910">INDIRECT("Update"&amp;Projections!$AH$17&amp;"!B"&amp;ROW(B891))</f>
        <v/>
      </c>
      <c r="P910" s="414" t="str">
        <f t="array" ref="P910">INDIRECT("Update"&amp;Projections!$AH$17&amp;"!C"&amp;ROW(B891))</f>
        <v/>
      </c>
      <c r="Q910" s="94" t="str">
        <f>UpdateHashtag!F940</f>
        <v/>
      </c>
      <c r="R910" s="105" t="str">
        <f t="array" ref="R910">INDIRECT("Update"&amp;Projections!$AH$17&amp;"!D"&amp;ROW(B891))</f>
        <v/>
      </c>
      <c r="S910" s="73">
        <f t="shared" si="14"/>
        <v>-9.965301026</v>
      </c>
      <c r="T910" s="73">
        <f>SUM(AE910:AM910)-IFERROR(IFS(Projections!$I$17,AN910,Projections!$J$17,AO910),"")</f>
        <v>-9.965301026</v>
      </c>
      <c r="U910" s="73">
        <f t="shared" si="15"/>
        <v>0</v>
      </c>
      <c r="V910" s="73" t="str">
        <f t="array" ref="V910">INDIRECT("Update"&amp;Projections!$AH$17&amp;"!M"&amp;ROW(B891))</f>
        <v/>
      </c>
      <c r="W910" s="73" t="str">
        <f t="array" ref="W910">INDIRECT("Update"&amp;Projections!$AH$17&amp;"!L"&amp;ROW(B891))</f>
        <v/>
      </c>
      <c r="X910" s="73" t="str">
        <f t="array" ref="X910">INDIRECT("Update"&amp;Projections!$AH$17&amp;"!N"&amp;ROW(B891))</f>
        <v/>
      </c>
      <c r="Y910" s="73" t="str">
        <f t="array" ref="Y910">INDIRECT("Update"&amp;Projections!$AH$17&amp;"!O"&amp;ROW(B891))</f>
        <v/>
      </c>
      <c r="Z910" s="73" t="str">
        <f t="array" ref="Z910">INDIRECT("Update"&amp;Projections!$AH$17&amp;"!P"&amp;ROW(B891))</f>
        <v/>
      </c>
      <c r="AA910" s="73" t="str">
        <f t="array" ref="AA910">INDIRECT("Update"&amp;Projections!$AH$17&amp;"!Q"&amp;ROW(B891))</f>
        <v/>
      </c>
      <c r="AB910" s="107" t="str">
        <f t="array" ref="AB910">INDIRECT("Update"&amp;Projections!$AH$17&amp;"!I"&amp;ROW(B891))</f>
        <v/>
      </c>
      <c r="AC910" s="107" t="str">
        <f t="array" ref="AC910">INDIRECT("Update"&amp;Projections!$AH$17&amp;"!K"&amp;ROW(B891))</f>
        <v/>
      </c>
      <c r="AD910" s="73" t="str">
        <f t="array" ref="AD910">INDIRECT("Update"&amp;Projections!$AH$17&amp;"!R"&amp;ROW(B891))</f>
        <v/>
      </c>
      <c r="AE910" s="73">
        <f t="shared" si="16"/>
        <v>-3.155358621</v>
      </c>
      <c r="AF910" s="73">
        <f t="shared" si="17"/>
        <v>-1.740686581</v>
      </c>
      <c r="AG910" s="73">
        <f t="shared" si="18"/>
        <v>-2.380599106</v>
      </c>
      <c r="AH910" s="73">
        <f t="shared" si="19"/>
        <v>-1.79320266</v>
      </c>
      <c r="AI910" s="73">
        <f t="shared" si="20"/>
        <v>-3.240190514</v>
      </c>
      <c r="AJ910" s="73">
        <f t="shared" si="21"/>
        <v>-1.329092151</v>
      </c>
      <c r="AK910" s="73">
        <f t="shared" si="22"/>
        <v>0</v>
      </c>
      <c r="AL910" s="73">
        <f t="shared" si="23"/>
        <v>0</v>
      </c>
      <c r="AM910" s="73">
        <f t="shared" si="24"/>
        <v>0.433638093</v>
      </c>
      <c r="AN910" s="120">
        <f t="shared" si="25"/>
        <v>-3.240190514</v>
      </c>
      <c r="AO910" s="120">
        <f t="shared" si="26"/>
        <v>-6.395549135</v>
      </c>
      <c r="AP910" s="120" t="str">
        <f t="array" ref="AP910">INDIRECT("Update"&amp;Projections!$AH$17&amp;"!S"&amp;ROW(B891))</f>
        <v/>
      </c>
      <c r="AQ910" s="120" t="str">
        <f t="array" ref="AQ910">INDIRECT("Update"&amp;Projections!$AH$17&amp;"!T"&amp;ROW(B891))</f>
        <v/>
      </c>
      <c r="AR910" s="100">
        <f t="shared" si="27"/>
        <v>-9.965301026</v>
      </c>
    </row>
    <row r="911">
      <c r="A911" t="str">
        <f t="shared" si="3"/>
        <v/>
      </c>
      <c r="B911" s="42">
        <f t="shared" si="4"/>
        <v>-3.155358621</v>
      </c>
      <c r="C911" s="43">
        <f t="shared" si="5"/>
        <v>-1.740686581</v>
      </c>
      <c r="D911" s="42">
        <f t="shared" si="6"/>
        <v>-2.380599106</v>
      </c>
      <c r="E911" s="42">
        <f t="shared" si="7"/>
        <v>-1.79320266</v>
      </c>
      <c r="F911" s="42">
        <f t="shared" si="8"/>
        <v>-3.240190514</v>
      </c>
      <c r="G911" s="42">
        <f t="shared" si="9"/>
        <v>-1.329092151</v>
      </c>
      <c r="H911" s="42">
        <f t="shared" si="10"/>
        <v>0</v>
      </c>
      <c r="I911" s="42" t="str">
        <f>UpdateHashtag!S909</f>
        <v/>
      </c>
      <c r="J911" s="47">
        <f t="shared" si="11"/>
        <v>0</v>
      </c>
      <c r="K911" s="48" t="str">
        <f>UpdateHashtag!T909</f>
        <v/>
      </c>
      <c r="L911" s="42">
        <f t="shared" si="12"/>
        <v>-1.734552372</v>
      </c>
      <c r="N911" s="100">
        <f t="shared" si="13"/>
        <v>401</v>
      </c>
      <c r="O911" s="94" t="str">
        <f t="array" ref="O911">INDIRECT("Update"&amp;Projections!$AH$17&amp;"!B"&amp;ROW(B892))</f>
        <v/>
      </c>
      <c r="P911" s="414" t="str">
        <f t="array" ref="P911">INDIRECT("Update"&amp;Projections!$AH$17&amp;"!C"&amp;ROW(B892))</f>
        <v/>
      </c>
      <c r="Q911" s="94" t="str">
        <f>UpdateHashtag!F941</f>
        <v/>
      </c>
      <c r="R911" s="105" t="str">
        <f t="array" ref="R911">INDIRECT("Update"&amp;Projections!$AH$17&amp;"!D"&amp;ROW(B892))</f>
        <v/>
      </c>
      <c r="S911" s="73">
        <f t="shared" si="14"/>
        <v>-9.965301026</v>
      </c>
      <c r="T911" s="73">
        <f>SUM(AE911:AM911)-IFERROR(IFS(Projections!$I$17,AN911,Projections!$J$17,AO911),"")</f>
        <v>-9.965301026</v>
      </c>
      <c r="U911" s="73">
        <f t="shared" si="15"/>
        <v>0</v>
      </c>
      <c r="V911" s="73" t="str">
        <f t="array" ref="V911">INDIRECT("Update"&amp;Projections!$AH$17&amp;"!M"&amp;ROW(B892))</f>
        <v/>
      </c>
      <c r="W911" s="73" t="str">
        <f t="array" ref="W911">INDIRECT("Update"&amp;Projections!$AH$17&amp;"!L"&amp;ROW(B892))</f>
        <v/>
      </c>
      <c r="X911" s="73" t="str">
        <f t="array" ref="X911">INDIRECT("Update"&amp;Projections!$AH$17&amp;"!N"&amp;ROW(B892))</f>
        <v/>
      </c>
      <c r="Y911" s="73" t="str">
        <f t="array" ref="Y911">INDIRECT("Update"&amp;Projections!$AH$17&amp;"!O"&amp;ROW(B892))</f>
        <v/>
      </c>
      <c r="Z911" s="73" t="str">
        <f t="array" ref="Z911">INDIRECT("Update"&amp;Projections!$AH$17&amp;"!P"&amp;ROW(B892))</f>
        <v/>
      </c>
      <c r="AA911" s="73" t="str">
        <f t="array" ref="AA911">INDIRECT("Update"&amp;Projections!$AH$17&amp;"!Q"&amp;ROW(B892))</f>
        <v/>
      </c>
      <c r="AB911" s="107" t="str">
        <f t="array" ref="AB911">INDIRECT("Update"&amp;Projections!$AH$17&amp;"!I"&amp;ROW(B892))</f>
        <v/>
      </c>
      <c r="AC911" s="107" t="str">
        <f t="array" ref="AC911">INDIRECT("Update"&amp;Projections!$AH$17&amp;"!K"&amp;ROW(B892))</f>
        <v/>
      </c>
      <c r="AD911" s="73" t="str">
        <f t="array" ref="AD911">INDIRECT("Update"&amp;Projections!$AH$17&amp;"!R"&amp;ROW(B892))</f>
        <v/>
      </c>
      <c r="AE911" s="73">
        <f t="shared" si="16"/>
        <v>-3.155358621</v>
      </c>
      <c r="AF911" s="73">
        <f t="shared" si="17"/>
        <v>-1.740686581</v>
      </c>
      <c r="AG911" s="73">
        <f t="shared" si="18"/>
        <v>-2.380599106</v>
      </c>
      <c r="AH911" s="73">
        <f t="shared" si="19"/>
        <v>-1.79320266</v>
      </c>
      <c r="AI911" s="73">
        <f t="shared" si="20"/>
        <v>-3.240190514</v>
      </c>
      <c r="AJ911" s="73">
        <f t="shared" si="21"/>
        <v>-1.329092151</v>
      </c>
      <c r="AK911" s="73">
        <f t="shared" si="22"/>
        <v>0</v>
      </c>
      <c r="AL911" s="73">
        <f t="shared" si="23"/>
        <v>0</v>
      </c>
      <c r="AM911" s="73">
        <f t="shared" si="24"/>
        <v>0.433638093</v>
      </c>
      <c r="AN911" s="120">
        <f t="shared" si="25"/>
        <v>-3.240190514</v>
      </c>
      <c r="AO911" s="120">
        <f t="shared" si="26"/>
        <v>-6.395549135</v>
      </c>
      <c r="AP911" s="120" t="str">
        <f t="array" ref="AP911">INDIRECT("Update"&amp;Projections!$AH$17&amp;"!S"&amp;ROW(B892))</f>
        <v/>
      </c>
      <c r="AQ911" s="120" t="str">
        <f t="array" ref="AQ911">INDIRECT("Update"&amp;Projections!$AH$17&amp;"!T"&amp;ROW(B892))</f>
        <v/>
      </c>
      <c r="AR911" s="100">
        <f t="shared" si="27"/>
        <v>-9.965301026</v>
      </c>
    </row>
    <row r="912">
      <c r="A912" t="str">
        <f t="shared" si="3"/>
        <v/>
      </c>
      <c r="B912" s="42">
        <f t="shared" si="4"/>
        <v>-3.155358621</v>
      </c>
      <c r="C912" s="43">
        <f t="shared" si="5"/>
        <v>-1.740686581</v>
      </c>
      <c r="D912" s="42">
        <f t="shared" si="6"/>
        <v>-2.380599106</v>
      </c>
      <c r="E912" s="42">
        <f t="shared" si="7"/>
        <v>-1.79320266</v>
      </c>
      <c r="F912" s="42">
        <f t="shared" si="8"/>
        <v>-3.240190514</v>
      </c>
      <c r="G912" s="42">
        <f t="shared" si="9"/>
        <v>-1.329092151</v>
      </c>
      <c r="H912" s="42">
        <f t="shared" si="10"/>
        <v>0</v>
      </c>
      <c r="I912" s="42" t="str">
        <f>UpdateHashtag!S910</f>
        <v/>
      </c>
      <c r="J912" s="47">
        <f t="shared" si="11"/>
        <v>0</v>
      </c>
      <c r="K912" s="48" t="str">
        <f>UpdateHashtag!T910</f>
        <v/>
      </c>
      <c r="L912" s="42">
        <f t="shared" si="12"/>
        <v>-1.734552372</v>
      </c>
      <c r="N912" s="100">
        <f t="shared" si="13"/>
        <v>401</v>
      </c>
      <c r="O912" s="94" t="str">
        <f t="array" ref="O912">INDIRECT("Update"&amp;Projections!$AH$17&amp;"!B"&amp;ROW(B893))</f>
        <v/>
      </c>
      <c r="P912" s="414" t="str">
        <f t="array" ref="P912">INDIRECT("Update"&amp;Projections!$AH$17&amp;"!C"&amp;ROW(B893))</f>
        <v/>
      </c>
      <c r="Q912" s="94" t="str">
        <f>UpdateHashtag!F942</f>
        <v/>
      </c>
      <c r="R912" s="105" t="str">
        <f t="array" ref="R912">INDIRECT("Update"&amp;Projections!$AH$17&amp;"!D"&amp;ROW(B893))</f>
        <v/>
      </c>
      <c r="S912" s="73">
        <f t="shared" si="14"/>
        <v>-9.965301026</v>
      </c>
      <c r="T912" s="73">
        <f>SUM(AE912:AM912)-IFERROR(IFS(Projections!$I$17,AN912,Projections!$J$17,AO912),"")</f>
        <v>-9.965301026</v>
      </c>
      <c r="U912" s="73">
        <f t="shared" si="15"/>
        <v>0</v>
      </c>
      <c r="V912" s="73" t="str">
        <f t="array" ref="V912">INDIRECT("Update"&amp;Projections!$AH$17&amp;"!M"&amp;ROW(B893))</f>
        <v/>
      </c>
      <c r="W912" s="73" t="str">
        <f t="array" ref="W912">INDIRECT("Update"&amp;Projections!$AH$17&amp;"!L"&amp;ROW(B893))</f>
        <v/>
      </c>
      <c r="X912" s="73" t="str">
        <f t="array" ref="X912">INDIRECT("Update"&amp;Projections!$AH$17&amp;"!N"&amp;ROW(B893))</f>
        <v/>
      </c>
      <c r="Y912" s="73" t="str">
        <f t="array" ref="Y912">INDIRECT("Update"&amp;Projections!$AH$17&amp;"!O"&amp;ROW(B893))</f>
        <v/>
      </c>
      <c r="Z912" s="73" t="str">
        <f t="array" ref="Z912">INDIRECT("Update"&amp;Projections!$AH$17&amp;"!P"&amp;ROW(B893))</f>
        <v/>
      </c>
      <c r="AA912" s="73" t="str">
        <f t="array" ref="AA912">INDIRECT("Update"&amp;Projections!$AH$17&amp;"!Q"&amp;ROW(B893))</f>
        <v/>
      </c>
      <c r="AB912" s="107" t="str">
        <f t="array" ref="AB912">INDIRECT("Update"&amp;Projections!$AH$17&amp;"!I"&amp;ROW(B893))</f>
        <v/>
      </c>
      <c r="AC912" s="107" t="str">
        <f t="array" ref="AC912">INDIRECT("Update"&amp;Projections!$AH$17&amp;"!K"&amp;ROW(B893))</f>
        <v/>
      </c>
      <c r="AD912" s="73" t="str">
        <f t="array" ref="AD912">INDIRECT("Update"&amp;Projections!$AH$17&amp;"!R"&amp;ROW(B893))</f>
        <v/>
      </c>
      <c r="AE912" s="73">
        <f t="shared" si="16"/>
        <v>-3.155358621</v>
      </c>
      <c r="AF912" s="73">
        <f t="shared" si="17"/>
        <v>-1.740686581</v>
      </c>
      <c r="AG912" s="73">
        <f t="shared" si="18"/>
        <v>-2.380599106</v>
      </c>
      <c r="AH912" s="73">
        <f t="shared" si="19"/>
        <v>-1.79320266</v>
      </c>
      <c r="AI912" s="73">
        <f t="shared" si="20"/>
        <v>-3.240190514</v>
      </c>
      <c r="AJ912" s="73">
        <f t="shared" si="21"/>
        <v>-1.329092151</v>
      </c>
      <c r="AK912" s="73">
        <f t="shared" si="22"/>
        <v>0</v>
      </c>
      <c r="AL912" s="73">
        <f t="shared" si="23"/>
        <v>0</v>
      </c>
      <c r="AM912" s="73">
        <f t="shared" si="24"/>
        <v>0.433638093</v>
      </c>
      <c r="AN912" s="120">
        <f t="shared" si="25"/>
        <v>-3.240190514</v>
      </c>
      <c r="AO912" s="120">
        <f t="shared" si="26"/>
        <v>-6.395549135</v>
      </c>
      <c r="AP912" s="120" t="str">
        <f t="array" ref="AP912">INDIRECT("Update"&amp;Projections!$AH$17&amp;"!S"&amp;ROW(B893))</f>
        <v/>
      </c>
      <c r="AQ912" s="120" t="str">
        <f t="array" ref="AQ912">INDIRECT("Update"&amp;Projections!$AH$17&amp;"!T"&amp;ROW(B893))</f>
        <v/>
      </c>
      <c r="AR912" s="100">
        <f t="shared" si="27"/>
        <v>-9.965301026</v>
      </c>
    </row>
    <row r="913">
      <c r="A913" t="str">
        <f t="shared" si="3"/>
        <v/>
      </c>
      <c r="B913" s="42">
        <f t="shared" si="4"/>
        <v>-3.155358621</v>
      </c>
      <c r="C913" s="43">
        <f t="shared" si="5"/>
        <v>-1.740686581</v>
      </c>
      <c r="D913" s="42">
        <f t="shared" si="6"/>
        <v>-2.380599106</v>
      </c>
      <c r="E913" s="42">
        <f t="shared" si="7"/>
        <v>-1.79320266</v>
      </c>
      <c r="F913" s="42">
        <f t="shared" si="8"/>
        <v>-3.240190514</v>
      </c>
      <c r="G913" s="42">
        <f t="shared" si="9"/>
        <v>-1.329092151</v>
      </c>
      <c r="H913" s="42">
        <f t="shared" si="10"/>
        <v>0</v>
      </c>
      <c r="I913" s="42" t="str">
        <f>UpdateHashtag!S911</f>
        <v/>
      </c>
      <c r="J913" s="47">
        <f t="shared" si="11"/>
        <v>0</v>
      </c>
      <c r="K913" s="48" t="str">
        <f>UpdateHashtag!T911</f>
        <v/>
      </c>
      <c r="L913" s="42">
        <f t="shared" si="12"/>
        <v>-1.734552372</v>
      </c>
      <c r="N913" s="100">
        <f t="shared" si="13"/>
        <v>401</v>
      </c>
      <c r="O913" s="94" t="str">
        <f t="array" ref="O913">INDIRECT("Update"&amp;Projections!$AH$17&amp;"!B"&amp;ROW(B894))</f>
        <v/>
      </c>
      <c r="P913" s="414" t="str">
        <f t="array" ref="P913">INDIRECT("Update"&amp;Projections!$AH$17&amp;"!C"&amp;ROW(B894))</f>
        <v/>
      </c>
      <c r="Q913" s="94" t="str">
        <f>UpdateHashtag!F943</f>
        <v/>
      </c>
      <c r="R913" s="105" t="str">
        <f t="array" ref="R913">INDIRECT("Update"&amp;Projections!$AH$17&amp;"!D"&amp;ROW(B894))</f>
        <v/>
      </c>
      <c r="S913" s="73">
        <f t="shared" si="14"/>
        <v>-9.965301026</v>
      </c>
      <c r="T913" s="73">
        <f>SUM(AE913:AM913)-IFERROR(IFS(Projections!$I$17,AN913,Projections!$J$17,AO913),"")</f>
        <v>-9.965301026</v>
      </c>
      <c r="U913" s="73">
        <f t="shared" si="15"/>
        <v>0</v>
      </c>
      <c r="V913" s="73" t="str">
        <f t="array" ref="V913">INDIRECT("Update"&amp;Projections!$AH$17&amp;"!M"&amp;ROW(B894))</f>
        <v/>
      </c>
      <c r="W913" s="73" t="str">
        <f t="array" ref="W913">INDIRECT("Update"&amp;Projections!$AH$17&amp;"!L"&amp;ROW(B894))</f>
        <v/>
      </c>
      <c r="X913" s="73" t="str">
        <f t="array" ref="X913">INDIRECT("Update"&amp;Projections!$AH$17&amp;"!N"&amp;ROW(B894))</f>
        <v/>
      </c>
      <c r="Y913" s="73" t="str">
        <f t="array" ref="Y913">INDIRECT("Update"&amp;Projections!$AH$17&amp;"!O"&amp;ROW(B894))</f>
        <v/>
      </c>
      <c r="Z913" s="73" t="str">
        <f t="array" ref="Z913">INDIRECT("Update"&amp;Projections!$AH$17&amp;"!P"&amp;ROW(B894))</f>
        <v/>
      </c>
      <c r="AA913" s="73" t="str">
        <f t="array" ref="AA913">INDIRECT("Update"&amp;Projections!$AH$17&amp;"!Q"&amp;ROW(B894))</f>
        <v/>
      </c>
      <c r="AB913" s="107" t="str">
        <f t="array" ref="AB913">INDIRECT("Update"&amp;Projections!$AH$17&amp;"!I"&amp;ROW(B894))</f>
        <v/>
      </c>
      <c r="AC913" s="107" t="str">
        <f t="array" ref="AC913">INDIRECT("Update"&amp;Projections!$AH$17&amp;"!K"&amp;ROW(B894))</f>
        <v/>
      </c>
      <c r="AD913" s="73" t="str">
        <f t="array" ref="AD913">INDIRECT("Update"&amp;Projections!$AH$17&amp;"!R"&amp;ROW(B894))</f>
        <v/>
      </c>
      <c r="AE913" s="73">
        <f t="shared" si="16"/>
        <v>-3.155358621</v>
      </c>
      <c r="AF913" s="73">
        <f t="shared" si="17"/>
        <v>-1.740686581</v>
      </c>
      <c r="AG913" s="73">
        <f t="shared" si="18"/>
        <v>-2.380599106</v>
      </c>
      <c r="AH913" s="73">
        <f t="shared" si="19"/>
        <v>-1.79320266</v>
      </c>
      <c r="AI913" s="73">
        <f t="shared" si="20"/>
        <v>-3.240190514</v>
      </c>
      <c r="AJ913" s="73">
        <f t="shared" si="21"/>
        <v>-1.329092151</v>
      </c>
      <c r="AK913" s="73">
        <f t="shared" si="22"/>
        <v>0</v>
      </c>
      <c r="AL913" s="73">
        <f t="shared" si="23"/>
        <v>0</v>
      </c>
      <c r="AM913" s="73">
        <f t="shared" si="24"/>
        <v>0.433638093</v>
      </c>
      <c r="AN913" s="120">
        <f t="shared" si="25"/>
        <v>-3.240190514</v>
      </c>
      <c r="AO913" s="120">
        <f t="shared" si="26"/>
        <v>-6.395549135</v>
      </c>
      <c r="AP913" s="120" t="str">
        <f t="array" ref="AP913">INDIRECT("Update"&amp;Projections!$AH$17&amp;"!S"&amp;ROW(B894))</f>
        <v/>
      </c>
      <c r="AQ913" s="120" t="str">
        <f t="array" ref="AQ913">INDIRECT("Update"&amp;Projections!$AH$17&amp;"!T"&amp;ROW(B894))</f>
        <v/>
      </c>
      <c r="AR913" s="100">
        <f t="shared" si="27"/>
        <v>-9.965301026</v>
      </c>
    </row>
    <row r="914">
      <c r="A914" t="str">
        <f t="shared" si="3"/>
        <v/>
      </c>
      <c r="B914" s="42">
        <f t="shared" si="4"/>
        <v>-3.155358621</v>
      </c>
      <c r="C914" s="43">
        <f t="shared" si="5"/>
        <v>-1.740686581</v>
      </c>
      <c r="D914" s="42">
        <f t="shared" si="6"/>
        <v>-2.380599106</v>
      </c>
      <c r="E914" s="42">
        <f t="shared" si="7"/>
        <v>-1.79320266</v>
      </c>
      <c r="F914" s="42">
        <f t="shared" si="8"/>
        <v>-3.240190514</v>
      </c>
      <c r="G914" s="42">
        <f t="shared" si="9"/>
        <v>-1.329092151</v>
      </c>
      <c r="H914" s="42">
        <f t="shared" si="10"/>
        <v>0</v>
      </c>
      <c r="I914" s="42" t="str">
        <f>UpdateHashtag!S912</f>
        <v/>
      </c>
      <c r="J914" s="47">
        <f t="shared" si="11"/>
        <v>0</v>
      </c>
      <c r="K914" s="48" t="str">
        <f>UpdateHashtag!T912</f>
        <v/>
      </c>
      <c r="L914" s="42">
        <f t="shared" si="12"/>
        <v>-1.734552372</v>
      </c>
      <c r="N914" s="100">
        <f t="shared" si="13"/>
        <v>401</v>
      </c>
      <c r="O914" s="94" t="str">
        <f t="array" ref="O914">INDIRECT("Update"&amp;Projections!$AH$17&amp;"!B"&amp;ROW(B895))</f>
        <v/>
      </c>
      <c r="P914" s="414" t="str">
        <f t="array" ref="P914">INDIRECT("Update"&amp;Projections!$AH$17&amp;"!C"&amp;ROW(B895))</f>
        <v/>
      </c>
      <c r="Q914" s="94" t="str">
        <f>UpdateHashtag!F944</f>
        <v/>
      </c>
      <c r="R914" s="105" t="str">
        <f t="array" ref="R914">INDIRECT("Update"&amp;Projections!$AH$17&amp;"!D"&amp;ROW(B895))</f>
        <v/>
      </c>
      <c r="S914" s="73">
        <f t="shared" si="14"/>
        <v>-9.965301026</v>
      </c>
      <c r="T914" s="73">
        <f>SUM(AE914:AM914)-IFERROR(IFS(Projections!$I$17,AN914,Projections!$J$17,AO914),"")</f>
        <v>-9.965301026</v>
      </c>
      <c r="U914" s="73">
        <f t="shared" si="15"/>
        <v>0</v>
      </c>
      <c r="V914" s="73" t="str">
        <f t="array" ref="V914">INDIRECT("Update"&amp;Projections!$AH$17&amp;"!M"&amp;ROW(B895))</f>
        <v/>
      </c>
      <c r="W914" s="73" t="str">
        <f t="array" ref="W914">INDIRECT("Update"&amp;Projections!$AH$17&amp;"!L"&amp;ROW(B895))</f>
        <v/>
      </c>
      <c r="X914" s="73" t="str">
        <f t="array" ref="X914">INDIRECT("Update"&amp;Projections!$AH$17&amp;"!N"&amp;ROW(B895))</f>
        <v/>
      </c>
      <c r="Y914" s="73" t="str">
        <f t="array" ref="Y914">INDIRECT("Update"&amp;Projections!$AH$17&amp;"!O"&amp;ROW(B895))</f>
        <v/>
      </c>
      <c r="Z914" s="73" t="str">
        <f t="array" ref="Z914">INDIRECT("Update"&amp;Projections!$AH$17&amp;"!P"&amp;ROW(B895))</f>
        <v/>
      </c>
      <c r="AA914" s="73" t="str">
        <f t="array" ref="AA914">INDIRECT("Update"&amp;Projections!$AH$17&amp;"!Q"&amp;ROW(B895))</f>
        <v/>
      </c>
      <c r="AB914" s="107" t="str">
        <f t="array" ref="AB914">INDIRECT("Update"&amp;Projections!$AH$17&amp;"!I"&amp;ROW(B895))</f>
        <v/>
      </c>
      <c r="AC914" s="107" t="str">
        <f t="array" ref="AC914">INDIRECT("Update"&amp;Projections!$AH$17&amp;"!K"&amp;ROW(B895))</f>
        <v/>
      </c>
      <c r="AD914" s="73" t="str">
        <f t="array" ref="AD914">INDIRECT("Update"&amp;Projections!$AH$17&amp;"!R"&amp;ROW(B895))</f>
        <v/>
      </c>
      <c r="AE914" s="73">
        <f t="shared" si="16"/>
        <v>-3.155358621</v>
      </c>
      <c r="AF914" s="73">
        <f t="shared" si="17"/>
        <v>-1.740686581</v>
      </c>
      <c r="AG914" s="73">
        <f t="shared" si="18"/>
        <v>-2.380599106</v>
      </c>
      <c r="AH914" s="73">
        <f t="shared" si="19"/>
        <v>-1.79320266</v>
      </c>
      <c r="AI914" s="73">
        <f t="shared" si="20"/>
        <v>-3.240190514</v>
      </c>
      <c r="AJ914" s="73">
        <f t="shared" si="21"/>
        <v>-1.329092151</v>
      </c>
      <c r="AK914" s="73">
        <f t="shared" si="22"/>
        <v>0</v>
      </c>
      <c r="AL914" s="73">
        <f t="shared" si="23"/>
        <v>0</v>
      </c>
      <c r="AM914" s="73">
        <f t="shared" si="24"/>
        <v>0.433638093</v>
      </c>
      <c r="AN914" s="120">
        <f t="shared" si="25"/>
        <v>-3.240190514</v>
      </c>
      <c r="AO914" s="120">
        <f t="shared" si="26"/>
        <v>-6.395549135</v>
      </c>
      <c r="AP914" s="120" t="str">
        <f t="array" ref="AP914">INDIRECT("Update"&amp;Projections!$AH$17&amp;"!S"&amp;ROW(B895))</f>
        <v/>
      </c>
      <c r="AQ914" s="120" t="str">
        <f t="array" ref="AQ914">INDIRECT("Update"&amp;Projections!$AH$17&amp;"!T"&amp;ROW(B895))</f>
        <v/>
      </c>
      <c r="AR914" s="100">
        <f t="shared" si="27"/>
        <v>-9.965301026</v>
      </c>
    </row>
    <row r="915">
      <c r="A915" t="str">
        <f t="shared" si="3"/>
        <v/>
      </c>
      <c r="B915" s="42">
        <f t="shared" si="4"/>
        <v>-3.155358621</v>
      </c>
      <c r="C915" s="43">
        <f t="shared" si="5"/>
        <v>-1.740686581</v>
      </c>
      <c r="D915" s="42">
        <f t="shared" si="6"/>
        <v>-2.380599106</v>
      </c>
      <c r="E915" s="42">
        <f t="shared" si="7"/>
        <v>-1.79320266</v>
      </c>
      <c r="F915" s="42">
        <f t="shared" si="8"/>
        <v>-3.240190514</v>
      </c>
      <c r="G915" s="42">
        <f t="shared" si="9"/>
        <v>-1.329092151</v>
      </c>
      <c r="H915" s="42">
        <f t="shared" si="10"/>
        <v>0</v>
      </c>
      <c r="I915" s="42" t="str">
        <f>UpdateHashtag!S913</f>
        <v/>
      </c>
      <c r="J915" s="47">
        <f t="shared" si="11"/>
        <v>0</v>
      </c>
      <c r="K915" s="48" t="str">
        <f>UpdateHashtag!T913</f>
        <v/>
      </c>
      <c r="L915" s="42">
        <f t="shared" si="12"/>
        <v>-1.734552372</v>
      </c>
      <c r="N915" s="100">
        <f t="shared" si="13"/>
        <v>401</v>
      </c>
      <c r="O915" s="94" t="str">
        <f t="array" ref="O915">INDIRECT("Update"&amp;Projections!$AH$17&amp;"!B"&amp;ROW(B896))</f>
        <v/>
      </c>
      <c r="P915" s="414" t="str">
        <f t="array" ref="P915">INDIRECT("Update"&amp;Projections!$AH$17&amp;"!C"&amp;ROW(B896))</f>
        <v/>
      </c>
      <c r="Q915" s="94" t="str">
        <f>UpdateHashtag!F945</f>
        <v/>
      </c>
      <c r="R915" s="105" t="str">
        <f t="array" ref="R915">INDIRECT("Update"&amp;Projections!$AH$17&amp;"!D"&amp;ROW(B896))</f>
        <v/>
      </c>
      <c r="S915" s="73">
        <f t="shared" si="14"/>
        <v>-9.965301026</v>
      </c>
      <c r="T915" s="73">
        <f>SUM(AE915:AM915)-IFERROR(IFS(Projections!$I$17,AN915,Projections!$J$17,AO915),"")</f>
        <v>-9.965301026</v>
      </c>
      <c r="U915" s="73">
        <f t="shared" si="15"/>
        <v>0</v>
      </c>
      <c r="V915" s="73" t="str">
        <f t="array" ref="V915">INDIRECT("Update"&amp;Projections!$AH$17&amp;"!M"&amp;ROW(B896))</f>
        <v/>
      </c>
      <c r="W915" s="73" t="str">
        <f t="array" ref="W915">INDIRECT("Update"&amp;Projections!$AH$17&amp;"!L"&amp;ROW(B896))</f>
        <v/>
      </c>
      <c r="X915" s="73" t="str">
        <f t="array" ref="X915">INDIRECT("Update"&amp;Projections!$AH$17&amp;"!N"&amp;ROW(B896))</f>
        <v/>
      </c>
      <c r="Y915" s="73" t="str">
        <f t="array" ref="Y915">INDIRECT("Update"&amp;Projections!$AH$17&amp;"!O"&amp;ROW(B896))</f>
        <v/>
      </c>
      <c r="Z915" s="73" t="str">
        <f t="array" ref="Z915">INDIRECT("Update"&amp;Projections!$AH$17&amp;"!P"&amp;ROW(B896))</f>
        <v/>
      </c>
      <c r="AA915" s="73" t="str">
        <f t="array" ref="AA915">INDIRECT("Update"&amp;Projections!$AH$17&amp;"!Q"&amp;ROW(B896))</f>
        <v/>
      </c>
      <c r="AB915" s="107" t="str">
        <f t="array" ref="AB915">INDIRECT("Update"&amp;Projections!$AH$17&amp;"!I"&amp;ROW(B896))</f>
        <v/>
      </c>
      <c r="AC915" s="107" t="str">
        <f t="array" ref="AC915">INDIRECT("Update"&amp;Projections!$AH$17&amp;"!K"&amp;ROW(B896))</f>
        <v/>
      </c>
      <c r="AD915" s="73" t="str">
        <f t="array" ref="AD915">INDIRECT("Update"&amp;Projections!$AH$17&amp;"!R"&amp;ROW(B896))</f>
        <v/>
      </c>
      <c r="AE915" s="73">
        <f t="shared" si="16"/>
        <v>-3.155358621</v>
      </c>
      <c r="AF915" s="73">
        <f t="shared" si="17"/>
        <v>-1.740686581</v>
      </c>
      <c r="AG915" s="73">
        <f t="shared" si="18"/>
        <v>-2.380599106</v>
      </c>
      <c r="AH915" s="73">
        <f t="shared" si="19"/>
        <v>-1.79320266</v>
      </c>
      <c r="AI915" s="73">
        <f t="shared" si="20"/>
        <v>-3.240190514</v>
      </c>
      <c r="AJ915" s="73">
        <f t="shared" si="21"/>
        <v>-1.329092151</v>
      </c>
      <c r="AK915" s="73">
        <f t="shared" si="22"/>
        <v>0</v>
      </c>
      <c r="AL915" s="73">
        <f t="shared" si="23"/>
        <v>0</v>
      </c>
      <c r="AM915" s="73">
        <f t="shared" si="24"/>
        <v>0.433638093</v>
      </c>
      <c r="AN915" s="120">
        <f t="shared" si="25"/>
        <v>-3.240190514</v>
      </c>
      <c r="AO915" s="120">
        <f t="shared" si="26"/>
        <v>-6.395549135</v>
      </c>
      <c r="AP915" s="120" t="str">
        <f t="array" ref="AP915">INDIRECT("Update"&amp;Projections!$AH$17&amp;"!S"&amp;ROW(B896))</f>
        <v/>
      </c>
      <c r="AQ915" s="120" t="str">
        <f t="array" ref="AQ915">INDIRECT("Update"&amp;Projections!$AH$17&amp;"!T"&amp;ROW(B896))</f>
        <v/>
      </c>
      <c r="AR915" s="100">
        <f t="shared" si="27"/>
        <v>-9.965301026</v>
      </c>
    </row>
    <row r="916">
      <c r="A916" t="str">
        <f t="shared" si="3"/>
        <v/>
      </c>
      <c r="B916" s="42">
        <f t="shared" si="4"/>
        <v>-3.155358621</v>
      </c>
      <c r="C916" s="43">
        <f t="shared" si="5"/>
        <v>-1.740686581</v>
      </c>
      <c r="D916" s="42">
        <f t="shared" si="6"/>
        <v>-2.380599106</v>
      </c>
      <c r="E916" s="42">
        <f t="shared" si="7"/>
        <v>-1.79320266</v>
      </c>
      <c r="F916" s="42">
        <f t="shared" si="8"/>
        <v>-3.240190514</v>
      </c>
      <c r="G916" s="42">
        <f t="shared" si="9"/>
        <v>-1.329092151</v>
      </c>
      <c r="H916" s="42">
        <f t="shared" si="10"/>
        <v>0</v>
      </c>
      <c r="I916" s="42" t="str">
        <f>UpdateHashtag!S914</f>
        <v/>
      </c>
      <c r="J916" s="47">
        <f t="shared" si="11"/>
        <v>0</v>
      </c>
      <c r="K916" s="48" t="str">
        <f>UpdateHashtag!T914</f>
        <v/>
      </c>
      <c r="L916" s="42">
        <f t="shared" si="12"/>
        <v>-1.734552372</v>
      </c>
      <c r="N916" s="100">
        <f t="shared" si="13"/>
        <v>401</v>
      </c>
      <c r="O916" s="94" t="str">
        <f t="array" ref="O916">INDIRECT("Update"&amp;Projections!$AH$17&amp;"!B"&amp;ROW(B897))</f>
        <v/>
      </c>
      <c r="P916" s="414" t="str">
        <f t="array" ref="P916">INDIRECT("Update"&amp;Projections!$AH$17&amp;"!C"&amp;ROW(B897))</f>
        <v/>
      </c>
      <c r="Q916" s="94" t="str">
        <f>UpdateHashtag!F946</f>
        <v/>
      </c>
      <c r="R916" s="105" t="str">
        <f t="array" ref="R916">INDIRECT("Update"&amp;Projections!$AH$17&amp;"!D"&amp;ROW(B897))</f>
        <v/>
      </c>
      <c r="S916" s="73">
        <f t="shared" si="14"/>
        <v>-9.965301026</v>
      </c>
      <c r="T916" s="73">
        <f>SUM(AE916:AM916)-IFERROR(IFS(Projections!$I$17,AN916,Projections!$J$17,AO916),"")</f>
        <v>-9.965301026</v>
      </c>
      <c r="U916" s="73">
        <f t="shared" si="15"/>
        <v>0</v>
      </c>
      <c r="V916" s="73" t="str">
        <f t="array" ref="V916">INDIRECT("Update"&amp;Projections!$AH$17&amp;"!M"&amp;ROW(B897))</f>
        <v/>
      </c>
      <c r="W916" s="73" t="str">
        <f t="array" ref="W916">INDIRECT("Update"&amp;Projections!$AH$17&amp;"!L"&amp;ROW(B897))</f>
        <v/>
      </c>
      <c r="X916" s="73" t="str">
        <f t="array" ref="X916">INDIRECT("Update"&amp;Projections!$AH$17&amp;"!N"&amp;ROW(B897))</f>
        <v/>
      </c>
      <c r="Y916" s="73" t="str">
        <f t="array" ref="Y916">INDIRECT("Update"&amp;Projections!$AH$17&amp;"!O"&amp;ROW(B897))</f>
        <v/>
      </c>
      <c r="Z916" s="73" t="str">
        <f t="array" ref="Z916">INDIRECT("Update"&amp;Projections!$AH$17&amp;"!P"&amp;ROW(B897))</f>
        <v/>
      </c>
      <c r="AA916" s="73" t="str">
        <f t="array" ref="AA916">INDIRECT("Update"&amp;Projections!$AH$17&amp;"!Q"&amp;ROW(B897))</f>
        <v/>
      </c>
      <c r="AB916" s="107" t="str">
        <f t="array" ref="AB916">INDIRECT("Update"&amp;Projections!$AH$17&amp;"!I"&amp;ROW(B897))</f>
        <v/>
      </c>
      <c r="AC916" s="107" t="str">
        <f t="array" ref="AC916">INDIRECT("Update"&amp;Projections!$AH$17&amp;"!K"&amp;ROW(B897))</f>
        <v/>
      </c>
      <c r="AD916" s="73" t="str">
        <f t="array" ref="AD916">INDIRECT("Update"&amp;Projections!$AH$17&amp;"!R"&amp;ROW(B897))</f>
        <v/>
      </c>
      <c r="AE916" s="73">
        <f t="shared" si="16"/>
        <v>-3.155358621</v>
      </c>
      <c r="AF916" s="73">
        <f t="shared" si="17"/>
        <v>-1.740686581</v>
      </c>
      <c r="AG916" s="73">
        <f t="shared" si="18"/>
        <v>-2.380599106</v>
      </c>
      <c r="AH916" s="73">
        <f t="shared" si="19"/>
        <v>-1.79320266</v>
      </c>
      <c r="AI916" s="73">
        <f t="shared" si="20"/>
        <v>-3.240190514</v>
      </c>
      <c r="AJ916" s="73">
        <f t="shared" si="21"/>
        <v>-1.329092151</v>
      </c>
      <c r="AK916" s="73">
        <f t="shared" si="22"/>
        <v>0</v>
      </c>
      <c r="AL916" s="73">
        <f t="shared" si="23"/>
        <v>0</v>
      </c>
      <c r="AM916" s="73">
        <f t="shared" si="24"/>
        <v>0.433638093</v>
      </c>
      <c r="AN916" s="120">
        <f t="shared" si="25"/>
        <v>-3.240190514</v>
      </c>
      <c r="AO916" s="120">
        <f t="shared" si="26"/>
        <v>-6.395549135</v>
      </c>
      <c r="AP916" s="120" t="str">
        <f t="array" ref="AP916">INDIRECT("Update"&amp;Projections!$AH$17&amp;"!S"&amp;ROW(B897))</f>
        <v/>
      </c>
      <c r="AQ916" s="120" t="str">
        <f t="array" ref="AQ916">INDIRECT("Update"&amp;Projections!$AH$17&amp;"!T"&amp;ROW(B897))</f>
        <v/>
      </c>
      <c r="AR916" s="100">
        <f t="shared" si="27"/>
        <v>-9.965301026</v>
      </c>
    </row>
    <row r="917">
      <c r="A917" t="str">
        <f t="shared" si="3"/>
        <v/>
      </c>
      <c r="B917" s="42">
        <f t="shared" si="4"/>
        <v>-3.155358621</v>
      </c>
      <c r="C917" s="43">
        <f t="shared" si="5"/>
        <v>-1.740686581</v>
      </c>
      <c r="D917" s="42">
        <f t="shared" si="6"/>
        <v>-2.380599106</v>
      </c>
      <c r="E917" s="42">
        <f t="shared" si="7"/>
        <v>-1.79320266</v>
      </c>
      <c r="F917" s="42">
        <f t="shared" si="8"/>
        <v>-3.240190514</v>
      </c>
      <c r="G917" s="42">
        <f t="shared" si="9"/>
        <v>-1.329092151</v>
      </c>
      <c r="H917" s="42">
        <f t="shared" si="10"/>
        <v>0</v>
      </c>
      <c r="I917" s="42" t="str">
        <f>UpdateHashtag!S915</f>
        <v/>
      </c>
      <c r="J917" s="47">
        <f t="shared" si="11"/>
        <v>0</v>
      </c>
      <c r="K917" s="48" t="str">
        <f>UpdateHashtag!T915</f>
        <v/>
      </c>
      <c r="L917" s="42">
        <f t="shared" si="12"/>
        <v>-1.734552372</v>
      </c>
      <c r="N917" s="100">
        <f t="shared" si="13"/>
        <v>401</v>
      </c>
      <c r="O917" s="94" t="str">
        <f t="array" ref="O917">INDIRECT("Update"&amp;Projections!$AH$17&amp;"!B"&amp;ROW(B898))</f>
        <v/>
      </c>
      <c r="P917" s="414" t="str">
        <f t="array" ref="P917">INDIRECT("Update"&amp;Projections!$AH$17&amp;"!C"&amp;ROW(B898))</f>
        <v/>
      </c>
      <c r="Q917" s="94" t="str">
        <f>UpdateHashtag!F947</f>
        <v/>
      </c>
      <c r="R917" s="105" t="str">
        <f t="array" ref="R917">INDIRECT("Update"&amp;Projections!$AH$17&amp;"!D"&amp;ROW(B898))</f>
        <v/>
      </c>
      <c r="S917" s="73">
        <f t="shared" si="14"/>
        <v>-9.965301026</v>
      </c>
      <c r="T917" s="73">
        <f>SUM(AE917:AM917)-IFERROR(IFS(Projections!$I$17,AN917,Projections!$J$17,AO917),"")</f>
        <v>-9.965301026</v>
      </c>
      <c r="U917" s="73">
        <f t="shared" si="15"/>
        <v>0</v>
      </c>
      <c r="V917" s="73" t="str">
        <f t="array" ref="V917">INDIRECT("Update"&amp;Projections!$AH$17&amp;"!M"&amp;ROW(B898))</f>
        <v/>
      </c>
      <c r="W917" s="73" t="str">
        <f t="array" ref="W917">INDIRECT("Update"&amp;Projections!$AH$17&amp;"!L"&amp;ROW(B898))</f>
        <v/>
      </c>
      <c r="X917" s="73" t="str">
        <f t="array" ref="X917">INDIRECT("Update"&amp;Projections!$AH$17&amp;"!N"&amp;ROW(B898))</f>
        <v/>
      </c>
      <c r="Y917" s="73" t="str">
        <f t="array" ref="Y917">INDIRECT("Update"&amp;Projections!$AH$17&amp;"!O"&amp;ROW(B898))</f>
        <v/>
      </c>
      <c r="Z917" s="73" t="str">
        <f t="array" ref="Z917">INDIRECT("Update"&amp;Projections!$AH$17&amp;"!P"&amp;ROW(B898))</f>
        <v/>
      </c>
      <c r="AA917" s="73" t="str">
        <f t="array" ref="AA917">INDIRECT("Update"&amp;Projections!$AH$17&amp;"!Q"&amp;ROW(B898))</f>
        <v/>
      </c>
      <c r="AB917" s="107" t="str">
        <f t="array" ref="AB917">INDIRECT("Update"&amp;Projections!$AH$17&amp;"!I"&amp;ROW(B898))</f>
        <v/>
      </c>
      <c r="AC917" s="107" t="str">
        <f t="array" ref="AC917">INDIRECT("Update"&amp;Projections!$AH$17&amp;"!K"&amp;ROW(B898))</f>
        <v/>
      </c>
      <c r="AD917" s="73" t="str">
        <f t="array" ref="AD917">INDIRECT("Update"&amp;Projections!$AH$17&amp;"!R"&amp;ROW(B898))</f>
        <v/>
      </c>
      <c r="AE917" s="73">
        <f t="shared" si="16"/>
        <v>-3.155358621</v>
      </c>
      <c r="AF917" s="73">
        <f t="shared" si="17"/>
        <v>-1.740686581</v>
      </c>
      <c r="AG917" s="73">
        <f t="shared" si="18"/>
        <v>-2.380599106</v>
      </c>
      <c r="AH917" s="73">
        <f t="shared" si="19"/>
        <v>-1.79320266</v>
      </c>
      <c r="AI917" s="73">
        <f t="shared" si="20"/>
        <v>-3.240190514</v>
      </c>
      <c r="AJ917" s="73">
        <f t="shared" si="21"/>
        <v>-1.329092151</v>
      </c>
      <c r="AK917" s="73">
        <f t="shared" si="22"/>
        <v>0</v>
      </c>
      <c r="AL917" s="73">
        <f t="shared" si="23"/>
        <v>0</v>
      </c>
      <c r="AM917" s="73">
        <f t="shared" si="24"/>
        <v>0.433638093</v>
      </c>
      <c r="AN917" s="120">
        <f t="shared" si="25"/>
        <v>-3.240190514</v>
      </c>
      <c r="AO917" s="120">
        <f t="shared" si="26"/>
        <v>-6.395549135</v>
      </c>
      <c r="AP917" s="120" t="str">
        <f t="array" ref="AP917">INDIRECT("Update"&amp;Projections!$AH$17&amp;"!S"&amp;ROW(B898))</f>
        <v/>
      </c>
      <c r="AQ917" s="120" t="str">
        <f t="array" ref="AQ917">INDIRECT("Update"&amp;Projections!$AH$17&amp;"!T"&amp;ROW(B898))</f>
        <v/>
      </c>
      <c r="AR917" s="100">
        <f t="shared" si="27"/>
        <v>-9.965301026</v>
      </c>
    </row>
    <row r="918">
      <c r="A918" t="str">
        <f t="shared" si="3"/>
        <v/>
      </c>
      <c r="B918" s="42">
        <f t="shared" si="4"/>
        <v>-3.155358621</v>
      </c>
      <c r="C918" s="43">
        <f t="shared" si="5"/>
        <v>-1.740686581</v>
      </c>
      <c r="D918" s="42">
        <f t="shared" si="6"/>
        <v>-2.380599106</v>
      </c>
      <c r="E918" s="42">
        <f t="shared" si="7"/>
        <v>-1.79320266</v>
      </c>
      <c r="F918" s="42">
        <f t="shared" si="8"/>
        <v>-3.240190514</v>
      </c>
      <c r="G918" s="42">
        <f t="shared" si="9"/>
        <v>-1.329092151</v>
      </c>
      <c r="H918" s="42">
        <f t="shared" si="10"/>
        <v>0</v>
      </c>
      <c r="I918" s="42" t="str">
        <f>UpdateHashtag!S916</f>
        <v/>
      </c>
      <c r="J918" s="47">
        <f t="shared" si="11"/>
        <v>0</v>
      </c>
      <c r="K918" s="48" t="str">
        <f>UpdateHashtag!T916</f>
        <v/>
      </c>
      <c r="L918" s="42">
        <f t="shared" si="12"/>
        <v>-1.734552372</v>
      </c>
      <c r="N918" s="100">
        <f t="shared" si="13"/>
        <v>401</v>
      </c>
      <c r="O918" s="94" t="str">
        <f t="array" ref="O918">INDIRECT("Update"&amp;Projections!$AH$17&amp;"!B"&amp;ROW(B899))</f>
        <v/>
      </c>
      <c r="P918" s="414" t="str">
        <f t="array" ref="P918">INDIRECT("Update"&amp;Projections!$AH$17&amp;"!C"&amp;ROW(B899))</f>
        <v/>
      </c>
      <c r="Q918" s="94" t="str">
        <f>UpdateHashtag!F948</f>
        <v/>
      </c>
      <c r="R918" s="105" t="str">
        <f t="array" ref="R918">INDIRECT("Update"&amp;Projections!$AH$17&amp;"!D"&amp;ROW(B899))</f>
        <v/>
      </c>
      <c r="S918" s="73">
        <f t="shared" si="14"/>
        <v>-9.965301026</v>
      </c>
      <c r="T918" s="73">
        <f>SUM(AE918:AM918)-IFERROR(IFS(Projections!$I$17,AN918,Projections!$J$17,AO918),"")</f>
        <v>-9.965301026</v>
      </c>
      <c r="U918" s="73">
        <f t="shared" si="15"/>
        <v>0</v>
      </c>
      <c r="V918" s="73" t="str">
        <f t="array" ref="V918">INDIRECT("Update"&amp;Projections!$AH$17&amp;"!M"&amp;ROW(B899))</f>
        <v/>
      </c>
      <c r="W918" s="73" t="str">
        <f t="array" ref="W918">INDIRECT("Update"&amp;Projections!$AH$17&amp;"!L"&amp;ROW(B899))</f>
        <v/>
      </c>
      <c r="X918" s="73" t="str">
        <f t="array" ref="X918">INDIRECT("Update"&amp;Projections!$AH$17&amp;"!N"&amp;ROW(B899))</f>
        <v/>
      </c>
      <c r="Y918" s="73" t="str">
        <f t="array" ref="Y918">INDIRECT("Update"&amp;Projections!$AH$17&amp;"!O"&amp;ROW(B899))</f>
        <v/>
      </c>
      <c r="Z918" s="73" t="str">
        <f t="array" ref="Z918">INDIRECT("Update"&amp;Projections!$AH$17&amp;"!P"&amp;ROW(B899))</f>
        <v/>
      </c>
      <c r="AA918" s="73" t="str">
        <f t="array" ref="AA918">INDIRECT("Update"&amp;Projections!$AH$17&amp;"!Q"&amp;ROW(B899))</f>
        <v/>
      </c>
      <c r="AB918" s="107" t="str">
        <f t="array" ref="AB918">INDIRECT("Update"&amp;Projections!$AH$17&amp;"!I"&amp;ROW(B899))</f>
        <v/>
      </c>
      <c r="AC918" s="107" t="str">
        <f t="array" ref="AC918">INDIRECT("Update"&amp;Projections!$AH$17&amp;"!K"&amp;ROW(B899))</f>
        <v/>
      </c>
      <c r="AD918" s="73" t="str">
        <f t="array" ref="AD918">INDIRECT("Update"&amp;Projections!$AH$17&amp;"!R"&amp;ROW(B899))</f>
        <v/>
      </c>
      <c r="AE918" s="73">
        <f t="shared" si="16"/>
        <v>-3.155358621</v>
      </c>
      <c r="AF918" s="73">
        <f t="shared" si="17"/>
        <v>-1.740686581</v>
      </c>
      <c r="AG918" s="73">
        <f t="shared" si="18"/>
        <v>-2.380599106</v>
      </c>
      <c r="AH918" s="73">
        <f t="shared" si="19"/>
        <v>-1.79320266</v>
      </c>
      <c r="AI918" s="73">
        <f t="shared" si="20"/>
        <v>-3.240190514</v>
      </c>
      <c r="AJ918" s="73">
        <f t="shared" si="21"/>
        <v>-1.329092151</v>
      </c>
      <c r="AK918" s="73">
        <f t="shared" si="22"/>
        <v>0</v>
      </c>
      <c r="AL918" s="73">
        <f t="shared" si="23"/>
        <v>0</v>
      </c>
      <c r="AM918" s="73">
        <f t="shared" si="24"/>
        <v>0.433638093</v>
      </c>
      <c r="AN918" s="120">
        <f t="shared" si="25"/>
        <v>-3.240190514</v>
      </c>
      <c r="AO918" s="120">
        <f t="shared" si="26"/>
        <v>-6.395549135</v>
      </c>
      <c r="AP918" s="120" t="str">
        <f t="array" ref="AP918">INDIRECT("Update"&amp;Projections!$AH$17&amp;"!S"&amp;ROW(B899))</f>
        <v/>
      </c>
      <c r="AQ918" s="120" t="str">
        <f t="array" ref="AQ918">INDIRECT("Update"&amp;Projections!$AH$17&amp;"!T"&amp;ROW(B899))</f>
        <v/>
      </c>
      <c r="AR918" s="100">
        <f t="shared" si="27"/>
        <v>-9.965301026</v>
      </c>
    </row>
    <row r="919">
      <c r="A919" t="str">
        <f t="shared" si="3"/>
        <v/>
      </c>
      <c r="B919" s="42">
        <f t="shared" si="4"/>
        <v>-3.155358621</v>
      </c>
      <c r="C919" s="43">
        <f t="shared" si="5"/>
        <v>-1.740686581</v>
      </c>
      <c r="D919" s="42">
        <f t="shared" si="6"/>
        <v>-2.380599106</v>
      </c>
      <c r="E919" s="42">
        <f t="shared" si="7"/>
        <v>-1.79320266</v>
      </c>
      <c r="F919" s="42">
        <f t="shared" si="8"/>
        <v>-3.240190514</v>
      </c>
      <c r="G919" s="42">
        <f t="shared" si="9"/>
        <v>-1.329092151</v>
      </c>
      <c r="H919" s="42">
        <f t="shared" si="10"/>
        <v>0</v>
      </c>
      <c r="I919" s="42" t="str">
        <f>UpdateHashtag!S917</f>
        <v/>
      </c>
      <c r="J919" s="47">
        <f t="shared" si="11"/>
        <v>0</v>
      </c>
      <c r="K919" s="48" t="str">
        <f>UpdateHashtag!T917</f>
        <v/>
      </c>
      <c r="L919" s="42">
        <f t="shared" si="12"/>
        <v>-1.734552372</v>
      </c>
      <c r="N919" s="100">
        <f t="shared" si="13"/>
        <v>401</v>
      </c>
      <c r="O919" s="94" t="str">
        <f t="array" ref="O919">INDIRECT("Update"&amp;Projections!$AH$17&amp;"!B"&amp;ROW(B900))</f>
        <v/>
      </c>
      <c r="P919" s="414" t="str">
        <f t="array" ref="P919">INDIRECT("Update"&amp;Projections!$AH$17&amp;"!C"&amp;ROW(B900))</f>
        <v/>
      </c>
      <c r="Q919" s="94" t="str">
        <f>UpdateHashtag!F949</f>
        <v/>
      </c>
      <c r="R919" s="105" t="str">
        <f t="array" ref="R919">INDIRECT("Update"&amp;Projections!$AH$17&amp;"!D"&amp;ROW(B900))</f>
        <v/>
      </c>
      <c r="S919" s="73">
        <f t="shared" si="14"/>
        <v>-9.965301026</v>
      </c>
      <c r="T919" s="73">
        <f>SUM(AE919:AM919)-IFERROR(IFS(Projections!$I$17,AN919,Projections!$J$17,AO919),"")</f>
        <v>-9.965301026</v>
      </c>
      <c r="U919" s="73">
        <f t="shared" si="15"/>
        <v>0</v>
      </c>
      <c r="V919" s="73" t="str">
        <f t="array" ref="V919">INDIRECT("Update"&amp;Projections!$AH$17&amp;"!M"&amp;ROW(B900))</f>
        <v/>
      </c>
      <c r="W919" s="73" t="str">
        <f t="array" ref="W919">INDIRECT("Update"&amp;Projections!$AH$17&amp;"!L"&amp;ROW(B900))</f>
        <v/>
      </c>
      <c r="X919" s="73" t="str">
        <f t="array" ref="X919">INDIRECT("Update"&amp;Projections!$AH$17&amp;"!N"&amp;ROW(B900))</f>
        <v/>
      </c>
      <c r="Y919" s="73" t="str">
        <f t="array" ref="Y919">INDIRECT("Update"&amp;Projections!$AH$17&amp;"!O"&amp;ROW(B900))</f>
        <v/>
      </c>
      <c r="Z919" s="73" t="str">
        <f t="array" ref="Z919">INDIRECT("Update"&amp;Projections!$AH$17&amp;"!P"&amp;ROW(B900))</f>
        <v/>
      </c>
      <c r="AA919" s="73" t="str">
        <f t="array" ref="AA919">INDIRECT("Update"&amp;Projections!$AH$17&amp;"!Q"&amp;ROW(B900))</f>
        <v/>
      </c>
      <c r="AB919" s="107" t="str">
        <f t="array" ref="AB919">INDIRECT("Update"&amp;Projections!$AH$17&amp;"!I"&amp;ROW(B900))</f>
        <v/>
      </c>
      <c r="AC919" s="107" t="str">
        <f t="array" ref="AC919">INDIRECT("Update"&amp;Projections!$AH$17&amp;"!K"&amp;ROW(B900))</f>
        <v/>
      </c>
      <c r="AD919" s="73" t="str">
        <f t="array" ref="AD919">INDIRECT("Update"&amp;Projections!$AH$17&amp;"!R"&amp;ROW(B900))</f>
        <v/>
      </c>
      <c r="AE919" s="73">
        <f t="shared" si="16"/>
        <v>-3.155358621</v>
      </c>
      <c r="AF919" s="73">
        <f t="shared" si="17"/>
        <v>-1.740686581</v>
      </c>
      <c r="AG919" s="73">
        <f t="shared" si="18"/>
        <v>-2.380599106</v>
      </c>
      <c r="AH919" s="73">
        <f t="shared" si="19"/>
        <v>-1.79320266</v>
      </c>
      <c r="AI919" s="73">
        <f t="shared" si="20"/>
        <v>-3.240190514</v>
      </c>
      <c r="AJ919" s="73">
        <f t="shared" si="21"/>
        <v>-1.329092151</v>
      </c>
      <c r="AK919" s="73">
        <f t="shared" si="22"/>
        <v>0</v>
      </c>
      <c r="AL919" s="73">
        <f t="shared" si="23"/>
        <v>0</v>
      </c>
      <c r="AM919" s="73">
        <f t="shared" si="24"/>
        <v>0.433638093</v>
      </c>
      <c r="AN919" s="120">
        <f t="shared" si="25"/>
        <v>-3.240190514</v>
      </c>
      <c r="AO919" s="120">
        <f t="shared" si="26"/>
        <v>-6.395549135</v>
      </c>
      <c r="AP919" s="120" t="str">
        <f t="array" ref="AP919">INDIRECT("Update"&amp;Projections!$AH$17&amp;"!S"&amp;ROW(B900))</f>
        <v/>
      </c>
      <c r="AQ919" s="120" t="str">
        <f t="array" ref="AQ919">INDIRECT("Update"&amp;Projections!$AH$17&amp;"!T"&amp;ROW(B900))</f>
        <v/>
      </c>
      <c r="AR919" s="100">
        <f t="shared" si="27"/>
        <v>-9.965301026</v>
      </c>
    </row>
    <row r="920">
      <c r="A920" t="str">
        <f t="shared" si="3"/>
        <v/>
      </c>
      <c r="B920" s="42">
        <f t="shared" si="4"/>
        <v>-3.155358621</v>
      </c>
      <c r="C920" s="43">
        <f t="shared" si="5"/>
        <v>-1.740686581</v>
      </c>
      <c r="D920" s="42">
        <f t="shared" si="6"/>
        <v>-2.380599106</v>
      </c>
      <c r="E920" s="42">
        <f t="shared" si="7"/>
        <v>-1.79320266</v>
      </c>
      <c r="F920" s="42">
        <f t="shared" si="8"/>
        <v>-3.240190514</v>
      </c>
      <c r="G920" s="42">
        <f t="shared" si="9"/>
        <v>-1.329092151</v>
      </c>
      <c r="H920" s="42">
        <f t="shared" si="10"/>
        <v>0</v>
      </c>
      <c r="I920" s="42" t="str">
        <f>UpdateHashtag!S918</f>
        <v/>
      </c>
      <c r="J920" s="47">
        <f t="shared" si="11"/>
        <v>0</v>
      </c>
      <c r="K920" s="48" t="str">
        <f>UpdateHashtag!T918</f>
        <v/>
      </c>
      <c r="L920" s="42">
        <f t="shared" si="12"/>
        <v>-1.734552372</v>
      </c>
      <c r="N920" s="100">
        <f t="shared" si="13"/>
        <v>401</v>
      </c>
      <c r="O920" s="94" t="str">
        <f t="array" ref="O920">INDIRECT("Update"&amp;Projections!$AH$17&amp;"!B"&amp;ROW(B901))</f>
        <v/>
      </c>
      <c r="P920" s="414" t="str">
        <f t="array" ref="P920">INDIRECT("Update"&amp;Projections!$AH$17&amp;"!C"&amp;ROW(B901))</f>
        <v/>
      </c>
      <c r="Q920" s="94" t="str">
        <f>UpdateHashtag!F950</f>
        <v/>
      </c>
      <c r="R920" s="105" t="str">
        <f t="array" ref="R920">INDIRECT("Update"&amp;Projections!$AH$17&amp;"!D"&amp;ROW(B901))</f>
        <v/>
      </c>
      <c r="S920" s="73">
        <f t="shared" si="14"/>
        <v>-9.965301026</v>
      </c>
      <c r="T920" s="73">
        <f>SUM(AE920:AM920)-IFERROR(IFS(Projections!$I$17,AN920,Projections!$J$17,AO920),"")</f>
        <v>-9.965301026</v>
      </c>
      <c r="U920" s="73">
        <f t="shared" si="15"/>
        <v>0</v>
      </c>
      <c r="V920" s="73" t="str">
        <f t="array" ref="V920">INDIRECT("Update"&amp;Projections!$AH$17&amp;"!M"&amp;ROW(B901))</f>
        <v/>
      </c>
      <c r="W920" s="73" t="str">
        <f t="array" ref="W920">INDIRECT("Update"&amp;Projections!$AH$17&amp;"!L"&amp;ROW(B901))</f>
        <v/>
      </c>
      <c r="X920" s="73" t="str">
        <f t="array" ref="X920">INDIRECT("Update"&amp;Projections!$AH$17&amp;"!N"&amp;ROW(B901))</f>
        <v/>
      </c>
      <c r="Y920" s="73" t="str">
        <f t="array" ref="Y920">INDIRECT("Update"&amp;Projections!$AH$17&amp;"!O"&amp;ROW(B901))</f>
        <v/>
      </c>
      <c r="Z920" s="73" t="str">
        <f t="array" ref="Z920">INDIRECT("Update"&amp;Projections!$AH$17&amp;"!P"&amp;ROW(B901))</f>
        <v/>
      </c>
      <c r="AA920" s="73" t="str">
        <f t="array" ref="AA920">INDIRECT("Update"&amp;Projections!$AH$17&amp;"!Q"&amp;ROW(B901))</f>
        <v/>
      </c>
      <c r="AB920" s="107" t="str">
        <f t="array" ref="AB920">INDIRECT("Update"&amp;Projections!$AH$17&amp;"!I"&amp;ROW(B901))</f>
        <v/>
      </c>
      <c r="AC920" s="107" t="str">
        <f t="array" ref="AC920">INDIRECT("Update"&amp;Projections!$AH$17&amp;"!K"&amp;ROW(B901))</f>
        <v/>
      </c>
      <c r="AD920" s="73" t="str">
        <f t="array" ref="AD920">INDIRECT("Update"&amp;Projections!$AH$17&amp;"!R"&amp;ROW(B901))</f>
        <v/>
      </c>
      <c r="AE920" s="73">
        <f t="shared" si="16"/>
        <v>-3.155358621</v>
      </c>
      <c r="AF920" s="73">
        <f t="shared" si="17"/>
        <v>-1.740686581</v>
      </c>
      <c r="AG920" s="73">
        <f t="shared" si="18"/>
        <v>-2.380599106</v>
      </c>
      <c r="AH920" s="73">
        <f t="shared" si="19"/>
        <v>-1.79320266</v>
      </c>
      <c r="AI920" s="73">
        <f t="shared" si="20"/>
        <v>-3.240190514</v>
      </c>
      <c r="AJ920" s="73">
        <f t="shared" si="21"/>
        <v>-1.329092151</v>
      </c>
      <c r="AK920" s="73">
        <f t="shared" si="22"/>
        <v>0</v>
      </c>
      <c r="AL920" s="73">
        <f t="shared" si="23"/>
        <v>0</v>
      </c>
      <c r="AM920" s="73">
        <f t="shared" si="24"/>
        <v>0.433638093</v>
      </c>
      <c r="AN920" s="120">
        <f t="shared" si="25"/>
        <v>-3.240190514</v>
      </c>
      <c r="AO920" s="120">
        <f t="shared" si="26"/>
        <v>-6.395549135</v>
      </c>
      <c r="AP920" s="120" t="str">
        <f t="array" ref="AP920">INDIRECT("Update"&amp;Projections!$AH$17&amp;"!S"&amp;ROW(B901))</f>
        <v/>
      </c>
      <c r="AQ920" s="120" t="str">
        <f t="array" ref="AQ920">INDIRECT("Update"&amp;Projections!$AH$17&amp;"!T"&amp;ROW(B901))</f>
        <v/>
      </c>
      <c r="AR920" s="100">
        <f t="shared" si="27"/>
        <v>-9.965301026</v>
      </c>
    </row>
    <row r="921">
      <c r="A921" t="str">
        <f t="shared" si="3"/>
        <v/>
      </c>
      <c r="B921" s="42">
        <f t="shared" si="4"/>
        <v>-3.155358621</v>
      </c>
      <c r="C921" s="43">
        <f t="shared" si="5"/>
        <v>-1.740686581</v>
      </c>
      <c r="D921" s="42">
        <f t="shared" si="6"/>
        <v>-2.380599106</v>
      </c>
      <c r="E921" s="42">
        <f t="shared" si="7"/>
        <v>-1.79320266</v>
      </c>
      <c r="F921" s="42">
        <f t="shared" si="8"/>
        <v>-3.240190514</v>
      </c>
      <c r="G921" s="42">
        <f t="shared" si="9"/>
        <v>-1.329092151</v>
      </c>
      <c r="H921" s="42">
        <f t="shared" si="10"/>
        <v>0</v>
      </c>
      <c r="I921" s="42" t="str">
        <f>UpdateHashtag!S919</f>
        <v/>
      </c>
      <c r="J921" s="47">
        <f t="shared" si="11"/>
        <v>0</v>
      </c>
      <c r="K921" s="48" t="str">
        <f>UpdateHashtag!T919</f>
        <v/>
      </c>
      <c r="L921" s="42">
        <f t="shared" si="12"/>
        <v>-1.734552372</v>
      </c>
      <c r="N921" s="100">
        <f t="shared" si="13"/>
        <v>401</v>
      </c>
      <c r="O921" s="94" t="str">
        <f t="array" ref="O921">INDIRECT("Update"&amp;Projections!$AH$17&amp;"!B"&amp;ROW(B902))</f>
        <v/>
      </c>
      <c r="P921" s="414" t="str">
        <f t="array" ref="P921">INDIRECT("Update"&amp;Projections!$AH$17&amp;"!C"&amp;ROW(B902))</f>
        <v/>
      </c>
      <c r="Q921" s="94" t="str">
        <f>UpdateHashtag!F951</f>
        <v/>
      </c>
      <c r="R921" s="105" t="str">
        <f t="array" ref="R921">INDIRECT("Update"&amp;Projections!$AH$17&amp;"!D"&amp;ROW(B902))</f>
        <v/>
      </c>
      <c r="S921" s="73">
        <f t="shared" si="14"/>
        <v>-9.965301026</v>
      </c>
      <c r="T921" s="73">
        <f>SUM(AE921:AM921)-IFERROR(IFS(Projections!$I$17,AN921,Projections!$J$17,AO921),"")</f>
        <v>-9.965301026</v>
      </c>
      <c r="U921" s="73">
        <f t="shared" si="15"/>
        <v>0</v>
      </c>
      <c r="V921" s="73" t="str">
        <f t="array" ref="V921">INDIRECT("Update"&amp;Projections!$AH$17&amp;"!M"&amp;ROW(B902))</f>
        <v/>
      </c>
      <c r="W921" s="73" t="str">
        <f t="array" ref="W921">INDIRECT("Update"&amp;Projections!$AH$17&amp;"!L"&amp;ROW(B902))</f>
        <v/>
      </c>
      <c r="X921" s="73" t="str">
        <f t="array" ref="X921">INDIRECT("Update"&amp;Projections!$AH$17&amp;"!N"&amp;ROW(B902))</f>
        <v/>
      </c>
      <c r="Y921" s="73" t="str">
        <f t="array" ref="Y921">INDIRECT("Update"&amp;Projections!$AH$17&amp;"!O"&amp;ROW(B902))</f>
        <v/>
      </c>
      <c r="Z921" s="73" t="str">
        <f t="array" ref="Z921">INDIRECT("Update"&amp;Projections!$AH$17&amp;"!P"&amp;ROW(B902))</f>
        <v/>
      </c>
      <c r="AA921" s="73" t="str">
        <f t="array" ref="AA921">INDIRECT("Update"&amp;Projections!$AH$17&amp;"!Q"&amp;ROW(B902))</f>
        <v/>
      </c>
      <c r="AB921" s="107" t="str">
        <f t="array" ref="AB921">INDIRECT("Update"&amp;Projections!$AH$17&amp;"!I"&amp;ROW(B902))</f>
        <v/>
      </c>
      <c r="AC921" s="107" t="str">
        <f t="array" ref="AC921">INDIRECT("Update"&amp;Projections!$AH$17&amp;"!K"&amp;ROW(B902))</f>
        <v/>
      </c>
      <c r="AD921" s="73" t="str">
        <f t="array" ref="AD921">INDIRECT("Update"&amp;Projections!$AH$17&amp;"!R"&amp;ROW(B902))</f>
        <v/>
      </c>
      <c r="AE921" s="73">
        <f t="shared" si="16"/>
        <v>-3.155358621</v>
      </c>
      <c r="AF921" s="73">
        <f t="shared" si="17"/>
        <v>-1.740686581</v>
      </c>
      <c r="AG921" s="73">
        <f t="shared" si="18"/>
        <v>-2.380599106</v>
      </c>
      <c r="AH921" s="73">
        <f t="shared" si="19"/>
        <v>-1.79320266</v>
      </c>
      <c r="AI921" s="73">
        <f t="shared" si="20"/>
        <v>-3.240190514</v>
      </c>
      <c r="AJ921" s="73">
        <f t="shared" si="21"/>
        <v>-1.329092151</v>
      </c>
      <c r="AK921" s="73">
        <f t="shared" si="22"/>
        <v>0</v>
      </c>
      <c r="AL921" s="73">
        <f t="shared" si="23"/>
        <v>0</v>
      </c>
      <c r="AM921" s="73">
        <f t="shared" si="24"/>
        <v>0.433638093</v>
      </c>
      <c r="AN921" s="120">
        <f t="shared" si="25"/>
        <v>-3.240190514</v>
      </c>
      <c r="AO921" s="120">
        <f t="shared" si="26"/>
        <v>-6.395549135</v>
      </c>
      <c r="AP921" s="120" t="str">
        <f t="array" ref="AP921">INDIRECT("Update"&amp;Projections!$AH$17&amp;"!S"&amp;ROW(B902))</f>
        <v/>
      </c>
      <c r="AQ921" s="120" t="str">
        <f t="array" ref="AQ921">INDIRECT("Update"&amp;Projections!$AH$17&amp;"!T"&amp;ROW(B902))</f>
        <v/>
      </c>
      <c r="AR921" s="100">
        <f t="shared" si="27"/>
        <v>-9.965301026</v>
      </c>
    </row>
    <row r="922">
      <c r="A922" t="str">
        <f t="shared" si="3"/>
        <v/>
      </c>
      <c r="B922" s="42">
        <f t="shared" si="4"/>
        <v>-3.155358621</v>
      </c>
      <c r="C922" s="43">
        <f t="shared" si="5"/>
        <v>-1.740686581</v>
      </c>
      <c r="D922" s="42">
        <f t="shared" si="6"/>
        <v>-2.380599106</v>
      </c>
      <c r="E922" s="42">
        <f t="shared" si="7"/>
        <v>-1.79320266</v>
      </c>
      <c r="F922" s="42">
        <f t="shared" si="8"/>
        <v>-3.240190514</v>
      </c>
      <c r="G922" s="42">
        <f t="shared" si="9"/>
        <v>-1.329092151</v>
      </c>
      <c r="H922" s="42">
        <f t="shared" si="10"/>
        <v>0</v>
      </c>
      <c r="I922" s="42" t="str">
        <f>UpdateHashtag!S920</f>
        <v/>
      </c>
      <c r="J922" s="47">
        <f t="shared" si="11"/>
        <v>0</v>
      </c>
      <c r="K922" s="48" t="str">
        <f>UpdateHashtag!T920</f>
        <v/>
      </c>
      <c r="L922" s="42">
        <f t="shared" si="12"/>
        <v>-1.734552372</v>
      </c>
      <c r="N922" s="100">
        <f t="shared" si="13"/>
        <v>401</v>
      </c>
      <c r="O922" s="94" t="str">
        <f t="array" ref="O922">INDIRECT("Update"&amp;Projections!$AH$17&amp;"!B"&amp;ROW(B903))</f>
        <v/>
      </c>
      <c r="P922" s="414" t="str">
        <f t="array" ref="P922">INDIRECT("Update"&amp;Projections!$AH$17&amp;"!C"&amp;ROW(B903))</f>
        <v/>
      </c>
      <c r="Q922" s="94" t="str">
        <f>UpdateHashtag!F952</f>
        <v/>
      </c>
      <c r="R922" s="105" t="str">
        <f t="array" ref="R922">INDIRECT("Update"&amp;Projections!$AH$17&amp;"!D"&amp;ROW(B903))</f>
        <v/>
      </c>
      <c r="S922" s="73">
        <f t="shared" si="14"/>
        <v>-9.965301026</v>
      </c>
      <c r="T922" s="73">
        <f>SUM(AE922:AM922)-IFERROR(IFS(Projections!$I$17,AN922,Projections!$J$17,AO922),"")</f>
        <v>-9.965301026</v>
      </c>
      <c r="U922" s="73">
        <f t="shared" si="15"/>
        <v>0</v>
      </c>
      <c r="V922" s="73" t="str">
        <f t="array" ref="V922">INDIRECT("Update"&amp;Projections!$AH$17&amp;"!M"&amp;ROW(B903))</f>
        <v/>
      </c>
      <c r="W922" s="73" t="str">
        <f t="array" ref="W922">INDIRECT("Update"&amp;Projections!$AH$17&amp;"!L"&amp;ROW(B903))</f>
        <v/>
      </c>
      <c r="X922" s="73" t="str">
        <f t="array" ref="X922">INDIRECT("Update"&amp;Projections!$AH$17&amp;"!N"&amp;ROW(B903))</f>
        <v/>
      </c>
      <c r="Y922" s="73" t="str">
        <f t="array" ref="Y922">INDIRECT("Update"&amp;Projections!$AH$17&amp;"!O"&amp;ROW(B903))</f>
        <v/>
      </c>
      <c r="Z922" s="73" t="str">
        <f t="array" ref="Z922">INDIRECT("Update"&amp;Projections!$AH$17&amp;"!P"&amp;ROW(B903))</f>
        <v/>
      </c>
      <c r="AA922" s="73" t="str">
        <f t="array" ref="AA922">INDIRECT("Update"&amp;Projections!$AH$17&amp;"!Q"&amp;ROW(B903))</f>
        <v/>
      </c>
      <c r="AB922" s="107" t="str">
        <f t="array" ref="AB922">INDIRECT("Update"&amp;Projections!$AH$17&amp;"!I"&amp;ROW(B903))</f>
        <v/>
      </c>
      <c r="AC922" s="107" t="str">
        <f t="array" ref="AC922">INDIRECT("Update"&amp;Projections!$AH$17&amp;"!K"&amp;ROW(B903))</f>
        <v/>
      </c>
      <c r="AD922" s="73" t="str">
        <f t="array" ref="AD922">INDIRECT("Update"&amp;Projections!$AH$17&amp;"!R"&amp;ROW(B903))</f>
        <v/>
      </c>
      <c r="AE922" s="73">
        <f t="shared" si="16"/>
        <v>-3.155358621</v>
      </c>
      <c r="AF922" s="73">
        <f t="shared" si="17"/>
        <v>-1.740686581</v>
      </c>
      <c r="AG922" s="73">
        <f t="shared" si="18"/>
        <v>-2.380599106</v>
      </c>
      <c r="AH922" s="73">
        <f t="shared" si="19"/>
        <v>-1.79320266</v>
      </c>
      <c r="AI922" s="73">
        <f t="shared" si="20"/>
        <v>-3.240190514</v>
      </c>
      <c r="AJ922" s="73">
        <f t="shared" si="21"/>
        <v>-1.329092151</v>
      </c>
      <c r="AK922" s="73">
        <f t="shared" si="22"/>
        <v>0</v>
      </c>
      <c r="AL922" s="73">
        <f t="shared" si="23"/>
        <v>0</v>
      </c>
      <c r="AM922" s="73">
        <f t="shared" si="24"/>
        <v>0.433638093</v>
      </c>
      <c r="AN922" s="120">
        <f t="shared" si="25"/>
        <v>-3.240190514</v>
      </c>
      <c r="AO922" s="120">
        <f t="shared" si="26"/>
        <v>-6.395549135</v>
      </c>
      <c r="AP922" s="120" t="str">
        <f t="array" ref="AP922">INDIRECT("Update"&amp;Projections!$AH$17&amp;"!S"&amp;ROW(B903))</f>
        <v/>
      </c>
      <c r="AQ922" s="120" t="str">
        <f t="array" ref="AQ922">INDIRECT("Update"&amp;Projections!$AH$17&amp;"!T"&amp;ROW(B903))</f>
        <v/>
      </c>
      <c r="AR922" s="100">
        <f t="shared" si="27"/>
        <v>-9.965301026</v>
      </c>
    </row>
    <row r="923">
      <c r="A923" t="str">
        <f t="shared" si="3"/>
        <v/>
      </c>
      <c r="B923" s="42">
        <f t="shared" si="4"/>
        <v>-3.155358621</v>
      </c>
      <c r="C923" s="43">
        <f t="shared" si="5"/>
        <v>-1.740686581</v>
      </c>
      <c r="D923" s="42">
        <f t="shared" si="6"/>
        <v>-2.380599106</v>
      </c>
      <c r="E923" s="42">
        <f t="shared" si="7"/>
        <v>-1.79320266</v>
      </c>
      <c r="F923" s="42">
        <f t="shared" si="8"/>
        <v>-3.240190514</v>
      </c>
      <c r="G923" s="42">
        <f t="shared" si="9"/>
        <v>-1.329092151</v>
      </c>
      <c r="H923" s="42">
        <f t="shared" si="10"/>
        <v>0</v>
      </c>
      <c r="I923" s="42" t="str">
        <f>UpdateHashtag!S921</f>
        <v/>
      </c>
      <c r="J923" s="47">
        <f t="shared" si="11"/>
        <v>0</v>
      </c>
      <c r="K923" s="48" t="str">
        <f>UpdateHashtag!T921</f>
        <v/>
      </c>
      <c r="L923" s="42">
        <f t="shared" si="12"/>
        <v>-1.734552372</v>
      </c>
      <c r="N923" s="100">
        <f t="shared" si="13"/>
        <v>401</v>
      </c>
      <c r="O923" s="94" t="str">
        <f t="array" ref="O923">INDIRECT("Update"&amp;Projections!$AH$17&amp;"!B"&amp;ROW(B904))</f>
        <v/>
      </c>
      <c r="P923" s="414" t="str">
        <f t="array" ref="P923">INDIRECT("Update"&amp;Projections!$AH$17&amp;"!C"&amp;ROW(B904))</f>
        <v/>
      </c>
      <c r="Q923" s="94" t="str">
        <f>UpdateHashtag!F953</f>
        <v/>
      </c>
      <c r="R923" s="105" t="str">
        <f t="array" ref="R923">INDIRECT("Update"&amp;Projections!$AH$17&amp;"!D"&amp;ROW(B904))</f>
        <v/>
      </c>
      <c r="S923" s="73">
        <f t="shared" si="14"/>
        <v>-9.965301026</v>
      </c>
      <c r="T923" s="73">
        <f>SUM(AE923:AM923)-IFERROR(IFS(Projections!$I$17,AN923,Projections!$J$17,AO923),"")</f>
        <v>-9.965301026</v>
      </c>
      <c r="U923" s="73">
        <f t="shared" si="15"/>
        <v>0</v>
      </c>
      <c r="V923" s="73" t="str">
        <f t="array" ref="V923">INDIRECT("Update"&amp;Projections!$AH$17&amp;"!M"&amp;ROW(B904))</f>
        <v/>
      </c>
      <c r="W923" s="73" t="str">
        <f t="array" ref="W923">INDIRECT("Update"&amp;Projections!$AH$17&amp;"!L"&amp;ROW(B904))</f>
        <v/>
      </c>
      <c r="X923" s="73" t="str">
        <f t="array" ref="X923">INDIRECT("Update"&amp;Projections!$AH$17&amp;"!N"&amp;ROW(B904))</f>
        <v/>
      </c>
      <c r="Y923" s="73" t="str">
        <f t="array" ref="Y923">INDIRECT("Update"&amp;Projections!$AH$17&amp;"!O"&amp;ROW(B904))</f>
        <v/>
      </c>
      <c r="Z923" s="73" t="str">
        <f t="array" ref="Z923">INDIRECT("Update"&amp;Projections!$AH$17&amp;"!P"&amp;ROW(B904))</f>
        <v/>
      </c>
      <c r="AA923" s="73" t="str">
        <f t="array" ref="AA923">INDIRECT("Update"&amp;Projections!$AH$17&amp;"!Q"&amp;ROW(B904))</f>
        <v/>
      </c>
      <c r="AB923" s="107" t="str">
        <f t="array" ref="AB923">INDIRECT("Update"&amp;Projections!$AH$17&amp;"!I"&amp;ROW(B904))</f>
        <v/>
      </c>
      <c r="AC923" s="107" t="str">
        <f t="array" ref="AC923">INDIRECT("Update"&amp;Projections!$AH$17&amp;"!K"&amp;ROW(B904))</f>
        <v/>
      </c>
      <c r="AD923" s="73" t="str">
        <f t="array" ref="AD923">INDIRECT("Update"&amp;Projections!$AH$17&amp;"!R"&amp;ROW(B904))</f>
        <v/>
      </c>
      <c r="AE923" s="73">
        <f t="shared" si="16"/>
        <v>-3.155358621</v>
      </c>
      <c r="AF923" s="73">
        <f t="shared" si="17"/>
        <v>-1.740686581</v>
      </c>
      <c r="AG923" s="73">
        <f t="shared" si="18"/>
        <v>-2.380599106</v>
      </c>
      <c r="AH923" s="73">
        <f t="shared" si="19"/>
        <v>-1.79320266</v>
      </c>
      <c r="AI923" s="73">
        <f t="shared" si="20"/>
        <v>-3.240190514</v>
      </c>
      <c r="AJ923" s="73">
        <f t="shared" si="21"/>
        <v>-1.329092151</v>
      </c>
      <c r="AK923" s="73">
        <f t="shared" si="22"/>
        <v>0</v>
      </c>
      <c r="AL923" s="73">
        <f t="shared" si="23"/>
        <v>0</v>
      </c>
      <c r="AM923" s="73">
        <f t="shared" si="24"/>
        <v>0.433638093</v>
      </c>
      <c r="AN923" s="120">
        <f t="shared" si="25"/>
        <v>-3.240190514</v>
      </c>
      <c r="AO923" s="120">
        <f t="shared" si="26"/>
        <v>-6.395549135</v>
      </c>
      <c r="AP923" s="120" t="str">
        <f t="array" ref="AP923">INDIRECT("Update"&amp;Projections!$AH$17&amp;"!S"&amp;ROW(B904))</f>
        <v/>
      </c>
      <c r="AQ923" s="120" t="str">
        <f t="array" ref="AQ923">INDIRECT("Update"&amp;Projections!$AH$17&amp;"!T"&amp;ROW(B904))</f>
        <v/>
      </c>
      <c r="AR923" s="100">
        <f t="shared" si="27"/>
        <v>-9.965301026</v>
      </c>
    </row>
    <row r="924">
      <c r="A924" t="str">
        <f t="shared" si="3"/>
        <v/>
      </c>
      <c r="B924" s="42">
        <f t="shared" si="4"/>
        <v>-3.155358621</v>
      </c>
      <c r="C924" s="43">
        <f t="shared" si="5"/>
        <v>-1.740686581</v>
      </c>
      <c r="D924" s="42">
        <f t="shared" si="6"/>
        <v>-2.380599106</v>
      </c>
      <c r="E924" s="42">
        <f t="shared" si="7"/>
        <v>-1.79320266</v>
      </c>
      <c r="F924" s="42">
        <f t="shared" si="8"/>
        <v>-3.240190514</v>
      </c>
      <c r="G924" s="42">
        <f t="shared" si="9"/>
        <v>-1.329092151</v>
      </c>
      <c r="H924" s="42">
        <f t="shared" si="10"/>
        <v>0</v>
      </c>
      <c r="I924" s="42" t="str">
        <f>UpdateHashtag!S922</f>
        <v/>
      </c>
      <c r="J924" s="47">
        <f t="shared" si="11"/>
        <v>0</v>
      </c>
      <c r="K924" s="48" t="str">
        <f>UpdateHashtag!T922</f>
        <v/>
      </c>
      <c r="L924" s="42">
        <f t="shared" si="12"/>
        <v>-1.734552372</v>
      </c>
      <c r="N924" s="100">
        <f t="shared" si="13"/>
        <v>401</v>
      </c>
      <c r="O924" s="94" t="str">
        <f t="array" ref="O924">INDIRECT("Update"&amp;Projections!$AH$17&amp;"!B"&amp;ROW(B905))</f>
        <v/>
      </c>
      <c r="P924" s="414" t="str">
        <f t="array" ref="P924">INDIRECT("Update"&amp;Projections!$AH$17&amp;"!C"&amp;ROW(B905))</f>
        <v/>
      </c>
      <c r="Q924" s="94" t="str">
        <f>UpdateHashtag!F954</f>
        <v/>
      </c>
      <c r="R924" s="105" t="str">
        <f t="array" ref="R924">INDIRECT("Update"&amp;Projections!$AH$17&amp;"!D"&amp;ROW(B905))</f>
        <v/>
      </c>
      <c r="S924" s="73">
        <f t="shared" si="14"/>
        <v>-9.965301026</v>
      </c>
      <c r="T924" s="73">
        <f>SUM(AE924:AM924)-IFERROR(IFS(Projections!$I$17,AN924,Projections!$J$17,AO924),"")</f>
        <v>-9.965301026</v>
      </c>
      <c r="U924" s="73">
        <f t="shared" si="15"/>
        <v>0</v>
      </c>
      <c r="V924" s="73" t="str">
        <f t="array" ref="V924">INDIRECT("Update"&amp;Projections!$AH$17&amp;"!M"&amp;ROW(B905))</f>
        <v/>
      </c>
      <c r="W924" s="73" t="str">
        <f t="array" ref="W924">INDIRECT("Update"&amp;Projections!$AH$17&amp;"!L"&amp;ROW(B905))</f>
        <v/>
      </c>
      <c r="X924" s="73" t="str">
        <f t="array" ref="X924">INDIRECT("Update"&amp;Projections!$AH$17&amp;"!N"&amp;ROW(B905))</f>
        <v/>
      </c>
      <c r="Y924" s="73" t="str">
        <f t="array" ref="Y924">INDIRECT("Update"&amp;Projections!$AH$17&amp;"!O"&amp;ROW(B905))</f>
        <v/>
      </c>
      <c r="Z924" s="73" t="str">
        <f t="array" ref="Z924">INDIRECT("Update"&amp;Projections!$AH$17&amp;"!P"&amp;ROW(B905))</f>
        <v/>
      </c>
      <c r="AA924" s="73" t="str">
        <f t="array" ref="AA924">INDIRECT("Update"&amp;Projections!$AH$17&amp;"!Q"&amp;ROW(B905))</f>
        <v/>
      </c>
      <c r="AB924" s="107" t="str">
        <f t="array" ref="AB924">INDIRECT("Update"&amp;Projections!$AH$17&amp;"!I"&amp;ROW(B905))</f>
        <v/>
      </c>
      <c r="AC924" s="107" t="str">
        <f t="array" ref="AC924">INDIRECT("Update"&amp;Projections!$AH$17&amp;"!K"&amp;ROW(B905))</f>
        <v/>
      </c>
      <c r="AD924" s="73" t="str">
        <f t="array" ref="AD924">INDIRECT("Update"&amp;Projections!$AH$17&amp;"!R"&amp;ROW(B905))</f>
        <v/>
      </c>
      <c r="AE924" s="73">
        <f t="shared" si="16"/>
        <v>-3.155358621</v>
      </c>
      <c r="AF924" s="73">
        <f t="shared" si="17"/>
        <v>-1.740686581</v>
      </c>
      <c r="AG924" s="73">
        <f t="shared" si="18"/>
        <v>-2.380599106</v>
      </c>
      <c r="AH924" s="73">
        <f t="shared" si="19"/>
        <v>-1.79320266</v>
      </c>
      <c r="AI924" s="73">
        <f t="shared" si="20"/>
        <v>-3.240190514</v>
      </c>
      <c r="AJ924" s="73">
        <f t="shared" si="21"/>
        <v>-1.329092151</v>
      </c>
      <c r="AK924" s="73">
        <f t="shared" si="22"/>
        <v>0</v>
      </c>
      <c r="AL924" s="73">
        <f t="shared" si="23"/>
        <v>0</v>
      </c>
      <c r="AM924" s="73">
        <f t="shared" si="24"/>
        <v>0.433638093</v>
      </c>
      <c r="AN924" s="120">
        <f t="shared" si="25"/>
        <v>-3.240190514</v>
      </c>
      <c r="AO924" s="120">
        <f t="shared" si="26"/>
        <v>-6.395549135</v>
      </c>
      <c r="AP924" s="120" t="str">
        <f t="array" ref="AP924">INDIRECT("Update"&amp;Projections!$AH$17&amp;"!S"&amp;ROW(B905))</f>
        <v/>
      </c>
      <c r="AQ924" s="120" t="str">
        <f t="array" ref="AQ924">INDIRECT("Update"&amp;Projections!$AH$17&amp;"!T"&amp;ROW(B905))</f>
        <v/>
      </c>
      <c r="AR924" s="100">
        <f t="shared" si="27"/>
        <v>-9.965301026</v>
      </c>
    </row>
    <row r="925">
      <c r="A925" t="str">
        <f t="shared" si="3"/>
        <v/>
      </c>
      <c r="B925" s="42">
        <f t="shared" si="4"/>
        <v>-3.155358621</v>
      </c>
      <c r="C925" s="43">
        <f t="shared" si="5"/>
        <v>-1.740686581</v>
      </c>
      <c r="D925" s="42">
        <f t="shared" si="6"/>
        <v>-2.380599106</v>
      </c>
      <c r="E925" s="42">
        <f t="shared" si="7"/>
        <v>-1.79320266</v>
      </c>
      <c r="F925" s="42">
        <f t="shared" si="8"/>
        <v>-3.240190514</v>
      </c>
      <c r="G925" s="42">
        <f t="shared" si="9"/>
        <v>-1.329092151</v>
      </c>
      <c r="H925" s="42">
        <f t="shared" si="10"/>
        <v>0</v>
      </c>
      <c r="I925" s="42" t="str">
        <f>UpdateHashtag!S923</f>
        <v/>
      </c>
      <c r="J925" s="47">
        <f t="shared" si="11"/>
        <v>0</v>
      </c>
      <c r="K925" s="48" t="str">
        <f>UpdateHashtag!T923</f>
        <v/>
      </c>
      <c r="L925" s="42">
        <f t="shared" si="12"/>
        <v>-1.734552372</v>
      </c>
      <c r="N925" s="100">
        <f t="shared" si="13"/>
        <v>401</v>
      </c>
      <c r="O925" s="94" t="str">
        <f t="array" ref="O925">INDIRECT("Update"&amp;Projections!$AH$17&amp;"!B"&amp;ROW(B906))</f>
        <v/>
      </c>
      <c r="P925" s="414" t="str">
        <f t="array" ref="P925">INDIRECT("Update"&amp;Projections!$AH$17&amp;"!C"&amp;ROW(B906))</f>
        <v/>
      </c>
      <c r="Q925" s="94" t="str">
        <f>UpdateHashtag!F955</f>
        <v/>
      </c>
      <c r="R925" s="105" t="str">
        <f t="array" ref="R925">INDIRECT("Update"&amp;Projections!$AH$17&amp;"!D"&amp;ROW(B906))</f>
        <v/>
      </c>
      <c r="S925" s="73">
        <f t="shared" si="14"/>
        <v>-9.965301026</v>
      </c>
      <c r="T925" s="73">
        <f>SUM(AE925:AM925)-IFERROR(IFS(Projections!$I$17,AN925,Projections!$J$17,AO925),"")</f>
        <v>-9.965301026</v>
      </c>
      <c r="U925" s="73">
        <f t="shared" si="15"/>
        <v>0</v>
      </c>
      <c r="V925" s="73" t="str">
        <f t="array" ref="V925">INDIRECT("Update"&amp;Projections!$AH$17&amp;"!M"&amp;ROW(B906))</f>
        <v/>
      </c>
      <c r="W925" s="73" t="str">
        <f t="array" ref="W925">INDIRECT("Update"&amp;Projections!$AH$17&amp;"!L"&amp;ROW(B906))</f>
        <v/>
      </c>
      <c r="X925" s="73" t="str">
        <f t="array" ref="X925">INDIRECT("Update"&amp;Projections!$AH$17&amp;"!N"&amp;ROW(B906))</f>
        <v/>
      </c>
      <c r="Y925" s="73" t="str">
        <f t="array" ref="Y925">INDIRECT("Update"&amp;Projections!$AH$17&amp;"!O"&amp;ROW(B906))</f>
        <v/>
      </c>
      <c r="Z925" s="73" t="str">
        <f t="array" ref="Z925">INDIRECT("Update"&amp;Projections!$AH$17&amp;"!P"&amp;ROW(B906))</f>
        <v/>
      </c>
      <c r="AA925" s="73" t="str">
        <f t="array" ref="AA925">INDIRECT("Update"&amp;Projections!$AH$17&amp;"!Q"&amp;ROW(B906))</f>
        <v/>
      </c>
      <c r="AB925" s="107" t="str">
        <f t="array" ref="AB925">INDIRECT("Update"&amp;Projections!$AH$17&amp;"!I"&amp;ROW(B906))</f>
        <v/>
      </c>
      <c r="AC925" s="107" t="str">
        <f t="array" ref="AC925">INDIRECT("Update"&amp;Projections!$AH$17&amp;"!K"&amp;ROW(B906))</f>
        <v/>
      </c>
      <c r="AD925" s="73" t="str">
        <f t="array" ref="AD925">INDIRECT("Update"&amp;Projections!$AH$17&amp;"!R"&amp;ROW(B906))</f>
        <v/>
      </c>
      <c r="AE925" s="73">
        <f t="shared" si="16"/>
        <v>-3.155358621</v>
      </c>
      <c r="AF925" s="73">
        <f t="shared" si="17"/>
        <v>-1.740686581</v>
      </c>
      <c r="AG925" s="73">
        <f t="shared" si="18"/>
        <v>-2.380599106</v>
      </c>
      <c r="AH925" s="73">
        <f t="shared" si="19"/>
        <v>-1.79320266</v>
      </c>
      <c r="AI925" s="73">
        <f t="shared" si="20"/>
        <v>-3.240190514</v>
      </c>
      <c r="AJ925" s="73">
        <f t="shared" si="21"/>
        <v>-1.329092151</v>
      </c>
      <c r="AK925" s="73">
        <f t="shared" si="22"/>
        <v>0</v>
      </c>
      <c r="AL925" s="73">
        <f t="shared" si="23"/>
        <v>0</v>
      </c>
      <c r="AM925" s="73">
        <f t="shared" si="24"/>
        <v>0.433638093</v>
      </c>
      <c r="AN925" s="120">
        <f t="shared" si="25"/>
        <v>-3.240190514</v>
      </c>
      <c r="AO925" s="120">
        <f t="shared" si="26"/>
        <v>-6.395549135</v>
      </c>
      <c r="AP925" s="120" t="str">
        <f t="array" ref="AP925">INDIRECT("Update"&amp;Projections!$AH$17&amp;"!S"&amp;ROW(B906))</f>
        <v/>
      </c>
      <c r="AQ925" s="120" t="str">
        <f t="array" ref="AQ925">INDIRECT("Update"&amp;Projections!$AH$17&amp;"!T"&amp;ROW(B906))</f>
        <v/>
      </c>
      <c r="AR925" s="100">
        <f t="shared" si="27"/>
        <v>-9.965301026</v>
      </c>
    </row>
    <row r="926">
      <c r="A926" t="str">
        <f t="shared" si="3"/>
        <v/>
      </c>
      <c r="B926" s="42">
        <f t="shared" si="4"/>
        <v>-3.155358621</v>
      </c>
      <c r="C926" s="43">
        <f t="shared" si="5"/>
        <v>-1.740686581</v>
      </c>
      <c r="D926" s="42">
        <f t="shared" si="6"/>
        <v>-2.380599106</v>
      </c>
      <c r="E926" s="42">
        <f t="shared" si="7"/>
        <v>-1.79320266</v>
      </c>
      <c r="F926" s="42">
        <f t="shared" si="8"/>
        <v>-3.240190514</v>
      </c>
      <c r="G926" s="42">
        <f t="shared" si="9"/>
        <v>-1.329092151</v>
      </c>
      <c r="H926" s="42">
        <f t="shared" si="10"/>
        <v>0</v>
      </c>
      <c r="I926" s="42" t="str">
        <f>UpdateHashtag!S924</f>
        <v/>
      </c>
      <c r="J926" s="47">
        <f t="shared" si="11"/>
        <v>0</v>
      </c>
      <c r="K926" s="48" t="str">
        <f>UpdateHashtag!T924</f>
        <v/>
      </c>
      <c r="L926" s="42">
        <f t="shared" si="12"/>
        <v>-1.734552372</v>
      </c>
      <c r="N926" s="100">
        <f t="shared" si="13"/>
        <v>401</v>
      </c>
      <c r="O926" s="94" t="str">
        <f t="array" ref="O926">INDIRECT("Update"&amp;Projections!$AH$17&amp;"!B"&amp;ROW(B907))</f>
        <v/>
      </c>
      <c r="P926" s="414" t="str">
        <f t="array" ref="P926">INDIRECT("Update"&amp;Projections!$AH$17&amp;"!C"&amp;ROW(B907))</f>
        <v/>
      </c>
      <c r="Q926" s="94" t="str">
        <f>UpdateHashtag!F956</f>
        <v/>
      </c>
      <c r="R926" s="105" t="str">
        <f t="array" ref="R926">INDIRECT("Update"&amp;Projections!$AH$17&amp;"!D"&amp;ROW(B907))</f>
        <v/>
      </c>
      <c r="S926" s="73">
        <f t="shared" si="14"/>
        <v>-9.965301026</v>
      </c>
      <c r="T926" s="73">
        <f>SUM(AE926:AM926)-IFERROR(IFS(Projections!$I$17,AN926,Projections!$J$17,AO926),"")</f>
        <v>-9.965301026</v>
      </c>
      <c r="U926" s="73">
        <f t="shared" si="15"/>
        <v>0</v>
      </c>
      <c r="V926" s="73" t="str">
        <f t="array" ref="V926">INDIRECT("Update"&amp;Projections!$AH$17&amp;"!M"&amp;ROW(B907))</f>
        <v/>
      </c>
      <c r="W926" s="73" t="str">
        <f t="array" ref="W926">INDIRECT("Update"&amp;Projections!$AH$17&amp;"!L"&amp;ROW(B907))</f>
        <v/>
      </c>
      <c r="X926" s="73" t="str">
        <f t="array" ref="X926">INDIRECT("Update"&amp;Projections!$AH$17&amp;"!N"&amp;ROW(B907))</f>
        <v/>
      </c>
      <c r="Y926" s="73" t="str">
        <f t="array" ref="Y926">INDIRECT("Update"&amp;Projections!$AH$17&amp;"!O"&amp;ROW(B907))</f>
        <v/>
      </c>
      <c r="Z926" s="73" t="str">
        <f t="array" ref="Z926">INDIRECT("Update"&amp;Projections!$AH$17&amp;"!P"&amp;ROW(B907))</f>
        <v/>
      </c>
      <c r="AA926" s="73" t="str">
        <f t="array" ref="AA926">INDIRECT("Update"&amp;Projections!$AH$17&amp;"!Q"&amp;ROW(B907))</f>
        <v/>
      </c>
      <c r="AB926" s="107" t="str">
        <f t="array" ref="AB926">INDIRECT("Update"&amp;Projections!$AH$17&amp;"!I"&amp;ROW(B907))</f>
        <v/>
      </c>
      <c r="AC926" s="107" t="str">
        <f t="array" ref="AC926">INDIRECT("Update"&amp;Projections!$AH$17&amp;"!K"&amp;ROW(B907))</f>
        <v/>
      </c>
      <c r="AD926" s="73" t="str">
        <f t="array" ref="AD926">INDIRECT("Update"&amp;Projections!$AH$17&amp;"!R"&amp;ROW(B907))</f>
        <v/>
      </c>
      <c r="AE926" s="73">
        <f t="shared" si="16"/>
        <v>-3.155358621</v>
      </c>
      <c r="AF926" s="73">
        <f t="shared" si="17"/>
        <v>-1.740686581</v>
      </c>
      <c r="AG926" s="73">
        <f t="shared" si="18"/>
        <v>-2.380599106</v>
      </c>
      <c r="AH926" s="73">
        <f t="shared" si="19"/>
        <v>-1.79320266</v>
      </c>
      <c r="AI926" s="73">
        <f t="shared" si="20"/>
        <v>-3.240190514</v>
      </c>
      <c r="AJ926" s="73">
        <f t="shared" si="21"/>
        <v>-1.329092151</v>
      </c>
      <c r="AK926" s="73">
        <f t="shared" si="22"/>
        <v>0</v>
      </c>
      <c r="AL926" s="73">
        <f t="shared" si="23"/>
        <v>0</v>
      </c>
      <c r="AM926" s="73">
        <f t="shared" si="24"/>
        <v>0.433638093</v>
      </c>
      <c r="AN926" s="120">
        <f t="shared" si="25"/>
        <v>-3.240190514</v>
      </c>
      <c r="AO926" s="120">
        <f t="shared" si="26"/>
        <v>-6.395549135</v>
      </c>
      <c r="AP926" s="120" t="str">
        <f t="array" ref="AP926">INDIRECT("Update"&amp;Projections!$AH$17&amp;"!S"&amp;ROW(B907))</f>
        <v/>
      </c>
      <c r="AQ926" s="120" t="str">
        <f t="array" ref="AQ926">INDIRECT("Update"&amp;Projections!$AH$17&amp;"!T"&amp;ROW(B907))</f>
        <v/>
      </c>
      <c r="AR926" s="100">
        <f t="shared" si="27"/>
        <v>-9.965301026</v>
      </c>
    </row>
    <row r="927">
      <c r="A927" t="str">
        <f t="shared" si="3"/>
        <v/>
      </c>
      <c r="B927" s="42">
        <f t="shared" si="4"/>
        <v>-3.155358621</v>
      </c>
      <c r="C927" s="43">
        <f t="shared" si="5"/>
        <v>-1.740686581</v>
      </c>
      <c r="D927" s="42">
        <f t="shared" si="6"/>
        <v>-2.380599106</v>
      </c>
      <c r="E927" s="42">
        <f t="shared" si="7"/>
        <v>-1.79320266</v>
      </c>
      <c r="F927" s="42">
        <f t="shared" si="8"/>
        <v>-3.240190514</v>
      </c>
      <c r="G927" s="42">
        <f t="shared" si="9"/>
        <v>-1.329092151</v>
      </c>
      <c r="H927" s="42">
        <f t="shared" si="10"/>
        <v>0</v>
      </c>
      <c r="I927" s="42" t="str">
        <f>UpdateHashtag!S925</f>
        <v/>
      </c>
      <c r="J927" s="47">
        <f t="shared" si="11"/>
        <v>0</v>
      </c>
      <c r="K927" s="48" t="str">
        <f>UpdateHashtag!T925</f>
        <v/>
      </c>
      <c r="L927" s="42">
        <f t="shared" si="12"/>
        <v>-1.734552372</v>
      </c>
      <c r="N927" s="100">
        <f t="shared" si="13"/>
        <v>401</v>
      </c>
      <c r="O927" s="94" t="str">
        <f t="array" ref="O927">INDIRECT("Update"&amp;Projections!$AH$17&amp;"!B"&amp;ROW(B908))</f>
        <v/>
      </c>
      <c r="P927" s="414" t="str">
        <f t="array" ref="P927">INDIRECT("Update"&amp;Projections!$AH$17&amp;"!C"&amp;ROW(B908))</f>
        <v/>
      </c>
      <c r="Q927" s="94" t="str">
        <f>UpdateHashtag!F957</f>
        <v/>
      </c>
      <c r="R927" s="105" t="str">
        <f t="array" ref="R927">INDIRECT("Update"&amp;Projections!$AH$17&amp;"!D"&amp;ROW(B908))</f>
        <v/>
      </c>
      <c r="S927" s="73">
        <f t="shared" si="14"/>
        <v>-9.965301026</v>
      </c>
      <c r="T927" s="73">
        <f>SUM(AE927:AM927)-IFERROR(IFS(Projections!$I$17,AN927,Projections!$J$17,AO927),"")</f>
        <v>-9.965301026</v>
      </c>
      <c r="U927" s="73">
        <f t="shared" si="15"/>
        <v>0</v>
      </c>
      <c r="V927" s="73" t="str">
        <f t="array" ref="V927">INDIRECT("Update"&amp;Projections!$AH$17&amp;"!M"&amp;ROW(B908))</f>
        <v/>
      </c>
      <c r="W927" s="73" t="str">
        <f t="array" ref="W927">INDIRECT("Update"&amp;Projections!$AH$17&amp;"!L"&amp;ROW(B908))</f>
        <v/>
      </c>
      <c r="X927" s="73" t="str">
        <f t="array" ref="X927">INDIRECT("Update"&amp;Projections!$AH$17&amp;"!N"&amp;ROW(B908))</f>
        <v/>
      </c>
      <c r="Y927" s="73" t="str">
        <f t="array" ref="Y927">INDIRECT("Update"&amp;Projections!$AH$17&amp;"!O"&amp;ROW(B908))</f>
        <v/>
      </c>
      <c r="Z927" s="73" t="str">
        <f t="array" ref="Z927">INDIRECT("Update"&amp;Projections!$AH$17&amp;"!P"&amp;ROW(B908))</f>
        <v/>
      </c>
      <c r="AA927" s="73" t="str">
        <f t="array" ref="AA927">INDIRECT("Update"&amp;Projections!$AH$17&amp;"!Q"&amp;ROW(B908))</f>
        <v/>
      </c>
      <c r="AB927" s="107" t="str">
        <f t="array" ref="AB927">INDIRECT("Update"&amp;Projections!$AH$17&amp;"!I"&amp;ROW(B908))</f>
        <v/>
      </c>
      <c r="AC927" s="107" t="str">
        <f t="array" ref="AC927">INDIRECT("Update"&amp;Projections!$AH$17&amp;"!K"&amp;ROW(B908))</f>
        <v/>
      </c>
      <c r="AD927" s="73" t="str">
        <f t="array" ref="AD927">INDIRECT("Update"&amp;Projections!$AH$17&amp;"!R"&amp;ROW(B908))</f>
        <v/>
      </c>
      <c r="AE927" s="73">
        <f t="shared" si="16"/>
        <v>-3.155358621</v>
      </c>
      <c r="AF927" s="73">
        <f t="shared" si="17"/>
        <v>-1.740686581</v>
      </c>
      <c r="AG927" s="73">
        <f t="shared" si="18"/>
        <v>-2.380599106</v>
      </c>
      <c r="AH927" s="73">
        <f t="shared" si="19"/>
        <v>-1.79320266</v>
      </c>
      <c r="AI927" s="73">
        <f t="shared" si="20"/>
        <v>-3.240190514</v>
      </c>
      <c r="AJ927" s="73">
        <f t="shared" si="21"/>
        <v>-1.329092151</v>
      </c>
      <c r="AK927" s="73">
        <f t="shared" si="22"/>
        <v>0</v>
      </c>
      <c r="AL927" s="73">
        <f t="shared" si="23"/>
        <v>0</v>
      </c>
      <c r="AM927" s="73">
        <f t="shared" si="24"/>
        <v>0.433638093</v>
      </c>
      <c r="AN927" s="120">
        <f t="shared" si="25"/>
        <v>-3.240190514</v>
      </c>
      <c r="AO927" s="120">
        <f t="shared" si="26"/>
        <v>-6.395549135</v>
      </c>
      <c r="AP927" s="120" t="str">
        <f t="array" ref="AP927">INDIRECT("Update"&amp;Projections!$AH$17&amp;"!S"&amp;ROW(B908))</f>
        <v/>
      </c>
      <c r="AQ927" s="120" t="str">
        <f t="array" ref="AQ927">INDIRECT("Update"&amp;Projections!$AH$17&amp;"!T"&amp;ROW(B908))</f>
        <v/>
      </c>
      <c r="AR927" s="100">
        <f t="shared" si="27"/>
        <v>-9.965301026</v>
      </c>
    </row>
    <row r="928">
      <c r="A928" t="str">
        <f t="shared" si="3"/>
        <v/>
      </c>
      <c r="B928" s="42">
        <f t="shared" si="4"/>
        <v>-3.155358621</v>
      </c>
      <c r="C928" s="43">
        <f t="shared" si="5"/>
        <v>-1.740686581</v>
      </c>
      <c r="D928" s="42">
        <f t="shared" si="6"/>
        <v>-2.380599106</v>
      </c>
      <c r="E928" s="42">
        <f t="shared" si="7"/>
        <v>-1.79320266</v>
      </c>
      <c r="F928" s="42">
        <f t="shared" si="8"/>
        <v>-3.240190514</v>
      </c>
      <c r="G928" s="42">
        <f t="shared" si="9"/>
        <v>-1.329092151</v>
      </c>
      <c r="H928" s="42">
        <f t="shared" si="10"/>
        <v>0</v>
      </c>
      <c r="I928" s="42" t="str">
        <f>UpdateHashtag!S926</f>
        <v/>
      </c>
      <c r="J928" s="47">
        <f t="shared" si="11"/>
        <v>0</v>
      </c>
      <c r="K928" s="48" t="str">
        <f>UpdateHashtag!T926</f>
        <v/>
      </c>
      <c r="L928" s="42">
        <f t="shared" si="12"/>
        <v>-1.734552372</v>
      </c>
      <c r="N928" s="100">
        <f t="shared" si="13"/>
        <v>401</v>
      </c>
      <c r="O928" s="94" t="str">
        <f t="array" ref="O928">INDIRECT("Update"&amp;Projections!$AH$17&amp;"!B"&amp;ROW(B909))</f>
        <v/>
      </c>
      <c r="P928" s="414" t="str">
        <f t="array" ref="P928">INDIRECT("Update"&amp;Projections!$AH$17&amp;"!C"&amp;ROW(B909))</f>
        <v/>
      </c>
      <c r="Q928" s="94" t="str">
        <f>UpdateHashtag!F958</f>
        <v/>
      </c>
      <c r="R928" s="105" t="str">
        <f t="array" ref="R928">INDIRECT("Update"&amp;Projections!$AH$17&amp;"!D"&amp;ROW(B909))</f>
        <v/>
      </c>
      <c r="S928" s="73">
        <f t="shared" si="14"/>
        <v>-9.965301026</v>
      </c>
      <c r="T928" s="73">
        <f>SUM(AE928:AM928)-IFERROR(IFS(Projections!$I$17,AN928,Projections!$J$17,AO928),"")</f>
        <v>-9.965301026</v>
      </c>
      <c r="U928" s="73">
        <f t="shared" si="15"/>
        <v>0</v>
      </c>
      <c r="V928" s="73" t="str">
        <f t="array" ref="V928">INDIRECT("Update"&amp;Projections!$AH$17&amp;"!M"&amp;ROW(B909))</f>
        <v/>
      </c>
      <c r="W928" s="73" t="str">
        <f t="array" ref="W928">INDIRECT("Update"&amp;Projections!$AH$17&amp;"!L"&amp;ROW(B909))</f>
        <v/>
      </c>
      <c r="X928" s="73" t="str">
        <f t="array" ref="X928">INDIRECT("Update"&amp;Projections!$AH$17&amp;"!N"&amp;ROW(B909))</f>
        <v/>
      </c>
      <c r="Y928" s="73" t="str">
        <f t="array" ref="Y928">INDIRECT("Update"&amp;Projections!$AH$17&amp;"!O"&amp;ROW(B909))</f>
        <v/>
      </c>
      <c r="Z928" s="73" t="str">
        <f t="array" ref="Z928">INDIRECT("Update"&amp;Projections!$AH$17&amp;"!P"&amp;ROW(B909))</f>
        <v/>
      </c>
      <c r="AA928" s="73" t="str">
        <f t="array" ref="AA928">INDIRECT("Update"&amp;Projections!$AH$17&amp;"!Q"&amp;ROW(B909))</f>
        <v/>
      </c>
      <c r="AB928" s="107" t="str">
        <f t="array" ref="AB928">INDIRECT("Update"&amp;Projections!$AH$17&amp;"!I"&amp;ROW(B909))</f>
        <v/>
      </c>
      <c r="AC928" s="107" t="str">
        <f t="array" ref="AC928">INDIRECT("Update"&amp;Projections!$AH$17&amp;"!K"&amp;ROW(B909))</f>
        <v/>
      </c>
      <c r="AD928" s="73" t="str">
        <f t="array" ref="AD928">INDIRECT("Update"&amp;Projections!$AH$17&amp;"!R"&amp;ROW(B909))</f>
        <v/>
      </c>
      <c r="AE928" s="73">
        <f t="shared" si="16"/>
        <v>-3.155358621</v>
      </c>
      <c r="AF928" s="73">
        <f t="shared" si="17"/>
        <v>-1.740686581</v>
      </c>
      <c r="AG928" s="73">
        <f t="shared" si="18"/>
        <v>-2.380599106</v>
      </c>
      <c r="AH928" s="73">
        <f t="shared" si="19"/>
        <v>-1.79320266</v>
      </c>
      <c r="AI928" s="73">
        <f t="shared" si="20"/>
        <v>-3.240190514</v>
      </c>
      <c r="AJ928" s="73">
        <f t="shared" si="21"/>
        <v>-1.329092151</v>
      </c>
      <c r="AK928" s="73">
        <f t="shared" si="22"/>
        <v>0</v>
      </c>
      <c r="AL928" s="73">
        <f t="shared" si="23"/>
        <v>0</v>
      </c>
      <c r="AM928" s="73">
        <f t="shared" si="24"/>
        <v>0.433638093</v>
      </c>
      <c r="AN928" s="120">
        <f t="shared" si="25"/>
        <v>-3.240190514</v>
      </c>
      <c r="AO928" s="120">
        <f t="shared" si="26"/>
        <v>-6.395549135</v>
      </c>
      <c r="AP928" s="120" t="str">
        <f t="array" ref="AP928">INDIRECT("Update"&amp;Projections!$AH$17&amp;"!S"&amp;ROW(B909))</f>
        <v/>
      </c>
      <c r="AQ928" s="120" t="str">
        <f t="array" ref="AQ928">INDIRECT("Update"&amp;Projections!$AH$17&amp;"!T"&amp;ROW(B909))</f>
        <v/>
      </c>
      <c r="AR928" s="100">
        <f t="shared" si="27"/>
        <v>-9.965301026</v>
      </c>
    </row>
    <row r="929">
      <c r="A929" t="str">
        <f t="shared" si="3"/>
        <v/>
      </c>
      <c r="B929" s="42">
        <f t="shared" si="4"/>
        <v>-3.155358621</v>
      </c>
      <c r="C929" s="43">
        <f t="shared" si="5"/>
        <v>-1.740686581</v>
      </c>
      <c r="D929" s="42">
        <f t="shared" si="6"/>
        <v>-2.380599106</v>
      </c>
      <c r="E929" s="42">
        <f t="shared" si="7"/>
        <v>-1.79320266</v>
      </c>
      <c r="F929" s="42">
        <f t="shared" si="8"/>
        <v>-3.240190514</v>
      </c>
      <c r="G929" s="42">
        <f t="shared" si="9"/>
        <v>-1.329092151</v>
      </c>
      <c r="H929" s="42">
        <f t="shared" si="10"/>
        <v>0</v>
      </c>
      <c r="I929" s="42" t="str">
        <f>UpdateHashtag!S927</f>
        <v/>
      </c>
      <c r="J929" s="47">
        <f t="shared" si="11"/>
        <v>0</v>
      </c>
      <c r="K929" s="48" t="str">
        <f>UpdateHashtag!T927</f>
        <v/>
      </c>
      <c r="L929" s="42">
        <f t="shared" si="12"/>
        <v>-1.734552372</v>
      </c>
      <c r="N929" s="100">
        <f t="shared" si="13"/>
        <v>401</v>
      </c>
      <c r="O929" s="94" t="str">
        <f t="array" ref="O929">INDIRECT("Update"&amp;Projections!$AH$17&amp;"!B"&amp;ROW(B910))</f>
        <v/>
      </c>
      <c r="P929" s="414" t="str">
        <f t="array" ref="P929">INDIRECT("Update"&amp;Projections!$AH$17&amp;"!C"&amp;ROW(B910))</f>
        <v/>
      </c>
      <c r="Q929" s="94" t="str">
        <f>UpdateHashtag!F959</f>
        <v/>
      </c>
      <c r="R929" s="105" t="str">
        <f t="array" ref="R929">INDIRECT("Update"&amp;Projections!$AH$17&amp;"!D"&amp;ROW(B910))</f>
        <v/>
      </c>
      <c r="S929" s="73">
        <f t="shared" si="14"/>
        <v>-9.965301026</v>
      </c>
      <c r="T929" s="73">
        <f>SUM(AE929:AM929)-IFERROR(IFS(Projections!$I$17,AN929,Projections!$J$17,AO929),"")</f>
        <v>-9.965301026</v>
      </c>
      <c r="U929" s="73">
        <f t="shared" si="15"/>
        <v>0</v>
      </c>
      <c r="V929" s="73" t="str">
        <f t="array" ref="V929">INDIRECT("Update"&amp;Projections!$AH$17&amp;"!M"&amp;ROW(B910))</f>
        <v/>
      </c>
      <c r="W929" s="73" t="str">
        <f t="array" ref="W929">INDIRECT("Update"&amp;Projections!$AH$17&amp;"!L"&amp;ROW(B910))</f>
        <v/>
      </c>
      <c r="X929" s="73" t="str">
        <f t="array" ref="X929">INDIRECT("Update"&amp;Projections!$AH$17&amp;"!N"&amp;ROW(B910))</f>
        <v/>
      </c>
      <c r="Y929" s="73" t="str">
        <f t="array" ref="Y929">INDIRECT("Update"&amp;Projections!$AH$17&amp;"!O"&amp;ROW(B910))</f>
        <v/>
      </c>
      <c r="Z929" s="73" t="str">
        <f t="array" ref="Z929">INDIRECT("Update"&amp;Projections!$AH$17&amp;"!P"&amp;ROW(B910))</f>
        <v/>
      </c>
      <c r="AA929" s="73" t="str">
        <f t="array" ref="AA929">INDIRECT("Update"&amp;Projections!$AH$17&amp;"!Q"&amp;ROW(B910))</f>
        <v/>
      </c>
      <c r="AB929" s="107" t="str">
        <f t="array" ref="AB929">INDIRECT("Update"&amp;Projections!$AH$17&amp;"!I"&amp;ROW(B910))</f>
        <v/>
      </c>
      <c r="AC929" s="107" t="str">
        <f t="array" ref="AC929">INDIRECT("Update"&amp;Projections!$AH$17&amp;"!K"&amp;ROW(B910))</f>
        <v/>
      </c>
      <c r="AD929" s="73" t="str">
        <f t="array" ref="AD929">INDIRECT("Update"&amp;Projections!$AH$17&amp;"!R"&amp;ROW(B910))</f>
        <v/>
      </c>
      <c r="AE929" s="73">
        <f t="shared" si="16"/>
        <v>-3.155358621</v>
      </c>
      <c r="AF929" s="73">
        <f t="shared" si="17"/>
        <v>-1.740686581</v>
      </c>
      <c r="AG929" s="73">
        <f t="shared" si="18"/>
        <v>-2.380599106</v>
      </c>
      <c r="AH929" s="73">
        <f t="shared" si="19"/>
        <v>-1.79320266</v>
      </c>
      <c r="AI929" s="73">
        <f t="shared" si="20"/>
        <v>-3.240190514</v>
      </c>
      <c r="AJ929" s="73">
        <f t="shared" si="21"/>
        <v>-1.329092151</v>
      </c>
      <c r="AK929" s="73">
        <f t="shared" si="22"/>
        <v>0</v>
      </c>
      <c r="AL929" s="73">
        <f t="shared" si="23"/>
        <v>0</v>
      </c>
      <c r="AM929" s="73">
        <f t="shared" si="24"/>
        <v>0.433638093</v>
      </c>
      <c r="AN929" s="120">
        <f t="shared" si="25"/>
        <v>-3.240190514</v>
      </c>
      <c r="AO929" s="120">
        <f t="shared" si="26"/>
        <v>-6.395549135</v>
      </c>
      <c r="AP929" s="120" t="str">
        <f t="array" ref="AP929">INDIRECT("Update"&amp;Projections!$AH$17&amp;"!S"&amp;ROW(B910))</f>
        <v/>
      </c>
      <c r="AQ929" s="120" t="str">
        <f t="array" ref="AQ929">INDIRECT("Update"&amp;Projections!$AH$17&amp;"!T"&amp;ROW(B910))</f>
        <v/>
      </c>
      <c r="AR929" s="100">
        <f t="shared" si="27"/>
        <v>-9.965301026</v>
      </c>
    </row>
    <row r="930">
      <c r="A930" t="str">
        <f t="shared" si="3"/>
        <v/>
      </c>
      <c r="B930" s="42">
        <f t="shared" si="4"/>
        <v>-3.155358621</v>
      </c>
      <c r="C930" s="43">
        <f t="shared" si="5"/>
        <v>-1.740686581</v>
      </c>
      <c r="D930" s="42">
        <f t="shared" si="6"/>
        <v>-2.380599106</v>
      </c>
      <c r="E930" s="42">
        <f t="shared" si="7"/>
        <v>-1.79320266</v>
      </c>
      <c r="F930" s="42">
        <f t="shared" si="8"/>
        <v>-3.240190514</v>
      </c>
      <c r="G930" s="42">
        <f t="shared" si="9"/>
        <v>-1.329092151</v>
      </c>
      <c r="H930" s="42">
        <f t="shared" si="10"/>
        <v>0</v>
      </c>
      <c r="I930" s="42" t="str">
        <f>UpdateHashtag!S928</f>
        <v/>
      </c>
      <c r="J930" s="47">
        <f t="shared" si="11"/>
        <v>0</v>
      </c>
      <c r="K930" s="48" t="str">
        <f>UpdateHashtag!T928</f>
        <v/>
      </c>
      <c r="L930" s="42">
        <f t="shared" si="12"/>
        <v>-1.734552372</v>
      </c>
      <c r="N930" s="100">
        <f t="shared" si="13"/>
        <v>401</v>
      </c>
      <c r="O930" s="94" t="str">
        <f t="array" ref="O930">INDIRECT("Update"&amp;Projections!$AH$17&amp;"!B"&amp;ROW(B911))</f>
        <v/>
      </c>
      <c r="P930" s="414" t="str">
        <f t="array" ref="P930">INDIRECT("Update"&amp;Projections!$AH$17&amp;"!C"&amp;ROW(B911))</f>
        <v/>
      </c>
      <c r="Q930" s="94" t="str">
        <f>UpdateHashtag!F960</f>
        <v/>
      </c>
      <c r="R930" s="105" t="str">
        <f t="array" ref="R930">INDIRECT("Update"&amp;Projections!$AH$17&amp;"!D"&amp;ROW(B911))</f>
        <v/>
      </c>
      <c r="S930" s="73">
        <f t="shared" si="14"/>
        <v>-9.965301026</v>
      </c>
      <c r="T930" s="73">
        <f>SUM(AE930:AM930)-IFERROR(IFS(Projections!$I$17,AN930,Projections!$J$17,AO930),"")</f>
        <v>-9.965301026</v>
      </c>
      <c r="U930" s="73">
        <f t="shared" si="15"/>
        <v>0</v>
      </c>
      <c r="V930" s="73" t="str">
        <f t="array" ref="V930">INDIRECT("Update"&amp;Projections!$AH$17&amp;"!M"&amp;ROW(B911))</f>
        <v/>
      </c>
      <c r="W930" s="73" t="str">
        <f t="array" ref="W930">INDIRECT("Update"&amp;Projections!$AH$17&amp;"!L"&amp;ROW(B911))</f>
        <v/>
      </c>
      <c r="X930" s="73" t="str">
        <f t="array" ref="X930">INDIRECT("Update"&amp;Projections!$AH$17&amp;"!N"&amp;ROW(B911))</f>
        <v/>
      </c>
      <c r="Y930" s="73" t="str">
        <f t="array" ref="Y930">INDIRECT("Update"&amp;Projections!$AH$17&amp;"!O"&amp;ROW(B911))</f>
        <v/>
      </c>
      <c r="Z930" s="73" t="str">
        <f t="array" ref="Z930">INDIRECT("Update"&amp;Projections!$AH$17&amp;"!P"&amp;ROW(B911))</f>
        <v/>
      </c>
      <c r="AA930" s="73" t="str">
        <f t="array" ref="AA930">INDIRECT("Update"&amp;Projections!$AH$17&amp;"!Q"&amp;ROW(B911))</f>
        <v/>
      </c>
      <c r="AB930" s="107" t="str">
        <f t="array" ref="AB930">INDIRECT("Update"&amp;Projections!$AH$17&amp;"!I"&amp;ROW(B911))</f>
        <v/>
      </c>
      <c r="AC930" s="107" t="str">
        <f t="array" ref="AC930">INDIRECT("Update"&amp;Projections!$AH$17&amp;"!K"&amp;ROW(B911))</f>
        <v/>
      </c>
      <c r="AD930" s="73" t="str">
        <f t="array" ref="AD930">INDIRECT("Update"&amp;Projections!$AH$17&amp;"!R"&amp;ROW(B911))</f>
        <v/>
      </c>
      <c r="AE930" s="73">
        <f t="shared" si="16"/>
        <v>-3.155358621</v>
      </c>
      <c r="AF930" s="73">
        <f t="shared" si="17"/>
        <v>-1.740686581</v>
      </c>
      <c r="AG930" s="73">
        <f t="shared" si="18"/>
        <v>-2.380599106</v>
      </c>
      <c r="AH930" s="73">
        <f t="shared" si="19"/>
        <v>-1.79320266</v>
      </c>
      <c r="AI930" s="73">
        <f t="shared" si="20"/>
        <v>-3.240190514</v>
      </c>
      <c r="AJ930" s="73">
        <f t="shared" si="21"/>
        <v>-1.329092151</v>
      </c>
      <c r="AK930" s="73">
        <f t="shared" si="22"/>
        <v>0</v>
      </c>
      <c r="AL930" s="73">
        <f t="shared" si="23"/>
        <v>0</v>
      </c>
      <c r="AM930" s="73">
        <f t="shared" si="24"/>
        <v>0.433638093</v>
      </c>
      <c r="AN930" s="120">
        <f t="shared" si="25"/>
        <v>-3.240190514</v>
      </c>
      <c r="AO930" s="120">
        <f t="shared" si="26"/>
        <v>-6.395549135</v>
      </c>
      <c r="AP930" s="120" t="str">
        <f t="array" ref="AP930">INDIRECT("Update"&amp;Projections!$AH$17&amp;"!S"&amp;ROW(B911))</f>
        <v/>
      </c>
      <c r="AQ930" s="120" t="str">
        <f t="array" ref="AQ930">INDIRECT("Update"&amp;Projections!$AH$17&amp;"!T"&amp;ROW(B911))</f>
        <v/>
      </c>
      <c r="AR930" s="100">
        <f t="shared" si="27"/>
        <v>-9.965301026</v>
      </c>
    </row>
    <row r="931">
      <c r="A931" t="str">
        <f t="shared" si="3"/>
        <v/>
      </c>
      <c r="B931" s="42">
        <f t="shared" si="4"/>
        <v>-3.155358621</v>
      </c>
      <c r="C931" s="43">
        <f t="shared" si="5"/>
        <v>-1.740686581</v>
      </c>
      <c r="D931" s="42">
        <f t="shared" si="6"/>
        <v>-2.380599106</v>
      </c>
      <c r="E931" s="42">
        <f t="shared" si="7"/>
        <v>-1.79320266</v>
      </c>
      <c r="F931" s="42">
        <f t="shared" si="8"/>
        <v>-3.240190514</v>
      </c>
      <c r="G931" s="42">
        <f t="shared" si="9"/>
        <v>-1.329092151</v>
      </c>
      <c r="H931" s="42">
        <f t="shared" si="10"/>
        <v>0</v>
      </c>
      <c r="I931" s="42" t="str">
        <f>UpdateHashtag!S929</f>
        <v/>
      </c>
      <c r="J931" s="47">
        <f t="shared" si="11"/>
        <v>0</v>
      </c>
      <c r="K931" s="48" t="str">
        <f>UpdateHashtag!T929</f>
        <v/>
      </c>
      <c r="L931" s="42">
        <f t="shared" si="12"/>
        <v>-1.734552372</v>
      </c>
      <c r="N931" s="100">
        <f t="shared" si="13"/>
        <v>401</v>
      </c>
      <c r="O931" s="94" t="str">
        <f t="array" ref="O931">INDIRECT("Update"&amp;Projections!$AH$17&amp;"!B"&amp;ROW(B912))</f>
        <v/>
      </c>
      <c r="P931" s="414" t="str">
        <f t="array" ref="P931">INDIRECT("Update"&amp;Projections!$AH$17&amp;"!C"&amp;ROW(B912))</f>
        <v/>
      </c>
      <c r="Q931" s="94" t="str">
        <f>UpdateHashtag!F961</f>
        <v/>
      </c>
      <c r="R931" s="105" t="str">
        <f t="array" ref="R931">INDIRECT("Update"&amp;Projections!$AH$17&amp;"!D"&amp;ROW(B912))</f>
        <v/>
      </c>
      <c r="S931" s="73">
        <f t="shared" si="14"/>
        <v>-9.965301026</v>
      </c>
      <c r="T931" s="73">
        <f>SUM(AE931:AM931)-IFERROR(IFS(Projections!$I$17,AN931,Projections!$J$17,AO931),"")</f>
        <v>-9.965301026</v>
      </c>
      <c r="U931" s="73">
        <f t="shared" si="15"/>
        <v>0</v>
      </c>
      <c r="V931" s="73" t="str">
        <f t="array" ref="V931">INDIRECT("Update"&amp;Projections!$AH$17&amp;"!M"&amp;ROW(B912))</f>
        <v/>
      </c>
      <c r="W931" s="73" t="str">
        <f t="array" ref="W931">INDIRECT("Update"&amp;Projections!$AH$17&amp;"!L"&amp;ROW(B912))</f>
        <v/>
      </c>
      <c r="X931" s="73" t="str">
        <f t="array" ref="X931">INDIRECT("Update"&amp;Projections!$AH$17&amp;"!N"&amp;ROW(B912))</f>
        <v/>
      </c>
      <c r="Y931" s="73" t="str">
        <f t="array" ref="Y931">INDIRECT("Update"&amp;Projections!$AH$17&amp;"!O"&amp;ROW(B912))</f>
        <v/>
      </c>
      <c r="Z931" s="73" t="str">
        <f t="array" ref="Z931">INDIRECT("Update"&amp;Projections!$AH$17&amp;"!P"&amp;ROW(B912))</f>
        <v/>
      </c>
      <c r="AA931" s="73" t="str">
        <f t="array" ref="AA931">INDIRECT("Update"&amp;Projections!$AH$17&amp;"!Q"&amp;ROW(B912))</f>
        <v/>
      </c>
      <c r="AB931" s="107" t="str">
        <f t="array" ref="AB931">INDIRECT("Update"&amp;Projections!$AH$17&amp;"!I"&amp;ROW(B912))</f>
        <v/>
      </c>
      <c r="AC931" s="107" t="str">
        <f t="array" ref="AC931">INDIRECT("Update"&amp;Projections!$AH$17&amp;"!K"&amp;ROW(B912))</f>
        <v/>
      </c>
      <c r="AD931" s="73" t="str">
        <f t="array" ref="AD931">INDIRECT("Update"&amp;Projections!$AH$17&amp;"!R"&amp;ROW(B912))</f>
        <v/>
      </c>
      <c r="AE931" s="73">
        <f t="shared" si="16"/>
        <v>-3.155358621</v>
      </c>
      <c r="AF931" s="73">
        <f t="shared" si="17"/>
        <v>-1.740686581</v>
      </c>
      <c r="AG931" s="73">
        <f t="shared" si="18"/>
        <v>-2.380599106</v>
      </c>
      <c r="AH931" s="73">
        <f t="shared" si="19"/>
        <v>-1.79320266</v>
      </c>
      <c r="AI931" s="73">
        <f t="shared" si="20"/>
        <v>-3.240190514</v>
      </c>
      <c r="AJ931" s="73">
        <f t="shared" si="21"/>
        <v>-1.329092151</v>
      </c>
      <c r="AK931" s="73">
        <f t="shared" si="22"/>
        <v>0</v>
      </c>
      <c r="AL931" s="73">
        <f t="shared" si="23"/>
        <v>0</v>
      </c>
      <c r="AM931" s="73">
        <f t="shared" si="24"/>
        <v>0.433638093</v>
      </c>
      <c r="AN931" s="120">
        <f t="shared" si="25"/>
        <v>-3.240190514</v>
      </c>
      <c r="AO931" s="120">
        <f t="shared" si="26"/>
        <v>-6.395549135</v>
      </c>
      <c r="AP931" s="120" t="str">
        <f t="array" ref="AP931">INDIRECT("Update"&amp;Projections!$AH$17&amp;"!S"&amp;ROW(B912))</f>
        <v/>
      </c>
      <c r="AQ931" s="120" t="str">
        <f t="array" ref="AQ931">INDIRECT("Update"&amp;Projections!$AH$17&amp;"!T"&amp;ROW(B912))</f>
        <v/>
      </c>
      <c r="AR931" s="100">
        <f t="shared" si="27"/>
        <v>-9.965301026</v>
      </c>
    </row>
    <row r="932">
      <c r="A932" t="str">
        <f t="shared" si="3"/>
        <v/>
      </c>
      <c r="B932" s="42">
        <f t="shared" si="4"/>
        <v>-3.155358621</v>
      </c>
      <c r="C932" s="43">
        <f t="shared" si="5"/>
        <v>-1.740686581</v>
      </c>
      <c r="D932" s="42">
        <f t="shared" si="6"/>
        <v>-2.380599106</v>
      </c>
      <c r="E932" s="42">
        <f t="shared" si="7"/>
        <v>-1.79320266</v>
      </c>
      <c r="F932" s="42">
        <f t="shared" si="8"/>
        <v>-3.240190514</v>
      </c>
      <c r="G932" s="42">
        <f t="shared" si="9"/>
        <v>-1.329092151</v>
      </c>
      <c r="H932" s="42">
        <f t="shared" si="10"/>
        <v>0</v>
      </c>
      <c r="I932" s="42" t="str">
        <f>UpdateHashtag!S930</f>
        <v/>
      </c>
      <c r="J932" s="47">
        <f t="shared" si="11"/>
        <v>0</v>
      </c>
      <c r="K932" s="48" t="str">
        <f>UpdateHashtag!T930</f>
        <v/>
      </c>
      <c r="L932" s="42">
        <f t="shared" si="12"/>
        <v>-1.734552372</v>
      </c>
      <c r="N932" s="100">
        <f t="shared" si="13"/>
        <v>401</v>
      </c>
      <c r="O932" s="94" t="str">
        <f t="array" ref="O932">INDIRECT("Update"&amp;Projections!$AH$17&amp;"!B"&amp;ROW(B913))</f>
        <v/>
      </c>
      <c r="P932" s="414" t="str">
        <f t="array" ref="P932">INDIRECT("Update"&amp;Projections!$AH$17&amp;"!C"&amp;ROW(B913))</f>
        <v/>
      </c>
      <c r="Q932" s="94" t="str">
        <f>UpdateHashtag!F962</f>
        <v/>
      </c>
      <c r="R932" s="105" t="str">
        <f t="array" ref="R932">INDIRECT("Update"&amp;Projections!$AH$17&amp;"!D"&amp;ROW(B913))</f>
        <v/>
      </c>
      <c r="S932" s="73">
        <f t="shared" si="14"/>
        <v>-9.965301026</v>
      </c>
      <c r="T932" s="73">
        <f>SUM(AE932:AM932)-IFERROR(IFS(Projections!$I$17,AN932,Projections!$J$17,AO932),"")</f>
        <v>-9.965301026</v>
      </c>
      <c r="U932" s="73">
        <f t="shared" si="15"/>
        <v>0</v>
      </c>
      <c r="V932" s="73" t="str">
        <f t="array" ref="V932">INDIRECT("Update"&amp;Projections!$AH$17&amp;"!M"&amp;ROW(B913))</f>
        <v/>
      </c>
      <c r="W932" s="73" t="str">
        <f t="array" ref="W932">INDIRECT("Update"&amp;Projections!$AH$17&amp;"!L"&amp;ROW(B913))</f>
        <v/>
      </c>
      <c r="X932" s="73" t="str">
        <f t="array" ref="X932">INDIRECT("Update"&amp;Projections!$AH$17&amp;"!N"&amp;ROW(B913))</f>
        <v/>
      </c>
      <c r="Y932" s="73" t="str">
        <f t="array" ref="Y932">INDIRECT("Update"&amp;Projections!$AH$17&amp;"!O"&amp;ROW(B913))</f>
        <v/>
      </c>
      <c r="Z932" s="73" t="str">
        <f t="array" ref="Z932">INDIRECT("Update"&amp;Projections!$AH$17&amp;"!P"&amp;ROW(B913))</f>
        <v/>
      </c>
      <c r="AA932" s="73" t="str">
        <f t="array" ref="AA932">INDIRECT("Update"&amp;Projections!$AH$17&amp;"!Q"&amp;ROW(B913))</f>
        <v/>
      </c>
      <c r="AB932" s="107" t="str">
        <f t="array" ref="AB932">INDIRECT("Update"&amp;Projections!$AH$17&amp;"!I"&amp;ROW(B913))</f>
        <v/>
      </c>
      <c r="AC932" s="107" t="str">
        <f t="array" ref="AC932">INDIRECT("Update"&amp;Projections!$AH$17&amp;"!K"&amp;ROW(B913))</f>
        <v/>
      </c>
      <c r="AD932" s="73" t="str">
        <f t="array" ref="AD932">INDIRECT("Update"&amp;Projections!$AH$17&amp;"!R"&amp;ROW(B913))</f>
        <v/>
      </c>
      <c r="AE932" s="73">
        <f t="shared" si="16"/>
        <v>-3.155358621</v>
      </c>
      <c r="AF932" s="73">
        <f t="shared" si="17"/>
        <v>-1.740686581</v>
      </c>
      <c r="AG932" s="73">
        <f t="shared" si="18"/>
        <v>-2.380599106</v>
      </c>
      <c r="AH932" s="73">
        <f t="shared" si="19"/>
        <v>-1.79320266</v>
      </c>
      <c r="AI932" s="73">
        <f t="shared" si="20"/>
        <v>-3.240190514</v>
      </c>
      <c r="AJ932" s="73">
        <f t="shared" si="21"/>
        <v>-1.329092151</v>
      </c>
      <c r="AK932" s="73">
        <f t="shared" si="22"/>
        <v>0</v>
      </c>
      <c r="AL932" s="73">
        <f t="shared" si="23"/>
        <v>0</v>
      </c>
      <c r="AM932" s="73">
        <f t="shared" si="24"/>
        <v>0.433638093</v>
      </c>
      <c r="AN932" s="120">
        <f t="shared" si="25"/>
        <v>-3.240190514</v>
      </c>
      <c r="AO932" s="120">
        <f t="shared" si="26"/>
        <v>-6.395549135</v>
      </c>
      <c r="AP932" s="120" t="str">
        <f t="array" ref="AP932">INDIRECT("Update"&amp;Projections!$AH$17&amp;"!S"&amp;ROW(B913))</f>
        <v/>
      </c>
      <c r="AQ932" s="120" t="str">
        <f t="array" ref="AQ932">INDIRECT("Update"&amp;Projections!$AH$17&amp;"!T"&amp;ROW(B913))</f>
        <v/>
      </c>
      <c r="AR932" s="100">
        <f t="shared" si="27"/>
        <v>-9.965301026</v>
      </c>
    </row>
    <row r="933">
      <c r="A933" t="str">
        <f t="shared" si="3"/>
        <v/>
      </c>
      <c r="B933" s="42">
        <f t="shared" si="4"/>
        <v>-3.155358621</v>
      </c>
      <c r="C933" s="43">
        <f t="shared" si="5"/>
        <v>-1.740686581</v>
      </c>
      <c r="D933" s="42">
        <f t="shared" si="6"/>
        <v>-2.380599106</v>
      </c>
      <c r="E933" s="42">
        <f t="shared" si="7"/>
        <v>-1.79320266</v>
      </c>
      <c r="F933" s="42">
        <f t="shared" si="8"/>
        <v>-3.240190514</v>
      </c>
      <c r="G933" s="42">
        <f t="shared" si="9"/>
        <v>-1.329092151</v>
      </c>
      <c r="H933" s="42">
        <f t="shared" si="10"/>
        <v>0</v>
      </c>
      <c r="I933" s="42" t="str">
        <f>UpdateHashtag!S931</f>
        <v/>
      </c>
      <c r="J933" s="47">
        <f t="shared" si="11"/>
        <v>0</v>
      </c>
      <c r="K933" s="48" t="str">
        <f>UpdateHashtag!T931</f>
        <v/>
      </c>
      <c r="L933" s="42">
        <f t="shared" si="12"/>
        <v>-1.734552372</v>
      </c>
      <c r="N933" s="100">
        <f t="shared" si="13"/>
        <v>401</v>
      </c>
      <c r="O933" s="94" t="str">
        <f t="array" ref="O933">INDIRECT("Update"&amp;Projections!$AH$17&amp;"!B"&amp;ROW(B914))</f>
        <v/>
      </c>
      <c r="P933" s="414" t="str">
        <f t="array" ref="P933">INDIRECT("Update"&amp;Projections!$AH$17&amp;"!C"&amp;ROW(B914))</f>
        <v/>
      </c>
      <c r="Q933" s="94" t="str">
        <f>UpdateHashtag!F963</f>
        <v/>
      </c>
      <c r="R933" s="105" t="str">
        <f t="array" ref="R933">INDIRECT("Update"&amp;Projections!$AH$17&amp;"!D"&amp;ROW(B914))</f>
        <v/>
      </c>
      <c r="S933" s="73">
        <f t="shared" si="14"/>
        <v>-9.965301026</v>
      </c>
      <c r="T933" s="73">
        <f>SUM(AE933:AM933)-IFERROR(IFS(Projections!$I$17,AN933,Projections!$J$17,AO933),"")</f>
        <v>-9.965301026</v>
      </c>
      <c r="U933" s="73">
        <f t="shared" si="15"/>
        <v>0</v>
      </c>
      <c r="V933" s="73" t="str">
        <f t="array" ref="V933">INDIRECT("Update"&amp;Projections!$AH$17&amp;"!M"&amp;ROW(B914))</f>
        <v/>
      </c>
      <c r="W933" s="73" t="str">
        <f t="array" ref="W933">INDIRECT("Update"&amp;Projections!$AH$17&amp;"!L"&amp;ROW(B914))</f>
        <v/>
      </c>
      <c r="X933" s="73" t="str">
        <f t="array" ref="X933">INDIRECT("Update"&amp;Projections!$AH$17&amp;"!N"&amp;ROW(B914))</f>
        <v/>
      </c>
      <c r="Y933" s="73" t="str">
        <f t="array" ref="Y933">INDIRECT("Update"&amp;Projections!$AH$17&amp;"!O"&amp;ROW(B914))</f>
        <v/>
      </c>
      <c r="Z933" s="73" t="str">
        <f t="array" ref="Z933">INDIRECT("Update"&amp;Projections!$AH$17&amp;"!P"&amp;ROW(B914))</f>
        <v/>
      </c>
      <c r="AA933" s="73" t="str">
        <f t="array" ref="AA933">INDIRECT("Update"&amp;Projections!$AH$17&amp;"!Q"&amp;ROW(B914))</f>
        <v/>
      </c>
      <c r="AB933" s="107" t="str">
        <f t="array" ref="AB933">INDIRECT("Update"&amp;Projections!$AH$17&amp;"!I"&amp;ROW(B914))</f>
        <v/>
      </c>
      <c r="AC933" s="107" t="str">
        <f t="array" ref="AC933">INDIRECT("Update"&amp;Projections!$AH$17&amp;"!K"&amp;ROW(B914))</f>
        <v/>
      </c>
      <c r="AD933" s="73" t="str">
        <f t="array" ref="AD933">INDIRECT("Update"&amp;Projections!$AH$17&amp;"!R"&amp;ROW(B914))</f>
        <v/>
      </c>
      <c r="AE933" s="73">
        <f t="shared" si="16"/>
        <v>-3.155358621</v>
      </c>
      <c r="AF933" s="73">
        <f t="shared" si="17"/>
        <v>-1.740686581</v>
      </c>
      <c r="AG933" s="73">
        <f t="shared" si="18"/>
        <v>-2.380599106</v>
      </c>
      <c r="AH933" s="73">
        <f t="shared" si="19"/>
        <v>-1.79320266</v>
      </c>
      <c r="AI933" s="73">
        <f t="shared" si="20"/>
        <v>-3.240190514</v>
      </c>
      <c r="AJ933" s="73">
        <f t="shared" si="21"/>
        <v>-1.329092151</v>
      </c>
      <c r="AK933" s="73">
        <f t="shared" si="22"/>
        <v>0</v>
      </c>
      <c r="AL933" s="73">
        <f t="shared" si="23"/>
        <v>0</v>
      </c>
      <c r="AM933" s="73">
        <f t="shared" si="24"/>
        <v>0.433638093</v>
      </c>
      <c r="AN933" s="120">
        <f t="shared" si="25"/>
        <v>-3.240190514</v>
      </c>
      <c r="AO933" s="120">
        <f t="shared" si="26"/>
        <v>-6.395549135</v>
      </c>
      <c r="AP933" s="120" t="str">
        <f t="array" ref="AP933">INDIRECT("Update"&amp;Projections!$AH$17&amp;"!S"&amp;ROW(B914))</f>
        <v/>
      </c>
      <c r="AQ933" s="120" t="str">
        <f t="array" ref="AQ933">INDIRECT("Update"&amp;Projections!$AH$17&amp;"!T"&amp;ROW(B914))</f>
        <v/>
      </c>
      <c r="AR933" s="100">
        <f t="shared" si="27"/>
        <v>-9.965301026</v>
      </c>
    </row>
    <row r="934">
      <c r="A934" t="str">
        <f t="shared" si="3"/>
        <v/>
      </c>
      <c r="B934" s="42">
        <f t="shared" si="4"/>
        <v>-3.155358621</v>
      </c>
      <c r="C934" s="43">
        <f t="shared" si="5"/>
        <v>-1.740686581</v>
      </c>
      <c r="D934" s="42">
        <f t="shared" si="6"/>
        <v>-2.380599106</v>
      </c>
      <c r="E934" s="42">
        <f t="shared" si="7"/>
        <v>-1.79320266</v>
      </c>
      <c r="F934" s="42">
        <f t="shared" si="8"/>
        <v>-3.240190514</v>
      </c>
      <c r="G934" s="42">
        <f t="shared" si="9"/>
        <v>-1.329092151</v>
      </c>
      <c r="H934" s="42">
        <f t="shared" si="10"/>
        <v>0</v>
      </c>
      <c r="I934" s="42" t="str">
        <f>UpdateHashtag!S932</f>
        <v/>
      </c>
      <c r="J934" s="47">
        <f t="shared" si="11"/>
        <v>0</v>
      </c>
      <c r="K934" s="48" t="str">
        <f>UpdateHashtag!T932</f>
        <v/>
      </c>
      <c r="L934" s="42">
        <f t="shared" si="12"/>
        <v>-1.734552372</v>
      </c>
      <c r="N934" s="100">
        <f t="shared" si="13"/>
        <v>401</v>
      </c>
      <c r="O934" s="94" t="str">
        <f t="array" ref="O934">INDIRECT("Update"&amp;Projections!$AH$17&amp;"!B"&amp;ROW(B915))</f>
        <v/>
      </c>
      <c r="P934" s="414" t="str">
        <f t="array" ref="P934">INDIRECT("Update"&amp;Projections!$AH$17&amp;"!C"&amp;ROW(B915))</f>
        <v/>
      </c>
      <c r="Q934" s="94" t="str">
        <f>UpdateHashtag!F964</f>
        <v/>
      </c>
      <c r="R934" s="105" t="str">
        <f t="array" ref="R934">INDIRECT("Update"&amp;Projections!$AH$17&amp;"!D"&amp;ROW(B915))</f>
        <v/>
      </c>
      <c r="S934" s="73">
        <f t="shared" si="14"/>
        <v>-9.965301026</v>
      </c>
      <c r="T934" s="73">
        <f>SUM(AE934:AM934)-IFERROR(IFS(Projections!$I$17,AN934,Projections!$J$17,AO934),"")</f>
        <v>-9.965301026</v>
      </c>
      <c r="U934" s="73">
        <f t="shared" si="15"/>
        <v>0</v>
      </c>
      <c r="V934" s="73" t="str">
        <f t="array" ref="V934">INDIRECT("Update"&amp;Projections!$AH$17&amp;"!M"&amp;ROW(B915))</f>
        <v/>
      </c>
      <c r="W934" s="73" t="str">
        <f t="array" ref="W934">INDIRECT("Update"&amp;Projections!$AH$17&amp;"!L"&amp;ROW(B915))</f>
        <v/>
      </c>
      <c r="X934" s="73" t="str">
        <f t="array" ref="X934">INDIRECT("Update"&amp;Projections!$AH$17&amp;"!N"&amp;ROW(B915))</f>
        <v/>
      </c>
      <c r="Y934" s="73" t="str">
        <f t="array" ref="Y934">INDIRECT("Update"&amp;Projections!$AH$17&amp;"!O"&amp;ROW(B915))</f>
        <v/>
      </c>
      <c r="Z934" s="73" t="str">
        <f t="array" ref="Z934">INDIRECT("Update"&amp;Projections!$AH$17&amp;"!P"&amp;ROW(B915))</f>
        <v/>
      </c>
      <c r="AA934" s="73" t="str">
        <f t="array" ref="AA934">INDIRECT("Update"&amp;Projections!$AH$17&amp;"!Q"&amp;ROW(B915))</f>
        <v/>
      </c>
      <c r="AB934" s="107" t="str">
        <f t="array" ref="AB934">INDIRECT("Update"&amp;Projections!$AH$17&amp;"!I"&amp;ROW(B915))</f>
        <v/>
      </c>
      <c r="AC934" s="107" t="str">
        <f t="array" ref="AC934">INDIRECT("Update"&amp;Projections!$AH$17&amp;"!K"&amp;ROW(B915))</f>
        <v/>
      </c>
      <c r="AD934" s="73" t="str">
        <f t="array" ref="AD934">INDIRECT("Update"&amp;Projections!$AH$17&amp;"!R"&amp;ROW(B915))</f>
        <v/>
      </c>
      <c r="AE934" s="73">
        <f t="shared" si="16"/>
        <v>-3.155358621</v>
      </c>
      <c r="AF934" s="73">
        <f t="shared" si="17"/>
        <v>-1.740686581</v>
      </c>
      <c r="AG934" s="73">
        <f t="shared" si="18"/>
        <v>-2.380599106</v>
      </c>
      <c r="AH934" s="73">
        <f t="shared" si="19"/>
        <v>-1.79320266</v>
      </c>
      <c r="AI934" s="73">
        <f t="shared" si="20"/>
        <v>-3.240190514</v>
      </c>
      <c r="AJ934" s="73">
        <f t="shared" si="21"/>
        <v>-1.329092151</v>
      </c>
      <c r="AK934" s="73">
        <f t="shared" si="22"/>
        <v>0</v>
      </c>
      <c r="AL934" s="73">
        <f t="shared" si="23"/>
        <v>0</v>
      </c>
      <c r="AM934" s="73">
        <f t="shared" si="24"/>
        <v>0.433638093</v>
      </c>
      <c r="AN934" s="120">
        <f t="shared" si="25"/>
        <v>-3.240190514</v>
      </c>
      <c r="AO934" s="120">
        <f t="shared" si="26"/>
        <v>-6.395549135</v>
      </c>
      <c r="AP934" s="120" t="str">
        <f t="array" ref="AP934">INDIRECT("Update"&amp;Projections!$AH$17&amp;"!S"&amp;ROW(B915))</f>
        <v/>
      </c>
      <c r="AQ934" s="120" t="str">
        <f t="array" ref="AQ934">INDIRECT("Update"&amp;Projections!$AH$17&amp;"!T"&amp;ROW(B915))</f>
        <v/>
      </c>
      <c r="AR934" s="100">
        <f t="shared" si="27"/>
        <v>-9.965301026</v>
      </c>
    </row>
    <row r="935">
      <c r="A935" t="str">
        <f t="shared" si="3"/>
        <v/>
      </c>
      <c r="B935" s="42">
        <f t="shared" si="4"/>
        <v>-3.155358621</v>
      </c>
      <c r="C935" s="43">
        <f t="shared" si="5"/>
        <v>-1.740686581</v>
      </c>
      <c r="D935" s="42">
        <f t="shared" si="6"/>
        <v>-2.380599106</v>
      </c>
      <c r="E935" s="42">
        <f t="shared" si="7"/>
        <v>-1.79320266</v>
      </c>
      <c r="F935" s="42">
        <f t="shared" si="8"/>
        <v>-3.240190514</v>
      </c>
      <c r="G935" s="42">
        <f t="shared" si="9"/>
        <v>-1.329092151</v>
      </c>
      <c r="H935" s="42">
        <f t="shared" si="10"/>
        <v>0</v>
      </c>
      <c r="I935" s="42" t="str">
        <f>UpdateHashtag!S933</f>
        <v/>
      </c>
      <c r="J935" s="47">
        <f t="shared" si="11"/>
        <v>0</v>
      </c>
      <c r="K935" s="48" t="str">
        <f>UpdateHashtag!T933</f>
        <v/>
      </c>
      <c r="L935" s="42">
        <f t="shared" si="12"/>
        <v>-1.734552372</v>
      </c>
      <c r="N935" s="100">
        <f t="shared" si="13"/>
        <v>401</v>
      </c>
      <c r="O935" s="94" t="str">
        <f t="array" ref="O935">INDIRECT("Update"&amp;Projections!$AH$17&amp;"!B"&amp;ROW(B916))</f>
        <v/>
      </c>
      <c r="P935" s="414" t="str">
        <f t="array" ref="P935">INDIRECT("Update"&amp;Projections!$AH$17&amp;"!C"&amp;ROW(B916))</f>
        <v/>
      </c>
      <c r="Q935" s="94" t="str">
        <f>UpdateHashtag!F965</f>
        <v/>
      </c>
      <c r="R935" s="105" t="str">
        <f t="array" ref="R935">INDIRECT("Update"&amp;Projections!$AH$17&amp;"!D"&amp;ROW(B916))</f>
        <v/>
      </c>
      <c r="S935" s="73">
        <f t="shared" si="14"/>
        <v>-9.965301026</v>
      </c>
      <c r="T935" s="73">
        <f>SUM(AE935:AM935)-IFERROR(IFS(Projections!$I$17,AN935,Projections!$J$17,AO935),"")</f>
        <v>-9.965301026</v>
      </c>
      <c r="U935" s="73">
        <f t="shared" si="15"/>
        <v>0</v>
      </c>
      <c r="V935" s="73" t="str">
        <f t="array" ref="V935">INDIRECT("Update"&amp;Projections!$AH$17&amp;"!M"&amp;ROW(B916))</f>
        <v/>
      </c>
      <c r="W935" s="73" t="str">
        <f t="array" ref="W935">INDIRECT("Update"&amp;Projections!$AH$17&amp;"!L"&amp;ROW(B916))</f>
        <v/>
      </c>
      <c r="X935" s="73" t="str">
        <f t="array" ref="X935">INDIRECT("Update"&amp;Projections!$AH$17&amp;"!N"&amp;ROW(B916))</f>
        <v/>
      </c>
      <c r="Y935" s="73" t="str">
        <f t="array" ref="Y935">INDIRECT("Update"&amp;Projections!$AH$17&amp;"!O"&amp;ROW(B916))</f>
        <v/>
      </c>
      <c r="Z935" s="73" t="str">
        <f t="array" ref="Z935">INDIRECT("Update"&amp;Projections!$AH$17&amp;"!P"&amp;ROW(B916))</f>
        <v/>
      </c>
      <c r="AA935" s="73" t="str">
        <f t="array" ref="AA935">INDIRECT("Update"&amp;Projections!$AH$17&amp;"!Q"&amp;ROW(B916))</f>
        <v/>
      </c>
      <c r="AB935" s="107" t="str">
        <f t="array" ref="AB935">INDIRECT("Update"&amp;Projections!$AH$17&amp;"!I"&amp;ROW(B916))</f>
        <v/>
      </c>
      <c r="AC935" s="107" t="str">
        <f t="array" ref="AC935">INDIRECT("Update"&amp;Projections!$AH$17&amp;"!K"&amp;ROW(B916))</f>
        <v/>
      </c>
      <c r="AD935" s="73" t="str">
        <f t="array" ref="AD935">INDIRECT("Update"&amp;Projections!$AH$17&amp;"!R"&amp;ROW(B916))</f>
        <v/>
      </c>
      <c r="AE935" s="73">
        <f t="shared" si="16"/>
        <v>-3.155358621</v>
      </c>
      <c r="AF935" s="73">
        <f t="shared" si="17"/>
        <v>-1.740686581</v>
      </c>
      <c r="AG935" s="73">
        <f t="shared" si="18"/>
        <v>-2.380599106</v>
      </c>
      <c r="AH935" s="73">
        <f t="shared" si="19"/>
        <v>-1.79320266</v>
      </c>
      <c r="AI935" s="73">
        <f t="shared" si="20"/>
        <v>-3.240190514</v>
      </c>
      <c r="AJ935" s="73">
        <f t="shared" si="21"/>
        <v>-1.329092151</v>
      </c>
      <c r="AK935" s="73">
        <f t="shared" si="22"/>
        <v>0</v>
      </c>
      <c r="AL935" s="73">
        <f t="shared" si="23"/>
        <v>0</v>
      </c>
      <c r="AM935" s="73">
        <f t="shared" si="24"/>
        <v>0.433638093</v>
      </c>
      <c r="AN935" s="120">
        <f t="shared" si="25"/>
        <v>-3.240190514</v>
      </c>
      <c r="AO935" s="120">
        <f t="shared" si="26"/>
        <v>-6.395549135</v>
      </c>
      <c r="AP935" s="120" t="str">
        <f t="array" ref="AP935">INDIRECT("Update"&amp;Projections!$AH$17&amp;"!S"&amp;ROW(B916))</f>
        <v/>
      </c>
      <c r="AQ935" s="120" t="str">
        <f t="array" ref="AQ935">INDIRECT("Update"&amp;Projections!$AH$17&amp;"!T"&amp;ROW(B916))</f>
        <v/>
      </c>
      <c r="AR935" s="100">
        <f t="shared" si="27"/>
        <v>-9.965301026</v>
      </c>
    </row>
    <row r="936">
      <c r="A936" t="str">
        <f t="shared" si="3"/>
        <v/>
      </c>
      <c r="B936" s="42">
        <f t="shared" si="4"/>
        <v>-3.155358621</v>
      </c>
      <c r="C936" s="43">
        <f t="shared" si="5"/>
        <v>-1.740686581</v>
      </c>
      <c r="D936" s="42">
        <f t="shared" si="6"/>
        <v>-2.380599106</v>
      </c>
      <c r="E936" s="42">
        <f t="shared" si="7"/>
        <v>-1.79320266</v>
      </c>
      <c r="F936" s="42">
        <f t="shared" si="8"/>
        <v>-3.240190514</v>
      </c>
      <c r="G936" s="42">
        <f t="shared" si="9"/>
        <v>-1.329092151</v>
      </c>
      <c r="H936" s="42">
        <f t="shared" si="10"/>
        <v>0</v>
      </c>
      <c r="I936" s="42" t="str">
        <f>UpdateHashtag!S934</f>
        <v/>
      </c>
      <c r="J936" s="47">
        <f t="shared" si="11"/>
        <v>0</v>
      </c>
      <c r="K936" s="48" t="str">
        <f>UpdateHashtag!T934</f>
        <v/>
      </c>
      <c r="L936" s="42">
        <f t="shared" si="12"/>
        <v>-1.734552372</v>
      </c>
      <c r="N936" s="100">
        <f t="shared" si="13"/>
        <v>401</v>
      </c>
      <c r="O936" s="94" t="str">
        <f t="array" ref="O936">INDIRECT("Update"&amp;Projections!$AH$17&amp;"!B"&amp;ROW(B917))</f>
        <v/>
      </c>
      <c r="P936" s="414" t="str">
        <f t="array" ref="P936">INDIRECT("Update"&amp;Projections!$AH$17&amp;"!C"&amp;ROW(B917))</f>
        <v/>
      </c>
      <c r="Q936" s="94" t="str">
        <f>UpdateHashtag!F966</f>
        <v/>
      </c>
      <c r="R936" s="105" t="str">
        <f t="array" ref="R936">INDIRECT("Update"&amp;Projections!$AH$17&amp;"!D"&amp;ROW(B917))</f>
        <v/>
      </c>
      <c r="S936" s="73">
        <f t="shared" si="14"/>
        <v>-9.965301026</v>
      </c>
      <c r="T936" s="73">
        <f>SUM(AE936:AM936)-IFERROR(IFS(Projections!$I$17,AN936,Projections!$J$17,AO936),"")</f>
        <v>-9.965301026</v>
      </c>
      <c r="U936" s="73">
        <f t="shared" si="15"/>
        <v>0</v>
      </c>
      <c r="V936" s="73" t="str">
        <f t="array" ref="V936">INDIRECT("Update"&amp;Projections!$AH$17&amp;"!M"&amp;ROW(B917))</f>
        <v/>
      </c>
      <c r="W936" s="73" t="str">
        <f t="array" ref="W936">INDIRECT("Update"&amp;Projections!$AH$17&amp;"!L"&amp;ROW(B917))</f>
        <v/>
      </c>
      <c r="X936" s="73" t="str">
        <f t="array" ref="X936">INDIRECT("Update"&amp;Projections!$AH$17&amp;"!N"&amp;ROW(B917))</f>
        <v/>
      </c>
      <c r="Y936" s="73" t="str">
        <f t="array" ref="Y936">INDIRECT("Update"&amp;Projections!$AH$17&amp;"!O"&amp;ROW(B917))</f>
        <v/>
      </c>
      <c r="Z936" s="73" t="str">
        <f t="array" ref="Z936">INDIRECT("Update"&amp;Projections!$AH$17&amp;"!P"&amp;ROW(B917))</f>
        <v/>
      </c>
      <c r="AA936" s="73" t="str">
        <f t="array" ref="AA936">INDIRECT("Update"&amp;Projections!$AH$17&amp;"!Q"&amp;ROW(B917))</f>
        <v/>
      </c>
      <c r="AB936" s="107" t="str">
        <f t="array" ref="AB936">INDIRECT("Update"&amp;Projections!$AH$17&amp;"!I"&amp;ROW(B917))</f>
        <v/>
      </c>
      <c r="AC936" s="107" t="str">
        <f t="array" ref="AC936">INDIRECT("Update"&amp;Projections!$AH$17&amp;"!K"&amp;ROW(B917))</f>
        <v/>
      </c>
      <c r="AD936" s="73" t="str">
        <f t="array" ref="AD936">INDIRECT("Update"&amp;Projections!$AH$17&amp;"!R"&amp;ROW(B917))</f>
        <v/>
      </c>
      <c r="AE936" s="73">
        <f t="shared" si="16"/>
        <v>-3.155358621</v>
      </c>
      <c r="AF936" s="73">
        <f t="shared" si="17"/>
        <v>-1.740686581</v>
      </c>
      <c r="AG936" s="73">
        <f t="shared" si="18"/>
        <v>-2.380599106</v>
      </c>
      <c r="AH936" s="73">
        <f t="shared" si="19"/>
        <v>-1.79320266</v>
      </c>
      <c r="AI936" s="73">
        <f t="shared" si="20"/>
        <v>-3.240190514</v>
      </c>
      <c r="AJ936" s="73">
        <f t="shared" si="21"/>
        <v>-1.329092151</v>
      </c>
      <c r="AK936" s="73">
        <f t="shared" si="22"/>
        <v>0</v>
      </c>
      <c r="AL936" s="73">
        <f t="shared" si="23"/>
        <v>0</v>
      </c>
      <c r="AM936" s="73">
        <f t="shared" si="24"/>
        <v>0.433638093</v>
      </c>
      <c r="AN936" s="120">
        <f t="shared" si="25"/>
        <v>-3.240190514</v>
      </c>
      <c r="AO936" s="120">
        <f t="shared" si="26"/>
        <v>-6.395549135</v>
      </c>
      <c r="AP936" s="120" t="str">
        <f t="array" ref="AP936">INDIRECT("Update"&amp;Projections!$AH$17&amp;"!S"&amp;ROW(B917))</f>
        <v/>
      </c>
      <c r="AQ936" s="120" t="str">
        <f t="array" ref="AQ936">INDIRECT("Update"&amp;Projections!$AH$17&amp;"!T"&amp;ROW(B917))</f>
        <v/>
      </c>
      <c r="AR936" s="100">
        <f t="shared" si="27"/>
        <v>-9.965301026</v>
      </c>
    </row>
    <row r="937">
      <c r="A937" t="str">
        <f t="shared" si="3"/>
        <v/>
      </c>
      <c r="B937" s="42">
        <f t="shared" si="4"/>
        <v>-3.155358621</v>
      </c>
      <c r="C937" s="43">
        <f t="shared" si="5"/>
        <v>-1.740686581</v>
      </c>
      <c r="D937" s="42">
        <f t="shared" si="6"/>
        <v>-2.380599106</v>
      </c>
      <c r="E937" s="42">
        <f t="shared" si="7"/>
        <v>-1.79320266</v>
      </c>
      <c r="F937" s="42">
        <f t="shared" si="8"/>
        <v>-3.240190514</v>
      </c>
      <c r="G937" s="42">
        <f t="shared" si="9"/>
        <v>-1.329092151</v>
      </c>
      <c r="H937" s="42">
        <f t="shared" si="10"/>
        <v>0</v>
      </c>
      <c r="I937" s="42" t="str">
        <f>UpdateHashtag!S935</f>
        <v/>
      </c>
      <c r="J937" s="47">
        <f t="shared" si="11"/>
        <v>0</v>
      </c>
      <c r="K937" s="48" t="str">
        <f>UpdateHashtag!T935</f>
        <v/>
      </c>
      <c r="L937" s="42">
        <f t="shared" si="12"/>
        <v>-1.734552372</v>
      </c>
      <c r="N937" s="100">
        <f t="shared" si="13"/>
        <v>401</v>
      </c>
      <c r="O937" s="94" t="str">
        <f t="array" ref="O937">INDIRECT("Update"&amp;Projections!$AH$17&amp;"!B"&amp;ROW(B918))</f>
        <v/>
      </c>
      <c r="P937" s="414" t="str">
        <f t="array" ref="P937">INDIRECT("Update"&amp;Projections!$AH$17&amp;"!C"&amp;ROW(B918))</f>
        <v/>
      </c>
      <c r="Q937" s="94" t="str">
        <f>UpdateHashtag!F967</f>
        <v/>
      </c>
      <c r="R937" s="105" t="str">
        <f t="array" ref="R937">INDIRECT("Update"&amp;Projections!$AH$17&amp;"!D"&amp;ROW(B918))</f>
        <v/>
      </c>
      <c r="S937" s="73">
        <f t="shared" si="14"/>
        <v>-9.965301026</v>
      </c>
      <c r="T937" s="73">
        <f>SUM(AE937:AM937)-IFERROR(IFS(Projections!$I$17,AN937,Projections!$J$17,AO937),"")</f>
        <v>-9.965301026</v>
      </c>
      <c r="U937" s="73">
        <f t="shared" si="15"/>
        <v>0</v>
      </c>
      <c r="V937" s="73" t="str">
        <f t="array" ref="V937">INDIRECT("Update"&amp;Projections!$AH$17&amp;"!M"&amp;ROW(B918))</f>
        <v/>
      </c>
      <c r="W937" s="73" t="str">
        <f t="array" ref="W937">INDIRECT("Update"&amp;Projections!$AH$17&amp;"!L"&amp;ROW(B918))</f>
        <v/>
      </c>
      <c r="X937" s="73" t="str">
        <f t="array" ref="X937">INDIRECT("Update"&amp;Projections!$AH$17&amp;"!N"&amp;ROW(B918))</f>
        <v/>
      </c>
      <c r="Y937" s="73" t="str">
        <f t="array" ref="Y937">INDIRECT("Update"&amp;Projections!$AH$17&amp;"!O"&amp;ROW(B918))</f>
        <v/>
      </c>
      <c r="Z937" s="73" t="str">
        <f t="array" ref="Z937">INDIRECT("Update"&amp;Projections!$AH$17&amp;"!P"&amp;ROW(B918))</f>
        <v/>
      </c>
      <c r="AA937" s="73" t="str">
        <f t="array" ref="AA937">INDIRECT("Update"&amp;Projections!$AH$17&amp;"!Q"&amp;ROW(B918))</f>
        <v/>
      </c>
      <c r="AB937" s="107" t="str">
        <f t="array" ref="AB937">INDIRECT("Update"&amp;Projections!$AH$17&amp;"!I"&amp;ROW(B918))</f>
        <v/>
      </c>
      <c r="AC937" s="107" t="str">
        <f t="array" ref="AC937">INDIRECT("Update"&amp;Projections!$AH$17&amp;"!K"&amp;ROW(B918))</f>
        <v/>
      </c>
      <c r="AD937" s="73" t="str">
        <f t="array" ref="AD937">INDIRECT("Update"&amp;Projections!$AH$17&amp;"!R"&amp;ROW(B918))</f>
        <v/>
      </c>
      <c r="AE937" s="73">
        <f t="shared" si="16"/>
        <v>-3.155358621</v>
      </c>
      <c r="AF937" s="73">
        <f t="shared" si="17"/>
        <v>-1.740686581</v>
      </c>
      <c r="AG937" s="73">
        <f t="shared" si="18"/>
        <v>-2.380599106</v>
      </c>
      <c r="AH937" s="73">
        <f t="shared" si="19"/>
        <v>-1.79320266</v>
      </c>
      <c r="AI937" s="73">
        <f t="shared" si="20"/>
        <v>-3.240190514</v>
      </c>
      <c r="AJ937" s="73">
        <f t="shared" si="21"/>
        <v>-1.329092151</v>
      </c>
      <c r="AK937" s="73">
        <f t="shared" si="22"/>
        <v>0</v>
      </c>
      <c r="AL937" s="73">
        <f t="shared" si="23"/>
        <v>0</v>
      </c>
      <c r="AM937" s="73">
        <f t="shared" si="24"/>
        <v>0.433638093</v>
      </c>
      <c r="AN937" s="120">
        <f t="shared" si="25"/>
        <v>-3.240190514</v>
      </c>
      <c r="AO937" s="120">
        <f t="shared" si="26"/>
        <v>-6.395549135</v>
      </c>
      <c r="AP937" s="120" t="str">
        <f t="array" ref="AP937">INDIRECT("Update"&amp;Projections!$AH$17&amp;"!S"&amp;ROW(B918))</f>
        <v/>
      </c>
      <c r="AQ937" s="120" t="str">
        <f t="array" ref="AQ937">INDIRECT("Update"&amp;Projections!$AH$17&amp;"!T"&amp;ROW(B918))</f>
        <v/>
      </c>
      <c r="AR937" s="100">
        <f t="shared" si="27"/>
        <v>-9.965301026</v>
      </c>
    </row>
    <row r="938">
      <c r="A938" t="str">
        <f t="shared" si="3"/>
        <v/>
      </c>
      <c r="B938" s="42">
        <f t="shared" si="4"/>
        <v>-3.155358621</v>
      </c>
      <c r="C938" s="43">
        <f t="shared" si="5"/>
        <v>-1.740686581</v>
      </c>
      <c r="D938" s="42">
        <f t="shared" si="6"/>
        <v>-2.380599106</v>
      </c>
      <c r="E938" s="42">
        <f t="shared" si="7"/>
        <v>-1.79320266</v>
      </c>
      <c r="F938" s="42">
        <f t="shared" si="8"/>
        <v>-3.240190514</v>
      </c>
      <c r="G938" s="42">
        <f t="shared" si="9"/>
        <v>-1.329092151</v>
      </c>
      <c r="H938" s="42">
        <f t="shared" si="10"/>
        <v>0</v>
      </c>
      <c r="I938" s="42" t="str">
        <f>UpdateHashtag!S936</f>
        <v/>
      </c>
      <c r="J938" s="47">
        <f t="shared" si="11"/>
        <v>0</v>
      </c>
      <c r="K938" s="48" t="str">
        <f>UpdateHashtag!T936</f>
        <v/>
      </c>
      <c r="L938" s="42">
        <f t="shared" si="12"/>
        <v>-1.734552372</v>
      </c>
      <c r="N938" s="100">
        <f t="shared" si="13"/>
        <v>401</v>
      </c>
      <c r="O938" s="94" t="str">
        <f t="array" ref="O938">INDIRECT("Update"&amp;Projections!$AH$17&amp;"!B"&amp;ROW(B919))</f>
        <v/>
      </c>
      <c r="P938" s="414" t="str">
        <f t="array" ref="P938">INDIRECT("Update"&amp;Projections!$AH$17&amp;"!C"&amp;ROW(B919))</f>
        <v/>
      </c>
      <c r="Q938" s="94" t="str">
        <f>UpdateHashtag!F968</f>
        <v/>
      </c>
      <c r="R938" s="105" t="str">
        <f t="array" ref="R938">INDIRECT("Update"&amp;Projections!$AH$17&amp;"!D"&amp;ROW(B919))</f>
        <v/>
      </c>
      <c r="S938" s="73">
        <f t="shared" si="14"/>
        <v>-9.965301026</v>
      </c>
      <c r="T938" s="73">
        <f>SUM(AE938:AM938)-IFERROR(IFS(Projections!$I$17,AN938,Projections!$J$17,AO938),"")</f>
        <v>-9.965301026</v>
      </c>
      <c r="U938" s="73">
        <f t="shared" si="15"/>
        <v>0</v>
      </c>
      <c r="V938" s="73" t="str">
        <f t="array" ref="V938">INDIRECT("Update"&amp;Projections!$AH$17&amp;"!M"&amp;ROW(B919))</f>
        <v/>
      </c>
      <c r="W938" s="73" t="str">
        <f t="array" ref="W938">INDIRECT("Update"&amp;Projections!$AH$17&amp;"!L"&amp;ROW(B919))</f>
        <v/>
      </c>
      <c r="X938" s="73" t="str">
        <f t="array" ref="X938">INDIRECT("Update"&amp;Projections!$AH$17&amp;"!N"&amp;ROW(B919))</f>
        <v/>
      </c>
      <c r="Y938" s="73" t="str">
        <f t="array" ref="Y938">INDIRECT("Update"&amp;Projections!$AH$17&amp;"!O"&amp;ROW(B919))</f>
        <v/>
      </c>
      <c r="Z938" s="73" t="str">
        <f t="array" ref="Z938">INDIRECT("Update"&amp;Projections!$AH$17&amp;"!P"&amp;ROW(B919))</f>
        <v/>
      </c>
      <c r="AA938" s="73" t="str">
        <f t="array" ref="AA938">INDIRECT("Update"&amp;Projections!$AH$17&amp;"!Q"&amp;ROW(B919))</f>
        <v/>
      </c>
      <c r="AB938" s="107" t="str">
        <f t="array" ref="AB938">INDIRECT("Update"&amp;Projections!$AH$17&amp;"!I"&amp;ROW(B919))</f>
        <v/>
      </c>
      <c r="AC938" s="107" t="str">
        <f t="array" ref="AC938">INDIRECT("Update"&amp;Projections!$AH$17&amp;"!K"&amp;ROW(B919))</f>
        <v/>
      </c>
      <c r="AD938" s="73" t="str">
        <f t="array" ref="AD938">INDIRECT("Update"&amp;Projections!$AH$17&amp;"!R"&amp;ROW(B919))</f>
        <v/>
      </c>
      <c r="AE938" s="73">
        <f t="shared" si="16"/>
        <v>-3.155358621</v>
      </c>
      <c r="AF938" s="73">
        <f t="shared" si="17"/>
        <v>-1.740686581</v>
      </c>
      <c r="AG938" s="73">
        <f t="shared" si="18"/>
        <v>-2.380599106</v>
      </c>
      <c r="AH938" s="73">
        <f t="shared" si="19"/>
        <v>-1.79320266</v>
      </c>
      <c r="AI938" s="73">
        <f t="shared" si="20"/>
        <v>-3.240190514</v>
      </c>
      <c r="AJ938" s="73">
        <f t="shared" si="21"/>
        <v>-1.329092151</v>
      </c>
      <c r="AK938" s="73">
        <f t="shared" si="22"/>
        <v>0</v>
      </c>
      <c r="AL938" s="73">
        <f t="shared" si="23"/>
        <v>0</v>
      </c>
      <c r="AM938" s="73">
        <f t="shared" si="24"/>
        <v>0.433638093</v>
      </c>
      <c r="AN938" s="120">
        <f t="shared" si="25"/>
        <v>-3.240190514</v>
      </c>
      <c r="AO938" s="120">
        <f t="shared" si="26"/>
        <v>-6.395549135</v>
      </c>
      <c r="AP938" s="120" t="str">
        <f t="array" ref="AP938">INDIRECT("Update"&amp;Projections!$AH$17&amp;"!S"&amp;ROW(B919))</f>
        <v/>
      </c>
      <c r="AQ938" s="120" t="str">
        <f t="array" ref="AQ938">INDIRECT("Update"&amp;Projections!$AH$17&amp;"!T"&amp;ROW(B919))</f>
        <v/>
      </c>
      <c r="AR938" s="100">
        <f t="shared" si="27"/>
        <v>-9.965301026</v>
      </c>
    </row>
    <row r="939">
      <c r="A939" t="str">
        <f t="shared" si="3"/>
        <v/>
      </c>
      <c r="B939" s="42">
        <f t="shared" si="4"/>
        <v>-3.155358621</v>
      </c>
      <c r="C939" s="43">
        <f t="shared" si="5"/>
        <v>-1.740686581</v>
      </c>
      <c r="D939" s="42">
        <f t="shared" si="6"/>
        <v>-2.380599106</v>
      </c>
      <c r="E939" s="42">
        <f t="shared" si="7"/>
        <v>-1.79320266</v>
      </c>
      <c r="F939" s="42">
        <f t="shared" si="8"/>
        <v>-3.240190514</v>
      </c>
      <c r="G939" s="42">
        <f t="shared" si="9"/>
        <v>-1.329092151</v>
      </c>
      <c r="H939" s="42">
        <f t="shared" si="10"/>
        <v>0</v>
      </c>
      <c r="I939" s="42" t="str">
        <f>UpdateHashtag!S937</f>
        <v/>
      </c>
      <c r="J939" s="47">
        <f t="shared" si="11"/>
        <v>0</v>
      </c>
      <c r="K939" s="48" t="str">
        <f>UpdateHashtag!T937</f>
        <v/>
      </c>
      <c r="L939" s="42">
        <f t="shared" si="12"/>
        <v>-1.734552372</v>
      </c>
      <c r="N939" s="100">
        <f t="shared" si="13"/>
        <v>401</v>
      </c>
      <c r="O939" s="94" t="str">
        <f t="array" ref="O939">INDIRECT("Update"&amp;Projections!$AH$17&amp;"!B"&amp;ROW(B920))</f>
        <v/>
      </c>
      <c r="P939" s="414" t="str">
        <f t="array" ref="P939">INDIRECT("Update"&amp;Projections!$AH$17&amp;"!C"&amp;ROW(B920))</f>
        <v/>
      </c>
      <c r="Q939" s="94" t="str">
        <f>UpdateHashtag!F969</f>
        <v/>
      </c>
      <c r="R939" s="105" t="str">
        <f t="array" ref="R939">INDIRECT("Update"&amp;Projections!$AH$17&amp;"!D"&amp;ROW(B920))</f>
        <v/>
      </c>
      <c r="S939" s="73">
        <f t="shared" si="14"/>
        <v>-9.965301026</v>
      </c>
      <c r="T939" s="73">
        <f>SUM(AE939:AM939)-IFERROR(IFS(Projections!$I$17,AN939,Projections!$J$17,AO939),"")</f>
        <v>-9.965301026</v>
      </c>
      <c r="U939" s="73">
        <f t="shared" si="15"/>
        <v>0</v>
      </c>
      <c r="V939" s="73" t="str">
        <f t="array" ref="V939">INDIRECT("Update"&amp;Projections!$AH$17&amp;"!M"&amp;ROW(B920))</f>
        <v/>
      </c>
      <c r="W939" s="73" t="str">
        <f t="array" ref="W939">INDIRECT("Update"&amp;Projections!$AH$17&amp;"!L"&amp;ROW(B920))</f>
        <v/>
      </c>
      <c r="X939" s="73" t="str">
        <f t="array" ref="X939">INDIRECT("Update"&amp;Projections!$AH$17&amp;"!N"&amp;ROW(B920))</f>
        <v/>
      </c>
      <c r="Y939" s="73" t="str">
        <f t="array" ref="Y939">INDIRECT("Update"&amp;Projections!$AH$17&amp;"!O"&amp;ROW(B920))</f>
        <v/>
      </c>
      <c r="Z939" s="73" t="str">
        <f t="array" ref="Z939">INDIRECT("Update"&amp;Projections!$AH$17&amp;"!P"&amp;ROW(B920))</f>
        <v/>
      </c>
      <c r="AA939" s="73" t="str">
        <f t="array" ref="AA939">INDIRECT("Update"&amp;Projections!$AH$17&amp;"!Q"&amp;ROW(B920))</f>
        <v/>
      </c>
      <c r="AB939" s="107" t="str">
        <f t="array" ref="AB939">INDIRECT("Update"&amp;Projections!$AH$17&amp;"!I"&amp;ROW(B920))</f>
        <v/>
      </c>
      <c r="AC939" s="107" t="str">
        <f t="array" ref="AC939">INDIRECT("Update"&amp;Projections!$AH$17&amp;"!K"&amp;ROW(B920))</f>
        <v/>
      </c>
      <c r="AD939" s="73" t="str">
        <f t="array" ref="AD939">INDIRECT("Update"&amp;Projections!$AH$17&amp;"!R"&amp;ROW(B920))</f>
        <v/>
      </c>
      <c r="AE939" s="73">
        <f t="shared" si="16"/>
        <v>-3.155358621</v>
      </c>
      <c r="AF939" s="73">
        <f t="shared" si="17"/>
        <v>-1.740686581</v>
      </c>
      <c r="AG939" s="73">
        <f t="shared" si="18"/>
        <v>-2.380599106</v>
      </c>
      <c r="AH939" s="73">
        <f t="shared" si="19"/>
        <v>-1.79320266</v>
      </c>
      <c r="AI939" s="73">
        <f t="shared" si="20"/>
        <v>-3.240190514</v>
      </c>
      <c r="AJ939" s="73">
        <f t="shared" si="21"/>
        <v>-1.329092151</v>
      </c>
      <c r="AK939" s="73">
        <f t="shared" si="22"/>
        <v>0</v>
      </c>
      <c r="AL939" s="73">
        <f t="shared" si="23"/>
        <v>0</v>
      </c>
      <c r="AM939" s="73">
        <f t="shared" si="24"/>
        <v>0.433638093</v>
      </c>
      <c r="AN939" s="120">
        <f t="shared" si="25"/>
        <v>-3.240190514</v>
      </c>
      <c r="AO939" s="120">
        <f t="shared" si="26"/>
        <v>-6.395549135</v>
      </c>
      <c r="AP939" s="120" t="str">
        <f t="array" ref="AP939">INDIRECT("Update"&amp;Projections!$AH$17&amp;"!S"&amp;ROW(B920))</f>
        <v/>
      </c>
      <c r="AQ939" s="120" t="str">
        <f t="array" ref="AQ939">INDIRECT("Update"&amp;Projections!$AH$17&amp;"!T"&amp;ROW(B920))</f>
        <v/>
      </c>
      <c r="AR939" s="100">
        <f t="shared" si="27"/>
        <v>-9.965301026</v>
      </c>
    </row>
    <row r="940">
      <c r="A940" t="str">
        <f t="shared" si="3"/>
        <v/>
      </c>
      <c r="B940" s="42">
        <f t="shared" si="4"/>
        <v>-3.155358621</v>
      </c>
      <c r="C940" s="43">
        <f t="shared" si="5"/>
        <v>-1.740686581</v>
      </c>
      <c r="D940" s="42">
        <f t="shared" si="6"/>
        <v>-2.380599106</v>
      </c>
      <c r="E940" s="42">
        <f t="shared" si="7"/>
        <v>-1.79320266</v>
      </c>
      <c r="F940" s="42">
        <f t="shared" si="8"/>
        <v>-3.240190514</v>
      </c>
      <c r="G940" s="42">
        <f t="shared" si="9"/>
        <v>-1.329092151</v>
      </c>
      <c r="H940" s="42">
        <f t="shared" si="10"/>
        <v>0</v>
      </c>
      <c r="I940" s="42" t="str">
        <f>UpdateHashtag!S938</f>
        <v/>
      </c>
      <c r="J940" s="47">
        <f t="shared" si="11"/>
        <v>0</v>
      </c>
      <c r="K940" s="48" t="str">
        <f>UpdateHashtag!T938</f>
        <v/>
      </c>
      <c r="L940" s="42">
        <f t="shared" si="12"/>
        <v>-1.734552372</v>
      </c>
      <c r="N940" s="100">
        <f t="shared" si="13"/>
        <v>401</v>
      </c>
      <c r="O940" s="94" t="str">
        <f t="array" ref="O940">INDIRECT("Update"&amp;Projections!$AH$17&amp;"!B"&amp;ROW(B921))</f>
        <v/>
      </c>
      <c r="P940" s="414" t="str">
        <f t="array" ref="P940">INDIRECT("Update"&amp;Projections!$AH$17&amp;"!C"&amp;ROW(B921))</f>
        <v/>
      </c>
      <c r="Q940" s="94" t="str">
        <f>UpdateHashtag!F970</f>
        <v/>
      </c>
      <c r="R940" s="105" t="str">
        <f t="array" ref="R940">INDIRECT("Update"&amp;Projections!$AH$17&amp;"!D"&amp;ROW(B921))</f>
        <v/>
      </c>
      <c r="S940" s="73">
        <f t="shared" si="14"/>
        <v>-9.965301026</v>
      </c>
      <c r="T940" s="73">
        <f>SUM(AE940:AM940)-IFERROR(IFS(Projections!$I$17,AN940,Projections!$J$17,AO940),"")</f>
        <v>-9.965301026</v>
      </c>
      <c r="U940" s="73">
        <f t="shared" si="15"/>
        <v>0</v>
      </c>
      <c r="V940" s="73" t="str">
        <f t="array" ref="V940">INDIRECT("Update"&amp;Projections!$AH$17&amp;"!M"&amp;ROW(B921))</f>
        <v/>
      </c>
      <c r="W940" s="73" t="str">
        <f t="array" ref="W940">INDIRECT("Update"&amp;Projections!$AH$17&amp;"!L"&amp;ROW(B921))</f>
        <v/>
      </c>
      <c r="X940" s="73" t="str">
        <f t="array" ref="X940">INDIRECT("Update"&amp;Projections!$AH$17&amp;"!N"&amp;ROW(B921))</f>
        <v/>
      </c>
      <c r="Y940" s="73" t="str">
        <f t="array" ref="Y940">INDIRECT("Update"&amp;Projections!$AH$17&amp;"!O"&amp;ROW(B921))</f>
        <v/>
      </c>
      <c r="Z940" s="73" t="str">
        <f t="array" ref="Z940">INDIRECT("Update"&amp;Projections!$AH$17&amp;"!P"&amp;ROW(B921))</f>
        <v/>
      </c>
      <c r="AA940" s="73" t="str">
        <f t="array" ref="AA940">INDIRECT("Update"&amp;Projections!$AH$17&amp;"!Q"&amp;ROW(B921))</f>
        <v/>
      </c>
      <c r="AB940" s="107" t="str">
        <f t="array" ref="AB940">INDIRECT("Update"&amp;Projections!$AH$17&amp;"!I"&amp;ROW(B921))</f>
        <v/>
      </c>
      <c r="AC940" s="107" t="str">
        <f t="array" ref="AC940">INDIRECT("Update"&amp;Projections!$AH$17&amp;"!K"&amp;ROW(B921))</f>
        <v/>
      </c>
      <c r="AD940" s="73" t="str">
        <f t="array" ref="AD940">INDIRECT("Update"&amp;Projections!$AH$17&amp;"!R"&amp;ROW(B921))</f>
        <v/>
      </c>
      <c r="AE940" s="73">
        <f t="shared" si="16"/>
        <v>-3.155358621</v>
      </c>
      <c r="AF940" s="73">
        <f t="shared" si="17"/>
        <v>-1.740686581</v>
      </c>
      <c r="AG940" s="73">
        <f t="shared" si="18"/>
        <v>-2.380599106</v>
      </c>
      <c r="AH940" s="73">
        <f t="shared" si="19"/>
        <v>-1.79320266</v>
      </c>
      <c r="AI940" s="73">
        <f t="shared" si="20"/>
        <v>-3.240190514</v>
      </c>
      <c r="AJ940" s="73">
        <f t="shared" si="21"/>
        <v>-1.329092151</v>
      </c>
      <c r="AK940" s="73">
        <f t="shared" si="22"/>
        <v>0</v>
      </c>
      <c r="AL940" s="73">
        <f t="shared" si="23"/>
        <v>0</v>
      </c>
      <c r="AM940" s="73">
        <f t="shared" si="24"/>
        <v>0.433638093</v>
      </c>
      <c r="AN940" s="120">
        <f t="shared" si="25"/>
        <v>-3.240190514</v>
      </c>
      <c r="AO940" s="120">
        <f t="shared" si="26"/>
        <v>-6.395549135</v>
      </c>
      <c r="AP940" s="120" t="str">
        <f t="array" ref="AP940">INDIRECT("Update"&amp;Projections!$AH$17&amp;"!S"&amp;ROW(B921))</f>
        <v/>
      </c>
      <c r="AQ940" s="120" t="str">
        <f t="array" ref="AQ940">INDIRECT("Update"&amp;Projections!$AH$17&amp;"!T"&amp;ROW(B921))</f>
        <v/>
      </c>
      <c r="AR940" s="100">
        <f t="shared" si="27"/>
        <v>-9.965301026</v>
      </c>
    </row>
    <row r="941">
      <c r="A941" t="str">
        <f t="shared" si="3"/>
        <v/>
      </c>
      <c r="B941" s="42">
        <f t="shared" si="4"/>
        <v>-3.155358621</v>
      </c>
      <c r="C941" s="43">
        <f t="shared" si="5"/>
        <v>-1.740686581</v>
      </c>
      <c r="D941" s="42">
        <f t="shared" si="6"/>
        <v>-2.380599106</v>
      </c>
      <c r="E941" s="42">
        <f t="shared" si="7"/>
        <v>-1.79320266</v>
      </c>
      <c r="F941" s="42">
        <f t="shared" si="8"/>
        <v>-3.240190514</v>
      </c>
      <c r="G941" s="42">
        <f t="shared" si="9"/>
        <v>-1.329092151</v>
      </c>
      <c r="H941" s="42">
        <f t="shared" si="10"/>
        <v>0</v>
      </c>
      <c r="I941" s="42" t="str">
        <f>UpdateHashtag!S939</f>
        <v/>
      </c>
      <c r="J941" s="47">
        <f t="shared" si="11"/>
        <v>0</v>
      </c>
      <c r="K941" s="48" t="str">
        <f>UpdateHashtag!T939</f>
        <v/>
      </c>
      <c r="L941" s="42">
        <f t="shared" si="12"/>
        <v>-1.734552372</v>
      </c>
      <c r="N941" s="100">
        <f t="shared" si="13"/>
        <v>401</v>
      </c>
      <c r="O941" s="94" t="str">
        <f t="array" ref="O941">INDIRECT("Update"&amp;Projections!$AH$17&amp;"!B"&amp;ROW(B922))</f>
        <v/>
      </c>
      <c r="P941" s="414" t="str">
        <f t="array" ref="P941">INDIRECT("Update"&amp;Projections!$AH$17&amp;"!C"&amp;ROW(B922))</f>
        <v/>
      </c>
      <c r="Q941" s="94" t="str">
        <f>UpdateHashtag!F971</f>
        <v/>
      </c>
      <c r="R941" s="105" t="str">
        <f t="array" ref="R941">INDIRECT("Update"&amp;Projections!$AH$17&amp;"!D"&amp;ROW(B922))</f>
        <v/>
      </c>
      <c r="S941" s="73">
        <f t="shared" si="14"/>
        <v>-9.965301026</v>
      </c>
      <c r="T941" s="73">
        <f>SUM(AE941:AM941)-IFERROR(IFS(Projections!$I$17,AN941,Projections!$J$17,AO941),"")</f>
        <v>-9.965301026</v>
      </c>
      <c r="U941" s="73">
        <f t="shared" si="15"/>
        <v>0</v>
      </c>
      <c r="V941" s="73" t="str">
        <f t="array" ref="V941">INDIRECT("Update"&amp;Projections!$AH$17&amp;"!M"&amp;ROW(B922))</f>
        <v/>
      </c>
      <c r="W941" s="73" t="str">
        <f t="array" ref="W941">INDIRECT("Update"&amp;Projections!$AH$17&amp;"!L"&amp;ROW(B922))</f>
        <v/>
      </c>
      <c r="X941" s="73" t="str">
        <f t="array" ref="X941">INDIRECT("Update"&amp;Projections!$AH$17&amp;"!N"&amp;ROW(B922))</f>
        <v/>
      </c>
      <c r="Y941" s="73" t="str">
        <f t="array" ref="Y941">INDIRECT("Update"&amp;Projections!$AH$17&amp;"!O"&amp;ROW(B922))</f>
        <v/>
      </c>
      <c r="Z941" s="73" t="str">
        <f t="array" ref="Z941">INDIRECT("Update"&amp;Projections!$AH$17&amp;"!P"&amp;ROW(B922))</f>
        <v/>
      </c>
      <c r="AA941" s="73" t="str">
        <f t="array" ref="AA941">INDIRECT("Update"&amp;Projections!$AH$17&amp;"!Q"&amp;ROW(B922))</f>
        <v/>
      </c>
      <c r="AB941" s="107" t="str">
        <f t="array" ref="AB941">INDIRECT("Update"&amp;Projections!$AH$17&amp;"!I"&amp;ROW(B922))</f>
        <v/>
      </c>
      <c r="AC941" s="107" t="str">
        <f t="array" ref="AC941">INDIRECT("Update"&amp;Projections!$AH$17&amp;"!K"&amp;ROW(B922))</f>
        <v/>
      </c>
      <c r="AD941" s="73" t="str">
        <f t="array" ref="AD941">INDIRECT("Update"&amp;Projections!$AH$17&amp;"!R"&amp;ROW(B922))</f>
        <v/>
      </c>
      <c r="AE941" s="73">
        <f t="shared" si="16"/>
        <v>-3.155358621</v>
      </c>
      <c r="AF941" s="73">
        <f t="shared" si="17"/>
        <v>-1.740686581</v>
      </c>
      <c r="AG941" s="73">
        <f t="shared" si="18"/>
        <v>-2.380599106</v>
      </c>
      <c r="AH941" s="73">
        <f t="shared" si="19"/>
        <v>-1.79320266</v>
      </c>
      <c r="AI941" s="73">
        <f t="shared" si="20"/>
        <v>-3.240190514</v>
      </c>
      <c r="AJ941" s="73">
        <f t="shared" si="21"/>
        <v>-1.329092151</v>
      </c>
      <c r="AK941" s="73">
        <f t="shared" si="22"/>
        <v>0</v>
      </c>
      <c r="AL941" s="73">
        <f t="shared" si="23"/>
        <v>0</v>
      </c>
      <c r="AM941" s="73">
        <f t="shared" si="24"/>
        <v>0.433638093</v>
      </c>
      <c r="AN941" s="120">
        <f t="shared" si="25"/>
        <v>-3.240190514</v>
      </c>
      <c r="AO941" s="120">
        <f t="shared" si="26"/>
        <v>-6.395549135</v>
      </c>
      <c r="AP941" s="120" t="str">
        <f t="array" ref="AP941">INDIRECT("Update"&amp;Projections!$AH$17&amp;"!S"&amp;ROW(B922))</f>
        <v/>
      </c>
      <c r="AQ941" s="120" t="str">
        <f t="array" ref="AQ941">INDIRECT("Update"&amp;Projections!$AH$17&amp;"!T"&amp;ROW(B922))</f>
        <v/>
      </c>
      <c r="AR941" s="100">
        <f t="shared" si="27"/>
        <v>-9.965301026</v>
      </c>
    </row>
    <row r="942">
      <c r="A942" t="str">
        <f t="shared" si="3"/>
        <v/>
      </c>
      <c r="B942" s="42">
        <f t="shared" si="4"/>
        <v>-3.155358621</v>
      </c>
      <c r="C942" s="43">
        <f t="shared" si="5"/>
        <v>-1.740686581</v>
      </c>
      <c r="D942" s="42">
        <f t="shared" si="6"/>
        <v>-2.380599106</v>
      </c>
      <c r="E942" s="42">
        <f t="shared" si="7"/>
        <v>-1.79320266</v>
      </c>
      <c r="F942" s="42">
        <f t="shared" si="8"/>
        <v>-3.240190514</v>
      </c>
      <c r="G942" s="42">
        <f t="shared" si="9"/>
        <v>-1.329092151</v>
      </c>
      <c r="H942" s="42">
        <f t="shared" si="10"/>
        <v>0</v>
      </c>
      <c r="I942" s="42" t="str">
        <f>UpdateHashtag!S940</f>
        <v/>
      </c>
      <c r="J942" s="47">
        <f t="shared" si="11"/>
        <v>0</v>
      </c>
      <c r="K942" s="48" t="str">
        <f>UpdateHashtag!T940</f>
        <v/>
      </c>
      <c r="L942" s="42">
        <f t="shared" si="12"/>
        <v>-1.734552372</v>
      </c>
      <c r="N942" s="100">
        <f t="shared" si="13"/>
        <v>401</v>
      </c>
      <c r="O942" s="94" t="str">
        <f t="array" ref="O942">INDIRECT("Update"&amp;Projections!$AH$17&amp;"!B"&amp;ROW(B923))</f>
        <v/>
      </c>
      <c r="P942" s="414" t="str">
        <f t="array" ref="P942">INDIRECT("Update"&amp;Projections!$AH$17&amp;"!C"&amp;ROW(B923))</f>
        <v/>
      </c>
      <c r="Q942" s="94" t="str">
        <f>UpdateHashtag!F972</f>
        <v/>
      </c>
      <c r="R942" s="105" t="str">
        <f t="array" ref="R942">INDIRECT("Update"&amp;Projections!$AH$17&amp;"!D"&amp;ROW(B923))</f>
        <v/>
      </c>
      <c r="S942" s="73">
        <f t="shared" si="14"/>
        <v>-9.965301026</v>
      </c>
      <c r="T942" s="73">
        <f>SUM(AE942:AM942)-IFERROR(IFS(Projections!$I$17,AN942,Projections!$J$17,AO942),"")</f>
        <v>-9.965301026</v>
      </c>
      <c r="U942" s="73">
        <f t="shared" si="15"/>
        <v>0</v>
      </c>
      <c r="V942" s="73" t="str">
        <f t="array" ref="V942">INDIRECT("Update"&amp;Projections!$AH$17&amp;"!M"&amp;ROW(B923))</f>
        <v/>
      </c>
      <c r="W942" s="73" t="str">
        <f t="array" ref="W942">INDIRECT("Update"&amp;Projections!$AH$17&amp;"!L"&amp;ROW(B923))</f>
        <v/>
      </c>
      <c r="X942" s="73" t="str">
        <f t="array" ref="X942">INDIRECT("Update"&amp;Projections!$AH$17&amp;"!N"&amp;ROW(B923))</f>
        <v/>
      </c>
      <c r="Y942" s="73" t="str">
        <f t="array" ref="Y942">INDIRECT("Update"&amp;Projections!$AH$17&amp;"!O"&amp;ROW(B923))</f>
        <v/>
      </c>
      <c r="Z942" s="73" t="str">
        <f t="array" ref="Z942">INDIRECT("Update"&amp;Projections!$AH$17&amp;"!P"&amp;ROW(B923))</f>
        <v/>
      </c>
      <c r="AA942" s="73" t="str">
        <f t="array" ref="AA942">INDIRECT("Update"&amp;Projections!$AH$17&amp;"!Q"&amp;ROW(B923))</f>
        <v/>
      </c>
      <c r="AB942" s="107" t="str">
        <f t="array" ref="AB942">INDIRECT("Update"&amp;Projections!$AH$17&amp;"!I"&amp;ROW(B923))</f>
        <v/>
      </c>
      <c r="AC942" s="107" t="str">
        <f t="array" ref="AC942">INDIRECT("Update"&amp;Projections!$AH$17&amp;"!K"&amp;ROW(B923))</f>
        <v/>
      </c>
      <c r="AD942" s="73" t="str">
        <f t="array" ref="AD942">INDIRECT("Update"&amp;Projections!$AH$17&amp;"!R"&amp;ROW(B923))</f>
        <v/>
      </c>
      <c r="AE942" s="73">
        <f t="shared" si="16"/>
        <v>-3.155358621</v>
      </c>
      <c r="AF942" s="73">
        <f t="shared" si="17"/>
        <v>-1.740686581</v>
      </c>
      <c r="AG942" s="73">
        <f t="shared" si="18"/>
        <v>-2.380599106</v>
      </c>
      <c r="AH942" s="73">
        <f t="shared" si="19"/>
        <v>-1.79320266</v>
      </c>
      <c r="AI942" s="73">
        <f t="shared" si="20"/>
        <v>-3.240190514</v>
      </c>
      <c r="AJ942" s="73">
        <f t="shared" si="21"/>
        <v>-1.329092151</v>
      </c>
      <c r="AK942" s="73">
        <f t="shared" si="22"/>
        <v>0</v>
      </c>
      <c r="AL942" s="73">
        <f t="shared" si="23"/>
        <v>0</v>
      </c>
      <c r="AM942" s="73">
        <f t="shared" si="24"/>
        <v>0.433638093</v>
      </c>
      <c r="AN942" s="120">
        <f t="shared" si="25"/>
        <v>-3.240190514</v>
      </c>
      <c r="AO942" s="120">
        <f t="shared" si="26"/>
        <v>-6.395549135</v>
      </c>
      <c r="AP942" s="120" t="str">
        <f t="array" ref="AP942">INDIRECT("Update"&amp;Projections!$AH$17&amp;"!S"&amp;ROW(B923))</f>
        <v/>
      </c>
      <c r="AQ942" s="120" t="str">
        <f t="array" ref="AQ942">INDIRECT("Update"&amp;Projections!$AH$17&amp;"!T"&amp;ROW(B923))</f>
        <v/>
      </c>
      <c r="AR942" s="100">
        <f t="shared" si="27"/>
        <v>-9.965301026</v>
      </c>
    </row>
    <row r="943">
      <c r="A943" t="str">
        <f t="shared" si="3"/>
        <v/>
      </c>
      <c r="B943" s="42">
        <f t="shared" si="4"/>
        <v>-3.155358621</v>
      </c>
      <c r="C943" s="43">
        <f t="shared" si="5"/>
        <v>-1.740686581</v>
      </c>
      <c r="D943" s="42">
        <f t="shared" si="6"/>
        <v>-2.380599106</v>
      </c>
      <c r="E943" s="42">
        <f t="shared" si="7"/>
        <v>-1.79320266</v>
      </c>
      <c r="F943" s="42">
        <f t="shared" si="8"/>
        <v>-3.240190514</v>
      </c>
      <c r="G943" s="42">
        <f t="shared" si="9"/>
        <v>-1.329092151</v>
      </c>
      <c r="H943" s="42">
        <f t="shared" si="10"/>
        <v>0</v>
      </c>
      <c r="I943" s="42" t="str">
        <f>UpdateHashtag!S941</f>
        <v/>
      </c>
      <c r="J943" s="47">
        <f t="shared" si="11"/>
        <v>0</v>
      </c>
      <c r="K943" s="48" t="str">
        <f>UpdateHashtag!T941</f>
        <v/>
      </c>
      <c r="L943" s="42">
        <f t="shared" si="12"/>
        <v>-1.734552372</v>
      </c>
      <c r="N943" s="100">
        <f t="shared" si="13"/>
        <v>401</v>
      </c>
      <c r="O943" s="94" t="str">
        <f t="array" ref="O943">INDIRECT("Update"&amp;Projections!$AH$17&amp;"!B"&amp;ROW(B924))</f>
        <v/>
      </c>
      <c r="P943" s="414" t="str">
        <f t="array" ref="P943">INDIRECT("Update"&amp;Projections!$AH$17&amp;"!C"&amp;ROW(B924))</f>
        <v/>
      </c>
      <c r="Q943" s="94" t="str">
        <f>UpdateHashtag!F973</f>
        <v/>
      </c>
      <c r="R943" s="105" t="str">
        <f t="array" ref="R943">INDIRECT("Update"&amp;Projections!$AH$17&amp;"!D"&amp;ROW(B924))</f>
        <v/>
      </c>
      <c r="S943" s="73">
        <f t="shared" si="14"/>
        <v>-9.965301026</v>
      </c>
      <c r="T943" s="73">
        <f>SUM(AE943:AM943)-IFERROR(IFS(Projections!$I$17,AN943,Projections!$J$17,AO943),"")</f>
        <v>-9.965301026</v>
      </c>
      <c r="U943" s="73">
        <f t="shared" si="15"/>
        <v>0</v>
      </c>
      <c r="V943" s="73" t="str">
        <f t="array" ref="V943">INDIRECT("Update"&amp;Projections!$AH$17&amp;"!M"&amp;ROW(B924))</f>
        <v/>
      </c>
      <c r="W943" s="73" t="str">
        <f t="array" ref="W943">INDIRECT("Update"&amp;Projections!$AH$17&amp;"!L"&amp;ROW(B924))</f>
        <v/>
      </c>
      <c r="X943" s="73" t="str">
        <f t="array" ref="X943">INDIRECT("Update"&amp;Projections!$AH$17&amp;"!N"&amp;ROW(B924))</f>
        <v/>
      </c>
      <c r="Y943" s="73" t="str">
        <f t="array" ref="Y943">INDIRECT("Update"&amp;Projections!$AH$17&amp;"!O"&amp;ROW(B924))</f>
        <v/>
      </c>
      <c r="Z943" s="73" t="str">
        <f t="array" ref="Z943">INDIRECT("Update"&amp;Projections!$AH$17&amp;"!P"&amp;ROW(B924))</f>
        <v/>
      </c>
      <c r="AA943" s="73" t="str">
        <f t="array" ref="AA943">INDIRECT("Update"&amp;Projections!$AH$17&amp;"!Q"&amp;ROW(B924))</f>
        <v/>
      </c>
      <c r="AB943" s="107" t="str">
        <f t="array" ref="AB943">INDIRECT("Update"&amp;Projections!$AH$17&amp;"!I"&amp;ROW(B924))</f>
        <v/>
      </c>
      <c r="AC943" s="107" t="str">
        <f t="array" ref="AC943">INDIRECT("Update"&amp;Projections!$AH$17&amp;"!K"&amp;ROW(B924))</f>
        <v/>
      </c>
      <c r="AD943" s="73" t="str">
        <f t="array" ref="AD943">INDIRECT("Update"&amp;Projections!$AH$17&amp;"!R"&amp;ROW(B924))</f>
        <v/>
      </c>
      <c r="AE943" s="73">
        <f t="shared" si="16"/>
        <v>-3.155358621</v>
      </c>
      <c r="AF943" s="73">
        <f t="shared" si="17"/>
        <v>-1.740686581</v>
      </c>
      <c r="AG943" s="73">
        <f t="shared" si="18"/>
        <v>-2.380599106</v>
      </c>
      <c r="AH943" s="73">
        <f t="shared" si="19"/>
        <v>-1.79320266</v>
      </c>
      <c r="AI943" s="73">
        <f t="shared" si="20"/>
        <v>-3.240190514</v>
      </c>
      <c r="AJ943" s="73">
        <f t="shared" si="21"/>
        <v>-1.329092151</v>
      </c>
      <c r="AK943" s="73">
        <f t="shared" si="22"/>
        <v>0</v>
      </c>
      <c r="AL943" s="73">
        <f t="shared" si="23"/>
        <v>0</v>
      </c>
      <c r="AM943" s="73">
        <f t="shared" si="24"/>
        <v>0.433638093</v>
      </c>
      <c r="AN943" s="120">
        <f t="shared" si="25"/>
        <v>-3.240190514</v>
      </c>
      <c r="AO943" s="120">
        <f t="shared" si="26"/>
        <v>-6.395549135</v>
      </c>
      <c r="AP943" s="120" t="str">
        <f t="array" ref="AP943">INDIRECT("Update"&amp;Projections!$AH$17&amp;"!S"&amp;ROW(B924))</f>
        <v/>
      </c>
      <c r="AQ943" s="120" t="str">
        <f t="array" ref="AQ943">INDIRECT("Update"&amp;Projections!$AH$17&amp;"!T"&amp;ROW(B924))</f>
        <v/>
      </c>
      <c r="AR943" s="100">
        <f t="shared" si="27"/>
        <v>-9.965301026</v>
      </c>
    </row>
    <row r="944">
      <c r="A944" t="str">
        <f t="shared" si="3"/>
        <v/>
      </c>
      <c r="B944" s="42">
        <f t="shared" si="4"/>
        <v>-3.155358621</v>
      </c>
      <c r="C944" s="43">
        <f t="shared" si="5"/>
        <v>-1.740686581</v>
      </c>
      <c r="D944" s="42">
        <f t="shared" si="6"/>
        <v>-2.380599106</v>
      </c>
      <c r="E944" s="42">
        <f t="shared" si="7"/>
        <v>-1.79320266</v>
      </c>
      <c r="F944" s="42">
        <f t="shared" si="8"/>
        <v>-3.240190514</v>
      </c>
      <c r="G944" s="42">
        <f t="shared" si="9"/>
        <v>-1.329092151</v>
      </c>
      <c r="H944" s="42">
        <f t="shared" si="10"/>
        <v>0</v>
      </c>
      <c r="I944" s="42" t="str">
        <f>UpdateHashtag!S942</f>
        <v/>
      </c>
      <c r="J944" s="47">
        <f t="shared" si="11"/>
        <v>0</v>
      </c>
      <c r="K944" s="48" t="str">
        <f>UpdateHashtag!T942</f>
        <v/>
      </c>
      <c r="L944" s="42">
        <f t="shared" si="12"/>
        <v>-1.734552372</v>
      </c>
      <c r="N944" s="100">
        <f t="shared" si="13"/>
        <v>401</v>
      </c>
      <c r="O944" s="94" t="str">
        <f t="array" ref="O944">INDIRECT("Update"&amp;Projections!$AH$17&amp;"!B"&amp;ROW(B925))</f>
        <v/>
      </c>
      <c r="P944" s="414" t="str">
        <f t="array" ref="P944">INDIRECT("Update"&amp;Projections!$AH$17&amp;"!C"&amp;ROW(B925))</f>
        <v/>
      </c>
      <c r="Q944" s="94" t="str">
        <f>UpdateHashtag!F974</f>
        <v/>
      </c>
      <c r="R944" s="105" t="str">
        <f t="array" ref="R944">INDIRECT("Update"&amp;Projections!$AH$17&amp;"!D"&amp;ROW(B925))</f>
        <v/>
      </c>
      <c r="S944" s="73">
        <f t="shared" si="14"/>
        <v>-9.965301026</v>
      </c>
      <c r="T944" s="73">
        <f>SUM(AE944:AM944)-IFERROR(IFS(Projections!$I$17,AN944,Projections!$J$17,AO944),"")</f>
        <v>-9.965301026</v>
      </c>
      <c r="U944" s="73">
        <f t="shared" si="15"/>
        <v>0</v>
      </c>
      <c r="V944" s="73" t="str">
        <f t="array" ref="V944">INDIRECT("Update"&amp;Projections!$AH$17&amp;"!M"&amp;ROW(B925))</f>
        <v/>
      </c>
      <c r="W944" s="73" t="str">
        <f t="array" ref="W944">INDIRECT("Update"&amp;Projections!$AH$17&amp;"!L"&amp;ROW(B925))</f>
        <v/>
      </c>
      <c r="X944" s="73" t="str">
        <f t="array" ref="X944">INDIRECT("Update"&amp;Projections!$AH$17&amp;"!N"&amp;ROW(B925))</f>
        <v/>
      </c>
      <c r="Y944" s="73" t="str">
        <f t="array" ref="Y944">INDIRECT("Update"&amp;Projections!$AH$17&amp;"!O"&amp;ROW(B925))</f>
        <v/>
      </c>
      <c r="Z944" s="73" t="str">
        <f t="array" ref="Z944">INDIRECT("Update"&amp;Projections!$AH$17&amp;"!P"&amp;ROW(B925))</f>
        <v/>
      </c>
      <c r="AA944" s="73" t="str">
        <f t="array" ref="AA944">INDIRECT("Update"&amp;Projections!$AH$17&amp;"!Q"&amp;ROW(B925))</f>
        <v/>
      </c>
      <c r="AB944" s="107" t="str">
        <f t="array" ref="AB944">INDIRECT("Update"&amp;Projections!$AH$17&amp;"!I"&amp;ROW(B925))</f>
        <v/>
      </c>
      <c r="AC944" s="107" t="str">
        <f t="array" ref="AC944">INDIRECT("Update"&amp;Projections!$AH$17&amp;"!K"&amp;ROW(B925))</f>
        <v/>
      </c>
      <c r="AD944" s="73" t="str">
        <f t="array" ref="AD944">INDIRECT("Update"&amp;Projections!$AH$17&amp;"!R"&amp;ROW(B925))</f>
        <v/>
      </c>
      <c r="AE944" s="73">
        <f t="shared" si="16"/>
        <v>-3.155358621</v>
      </c>
      <c r="AF944" s="73">
        <f t="shared" si="17"/>
        <v>-1.740686581</v>
      </c>
      <c r="AG944" s="73">
        <f t="shared" si="18"/>
        <v>-2.380599106</v>
      </c>
      <c r="AH944" s="73">
        <f t="shared" si="19"/>
        <v>-1.79320266</v>
      </c>
      <c r="AI944" s="73">
        <f t="shared" si="20"/>
        <v>-3.240190514</v>
      </c>
      <c r="AJ944" s="73">
        <f t="shared" si="21"/>
        <v>-1.329092151</v>
      </c>
      <c r="AK944" s="73">
        <f t="shared" si="22"/>
        <v>0</v>
      </c>
      <c r="AL944" s="73">
        <f t="shared" si="23"/>
        <v>0</v>
      </c>
      <c r="AM944" s="73">
        <f t="shared" si="24"/>
        <v>0.433638093</v>
      </c>
      <c r="AN944" s="120">
        <f t="shared" si="25"/>
        <v>-3.240190514</v>
      </c>
      <c r="AO944" s="120">
        <f t="shared" si="26"/>
        <v>-6.395549135</v>
      </c>
      <c r="AP944" s="120" t="str">
        <f t="array" ref="AP944">INDIRECT("Update"&amp;Projections!$AH$17&amp;"!S"&amp;ROW(B925))</f>
        <v/>
      </c>
      <c r="AQ944" s="120" t="str">
        <f t="array" ref="AQ944">INDIRECT("Update"&amp;Projections!$AH$17&amp;"!T"&amp;ROW(B925))</f>
        <v/>
      </c>
      <c r="AR944" s="100">
        <f t="shared" si="27"/>
        <v>-9.965301026</v>
      </c>
    </row>
    <row r="945">
      <c r="A945" t="str">
        <f t="shared" si="3"/>
        <v/>
      </c>
      <c r="B945" s="42">
        <f t="shared" si="4"/>
        <v>-3.155358621</v>
      </c>
      <c r="C945" s="43">
        <f t="shared" si="5"/>
        <v>-1.740686581</v>
      </c>
      <c r="D945" s="42">
        <f t="shared" si="6"/>
        <v>-2.380599106</v>
      </c>
      <c r="E945" s="42">
        <f t="shared" si="7"/>
        <v>-1.79320266</v>
      </c>
      <c r="F945" s="42">
        <f t="shared" si="8"/>
        <v>-3.240190514</v>
      </c>
      <c r="G945" s="42">
        <f t="shared" si="9"/>
        <v>-1.329092151</v>
      </c>
      <c r="H945" s="42">
        <f t="shared" si="10"/>
        <v>0</v>
      </c>
      <c r="I945" s="42" t="str">
        <f>UpdateHashtag!S943</f>
        <v/>
      </c>
      <c r="J945" s="47">
        <f t="shared" si="11"/>
        <v>0</v>
      </c>
      <c r="K945" s="48" t="str">
        <f>UpdateHashtag!T943</f>
        <v/>
      </c>
      <c r="L945" s="42">
        <f t="shared" si="12"/>
        <v>-1.734552372</v>
      </c>
      <c r="N945" s="100">
        <f t="shared" si="13"/>
        <v>401</v>
      </c>
      <c r="O945" s="94" t="str">
        <f t="array" ref="O945">INDIRECT("Update"&amp;Projections!$AH$17&amp;"!B"&amp;ROW(B926))</f>
        <v/>
      </c>
      <c r="P945" s="414" t="str">
        <f t="array" ref="P945">INDIRECT("Update"&amp;Projections!$AH$17&amp;"!C"&amp;ROW(B926))</f>
        <v/>
      </c>
      <c r="Q945" s="94" t="str">
        <f>UpdateHashtag!F975</f>
        <v/>
      </c>
      <c r="R945" s="105" t="str">
        <f t="array" ref="R945">INDIRECT("Update"&amp;Projections!$AH$17&amp;"!D"&amp;ROW(B926))</f>
        <v/>
      </c>
      <c r="S945" s="73">
        <f t="shared" si="14"/>
        <v>-9.965301026</v>
      </c>
      <c r="T945" s="73">
        <f>SUM(AE945:AM945)-IFERROR(IFS(Projections!$I$17,AN945,Projections!$J$17,AO945),"")</f>
        <v>-9.965301026</v>
      </c>
      <c r="U945" s="73">
        <f t="shared" si="15"/>
        <v>0</v>
      </c>
      <c r="V945" s="73" t="str">
        <f t="array" ref="V945">INDIRECT("Update"&amp;Projections!$AH$17&amp;"!M"&amp;ROW(B926))</f>
        <v/>
      </c>
      <c r="W945" s="73" t="str">
        <f t="array" ref="W945">INDIRECT("Update"&amp;Projections!$AH$17&amp;"!L"&amp;ROW(B926))</f>
        <v/>
      </c>
      <c r="X945" s="73" t="str">
        <f t="array" ref="X945">INDIRECT("Update"&amp;Projections!$AH$17&amp;"!N"&amp;ROW(B926))</f>
        <v/>
      </c>
      <c r="Y945" s="73" t="str">
        <f t="array" ref="Y945">INDIRECT("Update"&amp;Projections!$AH$17&amp;"!O"&amp;ROW(B926))</f>
        <v/>
      </c>
      <c r="Z945" s="73" t="str">
        <f t="array" ref="Z945">INDIRECT("Update"&amp;Projections!$AH$17&amp;"!P"&amp;ROW(B926))</f>
        <v/>
      </c>
      <c r="AA945" s="73" t="str">
        <f t="array" ref="AA945">INDIRECT("Update"&amp;Projections!$AH$17&amp;"!Q"&amp;ROW(B926))</f>
        <v/>
      </c>
      <c r="AB945" s="107" t="str">
        <f t="array" ref="AB945">INDIRECT("Update"&amp;Projections!$AH$17&amp;"!I"&amp;ROW(B926))</f>
        <v/>
      </c>
      <c r="AC945" s="107" t="str">
        <f t="array" ref="AC945">INDIRECT("Update"&amp;Projections!$AH$17&amp;"!K"&amp;ROW(B926))</f>
        <v/>
      </c>
      <c r="AD945" s="73" t="str">
        <f t="array" ref="AD945">INDIRECT("Update"&amp;Projections!$AH$17&amp;"!R"&amp;ROW(B926))</f>
        <v/>
      </c>
      <c r="AE945" s="73">
        <f t="shared" si="16"/>
        <v>-3.155358621</v>
      </c>
      <c r="AF945" s="73">
        <f t="shared" si="17"/>
        <v>-1.740686581</v>
      </c>
      <c r="AG945" s="73">
        <f t="shared" si="18"/>
        <v>-2.380599106</v>
      </c>
      <c r="AH945" s="73">
        <f t="shared" si="19"/>
        <v>-1.79320266</v>
      </c>
      <c r="AI945" s="73">
        <f t="shared" si="20"/>
        <v>-3.240190514</v>
      </c>
      <c r="AJ945" s="73">
        <f t="shared" si="21"/>
        <v>-1.329092151</v>
      </c>
      <c r="AK945" s="73">
        <f t="shared" si="22"/>
        <v>0</v>
      </c>
      <c r="AL945" s="73">
        <f t="shared" si="23"/>
        <v>0</v>
      </c>
      <c r="AM945" s="73">
        <f t="shared" si="24"/>
        <v>0.433638093</v>
      </c>
      <c r="AN945" s="120">
        <f t="shared" si="25"/>
        <v>-3.240190514</v>
      </c>
      <c r="AO945" s="120">
        <f t="shared" si="26"/>
        <v>-6.395549135</v>
      </c>
      <c r="AP945" s="120" t="str">
        <f t="array" ref="AP945">INDIRECT("Update"&amp;Projections!$AH$17&amp;"!S"&amp;ROW(B926))</f>
        <v/>
      </c>
      <c r="AQ945" s="120" t="str">
        <f t="array" ref="AQ945">INDIRECT("Update"&amp;Projections!$AH$17&amp;"!T"&amp;ROW(B926))</f>
        <v/>
      </c>
      <c r="AR945" s="100">
        <f t="shared" si="27"/>
        <v>-9.965301026</v>
      </c>
    </row>
    <row r="946">
      <c r="A946" t="str">
        <f t="shared" si="3"/>
        <v/>
      </c>
      <c r="B946" s="42">
        <f t="shared" si="4"/>
        <v>-3.155358621</v>
      </c>
      <c r="C946" s="43">
        <f t="shared" si="5"/>
        <v>-1.740686581</v>
      </c>
      <c r="D946" s="42">
        <f t="shared" si="6"/>
        <v>-2.380599106</v>
      </c>
      <c r="E946" s="42">
        <f t="shared" si="7"/>
        <v>-1.79320266</v>
      </c>
      <c r="F946" s="42">
        <f t="shared" si="8"/>
        <v>-3.240190514</v>
      </c>
      <c r="G946" s="42">
        <f t="shared" si="9"/>
        <v>-1.329092151</v>
      </c>
      <c r="H946" s="42">
        <f t="shared" si="10"/>
        <v>0</v>
      </c>
      <c r="I946" s="42" t="str">
        <f>UpdateHashtag!S944</f>
        <v/>
      </c>
      <c r="J946" s="47">
        <f t="shared" si="11"/>
        <v>0</v>
      </c>
      <c r="K946" s="48" t="str">
        <f>UpdateHashtag!T944</f>
        <v/>
      </c>
      <c r="L946" s="42">
        <f t="shared" si="12"/>
        <v>-1.734552372</v>
      </c>
      <c r="N946" s="100">
        <f t="shared" si="13"/>
        <v>401</v>
      </c>
      <c r="O946" s="94" t="str">
        <f t="array" ref="O946">INDIRECT("Update"&amp;Projections!$AH$17&amp;"!B"&amp;ROW(B927))</f>
        <v/>
      </c>
      <c r="P946" s="414" t="str">
        <f t="array" ref="P946">INDIRECT("Update"&amp;Projections!$AH$17&amp;"!C"&amp;ROW(B927))</f>
        <v/>
      </c>
      <c r="Q946" s="94" t="str">
        <f>UpdateHashtag!F976</f>
        <v/>
      </c>
      <c r="R946" s="105" t="str">
        <f t="array" ref="R946">INDIRECT("Update"&amp;Projections!$AH$17&amp;"!D"&amp;ROW(B927))</f>
        <v/>
      </c>
      <c r="S946" s="73">
        <f t="shared" si="14"/>
        <v>-9.965301026</v>
      </c>
      <c r="T946" s="73">
        <f>SUM(AE946:AM946)-IFERROR(IFS(Projections!$I$17,AN946,Projections!$J$17,AO946),"")</f>
        <v>-9.965301026</v>
      </c>
      <c r="U946" s="73">
        <f t="shared" si="15"/>
        <v>0</v>
      </c>
      <c r="V946" s="73" t="str">
        <f t="array" ref="V946">INDIRECT("Update"&amp;Projections!$AH$17&amp;"!M"&amp;ROW(B927))</f>
        <v/>
      </c>
      <c r="W946" s="73" t="str">
        <f t="array" ref="W946">INDIRECT("Update"&amp;Projections!$AH$17&amp;"!L"&amp;ROW(B927))</f>
        <v/>
      </c>
      <c r="X946" s="73" t="str">
        <f t="array" ref="X946">INDIRECT("Update"&amp;Projections!$AH$17&amp;"!N"&amp;ROW(B927))</f>
        <v/>
      </c>
      <c r="Y946" s="73" t="str">
        <f t="array" ref="Y946">INDIRECT("Update"&amp;Projections!$AH$17&amp;"!O"&amp;ROW(B927))</f>
        <v/>
      </c>
      <c r="Z946" s="73" t="str">
        <f t="array" ref="Z946">INDIRECT("Update"&amp;Projections!$AH$17&amp;"!P"&amp;ROW(B927))</f>
        <v/>
      </c>
      <c r="AA946" s="73" t="str">
        <f t="array" ref="AA946">INDIRECT("Update"&amp;Projections!$AH$17&amp;"!Q"&amp;ROW(B927))</f>
        <v/>
      </c>
      <c r="AB946" s="107" t="str">
        <f t="array" ref="AB946">INDIRECT("Update"&amp;Projections!$AH$17&amp;"!I"&amp;ROW(B927))</f>
        <v/>
      </c>
      <c r="AC946" s="107" t="str">
        <f t="array" ref="AC946">INDIRECT("Update"&amp;Projections!$AH$17&amp;"!K"&amp;ROW(B927))</f>
        <v/>
      </c>
      <c r="AD946" s="73" t="str">
        <f t="array" ref="AD946">INDIRECT("Update"&amp;Projections!$AH$17&amp;"!R"&amp;ROW(B927))</f>
        <v/>
      </c>
      <c r="AE946" s="73">
        <f t="shared" si="16"/>
        <v>-3.155358621</v>
      </c>
      <c r="AF946" s="73">
        <f t="shared" si="17"/>
        <v>-1.740686581</v>
      </c>
      <c r="AG946" s="73">
        <f t="shared" si="18"/>
        <v>-2.380599106</v>
      </c>
      <c r="AH946" s="73">
        <f t="shared" si="19"/>
        <v>-1.79320266</v>
      </c>
      <c r="AI946" s="73">
        <f t="shared" si="20"/>
        <v>-3.240190514</v>
      </c>
      <c r="AJ946" s="73">
        <f t="shared" si="21"/>
        <v>-1.329092151</v>
      </c>
      <c r="AK946" s="73">
        <f t="shared" si="22"/>
        <v>0</v>
      </c>
      <c r="AL946" s="73">
        <f t="shared" si="23"/>
        <v>0</v>
      </c>
      <c r="AM946" s="73">
        <f t="shared" si="24"/>
        <v>0.433638093</v>
      </c>
      <c r="AN946" s="120">
        <f t="shared" si="25"/>
        <v>-3.240190514</v>
      </c>
      <c r="AO946" s="120">
        <f t="shared" si="26"/>
        <v>-6.395549135</v>
      </c>
      <c r="AP946" s="120" t="str">
        <f t="array" ref="AP946">INDIRECT("Update"&amp;Projections!$AH$17&amp;"!S"&amp;ROW(B927))</f>
        <v/>
      </c>
      <c r="AQ946" s="120" t="str">
        <f t="array" ref="AQ946">INDIRECT("Update"&amp;Projections!$AH$17&amp;"!T"&amp;ROW(B927))</f>
        <v/>
      </c>
      <c r="AR946" s="100">
        <f t="shared" si="27"/>
        <v>-9.965301026</v>
      </c>
    </row>
    <row r="947">
      <c r="A947" t="str">
        <f t="shared" si="3"/>
        <v/>
      </c>
      <c r="B947" s="42">
        <f t="shared" si="4"/>
        <v>-3.155358621</v>
      </c>
      <c r="C947" s="43">
        <f t="shared" si="5"/>
        <v>-1.740686581</v>
      </c>
      <c r="D947" s="42">
        <f t="shared" si="6"/>
        <v>-2.380599106</v>
      </c>
      <c r="E947" s="42">
        <f t="shared" si="7"/>
        <v>-1.79320266</v>
      </c>
      <c r="F947" s="42">
        <f t="shared" si="8"/>
        <v>-3.240190514</v>
      </c>
      <c r="G947" s="42">
        <f t="shared" si="9"/>
        <v>-1.329092151</v>
      </c>
      <c r="H947" s="42">
        <f t="shared" si="10"/>
        <v>0</v>
      </c>
      <c r="I947" s="42" t="str">
        <f>UpdateHashtag!S945</f>
        <v/>
      </c>
      <c r="J947" s="47">
        <f t="shared" si="11"/>
        <v>0</v>
      </c>
      <c r="K947" s="48" t="str">
        <f>UpdateHashtag!T945</f>
        <v/>
      </c>
      <c r="L947" s="42">
        <f t="shared" si="12"/>
        <v>-1.734552372</v>
      </c>
      <c r="N947" s="100">
        <f t="shared" si="13"/>
        <v>401</v>
      </c>
      <c r="O947" s="94" t="str">
        <f t="array" ref="O947">INDIRECT("Update"&amp;Projections!$AH$17&amp;"!B"&amp;ROW(B928))</f>
        <v/>
      </c>
      <c r="P947" s="414" t="str">
        <f t="array" ref="P947">INDIRECT("Update"&amp;Projections!$AH$17&amp;"!C"&amp;ROW(B928))</f>
        <v/>
      </c>
      <c r="Q947" s="94" t="str">
        <f>UpdateHashtag!F977</f>
        <v/>
      </c>
      <c r="R947" s="105" t="str">
        <f t="array" ref="R947">INDIRECT("Update"&amp;Projections!$AH$17&amp;"!D"&amp;ROW(B928))</f>
        <v/>
      </c>
      <c r="S947" s="73">
        <f t="shared" si="14"/>
        <v>-9.965301026</v>
      </c>
      <c r="T947" s="73">
        <f>SUM(AE947:AM947)-IFERROR(IFS(Projections!$I$17,AN947,Projections!$J$17,AO947),"")</f>
        <v>-9.965301026</v>
      </c>
      <c r="U947" s="73">
        <f t="shared" si="15"/>
        <v>0</v>
      </c>
      <c r="V947" s="73" t="str">
        <f t="array" ref="V947">INDIRECT("Update"&amp;Projections!$AH$17&amp;"!M"&amp;ROW(B928))</f>
        <v/>
      </c>
      <c r="W947" s="73" t="str">
        <f t="array" ref="W947">INDIRECT("Update"&amp;Projections!$AH$17&amp;"!L"&amp;ROW(B928))</f>
        <v/>
      </c>
      <c r="X947" s="73" t="str">
        <f t="array" ref="X947">INDIRECT("Update"&amp;Projections!$AH$17&amp;"!N"&amp;ROW(B928))</f>
        <v/>
      </c>
      <c r="Y947" s="73" t="str">
        <f t="array" ref="Y947">INDIRECT("Update"&amp;Projections!$AH$17&amp;"!O"&amp;ROW(B928))</f>
        <v/>
      </c>
      <c r="Z947" s="73" t="str">
        <f t="array" ref="Z947">INDIRECT("Update"&amp;Projections!$AH$17&amp;"!P"&amp;ROW(B928))</f>
        <v/>
      </c>
      <c r="AA947" s="73" t="str">
        <f t="array" ref="AA947">INDIRECT("Update"&amp;Projections!$AH$17&amp;"!Q"&amp;ROW(B928))</f>
        <v/>
      </c>
      <c r="AB947" s="107" t="str">
        <f t="array" ref="AB947">INDIRECT("Update"&amp;Projections!$AH$17&amp;"!I"&amp;ROW(B928))</f>
        <v/>
      </c>
      <c r="AC947" s="107" t="str">
        <f t="array" ref="AC947">INDIRECT("Update"&amp;Projections!$AH$17&amp;"!K"&amp;ROW(B928))</f>
        <v/>
      </c>
      <c r="AD947" s="73" t="str">
        <f t="array" ref="AD947">INDIRECT("Update"&amp;Projections!$AH$17&amp;"!R"&amp;ROW(B928))</f>
        <v/>
      </c>
      <c r="AE947" s="73">
        <f t="shared" si="16"/>
        <v>-3.155358621</v>
      </c>
      <c r="AF947" s="73">
        <f t="shared" si="17"/>
        <v>-1.740686581</v>
      </c>
      <c r="AG947" s="73">
        <f t="shared" si="18"/>
        <v>-2.380599106</v>
      </c>
      <c r="AH947" s="73">
        <f t="shared" si="19"/>
        <v>-1.79320266</v>
      </c>
      <c r="AI947" s="73">
        <f t="shared" si="20"/>
        <v>-3.240190514</v>
      </c>
      <c r="AJ947" s="73">
        <f t="shared" si="21"/>
        <v>-1.329092151</v>
      </c>
      <c r="AK947" s="73">
        <f t="shared" si="22"/>
        <v>0</v>
      </c>
      <c r="AL947" s="73">
        <f t="shared" si="23"/>
        <v>0</v>
      </c>
      <c r="AM947" s="73">
        <f t="shared" si="24"/>
        <v>0.433638093</v>
      </c>
      <c r="AN947" s="120">
        <f t="shared" si="25"/>
        <v>-3.240190514</v>
      </c>
      <c r="AO947" s="120">
        <f t="shared" si="26"/>
        <v>-6.395549135</v>
      </c>
      <c r="AP947" s="120" t="str">
        <f t="array" ref="AP947">INDIRECT("Update"&amp;Projections!$AH$17&amp;"!S"&amp;ROW(B928))</f>
        <v/>
      </c>
      <c r="AQ947" s="120" t="str">
        <f t="array" ref="AQ947">INDIRECT("Update"&amp;Projections!$AH$17&amp;"!T"&amp;ROW(B928))</f>
        <v/>
      </c>
      <c r="AR947" s="100">
        <f t="shared" si="27"/>
        <v>-9.965301026</v>
      </c>
    </row>
    <row r="948">
      <c r="A948" t="str">
        <f t="shared" si="3"/>
        <v/>
      </c>
      <c r="B948" s="42">
        <f t="shared" si="4"/>
        <v>-3.155358621</v>
      </c>
      <c r="C948" s="43">
        <f t="shared" si="5"/>
        <v>-1.740686581</v>
      </c>
      <c r="D948" s="42">
        <f t="shared" si="6"/>
        <v>-2.380599106</v>
      </c>
      <c r="E948" s="42">
        <f t="shared" si="7"/>
        <v>-1.79320266</v>
      </c>
      <c r="F948" s="42">
        <f t="shared" si="8"/>
        <v>-3.240190514</v>
      </c>
      <c r="G948" s="42">
        <f t="shared" si="9"/>
        <v>-1.329092151</v>
      </c>
      <c r="H948" s="42">
        <f t="shared" si="10"/>
        <v>0</v>
      </c>
      <c r="I948" s="42" t="str">
        <f>UpdateHashtag!S946</f>
        <v/>
      </c>
      <c r="J948" s="47">
        <f t="shared" si="11"/>
        <v>0</v>
      </c>
      <c r="K948" s="48" t="str">
        <f>UpdateHashtag!T946</f>
        <v/>
      </c>
      <c r="L948" s="42">
        <f t="shared" si="12"/>
        <v>-1.734552372</v>
      </c>
      <c r="N948" s="100">
        <f t="shared" si="13"/>
        <v>401</v>
      </c>
      <c r="O948" s="94" t="str">
        <f t="array" ref="O948">INDIRECT("Update"&amp;Projections!$AH$17&amp;"!B"&amp;ROW(B929))</f>
        <v/>
      </c>
      <c r="P948" s="414" t="str">
        <f t="array" ref="P948">INDIRECT("Update"&amp;Projections!$AH$17&amp;"!C"&amp;ROW(B929))</f>
        <v/>
      </c>
      <c r="Q948" s="94" t="str">
        <f>UpdateHashtag!F978</f>
        <v/>
      </c>
      <c r="R948" s="105" t="str">
        <f t="array" ref="R948">INDIRECT("Update"&amp;Projections!$AH$17&amp;"!D"&amp;ROW(B929))</f>
        <v/>
      </c>
      <c r="S948" s="73">
        <f t="shared" si="14"/>
        <v>-9.965301026</v>
      </c>
      <c r="T948" s="73">
        <f>SUM(AE948:AM948)-IFERROR(IFS(Projections!$I$17,AN948,Projections!$J$17,AO948),"")</f>
        <v>-9.965301026</v>
      </c>
      <c r="U948" s="73">
        <f t="shared" si="15"/>
        <v>0</v>
      </c>
      <c r="V948" s="73" t="str">
        <f t="array" ref="V948">INDIRECT("Update"&amp;Projections!$AH$17&amp;"!M"&amp;ROW(B929))</f>
        <v/>
      </c>
      <c r="W948" s="73" t="str">
        <f t="array" ref="W948">INDIRECT("Update"&amp;Projections!$AH$17&amp;"!L"&amp;ROW(B929))</f>
        <v/>
      </c>
      <c r="X948" s="73" t="str">
        <f t="array" ref="X948">INDIRECT("Update"&amp;Projections!$AH$17&amp;"!N"&amp;ROW(B929))</f>
        <v/>
      </c>
      <c r="Y948" s="73" t="str">
        <f t="array" ref="Y948">INDIRECT("Update"&amp;Projections!$AH$17&amp;"!O"&amp;ROW(B929))</f>
        <v/>
      </c>
      <c r="Z948" s="73" t="str">
        <f t="array" ref="Z948">INDIRECT("Update"&amp;Projections!$AH$17&amp;"!P"&amp;ROW(B929))</f>
        <v/>
      </c>
      <c r="AA948" s="73" t="str">
        <f t="array" ref="AA948">INDIRECT("Update"&amp;Projections!$AH$17&amp;"!Q"&amp;ROW(B929))</f>
        <v/>
      </c>
      <c r="AB948" s="107" t="str">
        <f t="array" ref="AB948">INDIRECT("Update"&amp;Projections!$AH$17&amp;"!I"&amp;ROW(B929))</f>
        <v/>
      </c>
      <c r="AC948" s="107" t="str">
        <f t="array" ref="AC948">INDIRECT("Update"&amp;Projections!$AH$17&amp;"!K"&amp;ROW(B929))</f>
        <v/>
      </c>
      <c r="AD948" s="73" t="str">
        <f t="array" ref="AD948">INDIRECT("Update"&amp;Projections!$AH$17&amp;"!R"&amp;ROW(B929))</f>
        <v/>
      </c>
      <c r="AE948" s="73">
        <f t="shared" si="16"/>
        <v>-3.155358621</v>
      </c>
      <c r="AF948" s="73">
        <f t="shared" si="17"/>
        <v>-1.740686581</v>
      </c>
      <c r="AG948" s="73">
        <f t="shared" si="18"/>
        <v>-2.380599106</v>
      </c>
      <c r="AH948" s="73">
        <f t="shared" si="19"/>
        <v>-1.79320266</v>
      </c>
      <c r="AI948" s="73">
        <f t="shared" si="20"/>
        <v>-3.240190514</v>
      </c>
      <c r="AJ948" s="73">
        <f t="shared" si="21"/>
        <v>-1.329092151</v>
      </c>
      <c r="AK948" s="73">
        <f t="shared" si="22"/>
        <v>0</v>
      </c>
      <c r="AL948" s="73">
        <f t="shared" si="23"/>
        <v>0</v>
      </c>
      <c r="AM948" s="73">
        <f t="shared" si="24"/>
        <v>0.433638093</v>
      </c>
      <c r="AN948" s="120">
        <f t="shared" si="25"/>
        <v>-3.240190514</v>
      </c>
      <c r="AO948" s="120">
        <f t="shared" si="26"/>
        <v>-6.395549135</v>
      </c>
      <c r="AP948" s="120" t="str">
        <f t="array" ref="AP948">INDIRECT("Update"&amp;Projections!$AH$17&amp;"!S"&amp;ROW(B929))</f>
        <v/>
      </c>
      <c r="AQ948" s="120" t="str">
        <f t="array" ref="AQ948">INDIRECT("Update"&amp;Projections!$AH$17&amp;"!T"&amp;ROW(B929))</f>
        <v/>
      </c>
      <c r="AR948" s="100">
        <f t="shared" si="27"/>
        <v>-9.965301026</v>
      </c>
    </row>
    <row r="949">
      <c r="A949" t="str">
        <f t="shared" si="3"/>
        <v/>
      </c>
      <c r="B949" s="42">
        <f t="shared" si="4"/>
        <v>-3.155358621</v>
      </c>
      <c r="C949" s="43">
        <f t="shared" si="5"/>
        <v>-1.740686581</v>
      </c>
      <c r="D949" s="42">
        <f t="shared" si="6"/>
        <v>-2.380599106</v>
      </c>
      <c r="E949" s="42">
        <f t="shared" si="7"/>
        <v>-1.79320266</v>
      </c>
      <c r="F949" s="42">
        <f t="shared" si="8"/>
        <v>-3.240190514</v>
      </c>
      <c r="G949" s="42">
        <f t="shared" si="9"/>
        <v>-1.329092151</v>
      </c>
      <c r="H949" s="42">
        <f t="shared" si="10"/>
        <v>0</v>
      </c>
      <c r="I949" s="42" t="str">
        <f>UpdateHashtag!S947</f>
        <v/>
      </c>
      <c r="J949" s="47">
        <f t="shared" si="11"/>
        <v>0</v>
      </c>
      <c r="K949" s="48" t="str">
        <f>UpdateHashtag!T947</f>
        <v/>
      </c>
      <c r="L949" s="42">
        <f t="shared" si="12"/>
        <v>-1.734552372</v>
      </c>
      <c r="N949" s="100">
        <f t="shared" si="13"/>
        <v>401</v>
      </c>
      <c r="O949" s="94" t="str">
        <f t="array" ref="O949">INDIRECT("Update"&amp;Projections!$AH$17&amp;"!B"&amp;ROW(B930))</f>
        <v/>
      </c>
      <c r="P949" s="414" t="str">
        <f t="array" ref="P949">INDIRECT("Update"&amp;Projections!$AH$17&amp;"!C"&amp;ROW(B930))</f>
        <v/>
      </c>
      <c r="Q949" s="94" t="str">
        <f>UpdateHashtag!F979</f>
        <v/>
      </c>
      <c r="R949" s="105" t="str">
        <f t="array" ref="R949">INDIRECT("Update"&amp;Projections!$AH$17&amp;"!D"&amp;ROW(B930))</f>
        <v/>
      </c>
      <c r="S949" s="73">
        <f t="shared" si="14"/>
        <v>-9.965301026</v>
      </c>
      <c r="T949" s="73">
        <f>SUM(AE949:AM949)-IFERROR(IFS(Projections!$I$17,AN949,Projections!$J$17,AO949),"")</f>
        <v>-9.965301026</v>
      </c>
      <c r="U949" s="73">
        <f t="shared" si="15"/>
        <v>0</v>
      </c>
      <c r="V949" s="73" t="str">
        <f t="array" ref="V949">INDIRECT("Update"&amp;Projections!$AH$17&amp;"!M"&amp;ROW(B930))</f>
        <v/>
      </c>
      <c r="W949" s="73" t="str">
        <f t="array" ref="W949">INDIRECT("Update"&amp;Projections!$AH$17&amp;"!L"&amp;ROW(B930))</f>
        <v/>
      </c>
      <c r="X949" s="73" t="str">
        <f t="array" ref="X949">INDIRECT("Update"&amp;Projections!$AH$17&amp;"!N"&amp;ROW(B930))</f>
        <v/>
      </c>
      <c r="Y949" s="73" t="str">
        <f t="array" ref="Y949">INDIRECT("Update"&amp;Projections!$AH$17&amp;"!O"&amp;ROW(B930))</f>
        <v/>
      </c>
      <c r="Z949" s="73" t="str">
        <f t="array" ref="Z949">INDIRECT("Update"&amp;Projections!$AH$17&amp;"!P"&amp;ROW(B930))</f>
        <v/>
      </c>
      <c r="AA949" s="73" t="str">
        <f t="array" ref="AA949">INDIRECT("Update"&amp;Projections!$AH$17&amp;"!Q"&amp;ROW(B930))</f>
        <v/>
      </c>
      <c r="AB949" s="107" t="str">
        <f t="array" ref="AB949">INDIRECT("Update"&amp;Projections!$AH$17&amp;"!I"&amp;ROW(B930))</f>
        <v/>
      </c>
      <c r="AC949" s="107" t="str">
        <f t="array" ref="AC949">INDIRECT("Update"&amp;Projections!$AH$17&amp;"!K"&amp;ROW(B930))</f>
        <v/>
      </c>
      <c r="AD949" s="73" t="str">
        <f t="array" ref="AD949">INDIRECT("Update"&amp;Projections!$AH$17&amp;"!R"&amp;ROW(B930))</f>
        <v/>
      </c>
      <c r="AE949" s="73">
        <f t="shared" si="16"/>
        <v>-3.155358621</v>
      </c>
      <c r="AF949" s="73">
        <f t="shared" si="17"/>
        <v>-1.740686581</v>
      </c>
      <c r="AG949" s="73">
        <f t="shared" si="18"/>
        <v>-2.380599106</v>
      </c>
      <c r="AH949" s="73">
        <f t="shared" si="19"/>
        <v>-1.79320266</v>
      </c>
      <c r="AI949" s="73">
        <f t="shared" si="20"/>
        <v>-3.240190514</v>
      </c>
      <c r="AJ949" s="73">
        <f t="shared" si="21"/>
        <v>-1.329092151</v>
      </c>
      <c r="AK949" s="73">
        <f t="shared" si="22"/>
        <v>0</v>
      </c>
      <c r="AL949" s="73">
        <f t="shared" si="23"/>
        <v>0</v>
      </c>
      <c r="AM949" s="73">
        <f t="shared" si="24"/>
        <v>0.433638093</v>
      </c>
      <c r="AN949" s="120">
        <f t="shared" si="25"/>
        <v>-3.240190514</v>
      </c>
      <c r="AO949" s="120">
        <f t="shared" si="26"/>
        <v>-6.395549135</v>
      </c>
      <c r="AP949" s="120" t="str">
        <f t="array" ref="AP949">INDIRECT("Update"&amp;Projections!$AH$17&amp;"!S"&amp;ROW(B930))</f>
        <v/>
      </c>
      <c r="AQ949" s="120" t="str">
        <f t="array" ref="AQ949">INDIRECT("Update"&amp;Projections!$AH$17&amp;"!T"&amp;ROW(B930))</f>
        <v/>
      </c>
      <c r="AR949" s="100">
        <f t="shared" si="27"/>
        <v>-9.965301026</v>
      </c>
    </row>
    <row r="950">
      <c r="A950" t="str">
        <f t="shared" si="3"/>
        <v/>
      </c>
      <c r="B950" s="42">
        <f t="shared" si="4"/>
        <v>-3.155358621</v>
      </c>
      <c r="C950" s="43">
        <f t="shared" si="5"/>
        <v>-1.740686581</v>
      </c>
      <c r="D950" s="42">
        <f t="shared" si="6"/>
        <v>-2.380599106</v>
      </c>
      <c r="E950" s="42">
        <f t="shared" si="7"/>
        <v>-1.79320266</v>
      </c>
      <c r="F950" s="42">
        <f t="shared" si="8"/>
        <v>-3.240190514</v>
      </c>
      <c r="G950" s="42">
        <f t="shared" si="9"/>
        <v>-1.329092151</v>
      </c>
      <c r="H950" s="42">
        <f t="shared" si="10"/>
        <v>0</v>
      </c>
      <c r="I950" s="42" t="str">
        <f>UpdateHashtag!S948</f>
        <v/>
      </c>
      <c r="J950" s="47">
        <f t="shared" si="11"/>
        <v>0</v>
      </c>
      <c r="K950" s="48" t="str">
        <f>UpdateHashtag!T948</f>
        <v/>
      </c>
      <c r="L950" s="42">
        <f t="shared" si="12"/>
        <v>-1.734552372</v>
      </c>
      <c r="N950" s="100">
        <f t="shared" si="13"/>
        <v>401</v>
      </c>
      <c r="O950" s="94" t="str">
        <f t="array" ref="O950">INDIRECT("Update"&amp;Projections!$AH$17&amp;"!B"&amp;ROW(B931))</f>
        <v/>
      </c>
      <c r="P950" s="414" t="str">
        <f t="array" ref="P950">INDIRECT("Update"&amp;Projections!$AH$17&amp;"!C"&amp;ROW(B931))</f>
        <v/>
      </c>
      <c r="Q950" s="94" t="str">
        <f>UpdateHashtag!F980</f>
        <v/>
      </c>
      <c r="R950" s="105" t="str">
        <f t="array" ref="R950">INDIRECT("Update"&amp;Projections!$AH$17&amp;"!D"&amp;ROW(B931))</f>
        <v/>
      </c>
      <c r="S950" s="73">
        <f t="shared" si="14"/>
        <v>-9.965301026</v>
      </c>
      <c r="T950" s="73">
        <f>SUM(AE950:AM950)-IFERROR(IFS(Projections!$I$17,AN950,Projections!$J$17,AO950),"")</f>
        <v>-9.965301026</v>
      </c>
      <c r="U950" s="73">
        <f t="shared" si="15"/>
        <v>0</v>
      </c>
      <c r="V950" s="73" t="str">
        <f t="array" ref="V950">INDIRECT("Update"&amp;Projections!$AH$17&amp;"!M"&amp;ROW(B931))</f>
        <v/>
      </c>
      <c r="W950" s="73" t="str">
        <f t="array" ref="W950">INDIRECT("Update"&amp;Projections!$AH$17&amp;"!L"&amp;ROW(B931))</f>
        <v/>
      </c>
      <c r="X950" s="73" t="str">
        <f t="array" ref="X950">INDIRECT("Update"&amp;Projections!$AH$17&amp;"!N"&amp;ROW(B931))</f>
        <v/>
      </c>
      <c r="Y950" s="73" t="str">
        <f t="array" ref="Y950">INDIRECT("Update"&amp;Projections!$AH$17&amp;"!O"&amp;ROW(B931))</f>
        <v/>
      </c>
      <c r="Z950" s="73" t="str">
        <f t="array" ref="Z950">INDIRECT("Update"&amp;Projections!$AH$17&amp;"!P"&amp;ROW(B931))</f>
        <v/>
      </c>
      <c r="AA950" s="73" t="str">
        <f t="array" ref="AA950">INDIRECT("Update"&amp;Projections!$AH$17&amp;"!Q"&amp;ROW(B931))</f>
        <v/>
      </c>
      <c r="AB950" s="107" t="str">
        <f t="array" ref="AB950">INDIRECT("Update"&amp;Projections!$AH$17&amp;"!I"&amp;ROW(B931))</f>
        <v/>
      </c>
      <c r="AC950" s="107" t="str">
        <f t="array" ref="AC950">INDIRECT("Update"&amp;Projections!$AH$17&amp;"!K"&amp;ROW(B931))</f>
        <v/>
      </c>
      <c r="AD950" s="73" t="str">
        <f t="array" ref="AD950">INDIRECT("Update"&amp;Projections!$AH$17&amp;"!R"&amp;ROW(B931))</f>
        <v/>
      </c>
      <c r="AE950" s="73">
        <f t="shared" si="16"/>
        <v>-3.155358621</v>
      </c>
      <c r="AF950" s="73">
        <f t="shared" si="17"/>
        <v>-1.740686581</v>
      </c>
      <c r="AG950" s="73">
        <f t="shared" si="18"/>
        <v>-2.380599106</v>
      </c>
      <c r="AH950" s="73">
        <f t="shared" si="19"/>
        <v>-1.79320266</v>
      </c>
      <c r="AI950" s="73">
        <f t="shared" si="20"/>
        <v>-3.240190514</v>
      </c>
      <c r="AJ950" s="73">
        <f t="shared" si="21"/>
        <v>-1.329092151</v>
      </c>
      <c r="AK950" s="73">
        <f t="shared" si="22"/>
        <v>0</v>
      </c>
      <c r="AL950" s="73">
        <f t="shared" si="23"/>
        <v>0</v>
      </c>
      <c r="AM950" s="73">
        <f t="shared" si="24"/>
        <v>0.433638093</v>
      </c>
      <c r="AN950" s="120">
        <f t="shared" si="25"/>
        <v>-3.240190514</v>
      </c>
      <c r="AO950" s="120">
        <f t="shared" si="26"/>
        <v>-6.395549135</v>
      </c>
      <c r="AP950" s="120" t="str">
        <f t="array" ref="AP950">INDIRECT("Update"&amp;Projections!$AH$17&amp;"!S"&amp;ROW(B931))</f>
        <v/>
      </c>
      <c r="AQ950" s="120" t="str">
        <f t="array" ref="AQ950">INDIRECT("Update"&amp;Projections!$AH$17&amp;"!T"&amp;ROW(B931))</f>
        <v/>
      </c>
      <c r="AR950" s="100">
        <f t="shared" si="27"/>
        <v>-9.965301026</v>
      </c>
    </row>
    <row r="951">
      <c r="A951" t="str">
        <f t="shared" si="3"/>
        <v/>
      </c>
      <c r="B951" s="42">
        <f t="shared" si="4"/>
        <v>-3.155358621</v>
      </c>
      <c r="C951" s="43">
        <f t="shared" si="5"/>
        <v>-1.740686581</v>
      </c>
      <c r="D951" s="42">
        <f t="shared" si="6"/>
        <v>-2.380599106</v>
      </c>
      <c r="E951" s="42">
        <f t="shared" si="7"/>
        <v>-1.79320266</v>
      </c>
      <c r="F951" s="42">
        <f t="shared" si="8"/>
        <v>-3.240190514</v>
      </c>
      <c r="G951" s="42">
        <f t="shared" si="9"/>
        <v>-1.329092151</v>
      </c>
      <c r="H951" s="42">
        <f t="shared" si="10"/>
        <v>0</v>
      </c>
      <c r="I951" s="42" t="str">
        <f>UpdateHashtag!S949</f>
        <v/>
      </c>
      <c r="J951" s="47">
        <f t="shared" si="11"/>
        <v>0</v>
      </c>
      <c r="K951" s="48" t="str">
        <f>UpdateHashtag!T949</f>
        <v/>
      </c>
      <c r="L951" s="42">
        <f t="shared" si="12"/>
        <v>-1.734552372</v>
      </c>
      <c r="N951" s="100">
        <f t="shared" si="13"/>
        <v>401</v>
      </c>
      <c r="O951" s="94" t="str">
        <f t="array" ref="O951">INDIRECT("Update"&amp;Projections!$AH$17&amp;"!B"&amp;ROW(B932))</f>
        <v/>
      </c>
      <c r="P951" s="414" t="str">
        <f t="array" ref="P951">INDIRECT("Update"&amp;Projections!$AH$17&amp;"!C"&amp;ROW(B932))</f>
        <v/>
      </c>
      <c r="Q951" s="94" t="str">
        <f>UpdateHashtag!F981</f>
        <v/>
      </c>
      <c r="R951" s="105" t="str">
        <f t="array" ref="R951">INDIRECT("Update"&amp;Projections!$AH$17&amp;"!D"&amp;ROW(B932))</f>
        <v/>
      </c>
      <c r="S951" s="73">
        <f t="shared" si="14"/>
        <v>-9.965301026</v>
      </c>
      <c r="T951" s="73">
        <f>SUM(AE951:AM951)-IFERROR(IFS(Projections!$I$17,AN951,Projections!$J$17,AO951),"")</f>
        <v>-9.965301026</v>
      </c>
      <c r="U951" s="73">
        <f t="shared" si="15"/>
        <v>0</v>
      </c>
      <c r="V951" s="73" t="str">
        <f t="array" ref="V951">INDIRECT("Update"&amp;Projections!$AH$17&amp;"!M"&amp;ROW(B932))</f>
        <v/>
      </c>
      <c r="W951" s="73" t="str">
        <f t="array" ref="W951">INDIRECT("Update"&amp;Projections!$AH$17&amp;"!L"&amp;ROW(B932))</f>
        <v/>
      </c>
      <c r="X951" s="73" t="str">
        <f t="array" ref="X951">INDIRECT("Update"&amp;Projections!$AH$17&amp;"!N"&amp;ROW(B932))</f>
        <v/>
      </c>
      <c r="Y951" s="73" t="str">
        <f t="array" ref="Y951">INDIRECT("Update"&amp;Projections!$AH$17&amp;"!O"&amp;ROW(B932))</f>
        <v/>
      </c>
      <c r="Z951" s="73" t="str">
        <f t="array" ref="Z951">INDIRECT("Update"&amp;Projections!$AH$17&amp;"!P"&amp;ROW(B932))</f>
        <v/>
      </c>
      <c r="AA951" s="73" t="str">
        <f t="array" ref="AA951">INDIRECT("Update"&amp;Projections!$AH$17&amp;"!Q"&amp;ROW(B932))</f>
        <v/>
      </c>
      <c r="AB951" s="107" t="str">
        <f t="array" ref="AB951">INDIRECT("Update"&amp;Projections!$AH$17&amp;"!I"&amp;ROW(B932))</f>
        <v/>
      </c>
      <c r="AC951" s="107" t="str">
        <f t="array" ref="AC951">INDIRECT("Update"&amp;Projections!$AH$17&amp;"!K"&amp;ROW(B932))</f>
        <v/>
      </c>
      <c r="AD951" s="73" t="str">
        <f t="array" ref="AD951">INDIRECT("Update"&amp;Projections!$AH$17&amp;"!R"&amp;ROW(B932))</f>
        <v/>
      </c>
      <c r="AE951" s="73">
        <f t="shared" si="16"/>
        <v>-3.155358621</v>
      </c>
      <c r="AF951" s="73">
        <f t="shared" si="17"/>
        <v>-1.740686581</v>
      </c>
      <c r="AG951" s="73">
        <f t="shared" si="18"/>
        <v>-2.380599106</v>
      </c>
      <c r="AH951" s="73">
        <f t="shared" si="19"/>
        <v>-1.79320266</v>
      </c>
      <c r="AI951" s="73">
        <f t="shared" si="20"/>
        <v>-3.240190514</v>
      </c>
      <c r="AJ951" s="73">
        <f t="shared" si="21"/>
        <v>-1.329092151</v>
      </c>
      <c r="AK951" s="73">
        <f t="shared" si="22"/>
        <v>0</v>
      </c>
      <c r="AL951" s="73">
        <f t="shared" si="23"/>
        <v>0</v>
      </c>
      <c r="AM951" s="73">
        <f t="shared" si="24"/>
        <v>0.433638093</v>
      </c>
      <c r="AN951" s="120">
        <f t="shared" si="25"/>
        <v>-3.240190514</v>
      </c>
      <c r="AO951" s="120">
        <f t="shared" si="26"/>
        <v>-6.395549135</v>
      </c>
      <c r="AP951" s="120" t="str">
        <f t="array" ref="AP951">INDIRECT("Update"&amp;Projections!$AH$17&amp;"!S"&amp;ROW(B932))</f>
        <v/>
      </c>
      <c r="AQ951" s="120" t="str">
        <f t="array" ref="AQ951">INDIRECT("Update"&amp;Projections!$AH$17&amp;"!T"&amp;ROW(B932))</f>
        <v/>
      </c>
      <c r="AR951" s="100">
        <f t="shared" si="27"/>
        <v>-9.965301026</v>
      </c>
    </row>
    <row r="952">
      <c r="A952" t="str">
        <f t="shared" si="3"/>
        <v/>
      </c>
      <c r="B952" s="42">
        <f t="shared" si="4"/>
        <v>-3.155358621</v>
      </c>
      <c r="C952" s="43">
        <f t="shared" si="5"/>
        <v>-1.740686581</v>
      </c>
      <c r="D952" s="42">
        <f t="shared" si="6"/>
        <v>-2.380599106</v>
      </c>
      <c r="E952" s="42">
        <f t="shared" si="7"/>
        <v>-1.79320266</v>
      </c>
      <c r="F952" s="42">
        <f t="shared" si="8"/>
        <v>-3.240190514</v>
      </c>
      <c r="G952" s="42">
        <f t="shared" si="9"/>
        <v>-1.329092151</v>
      </c>
      <c r="H952" s="42">
        <f t="shared" si="10"/>
        <v>0</v>
      </c>
      <c r="I952" s="42" t="str">
        <f>UpdateHashtag!S950</f>
        <v/>
      </c>
      <c r="J952" s="47">
        <f t="shared" si="11"/>
        <v>0</v>
      </c>
      <c r="K952" s="48" t="str">
        <f>UpdateHashtag!T950</f>
        <v/>
      </c>
      <c r="L952" s="42">
        <f t="shared" si="12"/>
        <v>-1.734552372</v>
      </c>
      <c r="N952" s="100">
        <f t="shared" si="13"/>
        <v>401</v>
      </c>
      <c r="O952" s="94" t="str">
        <f t="array" ref="O952">INDIRECT("Update"&amp;Projections!$AH$17&amp;"!B"&amp;ROW(B933))</f>
        <v/>
      </c>
      <c r="P952" s="414" t="str">
        <f t="array" ref="P952">INDIRECT("Update"&amp;Projections!$AH$17&amp;"!C"&amp;ROW(B933))</f>
        <v/>
      </c>
      <c r="Q952" s="94" t="str">
        <f>UpdateHashtag!F982</f>
        <v/>
      </c>
      <c r="R952" s="105" t="str">
        <f t="array" ref="R952">INDIRECT("Update"&amp;Projections!$AH$17&amp;"!D"&amp;ROW(B933))</f>
        <v/>
      </c>
      <c r="S952" s="73">
        <f t="shared" si="14"/>
        <v>-9.965301026</v>
      </c>
      <c r="T952" s="73">
        <f>SUM(AE952:AM952)-IFERROR(IFS(Projections!$I$17,AN952,Projections!$J$17,AO952),"")</f>
        <v>-9.965301026</v>
      </c>
      <c r="U952" s="73">
        <f t="shared" si="15"/>
        <v>0</v>
      </c>
      <c r="V952" s="73" t="str">
        <f t="array" ref="V952">INDIRECT("Update"&amp;Projections!$AH$17&amp;"!M"&amp;ROW(B933))</f>
        <v/>
      </c>
      <c r="W952" s="73" t="str">
        <f t="array" ref="W952">INDIRECT("Update"&amp;Projections!$AH$17&amp;"!L"&amp;ROW(B933))</f>
        <v/>
      </c>
      <c r="X952" s="73" t="str">
        <f t="array" ref="X952">INDIRECT("Update"&amp;Projections!$AH$17&amp;"!N"&amp;ROW(B933))</f>
        <v/>
      </c>
      <c r="Y952" s="73" t="str">
        <f t="array" ref="Y952">INDIRECT("Update"&amp;Projections!$AH$17&amp;"!O"&amp;ROW(B933))</f>
        <v/>
      </c>
      <c r="Z952" s="73" t="str">
        <f t="array" ref="Z952">INDIRECT("Update"&amp;Projections!$AH$17&amp;"!P"&amp;ROW(B933))</f>
        <v/>
      </c>
      <c r="AA952" s="73" t="str">
        <f t="array" ref="AA952">INDIRECT("Update"&amp;Projections!$AH$17&amp;"!Q"&amp;ROW(B933))</f>
        <v/>
      </c>
      <c r="AB952" s="107" t="str">
        <f t="array" ref="AB952">INDIRECT("Update"&amp;Projections!$AH$17&amp;"!I"&amp;ROW(B933))</f>
        <v/>
      </c>
      <c r="AC952" s="107" t="str">
        <f t="array" ref="AC952">INDIRECT("Update"&amp;Projections!$AH$17&amp;"!K"&amp;ROW(B933))</f>
        <v/>
      </c>
      <c r="AD952" s="73" t="str">
        <f t="array" ref="AD952">INDIRECT("Update"&amp;Projections!$AH$17&amp;"!R"&amp;ROW(B933))</f>
        <v/>
      </c>
      <c r="AE952" s="73">
        <f t="shared" si="16"/>
        <v>-3.155358621</v>
      </c>
      <c r="AF952" s="73">
        <f t="shared" si="17"/>
        <v>-1.740686581</v>
      </c>
      <c r="AG952" s="73">
        <f t="shared" si="18"/>
        <v>-2.380599106</v>
      </c>
      <c r="AH952" s="73">
        <f t="shared" si="19"/>
        <v>-1.79320266</v>
      </c>
      <c r="AI952" s="73">
        <f t="shared" si="20"/>
        <v>-3.240190514</v>
      </c>
      <c r="AJ952" s="73">
        <f t="shared" si="21"/>
        <v>-1.329092151</v>
      </c>
      <c r="AK952" s="73">
        <f t="shared" si="22"/>
        <v>0</v>
      </c>
      <c r="AL952" s="73">
        <f t="shared" si="23"/>
        <v>0</v>
      </c>
      <c r="AM952" s="73">
        <f t="shared" si="24"/>
        <v>0.433638093</v>
      </c>
      <c r="AN952" s="120">
        <f t="shared" si="25"/>
        <v>-3.240190514</v>
      </c>
      <c r="AO952" s="120">
        <f t="shared" si="26"/>
        <v>-6.395549135</v>
      </c>
      <c r="AP952" s="120" t="str">
        <f t="array" ref="AP952">INDIRECT("Update"&amp;Projections!$AH$17&amp;"!S"&amp;ROW(B933))</f>
        <v/>
      </c>
      <c r="AQ952" s="120" t="str">
        <f t="array" ref="AQ952">INDIRECT("Update"&amp;Projections!$AH$17&amp;"!T"&amp;ROW(B933))</f>
        <v/>
      </c>
      <c r="AR952" s="100">
        <f t="shared" si="27"/>
        <v>-9.965301026</v>
      </c>
    </row>
    <row r="953">
      <c r="A953" t="str">
        <f t="shared" si="3"/>
        <v/>
      </c>
      <c r="B953" s="42">
        <f t="shared" si="4"/>
        <v>-3.155358621</v>
      </c>
      <c r="C953" s="43">
        <f t="shared" si="5"/>
        <v>-1.740686581</v>
      </c>
      <c r="D953" s="42">
        <f t="shared" si="6"/>
        <v>-2.380599106</v>
      </c>
      <c r="E953" s="42">
        <f t="shared" si="7"/>
        <v>-1.79320266</v>
      </c>
      <c r="F953" s="42">
        <f t="shared" si="8"/>
        <v>-3.240190514</v>
      </c>
      <c r="G953" s="42">
        <f t="shared" si="9"/>
        <v>-1.329092151</v>
      </c>
      <c r="H953" s="42">
        <f t="shared" si="10"/>
        <v>0</v>
      </c>
      <c r="I953" s="42" t="str">
        <f>UpdateHashtag!S951</f>
        <v/>
      </c>
      <c r="J953" s="47">
        <f t="shared" si="11"/>
        <v>0</v>
      </c>
      <c r="K953" s="48" t="str">
        <f>UpdateHashtag!T951</f>
        <v/>
      </c>
      <c r="L953" s="42">
        <f t="shared" si="12"/>
        <v>-1.734552372</v>
      </c>
      <c r="N953" s="100">
        <f t="shared" si="13"/>
        <v>401</v>
      </c>
      <c r="O953" s="94" t="str">
        <f t="array" ref="O953">INDIRECT("Update"&amp;Projections!$AH$17&amp;"!B"&amp;ROW(B934))</f>
        <v/>
      </c>
      <c r="P953" s="414" t="str">
        <f t="array" ref="P953">INDIRECT("Update"&amp;Projections!$AH$17&amp;"!C"&amp;ROW(B934))</f>
        <v/>
      </c>
      <c r="Q953" s="94" t="str">
        <f>UpdateHashtag!F983</f>
        <v/>
      </c>
      <c r="R953" s="105" t="str">
        <f t="array" ref="R953">INDIRECT("Update"&amp;Projections!$AH$17&amp;"!D"&amp;ROW(B934))</f>
        <v/>
      </c>
      <c r="S953" s="73">
        <f t="shared" si="14"/>
        <v>-9.965301026</v>
      </c>
      <c r="T953" s="73">
        <f>SUM(AE953:AM953)-IFERROR(IFS(Projections!$I$17,AN953,Projections!$J$17,AO953),"")</f>
        <v>-9.965301026</v>
      </c>
      <c r="U953" s="73">
        <f t="shared" si="15"/>
        <v>0</v>
      </c>
      <c r="V953" s="73" t="str">
        <f t="array" ref="V953">INDIRECT("Update"&amp;Projections!$AH$17&amp;"!M"&amp;ROW(B934))</f>
        <v/>
      </c>
      <c r="W953" s="73" t="str">
        <f t="array" ref="W953">INDIRECT("Update"&amp;Projections!$AH$17&amp;"!L"&amp;ROW(B934))</f>
        <v/>
      </c>
      <c r="X953" s="73" t="str">
        <f t="array" ref="X953">INDIRECT("Update"&amp;Projections!$AH$17&amp;"!N"&amp;ROW(B934))</f>
        <v/>
      </c>
      <c r="Y953" s="73" t="str">
        <f t="array" ref="Y953">INDIRECT("Update"&amp;Projections!$AH$17&amp;"!O"&amp;ROW(B934))</f>
        <v/>
      </c>
      <c r="Z953" s="73" t="str">
        <f t="array" ref="Z953">INDIRECT("Update"&amp;Projections!$AH$17&amp;"!P"&amp;ROW(B934))</f>
        <v/>
      </c>
      <c r="AA953" s="73" t="str">
        <f t="array" ref="AA953">INDIRECT("Update"&amp;Projections!$AH$17&amp;"!Q"&amp;ROW(B934))</f>
        <v/>
      </c>
      <c r="AB953" s="107" t="str">
        <f t="array" ref="AB953">INDIRECT("Update"&amp;Projections!$AH$17&amp;"!I"&amp;ROW(B934))</f>
        <v/>
      </c>
      <c r="AC953" s="107" t="str">
        <f t="array" ref="AC953">INDIRECT("Update"&amp;Projections!$AH$17&amp;"!K"&amp;ROW(B934))</f>
        <v/>
      </c>
      <c r="AD953" s="73" t="str">
        <f t="array" ref="AD953">INDIRECT("Update"&amp;Projections!$AH$17&amp;"!R"&amp;ROW(B934))</f>
        <v/>
      </c>
      <c r="AE953" s="73">
        <f t="shared" si="16"/>
        <v>-3.155358621</v>
      </c>
      <c r="AF953" s="73">
        <f t="shared" si="17"/>
        <v>-1.740686581</v>
      </c>
      <c r="AG953" s="73">
        <f t="shared" si="18"/>
        <v>-2.380599106</v>
      </c>
      <c r="AH953" s="73">
        <f t="shared" si="19"/>
        <v>-1.79320266</v>
      </c>
      <c r="AI953" s="73">
        <f t="shared" si="20"/>
        <v>-3.240190514</v>
      </c>
      <c r="AJ953" s="73">
        <f t="shared" si="21"/>
        <v>-1.329092151</v>
      </c>
      <c r="AK953" s="73">
        <f t="shared" si="22"/>
        <v>0</v>
      </c>
      <c r="AL953" s="73">
        <f t="shared" si="23"/>
        <v>0</v>
      </c>
      <c r="AM953" s="73">
        <f t="shared" si="24"/>
        <v>0.433638093</v>
      </c>
      <c r="AN953" s="120">
        <f t="shared" si="25"/>
        <v>-3.240190514</v>
      </c>
      <c r="AO953" s="120">
        <f t="shared" si="26"/>
        <v>-6.395549135</v>
      </c>
      <c r="AP953" s="120" t="str">
        <f t="array" ref="AP953">INDIRECT("Update"&amp;Projections!$AH$17&amp;"!S"&amp;ROW(B934))</f>
        <v/>
      </c>
      <c r="AQ953" s="120" t="str">
        <f t="array" ref="AQ953">INDIRECT("Update"&amp;Projections!$AH$17&amp;"!T"&amp;ROW(B934))</f>
        <v/>
      </c>
      <c r="AR953" s="100">
        <f t="shared" si="27"/>
        <v>-9.965301026</v>
      </c>
    </row>
    <row r="954">
      <c r="A954" t="str">
        <f t="shared" si="3"/>
        <v/>
      </c>
      <c r="B954" s="42">
        <f t="shared" si="4"/>
        <v>-3.155358621</v>
      </c>
      <c r="C954" s="43">
        <f t="shared" si="5"/>
        <v>-1.740686581</v>
      </c>
      <c r="D954" s="42">
        <f t="shared" si="6"/>
        <v>-2.380599106</v>
      </c>
      <c r="E954" s="42">
        <f t="shared" si="7"/>
        <v>-1.79320266</v>
      </c>
      <c r="F954" s="42">
        <f t="shared" si="8"/>
        <v>-3.240190514</v>
      </c>
      <c r="G954" s="42">
        <f t="shared" si="9"/>
        <v>-1.329092151</v>
      </c>
      <c r="H954" s="42">
        <f t="shared" si="10"/>
        <v>0</v>
      </c>
      <c r="I954" s="42" t="str">
        <f>UpdateHashtag!S952</f>
        <v/>
      </c>
      <c r="J954" s="47">
        <f t="shared" si="11"/>
        <v>0</v>
      </c>
      <c r="K954" s="48" t="str">
        <f>UpdateHashtag!T952</f>
        <v/>
      </c>
      <c r="L954" s="42">
        <f t="shared" si="12"/>
        <v>-1.734552372</v>
      </c>
      <c r="N954" s="100">
        <f t="shared" si="13"/>
        <v>401</v>
      </c>
      <c r="O954" s="94" t="str">
        <f t="array" ref="O954">INDIRECT("Update"&amp;Projections!$AH$17&amp;"!B"&amp;ROW(B935))</f>
        <v/>
      </c>
      <c r="P954" s="414" t="str">
        <f t="array" ref="P954">INDIRECT("Update"&amp;Projections!$AH$17&amp;"!C"&amp;ROW(B935))</f>
        <v/>
      </c>
      <c r="Q954" s="94" t="str">
        <f>UpdateHashtag!F984</f>
        <v/>
      </c>
      <c r="R954" s="105" t="str">
        <f t="array" ref="R954">INDIRECT("Update"&amp;Projections!$AH$17&amp;"!D"&amp;ROW(B935))</f>
        <v/>
      </c>
      <c r="S954" s="73">
        <f t="shared" si="14"/>
        <v>-9.965301026</v>
      </c>
      <c r="T954" s="73">
        <f>SUM(AE954:AM954)-IFERROR(IFS(Projections!$I$17,AN954,Projections!$J$17,AO954),"")</f>
        <v>-9.965301026</v>
      </c>
      <c r="U954" s="73">
        <f t="shared" si="15"/>
        <v>0</v>
      </c>
      <c r="V954" s="73" t="str">
        <f t="array" ref="V954">INDIRECT("Update"&amp;Projections!$AH$17&amp;"!M"&amp;ROW(B935))</f>
        <v/>
      </c>
      <c r="W954" s="73" t="str">
        <f t="array" ref="W954">INDIRECT("Update"&amp;Projections!$AH$17&amp;"!L"&amp;ROW(B935))</f>
        <v/>
      </c>
      <c r="X954" s="73" t="str">
        <f t="array" ref="X954">INDIRECT("Update"&amp;Projections!$AH$17&amp;"!N"&amp;ROW(B935))</f>
        <v/>
      </c>
      <c r="Y954" s="73" t="str">
        <f t="array" ref="Y954">INDIRECT("Update"&amp;Projections!$AH$17&amp;"!O"&amp;ROW(B935))</f>
        <v/>
      </c>
      <c r="Z954" s="73" t="str">
        <f t="array" ref="Z954">INDIRECT("Update"&amp;Projections!$AH$17&amp;"!P"&amp;ROW(B935))</f>
        <v/>
      </c>
      <c r="AA954" s="73" t="str">
        <f t="array" ref="AA954">INDIRECT("Update"&amp;Projections!$AH$17&amp;"!Q"&amp;ROW(B935))</f>
        <v/>
      </c>
      <c r="AB954" s="107" t="str">
        <f t="array" ref="AB954">INDIRECT("Update"&amp;Projections!$AH$17&amp;"!I"&amp;ROW(B935))</f>
        <v/>
      </c>
      <c r="AC954" s="107" t="str">
        <f t="array" ref="AC954">INDIRECT("Update"&amp;Projections!$AH$17&amp;"!K"&amp;ROW(B935))</f>
        <v/>
      </c>
      <c r="AD954" s="73" t="str">
        <f t="array" ref="AD954">INDIRECT("Update"&amp;Projections!$AH$17&amp;"!R"&amp;ROW(B935))</f>
        <v/>
      </c>
      <c r="AE954" s="73">
        <f t="shared" si="16"/>
        <v>-3.155358621</v>
      </c>
      <c r="AF954" s="73">
        <f t="shared" si="17"/>
        <v>-1.740686581</v>
      </c>
      <c r="AG954" s="73">
        <f t="shared" si="18"/>
        <v>-2.380599106</v>
      </c>
      <c r="AH954" s="73">
        <f t="shared" si="19"/>
        <v>-1.79320266</v>
      </c>
      <c r="AI954" s="73">
        <f t="shared" si="20"/>
        <v>-3.240190514</v>
      </c>
      <c r="AJ954" s="73">
        <f t="shared" si="21"/>
        <v>-1.329092151</v>
      </c>
      <c r="AK954" s="73">
        <f t="shared" si="22"/>
        <v>0</v>
      </c>
      <c r="AL954" s="73">
        <f t="shared" si="23"/>
        <v>0</v>
      </c>
      <c r="AM954" s="73">
        <f t="shared" si="24"/>
        <v>0.433638093</v>
      </c>
      <c r="AN954" s="120">
        <f t="shared" si="25"/>
        <v>-3.240190514</v>
      </c>
      <c r="AO954" s="120">
        <f t="shared" si="26"/>
        <v>-6.395549135</v>
      </c>
      <c r="AP954" s="120" t="str">
        <f t="array" ref="AP954">INDIRECT("Update"&amp;Projections!$AH$17&amp;"!S"&amp;ROW(B935))</f>
        <v/>
      </c>
      <c r="AQ954" s="120" t="str">
        <f t="array" ref="AQ954">INDIRECT("Update"&amp;Projections!$AH$17&amp;"!T"&amp;ROW(B935))</f>
        <v/>
      </c>
      <c r="AR954" s="100">
        <f t="shared" si="27"/>
        <v>-9.965301026</v>
      </c>
    </row>
    <row r="955">
      <c r="A955" t="str">
        <f t="shared" si="3"/>
        <v/>
      </c>
      <c r="B955" s="42">
        <f t="shared" si="4"/>
        <v>-3.155358621</v>
      </c>
      <c r="C955" s="43">
        <f t="shared" si="5"/>
        <v>-1.740686581</v>
      </c>
      <c r="D955" s="42">
        <f t="shared" si="6"/>
        <v>-2.380599106</v>
      </c>
      <c r="E955" s="42">
        <f t="shared" si="7"/>
        <v>-1.79320266</v>
      </c>
      <c r="F955" s="42">
        <f t="shared" si="8"/>
        <v>-3.240190514</v>
      </c>
      <c r="G955" s="42">
        <f t="shared" si="9"/>
        <v>-1.329092151</v>
      </c>
      <c r="H955" s="42">
        <f t="shared" si="10"/>
        <v>0</v>
      </c>
      <c r="I955" s="42" t="str">
        <f>UpdateHashtag!S953</f>
        <v/>
      </c>
      <c r="J955" s="47">
        <f t="shared" si="11"/>
        <v>0</v>
      </c>
      <c r="K955" s="48" t="str">
        <f>UpdateHashtag!T953</f>
        <v/>
      </c>
      <c r="L955" s="42">
        <f t="shared" si="12"/>
        <v>-1.734552372</v>
      </c>
      <c r="N955" s="100">
        <f t="shared" si="13"/>
        <v>401</v>
      </c>
      <c r="O955" s="94" t="str">
        <f t="array" ref="O955">INDIRECT("Update"&amp;Projections!$AH$17&amp;"!B"&amp;ROW(B936))</f>
        <v/>
      </c>
      <c r="P955" s="414" t="str">
        <f t="array" ref="P955">INDIRECT("Update"&amp;Projections!$AH$17&amp;"!C"&amp;ROW(B936))</f>
        <v/>
      </c>
      <c r="Q955" s="94" t="str">
        <f>UpdateHashtag!F985</f>
        <v/>
      </c>
      <c r="R955" s="105" t="str">
        <f t="array" ref="R955">INDIRECT("Update"&amp;Projections!$AH$17&amp;"!D"&amp;ROW(B936))</f>
        <v/>
      </c>
      <c r="S955" s="73">
        <f t="shared" si="14"/>
        <v>-9.965301026</v>
      </c>
      <c r="T955" s="73">
        <f>SUM(AE955:AM955)-IFERROR(IFS(Projections!$I$17,AN955,Projections!$J$17,AO955),"")</f>
        <v>-9.965301026</v>
      </c>
      <c r="U955" s="73">
        <f t="shared" si="15"/>
        <v>0</v>
      </c>
      <c r="V955" s="73" t="str">
        <f t="array" ref="V955">INDIRECT("Update"&amp;Projections!$AH$17&amp;"!M"&amp;ROW(B936))</f>
        <v/>
      </c>
      <c r="W955" s="73" t="str">
        <f t="array" ref="W955">INDIRECT("Update"&amp;Projections!$AH$17&amp;"!L"&amp;ROW(B936))</f>
        <v/>
      </c>
      <c r="X955" s="73" t="str">
        <f t="array" ref="X955">INDIRECT("Update"&amp;Projections!$AH$17&amp;"!N"&amp;ROW(B936))</f>
        <v/>
      </c>
      <c r="Y955" s="73" t="str">
        <f t="array" ref="Y955">INDIRECT("Update"&amp;Projections!$AH$17&amp;"!O"&amp;ROW(B936))</f>
        <v/>
      </c>
      <c r="Z955" s="73" t="str">
        <f t="array" ref="Z955">INDIRECT("Update"&amp;Projections!$AH$17&amp;"!P"&amp;ROW(B936))</f>
        <v/>
      </c>
      <c r="AA955" s="73" t="str">
        <f t="array" ref="AA955">INDIRECT("Update"&amp;Projections!$AH$17&amp;"!Q"&amp;ROW(B936))</f>
        <v/>
      </c>
      <c r="AB955" s="107" t="str">
        <f t="array" ref="AB955">INDIRECT("Update"&amp;Projections!$AH$17&amp;"!I"&amp;ROW(B936))</f>
        <v/>
      </c>
      <c r="AC955" s="107" t="str">
        <f t="array" ref="AC955">INDIRECT("Update"&amp;Projections!$AH$17&amp;"!K"&amp;ROW(B936))</f>
        <v/>
      </c>
      <c r="AD955" s="73" t="str">
        <f t="array" ref="AD955">INDIRECT("Update"&amp;Projections!$AH$17&amp;"!R"&amp;ROW(B936))</f>
        <v/>
      </c>
      <c r="AE955" s="73">
        <f t="shared" si="16"/>
        <v>-3.155358621</v>
      </c>
      <c r="AF955" s="73">
        <f t="shared" si="17"/>
        <v>-1.740686581</v>
      </c>
      <c r="AG955" s="73">
        <f t="shared" si="18"/>
        <v>-2.380599106</v>
      </c>
      <c r="AH955" s="73">
        <f t="shared" si="19"/>
        <v>-1.79320266</v>
      </c>
      <c r="AI955" s="73">
        <f t="shared" si="20"/>
        <v>-3.240190514</v>
      </c>
      <c r="AJ955" s="73">
        <f t="shared" si="21"/>
        <v>-1.329092151</v>
      </c>
      <c r="AK955" s="73">
        <f t="shared" si="22"/>
        <v>0</v>
      </c>
      <c r="AL955" s="73">
        <f t="shared" si="23"/>
        <v>0</v>
      </c>
      <c r="AM955" s="73">
        <f t="shared" si="24"/>
        <v>0.433638093</v>
      </c>
      <c r="AN955" s="120">
        <f t="shared" si="25"/>
        <v>-3.240190514</v>
      </c>
      <c r="AO955" s="120">
        <f t="shared" si="26"/>
        <v>-6.395549135</v>
      </c>
      <c r="AP955" s="120" t="str">
        <f t="array" ref="AP955">INDIRECT("Update"&amp;Projections!$AH$17&amp;"!S"&amp;ROW(B936))</f>
        <v/>
      </c>
      <c r="AQ955" s="120" t="str">
        <f t="array" ref="AQ955">INDIRECT("Update"&amp;Projections!$AH$17&amp;"!T"&amp;ROW(B936))</f>
        <v/>
      </c>
      <c r="AR955" s="100">
        <f t="shared" si="27"/>
        <v>-9.965301026</v>
      </c>
    </row>
    <row r="956">
      <c r="A956" t="str">
        <f t="shared" si="3"/>
        <v/>
      </c>
      <c r="B956" s="42">
        <f t="shared" si="4"/>
        <v>-3.155358621</v>
      </c>
      <c r="C956" s="43">
        <f t="shared" si="5"/>
        <v>-1.740686581</v>
      </c>
      <c r="D956" s="42">
        <f t="shared" si="6"/>
        <v>-2.380599106</v>
      </c>
      <c r="E956" s="42">
        <f t="shared" si="7"/>
        <v>-1.79320266</v>
      </c>
      <c r="F956" s="42">
        <f t="shared" si="8"/>
        <v>-3.240190514</v>
      </c>
      <c r="G956" s="42">
        <f t="shared" si="9"/>
        <v>-1.329092151</v>
      </c>
      <c r="H956" s="42">
        <f t="shared" si="10"/>
        <v>0</v>
      </c>
      <c r="I956" s="42" t="str">
        <f>UpdateHashtag!S954</f>
        <v/>
      </c>
      <c r="J956" s="47">
        <f t="shared" si="11"/>
        <v>0</v>
      </c>
      <c r="K956" s="48" t="str">
        <f>UpdateHashtag!T954</f>
        <v/>
      </c>
      <c r="L956" s="42">
        <f t="shared" si="12"/>
        <v>-1.734552372</v>
      </c>
      <c r="N956" s="100">
        <f t="shared" si="13"/>
        <v>401</v>
      </c>
      <c r="O956" s="94" t="str">
        <f t="array" ref="O956">INDIRECT("Update"&amp;Projections!$AH$17&amp;"!B"&amp;ROW(B937))</f>
        <v/>
      </c>
      <c r="P956" s="414" t="str">
        <f t="array" ref="P956">INDIRECT("Update"&amp;Projections!$AH$17&amp;"!C"&amp;ROW(B937))</f>
        <v/>
      </c>
      <c r="Q956" s="94" t="str">
        <f>UpdateHashtag!F986</f>
        <v/>
      </c>
      <c r="R956" s="105" t="str">
        <f t="array" ref="R956">INDIRECT("Update"&amp;Projections!$AH$17&amp;"!D"&amp;ROW(B937))</f>
        <v/>
      </c>
      <c r="S956" s="73">
        <f t="shared" si="14"/>
        <v>-9.965301026</v>
      </c>
      <c r="T956" s="73">
        <f>SUM(AE956:AM956)-IFERROR(IFS(Projections!$I$17,AN956,Projections!$J$17,AO956),"")</f>
        <v>-9.965301026</v>
      </c>
      <c r="U956" s="73">
        <f t="shared" si="15"/>
        <v>0</v>
      </c>
      <c r="V956" s="73" t="str">
        <f t="array" ref="V956">INDIRECT("Update"&amp;Projections!$AH$17&amp;"!M"&amp;ROW(B937))</f>
        <v/>
      </c>
      <c r="W956" s="73" t="str">
        <f t="array" ref="W956">INDIRECT("Update"&amp;Projections!$AH$17&amp;"!L"&amp;ROW(B937))</f>
        <v/>
      </c>
      <c r="X956" s="73" t="str">
        <f t="array" ref="X956">INDIRECT("Update"&amp;Projections!$AH$17&amp;"!N"&amp;ROW(B937))</f>
        <v/>
      </c>
      <c r="Y956" s="73" t="str">
        <f t="array" ref="Y956">INDIRECT("Update"&amp;Projections!$AH$17&amp;"!O"&amp;ROW(B937))</f>
        <v/>
      </c>
      <c r="Z956" s="73" t="str">
        <f t="array" ref="Z956">INDIRECT("Update"&amp;Projections!$AH$17&amp;"!P"&amp;ROW(B937))</f>
        <v/>
      </c>
      <c r="AA956" s="73" t="str">
        <f t="array" ref="AA956">INDIRECT("Update"&amp;Projections!$AH$17&amp;"!Q"&amp;ROW(B937))</f>
        <v/>
      </c>
      <c r="AB956" s="107" t="str">
        <f t="array" ref="AB956">INDIRECT("Update"&amp;Projections!$AH$17&amp;"!I"&amp;ROW(B937))</f>
        <v/>
      </c>
      <c r="AC956" s="107" t="str">
        <f t="array" ref="AC956">INDIRECT("Update"&amp;Projections!$AH$17&amp;"!K"&amp;ROW(B937))</f>
        <v/>
      </c>
      <c r="AD956" s="73" t="str">
        <f t="array" ref="AD956">INDIRECT("Update"&amp;Projections!$AH$17&amp;"!R"&amp;ROW(B937))</f>
        <v/>
      </c>
      <c r="AE956" s="73">
        <f t="shared" si="16"/>
        <v>-3.155358621</v>
      </c>
      <c r="AF956" s="73">
        <f t="shared" si="17"/>
        <v>-1.740686581</v>
      </c>
      <c r="AG956" s="73">
        <f t="shared" si="18"/>
        <v>-2.380599106</v>
      </c>
      <c r="AH956" s="73">
        <f t="shared" si="19"/>
        <v>-1.79320266</v>
      </c>
      <c r="AI956" s="73">
        <f t="shared" si="20"/>
        <v>-3.240190514</v>
      </c>
      <c r="AJ956" s="73">
        <f t="shared" si="21"/>
        <v>-1.329092151</v>
      </c>
      <c r="AK956" s="73">
        <f t="shared" si="22"/>
        <v>0</v>
      </c>
      <c r="AL956" s="73">
        <f t="shared" si="23"/>
        <v>0</v>
      </c>
      <c r="AM956" s="73">
        <f t="shared" si="24"/>
        <v>0.433638093</v>
      </c>
      <c r="AN956" s="120">
        <f t="shared" si="25"/>
        <v>-3.240190514</v>
      </c>
      <c r="AO956" s="120">
        <f t="shared" si="26"/>
        <v>-6.395549135</v>
      </c>
      <c r="AP956" s="120" t="str">
        <f t="array" ref="AP956">INDIRECT("Update"&amp;Projections!$AH$17&amp;"!S"&amp;ROW(B937))</f>
        <v/>
      </c>
      <c r="AQ956" s="120" t="str">
        <f t="array" ref="AQ956">INDIRECT("Update"&amp;Projections!$AH$17&amp;"!T"&amp;ROW(B937))</f>
        <v/>
      </c>
      <c r="AR956" s="100">
        <f t="shared" si="27"/>
        <v>-9.965301026</v>
      </c>
    </row>
    <row r="957">
      <c r="A957" t="str">
        <f t="shared" si="3"/>
        <v/>
      </c>
      <c r="B957" s="42">
        <f t="shared" si="4"/>
        <v>-3.155358621</v>
      </c>
      <c r="C957" s="43">
        <f t="shared" si="5"/>
        <v>-1.740686581</v>
      </c>
      <c r="D957" s="42">
        <f t="shared" si="6"/>
        <v>-2.380599106</v>
      </c>
      <c r="E957" s="42">
        <f t="shared" si="7"/>
        <v>-1.79320266</v>
      </c>
      <c r="F957" s="42">
        <f t="shared" si="8"/>
        <v>-3.240190514</v>
      </c>
      <c r="G957" s="42">
        <f t="shared" si="9"/>
        <v>-1.329092151</v>
      </c>
      <c r="H957" s="42">
        <f t="shared" si="10"/>
        <v>0</v>
      </c>
      <c r="I957" s="42" t="str">
        <f>UpdateHashtag!S955</f>
        <v/>
      </c>
      <c r="J957" s="47">
        <f t="shared" si="11"/>
        <v>0</v>
      </c>
      <c r="K957" s="48" t="str">
        <f>UpdateHashtag!T955</f>
        <v/>
      </c>
      <c r="L957" s="42">
        <f t="shared" si="12"/>
        <v>-1.734552372</v>
      </c>
      <c r="N957" s="100">
        <f t="shared" si="13"/>
        <v>401</v>
      </c>
      <c r="O957" s="94" t="str">
        <f t="array" ref="O957">INDIRECT("Update"&amp;Projections!$AH$17&amp;"!B"&amp;ROW(B938))</f>
        <v/>
      </c>
      <c r="P957" s="414" t="str">
        <f t="array" ref="P957">INDIRECT("Update"&amp;Projections!$AH$17&amp;"!C"&amp;ROW(B938))</f>
        <v/>
      </c>
      <c r="Q957" s="94" t="str">
        <f>UpdateHashtag!F987</f>
        <v/>
      </c>
      <c r="R957" s="105" t="str">
        <f t="array" ref="R957">INDIRECT("Update"&amp;Projections!$AH$17&amp;"!D"&amp;ROW(B938))</f>
        <v/>
      </c>
      <c r="S957" s="73">
        <f t="shared" si="14"/>
        <v>-9.965301026</v>
      </c>
      <c r="T957" s="73">
        <f>SUM(AE957:AM957)-IFERROR(IFS(Projections!$I$17,AN957,Projections!$J$17,AO957),"")</f>
        <v>-9.965301026</v>
      </c>
      <c r="U957" s="73">
        <f t="shared" si="15"/>
        <v>0</v>
      </c>
      <c r="V957" s="73" t="str">
        <f t="array" ref="V957">INDIRECT("Update"&amp;Projections!$AH$17&amp;"!M"&amp;ROW(B938))</f>
        <v/>
      </c>
      <c r="W957" s="73" t="str">
        <f t="array" ref="W957">INDIRECT("Update"&amp;Projections!$AH$17&amp;"!L"&amp;ROW(B938))</f>
        <v/>
      </c>
      <c r="X957" s="73" t="str">
        <f t="array" ref="X957">INDIRECT("Update"&amp;Projections!$AH$17&amp;"!N"&amp;ROW(B938))</f>
        <v/>
      </c>
      <c r="Y957" s="73" t="str">
        <f t="array" ref="Y957">INDIRECT("Update"&amp;Projections!$AH$17&amp;"!O"&amp;ROW(B938))</f>
        <v/>
      </c>
      <c r="Z957" s="73" t="str">
        <f t="array" ref="Z957">INDIRECT("Update"&amp;Projections!$AH$17&amp;"!P"&amp;ROW(B938))</f>
        <v/>
      </c>
      <c r="AA957" s="73" t="str">
        <f t="array" ref="AA957">INDIRECT("Update"&amp;Projections!$AH$17&amp;"!Q"&amp;ROW(B938))</f>
        <v/>
      </c>
      <c r="AB957" s="107" t="str">
        <f t="array" ref="AB957">INDIRECT("Update"&amp;Projections!$AH$17&amp;"!I"&amp;ROW(B938))</f>
        <v/>
      </c>
      <c r="AC957" s="107" t="str">
        <f t="array" ref="AC957">INDIRECT("Update"&amp;Projections!$AH$17&amp;"!K"&amp;ROW(B938))</f>
        <v/>
      </c>
      <c r="AD957" s="73" t="str">
        <f t="array" ref="AD957">INDIRECT("Update"&amp;Projections!$AH$17&amp;"!R"&amp;ROW(B938))</f>
        <v/>
      </c>
      <c r="AE957" s="73">
        <f t="shared" si="16"/>
        <v>-3.155358621</v>
      </c>
      <c r="AF957" s="73">
        <f t="shared" si="17"/>
        <v>-1.740686581</v>
      </c>
      <c r="AG957" s="73">
        <f t="shared" si="18"/>
        <v>-2.380599106</v>
      </c>
      <c r="AH957" s="73">
        <f t="shared" si="19"/>
        <v>-1.79320266</v>
      </c>
      <c r="AI957" s="73">
        <f t="shared" si="20"/>
        <v>-3.240190514</v>
      </c>
      <c r="AJ957" s="73">
        <f t="shared" si="21"/>
        <v>-1.329092151</v>
      </c>
      <c r="AK957" s="73">
        <f t="shared" si="22"/>
        <v>0</v>
      </c>
      <c r="AL957" s="73">
        <f t="shared" si="23"/>
        <v>0</v>
      </c>
      <c r="AM957" s="73">
        <f t="shared" si="24"/>
        <v>0.433638093</v>
      </c>
      <c r="AN957" s="120">
        <f t="shared" si="25"/>
        <v>-3.240190514</v>
      </c>
      <c r="AO957" s="120">
        <f t="shared" si="26"/>
        <v>-6.395549135</v>
      </c>
      <c r="AP957" s="120" t="str">
        <f t="array" ref="AP957">INDIRECT("Update"&amp;Projections!$AH$17&amp;"!S"&amp;ROW(B938))</f>
        <v/>
      </c>
      <c r="AQ957" s="120" t="str">
        <f t="array" ref="AQ957">INDIRECT("Update"&amp;Projections!$AH$17&amp;"!T"&amp;ROW(B938))</f>
        <v/>
      </c>
      <c r="AR957" s="100">
        <f t="shared" si="27"/>
        <v>-9.965301026</v>
      </c>
    </row>
    <row r="958">
      <c r="A958" t="str">
        <f t="shared" si="3"/>
        <v/>
      </c>
      <c r="B958" s="42">
        <f t="shared" si="4"/>
        <v>-3.155358621</v>
      </c>
      <c r="C958" s="43">
        <f t="shared" si="5"/>
        <v>-1.740686581</v>
      </c>
      <c r="D958" s="42">
        <f t="shared" si="6"/>
        <v>-2.380599106</v>
      </c>
      <c r="E958" s="42">
        <f t="shared" si="7"/>
        <v>-1.79320266</v>
      </c>
      <c r="F958" s="42">
        <f t="shared" si="8"/>
        <v>-3.240190514</v>
      </c>
      <c r="G958" s="42">
        <f t="shared" si="9"/>
        <v>-1.329092151</v>
      </c>
      <c r="H958" s="42">
        <f t="shared" si="10"/>
        <v>0</v>
      </c>
      <c r="I958" s="42" t="str">
        <f>UpdateHashtag!S956</f>
        <v/>
      </c>
      <c r="J958" s="47">
        <f t="shared" si="11"/>
        <v>0</v>
      </c>
      <c r="K958" s="48" t="str">
        <f>UpdateHashtag!T956</f>
        <v/>
      </c>
      <c r="L958" s="42">
        <f t="shared" si="12"/>
        <v>-1.734552372</v>
      </c>
      <c r="N958" s="100">
        <f t="shared" si="13"/>
        <v>401</v>
      </c>
      <c r="O958" s="94" t="str">
        <f t="array" ref="O958">INDIRECT("Update"&amp;Projections!$AH$17&amp;"!B"&amp;ROW(B939))</f>
        <v/>
      </c>
      <c r="P958" s="414" t="str">
        <f t="array" ref="P958">INDIRECT("Update"&amp;Projections!$AH$17&amp;"!C"&amp;ROW(B939))</f>
        <v/>
      </c>
      <c r="Q958" s="94" t="str">
        <f>UpdateHashtag!F988</f>
        <v/>
      </c>
      <c r="R958" s="105" t="str">
        <f t="array" ref="R958">INDIRECT("Update"&amp;Projections!$AH$17&amp;"!D"&amp;ROW(B939))</f>
        <v/>
      </c>
      <c r="S958" s="73">
        <f t="shared" si="14"/>
        <v>-9.965301026</v>
      </c>
      <c r="T958" s="73">
        <f>SUM(AE958:AM958)-IFERROR(IFS(Projections!$I$17,AN958,Projections!$J$17,AO958),"")</f>
        <v>-9.965301026</v>
      </c>
      <c r="U958" s="73">
        <f t="shared" si="15"/>
        <v>0</v>
      </c>
      <c r="V958" s="73" t="str">
        <f t="array" ref="V958">INDIRECT("Update"&amp;Projections!$AH$17&amp;"!M"&amp;ROW(B939))</f>
        <v/>
      </c>
      <c r="W958" s="73" t="str">
        <f t="array" ref="W958">INDIRECT("Update"&amp;Projections!$AH$17&amp;"!L"&amp;ROW(B939))</f>
        <v/>
      </c>
      <c r="X958" s="73" t="str">
        <f t="array" ref="X958">INDIRECT("Update"&amp;Projections!$AH$17&amp;"!N"&amp;ROW(B939))</f>
        <v/>
      </c>
      <c r="Y958" s="73" t="str">
        <f t="array" ref="Y958">INDIRECT("Update"&amp;Projections!$AH$17&amp;"!O"&amp;ROW(B939))</f>
        <v/>
      </c>
      <c r="Z958" s="73" t="str">
        <f t="array" ref="Z958">INDIRECT("Update"&amp;Projections!$AH$17&amp;"!P"&amp;ROW(B939))</f>
        <v/>
      </c>
      <c r="AA958" s="73" t="str">
        <f t="array" ref="AA958">INDIRECT("Update"&amp;Projections!$AH$17&amp;"!Q"&amp;ROW(B939))</f>
        <v/>
      </c>
      <c r="AB958" s="107" t="str">
        <f t="array" ref="AB958">INDIRECT("Update"&amp;Projections!$AH$17&amp;"!I"&amp;ROW(B939))</f>
        <v/>
      </c>
      <c r="AC958" s="107" t="str">
        <f t="array" ref="AC958">INDIRECT("Update"&amp;Projections!$AH$17&amp;"!K"&amp;ROW(B939))</f>
        <v/>
      </c>
      <c r="AD958" s="73" t="str">
        <f t="array" ref="AD958">INDIRECT("Update"&amp;Projections!$AH$17&amp;"!R"&amp;ROW(B939))</f>
        <v/>
      </c>
      <c r="AE958" s="73">
        <f t="shared" si="16"/>
        <v>-3.155358621</v>
      </c>
      <c r="AF958" s="73">
        <f t="shared" si="17"/>
        <v>-1.740686581</v>
      </c>
      <c r="AG958" s="73">
        <f t="shared" si="18"/>
        <v>-2.380599106</v>
      </c>
      <c r="AH958" s="73">
        <f t="shared" si="19"/>
        <v>-1.79320266</v>
      </c>
      <c r="AI958" s="73">
        <f t="shared" si="20"/>
        <v>-3.240190514</v>
      </c>
      <c r="AJ958" s="73">
        <f t="shared" si="21"/>
        <v>-1.329092151</v>
      </c>
      <c r="AK958" s="73">
        <f t="shared" si="22"/>
        <v>0</v>
      </c>
      <c r="AL958" s="73">
        <f t="shared" si="23"/>
        <v>0</v>
      </c>
      <c r="AM958" s="73">
        <f t="shared" si="24"/>
        <v>0.433638093</v>
      </c>
      <c r="AN958" s="120">
        <f t="shared" si="25"/>
        <v>-3.240190514</v>
      </c>
      <c r="AO958" s="120">
        <f t="shared" si="26"/>
        <v>-6.395549135</v>
      </c>
      <c r="AP958" s="120" t="str">
        <f t="array" ref="AP958">INDIRECT("Update"&amp;Projections!$AH$17&amp;"!S"&amp;ROW(B939))</f>
        <v/>
      </c>
      <c r="AQ958" s="120" t="str">
        <f t="array" ref="AQ958">INDIRECT("Update"&amp;Projections!$AH$17&amp;"!T"&amp;ROW(B939))</f>
        <v/>
      </c>
      <c r="AR958" s="100">
        <f t="shared" si="27"/>
        <v>-9.965301026</v>
      </c>
    </row>
    <row r="959">
      <c r="A959" t="str">
        <f t="shared" si="3"/>
        <v/>
      </c>
      <c r="B959" s="42">
        <f t="shared" si="4"/>
        <v>-3.155358621</v>
      </c>
      <c r="C959" s="43">
        <f t="shared" si="5"/>
        <v>-1.740686581</v>
      </c>
      <c r="D959" s="42">
        <f t="shared" si="6"/>
        <v>-2.380599106</v>
      </c>
      <c r="E959" s="42">
        <f t="shared" si="7"/>
        <v>-1.79320266</v>
      </c>
      <c r="F959" s="42">
        <f t="shared" si="8"/>
        <v>-3.240190514</v>
      </c>
      <c r="G959" s="42">
        <f t="shared" si="9"/>
        <v>-1.329092151</v>
      </c>
      <c r="H959" s="42">
        <f t="shared" si="10"/>
        <v>0</v>
      </c>
      <c r="I959" s="42" t="str">
        <f>UpdateHashtag!S957</f>
        <v/>
      </c>
      <c r="J959" s="47">
        <f t="shared" si="11"/>
        <v>0</v>
      </c>
      <c r="K959" s="48" t="str">
        <f>UpdateHashtag!T957</f>
        <v/>
      </c>
      <c r="L959" s="42">
        <f t="shared" si="12"/>
        <v>-1.734552372</v>
      </c>
      <c r="N959" s="100">
        <f t="shared" si="13"/>
        <v>401</v>
      </c>
      <c r="O959" s="94" t="str">
        <f t="array" ref="O959">INDIRECT("Update"&amp;Projections!$AH$17&amp;"!B"&amp;ROW(B940))</f>
        <v/>
      </c>
      <c r="P959" s="414" t="str">
        <f t="array" ref="P959">INDIRECT("Update"&amp;Projections!$AH$17&amp;"!C"&amp;ROW(B940))</f>
        <v/>
      </c>
      <c r="Q959" s="94" t="str">
        <f>UpdateHashtag!F989</f>
        <v/>
      </c>
      <c r="R959" s="105" t="str">
        <f t="array" ref="R959">INDIRECT("Update"&amp;Projections!$AH$17&amp;"!D"&amp;ROW(B940))</f>
        <v/>
      </c>
      <c r="S959" s="73">
        <f t="shared" si="14"/>
        <v>-9.965301026</v>
      </c>
      <c r="T959" s="73">
        <f>SUM(AE959:AM959)-IFERROR(IFS(Projections!$I$17,AN959,Projections!$J$17,AO959),"")</f>
        <v>-9.965301026</v>
      </c>
      <c r="U959" s="73">
        <f t="shared" si="15"/>
        <v>0</v>
      </c>
      <c r="V959" s="73" t="str">
        <f t="array" ref="V959">INDIRECT("Update"&amp;Projections!$AH$17&amp;"!M"&amp;ROW(B940))</f>
        <v/>
      </c>
      <c r="W959" s="73" t="str">
        <f t="array" ref="W959">INDIRECT("Update"&amp;Projections!$AH$17&amp;"!L"&amp;ROW(B940))</f>
        <v/>
      </c>
      <c r="X959" s="73" t="str">
        <f t="array" ref="X959">INDIRECT("Update"&amp;Projections!$AH$17&amp;"!N"&amp;ROW(B940))</f>
        <v/>
      </c>
      <c r="Y959" s="73" t="str">
        <f t="array" ref="Y959">INDIRECT("Update"&amp;Projections!$AH$17&amp;"!O"&amp;ROW(B940))</f>
        <v/>
      </c>
      <c r="Z959" s="73" t="str">
        <f t="array" ref="Z959">INDIRECT("Update"&amp;Projections!$AH$17&amp;"!P"&amp;ROW(B940))</f>
        <v/>
      </c>
      <c r="AA959" s="73" t="str">
        <f t="array" ref="AA959">INDIRECT("Update"&amp;Projections!$AH$17&amp;"!Q"&amp;ROW(B940))</f>
        <v/>
      </c>
      <c r="AB959" s="107" t="str">
        <f t="array" ref="AB959">INDIRECT("Update"&amp;Projections!$AH$17&amp;"!I"&amp;ROW(B940))</f>
        <v/>
      </c>
      <c r="AC959" s="107" t="str">
        <f t="array" ref="AC959">INDIRECT("Update"&amp;Projections!$AH$17&amp;"!K"&amp;ROW(B940))</f>
        <v/>
      </c>
      <c r="AD959" s="73" t="str">
        <f t="array" ref="AD959">INDIRECT("Update"&amp;Projections!$AH$17&amp;"!R"&amp;ROW(B940))</f>
        <v/>
      </c>
      <c r="AE959" s="73">
        <f t="shared" si="16"/>
        <v>-3.155358621</v>
      </c>
      <c r="AF959" s="73">
        <f t="shared" si="17"/>
        <v>-1.740686581</v>
      </c>
      <c r="AG959" s="73">
        <f t="shared" si="18"/>
        <v>-2.380599106</v>
      </c>
      <c r="AH959" s="73">
        <f t="shared" si="19"/>
        <v>-1.79320266</v>
      </c>
      <c r="AI959" s="73">
        <f t="shared" si="20"/>
        <v>-3.240190514</v>
      </c>
      <c r="AJ959" s="73">
        <f t="shared" si="21"/>
        <v>-1.329092151</v>
      </c>
      <c r="AK959" s="73">
        <f t="shared" si="22"/>
        <v>0</v>
      </c>
      <c r="AL959" s="73">
        <f t="shared" si="23"/>
        <v>0</v>
      </c>
      <c r="AM959" s="73">
        <f t="shared" si="24"/>
        <v>0.433638093</v>
      </c>
      <c r="AN959" s="120">
        <f t="shared" si="25"/>
        <v>-3.240190514</v>
      </c>
      <c r="AO959" s="120">
        <f t="shared" si="26"/>
        <v>-6.395549135</v>
      </c>
      <c r="AP959" s="120" t="str">
        <f t="array" ref="AP959">INDIRECT("Update"&amp;Projections!$AH$17&amp;"!S"&amp;ROW(B940))</f>
        <v/>
      </c>
      <c r="AQ959" s="120" t="str">
        <f t="array" ref="AQ959">INDIRECT("Update"&amp;Projections!$AH$17&amp;"!T"&amp;ROW(B940))</f>
        <v/>
      </c>
      <c r="AR959" s="100">
        <f t="shared" si="27"/>
        <v>-9.965301026</v>
      </c>
    </row>
    <row r="960">
      <c r="A960" t="str">
        <f t="shared" si="3"/>
        <v/>
      </c>
      <c r="B960" s="42">
        <f t="shared" si="4"/>
        <v>-3.155358621</v>
      </c>
      <c r="C960" s="43">
        <f t="shared" si="5"/>
        <v>-1.740686581</v>
      </c>
      <c r="D960" s="42">
        <f t="shared" si="6"/>
        <v>-2.380599106</v>
      </c>
      <c r="E960" s="42">
        <f t="shared" si="7"/>
        <v>-1.79320266</v>
      </c>
      <c r="F960" s="42">
        <f t="shared" si="8"/>
        <v>-3.240190514</v>
      </c>
      <c r="G960" s="42">
        <f t="shared" si="9"/>
        <v>-1.329092151</v>
      </c>
      <c r="H960" s="42">
        <f t="shared" si="10"/>
        <v>0</v>
      </c>
      <c r="I960" s="42" t="str">
        <f>UpdateHashtag!S958</f>
        <v/>
      </c>
      <c r="J960" s="47">
        <f t="shared" si="11"/>
        <v>0</v>
      </c>
      <c r="K960" s="48" t="str">
        <f>UpdateHashtag!T958</f>
        <v/>
      </c>
      <c r="L960" s="42">
        <f t="shared" si="12"/>
        <v>-1.734552372</v>
      </c>
      <c r="N960" s="100">
        <f t="shared" si="13"/>
        <v>401</v>
      </c>
      <c r="O960" s="94" t="str">
        <f t="array" ref="O960">INDIRECT("Update"&amp;Projections!$AH$17&amp;"!B"&amp;ROW(B941))</f>
        <v/>
      </c>
      <c r="P960" s="414" t="str">
        <f t="array" ref="P960">INDIRECT("Update"&amp;Projections!$AH$17&amp;"!C"&amp;ROW(B941))</f>
        <v/>
      </c>
      <c r="Q960" s="94" t="str">
        <f>UpdateHashtag!F990</f>
        <v/>
      </c>
      <c r="R960" s="105" t="str">
        <f t="array" ref="R960">INDIRECT("Update"&amp;Projections!$AH$17&amp;"!D"&amp;ROW(B941))</f>
        <v/>
      </c>
      <c r="S960" s="73">
        <f t="shared" si="14"/>
        <v>-9.965301026</v>
      </c>
      <c r="T960" s="73">
        <f>SUM(AE960:AM960)-IFERROR(IFS(Projections!$I$17,AN960,Projections!$J$17,AO960),"")</f>
        <v>-9.965301026</v>
      </c>
      <c r="U960" s="73">
        <f t="shared" si="15"/>
        <v>0</v>
      </c>
      <c r="V960" s="73" t="str">
        <f t="array" ref="V960">INDIRECT("Update"&amp;Projections!$AH$17&amp;"!M"&amp;ROW(B941))</f>
        <v/>
      </c>
      <c r="W960" s="73" t="str">
        <f t="array" ref="W960">INDIRECT("Update"&amp;Projections!$AH$17&amp;"!L"&amp;ROW(B941))</f>
        <v/>
      </c>
      <c r="X960" s="73" t="str">
        <f t="array" ref="X960">INDIRECT("Update"&amp;Projections!$AH$17&amp;"!N"&amp;ROW(B941))</f>
        <v/>
      </c>
      <c r="Y960" s="73" t="str">
        <f t="array" ref="Y960">INDIRECT("Update"&amp;Projections!$AH$17&amp;"!O"&amp;ROW(B941))</f>
        <v/>
      </c>
      <c r="Z960" s="73" t="str">
        <f t="array" ref="Z960">INDIRECT("Update"&amp;Projections!$AH$17&amp;"!P"&amp;ROW(B941))</f>
        <v/>
      </c>
      <c r="AA960" s="73" t="str">
        <f t="array" ref="AA960">INDIRECT("Update"&amp;Projections!$AH$17&amp;"!Q"&amp;ROW(B941))</f>
        <v/>
      </c>
      <c r="AB960" s="107" t="str">
        <f t="array" ref="AB960">INDIRECT("Update"&amp;Projections!$AH$17&amp;"!I"&amp;ROW(B941))</f>
        <v/>
      </c>
      <c r="AC960" s="107" t="str">
        <f t="array" ref="AC960">INDIRECT("Update"&amp;Projections!$AH$17&amp;"!K"&amp;ROW(B941))</f>
        <v/>
      </c>
      <c r="AD960" s="73" t="str">
        <f t="array" ref="AD960">INDIRECT("Update"&amp;Projections!$AH$17&amp;"!R"&amp;ROW(B941))</f>
        <v/>
      </c>
      <c r="AE960" s="73">
        <f t="shared" si="16"/>
        <v>-3.155358621</v>
      </c>
      <c r="AF960" s="73">
        <f t="shared" si="17"/>
        <v>-1.740686581</v>
      </c>
      <c r="AG960" s="73">
        <f t="shared" si="18"/>
        <v>-2.380599106</v>
      </c>
      <c r="AH960" s="73">
        <f t="shared" si="19"/>
        <v>-1.79320266</v>
      </c>
      <c r="AI960" s="73">
        <f t="shared" si="20"/>
        <v>-3.240190514</v>
      </c>
      <c r="AJ960" s="73">
        <f t="shared" si="21"/>
        <v>-1.329092151</v>
      </c>
      <c r="AK960" s="73">
        <f t="shared" si="22"/>
        <v>0</v>
      </c>
      <c r="AL960" s="73">
        <f t="shared" si="23"/>
        <v>0</v>
      </c>
      <c r="AM960" s="73">
        <f t="shared" si="24"/>
        <v>0.433638093</v>
      </c>
      <c r="AN960" s="120">
        <f t="shared" si="25"/>
        <v>-3.240190514</v>
      </c>
      <c r="AO960" s="120">
        <f t="shared" si="26"/>
        <v>-6.395549135</v>
      </c>
      <c r="AP960" s="120" t="str">
        <f t="array" ref="AP960">INDIRECT("Update"&amp;Projections!$AH$17&amp;"!S"&amp;ROW(B941))</f>
        <v/>
      </c>
      <c r="AQ960" s="120" t="str">
        <f t="array" ref="AQ960">INDIRECT("Update"&amp;Projections!$AH$17&amp;"!T"&amp;ROW(B941))</f>
        <v/>
      </c>
      <c r="AR960" s="100">
        <f t="shared" si="27"/>
        <v>-9.965301026</v>
      </c>
    </row>
    <row r="961">
      <c r="A961" t="str">
        <f t="shared" si="3"/>
        <v/>
      </c>
      <c r="B961" s="42">
        <f t="shared" si="4"/>
        <v>-3.155358621</v>
      </c>
      <c r="C961" s="43">
        <f t="shared" si="5"/>
        <v>-1.740686581</v>
      </c>
      <c r="D961" s="42">
        <f t="shared" si="6"/>
        <v>-2.380599106</v>
      </c>
      <c r="E961" s="42">
        <f t="shared" si="7"/>
        <v>-1.79320266</v>
      </c>
      <c r="F961" s="42">
        <f t="shared" si="8"/>
        <v>-3.240190514</v>
      </c>
      <c r="G961" s="42">
        <f t="shared" si="9"/>
        <v>-1.329092151</v>
      </c>
      <c r="H961" s="42">
        <f t="shared" si="10"/>
        <v>0</v>
      </c>
      <c r="I961" s="42" t="str">
        <f>UpdateHashtag!S959</f>
        <v/>
      </c>
      <c r="J961" s="47">
        <f t="shared" si="11"/>
        <v>0</v>
      </c>
      <c r="K961" s="48" t="str">
        <f>UpdateHashtag!T959</f>
        <v/>
      </c>
      <c r="L961" s="42">
        <f t="shared" si="12"/>
        <v>-1.734552372</v>
      </c>
      <c r="N961" s="100">
        <f t="shared" si="13"/>
        <v>401</v>
      </c>
      <c r="O961" s="94" t="str">
        <f t="array" ref="O961">INDIRECT("Update"&amp;Projections!$AH$17&amp;"!B"&amp;ROW(B942))</f>
        <v/>
      </c>
      <c r="P961" s="414" t="str">
        <f t="array" ref="P961">INDIRECT("Update"&amp;Projections!$AH$17&amp;"!C"&amp;ROW(B942))</f>
        <v/>
      </c>
      <c r="Q961" s="94" t="str">
        <f>UpdateHashtag!F991</f>
        <v/>
      </c>
      <c r="R961" s="105" t="str">
        <f t="array" ref="R961">INDIRECT("Update"&amp;Projections!$AH$17&amp;"!D"&amp;ROW(B942))</f>
        <v/>
      </c>
      <c r="S961" s="73">
        <f t="shared" si="14"/>
        <v>-9.965301026</v>
      </c>
      <c r="T961" s="73">
        <f>SUM(AE961:AM961)-IFERROR(IFS(Projections!$I$17,AN961,Projections!$J$17,AO961),"")</f>
        <v>-9.965301026</v>
      </c>
      <c r="U961" s="73">
        <f t="shared" si="15"/>
        <v>0</v>
      </c>
      <c r="V961" s="73" t="str">
        <f t="array" ref="V961">INDIRECT("Update"&amp;Projections!$AH$17&amp;"!M"&amp;ROW(B942))</f>
        <v/>
      </c>
      <c r="W961" s="73" t="str">
        <f t="array" ref="W961">INDIRECT("Update"&amp;Projections!$AH$17&amp;"!L"&amp;ROW(B942))</f>
        <v/>
      </c>
      <c r="X961" s="73" t="str">
        <f t="array" ref="X961">INDIRECT("Update"&amp;Projections!$AH$17&amp;"!N"&amp;ROW(B942))</f>
        <v/>
      </c>
      <c r="Y961" s="73" t="str">
        <f t="array" ref="Y961">INDIRECT("Update"&amp;Projections!$AH$17&amp;"!O"&amp;ROW(B942))</f>
        <v/>
      </c>
      <c r="Z961" s="73" t="str">
        <f t="array" ref="Z961">INDIRECT("Update"&amp;Projections!$AH$17&amp;"!P"&amp;ROW(B942))</f>
        <v/>
      </c>
      <c r="AA961" s="73" t="str">
        <f t="array" ref="AA961">INDIRECT("Update"&amp;Projections!$AH$17&amp;"!Q"&amp;ROW(B942))</f>
        <v/>
      </c>
      <c r="AB961" s="107" t="str">
        <f t="array" ref="AB961">INDIRECT("Update"&amp;Projections!$AH$17&amp;"!I"&amp;ROW(B942))</f>
        <v/>
      </c>
      <c r="AC961" s="107" t="str">
        <f t="array" ref="AC961">INDIRECT("Update"&amp;Projections!$AH$17&amp;"!K"&amp;ROW(B942))</f>
        <v/>
      </c>
      <c r="AD961" s="73" t="str">
        <f t="array" ref="AD961">INDIRECT("Update"&amp;Projections!$AH$17&amp;"!R"&amp;ROW(B942))</f>
        <v/>
      </c>
      <c r="AE961" s="73">
        <f t="shared" si="16"/>
        <v>-3.155358621</v>
      </c>
      <c r="AF961" s="73">
        <f t="shared" si="17"/>
        <v>-1.740686581</v>
      </c>
      <c r="AG961" s="73">
        <f t="shared" si="18"/>
        <v>-2.380599106</v>
      </c>
      <c r="AH961" s="73">
        <f t="shared" si="19"/>
        <v>-1.79320266</v>
      </c>
      <c r="AI961" s="73">
        <f t="shared" si="20"/>
        <v>-3.240190514</v>
      </c>
      <c r="AJ961" s="73">
        <f t="shared" si="21"/>
        <v>-1.329092151</v>
      </c>
      <c r="AK961" s="73">
        <f t="shared" si="22"/>
        <v>0</v>
      </c>
      <c r="AL961" s="73">
        <f t="shared" si="23"/>
        <v>0</v>
      </c>
      <c r="AM961" s="73">
        <f t="shared" si="24"/>
        <v>0.433638093</v>
      </c>
      <c r="AN961" s="120">
        <f t="shared" si="25"/>
        <v>-3.240190514</v>
      </c>
      <c r="AO961" s="120">
        <f t="shared" si="26"/>
        <v>-6.395549135</v>
      </c>
      <c r="AP961" s="120" t="str">
        <f t="array" ref="AP961">INDIRECT("Update"&amp;Projections!$AH$17&amp;"!S"&amp;ROW(B942))</f>
        <v/>
      </c>
      <c r="AQ961" s="120" t="str">
        <f t="array" ref="AQ961">INDIRECT("Update"&amp;Projections!$AH$17&amp;"!T"&amp;ROW(B942))</f>
        <v/>
      </c>
      <c r="AR961" s="100">
        <f t="shared" si="27"/>
        <v>-9.965301026</v>
      </c>
    </row>
    <row r="962">
      <c r="A962" t="str">
        <f t="shared" si="3"/>
        <v/>
      </c>
      <c r="B962" s="42">
        <f t="shared" si="4"/>
        <v>-3.155358621</v>
      </c>
      <c r="C962" s="43">
        <f t="shared" si="5"/>
        <v>-1.740686581</v>
      </c>
      <c r="D962" s="42">
        <f t="shared" si="6"/>
        <v>-2.380599106</v>
      </c>
      <c r="E962" s="42">
        <f t="shared" si="7"/>
        <v>-1.79320266</v>
      </c>
      <c r="F962" s="42">
        <f t="shared" si="8"/>
        <v>-3.240190514</v>
      </c>
      <c r="G962" s="42">
        <f t="shared" si="9"/>
        <v>-1.329092151</v>
      </c>
      <c r="H962" s="42">
        <f t="shared" si="10"/>
        <v>0</v>
      </c>
      <c r="I962" s="42" t="str">
        <f>UpdateHashtag!S960</f>
        <v/>
      </c>
      <c r="J962" s="47">
        <f t="shared" si="11"/>
        <v>0</v>
      </c>
      <c r="K962" s="48" t="str">
        <f>UpdateHashtag!T960</f>
        <v/>
      </c>
      <c r="L962" s="42">
        <f t="shared" si="12"/>
        <v>-1.734552372</v>
      </c>
      <c r="N962" s="100">
        <f t="shared" si="13"/>
        <v>401</v>
      </c>
      <c r="O962" s="94" t="str">
        <f t="array" ref="O962">INDIRECT("Update"&amp;Projections!$AH$17&amp;"!B"&amp;ROW(B943))</f>
        <v/>
      </c>
      <c r="P962" s="414" t="str">
        <f t="array" ref="P962">INDIRECT("Update"&amp;Projections!$AH$17&amp;"!C"&amp;ROW(B943))</f>
        <v/>
      </c>
      <c r="Q962" s="94" t="str">
        <f>UpdateHashtag!F992</f>
        <v/>
      </c>
      <c r="R962" s="105" t="str">
        <f t="array" ref="R962">INDIRECT("Update"&amp;Projections!$AH$17&amp;"!D"&amp;ROW(B943))</f>
        <v/>
      </c>
      <c r="S962" s="73">
        <f t="shared" si="14"/>
        <v>-9.965301026</v>
      </c>
      <c r="T962" s="73">
        <f>SUM(AE962:AM962)-IFERROR(IFS(Projections!$I$17,AN962,Projections!$J$17,AO962),"")</f>
        <v>-9.965301026</v>
      </c>
      <c r="U962" s="73">
        <f t="shared" si="15"/>
        <v>0</v>
      </c>
      <c r="V962" s="73" t="str">
        <f t="array" ref="V962">INDIRECT("Update"&amp;Projections!$AH$17&amp;"!M"&amp;ROW(B943))</f>
        <v/>
      </c>
      <c r="W962" s="73" t="str">
        <f t="array" ref="W962">INDIRECT("Update"&amp;Projections!$AH$17&amp;"!L"&amp;ROW(B943))</f>
        <v/>
      </c>
      <c r="X962" s="73" t="str">
        <f t="array" ref="X962">INDIRECT("Update"&amp;Projections!$AH$17&amp;"!N"&amp;ROW(B943))</f>
        <v/>
      </c>
      <c r="Y962" s="73" t="str">
        <f t="array" ref="Y962">INDIRECT("Update"&amp;Projections!$AH$17&amp;"!O"&amp;ROW(B943))</f>
        <v/>
      </c>
      <c r="Z962" s="73" t="str">
        <f t="array" ref="Z962">INDIRECT("Update"&amp;Projections!$AH$17&amp;"!P"&amp;ROW(B943))</f>
        <v/>
      </c>
      <c r="AA962" s="73" t="str">
        <f t="array" ref="AA962">INDIRECT("Update"&amp;Projections!$AH$17&amp;"!Q"&amp;ROW(B943))</f>
        <v/>
      </c>
      <c r="AB962" s="107" t="str">
        <f t="array" ref="AB962">INDIRECT("Update"&amp;Projections!$AH$17&amp;"!I"&amp;ROW(B943))</f>
        <v/>
      </c>
      <c r="AC962" s="107" t="str">
        <f t="array" ref="AC962">INDIRECT("Update"&amp;Projections!$AH$17&amp;"!K"&amp;ROW(B943))</f>
        <v/>
      </c>
      <c r="AD962" s="73" t="str">
        <f t="array" ref="AD962">INDIRECT("Update"&amp;Projections!$AH$17&amp;"!R"&amp;ROW(B943))</f>
        <v/>
      </c>
      <c r="AE962" s="73">
        <f t="shared" si="16"/>
        <v>-3.155358621</v>
      </c>
      <c r="AF962" s="73">
        <f t="shared" si="17"/>
        <v>-1.740686581</v>
      </c>
      <c r="AG962" s="73">
        <f t="shared" si="18"/>
        <v>-2.380599106</v>
      </c>
      <c r="AH962" s="73">
        <f t="shared" si="19"/>
        <v>-1.79320266</v>
      </c>
      <c r="AI962" s="73">
        <f t="shared" si="20"/>
        <v>-3.240190514</v>
      </c>
      <c r="AJ962" s="73">
        <f t="shared" si="21"/>
        <v>-1.329092151</v>
      </c>
      <c r="AK962" s="73">
        <f t="shared" si="22"/>
        <v>0</v>
      </c>
      <c r="AL962" s="73">
        <f t="shared" si="23"/>
        <v>0</v>
      </c>
      <c r="AM962" s="73">
        <f t="shared" si="24"/>
        <v>0.433638093</v>
      </c>
      <c r="AN962" s="120">
        <f t="shared" si="25"/>
        <v>-3.240190514</v>
      </c>
      <c r="AO962" s="120">
        <f t="shared" si="26"/>
        <v>-6.395549135</v>
      </c>
      <c r="AP962" s="120" t="str">
        <f t="array" ref="AP962">INDIRECT("Update"&amp;Projections!$AH$17&amp;"!S"&amp;ROW(B943))</f>
        <v/>
      </c>
      <c r="AQ962" s="120" t="str">
        <f t="array" ref="AQ962">INDIRECT("Update"&amp;Projections!$AH$17&amp;"!T"&amp;ROW(B943))</f>
        <v/>
      </c>
      <c r="AR962" s="100">
        <f t="shared" si="27"/>
        <v>-9.965301026</v>
      </c>
    </row>
    <row r="963">
      <c r="A963" t="str">
        <f t="shared" si="3"/>
        <v/>
      </c>
      <c r="B963" s="42">
        <f t="shared" si="4"/>
        <v>-3.155358621</v>
      </c>
      <c r="C963" s="43">
        <f t="shared" si="5"/>
        <v>-1.740686581</v>
      </c>
      <c r="D963" s="42">
        <f t="shared" si="6"/>
        <v>-2.380599106</v>
      </c>
      <c r="E963" s="42">
        <f t="shared" si="7"/>
        <v>-1.79320266</v>
      </c>
      <c r="F963" s="42">
        <f t="shared" si="8"/>
        <v>-3.240190514</v>
      </c>
      <c r="G963" s="42">
        <f t="shared" si="9"/>
        <v>-1.329092151</v>
      </c>
      <c r="H963" s="42">
        <f t="shared" si="10"/>
        <v>0</v>
      </c>
      <c r="I963" s="42" t="str">
        <f>UpdateHashtag!S961</f>
        <v/>
      </c>
      <c r="J963" s="47">
        <f t="shared" si="11"/>
        <v>0</v>
      </c>
      <c r="K963" s="48" t="str">
        <f>UpdateHashtag!T961</f>
        <v/>
      </c>
      <c r="L963" s="42">
        <f t="shared" si="12"/>
        <v>-1.734552372</v>
      </c>
      <c r="N963" s="100">
        <f t="shared" si="13"/>
        <v>401</v>
      </c>
      <c r="O963" s="94" t="str">
        <f t="array" ref="O963">INDIRECT("Update"&amp;Projections!$AH$17&amp;"!B"&amp;ROW(B944))</f>
        <v/>
      </c>
      <c r="P963" s="414" t="str">
        <f t="array" ref="P963">INDIRECT("Update"&amp;Projections!$AH$17&amp;"!C"&amp;ROW(B944))</f>
        <v/>
      </c>
      <c r="Q963" s="94" t="str">
        <f>UpdateHashtag!F993</f>
        <v/>
      </c>
      <c r="R963" s="105" t="str">
        <f t="array" ref="R963">INDIRECT("Update"&amp;Projections!$AH$17&amp;"!D"&amp;ROW(B944))</f>
        <v/>
      </c>
      <c r="S963" s="73">
        <f t="shared" si="14"/>
        <v>-9.965301026</v>
      </c>
      <c r="T963" s="73">
        <f>SUM(AE963:AM963)-IFERROR(IFS(Projections!$I$17,AN963,Projections!$J$17,AO963),"")</f>
        <v>-9.965301026</v>
      </c>
      <c r="U963" s="73">
        <f t="shared" si="15"/>
        <v>0</v>
      </c>
      <c r="V963" s="73" t="str">
        <f t="array" ref="V963">INDIRECT("Update"&amp;Projections!$AH$17&amp;"!M"&amp;ROW(B944))</f>
        <v/>
      </c>
      <c r="W963" s="73" t="str">
        <f t="array" ref="W963">INDIRECT("Update"&amp;Projections!$AH$17&amp;"!L"&amp;ROW(B944))</f>
        <v/>
      </c>
      <c r="X963" s="73" t="str">
        <f t="array" ref="X963">INDIRECT("Update"&amp;Projections!$AH$17&amp;"!N"&amp;ROW(B944))</f>
        <v/>
      </c>
      <c r="Y963" s="73" t="str">
        <f t="array" ref="Y963">INDIRECT("Update"&amp;Projections!$AH$17&amp;"!O"&amp;ROW(B944))</f>
        <v/>
      </c>
      <c r="Z963" s="73" t="str">
        <f t="array" ref="Z963">INDIRECT("Update"&amp;Projections!$AH$17&amp;"!P"&amp;ROW(B944))</f>
        <v/>
      </c>
      <c r="AA963" s="73" t="str">
        <f t="array" ref="AA963">INDIRECT("Update"&amp;Projections!$AH$17&amp;"!Q"&amp;ROW(B944))</f>
        <v/>
      </c>
      <c r="AB963" s="107" t="str">
        <f t="array" ref="AB963">INDIRECT("Update"&amp;Projections!$AH$17&amp;"!I"&amp;ROW(B944))</f>
        <v/>
      </c>
      <c r="AC963" s="107" t="str">
        <f t="array" ref="AC963">INDIRECT("Update"&amp;Projections!$AH$17&amp;"!K"&amp;ROW(B944))</f>
        <v/>
      </c>
      <c r="AD963" s="73" t="str">
        <f t="array" ref="AD963">INDIRECT("Update"&amp;Projections!$AH$17&amp;"!R"&amp;ROW(B944))</f>
        <v/>
      </c>
      <c r="AE963" s="73">
        <f t="shared" si="16"/>
        <v>-3.155358621</v>
      </c>
      <c r="AF963" s="73">
        <f t="shared" si="17"/>
        <v>-1.740686581</v>
      </c>
      <c r="AG963" s="73">
        <f t="shared" si="18"/>
        <v>-2.380599106</v>
      </c>
      <c r="AH963" s="73">
        <f t="shared" si="19"/>
        <v>-1.79320266</v>
      </c>
      <c r="AI963" s="73">
        <f t="shared" si="20"/>
        <v>-3.240190514</v>
      </c>
      <c r="AJ963" s="73">
        <f t="shared" si="21"/>
        <v>-1.329092151</v>
      </c>
      <c r="AK963" s="73">
        <f t="shared" si="22"/>
        <v>0</v>
      </c>
      <c r="AL963" s="73">
        <f t="shared" si="23"/>
        <v>0</v>
      </c>
      <c r="AM963" s="73">
        <f t="shared" si="24"/>
        <v>0.433638093</v>
      </c>
      <c r="AN963" s="120">
        <f t="shared" si="25"/>
        <v>-3.240190514</v>
      </c>
      <c r="AO963" s="120">
        <f t="shared" si="26"/>
        <v>-6.395549135</v>
      </c>
      <c r="AP963" s="120" t="str">
        <f t="array" ref="AP963">INDIRECT("Update"&amp;Projections!$AH$17&amp;"!S"&amp;ROW(B944))</f>
        <v/>
      </c>
      <c r="AQ963" s="120" t="str">
        <f t="array" ref="AQ963">INDIRECT("Update"&amp;Projections!$AH$17&amp;"!T"&amp;ROW(B944))</f>
        <v/>
      </c>
      <c r="AR963" s="100">
        <f t="shared" si="27"/>
        <v>-9.965301026</v>
      </c>
    </row>
    <row r="964">
      <c r="A964" t="str">
        <f t="shared" si="3"/>
        <v/>
      </c>
      <c r="B964" s="42">
        <f t="shared" si="4"/>
        <v>-3.155358621</v>
      </c>
      <c r="C964" s="43">
        <f t="shared" si="5"/>
        <v>-1.740686581</v>
      </c>
      <c r="D964" s="42">
        <f t="shared" si="6"/>
        <v>-2.380599106</v>
      </c>
      <c r="E964" s="42">
        <f t="shared" si="7"/>
        <v>-1.79320266</v>
      </c>
      <c r="F964" s="42">
        <f t="shared" si="8"/>
        <v>-3.240190514</v>
      </c>
      <c r="G964" s="42">
        <f t="shared" si="9"/>
        <v>-1.329092151</v>
      </c>
      <c r="H964" s="42">
        <f t="shared" si="10"/>
        <v>0</v>
      </c>
      <c r="I964" s="42" t="str">
        <f>UpdateHashtag!S962</f>
        <v/>
      </c>
      <c r="J964" s="47">
        <f t="shared" si="11"/>
        <v>0</v>
      </c>
      <c r="K964" s="48" t="str">
        <f>UpdateHashtag!T962</f>
        <v/>
      </c>
      <c r="L964" s="42">
        <f t="shared" si="12"/>
        <v>-1.734552372</v>
      </c>
      <c r="N964" s="100">
        <f t="shared" si="13"/>
        <v>401</v>
      </c>
      <c r="O964" s="94" t="str">
        <f t="array" ref="O964">INDIRECT("Update"&amp;Projections!$AH$17&amp;"!B"&amp;ROW(B945))</f>
        <v/>
      </c>
      <c r="P964" s="414" t="str">
        <f t="array" ref="P964">INDIRECT("Update"&amp;Projections!$AH$17&amp;"!C"&amp;ROW(B945))</f>
        <v/>
      </c>
      <c r="Q964" s="94" t="str">
        <f>UpdateHashtag!F994</f>
        <v/>
      </c>
      <c r="R964" s="105" t="str">
        <f t="array" ref="R964">INDIRECT("Update"&amp;Projections!$AH$17&amp;"!D"&amp;ROW(B945))</f>
        <v/>
      </c>
      <c r="S964" s="73">
        <f t="shared" si="14"/>
        <v>-9.965301026</v>
      </c>
      <c r="T964" s="73">
        <f>SUM(AE964:AM964)-IFERROR(IFS(Projections!$I$17,AN964,Projections!$J$17,AO964),"")</f>
        <v>-9.965301026</v>
      </c>
      <c r="U964" s="73">
        <f t="shared" si="15"/>
        <v>0</v>
      </c>
      <c r="V964" s="73" t="str">
        <f t="array" ref="V964">INDIRECT("Update"&amp;Projections!$AH$17&amp;"!M"&amp;ROW(B945))</f>
        <v/>
      </c>
      <c r="W964" s="73" t="str">
        <f t="array" ref="W964">INDIRECT("Update"&amp;Projections!$AH$17&amp;"!L"&amp;ROW(B945))</f>
        <v/>
      </c>
      <c r="X964" s="73" t="str">
        <f t="array" ref="X964">INDIRECT("Update"&amp;Projections!$AH$17&amp;"!N"&amp;ROW(B945))</f>
        <v/>
      </c>
      <c r="Y964" s="73" t="str">
        <f t="array" ref="Y964">INDIRECT("Update"&amp;Projections!$AH$17&amp;"!O"&amp;ROW(B945))</f>
        <v/>
      </c>
      <c r="Z964" s="73" t="str">
        <f t="array" ref="Z964">INDIRECT("Update"&amp;Projections!$AH$17&amp;"!P"&amp;ROW(B945))</f>
        <v/>
      </c>
      <c r="AA964" s="73" t="str">
        <f t="array" ref="AA964">INDIRECT("Update"&amp;Projections!$AH$17&amp;"!Q"&amp;ROW(B945))</f>
        <v/>
      </c>
      <c r="AB964" s="107" t="str">
        <f t="array" ref="AB964">INDIRECT("Update"&amp;Projections!$AH$17&amp;"!I"&amp;ROW(B945))</f>
        <v/>
      </c>
      <c r="AC964" s="107" t="str">
        <f t="array" ref="AC964">INDIRECT("Update"&amp;Projections!$AH$17&amp;"!K"&amp;ROW(B945))</f>
        <v/>
      </c>
      <c r="AD964" s="73" t="str">
        <f t="array" ref="AD964">INDIRECT("Update"&amp;Projections!$AH$17&amp;"!R"&amp;ROW(B945))</f>
        <v/>
      </c>
      <c r="AE964" s="73">
        <f t="shared" si="16"/>
        <v>-3.155358621</v>
      </c>
      <c r="AF964" s="73">
        <f t="shared" si="17"/>
        <v>-1.740686581</v>
      </c>
      <c r="AG964" s="73">
        <f t="shared" si="18"/>
        <v>-2.380599106</v>
      </c>
      <c r="AH964" s="73">
        <f t="shared" si="19"/>
        <v>-1.79320266</v>
      </c>
      <c r="AI964" s="73">
        <f t="shared" si="20"/>
        <v>-3.240190514</v>
      </c>
      <c r="AJ964" s="73">
        <f t="shared" si="21"/>
        <v>-1.329092151</v>
      </c>
      <c r="AK964" s="73">
        <f t="shared" si="22"/>
        <v>0</v>
      </c>
      <c r="AL964" s="73">
        <f t="shared" si="23"/>
        <v>0</v>
      </c>
      <c r="AM964" s="73">
        <f t="shared" si="24"/>
        <v>0.433638093</v>
      </c>
      <c r="AN964" s="120">
        <f t="shared" si="25"/>
        <v>-3.240190514</v>
      </c>
      <c r="AO964" s="120">
        <f t="shared" si="26"/>
        <v>-6.395549135</v>
      </c>
      <c r="AP964" s="120" t="str">
        <f t="array" ref="AP964">INDIRECT("Update"&amp;Projections!$AH$17&amp;"!S"&amp;ROW(B945))</f>
        <v/>
      </c>
      <c r="AQ964" s="120" t="str">
        <f t="array" ref="AQ964">INDIRECT("Update"&amp;Projections!$AH$17&amp;"!T"&amp;ROW(B945))</f>
        <v/>
      </c>
      <c r="AR964" s="100">
        <f t="shared" si="27"/>
        <v>-9.965301026</v>
      </c>
    </row>
    <row r="965">
      <c r="A965" t="str">
        <f t="shared" si="3"/>
        <v/>
      </c>
      <c r="B965" s="42">
        <f t="shared" si="4"/>
        <v>-3.155358621</v>
      </c>
      <c r="C965" s="43">
        <f t="shared" si="5"/>
        <v>-1.740686581</v>
      </c>
      <c r="D965" s="42">
        <f t="shared" si="6"/>
        <v>-2.380599106</v>
      </c>
      <c r="E965" s="42">
        <f t="shared" si="7"/>
        <v>-1.79320266</v>
      </c>
      <c r="F965" s="42">
        <f t="shared" si="8"/>
        <v>-3.240190514</v>
      </c>
      <c r="G965" s="42">
        <f t="shared" si="9"/>
        <v>-1.329092151</v>
      </c>
      <c r="H965" s="42">
        <f t="shared" si="10"/>
        <v>0</v>
      </c>
      <c r="I965" s="42" t="str">
        <f>UpdateHashtag!S963</f>
        <v/>
      </c>
      <c r="J965" s="47">
        <f t="shared" si="11"/>
        <v>0</v>
      </c>
      <c r="K965" s="48" t="str">
        <f>UpdateHashtag!T963</f>
        <v/>
      </c>
      <c r="L965" s="42">
        <f t="shared" si="12"/>
        <v>-1.734552372</v>
      </c>
      <c r="N965" s="100">
        <f t="shared" si="13"/>
        <v>401</v>
      </c>
      <c r="O965" s="94" t="str">
        <f t="array" ref="O965">INDIRECT("Update"&amp;Projections!$AH$17&amp;"!B"&amp;ROW(B946))</f>
        <v/>
      </c>
      <c r="P965" s="414" t="str">
        <f t="array" ref="P965">INDIRECT("Update"&amp;Projections!$AH$17&amp;"!C"&amp;ROW(B946))</f>
        <v/>
      </c>
      <c r="Q965" s="94" t="str">
        <f>UpdateHashtag!F995</f>
        <v/>
      </c>
      <c r="R965" s="105" t="str">
        <f t="array" ref="R965">INDIRECT("Update"&amp;Projections!$AH$17&amp;"!D"&amp;ROW(B946))</f>
        <v/>
      </c>
      <c r="S965" s="73">
        <f t="shared" si="14"/>
        <v>-9.965301026</v>
      </c>
      <c r="T965" s="73">
        <f>SUM(AE965:AM965)-IFERROR(IFS(Projections!$I$17,AN965,Projections!$J$17,AO965),"")</f>
        <v>-9.965301026</v>
      </c>
      <c r="U965" s="73">
        <f t="shared" si="15"/>
        <v>0</v>
      </c>
      <c r="V965" s="73" t="str">
        <f t="array" ref="V965">INDIRECT("Update"&amp;Projections!$AH$17&amp;"!M"&amp;ROW(B946))</f>
        <v/>
      </c>
      <c r="W965" s="73" t="str">
        <f t="array" ref="W965">INDIRECT("Update"&amp;Projections!$AH$17&amp;"!L"&amp;ROW(B946))</f>
        <v/>
      </c>
      <c r="X965" s="73" t="str">
        <f t="array" ref="X965">INDIRECT("Update"&amp;Projections!$AH$17&amp;"!N"&amp;ROW(B946))</f>
        <v/>
      </c>
      <c r="Y965" s="73" t="str">
        <f t="array" ref="Y965">INDIRECT("Update"&amp;Projections!$AH$17&amp;"!O"&amp;ROW(B946))</f>
        <v/>
      </c>
      <c r="Z965" s="73" t="str">
        <f t="array" ref="Z965">INDIRECT("Update"&amp;Projections!$AH$17&amp;"!P"&amp;ROW(B946))</f>
        <v/>
      </c>
      <c r="AA965" s="73" t="str">
        <f t="array" ref="AA965">INDIRECT("Update"&amp;Projections!$AH$17&amp;"!Q"&amp;ROW(B946))</f>
        <v/>
      </c>
      <c r="AB965" s="107" t="str">
        <f t="array" ref="AB965">INDIRECT("Update"&amp;Projections!$AH$17&amp;"!I"&amp;ROW(B946))</f>
        <v/>
      </c>
      <c r="AC965" s="107" t="str">
        <f t="array" ref="AC965">INDIRECT("Update"&amp;Projections!$AH$17&amp;"!K"&amp;ROW(B946))</f>
        <v/>
      </c>
      <c r="AD965" s="73" t="str">
        <f t="array" ref="AD965">INDIRECT("Update"&amp;Projections!$AH$17&amp;"!R"&amp;ROW(B946))</f>
        <v/>
      </c>
      <c r="AE965" s="73">
        <f t="shared" si="16"/>
        <v>-3.155358621</v>
      </c>
      <c r="AF965" s="73">
        <f t="shared" si="17"/>
        <v>-1.740686581</v>
      </c>
      <c r="AG965" s="73">
        <f t="shared" si="18"/>
        <v>-2.380599106</v>
      </c>
      <c r="AH965" s="73">
        <f t="shared" si="19"/>
        <v>-1.79320266</v>
      </c>
      <c r="AI965" s="73">
        <f t="shared" si="20"/>
        <v>-3.240190514</v>
      </c>
      <c r="AJ965" s="73">
        <f t="shared" si="21"/>
        <v>-1.329092151</v>
      </c>
      <c r="AK965" s="73">
        <f t="shared" si="22"/>
        <v>0</v>
      </c>
      <c r="AL965" s="73">
        <f t="shared" si="23"/>
        <v>0</v>
      </c>
      <c r="AM965" s="73">
        <f t="shared" si="24"/>
        <v>0.433638093</v>
      </c>
      <c r="AN965" s="120">
        <f t="shared" si="25"/>
        <v>-3.240190514</v>
      </c>
      <c r="AO965" s="120">
        <f t="shared" si="26"/>
        <v>-6.395549135</v>
      </c>
      <c r="AP965" s="120" t="str">
        <f t="array" ref="AP965">INDIRECT("Update"&amp;Projections!$AH$17&amp;"!S"&amp;ROW(B946))</f>
        <v/>
      </c>
      <c r="AQ965" s="120" t="str">
        <f t="array" ref="AQ965">INDIRECT("Update"&amp;Projections!$AH$17&amp;"!T"&amp;ROW(B946))</f>
        <v/>
      </c>
      <c r="AR965" s="100">
        <f t="shared" si="27"/>
        <v>-9.965301026</v>
      </c>
    </row>
    <row r="966">
      <c r="A966" t="str">
        <f t="shared" si="3"/>
        <v/>
      </c>
      <c r="B966" s="42">
        <f t="shared" si="4"/>
        <v>-3.155358621</v>
      </c>
      <c r="C966" s="43">
        <f t="shared" si="5"/>
        <v>-1.740686581</v>
      </c>
      <c r="D966" s="42">
        <f t="shared" si="6"/>
        <v>-2.380599106</v>
      </c>
      <c r="E966" s="42">
        <f t="shared" si="7"/>
        <v>-1.79320266</v>
      </c>
      <c r="F966" s="42">
        <f t="shared" si="8"/>
        <v>-3.240190514</v>
      </c>
      <c r="G966" s="42">
        <f t="shared" si="9"/>
        <v>-1.329092151</v>
      </c>
      <c r="H966" s="42">
        <f t="shared" si="10"/>
        <v>0</v>
      </c>
      <c r="I966" s="42" t="str">
        <f>UpdateHashtag!S964</f>
        <v/>
      </c>
      <c r="J966" s="47">
        <f t="shared" si="11"/>
        <v>0</v>
      </c>
      <c r="K966" s="48" t="str">
        <f>UpdateHashtag!T964</f>
        <v/>
      </c>
      <c r="L966" s="42">
        <f t="shared" si="12"/>
        <v>-1.734552372</v>
      </c>
      <c r="N966" s="100">
        <f t="shared" si="13"/>
        <v>401</v>
      </c>
      <c r="O966" s="94" t="str">
        <f t="array" ref="O966">INDIRECT("Update"&amp;Projections!$AH$17&amp;"!B"&amp;ROW(B947))</f>
        <v/>
      </c>
      <c r="P966" s="414" t="str">
        <f t="array" ref="P966">INDIRECT("Update"&amp;Projections!$AH$17&amp;"!C"&amp;ROW(B947))</f>
        <v/>
      </c>
      <c r="Q966" s="94" t="str">
        <f>UpdateHashtag!F996</f>
        <v/>
      </c>
      <c r="R966" s="105" t="str">
        <f t="array" ref="R966">INDIRECT("Update"&amp;Projections!$AH$17&amp;"!D"&amp;ROW(B947))</f>
        <v/>
      </c>
      <c r="S966" s="73">
        <f t="shared" si="14"/>
        <v>-9.965301026</v>
      </c>
      <c r="T966" s="73">
        <f>SUM(AE966:AM966)-IFERROR(IFS(Projections!$I$17,AN966,Projections!$J$17,AO966),"")</f>
        <v>-9.965301026</v>
      </c>
      <c r="U966" s="73">
        <f t="shared" si="15"/>
        <v>0</v>
      </c>
      <c r="V966" s="73" t="str">
        <f t="array" ref="V966">INDIRECT("Update"&amp;Projections!$AH$17&amp;"!M"&amp;ROW(B947))</f>
        <v/>
      </c>
      <c r="W966" s="73" t="str">
        <f t="array" ref="W966">INDIRECT("Update"&amp;Projections!$AH$17&amp;"!L"&amp;ROW(B947))</f>
        <v/>
      </c>
      <c r="X966" s="73" t="str">
        <f t="array" ref="X966">INDIRECT("Update"&amp;Projections!$AH$17&amp;"!N"&amp;ROW(B947))</f>
        <v/>
      </c>
      <c r="Y966" s="73" t="str">
        <f t="array" ref="Y966">INDIRECT("Update"&amp;Projections!$AH$17&amp;"!O"&amp;ROW(B947))</f>
        <v/>
      </c>
      <c r="Z966" s="73" t="str">
        <f t="array" ref="Z966">INDIRECT("Update"&amp;Projections!$AH$17&amp;"!P"&amp;ROW(B947))</f>
        <v/>
      </c>
      <c r="AA966" s="73" t="str">
        <f t="array" ref="AA966">INDIRECT("Update"&amp;Projections!$AH$17&amp;"!Q"&amp;ROW(B947))</f>
        <v/>
      </c>
      <c r="AB966" s="107" t="str">
        <f t="array" ref="AB966">INDIRECT("Update"&amp;Projections!$AH$17&amp;"!I"&amp;ROW(B947))</f>
        <v/>
      </c>
      <c r="AC966" s="107" t="str">
        <f t="array" ref="AC966">INDIRECT("Update"&amp;Projections!$AH$17&amp;"!K"&amp;ROW(B947))</f>
        <v/>
      </c>
      <c r="AD966" s="73" t="str">
        <f t="array" ref="AD966">INDIRECT("Update"&amp;Projections!$AH$17&amp;"!R"&amp;ROW(B947))</f>
        <v/>
      </c>
      <c r="AE966" s="73">
        <f t="shared" si="16"/>
        <v>-3.155358621</v>
      </c>
      <c r="AF966" s="73">
        <f t="shared" si="17"/>
        <v>-1.740686581</v>
      </c>
      <c r="AG966" s="73">
        <f t="shared" si="18"/>
        <v>-2.380599106</v>
      </c>
      <c r="AH966" s="73">
        <f t="shared" si="19"/>
        <v>-1.79320266</v>
      </c>
      <c r="AI966" s="73">
        <f t="shared" si="20"/>
        <v>-3.240190514</v>
      </c>
      <c r="AJ966" s="73">
        <f t="shared" si="21"/>
        <v>-1.329092151</v>
      </c>
      <c r="AK966" s="73">
        <f t="shared" si="22"/>
        <v>0</v>
      </c>
      <c r="AL966" s="73">
        <f t="shared" si="23"/>
        <v>0</v>
      </c>
      <c r="AM966" s="73">
        <f t="shared" si="24"/>
        <v>0.433638093</v>
      </c>
      <c r="AN966" s="120">
        <f t="shared" si="25"/>
        <v>-3.240190514</v>
      </c>
      <c r="AO966" s="120">
        <f t="shared" si="26"/>
        <v>-6.395549135</v>
      </c>
      <c r="AP966" s="120" t="str">
        <f t="array" ref="AP966">INDIRECT("Update"&amp;Projections!$AH$17&amp;"!S"&amp;ROW(B947))</f>
        <v/>
      </c>
      <c r="AQ966" s="120" t="str">
        <f t="array" ref="AQ966">INDIRECT("Update"&amp;Projections!$AH$17&amp;"!T"&amp;ROW(B947))</f>
        <v/>
      </c>
      <c r="AR966" s="100">
        <f t="shared" si="27"/>
        <v>-9.965301026</v>
      </c>
    </row>
    <row r="967">
      <c r="A967" t="str">
        <f t="shared" si="3"/>
        <v/>
      </c>
      <c r="B967" s="42">
        <f t="shared" si="4"/>
        <v>-3.155358621</v>
      </c>
      <c r="C967" s="43">
        <f t="shared" si="5"/>
        <v>-1.740686581</v>
      </c>
      <c r="D967" s="42">
        <f t="shared" si="6"/>
        <v>-2.380599106</v>
      </c>
      <c r="E967" s="42">
        <f t="shared" si="7"/>
        <v>-1.79320266</v>
      </c>
      <c r="F967" s="42">
        <f t="shared" si="8"/>
        <v>-3.240190514</v>
      </c>
      <c r="G967" s="42">
        <f t="shared" si="9"/>
        <v>-1.329092151</v>
      </c>
      <c r="H967" s="42">
        <f t="shared" si="10"/>
        <v>0</v>
      </c>
      <c r="I967" s="42" t="str">
        <f>UpdateHashtag!S965</f>
        <v/>
      </c>
      <c r="J967" s="47">
        <f t="shared" si="11"/>
        <v>0</v>
      </c>
      <c r="K967" s="48" t="str">
        <f>UpdateHashtag!T965</f>
        <v/>
      </c>
      <c r="L967" s="42">
        <f t="shared" si="12"/>
        <v>-1.734552372</v>
      </c>
      <c r="N967" s="100">
        <f t="shared" si="13"/>
        <v>401</v>
      </c>
      <c r="O967" s="94" t="str">
        <f t="array" ref="O967">INDIRECT("Update"&amp;Projections!$AH$17&amp;"!B"&amp;ROW(B948))</f>
        <v/>
      </c>
      <c r="P967" s="414" t="str">
        <f t="array" ref="P967">INDIRECT("Update"&amp;Projections!$AH$17&amp;"!C"&amp;ROW(B948))</f>
        <v/>
      </c>
      <c r="Q967" s="94" t="str">
        <f>UpdateHashtag!F997</f>
        <v/>
      </c>
      <c r="R967" s="105" t="str">
        <f t="array" ref="R967">INDIRECT("Update"&amp;Projections!$AH$17&amp;"!D"&amp;ROW(B948))</f>
        <v/>
      </c>
      <c r="S967" s="73">
        <f t="shared" si="14"/>
        <v>-9.965301026</v>
      </c>
      <c r="T967" s="73">
        <f>SUM(AE967:AM967)-IFERROR(IFS(Projections!$I$17,AN967,Projections!$J$17,AO967),"")</f>
        <v>-9.965301026</v>
      </c>
      <c r="U967" s="73">
        <f t="shared" si="15"/>
        <v>0</v>
      </c>
      <c r="V967" s="73" t="str">
        <f t="array" ref="V967">INDIRECT("Update"&amp;Projections!$AH$17&amp;"!M"&amp;ROW(B948))</f>
        <v/>
      </c>
      <c r="W967" s="73" t="str">
        <f t="array" ref="W967">INDIRECT("Update"&amp;Projections!$AH$17&amp;"!L"&amp;ROW(B948))</f>
        <v/>
      </c>
      <c r="X967" s="73" t="str">
        <f t="array" ref="X967">INDIRECT("Update"&amp;Projections!$AH$17&amp;"!N"&amp;ROW(B948))</f>
        <v/>
      </c>
      <c r="Y967" s="73" t="str">
        <f t="array" ref="Y967">INDIRECT("Update"&amp;Projections!$AH$17&amp;"!O"&amp;ROW(B948))</f>
        <v/>
      </c>
      <c r="Z967" s="73" t="str">
        <f t="array" ref="Z967">INDIRECT("Update"&amp;Projections!$AH$17&amp;"!P"&amp;ROW(B948))</f>
        <v/>
      </c>
      <c r="AA967" s="73" t="str">
        <f t="array" ref="AA967">INDIRECT("Update"&amp;Projections!$AH$17&amp;"!Q"&amp;ROW(B948))</f>
        <v/>
      </c>
      <c r="AB967" s="107" t="str">
        <f t="array" ref="AB967">INDIRECT("Update"&amp;Projections!$AH$17&amp;"!I"&amp;ROW(B948))</f>
        <v/>
      </c>
      <c r="AC967" s="107" t="str">
        <f t="array" ref="AC967">INDIRECT("Update"&amp;Projections!$AH$17&amp;"!K"&amp;ROW(B948))</f>
        <v/>
      </c>
      <c r="AD967" s="73" t="str">
        <f t="array" ref="AD967">INDIRECT("Update"&amp;Projections!$AH$17&amp;"!R"&amp;ROW(B948))</f>
        <v/>
      </c>
      <c r="AE967" s="73">
        <f t="shared" si="16"/>
        <v>-3.155358621</v>
      </c>
      <c r="AF967" s="73">
        <f t="shared" si="17"/>
        <v>-1.740686581</v>
      </c>
      <c r="AG967" s="73">
        <f t="shared" si="18"/>
        <v>-2.380599106</v>
      </c>
      <c r="AH967" s="73">
        <f t="shared" si="19"/>
        <v>-1.79320266</v>
      </c>
      <c r="AI967" s="73">
        <f t="shared" si="20"/>
        <v>-3.240190514</v>
      </c>
      <c r="AJ967" s="73">
        <f t="shared" si="21"/>
        <v>-1.329092151</v>
      </c>
      <c r="AK967" s="73">
        <f t="shared" si="22"/>
        <v>0</v>
      </c>
      <c r="AL967" s="73">
        <f t="shared" si="23"/>
        <v>0</v>
      </c>
      <c r="AM967" s="73">
        <f t="shared" si="24"/>
        <v>0.433638093</v>
      </c>
      <c r="AN967" s="120">
        <f t="shared" si="25"/>
        <v>-3.240190514</v>
      </c>
      <c r="AO967" s="120">
        <f t="shared" si="26"/>
        <v>-6.395549135</v>
      </c>
      <c r="AP967" s="120" t="str">
        <f t="array" ref="AP967">INDIRECT("Update"&amp;Projections!$AH$17&amp;"!S"&amp;ROW(B948))</f>
        <v/>
      </c>
      <c r="AQ967" s="120" t="str">
        <f t="array" ref="AQ967">INDIRECT("Update"&amp;Projections!$AH$17&amp;"!T"&amp;ROW(B948))</f>
        <v/>
      </c>
      <c r="AR967" s="100">
        <f t="shared" si="27"/>
        <v>-9.965301026</v>
      </c>
    </row>
    <row r="968">
      <c r="A968" t="str">
        <f t="shared" si="3"/>
        <v/>
      </c>
      <c r="B968" s="42">
        <f t="shared" si="4"/>
        <v>-3.155358621</v>
      </c>
      <c r="C968" s="43">
        <f t="shared" si="5"/>
        <v>-1.740686581</v>
      </c>
      <c r="D968" s="42">
        <f t="shared" si="6"/>
        <v>-2.380599106</v>
      </c>
      <c r="E968" s="42">
        <f t="shared" si="7"/>
        <v>-1.79320266</v>
      </c>
      <c r="F968" s="42">
        <f t="shared" si="8"/>
        <v>-3.240190514</v>
      </c>
      <c r="G968" s="42">
        <f t="shared" si="9"/>
        <v>-1.329092151</v>
      </c>
      <c r="H968" s="42">
        <f t="shared" si="10"/>
        <v>0</v>
      </c>
      <c r="I968" s="42" t="str">
        <f>UpdateHashtag!S966</f>
        <v/>
      </c>
      <c r="J968" s="47">
        <f t="shared" si="11"/>
        <v>0</v>
      </c>
      <c r="K968" s="48" t="str">
        <f>UpdateHashtag!T966</f>
        <v/>
      </c>
      <c r="L968" s="42">
        <f t="shared" si="12"/>
        <v>-1.734552372</v>
      </c>
      <c r="N968" s="100">
        <f t="shared" si="13"/>
        <v>401</v>
      </c>
      <c r="O968" s="94" t="str">
        <f t="array" ref="O968">INDIRECT("Update"&amp;Projections!$AH$17&amp;"!B"&amp;ROW(B949))</f>
        <v/>
      </c>
      <c r="P968" s="414" t="str">
        <f t="array" ref="P968">INDIRECT("Update"&amp;Projections!$AH$17&amp;"!C"&amp;ROW(B949))</f>
        <v/>
      </c>
      <c r="Q968" s="94" t="str">
        <f>UpdateHashtag!F998</f>
        <v/>
      </c>
      <c r="R968" s="105" t="str">
        <f t="array" ref="R968">INDIRECT("Update"&amp;Projections!$AH$17&amp;"!D"&amp;ROW(B949))</f>
        <v/>
      </c>
      <c r="S968" s="73">
        <f t="shared" si="14"/>
        <v>-9.965301026</v>
      </c>
      <c r="T968" s="73">
        <f>SUM(AE968:AM968)-IFERROR(IFS(Projections!$I$17,AN968,Projections!$J$17,AO968),"")</f>
        <v>-9.965301026</v>
      </c>
      <c r="U968" s="73">
        <f t="shared" si="15"/>
        <v>0</v>
      </c>
      <c r="V968" s="73" t="str">
        <f t="array" ref="V968">INDIRECT("Update"&amp;Projections!$AH$17&amp;"!M"&amp;ROW(B949))</f>
        <v/>
      </c>
      <c r="W968" s="73" t="str">
        <f t="array" ref="W968">INDIRECT("Update"&amp;Projections!$AH$17&amp;"!L"&amp;ROW(B949))</f>
        <v/>
      </c>
      <c r="X968" s="73" t="str">
        <f t="array" ref="X968">INDIRECT("Update"&amp;Projections!$AH$17&amp;"!N"&amp;ROW(B949))</f>
        <v/>
      </c>
      <c r="Y968" s="73" t="str">
        <f t="array" ref="Y968">INDIRECT("Update"&amp;Projections!$AH$17&amp;"!O"&amp;ROW(B949))</f>
        <v/>
      </c>
      <c r="Z968" s="73" t="str">
        <f t="array" ref="Z968">INDIRECT("Update"&amp;Projections!$AH$17&amp;"!P"&amp;ROW(B949))</f>
        <v/>
      </c>
      <c r="AA968" s="73" t="str">
        <f t="array" ref="AA968">INDIRECT("Update"&amp;Projections!$AH$17&amp;"!Q"&amp;ROW(B949))</f>
        <v/>
      </c>
      <c r="AB968" s="107" t="str">
        <f t="array" ref="AB968">INDIRECT("Update"&amp;Projections!$AH$17&amp;"!I"&amp;ROW(B949))</f>
        <v/>
      </c>
      <c r="AC968" s="107" t="str">
        <f t="array" ref="AC968">INDIRECT("Update"&amp;Projections!$AH$17&amp;"!K"&amp;ROW(B949))</f>
        <v/>
      </c>
      <c r="AD968" s="73" t="str">
        <f t="array" ref="AD968">INDIRECT("Update"&amp;Projections!$AH$17&amp;"!R"&amp;ROW(B949))</f>
        <v/>
      </c>
      <c r="AE968" s="73">
        <f t="shared" si="16"/>
        <v>-3.155358621</v>
      </c>
      <c r="AF968" s="73">
        <f t="shared" si="17"/>
        <v>-1.740686581</v>
      </c>
      <c r="AG968" s="73">
        <f t="shared" si="18"/>
        <v>-2.380599106</v>
      </c>
      <c r="AH968" s="73">
        <f t="shared" si="19"/>
        <v>-1.79320266</v>
      </c>
      <c r="AI968" s="73">
        <f t="shared" si="20"/>
        <v>-3.240190514</v>
      </c>
      <c r="AJ968" s="73">
        <f t="shared" si="21"/>
        <v>-1.329092151</v>
      </c>
      <c r="AK968" s="73">
        <f t="shared" si="22"/>
        <v>0</v>
      </c>
      <c r="AL968" s="73">
        <f t="shared" si="23"/>
        <v>0</v>
      </c>
      <c r="AM968" s="73">
        <f t="shared" si="24"/>
        <v>0.433638093</v>
      </c>
      <c r="AN968" s="120">
        <f t="shared" si="25"/>
        <v>-3.240190514</v>
      </c>
      <c r="AO968" s="120">
        <f t="shared" si="26"/>
        <v>-6.395549135</v>
      </c>
      <c r="AP968" s="120" t="str">
        <f t="array" ref="AP968">INDIRECT("Update"&amp;Projections!$AH$17&amp;"!S"&amp;ROW(B949))</f>
        <v/>
      </c>
      <c r="AQ968" s="120" t="str">
        <f t="array" ref="AQ968">INDIRECT("Update"&amp;Projections!$AH$17&amp;"!T"&amp;ROW(B949))</f>
        <v/>
      </c>
      <c r="AR968" s="100">
        <f t="shared" si="27"/>
        <v>-9.965301026</v>
      </c>
    </row>
    <row r="969">
      <c r="A969" t="str">
        <f t="shared" si="3"/>
        <v/>
      </c>
      <c r="B969" s="42">
        <f t="shared" si="4"/>
        <v>-3.155358621</v>
      </c>
      <c r="C969" s="43">
        <f t="shared" si="5"/>
        <v>-1.740686581</v>
      </c>
      <c r="D969" s="42">
        <f t="shared" si="6"/>
        <v>-2.380599106</v>
      </c>
      <c r="E969" s="42">
        <f t="shared" si="7"/>
        <v>-1.79320266</v>
      </c>
      <c r="F969" s="42">
        <f t="shared" si="8"/>
        <v>-3.240190514</v>
      </c>
      <c r="G969" s="42">
        <f t="shared" si="9"/>
        <v>-1.329092151</v>
      </c>
      <c r="H969" s="42">
        <f t="shared" si="10"/>
        <v>0</v>
      </c>
      <c r="I969" s="42" t="str">
        <f>UpdateHashtag!S967</f>
        <v/>
      </c>
      <c r="J969" s="47">
        <f t="shared" si="11"/>
        <v>0</v>
      </c>
      <c r="K969" s="48" t="str">
        <f>UpdateHashtag!T967</f>
        <v/>
      </c>
      <c r="L969" s="42">
        <f t="shared" si="12"/>
        <v>-1.734552372</v>
      </c>
      <c r="N969" s="100">
        <f t="shared" si="13"/>
        <v>401</v>
      </c>
      <c r="O969" s="94" t="str">
        <f t="array" ref="O969">INDIRECT("Update"&amp;Projections!$AH$17&amp;"!B"&amp;ROW(B950))</f>
        <v/>
      </c>
      <c r="P969" s="414" t="str">
        <f t="array" ref="P969">INDIRECT("Update"&amp;Projections!$AH$17&amp;"!C"&amp;ROW(B950))</f>
        <v/>
      </c>
      <c r="Q969" s="94" t="str">
        <f>UpdateHashtag!F999</f>
        <v/>
      </c>
      <c r="R969" s="105" t="str">
        <f t="array" ref="R969">INDIRECT("Update"&amp;Projections!$AH$17&amp;"!D"&amp;ROW(B950))</f>
        <v/>
      </c>
      <c r="S969" s="73">
        <f t="shared" si="14"/>
        <v>-9.965301026</v>
      </c>
      <c r="T969" s="73">
        <f>SUM(AE969:AM969)-IFERROR(IFS(Projections!$I$17,AN969,Projections!$J$17,AO969),"")</f>
        <v>-9.965301026</v>
      </c>
      <c r="U969" s="73">
        <f t="shared" si="15"/>
        <v>0</v>
      </c>
      <c r="V969" s="73" t="str">
        <f t="array" ref="V969">INDIRECT("Update"&amp;Projections!$AH$17&amp;"!M"&amp;ROW(B950))</f>
        <v/>
      </c>
      <c r="W969" s="73" t="str">
        <f t="array" ref="W969">INDIRECT("Update"&amp;Projections!$AH$17&amp;"!L"&amp;ROW(B950))</f>
        <v/>
      </c>
      <c r="X969" s="73" t="str">
        <f t="array" ref="X969">INDIRECT("Update"&amp;Projections!$AH$17&amp;"!N"&amp;ROW(B950))</f>
        <v/>
      </c>
      <c r="Y969" s="73" t="str">
        <f t="array" ref="Y969">INDIRECT("Update"&amp;Projections!$AH$17&amp;"!O"&amp;ROW(B950))</f>
        <v/>
      </c>
      <c r="Z969" s="73" t="str">
        <f t="array" ref="Z969">INDIRECT("Update"&amp;Projections!$AH$17&amp;"!P"&amp;ROW(B950))</f>
        <v/>
      </c>
      <c r="AA969" s="73" t="str">
        <f t="array" ref="AA969">INDIRECT("Update"&amp;Projections!$AH$17&amp;"!Q"&amp;ROW(B950))</f>
        <v/>
      </c>
      <c r="AB969" s="107" t="str">
        <f t="array" ref="AB969">INDIRECT("Update"&amp;Projections!$AH$17&amp;"!I"&amp;ROW(B950))</f>
        <v/>
      </c>
      <c r="AC969" s="107" t="str">
        <f t="array" ref="AC969">INDIRECT("Update"&amp;Projections!$AH$17&amp;"!K"&amp;ROW(B950))</f>
        <v/>
      </c>
      <c r="AD969" s="73" t="str">
        <f t="array" ref="AD969">INDIRECT("Update"&amp;Projections!$AH$17&amp;"!R"&amp;ROW(B950))</f>
        <v/>
      </c>
      <c r="AE969" s="73">
        <f t="shared" si="16"/>
        <v>-3.155358621</v>
      </c>
      <c r="AF969" s="73">
        <f t="shared" si="17"/>
        <v>-1.740686581</v>
      </c>
      <c r="AG969" s="73">
        <f t="shared" si="18"/>
        <v>-2.380599106</v>
      </c>
      <c r="AH969" s="73">
        <f t="shared" si="19"/>
        <v>-1.79320266</v>
      </c>
      <c r="AI969" s="73">
        <f t="shared" si="20"/>
        <v>-3.240190514</v>
      </c>
      <c r="AJ969" s="73">
        <f t="shared" si="21"/>
        <v>-1.329092151</v>
      </c>
      <c r="AK969" s="73">
        <f t="shared" si="22"/>
        <v>0</v>
      </c>
      <c r="AL969" s="73">
        <f t="shared" si="23"/>
        <v>0</v>
      </c>
      <c r="AM969" s="73">
        <f t="shared" si="24"/>
        <v>0.433638093</v>
      </c>
      <c r="AN969" s="120">
        <f t="shared" si="25"/>
        <v>-3.240190514</v>
      </c>
      <c r="AO969" s="120">
        <f t="shared" si="26"/>
        <v>-6.395549135</v>
      </c>
      <c r="AP969" s="120" t="str">
        <f t="array" ref="AP969">INDIRECT("Update"&amp;Projections!$AH$17&amp;"!S"&amp;ROW(B950))</f>
        <v/>
      </c>
      <c r="AQ969" s="120" t="str">
        <f t="array" ref="AQ969">INDIRECT("Update"&amp;Projections!$AH$17&amp;"!T"&amp;ROW(B950))</f>
        <v/>
      </c>
      <c r="AR969" s="100">
        <f t="shared" si="27"/>
        <v>-9.965301026</v>
      </c>
    </row>
    <row r="970">
      <c r="A970" t="str">
        <f t="shared" si="3"/>
        <v/>
      </c>
      <c r="B970" s="42">
        <f t="shared" si="4"/>
        <v>-3.155358621</v>
      </c>
      <c r="C970" s="43">
        <f t="shared" si="5"/>
        <v>-1.740686581</v>
      </c>
      <c r="D970" s="42">
        <f t="shared" si="6"/>
        <v>-2.380599106</v>
      </c>
      <c r="E970" s="42">
        <f t="shared" si="7"/>
        <v>-1.79320266</v>
      </c>
      <c r="F970" s="42">
        <f t="shared" si="8"/>
        <v>-3.240190514</v>
      </c>
      <c r="G970" s="42">
        <f t="shared" si="9"/>
        <v>-1.329092151</v>
      </c>
      <c r="H970" s="42">
        <f t="shared" si="10"/>
        <v>0</v>
      </c>
      <c r="I970" s="42" t="str">
        <f>UpdateHashtag!S968</f>
        <v/>
      </c>
      <c r="J970" s="47">
        <f t="shared" si="11"/>
        <v>0</v>
      </c>
      <c r="K970" s="48" t="str">
        <f>UpdateHashtag!T968</f>
        <v/>
      </c>
      <c r="L970" s="42">
        <f t="shared" si="12"/>
        <v>-1.734552372</v>
      </c>
      <c r="N970" s="100">
        <f t="shared" si="13"/>
        <v>401</v>
      </c>
      <c r="O970" s="94" t="str">
        <f t="array" ref="O970">INDIRECT("Update"&amp;Projections!$AH$17&amp;"!B"&amp;ROW(B951))</f>
        <v/>
      </c>
      <c r="P970" s="414" t="str">
        <f t="array" ref="P970">INDIRECT("Update"&amp;Projections!$AH$17&amp;"!C"&amp;ROW(B951))</f>
        <v/>
      </c>
      <c r="Q970" s="94" t="str">
        <f>UpdateHashtag!F1000</f>
        <v/>
      </c>
      <c r="R970" s="105" t="str">
        <f t="array" ref="R970">INDIRECT("Update"&amp;Projections!$AH$17&amp;"!D"&amp;ROW(B951))</f>
        <v/>
      </c>
      <c r="S970" s="73">
        <f t="shared" si="14"/>
        <v>-9.965301026</v>
      </c>
      <c r="T970" s="73">
        <f>SUM(AE970:AM970)-IFERROR(IFS(Projections!$I$17,AN970,Projections!$J$17,AO970),"")</f>
        <v>-9.965301026</v>
      </c>
      <c r="U970" s="73">
        <f t="shared" si="15"/>
        <v>0</v>
      </c>
      <c r="V970" s="73" t="str">
        <f t="array" ref="V970">INDIRECT("Update"&amp;Projections!$AH$17&amp;"!M"&amp;ROW(B951))</f>
        <v/>
      </c>
      <c r="W970" s="73" t="str">
        <f t="array" ref="W970">INDIRECT("Update"&amp;Projections!$AH$17&amp;"!L"&amp;ROW(B951))</f>
        <v/>
      </c>
      <c r="X970" s="73" t="str">
        <f t="array" ref="X970">INDIRECT("Update"&amp;Projections!$AH$17&amp;"!N"&amp;ROW(B951))</f>
        <v/>
      </c>
      <c r="Y970" s="73" t="str">
        <f t="array" ref="Y970">INDIRECT("Update"&amp;Projections!$AH$17&amp;"!O"&amp;ROW(B951))</f>
        <v/>
      </c>
      <c r="Z970" s="73" t="str">
        <f t="array" ref="Z970">INDIRECT("Update"&amp;Projections!$AH$17&amp;"!P"&amp;ROW(B951))</f>
        <v/>
      </c>
      <c r="AA970" s="73" t="str">
        <f t="array" ref="AA970">INDIRECT("Update"&amp;Projections!$AH$17&amp;"!Q"&amp;ROW(B951))</f>
        <v/>
      </c>
      <c r="AB970" s="107" t="str">
        <f t="array" ref="AB970">INDIRECT("Update"&amp;Projections!$AH$17&amp;"!I"&amp;ROW(B951))</f>
        <v/>
      </c>
      <c r="AC970" s="107" t="str">
        <f t="array" ref="AC970">INDIRECT("Update"&amp;Projections!$AH$17&amp;"!K"&amp;ROW(B951))</f>
        <v/>
      </c>
      <c r="AD970" s="73" t="str">
        <f t="array" ref="AD970">INDIRECT("Update"&amp;Projections!$AH$17&amp;"!R"&amp;ROW(B951))</f>
        <v/>
      </c>
      <c r="AE970" s="73">
        <f t="shared" si="16"/>
        <v>-3.155358621</v>
      </c>
      <c r="AF970" s="73">
        <f t="shared" si="17"/>
        <v>-1.740686581</v>
      </c>
      <c r="AG970" s="73">
        <f t="shared" si="18"/>
        <v>-2.380599106</v>
      </c>
      <c r="AH970" s="73">
        <f t="shared" si="19"/>
        <v>-1.79320266</v>
      </c>
      <c r="AI970" s="73">
        <f t="shared" si="20"/>
        <v>-3.240190514</v>
      </c>
      <c r="AJ970" s="73">
        <f t="shared" si="21"/>
        <v>-1.329092151</v>
      </c>
      <c r="AK970" s="73">
        <f t="shared" si="22"/>
        <v>0</v>
      </c>
      <c r="AL970" s="73">
        <f t="shared" si="23"/>
        <v>0</v>
      </c>
      <c r="AM970" s="73">
        <f t="shared" si="24"/>
        <v>0.433638093</v>
      </c>
      <c r="AN970" s="120">
        <f t="shared" si="25"/>
        <v>-3.240190514</v>
      </c>
      <c r="AO970" s="120">
        <f t="shared" si="26"/>
        <v>-6.395549135</v>
      </c>
      <c r="AP970" s="120" t="str">
        <f t="array" ref="AP970">INDIRECT("Update"&amp;Projections!$AH$17&amp;"!S"&amp;ROW(B951))</f>
        <v/>
      </c>
      <c r="AQ970" s="120" t="str">
        <f t="array" ref="AQ970">INDIRECT("Update"&amp;Projections!$AH$17&amp;"!T"&amp;ROW(B951))</f>
        <v/>
      </c>
      <c r="AR970" s="100">
        <f t="shared" si="27"/>
        <v>-9.965301026</v>
      </c>
    </row>
    <row r="971">
      <c r="A971" t="str">
        <f t="shared" si="3"/>
        <v/>
      </c>
      <c r="B971" s="42">
        <f t="shared" si="4"/>
        <v>-3.155358621</v>
      </c>
      <c r="C971" s="43">
        <f t="shared" si="5"/>
        <v>-1.740686581</v>
      </c>
      <c r="D971" s="42">
        <f t="shared" si="6"/>
        <v>-2.380599106</v>
      </c>
      <c r="E971" s="42">
        <f t="shared" si="7"/>
        <v>-1.79320266</v>
      </c>
      <c r="F971" s="42">
        <f t="shared" si="8"/>
        <v>-3.240190514</v>
      </c>
      <c r="G971" s="42">
        <f t="shared" si="9"/>
        <v>-1.329092151</v>
      </c>
      <c r="H971" s="42">
        <f t="shared" si="10"/>
        <v>0</v>
      </c>
      <c r="I971" s="42" t="str">
        <f>UpdateHashtag!S969</f>
        <v/>
      </c>
      <c r="J971" s="47">
        <f t="shared" si="11"/>
        <v>0</v>
      </c>
      <c r="K971" s="48" t="str">
        <f>UpdateHashtag!T969</f>
        <v/>
      </c>
      <c r="L971" s="42">
        <f t="shared" si="12"/>
        <v>-1.734552372</v>
      </c>
      <c r="N971" s="100">
        <f t="shared" si="13"/>
        <v>401</v>
      </c>
      <c r="O971" s="94" t="str">
        <f t="array" ref="O971">INDIRECT("Update"&amp;Projections!$AH$17&amp;"!B"&amp;ROW(B952))</f>
        <v/>
      </c>
      <c r="P971" s="414" t="str">
        <f t="array" ref="P971">INDIRECT("Update"&amp;Projections!$AH$17&amp;"!C"&amp;ROW(B952))</f>
        <v/>
      </c>
      <c r="Q971" s="94" t="str">
        <f>UpdateHashtag!F1001</f>
        <v/>
      </c>
      <c r="R971" s="105" t="str">
        <f t="array" ref="R971">INDIRECT("Update"&amp;Projections!$AH$17&amp;"!D"&amp;ROW(B952))</f>
        <v/>
      </c>
      <c r="S971" s="73">
        <f t="shared" si="14"/>
        <v>-9.965301026</v>
      </c>
      <c r="T971" s="73">
        <f>SUM(AE971:AM971)-IFERROR(IFS(Projections!$I$17,AN971,Projections!$J$17,AO971),"")</f>
        <v>-9.965301026</v>
      </c>
      <c r="U971" s="73">
        <f t="shared" si="15"/>
        <v>0</v>
      </c>
      <c r="V971" s="73" t="str">
        <f t="array" ref="V971">INDIRECT("Update"&amp;Projections!$AH$17&amp;"!M"&amp;ROW(B952))</f>
        <v/>
      </c>
      <c r="W971" s="73" t="str">
        <f t="array" ref="W971">INDIRECT("Update"&amp;Projections!$AH$17&amp;"!L"&amp;ROW(B952))</f>
        <v/>
      </c>
      <c r="X971" s="73" t="str">
        <f t="array" ref="X971">INDIRECT("Update"&amp;Projections!$AH$17&amp;"!N"&amp;ROW(B952))</f>
        <v/>
      </c>
      <c r="Y971" s="73" t="str">
        <f t="array" ref="Y971">INDIRECT("Update"&amp;Projections!$AH$17&amp;"!O"&amp;ROW(B952))</f>
        <v/>
      </c>
      <c r="Z971" s="73" t="str">
        <f t="array" ref="Z971">INDIRECT("Update"&amp;Projections!$AH$17&amp;"!P"&amp;ROW(B952))</f>
        <v/>
      </c>
      <c r="AA971" s="73" t="str">
        <f t="array" ref="AA971">INDIRECT("Update"&amp;Projections!$AH$17&amp;"!Q"&amp;ROW(B952))</f>
        <v/>
      </c>
      <c r="AB971" s="107" t="str">
        <f t="array" ref="AB971">INDIRECT("Update"&amp;Projections!$AH$17&amp;"!I"&amp;ROW(B952))</f>
        <v/>
      </c>
      <c r="AC971" s="107" t="str">
        <f t="array" ref="AC971">INDIRECT("Update"&amp;Projections!$AH$17&amp;"!K"&amp;ROW(B952))</f>
        <v/>
      </c>
      <c r="AD971" s="73" t="str">
        <f t="array" ref="AD971">INDIRECT("Update"&amp;Projections!$AH$17&amp;"!R"&amp;ROW(B952))</f>
        <v/>
      </c>
      <c r="AE971" s="73">
        <f t="shared" si="16"/>
        <v>-3.155358621</v>
      </c>
      <c r="AF971" s="73">
        <f t="shared" si="17"/>
        <v>-1.740686581</v>
      </c>
      <c r="AG971" s="73">
        <f t="shared" si="18"/>
        <v>-2.380599106</v>
      </c>
      <c r="AH971" s="73">
        <f t="shared" si="19"/>
        <v>-1.79320266</v>
      </c>
      <c r="AI971" s="73">
        <f t="shared" si="20"/>
        <v>-3.240190514</v>
      </c>
      <c r="AJ971" s="73">
        <f t="shared" si="21"/>
        <v>-1.329092151</v>
      </c>
      <c r="AK971" s="73">
        <f t="shared" si="22"/>
        <v>0</v>
      </c>
      <c r="AL971" s="73">
        <f t="shared" si="23"/>
        <v>0</v>
      </c>
      <c r="AM971" s="73">
        <f t="shared" si="24"/>
        <v>0.433638093</v>
      </c>
      <c r="AN971" s="120">
        <f t="shared" si="25"/>
        <v>-3.240190514</v>
      </c>
      <c r="AO971" s="120">
        <f t="shared" si="26"/>
        <v>-6.395549135</v>
      </c>
      <c r="AP971" s="120" t="str">
        <f t="array" ref="AP971">INDIRECT("Update"&amp;Projections!$AH$17&amp;"!S"&amp;ROW(B952))</f>
        <v/>
      </c>
      <c r="AQ971" s="120" t="str">
        <f t="array" ref="AQ971">INDIRECT("Update"&amp;Projections!$AH$17&amp;"!T"&amp;ROW(B952))</f>
        <v/>
      </c>
      <c r="AR971" s="100">
        <f t="shared" si="27"/>
        <v>-9.965301026</v>
      </c>
    </row>
    <row r="972">
      <c r="A972" t="str">
        <f t="shared" si="3"/>
        <v/>
      </c>
      <c r="B972" s="42">
        <f t="shared" si="4"/>
        <v>-3.155358621</v>
      </c>
      <c r="C972" s="43">
        <f t="shared" si="5"/>
        <v>-1.740686581</v>
      </c>
      <c r="D972" s="42">
        <f t="shared" si="6"/>
        <v>-2.380599106</v>
      </c>
      <c r="E972" s="42">
        <f t="shared" si="7"/>
        <v>-1.79320266</v>
      </c>
      <c r="F972" s="42">
        <f t="shared" si="8"/>
        <v>-3.240190514</v>
      </c>
      <c r="G972" s="42">
        <f t="shared" si="9"/>
        <v>-1.329092151</v>
      </c>
      <c r="H972" s="42">
        <f t="shared" si="10"/>
        <v>0</v>
      </c>
      <c r="I972" s="42" t="str">
        <f>UpdateHashtag!S970</f>
        <v/>
      </c>
      <c r="J972" s="47">
        <f t="shared" si="11"/>
        <v>0</v>
      </c>
      <c r="K972" s="48" t="str">
        <f>UpdateHashtag!T970</f>
        <v/>
      </c>
      <c r="L972" s="42">
        <f t="shared" si="12"/>
        <v>-1.734552372</v>
      </c>
      <c r="N972" s="100">
        <f t="shared" si="13"/>
        <v>401</v>
      </c>
      <c r="O972" s="94" t="str">
        <f t="array" ref="O972">INDIRECT("Update"&amp;Projections!$AH$17&amp;"!B"&amp;ROW(B953))</f>
        <v/>
      </c>
      <c r="P972" s="414" t="str">
        <f t="array" ref="P972">INDIRECT("Update"&amp;Projections!$AH$17&amp;"!C"&amp;ROW(B953))</f>
        <v/>
      </c>
      <c r="Q972" s="94" t="str">
        <f>UpdateHashtag!F1002</f>
        <v/>
      </c>
      <c r="R972" s="105" t="str">
        <f t="array" ref="R972">INDIRECT("Update"&amp;Projections!$AH$17&amp;"!D"&amp;ROW(B953))</f>
        <v/>
      </c>
      <c r="S972" s="73">
        <f t="shared" si="14"/>
        <v>-9.965301026</v>
      </c>
      <c r="T972" s="73">
        <f>SUM(AE972:AM972)-IFERROR(IFS(Projections!$I$17,AN972,Projections!$J$17,AO972),"")</f>
        <v>-9.965301026</v>
      </c>
      <c r="U972" s="73">
        <f t="shared" si="15"/>
        <v>0</v>
      </c>
      <c r="V972" s="73" t="str">
        <f t="array" ref="V972">INDIRECT("Update"&amp;Projections!$AH$17&amp;"!M"&amp;ROW(B953))</f>
        <v/>
      </c>
      <c r="W972" s="73" t="str">
        <f t="array" ref="W972">INDIRECT("Update"&amp;Projections!$AH$17&amp;"!L"&amp;ROW(B953))</f>
        <v/>
      </c>
      <c r="X972" s="73" t="str">
        <f t="array" ref="X972">INDIRECT("Update"&amp;Projections!$AH$17&amp;"!N"&amp;ROW(B953))</f>
        <v/>
      </c>
      <c r="Y972" s="73" t="str">
        <f t="array" ref="Y972">INDIRECT("Update"&amp;Projections!$AH$17&amp;"!O"&amp;ROW(B953))</f>
        <v/>
      </c>
      <c r="Z972" s="73" t="str">
        <f t="array" ref="Z972">INDIRECT("Update"&amp;Projections!$AH$17&amp;"!P"&amp;ROW(B953))</f>
        <v/>
      </c>
      <c r="AA972" s="73" t="str">
        <f t="array" ref="AA972">INDIRECT("Update"&amp;Projections!$AH$17&amp;"!Q"&amp;ROW(B953))</f>
        <v/>
      </c>
      <c r="AB972" s="107" t="str">
        <f t="array" ref="AB972">INDIRECT("Update"&amp;Projections!$AH$17&amp;"!I"&amp;ROW(B953))</f>
        <v/>
      </c>
      <c r="AC972" s="107" t="str">
        <f t="array" ref="AC972">INDIRECT("Update"&amp;Projections!$AH$17&amp;"!K"&amp;ROW(B953))</f>
        <v/>
      </c>
      <c r="AD972" s="73" t="str">
        <f t="array" ref="AD972">INDIRECT("Update"&amp;Projections!$AH$17&amp;"!R"&amp;ROW(B953))</f>
        <v/>
      </c>
      <c r="AE972" s="73">
        <f t="shared" si="16"/>
        <v>-3.155358621</v>
      </c>
      <c r="AF972" s="73">
        <f t="shared" si="17"/>
        <v>-1.740686581</v>
      </c>
      <c r="AG972" s="73">
        <f t="shared" si="18"/>
        <v>-2.380599106</v>
      </c>
      <c r="AH972" s="73">
        <f t="shared" si="19"/>
        <v>-1.79320266</v>
      </c>
      <c r="AI972" s="73">
        <f t="shared" si="20"/>
        <v>-3.240190514</v>
      </c>
      <c r="AJ972" s="73">
        <f t="shared" si="21"/>
        <v>-1.329092151</v>
      </c>
      <c r="AK972" s="73">
        <f t="shared" si="22"/>
        <v>0</v>
      </c>
      <c r="AL972" s="73">
        <f t="shared" si="23"/>
        <v>0</v>
      </c>
      <c r="AM972" s="73">
        <f t="shared" si="24"/>
        <v>0.433638093</v>
      </c>
      <c r="AN972" s="120">
        <f t="shared" si="25"/>
        <v>-3.240190514</v>
      </c>
      <c r="AO972" s="120">
        <f t="shared" si="26"/>
        <v>-6.395549135</v>
      </c>
      <c r="AP972" s="120" t="str">
        <f t="array" ref="AP972">INDIRECT("Update"&amp;Projections!$AH$17&amp;"!S"&amp;ROW(B953))</f>
        <v/>
      </c>
      <c r="AQ972" s="120" t="str">
        <f t="array" ref="AQ972">INDIRECT("Update"&amp;Projections!$AH$17&amp;"!T"&amp;ROW(B953))</f>
        <v/>
      </c>
      <c r="AR972" s="100">
        <f t="shared" si="27"/>
        <v>-9.965301026</v>
      </c>
    </row>
    <row r="973">
      <c r="A973" t="str">
        <f t="shared" si="3"/>
        <v/>
      </c>
      <c r="B973" s="42">
        <f t="shared" si="4"/>
        <v>-3.155358621</v>
      </c>
      <c r="C973" s="43">
        <f t="shared" si="5"/>
        <v>-1.740686581</v>
      </c>
      <c r="D973" s="42">
        <f t="shared" si="6"/>
        <v>-2.380599106</v>
      </c>
      <c r="E973" s="42">
        <f t="shared" si="7"/>
        <v>-1.79320266</v>
      </c>
      <c r="F973" s="42">
        <f t="shared" si="8"/>
        <v>-3.240190514</v>
      </c>
      <c r="G973" s="42">
        <f t="shared" si="9"/>
        <v>-1.329092151</v>
      </c>
      <c r="H973" s="42">
        <f t="shared" si="10"/>
        <v>0</v>
      </c>
      <c r="I973" s="42" t="str">
        <f>UpdateHashtag!S971</f>
        <v/>
      </c>
      <c r="J973" s="47">
        <f t="shared" si="11"/>
        <v>0</v>
      </c>
      <c r="K973" s="48" t="str">
        <f>UpdateHashtag!T971</f>
        <v/>
      </c>
      <c r="L973" s="42">
        <f t="shared" si="12"/>
        <v>-1.734552372</v>
      </c>
      <c r="N973" s="100">
        <f t="shared" si="13"/>
        <v>401</v>
      </c>
      <c r="O973" s="94" t="str">
        <f t="array" ref="O973">INDIRECT("Update"&amp;Projections!$AH$17&amp;"!B"&amp;ROW(B954))</f>
        <v/>
      </c>
      <c r="P973" s="414" t="str">
        <f t="array" ref="P973">INDIRECT("Update"&amp;Projections!$AH$17&amp;"!C"&amp;ROW(B954))</f>
        <v/>
      </c>
      <c r="Q973" s="94" t="str">
        <f>UpdateHashtag!F1003</f>
        <v/>
      </c>
      <c r="R973" s="105" t="str">
        <f t="array" ref="R973">INDIRECT("Update"&amp;Projections!$AH$17&amp;"!D"&amp;ROW(B954))</f>
        <v/>
      </c>
      <c r="S973" s="73">
        <f t="shared" si="14"/>
        <v>-9.965301026</v>
      </c>
      <c r="T973" s="73">
        <f>SUM(AE973:AM973)-IFERROR(IFS(Projections!$I$17,AN973,Projections!$J$17,AO973),"")</f>
        <v>-9.965301026</v>
      </c>
      <c r="U973" s="73">
        <f t="shared" si="15"/>
        <v>0</v>
      </c>
      <c r="V973" s="73" t="str">
        <f t="array" ref="V973">INDIRECT("Update"&amp;Projections!$AH$17&amp;"!M"&amp;ROW(B954))</f>
        <v/>
      </c>
      <c r="W973" s="73" t="str">
        <f t="array" ref="W973">INDIRECT("Update"&amp;Projections!$AH$17&amp;"!L"&amp;ROW(B954))</f>
        <v/>
      </c>
      <c r="X973" s="73" t="str">
        <f t="array" ref="X973">INDIRECT("Update"&amp;Projections!$AH$17&amp;"!N"&amp;ROW(B954))</f>
        <v/>
      </c>
      <c r="Y973" s="73" t="str">
        <f t="array" ref="Y973">INDIRECT("Update"&amp;Projections!$AH$17&amp;"!O"&amp;ROW(B954))</f>
        <v/>
      </c>
      <c r="Z973" s="73" t="str">
        <f t="array" ref="Z973">INDIRECT("Update"&amp;Projections!$AH$17&amp;"!P"&amp;ROW(B954))</f>
        <v/>
      </c>
      <c r="AA973" s="73" t="str">
        <f t="array" ref="AA973">INDIRECT("Update"&amp;Projections!$AH$17&amp;"!Q"&amp;ROW(B954))</f>
        <v/>
      </c>
      <c r="AB973" s="107" t="str">
        <f t="array" ref="AB973">INDIRECT("Update"&amp;Projections!$AH$17&amp;"!I"&amp;ROW(B954))</f>
        <v/>
      </c>
      <c r="AC973" s="107" t="str">
        <f t="array" ref="AC973">INDIRECT("Update"&amp;Projections!$AH$17&amp;"!K"&amp;ROW(B954))</f>
        <v/>
      </c>
      <c r="AD973" s="73" t="str">
        <f t="array" ref="AD973">INDIRECT("Update"&amp;Projections!$AH$17&amp;"!R"&amp;ROW(B954))</f>
        <v/>
      </c>
      <c r="AE973" s="73">
        <f t="shared" si="16"/>
        <v>-3.155358621</v>
      </c>
      <c r="AF973" s="73">
        <f t="shared" si="17"/>
        <v>-1.740686581</v>
      </c>
      <c r="AG973" s="73">
        <f t="shared" si="18"/>
        <v>-2.380599106</v>
      </c>
      <c r="AH973" s="73">
        <f t="shared" si="19"/>
        <v>-1.79320266</v>
      </c>
      <c r="AI973" s="73">
        <f t="shared" si="20"/>
        <v>-3.240190514</v>
      </c>
      <c r="AJ973" s="73">
        <f t="shared" si="21"/>
        <v>-1.329092151</v>
      </c>
      <c r="AK973" s="73">
        <f t="shared" si="22"/>
        <v>0</v>
      </c>
      <c r="AL973" s="73">
        <f t="shared" si="23"/>
        <v>0</v>
      </c>
      <c r="AM973" s="73">
        <f t="shared" si="24"/>
        <v>0.433638093</v>
      </c>
      <c r="AN973" s="120">
        <f t="shared" si="25"/>
        <v>-3.240190514</v>
      </c>
      <c r="AO973" s="120">
        <f t="shared" si="26"/>
        <v>-6.395549135</v>
      </c>
      <c r="AP973" s="120" t="str">
        <f t="array" ref="AP973">INDIRECT("Update"&amp;Projections!$AH$17&amp;"!S"&amp;ROW(B954))</f>
        <v/>
      </c>
      <c r="AQ973" s="120" t="str">
        <f t="array" ref="AQ973">INDIRECT("Update"&amp;Projections!$AH$17&amp;"!T"&amp;ROW(B954))</f>
        <v/>
      </c>
      <c r="AR973" s="100">
        <f t="shared" si="27"/>
        <v>-9.965301026</v>
      </c>
    </row>
    <row r="974">
      <c r="A974" t="str">
        <f t="shared" si="3"/>
        <v/>
      </c>
      <c r="B974" s="42">
        <f t="shared" si="4"/>
        <v>-3.155358621</v>
      </c>
      <c r="C974" s="43">
        <f t="shared" si="5"/>
        <v>-1.740686581</v>
      </c>
      <c r="D974" s="42">
        <f t="shared" si="6"/>
        <v>-2.380599106</v>
      </c>
      <c r="E974" s="42">
        <f t="shared" si="7"/>
        <v>-1.79320266</v>
      </c>
      <c r="F974" s="42">
        <f t="shared" si="8"/>
        <v>-3.240190514</v>
      </c>
      <c r="G974" s="42">
        <f t="shared" si="9"/>
        <v>-1.329092151</v>
      </c>
      <c r="H974" s="42">
        <f t="shared" si="10"/>
        <v>0</v>
      </c>
      <c r="I974" s="42" t="str">
        <f>UpdateHashtag!S972</f>
        <v/>
      </c>
      <c r="J974" s="47">
        <f t="shared" si="11"/>
        <v>0</v>
      </c>
      <c r="K974" s="48" t="str">
        <f>UpdateHashtag!T972</f>
        <v/>
      </c>
      <c r="L974" s="42">
        <f t="shared" si="12"/>
        <v>-1.734552372</v>
      </c>
      <c r="N974" s="100">
        <f t="shared" si="13"/>
        <v>401</v>
      </c>
      <c r="O974" s="94" t="str">
        <f t="array" ref="O974">INDIRECT("Update"&amp;Projections!$AH$17&amp;"!B"&amp;ROW(B955))</f>
        <v/>
      </c>
      <c r="P974" s="414" t="str">
        <f t="array" ref="P974">INDIRECT("Update"&amp;Projections!$AH$17&amp;"!C"&amp;ROW(B955))</f>
        <v/>
      </c>
      <c r="Q974" s="94" t="str">
        <f>UpdateHashtag!F1004</f>
        <v/>
      </c>
      <c r="R974" s="105" t="str">
        <f t="array" ref="R974">INDIRECT("Update"&amp;Projections!$AH$17&amp;"!D"&amp;ROW(B955))</f>
        <v/>
      </c>
      <c r="S974" s="73">
        <f t="shared" si="14"/>
        <v>-9.965301026</v>
      </c>
      <c r="T974" s="73">
        <f>SUM(AE974:AM974)-IFERROR(IFS(Projections!$I$17,AN974,Projections!$J$17,AO974),"")</f>
        <v>-9.965301026</v>
      </c>
      <c r="U974" s="73">
        <f t="shared" si="15"/>
        <v>0</v>
      </c>
      <c r="V974" s="73" t="str">
        <f t="array" ref="V974">INDIRECT("Update"&amp;Projections!$AH$17&amp;"!M"&amp;ROW(B955))</f>
        <v/>
      </c>
      <c r="W974" s="73" t="str">
        <f t="array" ref="W974">INDIRECT("Update"&amp;Projections!$AH$17&amp;"!L"&amp;ROW(B955))</f>
        <v/>
      </c>
      <c r="X974" s="73" t="str">
        <f t="array" ref="X974">INDIRECT("Update"&amp;Projections!$AH$17&amp;"!N"&amp;ROW(B955))</f>
        <v/>
      </c>
      <c r="Y974" s="73" t="str">
        <f t="array" ref="Y974">INDIRECT("Update"&amp;Projections!$AH$17&amp;"!O"&amp;ROW(B955))</f>
        <v/>
      </c>
      <c r="Z974" s="73" t="str">
        <f t="array" ref="Z974">INDIRECT("Update"&amp;Projections!$AH$17&amp;"!P"&amp;ROW(B955))</f>
        <v/>
      </c>
      <c r="AA974" s="73" t="str">
        <f t="array" ref="AA974">INDIRECT("Update"&amp;Projections!$AH$17&amp;"!Q"&amp;ROW(B955))</f>
        <v/>
      </c>
      <c r="AB974" s="107" t="str">
        <f t="array" ref="AB974">INDIRECT("Update"&amp;Projections!$AH$17&amp;"!I"&amp;ROW(B955))</f>
        <v/>
      </c>
      <c r="AC974" s="107" t="str">
        <f t="array" ref="AC974">INDIRECT("Update"&amp;Projections!$AH$17&amp;"!K"&amp;ROW(B955))</f>
        <v/>
      </c>
      <c r="AD974" s="73" t="str">
        <f t="array" ref="AD974">INDIRECT("Update"&amp;Projections!$AH$17&amp;"!R"&amp;ROW(B955))</f>
        <v/>
      </c>
      <c r="AE974" s="73">
        <f t="shared" si="16"/>
        <v>-3.155358621</v>
      </c>
      <c r="AF974" s="73">
        <f t="shared" si="17"/>
        <v>-1.740686581</v>
      </c>
      <c r="AG974" s="73">
        <f t="shared" si="18"/>
        <v>-2.380599106</v>
      </c>
      <c r="AH974" s="73">
        <f t="shared" si="19"/>
        <v>-1.79320266</v>
      </c>
      <c r="AI974" s="73">
        <f t="shared" si="20"/>
        <v>-3.240190514</v>
      </c>
      <c r="AJ974" s="73">
        <f t="shared" si="21"/>
        <v>-1.329092151</v>
      </c>
      <c r="AK974" s="73">
        <f t="shared" si="22"/>
        <v>0</v>
      </c>
      <c r="AL974" s="73">
        <f t="shared" si="23"/>
        <v>0</v>
      </c>
      <c r="AM974" s="73">
        <f t="shared" si="24"/>
        <v>0.433638093</v>
      </c>
      <c r="AN974" s="120">
        <f t="shared" si="25"/>
        <v>-3.240190514</v>
      </c>
      <c r="AO974" s="120">
        <f t="shared" si="26"/>
        <v>-6.395549135</v>
      </c>
      <c r="AP974" s="120" t="str">
        <f t="array" ref="AP974">INDIRECT("Update"&amp;Projections!$AH$17&amp;"!S"&amp;ROW(B955))</f>
        <v/>
      </c>
      <c r="AQ974" s="120" t="str">
        <f t="array" ref="AQ974">INDIRECT("Update"&amp;Projections!$AH$17&amp;"!T"&amp;ROW(B955))</f>
        <v/>
      </c>
      <c r="AR974" s="100">
        <f t="shared" si="27"/>
        <v>-9.965301026</v>
      </c>
    </row>
    <row r="975">
      <c r="A975" t="str">
        <f t="shared" si="3"/>
        <v/>
      </c>
      <c r="B975" s="42">
        <f t="shared" si="4"/>
        <v>-3.155358621</v>
      </c>
      <c r="C975" s="43">
        <f t="shared" si="5"/>
        <v>-1.740686581</v>
      </c>
      <c r="D975" s="42">
        <f t="shared" si="6"/>
        <v>-2.380599106</v>
      </c>
      <c r="E975" s="42">
        <f t="shared" si="7"/>
        <v>-1.79320266</v>
      </c>
      <c r="F975" s="42">
        <f t="shared" si="8"/>
        <v>-3.240190514</v>
      </c>
      <c r="G975" s="42">
        <f t="shared" si="9"/>
        <v>-1.329092151</v>
      </c>
      <c r="H975" s="42">
        <f t="shared" si="10"/>
        <v>0</v>
      </c>
      <c r="I975" s="42" t="str">
        <f>UpdateHashtag!S973</f>
        <v/>
      </c>
      <c r="J975" s="47">
        <f t="shared" si="11"/>
        <v>0</v>
      </c>
      <c r="K975" s="48" t="str">
        <f>UpdateHashtag!T973</f>
        <v/>
      </c>
      <c r="L975" s="42">
        <f t="shared" si="12"/>
        <v>-1.734552372</v>
      </c>
      <c r="N975" s="100">
        <f t="shared" si="13"/>
        <v>401</v>
      </c>
      <c r="O975" s="94" t="str">
        <f t="array" ref="O975">INDIRECT("Update"&amp;Projections!$AH$17&amp;"!B"&amp;ROW(B956))</f>
        <v/>
      </c>
      <c r="P975" s="414" t="str">
        <f t="array" ref="P975">INDIRECT("Update"&amp;Projections!$AH$17&amp;"!C"&amp;ROW(B956))</f>
        <v/>
      </c>
      <c r="Q975" s="94" t="str">
        <f>UpdateHashtag!F1005</f>
        <v/>
      </c>
      <c r="R975" s="105" t="str">
        <f t="array" ref="R975">INDIRECT("Update"&amp;Projections!$AH$17&amp;"!D"&amp;ROW(B956))</f>
        <v/>
      </c>
      <c r="S975" s="73">
        <f t="shared" si="14"/>
        <v>-9.965301026</v>
      </c>
      <c r="T975" s="73">
        <f>SUM(AE975:AM975)-IFERROR(IFS(Projections!$I$17,AN975,Projections!$J$17,AO975),"")</f>
        <v>-9.965301026</v>
      </c>
      <c r="U975" s="73">
        <f t="shared" si="15"/>
        <v>0</v>
      </c>
      <c r="V975" s="73" t="str">
        <f t="array" ref="V975">INDIRECT("Update"&amp;Projections!$AH$17&amp;"!M"&amp;ROW(B956))</f>
        <v/>
      </c>
      <c r="W975" s="73" t="str">
        <f t="array" ref="W975">INDIRECT("Update"&amp;Projections!$AH$17&amp;"!L"&amp;ROW(B956))</f>
        <v/>
      </c>
      <c r="X975" s="73" t="str">
        <f t="array" ref="X975">INDIRECT("Update"&amp;Projections!$AH$17&amp;"!N"&amp;ROW(B956))</f>
        <v/>
      </c>
      <c r="Y975" s="73" t="str">
        <f t="array" ref="Y975">INDIRECT("Update"&amp;Projections!$AH$17&amp;"!O"&amp;ROW(B956))</f>
        <v/>
      </c>
      <c r="Z975" s="73" t="str">
        <f t="array" ref="Z975">INDIRECT("Update"&amp;Projections!$AH$17&amp;"!P"&amp;ROW(B956))</f>
        <v/>
      </c>
      <c r="AA975" s="73" t="str">
        <f t="array" ref="AA975">INDIRECT("Update"&amp;Projections!$AH$17&amp;"!Q"&amp;ROW(B956))</f>
        <v/>
      </c>
      <c r="AB975" s="107" t="str">
        <f t="array" ref="AB975">INDIRECT("Update"&amp;Projections!$AH$17&amp;"!I"&amp;ROW(B956))</f>
        <v/>
      </c>
      <c r="AC975" s="107" t="str">
        <f t="array" ref="AC975">INDIRECT("Update"&amp;Projections!$AH$17&amp;"!K"&amp;ROW(B956))</f>
        <v/>
      </c>
      <c r="AD975" s="73" t="str">
        <f t="array" ref="AD975">INDIRECT("Update"&amp;Projections!$AH$17&amp;"!R"&amp;ROW(B956))</f>
        <v/>
      </c>
      <c r="AE975" s="73">
        <f t="shared" si="16"/>
        <v>-3.155358621</v>
      </c>
      <c r="AF975" s="73">
        <f t="shared" si="17"/>
        <v>-1.740686581</v>
      </c>
      <c r="AG975" s="73">
        <f t="shared" si="18"/>
        <v>-2.380599106</v>
      </c>
      <c r="AH975" s="73">
        <f t="shared" si="19"/>
        <v>-1.79320266</v>
      </c>
      <c r="AI975" s="73">
        <f t="shared" si="20"/>
        <v>-3.240190514</v>
      </c>
      <c r="AJ975" s="73">
        <f t="shared" si="21"/>
        <v>-1.329092151</v>
      </c>
      <c r="AK975" s="73">
        <f t="shared" si="22"/>
        <v>0</v>
      </c>
      <c r="AL975" s="73">
        <f t="shared" si="23"/>
        <v>0</v>
      </c>
      <c r="AM975" s="73">
        <f t="shared" si="24"/>
        <v>0.433638093</v>
      </c>
      <c r="AN975" s="120">
        <f t="shared" si="25"/>
        <v>-3.240190514</v>
      </c>
      <c r="AO975" s="120">
        <f t="shared" si="26"/>
        <v>-6.395549135</v>
      </c>
      <c r="AP975" s="120" t="str">
        <f t="array" ref="AP975">INDIRECT("Update"&amp;Projections!$AH$17&amp;"!S"&amp;ROW(B956))</f>
        <v/>
      </c>
      <c r="AQ975" s="120" t="str">
        <f t="array" ref="AQ975">INDIRECT("Update"&amp;Projections!$AH$17&amp;"!T"&amp;ROW(B956))</f>
        <v/>
      </c>
      <c r="AR975" s="100">
        <f t="shared" si="27"/>
        <v>-9.965301026</v>
      </c>
    </row>
    <row r="976">
      <c r="A976" t="str">
        <f t="shared" si="3"/>
        <v/>
      </c>
      <c r="B976" s="42">
        <f t="shared" si="4"/>
        <v>-3.155358621</v>
      </c>
      <c r="C976" s="43">
        <f t="shared" si="5"/>
        <v>-1.740686581</v>
      </c>
      <c r="D976" s="42">
        <f t="shared" si="6"/>
        <v>-2.380599106</v>
      </c>
      <c r="E976" s="42">
        <f t="shared" si="7"/>
        <v>-1.79320266</v>
      </c>
      <c r="F976" s="42">
        <f t="shared" si="8"/>
        <v>-3.240190514</v>
      </c>
      <c r="G976" s="42">
        <f t="shared" si="9"/>
        <v>-1.329092151</v>
      </c>
      <c r="H976" s="42">
        <f t="shared" si="10"/>
        <v>0</v>
      </c>
      <c r="I976" s="42" t="str">
        <f>UpdateHashtag!S974</f>
        <v/>
      </c>
      <c r="J976" s="47">
        <f t="shared" si="11"/>
        <v>0</v>
      </c>
      <c r="K976" s="48" t="str">
        <f>UpdateHashtag!T974</f>
        <v/>
      </c>
      <c r="L976" s="42">
        <f t="shared" si="12"/>
        <v>-1.734552372</v>
      </c>
      <c r="N976" s="100">
        <f t="shared" si="13"/>
        <v>401</v>
      </c>
      <c r="O976" s="94" t="str">
        <f t="array" ref="O976">INDIRECT("Update"&amp;Projections!$AH$17&amp;"!B"&amp;ROW(B957))</f>
        <v/>
      </c>
      <c r="P976" s="414" t="str">
        <f t="array" ref="P976">INDIRECT("Update"&amp;Projections!$AH$17&amp;"!C"&amp;ROW(B957))</f>
        <v/>
      </c>
      <c r="Q976" s="94" t="str">
        <f>UpdateHashtag!F1006</f>
        <v/>
      </c>
      <c r="R976" s="105" t="str">
        <f t="array" ref="R976">INDIRECT("Update"&amp;Projections!$AH$17&amp;"!D"&amp;ROW(B957))</f>
        <v/>
      </c>
      <c r="S976" s="73">
        <f t="shared" si="14"/>
        <v>-9.965301026</v>
      </c>
      <c r="T976" s="73">
        <f>SUM(AE976:AM976)-IFERROR(IFS(Projections!$I$17,AN976,Projections!$J$17,AO976),"")</f>
        <v>-9.965301026</v>
      </c>
      <c r="U976" s="73">
        <f t="shared" si="15"/>
        <v>0</v>
      </c>
      <c r="V976" s="73" t="str">
        <f t="array" ref="V976">INDIRECT("Update"&amp;Projections!$AH$17&amp;"!M"&amp;ROW(B957))</f>
        <v/>
      </c>
      <c r="W976" s="73" t="str">
        <f t="array" ref="W976">INDIRECT("Update"&amp;Projections!$AH$17&amp;"!L"&amp;ROW(B957))</f>
        <v/>
      </c>
      <c r="X976" s="73" t="str">
        <f t="array" ref="X976">INDIRECT("Update"&amp;Projections!$AH$17&amp;"!N"&amp;ROW(B957))</f>
        <v/>
      </c>
      <c r="Y976" s="73" t="str">
        <f t="array" ref="Y976">INDIRECT("Update"&amp;Projections!$AH$17&amp;"!O"&amp;ROW(B957))</f>
        <v/>
      </c>
      <c r="Z976" s="73" t="str">
        <f t="array" ref="Z976">INDIRECT("Update"&amp;Projections!$AH$17&amp;"!P"&amp;ROW(B957))</f>
        <v/>
      </c>
      <c r="AA976" s="73" t="str">
        <f t="array" ref="AA976">INDIRECT("Update"&amp;Projections!$AH$17&amp;"!Q"&amp;ROW(B957))</f>
        <v/>
      </c>
      <c r="AB976" s="107" t="str">
        <f t="array" ref="AB976">INDIRECT("Update"&amp;Projections!$AH$17&amp;"!I"&amp;ROW(B957))</f>
        <v/>
      </c>
      <c r="AC976" s="107" t="str">
        <f t="array" ref="AC976">INDIRECT("Update"&amp;Projections!$AH$17&amp;"!K"&amp;ROW(B957))</f>
        <v/>
      </c>
      <c r="AD976" s="73" t="str">
        <f t="array" ref="AD976">INDIRECT("Update"&amp;Projections!$AH$17&amp;"!R"&amp;ROW(B957))</f>
        <v/>
      </c>
      <c r="AE976" s="73">
        <f t="shared" si="16"/>
        <v>-3.155358621</v>
      </c>
      <c r="AF976" s="73">
        <f t="shared" si="17"/>
        <v>-1.740686581</v>
      </c>
      <c r="AG976" s="73">
        <f t="shared" si="18"/>
        <v>-2.380599106</v>
      </c>
      <c r="AH976" s="73">
        <f t="shared" si="19"/>
        <v>-1.79320266</v>
      </c>
      <c r="AI976" s="73">
        <f t="shared" si="20"/>
        <v>-3.240190514</v>
      </c>
      <c r="AJ976" s="73">
        <f t="shared" si="21"/>
        <v>-1.329092151</v>
      </c>
      <c r="AK976" s="73">
        <f t="shared" si="22"/>
        <v>0</v>
      </c>
      <c r="AL976" s="73">
        <f t="shared" si="23"/>
        <v>0</v>
      </c>
      <c r="AM976" s="73">
        <f t="shared" si="24"/>
        <v>0.433638093</v>
      </c>
      <c r="AN976" s="120">
        <f t="shared" si="25"/>
        <v>-3.240190514</v>
      </c>
      <c r="AO976" s="120">
        <f t="shared" si="26"/>
        <v>-6.395549135</v>
      </c>
      <c r="AP976" s="120" t="str">
        <f t="array" ref="AP976">INDIRECT("Update"&amp;Projections!$AH$17&amp;"!S"&amp;ROW(B957))</f>
        <v/>
      </c>
      <c r="AQ976" s="120" t="str">
        <f t="array" ref="AQ976">INDIRECT("Update"&amp;Projections!$AH$17&amp;"!T"&amp;ROW(B957))</f>
        <v/>
      </c>
      <c r="AR976" s="100">
        <f t="shared" si="27"/>
        <v>-9.965301026</v>
      </c>
    </row>
    <row r="977">
      <c r="A977" t="str">
        <f t="shared" si="3"/>
        <v/>
      </c>
      <c r="B977" s="42">
        <f t="shared" si="4"/>
        <v>-3.155358621</v>
      </c>
      <c r="C977" s="43">
        <f t="shared" si="5"/>
        <v>-1.740686581</v>
      </c>
      <c r="D977" s="42">
        <f t="shared" si="6"/>
        <v>-2.380599106</v>
      </c>
      <c r="E977" s="42">
        <f t="shared" si="7"/>
        <v>-1.79320266</v>
      </c>
      <c r="F977" s="42">
        <f t="shared" si="8"/>
        <v>-3.240190514</v>
      </c>
      <c r="G977" s="42">
        <f t="shared" si="9"/>
        <v>-1.329092151</v>
      </c>
      <c r="H977" s="42">
        <f t="shared" si="10"/>
        <v>0</v>
      </c>
      <c r="I977" s="42" t="str">
        <f>UpdateHashtag!S975</f>
        <v/>
      </c>
      <c r="J977" s="47">
        <f t="shared" si="11"/>
        <v>0</v>
      </c>
      <c r="K977" s="48" t="str">
        <f>UpdateHashtag!T975</f>
        <v/>
      </c>
      <c r="L977" s="42">
        <f t="shared" si="12"/>
        <v>-1.734552372</v>
      </c>
      <c r="N977" s="100">
        <f t="shared" si="13"/>
        <v>401</v>
      </c>
      <c r="O977" s="94" t="str">
        <f t="array" ref="O977">INDIRECT("Update"&amp;Projections!$AH$17&amp;"!B"&amp;ROW(B958))</f>
        <v/>
      </c>
      <c r="P977" s="414" t="str">
        <f t="array" ref="P977">INDIRECT("Update"&amp;Projections!$AH$17&amp;"!C"&amp;ROW(B958))</f>
        <v/>
      </c>
      <c r="Q977" s="94" t="str">
        <f>UpdateHashtag!F1007</f>
        <v/>
      </c>
      <c r="R977" s="105" t="str">
        <f t="array" ref="R977">INDIRECT("Update"&amp;Projections!$AH$17&amp;"!D"&amp;ROW(B958))</f>
        <v/>
      </c>
      <c r="S977" s="73">
        <f t="shared" si="14"/>
        <v>-9.965301026</v>
      </c>
      <c r="T977" s="73">
        <f>SUM(AE977:AM977)-IFERROR(IFS(Projections!$I$17,AN977,Projections!$J$17,AO977),"")</f>
        <v>-9.965301026</v>
      </c>
      <c r="U977" s="73">
        <f t="shared" si="15"/>
        <v>0</v>
      </c>
      <c r="V977" s="73" t="str">
        <f t="array" ref="V977">INDIRECT("Update"&amp;Projections!$AH$17&amp;"!M"&amp;ROW(B958))</f>
        <v/>
      </c>
      <c r="W977" s="73" t="str">
        <f t="array" ref="W977">INDIRECT("Update"&amp;Projections!$AH$17&amp;"!L"&amp;ROW(B958))</f>
        <v/>
      </c>
      <c r="X977" s="73" t="str">
        <f t="array" ref="X977">INDIRECT("Update"&amp;Projections!$AH$17&amp;"!N"&amp;ROW(B958))</f>
        <v/>
      </c>
      <c r="Y977" s="73" t="str">
        <f t="array" ref="Y977">INDIRECT("Update"&amp;Projections!$AH$17&amp;"!O"&amp;ROW(B958))</f>
        <v/>
      </c>
      <c r="Z977" s="73" t="str">
        <f t="array" ref="Z977">INDIRECT("Update"&amp;Projections!$AH$17&amp;"!P"&amp;ROW(B958))</f>
        <v/>
      </c>
      <c r="AA977" s="73" t="str">
        <f t="array" ref="AA977">INDIRECT("Update"&amp;Projections!$AH$17&amp;"!Q"&amp;ROW(B958))</f>
        <v/>
      </c>
      <c r="AB977" s="107" t="str">
        <f t="array" ref="AB977">INDIRECT("Update"&amp;Projections!$AH$17&amp;"!I"&amp;ROW(B958))</f>
        <v/>
      </c>
      <c r="AC977" s="107" t="str">
        <f t="array" ref="AC977">INDIRECT("Update"&amp;Projections!$AH$17&amp;"!K"&amp;ROW(B958))</f>
        <v/>
      </c>
      <c r="AD977" s="73" t="str">
        <f t="array" ref="AD977">INDIRECT("Update"&amp;Projections!$AH$17&amp;"!R"&amp;ROW(B958))</f>
        <v/>
      </c>
      <c r="AE977" s="73">
        <f t="shared" si="16"/>
        <v>-3.155358621</v>
      </c>
      <c r="AF977" s="73">
        <f t="shared" si="17"/>
        <v>-1.740686581</v>
      </c>
      <c r="AG977" s="73">
        <f t="shared" si="18"/>
        <v>-2.380599106</v>
      </c>
      <c r="AH977" s="73">
        <f t="shared" si="19"/>
        <v>-1.79320266</v>
      </c>
      <c r="AI977" s="73">
        <f t="shared" si="20"/>
        <v>-3.240190514</v>
      </c>
      <c r="AJ977" s="73">
        <f t="shared" si="21"/>
        <v>-1.329092151</v>
      </c>
      <c r="AK977" s="73">
        <f t="shared" si="22"/>
        <v>0</v>
      </c>
      <c r="AL977" s="73">
        <f t="shared" si="23"/>
        <v>0</v>
      </c>
      <c r="AM977" s="73">
        <f t="shared" si="24"/>
        <v>0.433638093</v>
      </c>
      <c r="AN977" s="120">
        <f t="shared" si="25"/>
        <v>-3.240190514</v>
      </c>
      <c r="AO977" s="120">
        <f t="shared" si="26"/>
        <v>-6.395549135</v>
      </c>
      <c r="AP977" s="120" t="str">
        <f t="array" ref="AP977">INDIRECT("Update"&amp;Projections!$AH$17&amp;"!S"&amp;ROW(B958))</f>
        <v/>
      </c>
      <c r="AQ977" s="120" t="str">
        <f t="array" ref="AQ977">INDIRECT("Update"&amp;Projections!$AH$17&amp;"!T"&amp;ROW(B958))</f>
        <v/>
      </c>
      <c r="AR977" s="100">
        <f t="shared" si="27"/>
        <v>-9.965301026</v>
      </c>
    </row>
    <row r="978">
      <c r="A978" t="str">
        <f t="shared" si="3"/>
        <v/>
      </c>
      <c r="B978" s="42">
        <f t="shared" si="4"/>
        <v>-3.155358621</v>
      </c>
      <c r="C978" s="43">
        <f t="shared" si="5"/>
        <v>-1.740686581</v>
      </c>
      <c r="D978" s="42">
        <f t="shared" si="6"/>
        <v>-2.380599106</v>
      </c>
      <c r="E978" s="42">
        <f t="shared" si="7"/>
        <v>-1.79320266</v>
      </c>
      <c r="F978" s="42">
        <f t="shared" si="8"/>
        <v>-3.240190514</v>
      </c>
      <c r="G978" s="42">
        <f t="shared" si="9"/>
        <v>-1.329092151</v>
      </c>
      <c r="H978" s="42">
        <f t="shared" si="10"/>
        <v>0</v>
      </c>
      <c r="I978" s="42" t="str">
        <f>UpdateHashtag!S976</f>
        <v/>
      </c>
      <c r="J978" s="47">
        <f t="shared" si="11"/>
        <v>0</v>
      </c>
      <c r="K978" s="48" t="str">
        <f>UpdateHashtag!T976</f>
        <v/>
      </c>
      <c r="L978" s="42">
        <f t="shared" si="12"/>
        <v>-1.734552372</v>
      </c>
      <c r="N978" s="100">
        <f t="shared" si="13"/>
        <v>401</v>
      </c>
      <c r="O978" s="94" t="str">
        <f t="array" ref="O978">INDIRECT("Update"&amp;Projections!$AH$17&amp;"!B"&amp;ROW(B959))</f>
        <v/>
      </c>
      <c r="P978" s="414" t="str">
        <f t="array" ref="P978">INDIRECT("Update"&amp;Projections!$AH$17&amp;"!C"&amp;ROW(B959))</f>
        <v/>
      </c>
      <c r="Q978" s="94" t="str">
        <f>UpdateHashtag!F1008</f>
        <v/>
      </c>
      <c r="R978" s="105" t="str">
        <f t="array" ref="R978">INDIRECT("Update"&amp;Projections!$AH$17&amp;"!D"&amp;ROW(B959))</f>
        <v/>
      </c>
      <c r="S978" s="73">
        <f t="shared" si="14"/>
        <v>-9.965301026</v>
      </c>
      <c r="T978" s="73">
        <f>SUM(AE978:AM978)-IFERROR(IFS(Projections!$I$17,AN978,Projections!$J$17,AO978),"")</f>
        <v>-9.965301026</v>
      </c>
      <c r="U978" s="73">
        <f t="shared" si="15"/>
        <v>0</v>
      </c>
      <c r="V978" s="73" t="str">
        <f t="array" ref="V978">INDIRECT("Update"&amp;Projections!$AH$17&amp;"!M"&amp;ROW(B959))</f>
        <v/>
      </c>
      <c r="W978" s="73" t="str">
        <f t="array" ref="W978">INDIRECT("Update"&amp;Projections!$AH$17&amp;"!L"&amp;ROW(B959))</f>
        <v/>
      </c>
      <c r="X978" s="73" t="str">
        <f t="array" ref="X978">INDIRECT("Update"&amp;Projections!$AH$17&amp;"!N"&amp;ROW(B959))</f>
        <v/>
      </c>
      <c r="Y978" s="73" t="str">
        <f t="array" ref="Y978">INDIRECT("Update"&amp;Projections!$AH$17&amp;"!O"&amp;ROW(B959))</f>
        <v/>
      </c>
      <c r="Z978" s="73" t="str">
        <f t="array" ref="Z978">INDIRECT("Update"&amp;Projections!$AH$17&amp;"!P"&amp;ROW(B959))</f>
        <v/>
      </c>
      <c r="AA978" s="73" t="str">
        <f t="array" ref="AA978">INDIRECT("Update"&amp;Projections!$AH$17&amp;"!Q"&amp;ROW(B959))</f>
        <v/>
      </c>
      <c r="AB978" s="107" t="str">
        <f t="array" ref="AB978">INDIRECT("Update"&amp;Projections!$AH$17&amp;"!I"&amp;ROW(B959))</f>
        <v/>
      </c>
      <c r="AC978" s="107" t="str">
        <f t="array" ref="AC978">INDIRECT("Update"&amp;Projections!$AH$17&amp;"!K"&amp;ROW(B959))</f>
        <v/>
      </c>
      <c r="AD978" s="73" t="str">
        <f t="array" ref="AD978">INDIRECT("Update"&amp;Projections!$AH$17&amp;"!R"&amp;ROW(B959))</f>
        <v/>
      </c>
      <c r="AE978" s="73">
        <f t="shared" si="16"/>
        <v>-3.155358621</v>
      </c>
      <c r="AF978" s="73">
        <f t="shared" si="17"/>
        <v>-1.740686581</v>
      </c>
      <c r="AG978" s="73">
        <f t="shared" si="18"/>
        <v>-2.380599106</v>
      </c>
      <c r="AH978" s="73">
        <f t="shared" si="19"/>
        <v>-1.79320266</v>
      </c>
      <c r="AI978" s="73">
        <f t="shared" si="20"/>
        <v>-3.240190514</v>
      </c>
      <c r="AJ978" s="73">
        <f t="shared" si="21"/>
        <v>-1.329092151</v>
      </c>
      <c r="AK978" s="73">
        <f t="shared" si="22"/>
        <v>0</v>
      </c>
      <c r="AL978" s="73">
        <f t="shared" si="23"/>
        <v>0</v>
      </c>
      <c r="AM978" s="73">
        <f t="shared" si="24"/>
        <v>0.433638093</v>
      </c>
      <c r="AN978" s="120">
        <f t="shared" si="25"/>
        <v>-3.240190514</v>
      </c>
      <c r="AO978" s="120">
        <f t="shared" si="26"/>
        <v>-6.395549135</v>
      </c>
      <c r="AP978" s="120" t="str">
        <f t="array" ref="AP978">INDIRECT("Update"&amp;Projections!$AH$17&amp;"!S"&amp;ROW(B959))</f>
        <v/>
      </c>
      <c r="AQ978" s="120" t="str">
        <f t="array" ref="AQ978">INDIRECT("Update"&amp;Projections!$AH$17&amp;"!T"&amp;ROW(B959))</f>
        <v/>
      </c>
      <c r="AR978" s="100">
        <f t="shared" si="27"/>
        <v>-9.965301026</v>
      </c>
    </row>
    <row r="979">
      <c r="A979" t="str">
        <f t="shared" si="3"/>
        <v/>
      </c>
      <c r="B979" s="42">
        <f t="shared" si="4"/>
        <v>-3.155358621</v>
      </c>
      <c r="C979" s="43">
        <f t="shared" si="5"/>
        <v>-1.740686581</v>
      </c>
      <c r="D979" s="42">
        <f t="shared" si="6"/>
        <v>-2.380599106</v>
      </c>
      <c r="E979" s="42">
        <f t="shared" si="7"/>
        <v>-1.79320266</v>
      </c>
      <c r="F979" s="42">
        <f t="shared" si="8"/>
        <v>-3.240190514</v>
      </c>
      <c r="G979" s="42">
        <f t="shared" si="9"/>
        <v>-1.329092151</v>
      </c>
      <c r="H979" s="42">
        <f t="shared" si="10"/>
        <v>0</v>
      </c>
      <c r="I979" s="42" t="str">
        <f>UpdateHashtag!S977</f>
        <v/>
      </c>
      <c r="J979" s="47">
        <f t="shared" si="11"/>
        <v>0</v>
      </c>
      <c r="K979" s="48" t="str">
        <f>UpdateHashtag!T977</f>
        <v/>
      </c>
      <c r="L979" s="42">
        <f t="shared" si="12"/>
        <v>-1.734552372</v>
      </c>
      <c r="N979" s="100">
        <f t="shared" si="13"/>
        <v>401</v>
      </c>
      <c r="O979" s="94" t="str">
        <f t="array" ref="O979">INDIRECT("Update"&amp;Projections!$AH$17&amp;"!B"&amp;ROW(B960))</f>
        <v/>
      </c>
      <c r="P979" s="414" t="str">
        <f t="array" ref="P979">INDIRECT("Update"&amp;Projections!$AH$17&amp;"!C"&amp;ROW(B960))</f>
        <v/>
      </c>
      <c r="Q979" s="94" t="str">
        <f>UpdateHashtag!F1009</f>
        <v/>
      </c>
      <c r="R979" s="105" t="str">
        <f t="array" ref="R979">INDIRECT("Update"&amp;Projections!$AH$17&amp;"!D"&amp;ROW(B960))</f>
        <v/>
      </c>
      <c r="S979" s="73">
        <f t="shared" si="14"/>
        <v>-9.965301026</v>
      </c>
      <c r="T979" s="73">
        <f>SUM(AE979:AM979)-IFERROR(IFS(Projections!$I$17,AN979,Projections!$J$17,AO979),"")</f>
        <v>-9.965301026</v>
      </c>
      <c r="U979" s="73">
        <f t="shared" si="15"/>
        <v>0</v>
      </c>
      <c r="V979" s="73" t="str">
        <f t="array" ref="V979">INDIRECT("Update"&amp;Projections!$AH$17&amp;"!M"&amp;ROW(B960))</f>
        <v/>
      </c>
      <c r="W979" s="73" t="str">
        <f t="array" ref="W979">INDIRECT("Update"&amp;Projections!$AH$17&amp;"!L"&amp;ROW(B960))</f>
        <v/>
      </c>
      <c r="X979" s="73" t="str">
        <f t="array" ref="X979">INDIRECT("Update"&amp;Projections!$AH$17&amp;"!N"&amp;ROW(B960))</f>
        <v/>
      </c>
      <c r="Y979" s="73" t="str">
        <f t="array" ref="Y979">INDIRECT("Update"&amp;Projections!$AH$17&amp;"!O"&amp;ROW(B960))</f>
        <v/>
      </c>
      <c r="Z979" s="73" t="str">
        <f t="array" ref="Z979">INDIRECT("Update"&amp;Projections!$AH$17&amp;"!P"&amp;ROW(B960))</f>
        <v/>
      </c>
      <c r="AA979" s="73" t="str">
        <f t="array" ref="AA979">INDIRECT("Update"&amp;Projections!$AH$17&amp;"!Q"&amp;ROW(B960))</f>
        <v/>
      </c>
      <c r="AB979" s="107" t="str">
        <f t="array" ref="AB979">INDIRECT("Update"&amp;Projections!$AH$17&amp;"!I"&amp;ROW(B960))</f>
        <v/>
      </c>
      <c r="AC979" s="107" t="str">
        <f t="array" ref="AC979">INDIRECT("Update"&amp;Projections!$AH$17&amp;"!K"&amp;ROW(B960))</f>
        <v/>
      </c>
      <c r="AD979" s="73" t="str">
        <f t="array" ref="AD979">INDIRECT("Update"&amp;Projections!$AH$17&amp;"!R"&amp;ROW(B960))</f>
        <v/>
      </c>
      <c r="AE979" s="73">
        <f t="shared" si="16"/>
        <v>-3.155358621</v>
      </c>
      <c r="AF979" s="73">
        <f t="shared" si="17"/>
        <v>-1.740686581</v>
      </c>
      <c r="AG979" s="73">
        <f t="shared" si="18"/>
        <v>-2.380599106</v>
      </c>
      <c r="AH979" s="73">
        <f t="shared" si="19"/>
        <v>-1.79320266</v>
      </c>
      <c r="AI979" s="73">
        <f t="shared" si="20"/>
        <v>-3.240190514</v>
      </c>
      <c r="AJ979" s="73">
        <f t="shared" si="21"/>
        <v>-1.329092151</v>
      </c>
      <c r="AK979" s="73">
        <f t="shared" si="22"/>
        <v>0</v>
      </c>
      <c r="AL979" s="73">
        <f t="shared" si="23"/>
        <v>0</v>
      </c>
      <c r="AM979" s="73">
        <f t="shared" si="24"/>
        <v>0.433638093</v>
      </c>
      <c r="AN979" s="120">
        <f t="shared" si="25"/>
        <v>-3.240190514</v>
      </c>
      <c r="AO979" s="120">
        <f t="shared" si="26"/>
        <v>-6.395549135</v>
      </c>
      <c r="AP979" s="120" t="str">
        <f t="array" ref="AP979">INDIRECT("Update"&amp;Projections!$AH$17&amp;"!S"&amp;ROW(B960))</f>
        <v/>
      </c>
      <c r="AQ979" s="120" t="str">
        <f t="array" ref="AQ979">INDIRECT("Update"&amp;Projections!$AH$17&amp;"!T"&amp;ROW(B960))</f>
        <v/>
      </c>
      <c r="AR979" s="100">
        <f t="shared" si="27"/>
        <v>-9.965301026</v>
      </c>
    </row>
    <row r="980">
      <c r="A980" t="str">
        <f t="shared" si="3"/>
        <v/>
      </c>
      <c r="B980" s="42">
        <f t="shared" si="4"/>
        <v>-3.155358621</v>
      </c>
      <c r="C980" s="43">
        <f t="shared" si="5"/>
        <v>-1.740686581</v>
      </c>
      <c r="D980" s="42">
        <f t="shared" si="6"/>
        <v>-2.380599106</v>
      </c>
      <c r="E980" s="42">
        <f t="shared" si="7"/>
        <v>-1.79320266</v>
      </c>
      <c r="F980" s="42">
        <f t="shared" si="8"/>
        <v>-3.240190514</v>
      </c>
      <c r="G980" s="42">
        <f t="shared" si="9"/>
        <v>-1.329092151</v>
      </c>
      <c r="H980" s="42">
        <f t="shared" si="10"/>
        <v>0</v>
      </c>
      <c r="I980" s="42" t="str">
        <f>UpdateHashtag!S978</f>
        <v/>
      </c>
      <c r="J980" s="47">
        <f t="shared" si="11"/>
        <v>0</v>
      </c>
      <c r="K980" s="48" t="str">
        <f>UpdateHashtag!T978</f>
        <v/>
      </c>
      <c r="L980" s="42">
        <f t="shared" si="12"/>
        <v>-1.734552372</v>
      </c>
      <c r="N980" s="100">
        <f t="shared" si="13"/>
        <v>401</v>
      </c>
      <c r="O980" s="94" t="str">
        <f t="array" ref="O980">INDIRECT("Update"&amp;Projections!$AH$17&amp;"!B"&amp;ROW(B961))</f>
        <v/>
      </c>
      <c r="P980" s="414" t="str">
        <f t="array" ref="P980">INDIRECT("Update"&amp;Projections!$AH$17&amp;"!C"&amp;ROW(B961))</f>
        <v/>
      </c>
      <c r="Q980" s="94" t="str">
        <f>UpdateHashtag!F1010</f>
        <v/>
      </c>
      <c r="R980" s="105" t="str">
        <f t="array" ref="R980">INDIRECT("Update"&amp;Projections!$AH$17&amp;"!D"&amp;ROW(B961))</f>
        <v/>
      </c>
      <c r="S980" s="73">
        <f t="shared" si="14"/>
        <v>-9.965301026</v>
      </c>
      <c r="T980" s="73">
        <f>SUM(AE980:AM980)-IFERROR(IFS(Projections!$I$17,AN980,Projections!$J$17,AO980),"")</f>
        <v>-9.965301026</v>
      </c>
      <c r="U980" s="73">
        <f t="shared" si="15"/>
        <v>0</v>
      </c>
      <c r="V980" s="73" t="str">
        <f t="array" ref="V980">INDIRECT("Update"&amp;Projections!$AH$17&amp;"!M"&amp;ROW(B961))</f>
        <v/>
      </c>
      <c r="W980" s="73" t="str">
        <f t="array" ref="W980">INDIRECT("Update"&amp;Projections!$AH$17&amp;"!L"&amp;ROW(B961))</f>
        <v/>
      </c>
      <c r="X980" s="73" t="str">
        <f t="array" ref="X980">INDIRECT("Update"&amp;Projections!$AH$17&amp;"!N"&amp;ROW(B961))</f>
        <v/>
      </c>
      <c r="Y980" s="73" t="str">
        <f t="array" ref="Y980">INDIRECT("Update"&amp;Projections!$AH$17&amp;"!O"&amp;ROW(B961))</f>
        <v/>
      </c>
      <c r="Z980" s="73" t="str">
        <f t="array" ref="Z980">INDIRECT("Update"&amp;Projections!$AH$17&amp;"!P"&amp;ROW(B961))</f>
        <v/>
      </c>
      <c r="AA980" s="73" t="str">
        <f t="array" ref="AA980">INDIRECT("Update"&amp;Projections!$AH$17&amp;"!Q"&amp;ROW(B961))</f>
        <v/>
      </c>
      <c r="AB980" s="107" t="str">
        <f t="array" ref="AB980">INDIRECT("Update"&amp;Projections!$AH$17&amp;"!I"&amp;ROW(B961))</f>
        <v/>
      </c>
      <c r="AC980" s="107" t="str">
        <f t="array" ref="AC980">INDIRECT("Update"&amp;Projections!$AH$17&amp;"!K"&amp;ROW(B961))</f>
        <v/>
      </c>
      <c r="AD980" s="73" t="str">
        <f t="array" ref="AD980">INDIRECT("Update"&amp;Projections!$AH$17&amp;"!R"&amp;ROW(B961))</f>
        <v/>
      </c>
      <c r="AE980" s="73">
        <f t="shared" si="16"/>
        <v>-3.155358621</v>
      </c>
      <c r="AF980" s="73">
        <f t="shared" si="17"/>
        <v>-1.740686581</v>
      </c>
      <c r="AG980" s="73">
        <f t="shared" si="18"/>
        <v>-2.380599106</v>
      </c>
      <c r="AH980" s="73">
        <f t="shared" si="19"/>
        <v>-1.79320266</v>
      </c>
      <c r="AI980" s="73">
        <f t="shared" si="20"/>
        <v>-3.240190514</v>
      </c>
      <c r="AJ980" s="73">
        <f t="shared" si="21"/>
        <v>-1.329092151</v>
      </c>
      <c r="AK980" s="73">
        <f t="shared" si="22"/>
        <v>0</v>
      </c>
      <c r="AL980" s="73">
        <f t="shared" si="23"/>
        <v>0</v>
      </c>
      <c r="AM980" s="73">
        <f t="shared" si="24"/>
        <v>0.433638093</v>
      </c>
      <c r="AN980" s="120">
        <f t="shared" si="25"/>
        <v>-3.240190514</v>
      </c>
      <c r="AO980" s="120">
        <f t="shared" si="26"/>
        <v>-6.395549135</v>
      </c>
      <c r="AP980" s="120" t="str">
        <f t="array" ref="AP980">INDIRECT("Update"&amp;Projections!$AH$17&amp;"!S"&amp;ROW(B961))</f>
        <v/>
      </c>
      <c r="AQ980" s="120" t="str">
        <f t="array" ref="AQ980">INDIRECT("Update"&amp;Projections!$AH$17&amp;"!T"&amp;ROW(B961))</f>
        <v/>
      </c>
      <c r="AR980" s="100">
        <f t="shared" si="27"/>
        <v>-9.965301026</v>
      </c>
    </row>
    <row r="981">
      <c r="A981" t="str">
        <f t="shared" si="3"/>
        <v/>
      </c>
      <c r="B981" s="42">
        <f t="shared" si="4"/>
        <v>-3.155358621</v>
      </c>
      <c r="C981" s="43">
        <f t="shared" si="5"/>
        <v>-1.740686581</v>
      </c>
      <c r="D981" s="42">
        <f t="shared" si="6"/>
        <v>-2.380599106</v>
      </c>
      <c r="E981" s="42">
        <f t="shared" si="7"/>
        <v>-1.79320266</v>
      </c>
      <c r="F981" s="42">
        <f t="shared" si="8"/>
        <v>-3.240190514</v>
      </c>
      <c r="G981" s="42">
        <f t="shared" si="9"/>
        <v>-1.329092151</v>
      </c>
      <c r="H981" s="42">
        <f t="shared" si="10"/>
        <v>0</v>
      </c>
      <c r="I981" s="42" t="str">
        <f>UpdateHashtag!S979</f>
        <v/>
      </c>
      <c r="J981" s="47">
        <f t="shared" si="11"/>
        <v>0</v>
      </c>
      <c r="K981" s="48" t="str">
        <f>UpdateHashtag!T979</f>
        <v/>
      </c>
      <c r="L981" s="42">
        <f t="shared" si="12"/>
        <v>-1.734552372</v>
      </c>
      <c r="N981" s="100">
        <f t="shared" si="13"/>
        <v>401</v>
      </c>
      <c r="O981" s="94" t="str">
        <f t="array" ref="O981">INDIRECT("Update"&amp;Projections!$AH$17&amp;"!B"&amp;ROW(B962))</f>
        <v/>
      </c>
      <c r="P981" s="414" t="str">
        <f t="array" ref="P981">INDIRECT("Update"&amp;Projections!$AH$17&amp;"!C"&amp;ROW(B962))</f>
        <v/>
      </c>
      <c r="Q981" s="94" t="str">
        <f>UpdateHashtag!F1011</f>
        <v/>
      </c>
      <c r="R981" s="105" t="str">
        <f t="array" ref="R981">INDIRECT("Update"&amp;Projections!$AH$17&amp;"!D"&amp;ROW(B962))</f>
        <v/>
      </c>
      <c r="S981" s="73">
        <f t="shared" si="14"/>
        <v>-9.965301026</v>
      </c>
      <c r="T981" s="73">
        <f>SUM(AE981:AM981)-IFERROR(IFS(Projections!$I$17,AN981,Projections!$J$17,AO981),"")</f>
        <v>-9.965301026</v>
      </c>
      <c r="U981" s="73">
        <f t="shared" si="15"/>
        <v>0</v>
      </c>
      <c r="V981" s="73" t="str">
        <f t="array" ref="V981">INDIRECT("Update"&amp;Projections!$AH$17&amp;"!M"&amp;ROW(B962))</f>
        <v/>
      </c>
      <c r="W981" s="73" t="str">
        <f t="array" ref="W981">INDIRECT("Update"&amp;Projections!$AH$17&amp;"!L"&amp;ROW(B962))</f>
        <v/>
      </c>
      <c r="X981" s="73" t="str">
        <f t="array" ref="X981">INDIRECT("Update"&amp;Projections!$AH$17&amp;"!N"&amp;ROW(B962))</f>
        <v/>
      </c>
      <c r="Y981" s="73" t="str">
        <f t="array" ref="Y981">INDIRECT("Update"&amp;Projections!$AH$17&amp;"!O"&amp;ROW(B962))</f>
        <v/>
      </c>
      <c r="Z981" s="73" t="str">
        <f t="array" ref="Z981">INDIRECT("Update"&amp;Projections!$AH$17&amp;"!P"&amp;ROW(B962))</f>
        <v/>
      </c>
      <c r="AA981" s="73" t="str">
        <f t="array" ref="AA981">INDIRECT("Update"&amp;Projections!$AH$17&amp;"!Q"&amp;ROW(B962))</f>
        <v/>
      </c>
      <c r="AB981" s="107" t="str">
        <f t="array" ref="AB981">INDIRECT("Update"&amp;Projections!$AH$17&amp;"!I"&amp;ROW(B962))</f>
        <v/>
      </c>
      <c r="AC981" s="107" t="str">
        <f t="array" ref="AC981">INDIRECT("Update"&amp;Projections!$AH$17&amp;"!K"&amp;ROW(B962))</f>
        <v/>
      </c>
      <c r="AD981" s="73" t="str">
        <f t="array" ref="AD981">INDIRECT("Update"&amp;Projections!$AH$17&amp;"!R"&amp;ROW(B962))</f>
        <v/>
      </c>
      <c r="AE981" s="73">
        <f t="shared" si="16"/>
        <v>-3.155358621</v>
      </c>
      <c r="AF981" s="73">
        <f t="shared" si="17"/>
        <v>-1.740686581</v>
      </c>
      <c r="AG981" s="73">
        <f t="shared" si="18"/>
        <v>-2.380599106</v>
      </c>
      <c r="AH981" s="73">
        <f t="shared" si="19"/>
        <v>-1.79320266</v>
      </c>
      <c r="AI981" s="73">
        <f t="shared" si="20"/>
        <v>-3.240190514</v>
      </c>
      <c r="AJ981" s="73">
        <f t="shared" si="21"/>
        <v>-1.329092151</v>
      </c>
      <c r="AK981" s="73">
        <f t="shared" si="22"/>
        <v>0</v>
      </c>
      <c r="AL981" s="73">
        <f t="shared" si="23"/>
        <v>0</v>
      </c>
      <c r="AM981" s="73">
        <f t="shared" si="24"/>
        <v>0.433638093</v>
      </c>
      <c r="AN981" s="120">
        <f t="shared" si="25"/>
        <v>-3.240190514</v>
      </c>
      <c r="AO981" s="120">
        <f t="shared" si="26"/>
        <v>-6.395549135</v>
      </c>
      <c r="AP981" s="120" t="str">
        <f t="array" ref="AP981">INDIRECT("Update"&amp;Projections!$AH$17&amp;"!S"&amp;ROW(B962))</f>
        <v/>
      </c>
      <c r="AQ981" s="120" t="str">
        <f t="array" ref="AQ981">INDIRECT("Update"&amp;Projections!$AH$17&amp;"!T"&amp;ROW(B962))</f>
        <v/>
      </c>
      <c r="AR981" s="100">
        <f t="shared" si="27"/>
        <v>-9.965301026</v>
      </c>
    </row>
    <row r="982">
      <c r="A982" t="str">
        <f t="shared" si="3"/>
        <v/>
      </c>
      <c r="B982" s="42">
        <f t="shared" si="4"/>
        <v>-3.155358621</v>
      </c>
      <c r="C982" s="43">
        <f t="shared" si="5"/>
        <v>-1.740686581</v>
      </c>
      <c r="D982" s="42">
        <f t="shared" si="6"/>
        <v>-2.380599106</v>
      </c>
      <c r="E982" s="42">
        <f t="shared" si="7"/>
        <v>-1.79320266</v>
      </c>
      <c r="F982" s="42">
        <f t="shared" si="8"/>
        <v>-3.240190514</v>
      </c>
      <c r="G982" s="42">
        <f t="shared" si="9"/>
        <v>-1.329092151</v>
      </c>
      <c r="H982" s="42">
        <f t="shared" si="10"/>
        <v>0</v>
      </c>
      <c r="I982" s="42" t="str">
        <f>UpdateHashtag!S980</f>
        <v/>
      </c>
      <c r="J982" s="47">
        <f t="shared" si="11"/>
        <v>0</v>
      </c>
      <c r="K982" s="48" t="str">
        <f>UpdateHashtag!T980</f>
        <v/>
      </c>
      <c r="L982" s="42">
        <f t="shared" si="12"/>
        <v>-1.734552372</v>
      </c>
      <c r="N982" s="100">
        <f t="shared" si="13"/>
        <v>401</v>
      </c>
      <c r="O982" s="94" t="str">
        <f t="array" ref="O982">INDIRECT("Update"&amp;Projections!$AH$17&amp;"!B"&amp;ROW(B963))</f>
        <v/>
      </c>
      <c r="P982" s="414" t="str">
        <f t="array" ref="P982">INDIRECT("Update"&amp;Projections!$AH$17&amp;"!C"&amp;ROW(B963))</f>
        <v/>
      </c>
      <c r="Q982" s="94" t="str">
        <f>UpdateHashtag!F1012</f>
        <v/>
      </c>
      <c r="R982" s="105" t="str">
        <f t="array" ref="R982">INDIRECT("Update"&amp;Projections!$AH$17&amp;"!D"&amp;ROW(B963))</f>
        <v/>
      </c>
      <c r="S982" s="73">
        <f t="shared" si="14"/>
        <v>-9.965301026</v>
      </c>
      <c r="T982" s="73">
        <f>SUM(AE982:AM982)-IFERROR(IFS(Projections!$I$17,AN982,Projections!$J$17,AO982),"")</f>
        <v>-9.965301026</v>
      </c>
      <c r="U982" s="73">
        <f t="shared" si="15"/>
        <v>0</v>
      </c>
      <c r="V982" s="73" t="str">
        <f t="array" ref="V982">INDIRECT("Update"&amp;Projections!$AH$17&amp;"!M"&amp;ROW(B963))</f>
        <v/>
      </c>
      <c r="W982" s="73" t="str">
        <f t="array" ref="W982">INDIRECT("Update"&amp;Projections!$AH$17&amp;"!L"&amp;ROW(B963))</f>
        <v/>
      </c>
      <c r="X982" s="73" t="str">
        <f t="array" ref="X982">INDIRECT("Update"&amp;Projections!$AH$17&amp;"!N"&amp;ROW(B963))</f>
        <v/>
      </c>
      <c r="Y982" s="73" t="str">
        <f t="array" ref="Y982">INDIRECT("Update"&amp;Projections!$AH$17&amp;"!O"&amp;ROW(B963))</f>
        <v/>
      </c>
      <c r="Z982" s="73" t="str">
        <f t="array" ref="Z982">INDIRECT("Update"&amp;Projections!$AH$17&amp;"!P"&amp;ROW(B963))</f>
        <v/>
      </c>
      <c r="AA982" s="73" t="str">
        <f t="array" ref="AA982">INDIRECT("Update"&amp;Projections!$AH$17&amp;"!Q"&amp;ROW(B963))</f>
        <v/>
      </c>
      <c r="AB982" s="107" t="str">
        <f t="array" ref="AB982">INDIRECT("Update"&amp;Projections!$AH$17&amp;"!I"&amp;ROW(B963))</f>
        <v/>
      </c>
      <c r="AC982" s="107" t="str">
        <f t="array" ref="AC982">INDIRECT("Update"&amp;Projections!$AH$17&amp;"!K"&amp;ROW(B963))</f>
        <v/>
      </c>
      <c r="AD982" s="73" t="str">
        <f t="array" ref="AD982">INDIRECT("Update"&amp;Projections!$AH$17&amp;"!R"&amp;ROW(B963))</f>
        <v/>
      </c>
      <c r="AE982" s="73">
        <f t="shared" si="16"/>
        <v>-3.155358621</v>
      </c>
      <c r="AF982" s="73">
        <f t="shared" si="17"/>
        <v>-1.740686581</v>
      </c>
      <c r="AG982" s="73">
        <f t="shared" si="18"/>
        <v>-2.380599106</v>
      </c>
      <c r="AH982" s="73">
        <f t="shared" si="19"/>
        <v>-1.79320266</v>
      </c>
      <c r="AI982" s="73">
        <f t="shared" si="20"/>
        <v>-3.240190514</v>
      </c>
      <c r="AJ982" s="73">
        <f t="shared" si="21"/>
        <v>-1.329092151</v>
      </c>
      <c r="AK982" s="73">
        <f t="shared" si="22"/>
        <v>0</v>
      </c>
      <c r="AL982" s="73">
        <f t="shared" si="23"/>
        <v>0</v>
      </c>
      <c r="AM982" s="73">
        <f t="shared" si="24"/>
        <v>0.433638093</v>
      </c>
      <c r="AN982" s="120">
        <f t="shared" si="25"/>
        <v>-3.240190514</v>
      </c>
      <c r="AO982" s="120">
        <f t="shared" si="26"/>
        <v>-6.395549135</v>
      </c>
      <c r="AP982" s="120" t="str">
        <f t="array" ref="AP982">INDIRECT("Update"&amp;Projections!$AH$17&amp;"!S"&amp;ROW(B963))</f>
        <v/>
      </c>
      <c r="AQ982" s="120" t="str">
        <f t="array" ref="AQ982">INDIRECT("Update"&amp;Projections!$AH$17&amp;"!T"&amp;ROW(B963))</f>
        <v/>
      </c>
      <c r="AR982" s="100">
        <f t="shared" si="27"/>
        <v>-9.965301026</v>
      </c>
    </row>
    <row r="983">
      <c r="A983" t="str">
        <f t="shared" si="3"/>
        <v/>
      </c>
      <c r="B983" s="42">
        <f t="shared" si="4"/>
        <v>-3.155358621</v>
      </c>
      <c r="C983" s="43">
        <f t="shared" si="5"/>
        <v>-1.740686581</v>
      </c>
      <c r="D983" s="42">
        <f t="shared" si="6"/>
        <v>-2.380599106</v>
      </c>
      <c r="E983" s="42">
        <f t="shared" si="7"/>
        <v>-1.79320266</v>
      </c>
      <c r="F983" s="42">
        <f t="shared" si="8"/>
        <v>-3.240190514</v>
      </c>
      <c r="G983" s="42">
        <f t="shared" si="9"/>
        <v>-1.329092151</v>
      </c>
      <c r="H983" s="42">
        <f t="shared" si="10"/>
        <v>0</v>
      </c>
      <c r="I983" s="42" t="str">
        <f>UpdateHashtag!S981</f>
        <v/>
      </c>
      <c r="J983" s="47">
        <f t="shared" si="11"/>
        <v>0</v>
      </c>
      <c r="K983" s="48" t="str">
        <f>UpdateHashtag!T981</f>
        <v/>
      </c>
      <c r="L983" s="42">
        <f t="shared" si="12"/>
        <v>-1.734552372</v>
      </c>
      <c r="N983" s="100">
        <f t="shared" si="13"/>
        <v>401</v>
      </c>
      <c r="O983" s="94" t="str">
        <f t="array" ref="O983">INDIRECT("Update"&amp;Projections!$AH$17&amp;"!B"&amp;ROW(B964))</f>
        <v/>
      </c>
      <c r="P983" s="414" t="str">
        <f t="array" ref="P983">INDIRECT("Update"&amp;Projections!$AH$17&amp;"!C"&amp;ROW(B964))</f>
        <v/>
      </c>
      <c r="Q983" s="94" t="str">
        <f>UpdateHashtag!F1013</f>
        <v/>
      </c>
      <c r="R983" s="105" t="str">
        <f t="array" ref="R983">INDIRECT("Update"&amp;Projections!$AH$17&amp;"!D"&amp;ROW(B964))</f>
        <v/>
      </c>
      <c r="S983" s="73">
        <f t="shared" si="14"/>
        <v>-9.965301026</v>
      </c>
      <c r="T983" s="73">
        <f>SUM(AE983:AM983)-IFERROR(IFS(Projections!$I$17,AN983,Projections!$J$17,AO983),"")</f>
        <v>-9.965301026</v>
      </c>
      <c r="U983" s="73">
        <f t="shared" si="15"/>
        <v>0</v>
      </c>
      <c r="V983" s="73" t="str">
        <f t="array" ref="V983">INDIRECT("Update"&amp;Projections!$AH$17&amp;"!M"&amp;ROW(B964))</f>
        <v/>
      </c>
      <c r="W983" s="73" t="str">
        <f t="array" ref="W983">INDIRECT("Update"&amp;Projections!$AH$17&amp;"!L"&amp;ROW(B964))</f>
        <v/>
      </c>
      <c r="X983" s="73" t="str">
        <f t="array" ref="X983">INDIRECT("Update"&amp;Projections!$AH$17&amp;"!N"&amp;ROW(B964))</f>
        <v/>
      </c>
      <c r="Y983" s="73" t="str">
        <f t="array" ref="Y983">INDIRECT("Update"&amp;Projections!$AH$17&amp;"!O"&amp;ROW(B964))</f>
        <v/>
      </c>
      <c r="Z983" s="73" t="str">
        <f t="array" ref="Z983">INDIRECT("Update"&amp;Projections!$AH$17&amp;"!P"&amp;ROW(B964))</f>
        <v/>
      </c>
      <c r="AA983" s="73" t="str">
        <f t="array" ref="AA983">INDIRECT("Update"&amp;Projections!$AH$17&amp;"!Q"&amp;ROW(B964))</f>
        <v/>
      </c>
      <c r="AB983" s="107" t="str">
        <f t="array" ref="AB983">INDIRECT("Update"&amp;Projections!$AH$17&amp;"!I"&amp;ROW(B964))</f>
        <v/>
      </c>
      <c r="AC983" s="107" t="str">
        <f t="array" ref="AC983">INDIRECT("Update"&amp;Projections!$AH$17&amp;"!K"&amp;ROW(B964))</f>
        <v/>
      </c>
      <c r="AD983" s="73" t="str">
        <f t="array" ref="AD983">INDIRECT("Update"&amp;Projections!$AH$17&amp;"!R"&amp;ROW(B964))</f>
        <v/>
      </c>
      <c r="AE983" s="73">
        <f t="shared" si="16"/>
        <v>-3.155358621</v>
      </c>
      <c r="AF983" s="73">
        <f t="shared" si="17"/>
        <v>-1.740686581</v>
      </c>
      <c r="AG983" s="73">
        <f t="shared" si="18"/>
        <v>-2.380599106</v>
      </c>
      <c r="AH983" s="73">
        <f t="shared" si="19"/>
        <v>-1.79320266</v>
      </c>
      <c r="AI983" s="73">
        <f t="shared" si="20"/>
        <v>-3.240190514</v>
      </c>
      <c r="AJ983" s="73">
        <f t="shared" si="21"/>
        <v>-1.329092151</v>
      </c>
      <c r="AK983" s="73">
        <f t="shared" si="22"/>
        <v>0</v>
      </c>
      <c r="AL983" s="73">
        <f t="shared" si="23"/>
        <v>0</v>
      </c>
      <c r="AM983" s="73">
        <f t="shared" si="24"/>
        <v>0.433638093</v>
      </c>
      <c r="AN983" s="120">
        <f t="shared" si="25"/>
        <v>-3.240190514</v>
      </c>
      <c r="AO983" s="120">
        <f t="shared" si="26"/>
        <v>-6.395549135</v>
      </c>
      <c r="AP983" s="120" t="str">
        <f t="array" ref="AP983">INDIRECT("Update"&amp;Projections!$AH$17&amp;"!S"&amp;ROW(B964))</f>
        <v/>
      </c>
      <c r="AQ983" s="120" t="str">
        <f t="array" ref="AQ983">INDIRECT("Update"&amp;Projections!$AH$17&amp;"!T"&amp;ROW(B964))</f>
        <v/>
      </c>
      <c r="AR983" s="100">
        <f t="shared" si="27"/>
        <v>-9.965301026</v>
      </c>
    </row>
    <row r="984">
      <c r="A984" t="str">
        <f t="shared" si="3"/>
        <v/>
      </c>
      <c r="B984" s="42">
        <f t="shared" si="4"/>
        <v>-3.155358621</v>
      </c>
      <c r="C984" s="43">
        <f t="shared" si="5"/>
        <v>-1.740686581</v>
      </c>
      <c r="D984" s="42">
        <f t="shared" si="6"/>
        <v>-2.380599106</v>
      </c>
      <c r="E984" s="42">
        <f t="shared" si="7"/>
        <v>-1.79320266</v>
      </c>
      <c r="F984" s="42">
        <f t="shared" si="8"/>
        <v>-3.240190514</v>
      </c>
      <c r="G984" s="42">
        <f t="shared" si="9"/>
        <v>-1.329092151</v>
      </c>
      <c r="H984" s="42">
        <f t="shared" si="10"/>
        <v>0</v>
      </c>
      <c r="I984" s="42" t="str">
        <f>UpdateHashtag!S982</f>
        <v/>
      </c>
      <c r="J984" s="47">
        <f t="shared" si="11"/>
        <v>0</v>
      </c>
      <c r="K984" s="48" t="str">
        <f>UpdateHashtag!T982</f>
        <v/>
      </c>
      <c r="L984" s="42">
        <f t="shared" si="12"/>
        <v>-1.734552372</v>
      </c>
      <c r="N984" s="100">
        <f t="shared" si="13"/>
        <v>401</v>
      </c>
      <c r="O984" s="94" t="str">
        <f t="array" ref="O984">INDIRECT("Update"&amp;Projections!$AH$17&amp;"!B"&amp;ROW(B965))</f>
        <v/>
      </c>
      <c r="P984" s="414" t="str">
        <f t="array" ref="P984">INDIRECT("Update"&amp;Projections!$AH$17&amp;"!C"&amp;ROW(B965))</f>
        <v/>
      </c>
      <c r="Q984" s="94" t="str">
        <f>UpdateHashtag!F1014</f>
        <v/>
      </c>
      <c r="R984" s="105" t="str">
        <f t="array" ref="R984">INDIRECT("Update"&amp;Projections!$AH$17&amp;"!D"&amp;ROW(B965))</f>
        <v/>
      </c>
      <c r="S984" s="73">
        <f t="shared" si="14"/>
        <v>-9.965301026</v>
      </c>
      <c r="T984" s="73">
        <f>SUM(AE984:AM984)-IFERROR(IFS(Projections!$I$17,AN984,Projections!$J$17,AO984),"")</f>
        <v>-9.965301026</v>
      </c>
      <c r="U984" s="73">
        <f t="shared" si="15"/>
        <v>0</v>
      </c>
      <c r="V984" s="73" t="str">
        <f t="array" ref="V984">INDIRECT("Update"&amp;Projections!$AH$17&amp;"!M"&amp;ROW(B965))</f>
        <v/>
      </c>
      <c r="W984" s="73" t="str">
        <f t="array" ref="W984">INDIRECT("Update"&amp;Projections!$AH$17&amp;"!L"&amp;ROW(B965))</f>
        <v/>
      </c>
      <c r="X984" s="73" t="str">
        <f t="array" ref="X984">INDIRECT("Update"&amp;Projections!$AH$17&amp;"!N"&amp;ROW(B965))</f>
        <v/>
      </c>
      <c r="Y984" s="73" t="str">
        <f t="array" ref="Y984">INDIRECT("Update"&amp;Projections!$AH$17&amp;"!O"&amp;ROW(B965))</f>
        <v/>
      </c>
      <c r="Z984" s="73" t="str">
        <f t="array" ref="Z984">INDIRECT("Update"&amp;Projections!$AH$17&amp;"!P"&amp;ROW(B965))</f>
        <v/>
      </c>
      <c r="AA984" s="73" t="str">
        <f t="array" ref="AA984">INDIRECT("Update"&amp;Projections!$AH$17&amp;"!Q"&amp;ROW(B965))</f>
        <v/>
      </c>
      <c r="AB984" s="107" t="str">
        <f t="array" ref="AB984">INDIRECT("Update"&amp;Projections!$AH$17&amp;"!I"&amp;ROW(B965))</f>
        <v/>
      </c>
      <c r="AC984" s="107" t="str">
        <f t="array" ref="AC984">INDIRECT("Update"&amp;Projections!$AH$17&amp;"!K"&amp;ROW(B965))</f>
        <v/>
      </c>
      <c r="AD984" s="73" t="str">
        <f t="array" ref="AD984">INDIRECT("Update"&amp;Projections!$AH$17&amp;"!R"&amp;ROW(B965))</f>
        <v/>
      </c>
      <c r="AE984" s="73">
        <f t="shared" si="16"/>
        <v>-3.155358621</v>
      </c>
      <c r="AF984" s="73">
        <f t="shared" si="17"/>
        <v>-1.740686581</v>
      </c>
      <c r="AG984" s="73">
        <f t="shared" si="18"/>
        <v>-2.380599106</v>
      </c>
      <c r="AH984" s="73">
        <f t="shared" si="19"/>
        <v>-1.79320266</v>
      </c>
      <c r="AI984" s="73">
        <f t="shared" si="20"/>
        <v>-3.240190514</v>
      </c>
      <c r="AJ984" s="73">
        <f t="shared" si="21"/>
        <v>-1.329092151</v>
      </c>
      <c r="AK984" s="73">
        <f t="shared" si="22"/>
        <v>0</v>
      </c>
      <c r="AL984" s="73">
        <f t="shared" si="23"/>
        <v>0</v>
      </c>
      <c r="AM984" s="73">
        <f t="shared" si="24"/>
        <v>0.433638093</v>
      </c>
      <c r="AN984" s="120">
        <f t="shared" si="25"/>
        <v>-3.240190514</v>
      </c>
      <c r="AO984" s="120">
        <f t="shared" si="26"/>
        <v>-6.395549135</v>
      </c>
      <c r="AP984" s="120" t="str">
        <f t="array" ref="AP984">INDIRECT("Update"&amp;Projections!$AH$17&amp;"!S"&amp;ROW(B965))</f>
        <v/>
      </c>
      <c r="AQ984" s="120" t="str">
        <f t="array" ref="AQ984">INDIRECT("Update"&amp;Projections!$AH$17&amp;"!T"&amp;ROW(B965))</f>
        <v/>
      </c>
      <c r="AR984" s="100">
        <f t="shared" si="27"/>
        <v>-9.965301026</v>
      </c>
    </row>
    <row r="985">
      <c r="A985" t="str">
        <f t="shared" si="3"/>
        <v/>
      </c>
      <c r="B985" s="42">
        <f t="shared" si="4"/>
        <v>-3.155358621</v>
      </c>
      <c r="C985" s="43">
        <f t="shared" si="5"/>
        <v>-1.740686581</v>
      </c>
      <c r="D985" s="42">
        <f t="shared" si="6"/>
        <v>-2.380599106</v>
      </c>
      <c r="E985" s="42">
        <f t="shared" si="7"/>
        <v>-1.79320266</v>
      </c>
      <c r="F985" s="42">
        <f t="shared" si="8"/>
        <v>-3.240190514</v>
      </c>
      <c r="G985" s="42">
        <f t="shared" si="9"/>
        <v>-1.329092151</v>
      </c>
      <c r="H985" s="42">
        <f t="shared" si="10"/>
        <v>0</v>
      </c>
      <c r="I985" s="42" t="str">
        <f>UpdateHashtag!S983</f>
        <v/>
      </c>
      <c r="J985" s="47">
        <f t="shared" si="11"/>
        <v>0</v>
      </c>
      <c r="K985" s="48" t="str">
        <f>UpdateHashtag!T983</f>
        <v/>
      </c>
      <c r="L985" s="42">
        <f t="shared" si="12"/>
        <v>-1.734552372</v>
      </c>
      <c r="N985" s="100">
        <f t="shared" si="13"/>
        <v>401</v>
      </c>
      <c r="O985" s="94" t="str">
        <f t="array" ref="O985">INDIRECT("Update"&amp;Projections!$AH$17&amp;"!B"&amp;ROW(B966))</f>
        <v/>
      </c>
      <c r="P985" s="414" t="str">
        <f t="array" ref="P985">INDIRECT("Update"&amp;Projections!$AH$17&amp;"!C"&amp;ROW(B966))</f>
        <v/>
      </c>
      <c r="Q985" s="94" t="str">
        <f>UpdateHashtag!F1015</f>
        <v/>
      </c>
      <c r="R985" s="105" t="str">
        <f t="array" ref="R985">INDIRECT("Update"&amp;Projections!$AH$17&amp;"!D"&amp;ROW(B966))</f>
        <v/>
      </c>
      <c r="S985" s="73">
        <f t="shared" si="14"/>
        <v>-9.965301026</v>
      </c>
      <c r="T985" s="73">
        <f>SUM(AE985:AM985)-IFERROR(IFS(Projections!$I$17,AN985,Projections!$J$17,AO985),"")</f>
        <v>-9.965301026</v>
      </c>
      <c r="U985" s="73">
        <f t="shared" si="15"/>
        <v>0</v>
      </c>
      <c r="V985" s="73" t="str">
        <f t="array" ref="V985">INDIRECT("Update"&amp;Projections!$AH$17&amp;"!M"&amp;ROW(B966))</f>
        <v/>
      </c>
      <c r="W985" s="73" t="str">
        <f t="array" ref="W985">INDIRECT("Update"&amp;Projections!$AH$17&amp;"!L"&amp;ROW(B966))</f>
        <v/>
      </c>
      <c r="X985" s="73" t="str">
        <f t="array" ref="X985">INDIRECT("Update"&amp;Projections!$AH$17&amp;"!N"&amp;ROW(B966))</f>
        <v/>
      </c>
      <c r="Y985" s="73" t="str">
        <f t="array" ref="Y985">INDIRECT("Update"&amp;Projections!$AH$17&amp;"!O"&amp;ROW(B966))</f>
        <v/>
      </c>
      <c r="Z985" s="73" t="str">
        <f t="array" ref="Z985">INDIRECT("Update"&amp;Projections!$AH$17&amp;"!P"&amp;ROW(B966))</f>
        <v/>
      </c>
      <c r="AA985" s="73" t="str">
        <f t="array" ref="AA985">INDIRECT("Update"&amp;Projections!$AH$17&amp;"!Q"&amp;ROW(B966))</f>
        <v/>
      </c>
      <c r="AB985" s="107" t="str">
        <f t="array" ref="AB985">INDIRECT("Update"&amp;Projections!$AH$17&amp;"!I"&amp;ROW(B966))</f>
        <v/>
      </c>
      <c r="AC985" s="107" t="str">
        <f t="array" ref="AC985">INDIRECT("Update"&amp;Projections!$AH$17&amp;"!K"&amp;ROW(B966))</f>
        <v/>
      </c>
      <c r="AD985" s="73" t="str">
        <f t="array" ref="AD985">INDIRECT("Update"&amp;Projections!$AH$17&amp;"!R"&amp;ROW(B966))</f>
        <v/>
      </c>
      <c r="AE985" s="73">
        <f t="shared" si="16"/>
        <v>-3.155358621</v>
      </c>
      <c r="AF985" s="73">
        <f t="shared" si="17"/>
        <v>-1.740686581</v>
      </c>
      <c r="AG985" s="73">
        <f t="shared" si="18"/>
        <v>-2.380599106</v>
      </c>
      <c r="AH985" s="73">
        <f t="shared" si="19"/>
        <v>-1.79320266</v>
      </c>
      <c r="AI985" s="73">
        <f t="shared" si="20"/>
        <v>-3.240190514</v>
      </c>
      <c r="AJ985" s="73">
        <f t="shared" si="21"/>
        <v>-1.329092151</v>
      </c>
      <c r="AK985" s="73">
        <f t="shared" si="22"/>
        <v>0</v>
      </c>
      <c r="AL985" s="73">
        <f t="shared" si="23"/>
        <v>0</v>
      </c>
      <c r="AM985" s="73">
        <f t="shared" si="24"/>
        <v>0.433638093</v>
      </c>
      <c r="AN985" s="120">
        <f t="shared" si="25"/>
        <v>-3.240190514</v>
      </c>
      <c r="AO985" s="120">
        <f t="shared" si="26"/>
        <v>-6.395549135</v>
      </c>
      <c r="AP985" s="120" t="str">
        <f t="array" ref="AP985">INDIRECT("Update"&amp;Projections!$AH$17&amp;"!S"&amp;ROW(B966))</f>
        <v/>
      </c>
      <c r="AQ985" s="120" t="str">
        <f t="array" ref="AQ985">INDIRECT("Update"&amp;Projections!$AH$17&amp;"!T"&amp;ROW(B966))</f>
        <v/>
      </c>
      <c r="AR985" s="100">
        <f t="shared" si="27"/>
        <v>-9.965301026</v>
      </c>
    </row>
    <row r="986">
      <c r="A986" t="str">
        <f t="shared" si="3"/>
        <v/>
      </c>
      <c r="B986" s="42">
        <f t="shared" si="4"/>
        <v>-3.155358621</v>
      </c>
      <c r="C986" s="43">
        <f t="shared" si="5"/>
        <v>-1.740686581</v>
      </c>
      <c r="D986" s="42">
        <f t="shared" si="6"/>
        <v>-2.380599106</v>
      </c>
      <c r="E986" s="42">
        <f t="shared" si="7"/>
        <v>-1.79320266</v>
      </c>
      <c r="F986" s="42">
        <f t="shared" si="8"/>
        <v>-3.240190514</v>
      </c>
      <c r="G986" s="42">
        <f t="shared" si="9"/>
        <v>-1.329092151</v>
      </c>
      <c r="H986" s="42">
        <f t="shared" si="10"/>
        <v>0</v>
      </c>
      <c r="I986" s="42" t="str">
        <f>UpdateHashtag!S984</f>
        <v/>
      </c>
      <c r="J986" s="47">
        <f t="shared" si="11"/>
        <v>0</v>
      </c>
      <c r="K986" s="48" t="str">
        <f>UpdateHashtag!T984</f>
        <v/>
      </c>
      <c r="L986" s="42">
        <f t="shared" si="12"/>
        <v>-1.734552372</v>
      </c>
      <c r="N986" s="100">
        <f t="shared" si="13"/>
        <v>401</v>
      </c>
      <c r="O986" s="94" t="str">
        <f t="array" ref="O986">INDIRECT("Update"&amp;Projections!$AH$17&amp;"!B"&amp;ROW(B967))</f>
        <v/>
      </c>
      <c r="P986" s="414" t="str">
        <f t="array" ref="P986">INDIRECT("Update"&amp;Projections!$AH$17&amp;"!C"&amp;ROW(B967))</f>
        <v/>
      </c>
      <c r="Q986" s="94" t="str">
        <f>UpdateHashtag!F1016</f>
        <v/>
      </c>
      <c r="R986" s="105" t="str">
        <f t="array" ref="R986">INDIRECT("Update"&amp;Projections!$AH$17&amp;"!D"&amp;ROW(B967))</f>
        <v/>
      </c>
      <c r="S986" s="73">
        <f t="shared" si="14"/>
        <v>-9.965301026</v>
      </c>
      <c r="T986" s="73">
        <f>SUM(AE986:AM986)-IFERROR(IFS(Projections!$I$17,AN986,Projections!$J$17,AO986),"")</f>
        <v>-9.965301026</v>
      </c>
      <c r="U986" s="73">
        <f t="shared" si="15"/>
        <v>0</v>
      </c>
      <c r="V986" s="73" t="str">
        <f t="array" ref="V986">INDIRECT("Update"&amp;Projections!$AH$17&amp;"!M"&amp;ROW(B967))</f>
        <v/>
      </c>
      <c r="W986" s="73" t="str">
        <f t="array" ref="W986">INDIRECT("Update"&amp;Projections!$AH$17&amp;"!L"&amp;ROW(B967))</f>
        <v/>
      </c>
      <c r="X986" s="73" t="str">
        <f t="array" ref="X986">INDIRECT("Update"&amp;Projections!$AH$17&amp;"!N"&amp;ROW(B967))</f>
        <v/>
      </c>
      <c r="Y986" s="73" t="str">
        <f t="array" ref="Y986">INDIRECT("Update"&amp;Projections!$AH$17&amp;"!O"&amp;ROW(B967))</f>
        <v/>
      </c>
      <c r="Z986" s="73" t="str">
        <f t="array" ref="Z986">INDIRECT("Update"&amp;Projections!$AH$17&amp;"!P"&amp;ROW(B967))</f>
        <v/>
      </c>
      <c r="AA986" s="73" t="str">
        <f t="array" ref="AA986">INDIRECT("Update"&amp;Projections!$AH$17&amp;"!Q"&amp;ROW(B967))</f>
        <v/>
      </c>
      <c r="AB986" s="107" t="str">
        <f t="array" ref="AB986">INDIRECT("Update"&amp;Projections!$AH$17&amp;"!I"&amp;ROW(B967))</f>
        <v/>
      </c>
      <c r="AC986" s="107" t="str">
        <f t="array" ref="AC986">INDIRECT("Update"&amp;Projections!$AH$17&amp;"!K"&amp;ROW(B967))</f>
        <v/>
      </c>
      <c r="AD986" s="73" t="str">
        <f t="array" ref="AD986">INDIRECT("Update"&amp;Projections!$AH$17&amp;"!R"&amp;ROW(B967))</f>
        <v/>
      </c>
      <c r="AE986" s="73">
        <f t="shared" si="16"/>
        <v>-3.155358621</v>
      </c>
      <c r="AF986" s="73">
        <f t="shared" si="17"/>
        <v>-1.740686581</v>
      </c>
      <c r="AG986" s="73">
        <f t="shared" si="18"/>
        <v>-2.380599106</v>
      </c>
      <c r="AH986" s="73">
        <f t="shared" si="19"/>
        <v>-1.79320266</v>
      </c>
      <c r="AI986" s="73">
        <f t="shared" si="20"/>
        <v>-3.240190514</v>
      </c>
      <c r="AJ986" s="73">
        <f t="shared" si="21"/>
        <v>-1.329092151</v>
      </c>
      <c r="AK986" s="73">
        <f t="shared" si="22"/>
        <v>0</v>
      </c>
      <c r="AL986" s="73">
        <f t="shared" si="23"/>
        <v>0</v>
      </c>
      <c r="AM986" s="73">
        <f t="shared" si="24"/>
        <v>0.433638093</v>
      </c>
      <c r="AN986" s="120">
        <f t="shared" si="25"/>
        <v>-3.240190514</v>
      </c>
      <c r="AO986" s="120">
        <f t="shared" si="26"/>
        <v>-6.395549135</v>
      </c>
      <c r="AP986" s="120" t="str">
        <f t="array" ref="AP986">INDIRECT("Update"&amp;Projections!$AH$17&amp;"!S"&amp;ROW(B967))</f>
        <v/>
      </c>
      <c r="AQ986" s="120" t="str">
        <f t="array" ref="AQ986">INDIRECT("Update"&amp;Projections!$AH$17&amp;"!T"&amp;ROW(B967))</f>
        <v/>
      </c>
      <c r="AR986" s="100">
        <f t="shared" si="27"/>
        <v>-9.965301026</v>
      </c>
    </row>
    <row r="987">
      <c r="A987" t="str">
        <f t="shared" si="3"/>
        <v/>
      </c>
      <c r="B987" s="42">
        <f t="shared" si="4"/>
        <v>-3.155358621</v>
      </c>
      <c r="C987" s="43">
        <f t="shared" si="5"/>
        <v>-1.740686581</v>
      </c>
      <c r="D987" s="42">
        <f t="shared" si="6"/>
        <v>-2.380599106</v>
      </c>
      <c r="E987" s="42">
        <f t="shared" si="7"/>
        <v>-1.79320266</v>
      </c>
      <c r="F987" s="42">
        <f t="shared" si="8"/>
        <v>-3.240190514</v>
      </c>
      <c r="G987" s="42">
        <f t="shared" si="9"/>
        <v>-1.329092151</v>
      </c>
      <c r="H987" s="42">
        <f t="shared" si="10"/>
        <v>0</v>
      </c>
      <c r="I987" s="42" t="str">
        <f>UpdateHashtag!S985</f>
        <v/>
      </c>
      <c r="J987" s="47">
        <f t="shared" si="11"/>
        <v>0</v>
      </c>
      <c r="K987" s="48" t="str">
        <f>UpdateHashtag!T985</f>
        <v/>
      </c>
      <c r="L987" s="42">
        <f t="shared" si="12"/>
        <v>-1.734552372</v>
      </c>
      <c r="N987" s="100">
        <f t="shared" si="13"/>
        <v>401</v>
      </c>
      <c r="O987" s="94" t="str">
        <f t="array" ref="O987">INDIRECT("Update"&amp;Projections!$AH$17&amp;"!B"&amp;ROW(B968))</f>
        <v/>
      </c>
      <c r="P987" s="414" t="str">
        <f t="array" ref="P987">INDIRECT("Update"&amp;Projections!$AH$17&amp;"!C"&amp;ROW(B968))</f>
        <v/>
      </c>
      <c r="Q987" s="94" t="str">
        <f>UpdateHashtag!F1017</f>
        <v/>
      </c>
      <c r="R987" s="105" t="str">
        <f t="array" ref="R987">INDIRECT("Update"&amp;Projections!$AH$17&amp;"!D"&amp;ROW(B968))</f>
        <v/>
      </c>
      <c r="S987" s="73">
        <f t="shared" si="14"/>
        <v>-9.965301026</v>
      </c>
      <c r="T987" s="73">
        <f>SUM(AE987:AM987)-IFERROR(IFS(Projections!$I$17,AN987,Projections!$J$17,AO987),"")</f>
        <v>-9.965301026</v>
      </c>
      <c r="U987" s="73">
        <f t="shared" si="15"/>
        <v>0</v>
      </c>
      <c r="V987" s="73" t="str">
        <f t="array" ref="V987">INDIRECT("Update"&amp;Projections!$AH$17&amp;"!M"&amp;ROW(B968))</f>
        <v/>
      </c>
      <c r="W987" s="73" t="str">
        <f t="array" ref="W987">INDIRECT("Update"&amp;Projections!$AH$17&amp;"!L"&amp;ROW(B968))</f>
        <v/>
      </c>
      <c r="X987" s="73" t="str">
        <f t="array" ref="X987">INDIRECT("Update"&amp;Projections!$AH$17&amp;"!N"&amp;ROW(B968))</f>
        <v/>
      </c>
      <c r="Y987" s="73" t="str">
        <f t="array" ref="Y987">INDIRECT("Update"&amp;Projections!$AH$17&amp;"!O"&amp;ROW(B968))</f>
        <v/>
      </c>
      <c r="Z987" s="73" t="str">
        <f t="array" ref="Z987">INDIRECT("Update"&amp;Projections!$AH$17&amp;"!P"&amp;ROW(B968))</f>
        <v/>
      </c>
      <c r="AA987" s="73" t="str">
        <f t="array" ref="AA987">INDIRECT("Update"&amp;Projections!$AH$17&amp;"!Q"&amp;ROW(B968))</f>
        <v/>
      </c>
      <c r="AB987" s="107" t="str">
        <f t="array" ref="AB987">INDIRECT("Update"&amp;Projections!$AH$17&amp;"!I"&amp;ROW(B968))</f>
        <v/>
      </c>
      <c r="AC987" s="107" t="str">
        <f t="array" ref="AC987">INDIRECT("Update"&amp;Projections!$AH$17&amp;"!K"&amp;ROW(B968))</f>
        <v/>
      </c>
      <c r="AD987" s="73" t="str">
        <f t="array" ref="AD987">INDIRECT("Update"&amp;Projections!$AH$17&amp;"!R"&amp;ROW(B968))</f>
        <v/>
      </c>
      <c r="AE987" s="73">
        <f t="shared" si="16"/>
        <v>-3.155358621</v>
      </c>
      <c r="AF987" s="73">
        <f t="shared" si="17"/>
        <v>-1.740686581</v>
      </c>
      <c r="AG987" s="73">
        <f t="shared" si="18"/>
        <v>-2.380599106</v>
      </c>
      <c r="AH987" s="73">
        <f t="shared" si="19"/>
        <v>-1.79320266</v>
      </c>
      <c r="AI987" s="73">
        <f t="shared" si="20"/>
        <v>-3.240190514</v>
      </c>
      <c r="AJ987" s="73">
        <f t="shared" si="21"/>
        <v>-1.329092151</v>
      </c>
      <c r="AK987" s="73">
        <f t="shared" si="22"/>
        <v>0</v>
      </c>
      <c r="AL987" s="73">
        <f t="shared" si="23"/>
        <v>0</v>
      </c>
      <c r="AM987" s="73">
        <f t="shared" si="24"/>
        <v>0.433638093</v>
      </c>
      <c r="AN987" s="120">
        <f t="shared" si="25"/>
        <v>-3.240190514</v>
      </c>
      <c r="AO987" s="120">
        <f t="shared" si="26"/>
        <v>-6.395549135</v>
      </c>
      <c r="AP987" s="120" t="str">
        <f t="array" ref="AP987">INDIRECT("Update"&amp;Projections!$AH$17&amp;"!S"&amp;ROW(B968))</f>
        <v/>
      </c>
      <c r="AQ987" s="120" t="str">
        <f t="array" ref="AQ987">INDIRECT("Update"&amp;Projections!$AH$17&amp;"!T"&amp;ROW(B968))</f>
        <v/>
      </c>
      <c r="AR987" s="100">
        <f t="shared" si="27"/>
        <v>-9.965301026</v>
      </c>
    </row>
    <row r="988">
      <c r="A988" t="str">
        <f t="shared" si="3"/>
        <v/>
      </c>
      <c r="B988" s="42">
        <f t="shared" si="4"/>
        <v>-3.155358621</v>
      </c>
      <c r="C988" s="43">
        <f t="shared" si="5"/>
        <v>-1.740686581</v>
      </c>
      <c r="D988" s="42">
        <f t="shared" si="6"/>
        <v>-2.380599106</v>
      </c>
      <c r="E988" s="42">
        <f t="shared" si="7"/>
        <v>-1.79320266</v>
      </c>
      <c r="F988" s="42">
        <f t="shared" si="8"/>
        <v>-3.240190514</v>
      </c>
      <c r="G988" s="42">
        <f t="shared" si="9"/>
        <v>-1.329092151</v>
      </c>
      <c r="H988" s="42">
        <f t="shared" si="10"/>
        <v>0</v>
      </c>
      <c r="I988" s="42" t="str">
        <f>UpdateHashtag!S986</f>
        <v/>
      </c>
      <c r="J988" s="47">
        <f t="shared" si="11"/>
        <v>0</v>
      </c>
      <c r="K988" s="48" t="str">
        <f>UpdateHashtag!T986</f>
        <v/>
      </c>
      <c r="L988" s="42">
        <f t="shared" si="12"/>
        <v>-1.734552372</v>
      </c>
      <c r="N988" s="100">
        <f t="shared" si="13"/>
        <v>401</v>
      </c>
      <c r="O988" s="94" t="str">
        <f t="array" ref="O988">INDIRECT("Update"&amp;Projections!$AH$17&amp;"!B"&amp;ROW(B969))</f>
        <v/>
      </c>
      <c r="P988" s="414" t="str">
        <f t="array" ref="P988">INDIRECT("Update"&amp;Projections!$AH$17&amp;"!C"&amp;ROW(B969))</f>
        <v/>
      </c>
      <c r="Q988" s="94" t="str">
        <f>UpdateHashtag!F1018</f>
        <v/>
      </c>
      <c r="R988" s="105" t="str">
        <f t="array" ref="R988">INDIRECT("Update"&amp;Projections!$AH$17&amp;"!D"&amp;ROW(B969))</f>
        <v/>
      </c>
      <c r="S988" s="73">
        <f t="shared" si="14"/>
        <v>-9.965301026</v>
      </c>
      <c r="T988" s="73">
        <f>SUM(AE988:AM988)-IFERROR(IFS(Projections!$I$17,AN988,Projections!$J$17,AO988),"")</f>
        <v>-9.965301026</v>
      </c>
      <c r="U988" s="73">
        <f t="shared" si="15"/>
        <v>0</v>
      </c>
      <c r="V988" s="73" t="str">
        <f t="array" ref="V988">INDIRECT("Update"&amp;Projections!$AH$17&amp;"!M"&amp;ROW(B969))</f>
        <v/>
      </c>
      <c r="W988" s="73" t="str">
        <f t="array" ref="W988">INDIRECT("Update"&amp;Projections!$AH$17&amp;"!L"&amp;ROW(B969))</f>
        <v/>
      </c>
      <c r="X988" s="73" t="str">
        <f t="array" ref="X988">INDIRECT("Update"&amp;Projections!$AH$17&amp;"!N"&amp;ROW(B969))</f>
        <v/>
      </c>
      <c r="Y988" s="73" t="str">
        <f t="array" ref="Y988">INDIRECT("Update"&amp;Projections!$AH$17&amp;"!O"&amp;ROW(B969))</f>
        <v/>
      </c>
      <c r="Z988" s="73" t="str">
        <f t="array" ref="Z988">INDIRECT("Update"&amp;Projections!$AH$17&amp;"!P"&amp;ROW(B969))</f>
        <v/>
      </c>
      <c r="AA988" s="73" t="str">
        <f t="array" ref="AA988">INDIRECT("Update"&amp;Projections!$AH$17&amp;"!Q"&amp;ROW(B969))</f>
        <v/>
      </c>
      <c r="AB988" s="107" t="str">
        <f t="array" ref="AB988">INDIRECT("Update"&amp;Projections!$AH$17&amp;"!I"&amp;ROW(B969))</f>
        <v/>
      </c>
      <c r="AC988" s="107" t="str">
        <f t="array" ref="AC988">INDIRECT("Update"&amp;Projections!$AH$17&amp;"!K"&amp;ROW(B969))</f>
        <v/>
      </c>
      <c r="AD988" s="73" t="str">
        <f t="array" ref="AD988">INDIRECT("Update"&amp;Projections!$AH$17&amp;"!R"&amp;ROW(B969))</f>
        <v/>
      </c>
      <c r="AE988" s="73">
        <f t="shared" si="16"/>
        <v>-3.155358621</v>
      </c>
      <c r="AF988" s="73">
        <f t="shared" si="17"/>
        <v>-1.740686581</v>
      </c>
      <c r="AG988" s="73">
        <f t="shared" si="18"/>
        <v>-2.380599106</v>
      </c>
      <c r="AH988" s="73">
        <f t="shared" si="19"/>
        <v>-1.79320266</v>
      </c>
      <c r="AI988" s="73">
        <f t="shared" si="20"/>
        <v>-3.240190514</v>
      </c>
      <c r="AJ988" s="73">
        <f t="shared" si="21"/>
        <v>-1.329092151</v>
      </c>
      <c r="AK988" s="73">
        <f t="shared" si="22"/>
        <v>0</v>
      </c>
      <c r="AL988" s="73">
        <f t="shared" si="23"/>
        <v>0</v>
      </c>
      <c r="AM988" s="73">
        <f t="shared" si="24"/>
        <v>0.433638093</v>
      </c>
      <c r="AN988" s="120">
        <f t="shared" si="25"/>
        <v>-3.240190514</v>
      </c>
      <c r="AO988" s="120">
        <f t="shared" si="26"/>
        <v>-6.395549135</v>
      </c>
      <c r="AP988" s="120" t="str">
        <f t="array" ref="AP988">INDIRECT("Update"&amp;Projections!$AH$17&amp;"!S"&amp;ROW(B969))</f>
        <v/>
      </c>
      <c r="AQ988" s="120" t="str">
        <f t="array" ref="AQ988">INDIRECT("Update"&amp;Projections!$AH$17&amp;"!T"&amp;ROW(B969))</f>
        <v/>
      </c>
      <c r="AR988" s="100">
        <f t="shared" si="27"/>
        <v>-9.965301026</v>
      </c>
    </row>
    <row r="989">
      <c r="A989" t="str">
        <f t="shared" si="3"/>
        <v/>
      </c>
      <c r="B989" s="42">
        <f t="shared" si="4"/>
        <v>-3.155358621</v>
      </c>
      <c r="C989" s="43">
        <f t="shared" si="5"/>
        <v>-1.740686581</v>
      </c>
      <c r="D989" s="42">
        <f t="shared" si="6"/>
        <v>-2.380599106</v>
      </c>
      <c r="E989" s="42">
        <f t="shared" si="7"/>
        <v>-1.79320266</v>
      </c>
      <c r="F989" s="42">
        <f t="shared" si="8"/>
        <v>-3.240190514</v>
      </c>
      <c r="G989" s="42">
        <f t="shared" si="9"/>
        <v>-1.329092151</v>
      </c>
      <c r="H989" s="42">
        <f t="shared" si="10"/>
        <v>0</v>
      </c>
      <c r="I989" s="42" t="str">
        <f>UpdateHashtag!S987</f>
        <v/>
      </c>
      <c r="J989" s="47">
        <f t="shared" si="11"/>
        <v>0</v>
      </c>
      <c r="K989" s="48" t="str">
        <f>UpdateHashtag!T987</f>
        <v/>
      </c>
      <c r="L989" s="42">
        <f t="shared" si="12"/>
        <v>-1.734552372</v>
      </c>
      <c r="N989" s="100">
        <f t="shared" si="13"/>
        <v>401</v>
      </c>
      <c r="O989" s="94" t="str">
        <f t="array" ref="O989">INDIRECT("Update"&amp;Projections!$AH$17&amp;"!B"&amp;ROW(B970))</f>
        <v/>
      </c>
      <c r="P989" s="414" t="str">
        <f t="array" ref="P989">INDIRECT("Update"&amp;Projections!$AH$17&amp;"!C"&amp;ROW(B970))</f>
        <v/>
      </c>
      <c r="Q989" s="94" t="str">
        <f>UpdateHashtag!F1019</f>
        <v/>
      </c>
      <c r="R989" s="105" t="str">
        <f t="array" ref="R989">INDIRECT("Update"&amp;Projections!$AH$17&amp;"!D"&amp;ROW(B970))</f>
        <v/>
      </c>
      <c r="S989" s="73">
        <f t="shared" si="14"/>
        <v>-9.965301026</v>
      </c>
      <c r="T989" s="73">
        <f>SUM(AE989:AM989)-IFERROR(IFS(Projections!$I$17,AN989,Projections!$J$17,AO989),"")</f>
        <v>-9.965301026</v>
      </c>
      <c r="U989" s="73">
        <f t="shared" si="15"/>
        <v>0</v>
      </c>
      <c r="V989" s="73" t="str">
        <f t="array" ref="V989">INDIRECT("Update"&amp;Projections!$AH$17&amp;"!M"&amp;ROW(B970))</f>
        <v/>
      </c>
      <c r="W989" s="73" t="str">
        <f t="array" ref="W989">INDIRECT("Update"&amp;Projections!$AH$17&amp;"!L"&amp;ROW(B970))</f>
        <v/>
      </c>
      <c r="X989" s="73" t="str">
        <f t="array" ref="X989">INDIRECT("Update"&amp;Projections!$AH$17&amp;"!N"&amp;ROW(B970))</f>
        <v/>
      </c>
      <c r="Y989" s="73" t="str">
        <f t="array" ref="Y989">INDIRECT("Update"&amp;Projections!$AH$17&amp;"!O"&amp;ROW(B970))</f>
        <v/>
      </c>
      <c r="Z989" s="73" t="str">
        <f t="array" ref="Z989">INDIRECT("Update"&amp;Projections!$AH$17&amp;"!P"&amp;ROW(B970))</f>
        <v/>
      </c>
      <c r="AA989" s="73" t="str">
        <f t="array" ref="AA989">INDIRECT("Update"&amp;Projections!$AH$17&amp;"!Q"&amp;ROW(B970))</f>
        <v/>
      </c>
      <c r="AB989" s="107" t="str">
        <f t="array" ref="AB989">INDIRECT("Update"&amp;Projections!$AH$17&amp;"!I"&amp;ROW(B970))</f>
        <v/>
      </c>
      <c r="AC989" s="107" t="str">
        <f t="array" ref="AC989">INDIRECT("Update"&amp;Projections!$AH$17&amp;"!K"&amp;ROW(B970))</f>
        <v/>
      </c>
      <c r="AD989" s="73" t="str">
        <f t="array" ref="AD989">INDIRECT("Update"&amp;Projections!$AH$17&amp;"!R"&amp;ROW(B970))</f>
        <v/>
      </c>
      <c r="AE989" s="73">
        <f t="shared" si="16"/>
        <v>-3.155358621</v>
      </c>
      <c r="AF989" s="73">
        <f t="shared" si="17"/>
        <v>-1.740686581</v>
      </c>
      <c r="AG989" s="73">
        <f t="shared" si="18"/>
        <v>-2.380599106</v>
      </c>
      <c r="AH989" s="73">
        <f t="shared" si="19"/>
        <v>-1.79320266</v>
      </c>
      <c r="AI989" s="73">
        <f t="shared" si="20"/>
        <v>-3.240190514</v>
      </c>
      <c r="AJ989" s="73">
        <f t="shared" si="21"/>
        <v>-1.329092151</v>
      </c>
      <c r="AK989" s="73">
        <f t="shared" si="22"/>
        <v>0</v>
      </c>
      <c r="AL989" s="73">
        <f t="shared" si="23"/>
        <v>0</v>
      </c>
      <c r="AM989" s="73">
        <f t="shared" si="24"/>
        <v>0.433638093</v>
      </c>
      <c r="AN989" s="120">
        <f t="shared" si="25"/>
        <v>-3.240190514</v>
      </c>
      <c r="AO989" s="120">
        <f t="shared" si="26"/>
        <v>-6.395549135</v>
      </c>
      <c r="AP989" s="120" t="str">
        <f t="array" ref="AP989">INDIRECT("Update"&amp;Projections!$AH$17&amp;"!S"&amp;ROW(B970))</f>
        <v/>
      </c>
      <c r="AQ989" s="120" t="str">
        <f t="array" ref="AQ989">INDIRECT("Update"&amp;Projections!$AH$17&amp;"!T"&amp;ROW(B970))</f>
        <v/>
      </c>
      <c r="AR989" s="100">
        <f t="shared" si="27"/>
        <v>-9.965301026</v>
      </c>
    </row>
    <row r="990">
      <c r="A990" t="str">
        <f t="shared" si="3"/>
        <v/>
      </c>
      <c r="B990" s="42">
        <f t="shared" si="4"/>
        <v>-3.155358621</v>
      </c>
      <c r="C990" s="43">
        <f t="shared" si="5"/>
        <v>-1.740686581</v>
      </c>
      <c r="D990" s="42">
        <f t="shared" si="6"/>
        <v>-2.380599106</v>
      </c>
      <c r="E990" s="42">
        <f t="shared" si="7"/>
        <v>-1.79320266</v>
      </c>
      <c r="F990" s="42">
        <f t="shared" si="8"/>
        <v>-3.240190514</v>
      </c>
      <c r="G990" s="42">
        <f t="shared" si="9"/>
        <v>-1.329092151</v>
      </c>
      <c r="H990" s="42">
        <f t="shared" si="10"/>
        <v>0</v>
      </c>
      <c r="I990" s="42" t="str">
        <f>UpdateHashtag!S988</f>
        <v/>
      </c>
      <c r="J990" s="47">
        <f t="shared" si="11"/>
        <v>0</v>
      </c>
      <c r="K990" s="48" t="str">
        <f>UpdateHashtag!T988</f>
        <v/>
      </c>
      <c r="L990" s="42">
        <f t="shared" si="12"/>
        <v>-1.734552372</v>
      </c>
      <c r="N990" s="100">
        <f t="shared" si="13"/>
        <v>401</v>
      </c>
      <c r="O990" s="94" t="str">
        <f t="array" ref="O990">INDIRECT("Update"&amp;Projections!$AH$17&amp;"!B"&amp;ROW(B971))</f>
        <v/>
      </c>
      <c r="P990" s="414" t="str">
        <f t="array" ref="P990">INDIRECT("Update"&amp;Projections!$AH$17&amp;"!C"&amp;ROW(B971))</f>
        <v/>
      </c>
      <c r="Q990" s="94" t="str">
        <f>UpdateHashtag!F1020</f>
        <v/>
      </c>
      <c r="R990" s="105" t="str">
        <f t="array" ref="R990">INDIRECT("Update"&amp;Projections!$AH$17&amp;"!D"&amp;ROW(B971))</f>
        <v/>
      </c>
      <c r="S990" s="73">
        <f t="shared" si="14"/>
        <v>-9.965301026</v>
      </c>
      <c r="T990" s="73">
        <f>SUM(AE990:AM990)-IFERROR(IFS(Projections!$I$17,AN990,Projections!$J$17,AO990),"")</f>
        <v>-9.965301026</v>
      </c>
      <c r="U990" s="73">
        <f t="shared" si="15"/>
        <v>0</v>
      </c>
      <c r="V990" s="73" t="str">
        <f t="array" ref="V990">INDIRECT("Update"&amp;Projections!$AH$17&amp;"!M"&amp;ROW(B971))</f>
        <v/>
      </c>
      <c r="W990" s="73" t="str">
        <f t="array" ref="W990">INDIRECT("Update"&amp;Projections!$AH$17&amp;"!L"&amp;ROW(B971))</f>
        <v/>
      </c>
      <c r="X990" s="73" t="str">
        <f t="array" ref="X990">INDIRECT("Update"&amp;Projections!$AH$17&amp;"!N"&amp;ROW(B971))</f>
        <v/>
      </c>
      <c r="Y990" s="73" t="str">
        <f t="array" ref="Y990">INDIRECT("Update"&amp;Projections!$AH$17&amp;"!O"&amp;ROW(B971))</f>
        <v/>
      </c>
      <c r="Z990" s="73" t="str">
        <f t="array" ref="Z990">INDIRECT("Update"&amp;Projections!$AH$17&amp;"!P"&amp;ROW(B971))</f>
        <v/>
      </c>
      <c r="AA990" s="73" t="str">
        <f t="array" ref="AA990">INDIRECT("Update"&amp;Projections!$AH$17&amp;"!Q"&amp;ROW(B971))</f>
        <v/>
      </c>
      <c r="AB990" s="107" t="str">
        <f t="array" ref="AB990">INDIRECT("Update"&amp;Projections!$AH$17&amp;"!I"&amp;ROW(B971))</f>
        <v/>
      </c>
      <c r="AC990" s="107" t="str">
        <f t="array" ref="AC990">INDIRECT("Update"&amp;Projections!$AH$17&amp;"!K"&amp;ROW(B971))</f>
        <v/>
      </c>
      <c r="AD990" s="73" t="str">
        <f t="array" ref="AD990">INDIRECT("Update"&amp;Projections!$AH$17&amp;"!R"&amp;ROW(B971))</f>
        <v/>
      </c>
      <c r="AE990" s="73">
        <f t="shared" si="16"/>
        <v>-3.155358621</v>
      </c>
      <c r="AF990" s="73">
        <f t="shared" si="17"/>
        <v>-1.740686581</v>
      </c>
      <c r="AG990" s="73">
        <f t="shared" si="18"/>
        <v>-2.380599106</v>
      </c>
      <c r="AH990" s="73">
        <f t="shared" si="19"/>
        <v>-1.79320266</v>
      </c>
      <c r="AI990" s="73">
        <f t="shared" si="20"/>
        <v>-3.240190514</v>
      </c>
      <c r="AJ990" s="73">
        <f t="shared" si="21"/>
        <v>-1.329092151</v>
      </c>
      <c r="AK990" s="73">
        <f t="shared" si="22"/>
        <v>0</v>
      </c>
      <c r="AL990" s="73">
        <f t="shared" si="23"/>
        <v>0</v>
      </c>
      <c r="AM990" s="73">
        <f t="shared" si="24"/>
        <v>0.433638093</v>
      </c>
      <c r="AN990" s="120">
        <f t="shared" si="25"/>
        <v>-3.240190514</v>
      </c>
      <c r="AO990" s="120">
        <f t="shared" si="26"/>
        <v>-6.395549135</v>
      </c>
      <c r="AP990" s="120" t="str">
        <f t="array" ref="AP990">INDIRECT("Update"&amp;Projections!$AH$17&amp;"!S"&amp;ROW(B971))</f>
        <v/>
      </c>
      <c r="AQ990" s="120" t="str">
        <f t="array" ref="AQ990">INDIRECT("Update"&amp;Projections!$AH$17&amp;"!T"&amp;ROW(B971))</f>
        <v/>
      </c>
      <c r="AR990" s="100">
        <f t="shared" si="27"/>
        <v>-9.965301026</v>
      </c>
    </row>
    <row r="991">
      <c r="A991" t="str">
        <f t="shared" si="3"/>
        <v/>
      </c>
      <c r="B991" s="42">
        <f t="shared" si="4"/>
        <v>-3.155358621</v>
      </c>
      <c r="C991" s="43">
        <f t="shared" si="5"/>
        <v>-1.740686581</v>
      </c>
      <c r="D991" s="42">
        <f t="shared" si="6"/>
        <v>-2.380599106</v>
      </c>
      <c r="E991" s="42">
        <f t="shared" si="7"/>
        <v>-1.79320266</v>
      </c>
      <c r="F991" s="42">
        <f t="shared" si="8"/>
        <v>-3.240190514</v>
      </c>
      <c r="G991" s="42">
        <f t="shared" si="9"/>
        <v>-1.329092151</v>
      </c>
      <c r="H991" s="42">
        <f t="shared" si="10"/>
        <v>0</v>
      </c>
      <c r="I991" s="42" t="str">
        <f>UpdateHashtag!S989</f>
        <v/>
      </c>
      <c r="J991" s="47">
        <f t="shared" si="11"/>
        <v>0</v>
      </c>
      <c r="K991" s="48" t="str">
        <f>UpdateHashtag!T989</f>
        <v/>
      </c>
      <c r="L991" s="42">
        <f t="shared" si="12"/>
        <v>-1.734552372</v>
      </c>
      <c r="N991" s="100">
        <f t="shared" si="13"/>
        <v>401</v>
      </c>
      <c r="O991" s="94" t="str">
        <f t="array" ref="O991">INDIRECT("Update"&amp;Projections!$AH$17&amp;"!B"&amp;ROW(B972))</f>
        <v/>
      </c>
      <c r="P991" s="414" t="str">
        <f t="array" ref="P991">INDIRECT("Update"&amp;Projections!$AH$17&amp;"!C"&amp;ROW(B972))</f>
        <v/>
      </c>
      <c r="Q991" s="94" t="str">
        <f>UpdateHashtag!F1021</f>
        <v/>
      </c>
      <c r="R991" s="105" t="str">
        <f t="array" ref="R991">INDIRECT("Update"&amp;Projections!$AH$17&amp;"!D"&amp;ROW(B972))</f>
        <v/>
      </c>
      <c r="S991" s="73">
        <f t="shared" si="14"/>
        <v>-9.965301026</v>
      </c>
      <c r="T991" s="73">
        <f>SUM(AE991:AM991)-IFERROR(IFS(Projections!$I$17,AN991,Projections!$J$17,AO991),"")</f>
        <v>-9.965301026</v>
      </c>
      <c r="U991" s="73">
        <f t="shared" si="15"/>
        <v>0</v>
      </c>
      <c r="V991" s="73" t="str">
        <f t="array" ref="V991">INDIRECT("Update"&amp;Projections!$AH$17&amp;"!M"&amp;ROW(B972))</f>
        <v/>
      </c>
      <c r="W991" s="73" t="str">
        <f t="array" ref="W991">INDIRECT("Update"&amp;Projections!$AH$17&amp;"!L"&amp;ROW(B972))</f>
        <v/>
      </c>
      <c r="X991" s="73" t="str">
        <f t="array" ref="X991">INDIRECT("Update"&amp;Projections!$AH$17&amp;"!N"&amp;ROW(B972))</f>
        <v/>
      </c>
      <c r="Y991" s="73" t="str">
        <f t="array" ref="Y991">INDIRECT("Update"&amp;Projections!$AH$17&amp;"!O"&amp;ROW(B972))</f>
        <v/>
      </c>
      <c r="Z991" s="73" t="str">
        <f t="array" ref="Z991">INDIRECT("Update"&amp;Projections!$AH$17&amp;"!P"&amp;ROW(B972))</f>
        <v/>
      </c>
      <c r="AA991" s="73" t="str">
        <f t="array" ref="AA991">INDIRECT("Update"&amp;Projections!$AH$17&amp;"!Q"&amp;ROW(B972))</f>
        <v/>
      </c>
      <c r="AB991" s="107" t="str">
        <f t="array" ref="AB991">INDIRECT("Update"&amp;Projections!$AH$17&amp;"!I"&amp;ROW(B972))</f>
        <v/>
      </c>
      <c r="AC991" s="107" t="str">
        <f t="array" ref="AC991">INDIRECT("Update"&amp;Projections!$AH$17&amp;"!K"&amp;ROW(B972))</f>
        <v/>
      </c>
      <c r="AD991" s="73" t="str">
        <f t="array" ref="AD991">INDIRECT("Update"&amp;Projections!$AH$17&amp;"!R"&amp;ROW(B972))</f>
        <v/>
      </c>
      <c r="AE991" s="73">
        <f t="shared" si="16"/>
        <v>-3.155358621</v>
      </c>
      <c r="AF991" s="73">
        <f t="shared" si="17"/>
        <v>-1.740686581</v>
      </c>
      <c r="AG991" s="73">
        <f t="shared" si="18"/>
        <v>-2.380599106</v>
      </c>
      <c r="AH991" s="73">
        <f t="shared" si="19"/>
        <v>-1.79320266</v>
      </c>
      <c r="AI991" s="73">
        <f t="shared" si="20"/>
        <v>-3.240190514</v>
      </c>
      <c r="AJ991" s="73">
        <f t="shared" si="21"/>
        <v>-1.329092151</v>
      </c>
      <c r="AK991" s="73">
        <f t="shared" si="22"/>
        <v>0</v>
      </c>
      <c r="AL991" s="73">
        <f t="shared" si="23"/>
        <v>0</v>
      </c>
      <c r="AM991" s="73">
        <f t="shared" si="24"/>
        <v>0.433638093</v>
      </c>
      <c r="AN991" s="120">
        <f t="shared" si="25"/>
        <v>-3.240190514</v>
      </c>
      <c r="AO991" s="120">
        <f t="shared" si="26"/>
        <v>-6.395549135</v>
      </c>
      <c r="AP991" s="120" t="str">
        <f t="array" ref="AP991">INDIRECT("Update"&amp;Projections!$AH$17&amp;"!S"&amp;ROW(B972))</f>
        <v/>
      </c>
      <c r="AQ991" s="120" t="str">
        <f t="array" ref="AQ991">INDIRECT("Update"&amp;Projections!$AH$17&amp;"!T"&amp;ROW(B972))</f>
        <v/>
      </c>
      <c r="AR991" s="100">
        <f t="shared" si="27"/>
        <v>-9.965301026</v>
      </c>
    </row>
    <row r="992">
      <c r="A992" t="str">
        <f t="shared" si="3"/>
        <v/>
      </c>
      <c r="B992" s="42">
        <f t="shared" si="4"/>
        <v>-3.155358621</v>
      </c>
      <c r="C992" s="43">
        <f t="shared" si="5"/>
        <v>-1.740686581</v>
      </c>
      <c r="D992" s="42">
        <f t="shared" si="6"/>
        <v>-2.380599106</v>
      </c>
      <c r="E992" s="42">
        <f t="shared" si="7"/>
        <v>-1.79320266</v>
      </c>
      <c r="F992" s="42">
        <f t="shared" si="8"/>
        <v>-3.240190514</v>
      </c>
      <c r="G992" s="42">
        <f t="shared" si="9"/>
        <v>-1.329092151</v>
      </c>
      <c r="H992" s="42">
        <f t="shared" si="10"/>
        <v>0</v>
      </c>
      <c r="I992" s="42" t="str">
        <f>UpdateHashtag!S990</f>
        <v/>
      </c>
      <c r="J992" s="47">
        <f t="shared" si="11"/>
        <v>0</v>
      </c>
      <c r="K992" s="48" t="str">
        <f>UpdateHashtag!T990</f>
        <v/>
      </c>
      <c r="L992" s="42">
        <f t="shared" si="12"/>
        <v>-1.734552372</v>
      </c>
      <c r="N992" s="100">
        <f t="shared" si="13"/>
        <v>401</v>
      </c>
      <c r="O992" s="94" t="str">
        <f t="array" ref="O992">INDIRECT("Update"&amp;Projections!$AH$17&amp;"!B"&amp;ROW(B973))</f>
        <v/>
      </c>
      <c r="P992" s="414" t="str">
        <f t="array" ref="P992">INDIRECT("Update"&amp;Projections!$AH$17&amp;"!C"&amp;ROW(B973))</f>
        <v/>
      </c>
      <c r="Q992" s="94" t="str">
        <f>UpdateHashtag!F1022</f>
        <v/>
      </c>
      <c r="R992" s="105" t="str">
        <f t="array" ref="R992">INDIRECT("Update"&amp;Projections!$AH$17&amp;"!D"&amp;ROW(B973))</f>
        <v/>
      </c>
      <c r="S992" s="73">
        <f t="shared" si="14"/>
        <v>-9.965301026</v>
      </c>
      <c r="T992" s="73">
        <f>SUM(AE992:AM992)-IFERROR(IFS(Projections!$I$17,AN992,Projections!$J$17,AO992),"")</f>
        <v>-9.965301026</v>
      </c>
      <c r="U992" s="73">
        <f t="shared" si="15"/>
        <v>0</v>
      </c>
      <c r="V992" s="73" t="str">
        <f t="array" ref="V992">INDIRECT("Update"&amp;Projections!$AH$17&amp;"!M"&amp;ROW(B973))</f>
        <v/>
      </c>
      <c r="W992" s="73" t="str">
        <f t="array" ref="W992">INDIRECT("Update"&amp;Projections!$AH$17&amp;"!L"&amp;ROW(B973))</f>
        <v/>
      </c>
      <c r="X992" s="73" t="str">
        <f t="array" ref="X992">INDIRECT("Update"&amp;Projections!$AH$17&amp;"!N"&amp;ROW(B973))</f>
        <v/>
      </c>
      <c r="Y992" s="73" t="str">
        <f t="array" ref="Y992">INDIRECT("Update"&amp;Projections!$AH$17&amp;"!O"&amp;ROW(B973))</f>
        <v/>
      </c>
      <c r="Z992" s="73" t="str">
        <f t="array" ref="Z992">INDIRECT("Update"&amp;Projections!$AH$17&amp;"!P"&amp;ROW(B973))</f>
        <v/>
      </c>
      <c r="AA992" s="73" t="str">
        <f t="array" ref="AA992">INDIRECT("Update"&amp;Projections!$AH$17&amp;"!Q"&amp;ROW(B973))</f>
        <v/>
      </c>
      <c r="AB992" s="107" t="str">
        <f t="array" ref="AB992">INDIRECT("Update"&amp;Projections!$AH$17&amp;"!I"&amp;ROW(B973))</f>
        <v/>
      </c>
      <c r="AC992" s="107" t="str">
        <f t="array" ref="AC992">INDIRECT("Update"&amp;Projections!$AH$17&amp;"!K"&amp;ROW(B973))</f>
        <v/>
      </c>
      <c r="AD992" s="73" t="str">
        <f t="array" ref="AD992">INDIRECT("Update"&amp;Projections!$AH$17&amp;"!R"&amp;ROW(B973))</f>
        <v/>
      </c>
      <c r="AE992" s="73">
        <f t="shared" si="16"/>
        <v>-3.155358621</v>
      </c>
      <c r="AF992" s="73">
        <f t="shared" si="17"/>
        <v>-1.740686581</v>
      </c>
      <c r="AG992" s="73">
        <f t="shared" si="18"/>
        <v>-2.380599106</v>
      </c>
      <c r="AH992" s="73">
        <f t="shared" si="19"/>
        <v>-1.79320266</v>
      </c>
      <c r="AI992" s="73">
        <f t="shared" si="20"/>
        <v>-3.240190514</v>
      </c>
      <c r="AJ992" s="73">
        <f t="shared" si="21"/>
        <v>-1.329092151</v>
      </c>
      <c r="AK992" s="73">
        <f t="shared" si="22"/>
        <v>0</v>
      </c>
      <c r="AL992" s="73">
        <f t="shared" si="23"/>
        <v>0</v>
      </c>
      <c r="AM992" s="73">
        <f t="shared" si="24"/>
        <v>0.433638093</v>
      </c>
      <c r="AN992" s="120">
        <f t="shared" si="25"/>
        <v>-3.240190514</v>
      </c>
      <c r="AO992" s="120">
        <f t="shared" si="26"/>
        <v>-6.395549135</v>
      </c>
      <c r="AP992" s="120" t="str">
        <f t="array" ref="AP992">INDIRECT("Update"&amp;Projections!$AH$17&amp;"!S"&amp;ROW(B973))</f>
        <v/>
      </c>
      <c r="AQ992" s="120" t="str">
        <f t="array" ref="AQ992">INDIRECT("Update"&amp;Projections!$AH$17&amp;"!T"&amp;ROW(B973))</f>
        <v/>
      </c>
      <c r="AR992" s="100">
        <f t="shared" si="27"/>
        <v>-9.965301026</v>
      </c>
    </row>
    <row r="993">
      <c r="A993" t="str">
        <f t="shared" si="3"/>
        <v/>
      </c>
      <c r="B993" s="42">
        <f t="shared" si="4"/>
        <v>-3.155358621</v>
      </c>
      <c r="C993" s="43">
        <f t="shared" si="5"/>
        <v>-1.740686581</v>
      </c>
      <c r="D993" s="42">
        <f t="shared" si="6"/>
        <v>-2.380599106</v>
      </c>
      <c r="E993" s="42">
        <f t="shared" si="7"/>
        <v>-1.79320266</v>
      </c>
      <c r="F993" s="42">
        <f t="shared" si="8"/>
        <v>-3.240190514</v>
      </c>
      <c r="G993" s="42">
        <f t="shared" si="9"/>
        <v>-1.329092151</v>
      </c>
      <c r="H993" s="42">
        <f t="shared" si="10"/>
        <v>0</v>
      </c>
      <c r="I993" s="42" t="str">
        <f>UpdateHashtag!S991</f>
        <v/>
      </c>
      <c r="J993" s="47">
        <f t="shared" si="11"/>
        <v>0</v>
      </c>
      <c r="K993" s="48" t="str">
        <f>UpdateHashtag!T991</f>
        <v/>
      </c>
      <c r="L993" s="42">
        <f t="shared" si="12"/>
        <v>-1.734552372</v>
      </c>
      <c r="N993" s="100">
        <f t="shared" si="13"/>
        <v>401</v>
      </c>
      <c r="O993" s="94" t="str">
        <f t="array" ref="O993">INDIRECT("Update"&amp;Projections!$AH$17&amp;"!B"&amp;ROW(B974))</f>
        <v/>
      </c>
      <c r="P993" s="414" t="str">
        <f t="array" ref="P993">INDIRECT("Update"&amp;Projections!$AH$17&amp;"!C"&amp;ROW(B974))</f>
        <v/>
      </c>
      <c r="Q993" s="94" t="str">
        <f>UpdateHashtag!F1023</f>
        <v/>
      </c>
      <c r="R993" s="105" t="str">
        <f t="array" ref="R993">INDIRECT("Update"&amp;Projections!$AH$17&amp;"!D"&amp;ROW(B974))</f>
        <v/>
      </c>
      <c r="S993" s="73">
        <f t="shared" si="14"/>
        <v>-9.965301026</v>
      </c>
      <c r="T993" s="73">
        <f>SUM(AE993:AM993)-IFERROR(IFS(Projections!$I$17,AN993,Projections!$J$17,AO993),"")</f>
        <v>-9.965301026</v>
      </c>
      <c r="U993" s="73">
        <f t="shared" si="15"/>
        <v>0</v>
      </c>
      <c r="V993" s="73" t="str">
        <f t="array" ref="V993">INDIRECT("Update"&amp;Projections!$AH$17&amp;"!M"&amp;ROW(B974))</f>
        <v/>
      </c>
      <c r="W993" s="73" t="str">
        <f t="array" ref="W993">INDIRECT("Update"&amp;Projections!$AH$17&amp;"!L"&amp;ROW(B974))</f>
        <v/>
      </c>
      <c r="X993" s="73" t="str">
        <f t="array" ref="X993">INDIRECT("Update"&amp;Projections!$AH$17&amp;"!N"&amp;ROW(B974))</f>
        <v/>
      </c>
      <c r="Y993" s="73" t="str">
        <f t="array" ref="Y993">INDIRECT("Update"&amp;Projections!$AH$17&amp;"!O"&amp;ROW(B974))</f>
        <v/>
      </c>
      <c r="Z993" s="73" t="str">
        <f t="array" ref="Z993">INDIRECT("Update"&amp;Projections!$AH$17&amp;"!P"&amp;ROW(B974))</f>
        <v/>
      </c>
      <c r="AA993" s="73" t="str">
        <f t="array" ref="AA993">INDIRECT("Update"&amp;Projections!$AH$17&amp;"!Q"&amp;ROW(B974))</f>
        <v/>
      </c>
      <c r="AB993" s="107" t="str">
        <f t="array" ref="AB993">INDIRECT("Update"&amp;Projections!$AH$17&amp;"!I"&amp;ROW(B974))</f>
        <v/>
      </c>
      <c r="AC993" s="107" t="str">
        <f t="array" ref="AC993">INDIRECT("Update"&amp;Projections!$AH$17&amp;"!K"&amp;ROW(B974))</f>
        <v/>
      </c>
      <c r="AD993" s="73" t="str">
        <f t="array" ref="AD993">INDIRECT("Update"&amp;Projections!$AH$17&amp;"!R"&amp;ROW(B974))</f>
        <v/>
      </c>
      <c r="AE993" s="73">
        <f t="shared" si="16"/>
        <v>-3.155358621</v>
      </c>
      <c r="AF993" s="73">
        <f t="shared" si="17"/>
        <v>-1.740686581</v>
      </c>
      <c r="AG993" s="73">
        <f t="shared" si="18"/>
        <v>-2.380599106</v>
      </c>
      <c r="AH993" s="73">
        <f t="shared" si="19"/>
        <v>-1.79320266</v>
      </c>
      <c r="AI993" s="73">
        <f t="shared" si="20"/>
        <v>-3.240190514</v>
      </c>
      <c r="AJ993" s="73">
        <f t="shared" si="21"/>
        <v>-1.329092151</v>
      </c>
      <c r="AK993" s="73">
        <f t="shared" si="22"/>
        <v>0</v>
      </c>
      <c r="AL993" s="73">
        <f t="shared" si="23"/>
        <v>0</v>
      </c>
      <c r="AM993" s="73">
        <f t="shared" si="24"/>
        <v>0.433638093</v>
      </c>
      <c r="AN993" s="120">
        <f t="shared" si="25"/>
        <v>-3.240190514</v>
      </c>
      <c r="AO993" s="120">
        <f t="shared" si="26"/>
        <v>-6.395549135</v>
      </c>
      <c r="AP993" s="120" t="str">
        <f t="array" ref="AP993">INDIRECT("Update"&amp;Projections!$AH$17&amp;"!S"&amp;ROW(B974))</f>
        <v/>
      </c>
      <c r="AQ993" s="120" t="str">
        <f t="array" ref="AQ993">INDIRECT("Update"&amp;Projections!$AH$17&amp;"!T"&amp;ROW(B974))</f>
        <v/>
      </c>
      <c r="AR993" s="100">
        <f t="shared" si="27"/>
        <v>-9.965301026</v>
      </c>
    </row>
    <row r="994">
      <c r="A994" t="str">
        <f t="shared" si="3"/>
        <v/>
      </c>
      <c r="B994" s="42">
        <f t="shared" si="4"/>
        <v>-3.155358621</v>
      </c>
      <c r="C994" s="43">
        <f t="shared" si="5"/>
        <v>-1.740686581</v>
      </c>
      <c r="D994" s="42">
        <f t="shared" si="6"/>
        <v>-2.380599106</v>
      </c>
      <c r="E994" s="42">
        <f t="shared" si="7"/>
        <v>-1.79320266</v>
      </c>
      <c r="F994" s="42">
        <f t="shared" si="8"/>
        <v>-3.240190514</v>
      </c>
      <c r="G994" s="42">
        <f t="shared" si="9"/>
        <v>-1.329092151</v>
      </c>
      <c r="H994" s="42">
        <f t="shared" si="10"/>
        <v>0</v>
      </c>
      <c r="I994" s="42" t="str">
        <f>UpdateHashtag!S992</f>
        <v/>
      </c>
      <c r="J994" s="47">
        <f t="shared" si="11"/>
        <v>0</v>
      </c>
      <c r="K994" s="48" t="str">
        <f>UpdateHashtag!T992</f>
        <v/>
      </c>
      <c r="L994" s="42">
        <f t="shared" si="12"/>
        <v>-1.734552372</v>
      </c>
      <c r="N994" s="100">
        <f t="shared" si="13"/>
        <v>401</v>
      </c>
      <c r="O994" s="94" t="str">
        <f t="array" ref="O994">INDIRECT("Update"&amp;Projections!$AH$17&amp;"!B"&amp;ROW(B975))</f>
        <v/>
      </c>
      <c r="P994" s="414" t="str">
        <f t="array" ref="P994">INDIRECT("Update"&amp;Projections!$AH$17&amp;"!C"&amp;ROW(B975))</f>
        <v/>
      </c>
      <c r="Q994" s="94" t="str">
        <f>UpdateHashtag!F1024</f>
        <v/>
      </c>
      <c r="R994" s="105" t="str">
        <f t="array" ref="R994">INDIRECT("Update"&amp;Projections!$AH$17&amp;"!D"&amp;ROW(B975))</f>
        <v/>
      </c>
      <c r="S994" s="73">
        <f t="shared" si="14"/>
        <v>-9.965301026</v>
      </c>
      <c r="T994" s="73">
        <f>SUM(AE994:AM994)-IFERROR(IFS(Projections!$I$17,AN994,Projections!$J$17,AO994),"")</f>
        <v>-9.965301026</v>
      </c>
      <c r="U994" s="73">
        <f t="shared" si="15"/>
        <v>0</v>
      </c>
      <c r="V994" s="73" t="str">
        <f t="array" ref="V994">INDIRECT("Update"&amp;Projections!$AH$17&amp;"!M"&amp;ROW(B975))</f>
        <v/>
      </c>
      <c r="W994" s="73" t="str">
        <f t="array" ref="W994">INDIRECT("Update"&amp;Projections!$AH$17&amp;"!L"&amp;ROW(B975))</f>
        <v/>
      </c>
      <c r="X994" s="73" t="str">
        <f t="array" ref="X994">INDIRECT("Update"&amp;Projections!$AH$17&amp;"!N"&amp;ROW(B975))</f>
        <v/>
      </c>
      <c r="Y994" s="73" t="str">
        <f t="array" ref="Y994">INDIRECT("Update"&amp;Projections!$AH$17&amp;"!O"&amp;ROW(B975))</f>
        <v/>
      </c>
      <c r="Z994" s="73" t="str">
        <f t="array" ref="Z994">INDIRECT("Update"&amp;Projections!$AH$17&amp;"!P"&amp;ROW(B975))</f>
        <v/>
      </c>
      <c r="AA994" s="73" t="str">
        <f t="array" ref="AA994">INDIRECT("Update"&amp;Projections!$AH$17&amp;"!Q"&amp;ROW(B975))</f>
        <v/>
      </c>
      <c r="AB994" s="107" t="str">
        <f t="array" ref="AB994">INDIRECT("Update"&amp;Projections!$AH$17&amp;"!I"&amp;ROW(B975))</f>
        <v/>
      </c>
      <c r="AC994" s="107" t="str">
        <f t="array" ref="AC994">INDIRECT("Update"&amp;Projections!$AH$17&amp;"!K"&amp;ROW(B975))</f>
        <v/>
      </c>
      <c r="AD994" s="73" t="str">
        <f t="array" ref="AD994">INDIRECT("Update"&amp;Projections!$AH$17&amp;"!R"&amp;ROW(B975))</f>
        <v/>
      </c>
      <c r="AE994" s="73">
        <f t="shared" si="16"/>
        <v>-3.155358621</v>
      </c>
      <c r="AF994" s="73">
        <f t="shared" si="17"/>
        <v>-1.740686581</v>
      </c>
      <c r="AG994" s="73">
        <f t="shared" si="18"/>
        <v>-2.380599106</v>
      </c>
      <c r="AH994" s="73">
        <f t="shared" si="19"/>
        <v>-1.79320266</v>
      </c>
      <c r="AI994" s="73">
        <f t="shared" si="20"/>
        <v>-3.240190514</v>
      </c>
      <c r="AJ994" s="73">
        <f t="shared" si="21"/>
        <v>-1.329092151</v>
      </c>
      <c r="AK994" s="73">
        <f t="shared" si="22"/>
        <v>0</v>
      </c>
      <c r="AL994" s="73">
        <f t="shared" si="23"/>
        <v>0</v>
      </c>
      <c r="AM994" s="73">
        <f t="shared" si="24"/>
        <v>0.433638093</v>
      </c>
      <c r="AN994" s="120">
        <f t="shared" si="25"/>
        <v>-3.240190514</v>
      </c>
      <c r="AO994" s="120">
        <f t="shared" si="26"/>
        <v>-6.395549135</v>
      </c>
      <c r="AP994" s="120" t="str">
        <f t="array" ref="AP994">INDIRECT("Update"&amp;Projections!$AH$17&amp;"!S"&amp;ROW(B975))</f>
        <v/>
      </c>
      <c r="AQ994" s="120" t="str">
        <f t="array" ref="AQ994">INDIRECT("Update"&amp;Projections!$AH$17&amp;"!T"&amp;ROW(B975))</f>
        <v/>
      </c>
      <c r="AR994" s="100">
        <f t="shared" si="27"/>
        <v>-9.965301026</v>
      </c>
    </row>
    <row r="995">
      <c r="A995" t="str">
        <f t="shared" si="3"/>
        <v/>
      </c>
      <c r="B995" s="42">
        <f t="shared" si="4"/>
        <v>-3.155358621</v>
      </c>
      <c r="C995" s="43">
        <f t="shared" si="5"/>
        <v>-1.740686581</v>
      </c>
      <c r="D995" s="42">
        <f t="shared" si="6"/>
        <v>-2.380599106</v>
      </c>
      <c r="E995" s="42">
        <f t="shared" si="7"/>
        <v>-1.79320266</v>
      </c>
      <c r="F995" s="42">
        <f t="shared" si="8"/>
        <v>-3.240190514</v>
      </c>
      <c r="G995" s="42">
        <f t="shared" si="9"/>
        <v>-1.329092151</v>
      </c>
      <c r="H995" s="42">
        <f t="shared" si="10"/>
        <v>0</v>
      </c>
      <c r="I995" s="42" t="str">
        <f>UpdateHashtag!S993</f>
        <v/>
      </c>
      <c r="J995" s="47">
        <f t="shared" si="11"/>
        <v>0</v>
      </c>
      <c r="K995" s="48" t="str">
        <f>UpdateHashtag!T993</f>
        <v/>
      </c>
      <c r="L995" s="42">
        <f t="shared" si="12"/>
        <v>-1.734552372</v>
      </c>
      <c r="N995" s="100">
        <f t="shared" si="13"/>
        <v>401</v>
      </c>
      <c r="O995" s="94" t="str">
        <f t="array" ref="O995">INDIRECT("Update"&amp;Projections!$AH$17&amp;"!B"&amp;ROW(B976))</f>
        <v/>
      </c>
      <c r="P995" s="414" t="str">
        <f t="array" ref="P995">INDIRECT("Update"&amp;Projections!$AH$17&amp;"!C"&amp;ROW(B976))</f>
        <v/>
      </c>
      <c r="Q995" s="94" t="str">
        <f>UpdateHashtag!F1025</f>
        <v/>
      </c>
      <c r="R995" s="105" t="str">
        <f t="array" ref="R995">INDIRECT("Update"&amp;Projections!$AH$17&amp;"!D"&amp;ROW(B976))</f>
        <v/>
      </c>
      <c r="S995" s="73">
        <f t="shared" si="14"/>
        <v>-9.965301026</v>
      </c>
      <c r="T995" s="73">
        <f>SUM(AE995:AM995)-IFERROR(IFS(Projections!$I$17,AN995,Projections!$J$17,AO995),"")</f>
        <v>-9.965301026</v>
      </c>
      <c r="U995" s="73">
        <f t="shared" si="15"/>
        <v>0</v>
      </c>
      <c r="V995" s="73" t="str">
        <f t="array" ref="V995">INDIRECT("Update"&amp;Projections!$AH$17&amp;"!M"&amp;ROW(B976))</f>
        <v/>
      </c>
      <c r="W995" s="73" t="str">
        <f t="array" ref="W995">INDIRECT("Update"&amp;Projections!$AH$17&amp;"!L"&amp;ROW(B976))</f>
        <v/>
      </c>
      <c r="X995" s="73" t="str">
        <f t="array" ref="X995">INDIRECT("Update"&amp;Projections!$AH$17&amp;"!N"&amp;ROW(B976))</f>
        <v/>
      </c>
      <c r="Y995" s="73" t="str">
        <f t="array" ref="Y995">INDIRECT("Update"&amp;Projections!$AH$17&amp;"!O"&amp;ROW(B976))</f>
        <v/>
      </c>
      <c r="Z995" s="73" t="str">
        <f t="array" ref="Z995">INDIRECT("Update"&amp;Projections!$AH$17&amp;"!P"&amp;ROW(B976))</f>
        <v/>
      </c>
      <c r="AA995" s="73" t="str">
        <f t="array" ref="AA995">INDIRECT("Update"&amp;Projections!$AH$17&amp;"!Q"&amp;ROW(B976))</f>
        <v/>
      </c>
      <c r="AB995" s="107" t="str">
        <f t="array" ref="AB995">INDIRECT("Update"&amp;Projections!$AH$17&amp;"!I"&amp;ROW(B976))</f>
        <v/>
      </c>
      <c r="AC995" s="107" t="str">
        <f t="array" ref="AC995">INDIRECT("Update"&amp;Projections!$AH$17&amp;"!K"&amp;ROW(B976))</f>
        <v/>
      </c>
      <c r="AD995" s="73" t="str">
        <f t="array" ref="AD995">INDIRECT("Update"&amp;Projections!$AH$17&amp;"!R"&amp;ROW(B976))</f>
        <v/>
      </c>
      <c r="AE995" s="73">
        <f t="shared" si="16"/>
        <v>-3.155358621</v>
      </c>
      <c r="AF995" s="73">
        <f t="shared" si="17"/>
        <v>-1.740686581</v>
      </c>
      <c r="AG995" s="73">
        <f t="shared" si="18"/>
        <v>-2.380599106</v>
      </c>
      <c r="AH995" s="73">
        <f t="shared" si="19"/>
        <v>-1.79320266</v>
      </c>
      <c r="AI995" s="73">
        <f t="shared" si="20"/>
        <v>-3.240190514</v>
      </c>
      <c r="AJ995" s="73">
        <f t="shared" si="21"/>
        <v>-1.329092151</v>
      </c>
      <c r="AK995" s="73">
        <f t="shared" si="22"/>
        <v>0</v>
      </c>
      <c r="AL995" s="73">
        <f t="shared" si="23"/>
        <v>0</v>
      </c>
      <c r="AM995" s="73">
        <f t="shared" si="24"/>
        <v>0.433638093</v>
      </c>
      <c r="AN995" s="120">
        <f t="shared" si="25"/>
        <v>-3.240190514</v>
      </c>
      <c r="AO995" s="120">
        <f t="shared" si="26"/>
        <v>-6.395549135</v>
      </c>
      <c r="AP995" s="120" t="str">
        <f t="array" ref="AP995">INDIRECT("Update"&amp;Projections!$AH$17&amp;"!S"&amp;ROW(B976))</f>
        <v/>
      </c>
      <c r="AQ995" s="120" t="str">
        <f t="array" ref="AQ995">INDIRECT("Update"&amp;Projections!$AH$17&amp;"!T"&amp;ROW(B976))</f>
        <v/>
      </c>
      <c r="AR995" s="100">
        <f t="shared" si="27"/>
        <v>-9.965301026</v>
      </c>
    </row>
    <row r="996">
      <c r="A996" t="str">
        <f t="shared" si="3"/>
        <v/>
      </c>
      <c r="B996" s="42">
        <f t="shared" si="4"/>
        <v>-3.155358621</v>
      </c>
      <c r="C996" s="43">
        <f t="shared" si="5"/>
        <v>-1.740686581</v>
      </c>
      <c r="D996" s="42">
        <f t="shared" si="6"/>
        <v>-2.380599106</v>
      </c>
      <c r="E996" s="42">
        <f t="shared" si="7"/>
        <v>-1.79320266</v>
      </c>
      <c r="F996" s="42">
        <f t="shared" si="8"/>
        <v>-3.240190514</v>
      </c>
      <c r="G996" s="42">
        <f t="shared" si="9"/>
        <v>-1.329092151</v>
      </c>
      <c r="H996" s="42">
        <f t="shared" si="10"/>
        <v>0</v>
      </c>
      <c r="I996" s="42" t="str">
        <f>UpdateHashtag!S994</f>
        <v/>
      </c>
      <c r="J996" s="47">
        <f t="shared" si="11"/>
        <v>0</v>
      </c>
      <c r="K996" s="48" t="str">
        <f>UpdateHashtag!T994</f>
        <v/>
      </c>
      <c r="L996" s="42">
        <f t="shared" si="12"/>
        <v>-1.734552372</v>
      </c>
      <c r="N996" s="100">
        <f t="shared" si="13"/>
        <v>401</v>
      </c>
      <c r="O996" s="94" t="str">
        <f t="array" ref="O996">INDIRECT("Update"&amp;Projections!$AH$17&amp;"!B"&amp;ROW(B977))</f>
        <v/>
      </c>
      <c r="P996" s="414" t="str">
        <f t="array" ref="P996">INDIRECT("Update"&amp;Projections!$AH$17&amp;"!C"&amp;ROW(B977))</f>
        <v/>
      </c>
      <c r="Q996" s="94" t="str">
        <f>UpdateHashtag!F1026</f>
        <v/>
      </c>
      <c r="R996" s="105" t="str">
        <f t="array" ref="R996">INDIRECT("Update"&amp;Projections!$AH$17&amp;"!D"&amp;ROW(B977))</f>
        <v/>
      </c>
      <c r="S996" s="73">
        <f t="shared" si="14"/>
        <v>-9.965301026</v>
      </c>
      <c r="T996" s="73">
        <f>SUM(AE996:AM996)-IFERROR(IFS(Projections!$I$17,AN996,Projections!$J$17,AO996),"")</f>
        <v>-9.965301026</v>
      </c>
      <c r="U996" s="73">
        <f t="shared" si="15"/>
        <v>0</v>
      </c>
      <c r="V996" s="73" t="str">
        <f t="array" ref="V996">INDIRECT("Update"&amp;Projections!$AH$17&amp;"!M"&amp;ROW(B977))</f>
        <v/>
      </c>
      <c r="W996" s="73" t="str">
        <f t="array" ref="W996">INDIRECT("Update"&amp;Projections!$AH$17&amp;"!L"&amp;ROW(B977))</f>
        <v/>
      </c>
      <c r="X996" s="73" t="str">
        <f t="array" ref="X996">INDIRECT("Update"&amp;Projections!$AH$17&amp;"!N"&amp;ROW(B977))</f>
        <v/>
      </c>
      <c r="Y996" s="73" t="str">
        <f t="array" ref="Y996">INDIRECT("Update"&amp;Projections!$AH$17&amp;"!O"&amp;ROW(B977))</f>
        <v/>
      </c>
      <c r="Z996" s="73" t="str">
        <f t="array" ref="Z996">INDIRECT("Update"&amp;Projections!$AH$17&amp;"!P"&amp;ROW(B977))</f>
        <v/>
      </c>
      <c r="AA996" s="73" t="str">
        <f t="array" ref="AA996">INDIRECT("Update"&amp;Projections!$AH$17&amp;"!Q"&amp;ROW(B977))</f>
        <v/>
      </c>
      <c r="AB996" s="107" t="str">
        <f t="array" ref="AB996">INDIRECT("Update"&amp;Projections!$AH$17&amp;"!I"&amp;ROW(B977))</f>
        <v/>
      </c>
      <c r="AC996" s="107" t="str">
        <f t="array" ref="AC996">INDIRECT("Update"&amp;Projections!$AH$17&amp;"!K"&amp;ROW(B977))</f>
        <v/>
      </c>
      <c r="AD996" s="73" t="str">
        <f t="array" ref="AD996">INDIRECT("Update"&amp;Projections!$AH$17&amp;"!R"&amp;ROW(B977))</f>
        <v/>
      </c>
      <c r="AE996" s="73">
        <f t="shared" si="16"/>
        <v>-3.155358621</v>
      </c>
      <c r="AF996" s="73">
        <f t="shared" si="17"/>
        <v>-1.740686581</v>
      </c>
      <c r="AG996" s="73">
        <f t="shared" si="18"/>
        <v>-2.380599106</v>
      </c>
      <c r="AH996" s="73">
        <f t="shared" si="19"/>
        <v>-1.79320266</v>
      </c>
      <c r="AI996" s="73">
        <f t="shared" si="20"/>
        <v>-3.240190514</v>
      </c>
      <c r="AJ996" s="73">
        <f t="shared" si="21"/>
        <v>-1.329092151</v>
      </c>
      <c r="AK996" s="73">
        <f t="shared" si="22"/>
        <v>0</v>
      </c>
      <c r="AL996" s="73">
        <f t="shared" si="23"/>
        <v>0</v>
      </c>
      <c r="AM996" s="73">
        <f t="shared" si="24"/>
        <v>0.433638093</v>
      </c>
      <c r="AN996" s="120">
        <f t="shared" si="25"/>
        <v>-3.240190514</v>
      </c>
      <c r="AO996" s="120">
        <f t="shared" si="26"/>
        <v>-6.395549135</v>
      </c>
      <c r="AP996" s="120" t="str">
        <f t="array" ref="AP996">INDIRECT("Update"&amp;Projections!$AH$17&amp;"!S"&amp;ROW(B977))</f>
        <v/>
      </c>
      <c r="AQ996" s="120" t="str">
        <f t="array" ref="AQ996">INDIRECT("Update"&amp;Projections!$AH$17&amp;"!T"&amp;ROW(B977))</f>
        <v/>
      </c>
      <c r="AR996" s="100">
        <f t="shared" si="27"/>
        <v>-9.965301026</v>
      </c>
    </row>
    <row r="997">
      <c r="A997" t="str">
        <f t="shared" si="3"/>
        <v/>
      </c>
      <c r="B997" s="42">
        <f t="shared" si="4"/>
        <v>-3.155358621</v>
      </c>
      <c r="C997" s="43">
        <f t="shared" si="5"/>
        <v>-1.740686581</v>
      </c>
      <c r="D997" s="42">
        <f t="shared" si="6"/>
        <v>-2.380599106</v>
      </c>
      <c r="E997" s="42">
        <f t="shared" si="7"/>
        <v>-1.79320266</v>
      </c>
      <c r="F997" s="42">
        <f t="shared" si="8"/>
        <v>-3.240190514</v>
      </c>
      <c r="G997" s="42">
        <f t="shared" si="9"/>
        <v>-1.329092151</v>
      </c>
      <c r="H997" s="42">
        <f t="shared" si="10"/>
        <v>0</v>
      </c>
      <c r="I997" s="42" t="str">
        <f>UpdateHashtag!S995</f>
        <v/>
      </c>
      <c r="J997" s="47">
        <f t="shared" si="11"/>
        <v>0</v>
      </c>
      <c r="K997" s="48" t="str">
        <f>UpdateHashtag!T995</f>
        <v/>
      </c>
      <c r="L997" s="42">
        <f t="shared" si="12"/>
        <v>-1.734552372</v>
      </c>
      <c r="N997" s="100">
        <f t="shared" si="13"/>
        <v>401</v>
      </c>
      <c r="O997" s="94" t="str">
        <f t="array" ref="O997">INDIRECT("Update"&amp;Projections!$AH$17&amp;"!B"&amp;ROW(B978))</f>
        <v/>
      </c>
      <c r="P997" s="414" t="str">
        <f t="array" ref="P997">INDIRECT("Update"&amp;Projections!$AH$17&amp;"!C"&amp;ROW(B978))</f>
        <v/>
      </c>
      <c r="Q997" s="94" t="str">
        <f>UpdateHashtag!F1027</f>
        <v/>
      </c>
      <c r="R997" s="105" t="str">
        <f t="array" ref="R997">INDIRECT("Update"&amp;Projections!$AH$17&amp;"!D"&amp;ROW(B978))</f>
        <v/>
      </c>
      <c r="S997" s="73">
        <f t="shared" si="14"/>
        <v>-9.965301026</v>
      </c>
      <c r="T997" s="73">
        <f>SUM(AE997:AM997)-IFERROR(IFS(Projections!$I$17,AN997,Projections!$J$17,AO997),"")</f>
        <v>-9.965301026</v>
      </c>
      <c r="U997" s="73">
        <f t="shared" si="15"/>
        <v>0</v>
      </c>
      <c r="V997" s="73" t="str">
        <f t="array" ref="V997">INDIRECT("Update"&amp;Projections!$AH$17&amp;"!M"&amp;ROW(B978))</f>
        <v/>
      </c>
      <c r="W997" s="73" t="str">
        <f t="array" ref="W997">INDIRECT("Update"&amp;Projections!$AH$17&amp;"!L"&amp;ROW(B978))</f>
        <v/>
      </c>
      <c r="X997" s="73" t="str">
        <f t="array" ref="X997">INDIRECT("Update"&amp;Projections!$AH$17&amp;"!N"&amp;ROW(B978))</f>
        <v/>
      </c>
      <c r="Y997" s="73" t="str">
        <f t="array" ref="Y997">INDIRECT("Update"&amp;Projections!$AH$17&amp;"!O"&amp;ROW(B978))</f>
        <v/>
      </c>
      <c r="Z997" s="73" t="str">
        <f t="array" ref="Z997">INDIRECT("Update"&amp;Projections!$AH$17&amp;"!P"&amp;ROW(B978))</f>
        <v/>
      </c>
      <c r="AA997" s="73" t="str">
        <f t="array" ref="AA997">INDIRECT("Update"&amp;Projections!$AH$17&amp;"!Q"&amp;ROW(B978))</f>
        <v/>
      </c>
      <c r="AB997" s="107" t="str">
        <f t="array" ref="AB997">INDIRECT("Update"&amp;Projections!$AH$17&amp;"!I"&amp;ROW(B978))</f>
        <v/>
      </c>
      <c r="AC997" s="107" t="str">
        <f t="array" ref="AC997">INDIRECT("Update"&amp;Projections!$AH$17&amp;"!K"&amp;ROW(B978))</f>
        <v/>
      </c>
      <c r="AD997" s="73" t="str">
        <f t="array" ref="AD997">INDIRECT("Update"&amp;Projections!$AH$17&amp;"!R"&amp;ROW(B978))</f>
        <v/>
      </c>
      <c r="AE997" s="73">
        <f t="shared" si="16"/>
        <v>-3.155358621</v>
      </c>
      <c r="AF997" s="73">
        <f t="shared" si="17"/>
        <v>-1.740686581</v>
      </c>
      <c r="AG997" s="73">
        <f t="shared" si="18"/>
        <v>-2.380599106</v>
      </c>
      <c r="AH997" s="73">
        <f t="shared" si="19"/>
        <v>-1.79320266</v>
      </c>
      <c r="AI997" s="73">
        <f t="shared" si="20"/>
        <v>-3.240190514</v>
      </c>
      <c r="AJ997" s="73">
        <f t="shared" si="21"/>
        <v>-1.329092151</v>
      </c>
      <c r="AK997" s="73">
        <f t="shared" si="22"/>
        <v>0</v>
      </c>
      <c r="AL997" s="73">
        <f t="shared" si="23"/>
        <v>0</v>
      </c>
      <c r="AM997" s="73">
        <f t="shared" si="24"/>
        <v>0.433638093</v>
      </c>
      <c r="AN997" s="120">
        <f t="shared" si="25"/>
        <v>-3.240190514</v>
      </c>
      <c r="AO997" s="120">
        <f t="shared" si="26"/>
        <v>-6.395549135</v>
      </c>
      <c r="AP997" s="120" t="str">
        <f t="array" ref="AP997">INDIRECT("Update"&amp;Projections!$AH$17&amp;"!S"&amp;ROW(B978))</f>
        <v/>
      </c>
      <c r="AQ997" s="120" t="str">
        <f t="array" ref="AQ997">INDIRECT("Update"&amp;Projections!$AH$17&amp;"!T"&amp;ROW(B978))</f>
        <v/>
      </c>
      <c r="AR997" s="100">
        <f t="shared" si="27"/>
        <v>-9.965301026</v>
      </c>
    </row>
    <row r="998">
      <c r="A998" t="str">
        <f t="shared" si="3"/>
        <v/>
      </c>
      <c r="B998" s="42">
        <f t="shared" si="4"/>
        <v>-3.155358621</v>
      </c>
      <c r="C998" s="43">
        <f t="shared" si="5"/>
        <v>-1.740686581</v>
      </c>
      <c r="D998" s="42">
        <f t="shared" si="6"/>
        <v>-2.380599106</v>
      </c>
      <c r="E998" s="42">
        <f t="shared" si="7"/>
        <v>-1.79320266</v>
      </c>
      <c r="F998" s="42">
        <f t="shared" si="8"/>
        <v>-3.240190514</v>
      </c>
      <c r="G998" s="42">
        <f t="shared" si="9"/>
        <v>-1.329092151</v>
      </c>
      <c r="H998" s="42">
        <f t="shared" si="10"/>
        <v>0</v>
      </c>
      <c r="I998" s="42" t="str">
        <f>UpdateHashtag!S996</f>
        <v/>
      </c>
      <c r="J998" s="47">
        <f t="shared" si="11"/>
        <v>0</v>
      </c>
      <c r="K998" s="48" t="str">
        <f>UpdateHashtag!T996</f>
        <v/>
      </c>
      <c r="L998" s="42">
        <f t="shared" si="12"/>
        <v>-1.734552372</v>
      </c>
      <c r="N998" s="100">
        <f t="shared" si="13"/>
        <v>401</v>
      </c>
      <c r="O998" s="94" t="str">
        <f t="array" ref="O998">INDIRECT("Update"&amp;Projections!$AH$17&amp;"!B"&amp;ROW(B979))</f>
        <v/>
      </c>
      <c r="P998" s="414" t="str">
        <f t="array" ref="P998">INDIRECT("Update"&amp;Projections!$AH$17&amp;"!C"&amp;ROW(B979))</f>
        <v/>
      </c>
      <c r="Q998" s="94" t="str">
        <f>UpdateHashtag!F1028</f>
        <v/>
      </c>
      <c r="R998" s="105" t="str">
        <f t="array" ref="R998">INDIRECT("Update"&amp;Projections!$AH$17&amp;"!D"&amp;ROW(B979))</f>
        <v/>
      </c>
      <c r="S998" s="73">
        <f t="shared" si="14"/>
        <v>-9.965301026</v>
      </c>
      <c r="T998" s="73">
        <f>SUM(AE998:AM998)-IFERROR(IFS(Projections!$I$17,AN998,Projections!$J$17,AO998),"")</f>
        <v>-9.965301026</v>
      </c>
      <c r="U998" s="73">
        <f t="shared" si="15"/>
        <v>0</v>
      </c>
      <c r="V998" s="73" t="str">
        <f t="array" ref="V998">INDIRECT("Update"&amp;Projections!$AH$17&amp;"!M"&amp;ROW(B979))</f>
        <v/>
      </c>
      <c r="W998" s="73" t="str">
        <f t="array" ref="W998">INDIRECT("Update"&amp;Projections!$AH$17&amp;"!L"&amp;ROW(B979))</f>
        <v/>
      </c>
      <c r="X998" s="73" t="str">
        <f t="array" ref="X998">INDIRECT("Update"&amp;Projections!$AH$17&amp;"!N"&amp;ROW(B979))</f>
        <v/>
      </c>
      <c r="Y998" s="73" t="str">
        <f t="array" ref="Y998">INDIRECT("Update"&amp;Projections!$AH$17&amp;"!O"&amp;ROW(B979))</f>
        <v/>
      </c>
      <c r="Z998" s="73" t="str">
        <f t="array" ref="Z998">INDIRECT("Update"&amp;Projections!$AH$17&amp;"!P"&amp;ROW(B979))</f>
        <v/>
      </c>
      <c r="AA998" s="73" t="str">
        <f t="array" ref="AA998">INDIRECT("Update"&amp;Projections!$AH$17&amp;"!Q"&amp;ROW(B979))</f>
        <v/>
      </c>
      <c r="AB998" s="107" t="str">
        <f t="array" ref="AB998">INDIRECT("Update"&amp;Projections!$AH$17&amp;"!I"&amp;ROW(B979))</f>
        <v/>
      </c>
      <c r="AC998" s="107" t="str">
        <f t="array" ref="AC998">INDIRECT("Update"&amp;Projections!$AH$17&amp;"!K"&amp;ROW(B979))</f>
        <v/>
      </c>
      <c r="AD998" s="73" t="str">
        <f t="array" ref="AD998">INDIRECT("Update"&amp;Projections!$AH$17&amp;"!R"&amp;ROW(B979))</f>
        <v/>
      </c>
      <c r="AE998" s="73">
        <f t="shared" si="16"/>
        <v>-3.155358621</v>
      </c>
      <c r="AF998" s="73">
        <f t="shared" si="17"/>
        <v>-1.740686581</v>
      </c>
      <c r="AG998" s="73">
        <f t="shared" si="18"/>
        <v>-2.380599106</v>
      </c>
      <c r="AH998" s="73">
        <f t="shared" si="19"/>
        <v>-1.79320266</v>
      </c>
      <c r="AI998" s="73">
        <f t="shared" si="20"/>
        <v>-3.240190514</v>
      </c>
      <c r="AJ998" s="73">
        <f t="shared" si="21"/>
        <v>-1.329092151</v>
      </c>
      <c r="AK998" s="73">
        <f t="shared" si="22"/>
        <v>0</v>
      </c>
      <c r="AL998" s="73">
        <f t="shared" si="23"/>
        <v>0</v>
      </c>
      <c r="AM998" s="73">
        <f t="shared" si="24"/>
        <v>0.433638093</v>
      </c>
      <c r="AN998" s="120">
        <f t="shared" si="25"/>
        <v>-3.240190514</v>
      </c>
      <c r="AO998" s="120">
        <f t="shared" si="26"/>
        <v>-6.395549135</v>
      </c>
      <c r="AP998" s="120" t="str">
        <f t="array" ref="AP998">INDIRECT("Update"&amp;Projections!$AH$17&amp;"!S"&amp;ROW(B979))</f>
        <v/>
      </c>
      <c r="AQ998" s="120" t="str">
        <f t="array" ref="AQ998">INDIRECT("Update"&amp;Projections!$AH$17&amp;"!T"&amp;ROW(B979))</f>
        <v/>
      </c>
      <c r="AR998" s="100">
        <f t="shared" si="27"/>
        <v>-9.965301026</v>
      </c>
    </row>
    <row r="999">
      <c r="A999" t="str">
        <f t="shared" si="3"/>
        <v/>
      </c>
      <c r="B999" s="42">
        <f t="shared" si="4"/>
        <v>-3.155358621</v>
      </c>
      <c r="C999" s="43">
        <f t="shared" si="5"/>
        <v>-1.740686581</v>
      </c>
      <c r="D999" s="42">
        <f t="shared" si="6"/>
        <v>-2.380599106</v>
      </c>
      <c r="E999" s="42">
        <f t="shared" si="7"/>
        <v>-1.79320266</v>
      </c>
      <c r="F999" s="42">
        <f t="shared" si="8"/>
        <v>-3.240190514</v>
      </c>
      <c r="G999" s="42">
        <f t="shared" si="9"/>
        <v>-1.329092151</v>
      </c>
      <c r="H999" s="42">
        <f t="shared" si="10"/>
        <v>0</v>
      </c>
      <c r="I999" s="42" t="str">
        <f>UpdateHashtag!S997</f>
        <v/>
      </c>
      <c r="J999" s="47">
        <f t="shared" si="11"/>
        <v>0</v>
      </c>
      <c r="K999" s="48" t="str">
        <f>UpdateHashtag!T997</f>
        <v/>
      </c>
      <c r="L999" s="42">
        <f t="shared" si="12"/>
        <v>-1.734552372</v>
      </c>
      <c r="N999" s="100">
        <f t="shared" si="13"/>
        <v>401</v>
      </c>
      <c r="O999" s="94" t="str">
        <f t="array" ref="O999">INDIRECT("Update"&amp;Projections!$AH$17&amp;"!B"&amp;ROW(B980))</f>
        <v/>
      </c>
      <c r="P999" s="414" t="str">
        <f t="array" ref="P999">INDIRECT("Update"&amp;Projections!$AH$17&amp;"!C"&amp;ROW(B980))</f>
        <v/>
      </c>
      <c r="Q999" s="94" t="str">
        <f>UpdateHashtag!F1029</f>
        <v/>
      </c>
      <c r="R999" s="105" t="str">
        <f t="array" ref="R999">INDIRECT("Update"&amp;Projections!$AH$17&amp;"!D"&amp;ROW(B980))</f>
        <v/>
      </c>
      <c r="S999" s="73">
        <f t="shared" si="14"/>
        <v>-9.965301026</v>
      </c>
      <c r="T999" s="73">
        <f>SUM(AE999:AM999)-IFERROR(IFS(Projections!$I$17,AN999,Projections!$J$17,AO999),"")</f>
        <v>-9.965301026</v>
      </c>
      <c r="U999" s="73">
        <f t="shared" si="15"/>
        <v>0</v>
      </c>
      <c r="V999" s="73" t="str">
        <f t="array" ref="V999">INDIRECT("Update"&amp;Projections!$AH$17&amp;"!M"&amp;ROW(B980))</f>
        <v/>
      </c>
      <c r="W999" s="73" t="str">
        <f t="array" ref="W999">INDIRECT("Update"&amp;Projections!$AH$17&amp;"!L"&amp;ROW(B980))</f>
        <v/>
      </c>
      <c r="X999" s="73" t="str">
        <f t="array" ref="X999">INDIRECT("Update"&amp;Projections!$AH$17&amp;"!N"&amp;ROW(B980))</f>
        <v/>
      </c>
      <c r="Y999" s="73" t="str">
        <f t="array" ref="Y999">INDIRECT("Update"&amp;Projections!$AH$17&amp;"!O"&amp;ROW(B980))</f>
        <v/>
      </c>
      <c r="Z999" s="73" t="str">
        <f t="array" ref="Z999">INDIRECT("Update"&amp;Projections!$AH$17&amp;"!P"&amp;ROW(B980))</f>
        <v/>
      </c>
      <c r="AA999" s="73" t="str">
        <f t="array" ref="AA999">INDIRECT("Update"&amp;Projections!$AH$17&amp;"!Q"&amp;ROW(B980))</f>
        <v/>
      </c>
      <c r="AB999" s="107" t="str">
        <f t="array" ref="AB999">INDIRECT("Update"&amp;Projections!$AH$17&amp;"!I"&amp;ROW(B980))</f>
        <v/>
      </c>
      <c r="AC999" s="107" t="str">
        <f t="array" ref="AC999">INDIRECT("Update"&amp;Projections!$AH$17&amp;"!K"&amp;ROW(B980))</f>
        <v/>
      </c>
      <c r="AD999" s="73" t="str">
        <f t="array" ref="AD999">INDIRECT("Update"&amp;Projections!$AH$17&amp;"!R"&amp;ROW(B980))</f>
        <v/>
      </c>
      <c r="AE999" s="73">
        <f t="shared" si="16"/>
        <v>-3.155358621</v>
      </c>
      <c r="AF999" s="73">
        <f t="shared" si="17"/>
        <v>-1.740686581</v>
      </c>
      <c r="AG999" s="73">
        <f t="shared" si="18"/>
        <v>-2.380599106</v>
      </c>
      <c r="AH999" s="73">
        <f t="shared" si="19"/>
        <v>-1.79320266</v>
      </c>
      <c r="AI999" s="73">
        <f t="shared" si="20"/>
        <v>-3.240190514</v>
      </c>
      <c r="AJ999" s="73">
        <f t="shared" si="21"/>
        <v>-1.329092151</v>
      </c>
      <c r="AK999" s="73">
        <f t="shared" si="22"/>
        <v>0</v>
      </c>
      <c r="AL999" s="73">
        <f t="shared" si="23"/>
        <v>0</v>
      </c>
      <c r="AM999" s="73">
        <f t="shared" si="24"/>
        <v>0.433638093</v>
      </c>
      <c r="AN999" s="120">
        <f t="shared" si="25"/>
        <v>-3.240190514</v>
      </c>
      <c r="AO999" s="120">
        <f t="shared" si="26"/>
        <v>-6.395549135</v>
      </c>
      <c r="AP999" s="120" t="str">
        <f t="array" ref="AP999">INDIRECT("Update"&amp;Projections!$AH$17&amp;"!S"&amp;ROW(B980))</f>
        <v/>
      </c>
      <c r="AQ999" s="120" t="str">
        <f t="array" ref="AQ999">INDIRECT("Update"&amp;Projections!$AH$17&amp;"!T"&amp;ROW(B980))</f>
        <v/>
      </c>
      <c r="AR999" s="100">
        <f t="shared" si="27"/>
        <v>-9.965301026</v>
      </c>
    </row>
    <row r="1000">
      <c r="A1000" t="str">
        <f t="shared" si="3"/>
        <v/>
      </c>
      <c r="B1000" s="42">
        <f t="shared" si="4"/>
        <v>-3.155358621</v>
      </c>
      <c r="C1000" s="43">
        <f t="shared" si="5"/>
        <v>-1.740686581</v>
      </c>
      <c r="D1000" s="42">
        <f t="shared" si="6"/>
        <v>-2.380599106</v>
      </c>
      <c r="E1000" s="42">
        <f t="shared" si="7"/>
        <v>-1.79320266</v>
      </c>
      <c r="F1000" s="42">
        <f t="shared" si="8"/>
        <v>-3.240190514</v>
      </c>
      <c r="G1000" s="42">
        <f t="shared" si="9"/>
        <v>-1.329092151</v>
      </c>
      <c r="H1000" s="42">
        <f t="shared" si="10"/>
        <v>0</v>
      </c>
      <c r="I1000" s="42" t="str">
        <f>UpdateHashtag!S998</f>
        <v/>
      </c>
      <c r="J1000" s="47">
        <f t="shared" si="11"/>
        <v>0</v>
      </c>
      <c r="K1000" s="48" t="str">
        <f>UpdateHashtag!T998</f>
        <v/>
      </c>
      <c r="L1000" s="42">
        <f t="shared" si="12"/>
        <v>-1.734552372</v>
      </c>
      <c r="N1000" s="100">
        <f t="shared" si="13"/>
        <v>401</v>
      </c>
      <c r="O1000" s="94" t="str">
        <f t="array" ref="O1000">INDIRECT("Update"&amp;Projections!$AH$17&amp;"!B"&amp;ROW(B981))</f>
        <v/>
      </c>
      <c r="P1000" s="414" t="str">
        <f t="array" ref="P1000">INDIRECT("Update"&amp;Projections!$AH$17&amp;"!C"&amp;ROW(B981))</f>
        <v/>
      </c>
      <c r="Q1000" s="94" t="str">
        <f>UpdateHashtag!F1030</f>
        <v/>
      </c>
      <c r="R1000" s="105" t="str">
        <f t="array" ref="R1000">INDIRECT("Update"&amp;Projections!$AH$17&amp;"!D"&amp;ROW(B981))</f>
        <v/>
      </c>
      <c r="S1000" s="73">
        <f t="shared" si="14"/>
        <v>-9.965301026</v>
      </c>
      <c r="T1000" s="73">
        <f>SUM(AE1000:AM1000)-IFERROR(IFS(Projections!$I$17,AN1000,Projections!$J$17,AO1000),"")</f>
        <v>-9.965301026</v>
      </c>
      <c r="U1000" s="73">
        <f t="shared" si="15"/>
        <v>0</v>
      </c>
      <c r="V1000" s="73" t="str">
        <f t="array" ref="V1000">INDIRECT("Update"&amp;Projections!$AH$17&amp;"!M"&amp;ROW(B981))</f>
        <v/>
      </c>
      <c r="W1000" s="73" t="str">
        <f t="array" ref="W1000">INDIRECT("Update"&amp;Projections!$AH$17&amp;"!L"&amp;ROW(B981))</f>
        <v/>
      </c>
      <c r="X1000" s="73" t="str">
        <f t="array" ref="X1000">INDIRECT("Update"&amp;Projections!$AH$17&amp;"!N"&amp;ROW(B981))</f>
        <v/>
      </c>
      <c r="Y1000" s="73" t="str">
        <f t="array" ref="Y1000">INDIRECT("Update"&amp;Projections!$AH$17&amp;"!O"&amp;ROW(B981))</f>
        <v/>
      </c>
      <c r="Z1000" s="73" t="str">
        <f t="array" ref="Z1000">INDIRECT("Update"&amp;Projections!$AH$17&amp;"!P"&amp;ROW(B981))</f>
        <v/>
      </c>
      <c r="AA1000" s="73" t="str">
        <f t="array" ref="AA1000">INDIRECT("Update"&amp;Projections!$AH$17&amp;"!Q"&amp;ROW(B981))</f>
        <v/>
      </c>
      <c r="AB1000" s="107" t="str">
        <f t="array" ref="AB1000">INDIRECT("Update"&amp;Projections!$AH$17&amp;"!I"&amp;ROW(B981))</f>
        <v/>
      </c>
      <c r="AC1000" s="107" t="str">
        <f t="array" ref="AC1000">INDIRECT("Update"&amp;Projections!$AH$17&amp;"!K"&amp;ROW(B981))</f>
        <v/>
      </c>
      <c r="AD1000" s="73" t="str">
        <f t="array" ref="AD1000">INDIRECT("Update"&amp;Projections!$AH$17&amp;"!R"&amp;ROW(B981))</f>
        <v/>
      </c>
      <c r="AE1000" s="73">
        <f t="shared" si="16"/>
        <v>-3.155358621</v>
      </c>
      <c r="AF1000" s="73">
        <f t="shared" si="17"/>
        <v>-1.740686581</v>
      </c>
      <c r="AG1000" s="73">
        <f t="shared" si="18"/>
        <v>-2.380599106</v>
      </c>
      <c r="AH1000" s="73">
        <f t="shared" si="19"/>
        <v>-1.79320266</v>
      </c>
      <c r="AI1000" s="73">
        <f t="shared" si="20"/>
        <v>-3.240190514</v>
      </c>
      <c r="AJ1000" s="73">
        <f t="shared" si="21"/>
        <v>-1.329092151</v>
      </c>
      <c r="AK1000" s="73">
        <f t="shared" si="22"/>
        <v>0</v>
      </c>
      <c r="AL1000" s="73">
        <f t="shared" si="23"/>
        <v>0</v>
      </c>
      <c r="AM1000" s="73">
        <f t="shared" si="24"/>
        <v>0.433638093</v>
      </c>
      <c r="AN1000" s="120">
        <f t="shared" si="25"/>
        <v>-3.240190514</v>
      </c>
      <c r="AO1000" s="120">
        <f t="shared" si="26"/>
        <v>-6.395549135</v>
      </c>
      <c r="AP1000" s="120" t="str">
        <f t="array" ref="AP1000">INDIRECT("Update"&amp;Projections!$AH$17&amp;"!S"&amp;ROW(B981))</f>
        <v/>
      </c>
      <c r="AQ1000" s="120" t="str">
        <f t="array" ref="AQ1000">INDIRECT("Update"&amp;Projections!$AH$17&amp;"!T"&amp;ROW(B981))</f>
        <v/>
      </c>
      <c r="AR1000" s="100">
        <f t="shared" si="27"/>
        <v>-9.965301026</v>
      </c>
    </row>
    <row r="1001">
      <c r="A1001" t="str">
        <f t="shared" si="3"/>
        <v/>
      </c>
      <c r="B1001" s="42">
        <f t="shared" si="4"/>
        <v>-3.155358621</v>
      </c>
      <c r="C1001" s="43">
        <f t="shared" si="5"/>
        <v>-1.740686581</v>
      </c>
      <c r="D1001" s="42">
        <f t="shared" si="6"/>
        <v>-2.380599106</v>
      </c>
      <c r="E1001" s="42">
        <f t="shared" si="7"/>
        <v>-1.79320266</v>
      </c>
      <c r="F1001" s="42">
        <f t="shared" si="8"/>
        <v>-3.240190514</v>
      </c>
      <c r="G1001" s="42">
        <f t="shared" si="9"/>
        <v>-1.329092151</v>
      </c>
      <c r="H1001" s="42">
        <f t="shared" si="10"/>
        <v>0</v>
      </c>
      <c r="I1001" s="42" t="str">
        <f>UpdateHashtag!S999</f>
        <v/>
      </c>
      <c r="J1001" s="47">
        <f t="shared" si="11"/>
        <v>0</v>
      </c>
      <c r="K1001" s="48" t="str">
        <f>UpdateHashtag!T999</f>
        <v/>
      </c>
      <c r="L1001" s="42">
        <f t="shared" si="12"/>
        <v>-1.734552372</v>
      </c>
      <c r="N1001" s="100">
        <f t="shared" si="13"/>
        <v>401</v>
      </c>
      <c r="O1001" s="94" t="str">
        <f t="array" ref="O1001">INDIRECT("Update"&amp;Projections!$AH$17&amp;"!B"&amp;ROW(B982))</f>
        <v/>
      </c>
      <c r="P1001" s="414" t="str">
        <f t="array" ref="P1001">INDIRECT("Update"&amp;Projections!$AH$17&amp;"!C"&amp;ROW(B982))</f>
        <v/>
      </c>
      <c r="Q1001" s="94" t="str">
        <f>UpdateHashtag!F1031</f>
        <v/>
      </c>
      <c r="R1001" s="105" t="str">
        <f t="array" ref="R1001">INDIRECT("Update"&amp;Projections!$AH$17&amp;"!D"&amp;ROW(B982))</f>
        <v/>
      </c>
      <c r="S1001" s="73">
        <f t="shared" si="14"/>
        <v>-9.965301026</v>
      </c>
      <c r="T1001" s="73">
        <f>SUM(AE1001:AM1001)-IFERROR(IFS(Projections!$I$17,AN1001,Projections!$J$17,AO1001),"")</f>
        <v>-9.965301026</v>
      </c>
      <c r="U1001" s="73">
        <f t="shared" si="15"/>
        <v>0</v>
      </c>
      <c r="V1001" s="73" t="str">
        <f t="array" ref="V1001">INDIRECT("Update"&amp;Projections!$AH$17&amp;"!M"&amp;ROW(B982))</f>
        <v/>
      </c>
      <c r="W1001" s="73" t="str">
        <f t="array" ref="W1001">INDIRECT("Update"&amp;Projections!$AH$17&amp;"!L"&amp;ROW(B982))</f>
        <v/>
      </c>
      <c r="X1001" s="73" t="str">
        <f t="array" ref="X1001">INDIRECT("Update"&amp;Projections!$AH$17&amp;"!N"&amp;ROW(B982))</f>
        <v/>
      </c>
      <c r="Y1001" s="73" t="str">
        <f t="array" ref="Y1001">INDIRECT("Update"&amp;Projections!$AH$17&amp;"!O"&amp;ROW(B982))</f>
        <v/>
      </c>
      <c r="Z1001" s="73" t="str">
        <f t="array" ref="Z1001">INDIRECT("Update"&amp;Projections!$AH$17&amp;"!P"&amp;ROW(B982))</f>
        <v/>
      </c>
      <c r="AA1001" s="73" t="str">
        <f t="array" ref="AA1001">INDIRECT("Update"&amp;Projections!$AH$17&amp;"!Q"&amp;ROW(B982))</f>
        <v/>
      </c>
      <c r="AB1001" s="107" t="str">
        <f t="array" ref="AB1001">INDIRECT("Update"&amp;Projections!$AH$17&amp;"!I"&amp;ROW(B982))</f>
        <v/>
      </c>
      <c r="AC1001" s="107" t="str">
        <f t="array" ref="AC1001">INDIRECT("Update"&amp;Projections!$AH$17&amp;"!K"&amp;ROW(B982))</f>
        <v/>
      </c>
      <c r="AD1001" s="73" t="str">
        <f t="array" ref="AD1001">INDIRECT("Update"&amp;Projections!$AH$17&amp;"!R"&amp;ROW(B982))</f>
        <v/>
      </c>
      <c r="AE1001" s="73">
        <f t="shared" si="16"/>
        <v>-3.155358621</v>
      </c>
      <c r="AF1001" s="73">
        <f t="shared" si="17"/>
        <v>-1.740686581</v>
      </c>
      <c r="AG1001" s="73">
        <f t="shared" si="18"/>
        <v>-2.380599106</v>
      </c>
      <c r="AH1001" s="73">
        <f t="shared" si="19"/>
        <v>-1.79320266</v>
      </c>
      <c r="AI1001" s="73">
        <f t="shared" si="20"/>
        <v>-3.240190514</v>
      </c>
      <c r="AJ1001" s="73">
        <f t="shared" si="21"/>
        <v>-1.329092151</v>
      </c>
      <c r="AK1001" s="73">
        <f t="shared" si="22"/>
        <v>0</v>
      </c>
      <c r="AL1001" s="73">
        <f t="shared" si="23"/>
        <v>0</v>
      </c>
      <c r="AM1001" s="73">
        <f t="shared" si="24"/>
        <v>0.433638093</v>
      </c>
      <c r="AN1001" s="120">
        <f t="shared" si="25"/>
        <v>-3.240190514</v>
      </c>
      <c r="AO1001" s="120">
        <f t="shared" si="26"/>
        <v>-6.395549135</v>
      </c>
      <c r="AP1001" s="120" t="str">
        <f t="array" ref="AP1001">INDIRECT("Update"&amp;Projections!$AH$17&amp;"!S"&amp;ROW(B982))</f>
        <v/>
      </c>
      <c r="AQ1001" s="120" t="str">
        <f t="array" ref="AQ1001">INDIRECT("Update"&amp;Projections!$AH$17&amp;"!T"&amp;ROW(B982))</f>
        <v/>
      </c>
      <c r="AR1001" s="100">
        <f t="shared" si="27"/>
        <v>-9.965301026</v>
      </c>
    </row>
    <row r="1002">
      <c r="A1002" t="str">
        <f t="shared" si="3"/>
        <v/>
      </c>
      <c r="B1002" s="42">
        <f t="shared" si="4"/>
        <v>-3.155358621</v>
      </c>
      <c r="C1002" s="43">
        <f t="shared" si="5"/>
        <v>-1.740686581</v>
      </c>
      <c r="D1002" s="42">
        <f t="shared" si="6"/>
        <v>-2.380599106</v>
      </c>
      <c r="E1002" s="42">
        <f t="shared" si="7"/>
        <v>-1.79320266</v>
      </c>
      <c r="F1002" s="42">
        <f t="shared" si="8"/>
        <v>-3.240190514</v>
      </c>
      <c r="G1002" s="42">
        <f t="shared" si="9"/>
        <v>-1.329092151</v>
      </c>
      <c r="H1002" s="42">
        <f t="shared" si="10"/>
        <v>0</v>
      </c>
      <c r="I1002" s="42" t="str">
        <f>UpdateHashtag!S1000</f>
        <v/>
      </c>
      <c r="J1002" s="47">
        <f t="shared" si="11"/>
        <v>0</v>
      </c>
      <c r="K1002" s="48" t="str">
        <f>UpdateHashtag!T1000</f>
        <v/>
      </c>
      <c r="L1002" s="42">
        <f t="shared" si="12"/>
        <v>-1.734552372</v>
      </c>
      <c r="N1002" s="100">
        <f t="shared" si="13"/>
        <v>401</v>
      </c>
      <c r="O1002" s="94" t="str">
        <f t="array" ref="O1002">INDIRECT("Update"&amp;Projections!$AH$17&amp;"!B"&amp;ROW(B983))</f>
        <v/>
      </c>
      <c r="P1002" s="414" t="str">
        <f t="array" ref="P1002">INDIRECT("Update"&amp;Projections!$AH$17&amp;"!C"&amp;ROW(B983))</f>
        <v/>
      </c>
      <c r="Q1002" s="94" t="str">
        <f>UpdateHashtag!F1032</f>
        <v/>
      </c>
      <c r="R1002" s="105" t="str">
        <f t="array" ref="R1002">INDIRECT("Update"&amp;Projections!$AH$17&amp;"!D"&amp;ROW(B983))</f>
        <v/>
      </c>
      <c r="S1002" s="73">
        <f t="shared" si="14"/>
        <v>-9.965301026</v>
      </c>
      <c r="T1002" s="73">
        <f>SUM(AE1002:AM1002)-IFERROR(IFS(Projections!$I$17,AN1002,Projections!$J$17,AO1002),"")</f>
        <v>-9.965301026</v>
      </c>
      <c r="U1002" s="73">
        <f t="shared" si="15"/>
        <v>0</v>
      </c>
      <c r="V1002" s="73" t="str">
        <f t="array" ref="V1002">INDIRECT("Update"&amp;Projections!$AH$17&amp;"!M"&amp;ROW(B983))</f>
        <v/>
      </c>
      <c r="W1002" s="73" t="str">
        <f t="array" ref="W1002">INDIRECT("Update"&amp;Projections!$AH$17&amp;"!L"&amp;ROW(B983))</f>
        <v/>
      </c>
      <c r="X1002" s="73" t="str">
        <f t="array" ref="X1002">INDIRECT("Update"&amp;Projections!$AH$17&amp;"!N"&amp;ROW(B983))</f>
        <v/>
      </c>
      <c r="Y1002" s="73" t="str">
        <f t="array" ref="Y1002">INDIRECT("Update"&amp;Projections!$AH$17&amp;"!O"&amp;ROW(B983))</f>
        <v/>
      </c>
      <c r="Z1002" s="73" t="str">
        <f t="array" ref="Z1002">INDIRECT("Update"&amp;Projections!$AH$17&amp;"!P"&amp;ROW(B983))</f>
        <v/>
      </c>
      <c r="AA1002" s="73" t="str">
        <f t="array" ref="AA1002">INDIRECT("Update"&amp;Projections!$AH$17&amp;"!Q"&amp;ROW(B983))</f>
        <v/>
      </c>
      <c r="AB1002" s="107" t="str">
        <f t="array" ref="AB1002">INDIRECT("Update"&amp;Projections!$AH$17&amp;"!I"&amp;ROW(B983))</f>
        <v/>
      </c>
      <c r="AC1002" s="107" t="str">
        <f t="array" ref="AC1002">INDIRECT("Update"&amp;Projections!$AH$17&amp;"!K"&amp;ROW(B983))</f>
        <v/>
      </c>
      <c r="AD1002" s="73" t="str">
        <f t="array" ref="AD1002">INDIRECT("Update"&amp;Projections!$AH$17&amp;"!R"&amp;ROW(B983))</f>
        <v/>
      </c>
      <c r="AE1002" s="73">
        <f t="shared" si="16"/>
        <v>-3.155358621</v>
      </c>
      <c r="AF1002" s="73">
        <f t="shared" si="17"/>
        <v>-1.740686581</v>
      </c>
      <c r="AG1002" s="73">
        <f t="shared" si="18"/>
        <v>-2.380599106</v>
      </c>
      <c r="AH1002" s="73">
        <f t="shared" si="19"/>
        <v>-1.79320266</v>
      </c>
      <c r="AI1002" s="73">
        <f t="shared" si="20"/>
        <v>-3.240190514</v>
      </c>
      <c r="AJ1002" s="73">
        <f t="shared" si="21"/>
        <v>-1.329092151</v>
      </c>
      <c r="AK1002" s="73">
        <f t="shared" si="22"/>
        <v>0</v>
      </c>
      <c r="AL1002" s="73">
        <f t="shared" si="23"/>
        <v>0</v>
      </c>
      <c r="AM1002" s="73">
        <f t="shared" si="24"/>
        <v>0.433638093</v>
      </c>
      <c r="AN1002" s="120">
        <f t="shared" si="25"/>
        <v>-3.240190514</v>
      </c>
      <c r="AO1002" s="120">
        <f t="shared" si="26"/>
        <v>-6.395549135</v>
      </c>
      <c r="AP1002" s="120" t="str">
        <f t="array" ref="AP1002">INDIRECT("Update"&amp;Projections!$AH$17&amp;"!S"&amp;ROW(B983))</f>
        <v/>
      </c>
      <c r="AQ1002" s="120" t="str">
        <f t="array" ref="AQ1002">INDIRECT("Update"&amp;Projections!$AH$17&amp;"!T"&amp;ROW(B983))</f>
        <v/>
      </c>
      <c r="AR1002" s="100">
        <f t="shared" si="27"/>
        <v>-9.965301026</v>
      </c>
    </row>
  </sheetData>
  <autoFilter ref="$O$20:$AQ$1002">
    <sortState ref="O20:AQ1002">
      <sortCondition descending="1" ref="S20:S1002"/>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v>
      </c>
      <c r="C1" s="2" t="s">
        <v>3</v>
      </c>
      <c r="D1" s="2" t="s">
        <v>4</v>
      </c>
      <c r="E1" s="2" t="s">
        <v>5</v>
      </c>
      <c r="F1" s="2" t="s">
        <v>6</v>
      </c>
      <c r="G1" s="2" t="s">
        <v>7</v>
      </c>
      <c r="H1" s="2" t="s">
        <v>8</v>
      </c>
      <c r="I1" s="5" t="s">
        <v>9</v>
      </c>
      <c r="J1" s="2" t="s">
        <v>10</v>
      </c>
      <c r="K1" s="5" t="s">
        <v>11</v>
      </c>
      <c r="L1" s="6" t="s">
        <v>12</v>
      </c>
      <c r="M1" s="2" t="s">
        <v>13</v>
      </c>
      <c r="N1" s="2" t="s">
        <v>14</v>
      </c>
      <c r="O1" s="2" t="s">
        <v>15</v>
      </c>
      <c r="P1" s="2" t="s">
        <v>16</v>
      </c>
      <c r="Q1" s="2" t="s">
        <v>17</v>
      </c>
      <c r="R1" s="2" t="s">
        <v>18</v>
      </c>
      <c r="S1" s="2" t="s">
        <v>19</v>
      </c>
      <c r="T1" s="2" t="s">
        <v>20</v>
      </c>
    </row>
    <row r="2">
      <c r="A2" s="2">
        <v>1.0</v>
      </c>
      <c r="B2" s="14">
        <f>IF(PasteBBM!B2="",156,PasteBBM!B2)</f>
        <v>2.228571</v>
      </c>
      <c r="C2" t="str">
        <f>PasteBBM!I2</f>
        <v>Victor Wembanyama</v>
      </c>
      <c r="D2" t="str">
        <f>IFERROR(REPLACE(PasteBBM!K2,FIND("/",PasteBBM!K2,1),1,","),PasteBBM!K2)</f>
        <v>C</v>
      </c>
      <c r="E2" t="str">
        <f>PasteBBM!J2</f>
        <v>SAS</v>
      </c>
      <c r="F2">
        <f>PasteBBM!U2</f>
        <v>71</v>
      </c>
      <c r="G2">
        <f>PasteBBM!X2</f>
        <v>34</v>
      </c>
      <c r="H2">
        <f>PasteBBM!AE2*PasteBBM!AF2</f>
        <v>9.119300027</v>
      </c>
      <c r="I2">
        <f>PasteBBM!AE2</f>
        <v>0.491118</v>
      </c>
      <c r="J2">
        <f>PasteBBM!AG2*PasteBBM!AH2</f>
        <v>4.551127689</v>
      </c>
      <c r="K2">
        <f>PasteBBM!AG2</f>
        <v>0.816996</v>
      </c>
      <c r="L2">
        <f>PasteBBM!Z2</f>
        <v>3.049859</v>
      </c>
      <c r="M2">
        <f>PasteBBM!Y2</f>
        <v>25.83958</v>
      </c>
      <c r="N2">
        <f>PasteBBM!AA2</f>
        <v>11.92127</v>
      </c>
      <c r="O2">
        <f>PasteBBM!AB2</f>
        <v>3.829296</v>
      </c>
      <c r="P2">
        <f>PasteBBM!AC2</f>
        <v>1.15831</v>
      </c>
      <c r="Q2">
        <f>PasteBBM!AD2</f>
        <v>3.901549</v>
      </c>
      <c r="R2">
        <f>PasteBBM!AI2</f>
        <v>2.745493</v>
      </c>
      <c r="S2">
        <f>PasteBBM!AE2</f>
        <v>0.491118</v>
      </c>
      <c r="T2">
        <f>PasteBBM!AG2</f>
        <v>0.816996</v>
      </c>
      <c r="V2" s="29" t="s">
        <v>77</v>
      </c>
      <c r="W2" s="29" t="s">
        <v>78</v>
      </c>
      <c r="X2" s="29" t="s">
        <v>79</v>
      </c>
      <c r="Y2" s="29" t="s">
        <v>80</v>
      </c>
      <c r="Z2" s="29" t="s">
        <v>81</v>
      </c>
      <c r="AA2" s="29" t="s">
        <v>82</v>
      </c>
      <c r="AB2" s="29" t="s">
        <v>83</v>
      </c>
      <c r="AC2" s="29" t="s">
        <v>84</v>
      </c>
    </row>
    <row r="3">
      <c r="A3" s="2">
        <v>2.0</v>
      </c>
      <c r="B3" s="14">
        <f>IF(PasteBBM!B3="",156,PasteBBM!B3)</f>
        <v>1.171429</v>
      </c>
      <c r="C3" t="str">
        <f>PasteBBM!I3</f>
        <v>Nikola Jokic</v>
      </c>
      <c r="D3" t="str">
        <f>IFERROR(REPLACE(PasteBBM!K3,FIND("/",PasteBBM!K3,1),1,","),PasteBBM!K3)</f>
        <v>C</v>
      </c>
      <c r="E3" t="str">
        <f>PasteBBM!J3</f>
        <v>DEN</v>
      </c>
      <c r="F3">
        <f>PasteBBM!U3</f>
        <v>71</v>
      </c>
      <c r="G3">
        <f>PasteBBM!X3</f>
        <v>34</v>
      </c>
      <c r="H3">
        <f>PasteBBM!AE3*PasteBBM!AF3</f>
        <v>10.38099367</v>
      </c>
      <c r="I3">
        <f>PasteBBM!AE3</f>
        <v>0.585086</v>
      </c>
      <c r="J3">
        <f>PasteBBM!AG3*PasteBBM!AH3</f>
        <v>5.317325492</v>
      </c>
      <c r="K3">
        <f>PasteBBM!AG3</f>
        <v>0.809994</v>
      </c>
      <c r="L3">
        <f>PasteBBM!Z3</f>
        <v>1.596761</v>
      </c>
      <c r="M3">
        <f>PasteBBM!Y3</f>
        <v>27.67606</v>
      </c>
      <c r="N3">
        <f>PasteBBM!AA3</f>
        <v>12.16211</v>
      </c>
      <c r="O3">
        <f>PasteBBM!AB3</f>
        <v>8.994648</v>
      </c>
      <c r="P3">
        <f>PasteBBM!AC3</f>
        <v>1.430845</v>
      </c>
      <c r="Q3">
        <f>PasteBBM!AD3</f>
        <v>0.715352</v>
      </c>
      <c r="R3">
        <f>PasteBBM!AI3</f>
        <v>3.115352</v>
      </c>
      <c r="S3">
        <f>PasteBBM!AE3</f>
        <v>0.585086</v>
      </c>
      <c r="T3">
        <f>PasteBBM!AG3</f>
        <v>0.809994</v>
      </c>
      <c r="V3" s="44">
        <v>1.230831</v>
      </c>
      <c r="W3" s="44">
        <v>0.012427</v>
      </c>
      <c r="X3" s="44">
        <v>1.237132</v>
      </c>
      <c r="Y3" s="44">
        <v>-0.0063</v>
      </c>
      <c r="Z3" s="44">
        <v>-0.23413</v>
      </c>
      <c r="AA3" s="45"/>
      <c r="AB3" s="46" t="s">
        <v>50</v>
      </c>
      <c r="AC3" s="44">
        <v>1.0</v>
      </c>
    </row>
    <row r="4">
      <c r="A4" s="2">
        <v>3.0</v>
      </c>
      <c r="B4" s="14">
        <f>IF(PasteBBM!B4="",156,PasteBBM!B4)</f>
        <v>3.085714</v>
      </c>
      <c r="C4" t="str">
        <f>PasteBBM!I4</f>
        <v>Shai Gilgeous-Alexander</v>
      </c>
      <c r="D4" t="str">
        <f>IFERROR(REPLACE(PasteBBM!K4,FIND("/",PasteBBM!K4,1),1,","),PasteBBM!K4)</f>
        <v>PG</v>
      </c>
      <c r="E4" t="str">
        <f>PasteBBM!J4</f>
        <v>OKC</v>
      </c>
      <c r="F4">
        <f>PasteBBM!U4</f>
        <v>71</v>
      </c>
      <c r="G4">
        <f>PasteBBM!X4</f>
        <v>33</v>
      </c>
      <c r="H4">
        <f>PasteBBM!AE4*PasteBBM!AF4</f>
        <v>10.64408237</v>
      </c>
      <c r="I4">
        <f>PasteBBM!AE4</f>
        <v>0.505972</v>
      </c>
      <c r="J4">
        <f>PasteBBM!AG4*PasteBBM!AH4</f>
        <v>7.293940277</v>
      </c>
      <c r="K4">
        <f>PasteBBM!AG4</f>
        <v>0.889001</v>
      </c>
      <c r="L4">
        <f>PasteBBM!Z4</f>
        <v>1.935493</v>
      </c>
      <c r="M4">
        <f>PasteBBM!Y4</f>
        <v>30.51761</v>
      </c>
      <c r="N4">
        <f>PasteBBM!AA4</f>
        <v>4.558169</v>
      </c>
      <c r="O4">
        <f>PasteBBM!AB4</f>
        <v>6.381408</v>
      </c>
      <c r="P4">
        <f>PasteBBM!AC4</f>
        <v>1.462817</v>
      </c>
      <c r="Q4">
        <f>PasteBBM!AD4</f>
        <v>0.915915</v>
      </c>
      <c r="R4">
        <f>PasteBBM!AI4</f>
        <v>2.033662</v>
      </c>
      <c r="S4">
        <f>PasteBBM!AE4</f>
        <v>0.505972</v>
      </c>
      <c r="T4">
        <f>PasteBBM!AG4</f>
        <v>0.889001</v>
      </c>
      <c r="V4" s="44">
        <v>1.088071</v>
      </c>
      <c r="W4" s="44">
        <v>0.025879</v>
      </c>
      <c r="X4" s="44">
        <v>0.728786</v>
      </c>
      <c r="Y4" s="44">
        <v>0.359286</v>
      </c>
      <c r="Z4" s="44">
        <v>-0.42927</v>
      </c>
      <c r="AA4" s="45"/>
      <c r="AB4" s="46" t="s">
        <v>86</v>
      </c>
      <c r="AC4" s="44">
        <v>4.0</v>
      </c>
    </row>
    <row r="5">
      <c r="A5" s="2">
        <v>4.0</v>
      </c>
      <c r="B5" s="14">
        <f>IF(PasteBBM!B5="",156,PasteBBM!B5)</f>
        <v>4.171429</v>
      </c>
      <c r="C5" t="str">
        <f>PasteBBM!I5</f>
        <v>Luka Doncic</v>
      </c>
      <c r="D5" t="str">
        <f>IFERROR(REPLACE(PasteBBM!K5,FIND("/",PasteBBM!K5,1),1,","),PasteBBM!K5)</f>
        <v>PG,SG</v>
      </c>
      <c r="E5" t="str">
        <f>PasteBBM!J5</f>
        <v>LAL</v>
      </c>
      <c r="F5">
        <f>PasteBBM!U5</f>
        <v>66</v>
      </c>
      <c r="G5">
        <f>PasteBBM!X5</f>
        <v>36</v>
      </c>
      <c r="H5">
        <f>PasteBBM!AE5*PasteBBM!AF5</f>
        <v>9.576809272</v>
      </c>
      <c r="I5">
        <f>PasteBBM!AE5</f>
        <v>0.46871</v>
      </c>
      <c r="J5">
        <f>PasteBBM!AG5*PasteBBM!AH5</f>
        <v>7.111515402</v>
      </c>
      <c r="K5">
        <f>PasteBBM!AG5</f>
        <v>0.790994</v>
      </c>
      <c r="L5">
        <f>PasteBBM!Z5</f>
        <v>3.678182</v>
      </c>
      <c r="M5">
        <f>PasteBBM!Y5</f>
        <v>29.94333</v>
      </c>
      <c r="N5">
        <f>PasteBBM!AA5</f>
        <v>7.791061</v>
      </c>
      <c r="O5">
        <f>PasteBBM!AB5</f>
        <v>7.643939</v>
      </c>
      <c r="P5">
        <f>PasteBBM!AC5</f>
        <v>1.47</v>
      </c>
      <c r="Q5">
        <f>PasteBBM!AD5</f>
        <v>0.44</v>
      </c>
      <c r="R5">
        <f>PasteBBM!AI5</f>
        <v>3.454545</v>
      </c>
      <c r="S5">
        <f>PasteBBM!AE5</f>
        <v>0.46871</v>
      </c>
      <c r="T5">
        <f>PasteBBM!AG5</f>
        <v>0.790994</v>
      </c>
      <c r="V5" s="44">
        <v>1.077939</v>
      </c>
      <c r="W5" s="44">
        <v>0.013036</v>
      </c>
      <c r="X5" s="44">
        <v>0.504632</v>
      </c>
      <c r="Y5" s="44">
        <v>0.573306</v>
      </c>
      <c r="Z5" s="44">
        <v>0.109699</v>
      </c>
      <c r="AA5" s="45"/>
      <c r="AB5" s="46" t="s">
        <v>200</v>
      </c>
      <c r="AC5" s="44">
        <v>10.0</v>
      </c>
    </row>
    <row r="6">
      <c r="A6" s="2">
        <v>5.0</v>
      </c>
      <c r="B6" s="14">
        <f>IF(PasteBBM!B6="",156,PasteBBM!B6)</f>
        <v>47.14286</v>
      </c>
      <c r="C6" t="str">
        <f>PasteBBM!I6</f>
        <v>Kawhi Leonard</v>
      </c>
      <c r="D6" t="str">
        <f>IFERROR(REPLACE(PasteBBM!K6,FIND("/",PasteBBM!K6,1),1,","),PasteBBM!K6)</f>
        <v>SF,PF</v>
      </c>
      <c r="E6" t="str">
        <f>PasteBBM!J6</f>
        <v>LAC</v>
      </c>
      <c r="F6">
        <f>PasteBBM!U6</f>
        <v>58</v>
      </c>
      <c r="G6">
        <f>PasteBBM!X6</f>
        <v>34</v>
      </c>
      <c r="H6">
        <f>PasteBBM!AE6*PasteBBM!AF6</f>
        <v>9.35189201</v>
      </c>
      <c r="I6">
        <f>PasteBBM!AE6</f>
        <v>0.504103</v>
      </c>
      <c r="J6">
        <f>PasteBBM!AG6*PasteBBM!AH6</f>
        <v>3.346378232</v>
      </c>
      <c r="K6">
        <f>PasteBBM!AG6</f>
        <v>0.858995</v>
      </c>
      <c r="L6">
        <f>PasteBBM!Z6</f>
        <v>2.248448</v>
      </c>
      <c r="M6">
        <f>PasteBBM!Y6</f>
        <v>24.29862</v>
      </c>
      <c r="N6">
        <f>PasteBBM!AA6</f>
        <v>6.321207</v>
      </c>
      <c r="O6">
        <f>PasteBBM!AB6</f>
        <v>3.160517</v>
      </c>
      <c r="P6">
        <f>PasteBBM!AC6</f>
        <v>1.653276</v>
      </c>
      <c r="Q6">
        <f>PasteBBM!AD6</f>
        <v>0.617241</v>
      </c>
      <c r="R6">
        <f>PasteBBM!AI6</f>
        <v>1.786379</v>
      </c>
      <c r="S6">
        <f>PasteBBM!AE6</f>
        <v>0.504103</v>
      </c>
      <c r="T6">
        <f>PasteBBM!AG6</f>
        <v>0.858995</v>
      </c>
      <c r="V6" s="44">
        <v>1.038464</v>
      </c>
      <c r="W6" s="44">
        <v>0.011664</v>
      </c>
      <c r="X6" s="44">
        <v>0.910175</v>
      </c>
      <c r="Y6" s="44">
        <v>0.128289</v>
      </c>
      <c r="Z6" s="44">
        <v>0.481401</v>
      </c>
      <c r="AA6" s="45"/>
      <c r="AB6" s="46" t="s">
        <v>64</v>
      </c>
      <c r="AC6" s="44">
        <v>3.0</v>
      </c>
    </row>
    <row r="7">
      <c r="A7" s="2">
        <v>6.0</v>
      </c>
      <c r="B7" s="14">
        <f>IF(PasteBBM!B7="",156,PasteBBM!B7)</f>
        <v>55.75714</v>
      </c>
      <c r="C7" t="str">
        <f>PasteBBM!I7</f>
        <v>Kristaps Porzingis</v>
      </c>
      <c r="D7" t="str">
        <f>IFERROR(REPLACE(PasteBBM!K7,FIND("/",PasteBBM!K7,1),1,","),PasteBBM!K7)</f>
        <v>C</v>
      </c>
      <c r="E7" t="str">
        <f>PasteBBM!J7</f>
        <v>ATL</v>
      </c>
      <c r="F7">
        <f>PasteBBM!U7</f>
        <v>54</v>
      </c>
      <c r="G7">
        <f>PasteBBM!X7</f>
        <v>30</v>
      </c>
      <c r="H7">
        <f>PasteBBM!AE7*PasteBBM!AF7</f>
        <v>7.305554349</v>
      </c>
      <c r="I7">
        <f>PasteBBM!AE7</f>
        <v>0.470253</v>
      </c>
      <c r="J7">
        <f>PasteBBM!AG7*PasteBBM!AH7</f>
        <v>4.95888827</v>
      </c>
      <c r="K7">
        <f>PasteBBM!AG7</f>
        <v>0.840015</v>
      </c>
      <c r="L7">
        <f>PasteBBM!Z7</f>
        <v>2.597407</v>
      </c>
      <c r="M7">
        <f>PasteBBM!Y7</f>
        <v>22.16741</v>
      </c>
      <c r="N7">
        <f>PasteBBM!AA7</f>
        <v>7.8</v>
      </c>
      <c r="O7">
        <f>PasteBBM!AB7</f>
        <v>2.21</v>
      </c>
      <c r="P7">
        <f>PasteBBM!AC7</f>
        <v>0.788889</v>
      </c>
      <c r="Q7">
        <f>PasteBBM!AD7</f>
        <v>1.69</v>
      </c>
      <c r="R7">
        <f>PasteBBM!AI7</f>
        <v>1.43</v>
      </c>
      <c r="S7">
        <f>PasteBBM!AE7</f>
        <v>0.470253</v>
      </c>
      <c r="T7">
        <f>PasteBBM!AG7</f>
        <v>0.840015</v>
      </c>
      <c r="V7" s="44">
        <v>0.916324</v>
      </c>
      <c r="W7" s="44">
        <v>0.009538</v>
      </c>
      <c r="X7" s="44">
        <v>1.358081</v>
      </c>
      <c r="Y7" s="44">
        <v>-0.44176</v>
      </c>
      <c r="Z7" s="44">
        <v>0.081821</v>
      </c>
      <c r="AA7" s="45"/>
      <c r="AB7" s="46" t="s">
        <v>37</v>
      </c>
      <c r="AC7" s="44">
        <v>3.0</v>
      </c>
    </row>
    <row r="8">
      <c r="A8" s="2">
        <v>7.0</v>
      </c>
      <c r="B8" s="14">
        <f>IF(PasteBBM!B8="",156,PasteBBM!B8)</f>
        <v>15.02857</v>
      </c>
      <c r="C8" t="str">
        <f>PasteBBM!I8</f>
        <v>Stephen Curry</v>
      </c>
      <c r="D8" t="str">
        <f>IFERROR(REPLACE(PasteBBM!K8,FIND("/",PasteBBM!K8,1),1,","),PasteBBM!K8)</f>
        <v>PG</v>
      </c>
      <c r="E8" t="str">
        <f>PasteBBM!J8</f>
        <v>GSW</v>
      </c>
      <c r="F8">
        <f>PasteBBM!U8</f>
        <v>66</v>
      </c>
      <c r="G8">
        <f>PasteBBM!X8</f>
        <v>33</v>
      </c>
      <c r="H8">
        <f>PasteBBM!AE8*PasteBBM!AF8</f>
        <v>8.23999241</v>
      </c>
      <c r="I8">
        <f>PasteBBM!AE8</f>
        <v>0.453415</v>
      </c>
      <c r="J8">
        <f>PasteBBM!AG8*PasteBBM!AH8</f>
        <v>4.012576354</v>
      </c>
      <c r="K8">
        <f>PasteBBM!AG8</f>
        <v>0.919996</v>
      </c>
      <c r="L8">
        <f>PasteBBM!Z8</f>
        <v>4.574394</v>
      </c>
      <c r="M8">
        <f>PasteBBM!Y8</f>
        <v>25.06697</v>
      </c>
      <c r="N8">
        <f>PasteBBM!AA8</f>
        <v>4.492121</v>
      </c>
      <c r="O8">
        <f>PasteBBM!AB8</f>
        <v>5.887727</v>
      </c>
      <c r="P8">
        <f>PasteBBM!AC8</f>
        <v>1.020909</v>
      </c>
      <c r="Q8">
        <f>PasteBBM!AD8</f>
        <v>0.407727</v>
      </c>
      <c r="R8">
        <f>PasteBBM!AI8</f>
        <v>2.786515</v>
      </c>
      <c r="S8">
        <f>PasteBBM!AE8</f>
        <v>0.453415</v>
      </c>
      <c r="T8">
        <f>PasteBBM!AG8</f>
        <v>0.919996</v>
      </c>
      <c r="V8" s="44">
        <v>0.88738</v>
      </c>
      <c r="W8" s="44">
        <v>0.011408</v>
      </c>
      <c r="X8" s="44">
        <v>0.528029</v>
      </c>
      <c r="Y8" s="44">
        <v>0.359351</v>
      </c>
      <c r="Z8" s="44">
        <v>0.342012</v>
      </c>
      <c r="AA8" s="45"/>
      <c r="AB8" s="46" t="s">
        <v>51</v>
      </c>
      <c r="AC8" s="44">
        <v>15.0</v>
      </c>
    </row>
    <row r="9">
      <c r="A9" s="2">
        <v>8.0</v>
      </c>
      <c r="B9" s="14">
        <f>IF(PasteBBM!B9="",156,PasteBBM!B9)</f>
        <v>8.557143</v>
      </c>
      <c r="C9" t="str">
        <f>PasteBBM!I9</f>
        <v>Anthony Davis</v>
      </c>
      <c r="D9" t="str">
        <f>IFERROR(REPLACE(PasteBBM!K9,FIND("/",PasteBBM!K9,1),1,","),PasteBBM!K9)</f>
        <v>PF,C</v>
      </c>
      <c r="E9" t="str">
        <f>PasteBBM!J9</f>
        <v>DAL</v>
      </c>
      <c r="F9">
        <f>PasteBBM!U9</f>
        <v>61</v>
      </c>
      <c r="G9">
        <f>PasteBBM!X9</f>
        <v>34</v>
      </c>
      <c r="H9">
        <f>PasteBBM!AE9*PasteBBM!AF9</f>
        <v>8.417537481</v>
      </c>
      <c r="I9">
        <f>PasteBBM!AE9</f>
        <v>0.494358</v>
      </c>
      <c r="J9">
        <f>PasteBBM!AG9*PasteBBM!AH9</f>
        <v>4.895737835</v>
      </c>
      <c r="K9">
        <f>PasteBBM!AG9</f>
        <v>0.765999</v>
      </c>
      <c r="L9">
        <f>PasteBBM!Z9</f>
        <v>0.879672</v>
      </c>
      <c r="M9">
        <f>PasteBBM!Y9</f>
        <v>22.61049</v>
      </c>
      <c r="N9">
        <f>PasteBBM!AA9</f>
        <v>10.0159</v>
      </c>
      <c r="O9">
        <f>PasteBBM!AB9</f>
        <v>4.149344</v>
      </c>
      <c r="P9">
        <f>PasteBBM!AC9</f>
        <v>1.227213</v>
      </c>
      <c r="Q9">
        <f>PasteBBM!AD9</f>
        <v>2.074754</v>
      </c>
      <c r="R9">
        <f>PasteBBM!AI9</f>
        <v>2.790164</v>
      </c>
      <c r="S9">
        <f>PasteBBM!AE9</f>
        <v>0.494358</v>
      </c>
      <c r="T9">
        <f>PasteBBM!AG9</f>
        <v>0.765999</v>
      </c>
      <c r="V9" s="44">
        <v>0.830155</v>
      </c>
      <c r="W9" s="44">
        <v>0.011916</v>
      </c>
      <c r="X9" s="44">
        <v>0.332971</v>
      </c>
      <c r="Y9" s="44">
        <v>0.497184</v>
      </c>
      <c r="Z9" s="44">
        <v>-1.1448</v>
      </c>
      <c r="AA9" s="45"/>
      <c r="AB9" s="46" t="s">
        <v>214</v>
      </c>
      <c r="AC9" s="44">
        <v>30.0</v>
      </c>
    </row>
    <row r="10">
      <c r="A10" s="2">
        <v>9.0</v>
      </c>
      <c r="B10" s="14">
        <f>IF(PasteBBM!B10="",156,PasteBBM!B10)</f>
        <v>17.67143</v>
      </c>
      <c r="C10" t="str">
        <f>PasteBBM!I10</f>
        <v>Tyrese Maxey</v>
      </c>
      <c r="D10" t="str">
        <f>IFERROR(REPLACE(PasteBBM!K10,FIND("/",PasteBBM!K10,1),1,","),PasteBBM!K10)</f>
        <v>PG,SG</v>
      </c>
      <c r="E10" t="str">
        <f>PasteBBM!J10</f>
        <v>PHI</v>
      </c>
      <c r="F10">
        <f>PasteBBM!U10</f>
        <v>71</v>
      </c>
      <c r="G10">
        <f>PasteBBM!X10</f>
        <v>38</v>
      </c>
      <c r="H10">
        <f>PasteBBM!AE10*PasteBBM!AF10</f>
        <v>9.389868001</v>
      </c>
      <c r="I10">
        <f>PasteBBM!AE10</f>
        <v>0.449282</v>
      </c>
      <c r="J10">
        <f>PasteBBM!AG10*PasteBBM!AH10</f>
        <v>4.186899933</v>
      </c>
      <c r="K10">
        <f>PasteBBM!AG10</f>
        <v>0.870993</v>
      </c>
      <c r="L10">
        <f>PasteBBM!Z10</f>
        <v>3.289296</v>
      </c>
      <c r="M10">
        <f>PasteBBM!Y10</f>
        <v>26.25592</v>
      </c>
      <c r="N10">
        <f>PasteBBM!AA10</f>
        <v>3.32493</v>
      </c>
      <c r="O10">
        <f>PasteBBM!AB10</f>
        <v>6.427887</v>
      </c>
      <c r="P10">
        <f>PasteBBM!AC10</f>
        <v>1.345775</v>
      </c>
      <c r="Q10">
        <f>PasteBBM!AD10</f>
        <v>0.397042</v>
      </c>
      <c r="R10">
        <f>PasteBBM!AI10</f>
        <v>2.21662</v>
      </c>
      <c r="S10">
        <f>PasteBBM!AE10</f>
        <v>0.449282</v>
      </c>
      <c r="T10">
        <f>PasteBBM!AG10</f>
        <v>0.870993</v>
      </c>
      <c r="V10" s="44">
        <v>0.77103</v>
      </c>
      <c r="W10" s="44">
        <v>0.007106</v>
      </c>
      <c r="X10" s="44">
        <v>0.480867</v>
      </c>
      <c r="Y10" s="44">
        <v>0.290163</v>
      </c>
      <c r="Z10" s="44">
        <v>0.007481</v>
      </c>
      <c r="AA10" s="45"/>
      <c r="AB10" s="46" t="s">
        <v>174</v>
      </c>
      <c r="AC10" s="44">
        <v>12.0</v>
      </c>
    </row>
    <row r="11">
      <c r="A11" s="2">
        <v>10.0</v>
      </c>
      <c r="B11" s="14">
        <f>IF(PasteBBM!B11="",156,PasteBBM!B11)</f>
        <v>18.9</v>
      </c>
      <c r="C11" t="str">
        <f>PasteBBM!I11</f>
        <v>Donovan Mitchell</v>
      </c>
      <c r="D11" t="str">
        <f>IFERROR(REPLACE(PasteBBM!K11,FIND("/",PasteBBM!K11,1),1,","),PasteBBM!K11)</f>
        <v>PG,SG</v>
      </c>
      <c r="E11" t="str">
        <f>PasteBBM!J11</f>
        <v>CLE</v>
      </c>
      <c r="F11">
        <f>PasteBBM!U11</f>
        <v>66</v>
      </c>
      <c r="G11">
        <f>PasteBBM!X11</f>
        <v>32</v>
      </c>
      <c r="H11">
        <f>PasteBBM!AE11*PasteBBM!AF11</f>
        <v>8.746968936</v>
      </c>
      <c r="I11">
        <f>PasteBBM!AE11</f>
        <v>0.460657</v>
      </c>
      <c r="J11">
        <f>PasteBBM!AG11*PasteBBM!AH11</f>
        <v>5.326214511</v>
      </c>
      <c r="K11">
        <f>PasteBBM!AG11</f>
        <v>0.85001</v>
      </c>
      <c r="L11">
        <f>PasteBBM!Z11</f>
        <v>3.337727</v>
      </c>
      <c r="M11">
        <f>PasteBBM!Y11</f>
        <v>26.15788</v>
      </c>
      <c r="N11">
        <f>PasteBBM!AA11</f>
        <v>4.578636</v>
      </c>
      <c r="O11">
        <f>PasteBBM!AB11</f>
        <v>5.656061</v>
      </c>
      <c r="P11">
        <f>PasteBBM!AC11</f>
        <v>1.274697</v>
      </c>
      <c r="Q11">
        <f>PasteBBM!AD11</f>
        <v>0.27</v>
      </c>
      <c r="R11">
        <f>PasteBBM!AI11</f>
        <v>2.356667</v>
      </c>
      <c r="S11">
        <f>PasteBBM!AE11</f>
        <v>0.460657</v>
      </c>
      <c r="T11">
        <f>PasteBBM!AG11</f>
        <v>0.85001</v>
      </c>
      <c r="V11" s="44">
        <v>0.769903</v>
      </c>
      <c r="W11" s="44">
        <v>-0.06451</v>
      </c>
      <c r="X11" s="44">
        <v>0.485048</v>
      </c>
      <c r="Y11" s="44">
        <v>0.284855</v>
      </c>
      <c r="Z11" s="44">
        <v>0.221209</v>
      </c>
      <c r="AA11" s="45"/>
      <c r="AB11" s="46" t="s">
        <v>38</v>
      </c>
      <c r="AC11" s="44">
        <v>12.0</v>
      </c>
    </row>
    <row r="12">
      <c r="A12" s="2">
        <v>11.0</v>
      </c>
      <c r="B12" s="14">
        <f>IF(PasteBBM!B12="",156,PasteBBM!B12)</f>
        <v>17.57143</v>
      </c>
      <c r="C12" t="str">
        <f>PasteBBM!I12</f>
        <v>Kevin Durant</v>
      </c>
      <c r="D12" t="str">
        <f>IFERROR(REPLACE(PasteBBM!K12,FIND("/",PasteBBM!K12,1),1,","),PasteBBM!K12)</f>
        <v>PF</v>
      </c>
      <c r="E12" t="str">
        <f>PasteBBM!J12</f>
        <v>HOU</v>
      </c>
      <c r="F12">
        <f>PasteBBM!U12</f>
        <v>62</v>
      </c>
      <c r="G12">
        <f>PasteBBM!X12</f>
        <v>35</v>
      </c>
      <c r="H12">
        <f>PasteBBM!AE12*PasteBBM!AF12</f>
        <v>10.22902663</v>
      </c>
      <c r="I12">
        <f>PasteBBM!AE12</f>
        <v>0.514426</v>
      </c>
      <c r="J12">
        <f>PasteBBM!AG12*PasteBBM!AH12</f>
        <v>5.090483602</v>
      </c>
      <c r="K12">
        <f>PasteBBM!AG12</f>
        <v>0.857007</v>
      </c>
      <c r="L12">
        <f>PasteBBM!Z12</f>
        <v>2.716613</v>
      </c>
      <c r="M12">
        <f>PasteBBM!Y12</f>
        <v>28.26516</v>
      </c>
      <c r="N12">
        <f>PasteBBM!AA12</f>
        <v>5.302419</v>
      </c>
      <c r="O12">
        <f>PasteBBM!AB12</f>
        <v>4.860645</v>
      </c>
      <c r="P12">
        <f>PasteBBM!AC12</f>
        <v>0.807903</v>
      </c>
      <c r="Q12">
        <f>PasteBBM!AD12</f>
        <v>0.88371</v>
      </c>
      <c r="R12">
        <f>PasteBBM!AI12</f>
        <v>3.314032</v>
      </c>
      <c r="S12">
        <f>PasteBBM!AE12</f>
        <v>0.514426</v>
      </c>
      <c r="T12">
        <f>PasteBBM!AG12</f>
        <v>0.857007</v>
      </c>
      <c r="V12" s="44">
        <v>0.757701</v>
      </c>
      <c r="W12" s="44">
        <v>0.031408</v>
      </c>
      <c r="X12" s="44">
        <v>0.396112</v>
      </c>
      <c r="Y12" s="44">
        <v>0.361588</v>
      </c>
      <c r="Z12" s="44">
        <v>-0.93107</v>
      </c>
      <c r="AA12" s="45"/>
      <c r="AB12" s="46" t="s">
        <v>149</v>
      </c>
      <c r="AC12" s="44">
        <v>21.0</v>
      </c>
    </row>
    <row r="13">
      <c r="A13" s="2">
        <v>12.0</v>
      </c>
      <c r="B13" s="14">
        <f>IF(PasteBBM!B13="",156,PasteBBM!B13)</f>
        <v>52.1</v>
      </c>
      <c r="C13" t="str">
        <f>PasteBBM!I13</f>
        <v>Joel Embiid</v>
      </c>
      <c r="D13" t="str">
        <f>IFERROR(REPLACE(PasteBBM!K13,FIND("/",PasteBBM!K13,1),1,","),PasteBBM!K13)</f>
        <v>C</v>
      </c>
      <c r="E13" t="str">
        <f>PasteBBM!J13</f>
        <v>PHI</v>
      </c>
      <c r="F13">
        <f>PasteBBM!U13</f>
        <v>42</v>
      </c>
      <c r="G13">
        <f>PasteBBM!X13</f>
        <v>30</v>
      </c>
      <c r="H13">
        <f>PasteBBM!AE13*PasteBBM!AF13</f>
        <v>8.042628408</v>
      </c>
      <c r="I13">
        <f>PasteBBM!AE13</f>
        <v>0.487453</v>
      </c>
      <c r="J13">
        <f>PasteBBM!AG13*PasteBBM!AH13</f>
        <v>7.931667975</v>
      </c>
      <c r="K13">
        <f>PasteBBM!AG13</f>
        <v>0.874013</v>
      </c>
      <c r="L13">
        <f>PasteBBM!Z13</f>
        <v>1.112857</v>
      </c>
      <c r="M13">
        <f>PasteBBM!Y13</f>
        <v>25.12976</v>
      </c>
      <c r="N13">
        <f>PasteBBM!AA13</f>
        <v>8.5</v>
      </c>
      <c r="O13">
        <f>PasteBBM!AB13</f>
        <v>4.66119</v>
      </c>
      <c r="P13">
        <f>PasteBBM!AC13</f>
        <v>0.872857</v>
      </c>
      <c r="Q13">
        <f>PasteBBM!AD13</f>
        <v>1.125</v>
      </c>
      <c r="R13">
        <f>PasteBBM!AI13</f>
        <v>3.379524</v>
      </c>
      <c r="S13">
        <f>PasteBBM!AE13</f>
        <v>0.487453</v>
      </c>
      <c r="T13">
        <f>PasteBBM!AG13</f>
        <v>0.874013</v>
      </c>
      <c r="V13" s="44">
        <v>0.749288</v>
      </c>
      <c r="W13" s="44">
        <v>0.010663</v>
      </c>
      <c r="X13" s="44">
        <v>0.410977</v>
      </c>
      <c r="Y13" s="44">
        <v>0.338311</v>
      </c>
      <c r="Z13" s="44">
        <v>-0.71734</v>
      </c>
      <c r="AA13" s="45"/>
      <c r="AB13" s="46" t="s">
        <v>136</v>
      </c>
      <c r="AC13" s="44">
        <v>19.0</v>
      </c>
    </row>
    <row r="14">
      <c r="A14" s="2">
        <v>13.0</v>
      </c>
      <c r="B14" s="14">
        <f>IF(PasteBBM!B14="",156,PasteBBM!B14)</f>
        <v>32.02857</v>
      </c>
      <c r="C14" t="str">
        <f>PasteBBM!I14</f>
        <v>Dyson Daniels</v>
      </c>
      <c r="D14" t="str">
        <f>IFERROR(REPLACE(PasteBBM!K14,FIND("/",PasteBBM!K14,1),1,","),PasteBBM!K14)</f>
        <v>SG,SF</v>
      </c>
      <c r="E14" t="str">
        <f>PasteBBM!J14</f>
        <v>ATL</v>
      </c>
      <c r="F14">
        <f>PasteBBM!U14</f>
        <v>71</v>
      </c>
      <c r="G14">
        <f>PasteBBM!X14</f>
        <v>33</v>
      </c>
      <c r="H14">
        <f>PasteBBM!AE14*PasteBBM!AF14</f>
        <v>5.73140206</v>
      </c>
      <c r="I14">
        <f>PasteBBM!AE14</f>
        <v>0.517163</v>
      </c>
      <c r="J14">
        <f>PasteBBM!AG14*PasteBBM!AH14</f>
        <v>0.8874650198</v>
      </c>
      <c r="K14">
        <f>PasteBBM!AG14</f>
        <v>0.615994</v>
      </c>
      <c r="L14">
        <f>PasteBBM!Z14</f>
        <v>0.888451</v>
      </c>
      <c r="M14">
        <f>PasteBBM!Y14</f>
        <v>13.23873</v>
      </c>
      <c r="N14">
        <f>PasteBBM!AA14</f>
        <v>5.791549</v>
      </c>
      <c r="O14">
        <f>PasteBBM!AB14</f>
        <v>4.432958</v>
      </c>
      <c r="P14">
        <f>PasteBBM!AC14</f>
        <v>2.573944</v>
      </c>
      <c r="Q14">
        <f>PasteBBM!AD14</f>
        <v>0.645634</v>
      </c>
      <c r="R14">
        <f>PasteBBM!AI14</f>
        <v>1.859014</v>
      </c>
      <c r="S14">
        <f>PasteBBM!AE14</f>
        <v>0.517163</v>
      </c>
      <c r="T14">
        <f>PasteBBM!AG14</f>
        <v>0.615994</v>
      </c>
      <c r="V14" s="44">
        <v>0.671475</v>
      </c>
      <c r="W14" s="44">
        <v>-0.02379</v>
      </c>
      <c r="X14" s="44">
        <v>0.405344</v>
      </c>
      <c r="Y14" s="44">
        <v>0.266131</v>
      </c>
      <c r="Z14" s="44">
        <v>0.815933</v>
      </c>
      <c r="AA14" s="45"/>
      <c r="AB14" s="46" t="s">
        <v>148</v>
      </c>
      <c r="AC14" s="44">
        <v>7.0</v>
      </c>
    </row>
    <row r="15">
      <c r="A15" s="2">
        <v>14.0</v>
      </c>
      <c r="B15" s="14">
        <f>IF(PasteBBM!B15="",156,PasteBBM!B15)</f>
        <v>51.15714</v>
      </c>
      <c r="C15" t="str">
        <f>PasteBBM!I15</f>
        <v>Jimmy Butler</v>
      </c>
      <c r="D15" t="str">
        <f>IFERROR(REPLACE(PasteBBM!K15,FIND("/",PasteBBM!K15,1),1,","),PasteBBM!K15)</f>
        <v>SF,PF</v>
      </c>
      <c r="E15" t="str">
        <f>PasteBBM!J15</f>
        <v>GSW</v>
      </c>
      <c r="F15">
        <f>PasteBBM!U15</f>
        <v>66</v>
      </c>
      <c r="G15">
        <f>PasteBBM!X15</f>
        <v>33</v>
      </c>
      <c r="H15">
        <f>PasteBBM!AE15*PasteBBM!AF15</f>
        <v>5.36151708</v>
      </c>
      <c r="I15">
        <f>PasteBBM!AE15</f>
        <v>0.49857</v>
      </c>
      <c r="J15">
        <f>PasteBBM!AG15*PasteBBM!AH15</f>
        <v>5.542574144</v>
      </c>
      <c r="K15">
        <f>PasteBBM!AG15</f>
        <v>0.858991</v>
      </c>
      <c r="L15">
        <f>PasteBBM!Z15</f>
        <v>0.754697</v>
      </c>
      <c r="M15">
        <f>PasteBBM!Y15</f>
        <v>17.0203</v>
      </c>
      <c r="N15">
        <f>PasteBBM!AA15</f>
        <v>5.37697</v>
      </c>
      <c r="O15">
        <f>PasteBBM!AB15</f>
        <v>5.847424</v>
      </c>
      <c r="P15">
        <f>PasteBBM!AC15</f>
        <v>1.565455</v>
      </c>
      <c r="Q15">
        <f>PasteBBM!AD15</f>
        <v>0.271364</v>
      </c>
      <c r="R15">
        <f>PasteBBM!AI15</f>
        <v>1.425606</v>
      </c>
      <c r="S15">
        <f>PasteBBM!AE15</f>
        <v>0.49857</v>
      </c>
      <c r="T15">
        <f>PasteBBM!AG15</f>
        <v>0.858991</v>
      </c>
      <c r="V15" s="44">
        <v>0.656285</v>
      </c>
      <c r="W15" s="44">
        <v>-0.01483</v>
      </c>
      <c r="X15" s="44">
        <v>0.469283</v>
      </c>
      <c r="Y15" s="44">
        <v>0.187003</v>
      </c>
      <c r="Z15" s="44">
        <v>-0.55007</v>
      </c>
      <c r="AA15" s="45"/>
      <c r="AB15" s="46" t="s">
        <v>135</v>
      </c>
      <c r="AC15" s="44">
        <v>7.0</v>
      </c>
    </row>
    <row r="16">
      <c r="A16" s="2">
        <v>15.0</v>
      </c>
      <c r="B16" s="14">
        <f>IF(PasteBBM!B16="",156,PasteBBM!B16)</f>
        <v>13.65714</v>
      </c>
      <c r="C16" t="str">
        <f>PasteBBM!I16</f>
        <v>James Harden</v>
      </c>
      <c r="D16" t="str">
        <f>IFERROR(REPLACE(PasteBBM!K16,FIND("/",PasteBBM!K16,1),1,","),PasteBBM!K16)</f>
        <v>PG,SG</v>
      </c>
      <c r="E16" t="str">
        <f>PasteBBM!J16</f>
        <v>LAC</v>
      </c>
      <c r="F16">
        <f>PasteBBM!U16</f>
        <v>71</v>
      </c>
      <c r="G16">
        <f>PasteBBM!X16</f>
        <v>34</v>
      </c>
      <c r="H16">
        <f>PasteBBM!AE16*PasteBBM!AF16</f>
        <v>6.799719212</v>
      </c>
      <c r="I16">
        <f>PasteBBM!AE16</f>
        <v>0.443801</v>
      </c>
      <c r="J16">
        <f>PasteBBM!AG16*PasteBBM!AH16</f>
        <v>5.617887721</v>
      </c>
      <c r="K16">
        <f>PasteBBM!AG16</f>
        <v>0.872992</v>
      </c>
      <c r="L16">
        <f>PasteBBM!Z16</f>
        <v>2.880563</v>
      </c>
      <c r="M16">
        <f>PasteBBM!Y16</f>
        <v>22.09789</v>
      </c>
      <c r="N16">
        <f>PasteBBM!AA16</f>
        <v>5.153099</v>
      </c>
      <c r="O16">
        <f>PasteBBM!AB16</f>
        <v>7.860563</v>
      </c>
      <c r="P16">
        <f>PasteBBM!AC16</f>
        <v>1.168028</v>
      </c>
      <c r="Q16">
        <f>PasteBBM!AD16</f>
        <v>0.691831</v>
      </c>
      <c r="R16">
        <f>PasteBBM!AI16</f>
        <v>3.435352</v>
      </c>
      <c r="S16">
        <f>PasteBBM!AE16</f>
        <v>0.443801</v>
      </c>
      <c r="T16">
        <f>PasteBBM!AG16</f>
        <v>0.872992</v>
      </c>
      <c r="V16" s="44">
        <v>0.639745</v>
      </c>
      <c r="W16" s="44">
        <v>0.009691</v>
      </c>
      <c r="X16" s="44">
        <v>0.527381</v>
      </c>
      <c r="Y16" s="44">
        <v>0.112365</v>
      </c>
      <c r="Z16" s="44">
        <v>-0.12262</v>
      </c>
      <c r="AA16" s="45"/>
      <c r="AB16" s="46" t="s">
        <v>91</v>
      </c>
      <c r="AC16" s="44">
        <v>46.0</v>
      </c>
    </row>
    <row r="17">
      <c r="A17" s="2">
        <v>16.0</v>
      </c>
      <c r="B17" s="14">
        <f>IF(PasteBBM!B17="",156,PasteBBM!B17)</f>
        <v>35.4</v>
      </c>
      <c r="C17" t="str">
        <f>PasteBBM!I17</f>
        <v>Jaren Jackson Jr.</v>
      </c>
      <c r="D17" t="str">
        <f>IFERROR(REPLACE(PasteBBM!K17,FIND("/",PasteBBM!K17,1),1,","),PasteBBM!K17)</f>
        <v>PF,C</v>
      </c>
      <c r="E17" t="str">
        <f>PasteBBM!J17</f>
        <v>MEM</v>
      </c>
      <c r="F17">
        <f>PasteBBM!U17</f>
        <v>65</v>
      </c>
      <c r="G17">
        <f>PasteBBM!X17</f>
        <v>32</v>
      </c>
      <c r="H17">
        <f>PasteBBM!AE17*PasteBBM!AF17</f>
        <v>8.41184246</v>
      </c>
      <c r="I17">
        <f>PasteBBM!AE17</f>
        <v>0.473107</v>
      </c>
      <c r="J17">
        <f>PasteBBM!AG17*PasteBBM!AH17</f>
        <v>4.181845332</v>
      </c>
      <c r="K17">
        <f>PasteBBM!AG17</f>
        <v>0.783998</v>
      </c>
      <c r="L17">
        <f>PasteBBM!Z17</f>
        <v>2.427077</v>
      </c>
      <c r="M17">
        <f>PasteBBM!Y17</f>
        <v>23.43262</v>
      </c>
      <c r="N17">
        <f>PasteBBM!AA17</f>
        <v>6.23</v>
      </c>
      <c r="O17">
        <f>PasteBBM!AB17</f>
        <v>1.75</v>
      </c>
      <c r="P17">
        <f>PasteBBM!AC17</f>
        <v>1.202615</v>
      </c>
      <c r="Q17">
        <f>PasteBBM!AD17</f>
        <v>1.529077</v>
      </c>
      <c r="R17">
        <f>PasteBBM!AI17</f>
        <v>1.68</v>
      </c>
      <c r="S17">
        <f>PasteBBM!AE17</f>
        <v>0.473107</v>
      </c>
      <c r="T17">
        <f>PasteBBM!AG17</f>
        <v>0.783998</v>
      </c>
      <c r="V17" s="44">
        <v>0.615709</v>
      </c>
      <c r="W17" s="44">
        <v>0.003149</v>
      </c>
      <c r="X17" s="44">
        <v>0.559795</v>
      </c>
      <c r="Y17" s="44">
        <v>0.055914</v>
      </c>
      <c r="Z17" s="44">
        <v>-1.44216</v>
      </c>
      <c r="AA17" s="45"/>
      <c r="AB17" s="46" t="s">
        <v>94</v>
      </c>
      <c r="AC17" s="44">
        <v>53.0</v>
      </c>
    </row>
    <row r="18">
      <c r="A18" s="2">
        <v>17.0</v>
      </c>
      <c r="B18" s="14">
        <f>IF(PasteBBM!B18="",156,PasteBBM!B18)</f>
        <v>11.97143</v>
      </c>
      <c r="C18" t="str">
        <f>PasteBBM!I18</f>
        <v>Devin Booker</v>
      </c>
      <c r="D18" t="str">
        <f>IFERROR(REPLACE(PasteBBM!K18,FIND("/",PasteBBM!K18,1),1,","),PasteBBM!K18)</f>
        <v>PG,SG/SF</v>
      </c>
      <c r="E18" t="str">
        <f>PasteBBM!J18</f>
        <v>PHO</v>
      </c>
      <c r="F18">
        <f>PasteBBM!U18</f>
        <v>66</v>
      </c>
      <c r="G18">
        <f>PasteBBM!X18</f>
        <v>36</v>
      </c>
      <c r="H18">
        <f>PasteBBM!AE18*PasteBBM!AF18</f>
        <v>9.123329357</v>
      </c>
      <c r="I18">
        <f>PasteBBM!AE18</f>
        <v>0.476237</v>
      </c>
      <c r="J18">
        <f>PasteBBM!AG18*PasteBBM!AH18</f>
        <v>6.007577332</v>
      </c>
      <c r="K18">
        <f>PasteBBM!AG18</f>
        <v>0.896005</v>
      </c>
      <c r="L18">
        <f>PasteBBM!Z18</f>
        <v>2.279545</v>
      </c>
      <c r="M18">
        <f>PasteBBM!Y18</f>
        <v>26.53379</v>
      </c>
      <c r="N18">
        <f>PasteBBM!AA18</f>
        <v>4.75197</v>
      </c>
      <c r="O18">
        <f>PasteBBM!AB18</f>
        <v>8.093182</v>
      </c>
      <c r="P18">
        <f>PasteBBM!AC18</f>
        <v>0.891061</v>
      </c>
      <c r="Q18">
        <f>PasteBBM!AD18</f>
        <v>0.29697</v>
      </c>
      <c r="R18">
        <f>PasteBBM!AI18</f>
        <v>3.341212</v>
      </c>
      <c r="S18">
        <f>PasteBBM!AE18</f>
        <v>0.476237</v>
      </c>
      <c r="T18">
        <f>PasteBBM!AG18</f>
        <v>0.896005</v>
      </c>
      <c r="V18" s="44">
        <v>0.573455</v>
      </c>
      <c r="W18" s="44">
        <v>0.02806</v>
      </c>
      <c r="X18" s="44">
        <v>0.411901</v>
      </c>
      <c r="Y18" s="44">
        <v>0.161555</v>
      </c>
      <c r="Z18" s="44">
        <v>-0.04827</v>
      </c>
      <c r="AA18" s="45"/>
      <c r="AB18" s="46" t="s">
        <v>175</v>
      </c>
      <c r="AC18" s="44">
        <v>27.0</v>
      </c>
    </row>
    <row r="19">
      <c r="A19" s="2">
        <v>18.0</v>
      </c>
      <c r="B19" s="14">
        <f>IF(PasteBBM!B19="",156,PasteBBM!B19)</f>
        <v>41.18571</v>
      </c>
      <c r="C19" t="str">
        <f>PasteBBM!I19</f>
        <v>Myles Turner</v>
      </c>
      <c r="D19" t="str">
        <f>IFERROR(REPLACE(PasteBBM!K19,FIND("/",PasteBBM!K19,1),1,","),PasteBBM!K19)</f>
        <v>C</v>
      </c>
      <c r="E19" t="str">
        <f>PasteBBM!J19</f>
        <v>MIL</v>
      </c>
      <c r="F19">
        <f>PasteBBM!U19</f>
        <v>71</v>
      </c>
      <c r="G19">
        <f>PasteBBM!X19</f>
        <v>32</v>
      </c>
      <c r="H19">
        <f>PasteBBM!AE19*PasteBBM!AF19</f>
        <v>5.663663692</v>
      </c>
      <c r="I19">
        <f>PasteBBM!AE19</f>
        <v>0.506704</v>
      </c>
      <c r="J19">
        <f>PasteBBM!AG19*PasteBBM!AH19</f>
        <v>3.496337878</v>
      </c>
      <c r="K19">
        <f>PasteBBM!AG19</f>
        <v>0.782006</v>
      </c>
      <c r="L19">
        <f>PasteBBM!Z19</f>
        <v>2.174085</v>
      </c>
      <c r="M19">
        <f>PasteBBM!Y19</f>
        <v>16.99775</v>
      </c>
      <c r="N19">
        <f>PasteBBM!AA19</f>
        <v>6.868028</v>
      </c>
      <c r="O19">
        <f>PasteBBM!AB19</f>
        <v>1.749577</v>
      </c>
      <c r="P19">
        <f>PasteBBM!AC19</f>
        <v>0.752676</v>
      </c>
      <c r="Q19">
        <f>PasteBBM!AD19</f>
        <v>2.35662</v>
      </c>
      <c r="R19">
        <f>PasteBBM!AI19</f>
        <v>1.616056</v>
      </c>
      <c r="S19">
        <f>PasteBBM!AE19</f>
        <v>0.506704</v>
      </c>
      <c r="T19">
        <f>PasteBBM!AG19</f>
        <v>0.782006</v>
      </c>
      <c r="V19" s="44">
        <v>0.534332</v>
      </c>
      <c r="W19" s="44">
        <v>0.069347</v>
      </c>
      <c r="X19" s="44">
        <v>0.315325</v>
      </c>
      <c r="Y19" s="44">
        <v>0.219007</v>
      </c>
      <c r="Z19" s="44">
        <v>0.518571</v>
      </c>
      <c r="AA19" s="45"/>
      <c r="AB19" s="46" t="s">
        <v>138</v>
      </c>
      <c r="AC19" s="44">
        <v>47.0</v>
      </c>
    </row>
    <row r="20">
      <c r="A20" s="2">
        <v>19.0</v>
      </c>
      <c r="B20" s="14">
        <f>IF(PasteBBM!B20="",156,PasteBBM!B20)</f>
        <v>9.714286</v>
      </c>
      <c r="C20" t="str">
        <f>PasteBBM!I20</f>
        <v>Karl-Anthony Towns</v>
      </c>
      <c r="D20" t="str">
        <f>IFERROR(REPLACE(PasteBBM!K20,FIND("/",PasteBBM!K20,1),1,","),PasteBBM!K20)</f>
        <v>PF,C</v>
      </c>
      <c r="E20" t="str">
        <f>PasteBBM!J20</f>
        <v>NYK</v>
      </c>
      <c r="F20">
        <f>PasteBBM!U20</f>
        <v>66</v>
      </c>
      <c r="G20">
        <f>PasteBBM!X20</f>
        <v>34</v>
      </c>
      <c r="H20">
        <f>PasteBBM!AE20*PasteBBM!AF20</f>
        <v>8.3539413</v>
      </c>
      <c r="I20">
        <f>PasteBBM!AE20</f>
        <v>0.513476</v>
      </c>
      <c r="J20">
        <f>PasteBBM!AG20*PasteBBM!AH20</f>
        <v>4.321061866</v>
      </c>
      <c r="K20">
        <f>PasteBBM!AG20</f>
        <v>0.830006</v>
      </c>
      <c r="L20">
        <f>PasteBBM!Z20</f>
        <v>2.223636</v>
      </c>
      <c r="M20">
        <f>PasteBBM!Y20</f>
        <v>23.25258</v>
      </c>
      <c r="N20">
        <f>PasteBBM!AA20</f>
        <v>10.16818</v>
      </c>
      <c r="O20">
        <f>PasteBBM!AB20</f>
        <v>3.786818</v>
      </c>
      <c r="P20">
        <f>PasteBBM!AC20</f>
        <v>0.905303</v>
      </c>
      <c r="Q20">
        <f>PasteBBM!AD20</f>
        <v>0.563788</v>
      </c>
      <c r="R20">
        <f>PasteBBM!AI20</f>
        <v>3.015303</v>
      </c>
      <c r="S20">
        <f>PasteBBM!AE20</f>
        <v>0.513476</v>
      </c>
      <c r="T20">
        <f>PasteBBM!AG20</f>
        <v>0.830006</v>
      </c>
      <c r="V20" s="44">
        <v>0.519712</v>
      </c>
      <c r="W20" s="44">
        <v>0.005845</v>
      </c>
      <c r="X20" s="44">
        <v>0.304761</v>
      </c>
      <c r="Y20" s="44">
        <v>0.214951</v>
      </c>
      <c r="Z20" s="44">
        <v>-0.16908</v>
      </c>
      <c r="AA20" s="45"/>
      <c r="AB20" s="46" t="s">
        <v>205</v>
      </c>
      <c r="AC20" s="44">
        <v>63.0</v>
      </c>
    </row>
    <row r="21">
      <c r="A21" s="2">
        <v>20.0</v>
      </c>
      <c r="B21" s="14">
        <f>IF(PasteBBM!B21="",156,PasteBBM!B21)</f>
        <v>6.814286</v>
      </c>
      <c r="C21" t="str">
        <f>PasteBBM!I21</f>
        <v>Anthony Edwards</v>
      </c>
      <c r="D21" t="str">
        <f>IFERROR(REPLACE(PasteBBM!K21,FIND("/",PasteBBM!K21,1),1,","),PasteBBM!K21)</f>
        <v>SG,SF</v>
      </c>
      <c r="E21" t="str">
        <f>PasteBBM!J21</f>
        <v>MIN</v>
      </c>
      <c r="F21">
        <f>PasteBBM!U21</f>
        <v>75</v>
      </c>
      <c r="G21">
        <f>PasteBBM!X21</f>
        <v>36</v>
      </c>
      <c r="H21">
        <f>PasteBBM!AE21*PasteBBM!AF21</f>
        <v>9.401337854</v>
      </c>
      <c r="I21">
        <f>PasteBBM!AE21</f>
        <v>0.455453</v>
      </c>
      <c r="J21">
        <f>PasteBBM!AG21*PasteBBM!AH21</f>
        <v>5.804003009</v>
      </c>
      <c r="K21">
        <f>PasteBBM!AG21</f>
        <v>0.827001</v>
      </c>
      <c r="L21">
        <f>PasteBBM!Z21</f>
        <v>3.5132</v>
      </c>
      <c r="M21">
        <f>PasteBBM!Y21</f>
        <v>28.11987</v>
      </c>
      <c r="N21">
        <f>PasteBBM!AA21</f>
        <v>5.420267</v>
      </c>
      <c r="O21">
        <f>PasteBBM!AB21</f>
        <v>5.1232</v>
      </c>
      <c r="P21">
        <f>PasteBBM!AC21</f>
        <v>1.113467</v>
      </c>
      <c r="Q21">
        <f>PasteBBM!AD21</f>
        <v>0.6684</v>
      </c>
      <c r="R21">
        <f>PasteBBM!AI21</f>
        <v>3.1928</v>
      </c>
      <c r="S21">
        <f>PasteBBM!AE21</f>
        <v>0.455453</v>
      </c>
      <c r="T21">
        <f>PasteBBM!AG21</f>
        <v>0.827001</v>
      </c>
      <c r="V21" s="44">
        <v>0.513705</v>
      </c>
      <c r="W21" s="44">
        <v>-0.04114</v>
      </c>
      <c r="X21" s="44">
        <v>0.437157</v>
      </c>
      <c r="Y21" s="44">
        <v>0.076548</v>
      </c>
      <c r="Z21" s="44">
        <v>-0.72663</v>
      </c>
      <c r="AA21" s="45"/>
      <c r="AB21" s="46" t="s">
        <v>161</v>
      </c>
      <c r="AC21" s="44">
        <v>10.0</v>
      </c>
    </row>
    <row r="22">
      <c r="A22" s="2">
        <v>21.0</v>
      </c>
      <c r="B22" s="14">
        <f>IF(PasteBBM!B22="",156,PasteBBM!B22)</f>
        <v>46.48571</v>
      </c>
      <c r="C22" t="str">
        <f>PasteBBM!I22</f>
        <v>Austin Reaves</v>
      </c>
      <c r="D22" t="str">
        <f>IFERROR(REPLACE(PasteBBM!K22,FIND("/",PasteBBM!K22,1),1,","),PasteBBM!K22)</f>
        <v>PG,SG/SF</v>
      </c>
      <c r="E22" t="str">
        <f>PasteBBM!J22</f>
        <v>LAL</v>
      </c>
      <c r="F22">
        <f>PasteBBM!U22</f>
        <v>66</v>
      </c>
      <c r="G22">
        <f>PasteBBM!X22</f>
        <v>35</v>
      </c>
      <c r="H22">
        <f>PasteBBM!AE22*PasteBBM!AF22</f>
        <v>6.791672412</v>
      </c>
      <c r="I22">
        <f>PasteBBM!AE22</f>
        <v>0.475199</v>
      </c>
      <c r="J22">
        <f>PasteBBM!AG22*PasteBBM!AH22</f>
        <v>4.913789915</v>
      </c>
      <c r="K22">
        <f>PasteBBM!AG22</f>
        <v>0.889008</v>
      </c>
      <c r="L22">
        <f>PasteBBM!Z22</f>
        <v>2.898333</v>
      </c>
      <c r="M22">
        <f>PasteBBM!Y22</f>
        <v>21.39545</v>
      </c>
      <c r="N22">
        <f>PasteBBM!AA22</f>
        <v>4.501818</v>
      </c>
      <c r="O22">
        <f>PasteBBM!AB22</f>
        <v>5.145</v>
      </c>
      <c r="P22">
        <f>PasteBBM!AC22</f>
        <v>1.066212</v>
      </c>
      <c r="Q22">
        <f>PasteBBM!AD22</f>
        <v>0.358636</v>
      </c>
      <c r="R22">
        <f>PasteBBM!AI22</f>
        <v>2.286667</v>
      </c>
      <c r="S22">
        <f>PasteBBM!AE22</f>
        <v>0.475199</v>
      </c>
      <c r="T22">
        <f>PasteBBM!AG22</f>
        <v>0.889008</v>
      </c>
      <c r="V22" s="44">
        <v>0.488826</v>
      </c>
      <c r="W22" s="44">
        <v>-0.04066</v>
      </c>
      <c r="X22" s="44">
        <v>0.23288</v>
      </c>
      <c r="Y22" s="44">
        <v>0.255947</v>
      </c>
      <c r="Z22" s="44">
        <v>-1.86032</v>
      </c>
      <c r="AA22" s="45"/>
      <c r="AB22" s="46" t="s">
        <v>177</v>
      </c>
      <c r="AC22" s="44">
        <v>39.0</v>
      </c>
    </row>
    <row r="23">
      <c r="A23" s="2">
        <v>22.0</v>
      </c>
      <c r="B23" s="14">
        <f>IF(PasteBBM!B23="",156,PasteBBM!B23)</f>
        <v>19.2</v>
      </c>
      <c r="C23" t="str">
        <f>PasteBBM!I23</f>
        <v>Amen Thompson</v>
      </c>
      <c r="D23" t="str">
        <f>IFERROR(REPLACE(PasteBBM!K23,FIND("/",PasteBBM!K23,1),1,","),PasteBBM!K23)</f>
        <v>SG,SF/PF</v>
      </c>
      <c r="E23" t="str">
        <f>PasteBBM!J23</f>
        <v>HOU</v>
      </c>
      <c r="F23">
        <f>PasteBBM!U23</f>
        <v>66</v>
      </c>
      <c r="G23">
        <f>PasteBBM!X23</f>
        <v>35</v>
      </c>
      <c r="H23">
        <f>PasteBBM!AE23*PasteBBM!AF23</f>
        <v>7.133936092</v>
      </c>
      <c r="I23">
        <f>PasteBBM!AE23</f>
        <v>0.559917</v>
      </c>
      <c r="J23">
        <f>PasteBBM!AG23*PasteBBM!AH23</f>
        <v>2.650001961</v>
      </c>
      <c r="K23">
        <f>PasteBBM!AG23</f>
        <v>0.649993</v>
      </c>
      <c r="L23">
        <f>PasteBBM!Z23</f>
        <v>0.460152</v>
      </c>
      <c r="M23">
        <f>PasteBBM!Y23</f>
        <v>17.37803</v>
      </c>
      <c r="N23">
        <f>PasteBBM!AA23</f>
        <v>8.248333</v>
      </c>
      <c r="O23">
        <f>PasteBBM!AB23</f>
        <v>6.407121</v>
      </c>
      <c r="P23">
        <f>PasteBBM!AC23</f>
        <v>1.472879</v>
      </c>
      <c r="Q23">
        <f>PasteBBM!AD23</f>
        <v>1.25197</v>
      </c>
      <c r="R23">
        <f>PasteBBM!AI23</f>
        <v>2.356667</v>
      </c>
      <c r="S23">
        <f>PasteBBM!AE23</f>
        <v>0.559917</v>
      </c>
      <c r="T23">
        <f>PasteBBM!AG23</f>
        <v>0.649993</v>
      </c>
      <c r="V23" s="44">
        <v>0.488454</v>
      </c>
      <c r="W23" s="44">
        <v>0.006669</v>
      </c>
      <c r="X23" s="44">
        <v>0.283748</v>
      </c>
      <c r="Y23" s="44">
        <v>0.204706</v>
      </c>
      <c r="Z23" s="44">
        <v>-2.65948</v>
      </c>
      <c r="AA23" s="45"/>
      <c r="AB23" s="46" t="s">
        <v>176</v>
      </c>
      <c r="AC23" s="44">
        <v>38.0</v>
      </c>
    </row>
    <row r="24">
      <c r="A24" s="2">
        <v>23.0</v>
      </c>
      <c r="B24" s="14">
        <f>IF(PasteBBM!B24="",156,PasteBBM!B24)</f>
        <v>34.05714</v>
      </c>
      <c r="C24" t="str">
        <f>PasteBBM!I24</f>
        <v>Derrick White</v>
      </c>
      <c r="D24" t="str">
        <f>IFERROR(REPLACE(PasteBBM!K24,FIND("/",PasteBBM!K24,1),1,","),PasteBBM!K24)</f>
        <v>PG,SG</v>
      </c>
      <c r="E24" t="str">
        <f>PasteBBM!J24</f>
        <v>BOS</v>
      </c>
      <c r="F24">
        <f>PasteBBM!U24</f>
        <v>62</v>
      </c>
      <c r="G24">
        <f>PasteBBM!X24</f>
        <v>33</v>
      </c>
      <c r="H24">
        <f>PasteBBM!AE24*PasteBBM!AF24</f>
        <v>6.058547764</v>
      </c>
      <c r="I24">
        <f>PasteBBM!AE24</f>
        <v>0.42993</v>
      </c>
      <c r="J24">
        <f>PasteBBM!AG24*PasteBBM!AH24</f>
        <v>2.847579124</v>
      </c>
      <c r="K24">
        <f>PasteBBM!AG24</f>
        <v>0.841997</v>
      </c>
      <c r="L24">
        <f>PasteBBM!Z24</f>
        <v>3.545484</v>
      </c>
      <c r="M24">
        <f>PasteBBM!Y24</f>
        <v>18.51016</v>
      </c>
      <c r="N24">
        <f>PasteBBM!AA24</f>
        <v>4.744516</v>
      </c>
      <c r="O24">
        <f>PasteBBM!AB24</f>
        <v>6.939677</v>
      </c>
      <c r="P24">
        <f>PasteBBM!AC24</f>
        <v>1.05629</v>
      </c>
      <c r="Q24">
        <f>PasteBBM!AD24</f>
        <v>0.920484</v>
      </c>
      <c r="R24">
        <f>PasteBBM!AI24</f>
        <v>2.336774</v>
      </c>
      <c r="S24">
        <f>PasteBBM!AE24</f>
        <v>0.42993</v>
      </c>
      <c r="T24">
        <f>PasteBBM!AG24</f>
        <v>0.841997</v>
      </c>
      <c r="V24" s="44">
        <v>0.480241</v>
      </c>
      <c r="W24" s="44">
        <v>0.005224</v>
      </c>
      <c r="X24" s="44">
        <v>0.493308</v>
      </c>
      <c r="Y24" s="44">
        <v>-0.01307</v>
      </c>
      <c r="Z24" s="44">
        <v>-0.00181</v>
      </c>
      <c r="AA24" s="45"/>
      <c r="AB24" s="46" t="s">
        <v>87</v>
      </c>
      <c r="AC24" s="44">
        <v>17.0</v>
      </c>
    </row>
    <row r="25">
      <c r="A25" s="2">
        <v>24.0</v>
      </c>
      <c r="B25" s="14">
        <f>IF(PasteBBM!B25="",156,PasteBBM!B25)</f>
        <v>23.72857</v>
      </c>
      <c r="C25" t="str">
        <f>PasteBBM!I25</f>
        <v>Jalen Johnson</v>
      </c>
      <c r="D25" t="str">
        <f>IFERROR(REPLACE(PasteBBM!K25,FIND("/",PasteBBM!K25,1),1,","),PasteBBM!K25)</f>
        <v>SF,PF</v>
      </c>
      <c r="E25" t="str">
        <f>PasteBBM!J25</f>
        <v>ATL</v>
      </c>
      <c r="F25">
        <f>PasteBBM!U25</f>
        <v>66</v>
      </c>
      <c r="G25">
        <f>PasteBBM!X25</f>
        <v>35</v>
      </c>
      <c r="H25">
        <f>PasteBBM!AE25*PasteBBM!AF25</f>
        <v>7.997265802</v>
      </c>
      <c r="I25">
        <f>PasteBBM!AE25</f>
        <v>0.514419</v>
      </c>
      <c r="J25">
        <f>PasteBBM!AG25*PasteBBM!AH25</f>
        <v>2.47545372</v>
      </c>
      <c r="K25">
        <f>PasteBBM!AG25</f>
        <v>0.752002</v>
      </c>
      <c r="L25">
        <f>PasteBBM!Z25</f>
        <v>1.14197</v>
      </c>
      <c r="M25">
        <f>PasteBBM!Y25</f>
        <v>19.61197</v>
      </c>
      <c r="N25">
        <f>PasteBBM!AA25</f>
        <v>9.251667</v>
      </c>
      <c r="O25">
        <f>PasteBBM!AB25</f>
        <v>5.156667</v>
      </c>
      <c r="P25">
        <f>PasteBBM!AC25</f>
        <v>1.372121</v>
      </c>
      <c r="Q25">
        <f>PasteBBM!AD25</f>
        <v>0.834242</v>
      </c>
      <c r="R25">
        <f>PasteBBM!AI25</f>
        <v>2.805909</v>
      </c>
      <c r="S25">
        <f>PasteBBM!AE25</f>
        <v>0.514419</v>
      </c>
      <c r="T25">
        <f>PasteBBM!AG25</f>
        <v>0.752002</v>
      </c>
      <c r="V25" s="44">
        <v>0.47679</v>
      </c>
      <c r="W25" s="44">
        <v>0.007704</v>
      </c>
      <c r="X25" s="44">
        <v>0.174286</v>
      </c>
      <c r="Y25" s="44">
        <v>0.302504</v>
      </c>
      <c r="Z25" s="44">
        <v>-0.94965</v>
      </c>
      <c r="AA25" s="45"/>
      <c r="AB25" s="46" t="s">
        <v>40</v>
      </c>
      <c r="AC25" s="44">
        <v>56.0</v>
      </c>
    </row>
    <row r="26">
      <c r="A26" s="2">
        <v>25.0</v>
      </c>
      <c r="B26" s="14">
        <f>IF(PasteBBM!B26="",156,PasteBBM!B26)</f>
        <v>6.9</v>
      </c>
      <c r="C26" t="str">
        <f>PasteBBM!I26</f>
        <v>Cade Cunningham</v>
      </c>
      <c r="D26" t="str">
        <f>IFERROR(REPLACE(PasteBBM!K26,FIND("/",PasteBBM!K26,1),1,","),PasteBBM!K26)</f>
        <v>PG,SG</v>
      </c>
      <c r="E26" t="str">
        <f>PasteBBM!J26</f>
        <v>DET</v>
      </c>
      <c r="F26">
        <f>PasteBBM!U26</f>
        <v>71</v>
      </c>
      <c r="G26">
        <f>PasteBBM!X26</f>
        <v>34</v>
      </c>
      <c r="H26">
        <f>PasteBBM!AE26*PasteBBM!AF26</f>
        <v>9.601263125</v>
      </c>
      <c r="I26">
        <f>PasteBBM!AE26</f>
        <v>0.479297</v>
      </c>
      <c r="J26">
        <f>PasteBBM!AG26*PasteBBM!AH26</f>
        <v>5.036479293</v>
      </c>
      <c r="K26">
        <f>PasteBBM!AG26</f>
        <v>0.86699</v>
      </c>
      <c r="L26">
        <f>PasteBBM!Z26</f>
        <v>1.782676</v>
      </c>
      <c r="M26">
        <f>PasteBBM!Y26</f>
        <v>26.02169</v>
      </c>
      <c r="N26">
        <f>PasteBBM!AA26</f>
        <v>5.580282</v>
      </c>
      <c r="O26">
        <f>PasteBBM!AB26</f>
        <v>8.513521</v>
      </c>
      <c r="P26">
        <f>PasteBBM!AC26</f>
        <v>1</v>
      </c>
      <c r="Q26">
        <f>PasteBBM!AD26</f>
        <v>0.644648</v>
      </c>
      <c r="R26">
        <f>PasteBBM!AI26</f>
        <v>3.863239</v>
      </c>
      <c r="S26">
        <f>PasteBBM!AE26</f>
        <v>0.479297</v>
      </c>
      <c r="T26">
        <f>PasteBBM!AG26</f>
        <v>0.86699</v>
      </c>
      <c r="V26" s="44">
        <v>0.46311</v>
      </c>
      <c r="W26" s="44">
        <v>0.027832</v>
      </c>
      <c r="X26" s="44">
        <v>0.268492</v>
      </c>
      <c r="Y26" s="44">
        <v>0.194618</v>
      </c>
      <c r="Z26" s="44">
        <v>-0.57795</v>
      </c>
      <c r="AA26" s="45"/>
      <c r="AB26" s="46" t="s">
        <v>201</v>
      </c>
      <c r="AC26" s="44">
        <v>40.0</v>
      </c>
    </row>
    <row r="27">
      <c r="A27" s="2">
        <v>26.0</v>
      </c>
      <c r="B27" s="14">
        <f>IF(PasteBBM!B27="",156,PasteBBM!B27)</f>
        <v>17.34286</v>
      </c>
      <c r="C27" t="str">
        <f>PasteBBM!I27</f>
        <v>Evan Mobley</v>
      </c>
      <c r="D27" t="str">
        <f>IFERROR(REPLACE(PasteBBM!K27,FIND("/",PasteBBM!K27,1),1,","),PasteBBM!K27)</f>
        <v>PF,C</v>
      </c>
      <c r="E27" t="str">
        <f>PasteBBM!J27</f>
        <v>CLE</v>
      </c>
      <c r="F27">
        <f>PasteBBM!U27</f>
        <v>71</v>
      </c>
      <c r="G27">
        <f>PasteBBM!X27</f>
        <v>31</v>
      </c>
      <c r="H27">
        <f>PasteBBM!AE27*PasteBBM!AF27</f>
        <v>7.12746122</v>
      </c>
      <c r="I27">
        <f>PasteBBM!AE27</f>
        <v>0.540946</v>
      </c>
      <c r="J27">
        <f>PasteBBM!AG27*PasteBBM!AH27</f>
        <v>3.383381808</v>
      </c>
      <c r="K27">
        <f>PasteBBM!AG27</f>
        <v>0.693997</v>
      </c>
      <c r="L27">
        <f>PasteBBM!Z27</f>
        <v>1.494225</v>
      </c>
      <c r="M27">
        <f>PasteBBM!Y27</f>
        <v>19.13254</v>
      </c>
      <c r="N27">
        <f>PasteBBM!AA27</f>
        <v>9.588732</v>
      </c>
      <c r="O27">
        <f>PasteBBM!AB27</f>
        <v>3.587606</v>
      </c>
      <c r="P27">
        <f>PasteBBM!AC27</f>
        <v>0.847606</v>
      </c>
      <c r="Q27">
        <f>PasteBBM!AD27</f>
        <v>1.696479</v>
      </c>
      <c r="R27">
        <f>PasteBBM!AI27</f>
        <v>2.087887</v>
      </c>
      <c r="S27">
        <f>PasteBBM!AE27</f>
        <v>0.540946</v>
      </c>
      <c r="T27">
        <f>PasteBBM!AG27</f>
        <v>0.693997</v>
      </c>
      <c r="V27" s="44">
        <v>0.431969</v>
      </c>
      <c r="W27" s="44">
        <v>0.005403</v>
      </c>
      <c r="X27" s="44">
        <v>0.265915</v>
      </c>
      <c r="Y27" s="44">
        <v>0.166053</v>
      </c>
      <c r="Z27" s="44">
        <v>-1.48862</v>
      </c>
      <c r="AA27" s="45"/>
      <c r="AB27" s="46" t="s">
        <v>178</v>
      </c>
      <c r="AC27" s="44">
        <v>54.0</v>
      </c>
    </row>
    <row r="28">
      <c r="A28" s="2">
        <v>27.0</v>
      </c>
      <c r="B28" s="14">
        <f>IF(PasteBBM!B28="",156,PasteBBM!B28)</f>
        <v>36.54286</v>
      </c>
      <c r="C28" t="str">
        <f>PasteBBM!I28</f>
        <v>Jamal Murray</v>
      </c>
      <c r="D28" t="str">
        <f>IFERROR(REPLACE(PasteBBM!K28,FIND("/",PasteBBM!K28,1),1,","),PasteBBM!K28)</f>
        <v>PG,SG</v>
      </c>
      <c r="E28" t="str">
        <f>PasteBBM!J28</f>
        <v>DEN</v>
      </c>
      <c r="F28">
        <f>PasteBBM!U28</f>
        <v>66</v>
      </c>
      <c r="G28">
        <f>PasteBBM!X28</f>
        <v>35</v>
      </c>
      <c r="H28">
        <f>PasteBBM!AE28*PasteBBM!AF28</f>
        <v>8.07257737</v>
      </c>
      <c r="I28">
        <f>PasteBBM!AE28</f>
        <v>0.472474</v>
      </c>
      <c r="J28">
        <f>PasteBBM!AG28*PasteBBM!AH28</f>
        <v>3.473789273</v>
      </c>
      <c r="K28">
        <f>PasteBBM!AG28</f>
        <v>0.883984</v>
      </c>
      <c r="L28">
        <f>PasteBBM!Z28</f>
        <v>2.417273</v>
      </c>
      <c r="M28">
        <f>PasteBBM!Y28</f>
        <v>22.03621</v>
      </c>
      <c r="N28">
        <f>PasteBBM!AA28</f>
        <v>4.124091</v>
      </c>
      <c r="O28">
        <f>PasteBBM!AB28</f>
        <v>6.407121</v>
      </c>
      <c r="P28">
        <f>PasteBBM!AC28</f>
        <v>1.169091</v>
      </c>
      <c r="Q28">
        <f>PasteBBM!AD28</f>
        <v>0.444394</v>
      </c>
      <c r="R28">
        <f>PasteBBM!AI28</f>
        <v>2.430303</v>
      </c>
      <c r="S28">
        <f>PasteBBM!AE28</f>
        <v>0.472474</v>
      </c>
      <c r="T28">
        <f>PasteBBM!AG28</f>
        <v>0.883984</v>
      </c>
      <c r="V28" s="44">
        <v>0.38643</v>
      </c>
      <c r="W28" s="44">
        <v>0.024516</v>
      </c>
      <c r="X28" s="44">
        <v>0.138978</v>
      </c>
      <c r="Y28" s="44">
        <v>0.247452</v>
      </c>
      <c r="Z28" s="44">
        <v>0.602204</v>
      </c>
      <c r="AA28" s="45"/>
      <c r="AB28" s="46" t="s">
        <v>152</v>
      </c>
      <c r="AC28" s="44">
        <v>61.0</v>
      </c>
    </row>
    <row r="29">
      <c r="A29" s="2">
        <v>28.0</v>
      </c>
      <c r="B29" s="14">
        <f>IF(PasteBBM!B29="",156,PasteBBM!B29)</f>
        <v>10.48571</v>
      </c>
      <c r="C29" t="str">
        <f>PasteBBM!I29</f>
        <v>Trae Young</v>
      </c>
      <c r="D29" t="str">
        <f>IFERROR(REPLACE(PasteBBM!K29,FIND("/",PasteBBM!K29,1),1,","),PasteBBM!K29)</f>
        <v>PG</v>
      </c>
      <c r="E29" t="str">
        <f>PasteBBM!J29</f>
        <v>ATL</v>
      </c>
      <c r="F29">
        <f>PasteBBM!U29</f>
        <v>75</v>
      </c>
      <c r="G29">
        <f>PasteBBM!X29</f>
        <v>36</v>
      </c>
      <c r="H29">
        <f>PasteBBM!AE29*PasteBBM!AF29</f>
        <v>7.85279758</v>
      </c>
      <c r="I29">
        <f>PasteBBM!AE29</f>
        <v>0.419481</v>
      </c>
      <c r="J29">
        <f>PasteBBM!AG29*PasteBBM!AH29</f>
        <v>6.798933992</v>
      </c>
      <c r="K29">
        <f>PasteBBM!AG29</f>
        <v>0.884004</v>
      </c>
      <c r="L29">
        <f>PasteBBM!Z29</f>
        <v>3.189867</v>
      </c>
      <c r="M29">
        <f>PasteBBM!Y29</f>
        <v>25.6944</v>
      </c>
      <c r="N29">
        <f>PasteBBM!AA29</f>
        <v>2.886</v>
      </c>
      <c r="O29">
        <f>PasteBBM!AB29</f>
        <v>11.7352</v>
      </c>
      <c r="P29">
        <f>PasteBBM!AC29</f>
        <v>1.171467</v>
      </c>
      <c r="Q29">
        <f>PasteBBM!AD29</f>
        <v>0.077867</v>
      </c>
      <c r="R29">
        <f>PasteBBM!AI29</f>
        <v>4.29</v>
      </c>
      <c r="S29">
        <f>PasteBBM!AE29</f>
        <v>0.419481</v>
      </c>
      <c r="T29">
        <f>PasteBBM!AG29</f>
        <v>0.884004</v>
      </c>
      <c r="V29" s="44">
        <v>0.363096</v>
      </c>
      <c r="W29" s="44">
        <v>0.004804</v>
      </c>
      <c r="X29" s="44">
        <v>0.055879</v>
      </c>
      <c r="Y29" s="44">
        <v>0.307218</v>
      </c>
      <c r="Z29" s="44">
        <v>-1.08904</v>
      </c>
      <c r="AA29" s="45"/>
      <c r="AB29" s="46" t="s">
        <v>128</v>
      </c>
      <c r="AC29" s="44">
        <v>73.0</v>
      </c>
    </row>
    <row r="30">
      <c r="A30" s="2">
        <v>29.0</v>
      </c>
      <c r="B30" s="14">
        <f>IF(PasteBBM!B30="",156,PasteBBM!B30)</f>
        <v>66.64286</v>
      </c>
      <c r="C30" t="str">
        <f>PasteBBM!I30</f>
        <v>Tyler Herro</v>
      </c>
      <c r="D30" t="str">
        <f>IFERROR(REPLACE(PasteBBM!K30,FIND("/",PasteBBM!K30,1),1,","),PasteBBM!K30)</f>
        <v>PG,SG</v>
      </c>
      <c r="E30" t="str">
        <f>PasteBBM!J30</f>
        <v>MIA</v>
      </c>
      <c r="F30">
        <f>PasteBBM!U30</f>
        <v>45</v>
      </c>
      <c r="G30">
        <f>PasteBBM!X30</f>
        <v>34</v>
      </c>
      <c r="H30">
        <f>PasteBBM!AE30*PasteBBM!AF30</f>
        <v>8.117329952</v>
      </c>
      <c r="I30">
        <f>PasteBBM!AE30</f>
        <v>0.4832</v>
      </c>
      <c r="J30">
        <f>PasteBBM!AG30*PasteBBM!AH30</f>
        <v>4.485331863</v>
      </c>
      <c r="K30">
        <f>PasteBBM!AG30</f>
        <v>0.889986</v>
      </c>
      <c r="L30">
        <f>PasteBBM!Z30</f>
        <v>2.425778</v>
      </c>
      <c r="M30">
        <f>PasteBBM!Y30</f>
        <v>23.14578</v>
      </c>
      <c r="N30">
        <f>PasteBBM!AA30</f>
        <v>4.789778</v>
      </c>
      <c r="O30">
        <f>PasteBBM!AB30</f>
        <v>5.553333</v>
      </c>
      <c r="P30">
        <f>PasteBBM!AC30</f>
        <v>1.04</v>
      </c>
      <c r="Q30">
        <f>PasteBBM!AD30</f>
        <v>0.278</v>
      </c>
      <c r="R30">
        <f>PasteBBM!AI30</f>
        <v>2.500889</v>
      </c>
      <c r="S30">
        <f>PasteBBM!AE30</f>
        <v>0.4832</v>
      </c>
      <c r="T30">
        <f>PasteBBM!AG30</f>
        <v>0.889986</v>
      </c>
      <c r="V30" s="44">
        <v>0.342497</v>
      </c>
      <c r="W30" s="44">
        <v>0.004249</v>
      </c>
      <c r="X30" s="44">
        <v>0.214288</v>
      </c>
      <c r="Y30" s="44">
        <v>0.128209</v>
      </c>
      <c r="Z30" s="44">
        <v>0.36989</v>
      </c>
      <c r="AA30" s="45"/>
      <c r="AB30" s="46" t="s">
        <v>89</v>
      </c>
      <c r="AC30" s="44">
        <v>29.0</v>
      </c>
    </row>
    <row r="31">
      <c r="A31" s="2">
        <v>30.0</v>
      </c>
      <c r="B31" s="14">
        <f>IF(PasteBBM!B31="",156,PasteBBM!B31)</f>
        <v>31.52857</v>
      </c>
      <c r="C31" t="str">
        <f>PasteBBM!I31</f>
        <v>Bam Adebayo</v>
      </c>
      <c r="D31" t="str">
        <f>IFERROR(REPLACE(PasteBBM!K31,FIND("/",PasteBBM!K31,1),1,","),PasteBBM!K31)</f>
        <v>PF,C</v>
      </c>
      <c r="E31" t="str">
        <f>PasteBBM!J31</f>
        <v>MIA</v>
      </c>
      <c r="F31">
        <f>PasteBBM!U31</f>
        <v>71</v>
      </c>
      <c r="G31">
        <f>PasteBBM!X31</f>
        <v>34</v>
      </c>
      <c r="H31">
        <f>PasteBBM!AE31*PasteBBM!AF31</f>
        <v>7.390842934</v>
      </c>
      <c r="I31">
        <f>PasteBBM!AE31</f>
        <v>0.479596</v>
      </c>
      <c r="J31">
        <f>PasteBBM!AG31*PasteBBM!AH31</f>
        <v>3.4142258</v>
      </c>
      <c r="K31">
        <f>PasteBBM!AG31</f>
        <v>0.794006</v>
      </c>
      <c r="L31">
        <f>PasteBBM!Z31</f>
        <v>1.322113</v>
      </c>
      <c r="M31">
        <f>PasteBBM!Y31</f>
        <v>19.51803</v>
      </c>
      <c r="N31">
        <f>PasteBBM!AA31</f>
        <v>8.468873</v>
      </c>
      <c r="O31">
        <f>PasteBBM!AB31</f>
        <v>4.373239</v>
      </c>
      <c r="P31">
        <f>PasteBBM!AC31</f>
        <v>1.318873</v>
      </c>
      <c r="Q31">
        <f>PasteBBM!AD31</f>
        <v>0.556197</v>
      </c>
      <c r="R31">
        <f>PasteBBM!AI31</f>
        <v>1.735352</v>
      </c>
      <c r="S31">
        <f>PasteBBM!AE31</f>
        <v>0.479596</v>
      </c>
      <c r="T31">
        <f>PasteBBM!AG31</f>
        <v>0.794006</v>
      </c>
      <c r="V31" s="44">
        <v>0.33873</v>
      </c>
      <c r="W31" s="44">
        <v>0.004357</v>
      </c>
      <c r="X31" s="44">
        <v>0.250373</v>
      </c>
      <c r="Y31" s="44">
        <v>0.088358</v>
      </c>
      <c r="Z31" s="44">
        <v>-0.93107</v>
      </c>
      <c r="AA31" s="45"/>
      <c r="AB31" s="46" t="s">
        <v>124</v>
      </c>
      <c r="AC31" s="44">
        <v>20.0</v>
      </c>
    </row>
    <row r="32">
      <c r="A32" s="2">
        <v>31.0</v>
      </c>
      <c r="B32" s="14">
        <f>IF(PasteBBM!B32="",156,PasteBBM!B32)</f>
        <v>61.4</v>
      </c>
      <c r="C32" t="str">
        <f>PasteBBM!I32</f>
        <v>O.G. Anunoby</v>
      </c>
      <c r="D32" t="str">
        <f>IFERROR(REPLACE(PasteBBM!K32,FIND("/",PasteBBM!K32,1),1,","),PasteBBM!K32)</f>
        <v>PF</v>
      </c>
      <c r="E32" t="str">
        <f>PasteBBM!J32</f>
        <v>NYK</v>
      </c>
      <c r="F32">
        <f>PasteBBM!U32</f>
        <v>66</v>
      </c>
      <c r="G32">
        <f>PasteBBM!X32</f>
        <v>35</v>
      </c>
      <c r="H32">
        <f>PasteBBM!AE32*PasteBBM!AF32</f>
        <v>6.639846021</v>
      </c>
      <c r="I32">
        <f>PasteBBM!AE32</f>
        <v>0.476606</v>
      </c>
      <c r="J32">
        <f>PasteBBM!AG32*PasteBBM!AH32</f>
        <v>2.970452884</v>
      </c>
      <c r="K32">
        <f>PasteBBM!AG32</f>
        <v>0.820018</v>
      </c>
      <c r="L32">
        <f>PasteBBM!Z32</f>
        <v>2.382424</v>
      </c>
      <c r="M32">
        <f>PasteBBM!Y32</f>
        <v>18.63258</v>
      </c>
      <c r="N32">
        <f>PasteBBM!AA32</f>
        <v>4.62</v>
      </c>
      <c r="O32">
        <f>PasteBBM!AB32</f>
        <v>2.382121</v>
      </c>
      <c r="P32">
        <f>PasteBBM!AC32</f>
        <v>1.510909</v>
      </c>
      <c r="Q32">
        <f>PasteBBM!AD32</f>
        <v>0.868333</v>
      </c>
      <c r="R32">
        <f>PasteBBM!AI32</f>
        <v>1.515909</v>
      </c>
      <c r="S32">
        <f>PasteBBM!AE32</f>
        <v>0.476606</v>
      </c>
      <c r="T32">
        <f>PasteBBM!AG32</f>
        <v>0.820018</v>
      </c>
      <c r="V32" s="44">
        <v>0.335706</v>
      </c>
      <c r="W32" s="44">
        <v>0.007708</v>
      </c>
      <c r="X32" s="44">
        <v>0.135694</v>
      </c>
      <c r="Y32" s="44">
        <v>0.200012</v>
      </c>
      <c r="Z32" s="44">
        <v>-1.34923</v>
      </c>
      <c r="AA32" s="45"/>
      <c r="AB32" s="46" t="s">
        <v>43</v>
      </c>
      <c r="AC32" s="44">
        <v>93.0</v>
      </c>
    </row>
    <row r="33">
      <c r="A33" s="2">
        <v>32.0</v>
      </c>
      <c r="B33" s="14">
        <f>IF(PasteBBM!B33="",156,PasteBBM!B33)</f>
        <v>22.3</v>
      </c>
      <c r="C33" t="str">
        <f>PasteBBM!I33</f>
        <v>Jalen Williams</v>
      </c>
      <c r="D33" t="str">
        <f>IFERROR(REPLACE(PasteBBM!K33,FIND("/",PasteBBM!K33,1),1,","),PasteBBM!K33)</f>
        <v>SG,SF/PF</v>
      </c>
      <c r="E33" t="str">
        <f>PasteBBM!J33</f>
        <v>OKC</v>
      </c>
      <c r="F33">
        <f>PasteBBM!U33</f>
        <v>71</v>
      </c>
      <c r="G33">
        <f>PasteBBM!X33</f>
        <v>32</v>
      </c>
      <c r="H33">
        <f>PasteBBM!AE33*PasteBBM!AF33</f>
        <v>8.236192654</v>
      </c>
      <c r="I33">
        <f>PasteBBM!AE33</f>
        <v>0.49844</v>
      </c>
      <c r="J33">
        <f>PasteBBM!AG33*PasteBBM!AH33</f>
        <v>3.965776143</v>
      </c>
      <c r="K33">
        <f>PasteBBM!AG33</f>
        <v>0.800006</v>
      </c>
      <c r="L33">
        <f>PasteBBM!Z33</f>
        <v>1.762817</v>
      </c>
      <c r="M33">
        <f>PasteBBM!Y33</f>
        <v>22.20099</v>
      </c>
      <c r="N33">
        <f>PasteBBM!AA33</f>
        <v>5.031972</v>
      </c>
      <c r="O33">
        <f>PasteBBM!AB33</f>
        <v>4.76</v>
      </c>
      <c r="P33">
        <f>PasteBBM!AC33</f>
        <v>1.36</v>
      </c>
      <c r="Q33">
        <f>PasteBBM!AD33</f>
        <v>0.476056</v>
      </c>
      <c r="R33">
        <f>PasteBBM!AI33</f>
        <v>1.903944</v>
      </c>
      <c r="S33">
        <f>PasteBBM!AE33</f>
        <v>0.49844</v>
      </c>
      <c r="T33">
        <f>PasteBBM!AG33</f>
        <v>0.800006</v>
      </c>
      <c r="V33" s="44">
        <v>0.329109</v>
      </c>
      <c r="W33" s="44">
        <v>0.004477</v>
      </c>
      <c r="X33" s="44">
        <v>0.346789</v>
      </c>
      <c r="Y33" s="44">
        <v>-0.01768</v>
      </c>
      <c r="Z33" s="44">
        <v>-0.15049</v>
      </c>
      <c r="AA33" s="45"/>
      <c r="AB33" s="46" t="s">
        <v>162</v>
      </c>
      <c r="AC33" s="44">
        <v>27.0</v>
      </c>
    </row>
    <row r="34">
      <c r="A34" s="2">
        <v>33.0</v>
      </c>
      <c r="B34" s="14">
        <f>IF(PasteBBM!B34="",156,PasteBBM!B34)</f>
        <v>25.88571</v>
      </c>
      <c r="C34" t="str">
        <f>PasteBBM!I34</f>
        <v>Josh Giddey</v>
      </c>
      <c r="D34" t="str">
        <f>IFERROR(REPLACE(PasteBBM!K34,FIND("/",PasteBBM!K34,1),1,","),PasteBBM!K34)</f>
        <v>PG,SG</v>
      </c>
      <c r="E34" t="str">
        <f>PasteBBM!J34</f>
        <v>CHI</v>
      </c>
      <c r="F34">
        <f>PasteBBM!U34</f>
        <v>71</v>
      </c>
      <c r="G34">
        <f>PasteBBM!X34</f>
        <v>33</v>
      </c>
      <c r="H34">
        <f>PasteBBM!AE34*PasteBBM!AF34</f>
        <v>6.649715076</v>
      </c>
      <c r="I34">
        <f>PasteBBM!AE34</f>
        <v>0.472399</v>
      </c>
      <c r="J34">
        <f>PasteBBM!AG34*PasteBBM!AH34</f>
        <v>4.241831773</v>
      </c>
      <c r="K34">
        <f>PasteBBM!AG34</f>
        <v>0.792991</v>
      </c>
      <c r="L34">
        <f>PasteBBM!Z34</f>
        <v>1.579718</v>
      </c>
      <c r="M34">
        <f>PasteBBM!Y34</f>
        <v>19.12099</v>
      </c>
      <c r="N34">
        <f>PasteBBM!AA34</f>
        <v>9.384366</v>
      </c>
      <c r="O34">
        <f>PasteBBM!AB34</f>
        <v>8.590282</v>
      </c>
      <c r="P34">
        <f>PasteBBM!AC34</f>
        <v>1.15507</v>
      </c>
      <c r="Q34">
        <f>PasteBBM!AD34</f>
        <v>0.720423</v>
      </c>
      <c r="R34">
        <f>PasteBBM!AI34</f>
        <v>3.537183</v>
      </c>
      <c r="S34">
        <f>PasteBBM!AE34</f>
        <v>0.472399</v>
      </c>
      <c r="T34">
        <f>PasteBBM!AG34</f>
        <v>0.792991</v>
      </c>
      <c r="V34" s="44">
        <v>0.326329</v>
      </c>
      <c r="W34" s="44">
        <v>0.01088</v>
      </c>
      <c r="X34" s="44">
        <v>0.292316</v>
      </c>
      <c r="Y34" s="44">
        <v>0.034013</v>
      </c>
      <c r="Z34" s="44">
        <v>0.964613</v>
      </c>
      <c r="AA34" s="45"/>
      <c r="AB34" s="46" t="s">
        <v>125</v>
      </c>
      <c r="AC34" s="44">
        <v>43.0</v>
      </c>
    </row>
    <row r="35">
      <c r="A35" s="2">
        <v>34.0</v>
      </c>
      <c r="B35" s="14">
        <f>IF(PasteBBM!B35="",156,PasteBBM!B35)</f>
        <v>71.8</v>
      </c>
      <c r="C35" t="str">
        <f>PasteBBM!I35</f>
        <v>Jakob Poeltl</v>
      </c>
      <c r="D35" t="str">
        <f>IFERROR(REPLACE(PasteBBM!K35,FIND("/",PasteBBM!K35,1),1,","),PasteBBM!K35)</f>
        <v>C</v>
      </c>
      <c r="E35" t="str">
        <f>PasteBBM!J35</f>
        <v>TOR</v>
      </c>
      <c r="F35">
        <f>PasteBBM!U35</f>
        <v>66</v>
      </c>
      <c r="G35">
        <f>PasteBBM!X35</f>
        <v>30</v>
      </c>
      <c r="H35">
        <f>PasteBBM!AE35*PasteBBM!AF35</f>
        <v>5.861813987</v>
      </c>
      <c r="I35">
        <f>PasteBBM!AE35</f>
        <v>0.659799</v>
      </c>
      <c r="J35">
        <f>PasteBBM!AG35*PasteBBM!AH35</f>
        <v>1.183332359</v>
      </c>
      <c r="K35">
        <f>PasteBBM!AG35</f>
        <v>0.665984</v>
      </c>
      <c r="L35">
        <f>PasteBBM!Z35</f>
        <v>0.024848</v>
      </c>
      <c r="M35">
        <f>PasteBBM!Y35</f>
        <v>12.93182</v>
      </c>
      <c r="N35">
        <f>PasteBBM!AA35</f>
        <v>9.849394</v>
      </c>
      <c r="O35">
        <f>PasteBBM!AB35</f>
        <v>2.896818</v>
      </c>
      <c r="P35">
        <f>PasteBBM!AC35</f>
        <v>1.03</v>
      </c>
      <c r="Q35">
        <f>PasteBBM!AD35</f>
        <v>1.399091</v>
      </c>
      <c r="R35">
        <f>PasteBBM!AI35</f>
        <v>1.673788</v>
      </c>
      <c r="S35">
        <f>PasteBBM!AE35</f>
        <v>0.659799</v>
      </c>
      <c r="T35">
        <f>PasteBBM!AG35</f>
        <v>0.665984</v>
      </c>
      <c r="V35" s="44">
        <v>0.322344</v>
      </c>
      <c r="W35" s="44">
        <v>0.002424</v>
      </c>
      <c r="X35" s="44">
        <v>0.400929</v>
      </c>
      <c r="Y35" s="44">
        <v>-0.07858</v>
      </c>
      <c r="Z35" s="44">
        <v>-3.07765</v>
      </c>
      <c r="AA35" s="45"/>
      <c r="AB35" s="46" t="s">
        <v>54</v>
      </c>
      <c r="AC35" s="44">
        <v>61.0</v>
      </c>
    </row>
    <row r="36">
      <c r="A36" s="2">
        <v>35.0</v>
      </c>
      <c r="B36" s="14">
        <f>IF(PasteBBM!B36="",156,PasteBBM!B36)</f>
        <v>22.72857</v>
      </c>
      <c r="C36" t="str">
        <f>PasteBBM!I36</f>
        <v>Chet Holmgren</v>
      </c>
      <c r="D36" t="str">
        <f>IFERROR(REPLACE(PasteBBM!K36,FIND("/",PasteBBM!K36,1),1,","),PasteBBM!K36)</f>
        <v>PF,C</v>
      </c>
      <c r="E36" t="str">
        <f>PasteBBM!J36</f>
        <v>OKC</v>
      </c>
      <c r="F36">
        <f>PasteBBM!U36</f>
        <v>60</v>
      </c>
      <c r="G36">
        <f>PasteBBM!X36</f>
        <v>30</v>
      </c>
      <c r="H36">
        <f>PasteBBM!AE36*PasteBBM!AF36</f>
        <v>5.920495913</v>
      </c>
      <c r="I36">
        <f>PasteBBM!AE36</f>
        <v>0.515955</v>
      </c>
      <c r="J36">
        <f>PasteBBM!AG36*PasteBBM!AH36</f>
        <v>3.419000737</v>
      </c>
      <c r="K36">
        <f>PasteBBM!AG36</f>
        <v>0.763994</v>
      </c>
      <c r="L36">
        <f>PasteBBM!Z36</f>
        <v>1.498167</v>
      </c>
      <c r="M36">
        <f>PasteBBM!Y36</f>
        <v>16.75817</v>
      </c>
      <c r="N36">
        <f>PasteBBM!AA36</f>
        <v>8.2875</v>
      </c>
      <c r="O36">
        <f>PasteBBM!AB36</f>
        <v>2.248</v>
      </c>
      <c r="P36">
        <f>PasteBBM!AC36</f>
        <v>0.7765</v>
      </c>
      <c r="Q36">
        <f>PasteBBM!AD36</f>
        <v>2.04</v>
      </c>
      <c r="R36">
        <f>PasteBBM!AI36</f>
        <v>1.770167</v>
      </c>
      <c r="S36">
        <f>PasteBBM!AE36</f>
        <v>0.515955</v>
      </c>
      <c r="T36">
        <f>PasteBBM!AG36</f>
        <v>0.763994</v>
      </c>
      <c r="V36" s="44">
        <v>0.320662</v>
      </c>
      <c r="W36" s="44">
        <v>-0.0621</v>
      </c>
      <c r="X36" s="44">
        <v>0.115652</v>
      </c>
      <c r="Y36" s="44">
        <v>0.20501</v>
      </c>
      <c r="Z36" s="44">
        <v>1.373486</v>
      </c>
      <c r="AA36" s="45"/>
      <c r="AB36" s="46" t="s">
        <v>179</v>
      </c>
      <c r="AC36" s="44">
        <v>70.0</v>
      </c>
    </row>
    <row r="37">
      <c r="A37" s="2">
        <v>36.0</v>
      </c>
      <c r="B37" s="14">
        <f>IF(PasteBBM!B37="",156,PasteBBM!B37)</f>
        <v>43.8</v>
      </c>
      <c r="C37" t="str">
        <f>PasteBBM!I37</f>
        <v>Trey Murphy</v>
      </c>
      <c r="D37" t="str">
        <f>IFERROR(REPLACE(PasteBBM!K37,FIND("/",PasteBBM!K37,1),1,","),PasteBBM!K37)</f>
        <v>SF,PF</v>
      </c>
      <c r="E37" t="str">
        <f>PasteBBM!J37</f>
        <v>NOR</v>
      </c>
      <c r="F37">
        <f>PasteBBM!U37</f>
        <v>64</v>
      </c>
      <c r="G37">
        <f>PasteBBM!X37</f>
        <v>34</v>
      </c>
      <c r="H37">
        <f>PasteBBM!AE37*PasteBBM!AF37</f>
        <v>6.999534258</v>
      </c>
      <c r="I37">
        <f>PasteBBM!AE37</f>
        <v>0.468123</v>
      </c>
      <c r="J37">
        <f>PasteBBM!AG37*PasteBBM!AH37</f>
        <v>3.129218082</v>
      </c>
      <c r="K37">
        <f>PasteBBM!AG37</f>
        <v>0.87199</v>
      </c>
      <c r="L37">
        <f>PasteBBM!Z37</f>
        <v>3.043906</v>
      </c>
      <c r="M37">
        <f>PasteBBM!Y37</f>
        <v>20.17219</v>
      </c>
      <c r="N37">
        <f>PasteBBM!AA37</f>
        <v>5.079531</v>
      </c>
      <c r="O37">
        <f>PasteBBM!AB37</f>
        <v>3.219375</v>
      </c>
      <c r="P37">
        <f>PasteBBM!AC37</f>
        <v>0.995313</v>
      </c>
      <c r="Q37">
        <f>PasteBBM!AD37</f>
        <v>0.646719</v>
      </c>
      <c r="R37">
        <f>PasteBBM!AI37</f>
        <v>1.573906</v>
      </c>
      <c r="S37">
        <f>PasteBBM!AE37</f>
        <v>0.468123</v>
      </c>
      <c r="T37">
        <f>PasteBBM!AG37</f>
        <v>0.87199</v>
      </c>
      <c r="V37" s="44">
        <v>0.295273</v>
      </c>
      <c r="W37" s="44">
        <v>0.019975</v>
      </c>
      <c r="X37" s="44">
        <v>0.168387</v>
      </c>
      <c r="Y37" s="44">
        <v>0.126886</v>
      </c>
      <c r="Z37" s="44">
        <v>-0.15979</v>
      </c>
      <c r="AA37" s="45"/>
      <c r="AB37" s="46" t="s">
        <v>203</v>
      </c>
      <c r="AC37" s="44">
        <v>52.0</v>
      </c>
    </row>
    <row r="38">
      <c r="A38" s="2">
        <v>37.0</v>
      </c>
      <c r="B38" s="14">
        <f>IF(PasteBBM!B38="",156,PasteBBM!B38)</f>
        <v>77.75714</v>
      </c>
      <c r="C38" t="str">
        <f>PasteBBM!I38</f>
        <v>Ausar Thompson</v>
      </c>
      <c r="D38" t="str">
        <f>IFERROR(REPLACE(PasteBBM!K38,FIND("/",PasteBBM!K38,1),1,","),PasteBBM!K38)</f>
        <v>SF,PF</v>
      </c>
      <c r="E38" t="str">
        <f>PasteBBM!J38</f>
        <v>DET</v>
      </c>
      <c r="F38">
        <f>PasteBBM!U38</f>
        <v>66</v>
      </c>
      <c r="G38">
        <f>PasteBBM!X38</f>
        <v>30</v>
      </c>
      <c r="H38">
        <f>PasteBBM!AE38*PasteBBM!AF38</f>
        <v>5.451671279</v>
      </c>
      <c r="I38">
        <f>PasteBBM!AE38</f>
        <v>0.523406</v>
      </c>
      <c r="J38">
        <f>PasteBBM!AG38*PasteBBM!AH38</f>
        <v>2.361970852</v>
      </c>
      <c r="K38">
        <f>PasteBBM!AG38</f>
        <v>0.687983</v>
      </c>
      <c r="L38">
        <f>PasteBBM!Z38</f>
        <v>0.255152</v>
      </c>
      <c r="M38">
        <f>PasteBBM!Y38</f>
        <v>13.52045</v>
      </c>
      <c r="N38">
        <f>PasteBBM!AA38</f>
        <v>6.565</v>
      </c>
      <c r="O38">
        <f>PasteBBM!AB38</f>
        <v>3.282424</v>
      </c>
      <c r="P38">
        <f>PasteBBM!AC38</f>
        <v>2.09697</v>
      </c>
      <c r="Q38">
        <f>PasteBBM!AD38</f>
        <v>1.073182</v>
      </c>
      <c r="R38">
        <f>PasteBBM!AI38</f>
        <v>1.546061</v>
      </c>
      <c r="S38">
        <f>PasteBBM!AE38</f>
        <v>0.523406</v>
      </c>
      <c r="T38">
        <f>PasteBBM!AG38</f>
        <v>0.687983</v>
      </c>
      <c r="V38" s="44">
        <v>0.289214</v>
      </c>
      <c r="W38" s="44">
        <v>0.006392</v>
      </c>
      <c r="X38" s="44">
        <v>0.036394</v>
      </c>
      <c r="Y38" s="44">
        <v>0.25282</v>
      </c>
      <c r="Z38" s="44">
        <v>0.481401</v>
      </c>
      <c r="AA38" s="45"/>
      <c r="AB38" s="46" t="s">
        <v>219</v>
      </c>
      <c r="AC38" s="44">
        <v>72.0</v>
      </c>
    </row>
    <row r="39">
      <c r="A39" s="2">
        <v>38.0</v>
      </c>
      <c r="B39" s="14">
        <f>IF(PasteBBM!B39="",156,PasteBBM!B39)</f>
        <v>66.84286</v>
      </c>
      <c r="C39" t="str">
        <f>PasteBBM!I39</f>
        <v>Payton Pritchard</v>
      </c>
      <c r="D39" t="str">
        <f>IFERROR(REPLACE(PasteBBM!K39,FIND("/",PasteBBM!K39,1),1,","),PasteBBM!K39)</f>
        <v>PG</v>
      </c>
      <c r="E39" t="str">
        <f>PasteBBM!J39</f>
        <v>BOS</v>
      </c>
      <c r="F39">
        <f>PasteBBM!U39</f>
        <v>64</v>
      </c>
      <c r="G39">
        <f>PasteBBM!X39</f>
        <v>32</v>
      </c>
      <c r="H39">
        <f>PasteBBM!AE39*PasteBBM!AF39</f>
        <v>6.669688841</v>
      </c>
      <c r="I39">
        <f>PasteBBM!AE39</f>
        <v>0.473789</v>
      </c>
      <c r="J39">
        <f>PasteBBM!AG39*PasteBBM!AH39</f>
        <v>1.313124974</v>
      </c>
      <c r="K39">
        <f>PasteBBM!AG39</f>
        <v>0.848032</v>
      </c>
      <c r="L39">
        <f>PasteBBM!Z39</f>
        <v>4.053438</v>
      </c>
      <c r="M39">
        <f>PasteBBM!Y39</f>
        <v>18.70594</v>
      </c>
      <c r="N39">
        <f>PasteBBM!AA39</f>
        <v>4.737969</v>
      </c>
      <c r="O39">
        <f>PasteBBM!AB39</f>
        <v>4.944063</v>
      </c>
      <c r="P39">
        <f>PasteBBM!AC39</f>
        <v>0.892656</v>
      </c>
      <c r="Q39">
        <f>PasteBBM!AD39</f>
        <v>0.205313</v>
      </c>
      <c r="R39">
        <f>PasteBBM!AI39</f>
        <v>1.579375</v>
      </c>
      <c r="S39">
        <f>PasteBBM!AE39</f>
        <v>0.473789</v>
      </c>
      <c r="T39">
        <f>PasteBBM!AG39</f>
        <v>0.848032</v>
      </c>
      <c r="V39" s="44">
        <v>0.27517</v>
      </c>
      <c r="W39" s="44">
        <v>0.00553</v>
      </c>
      <c r="X39" s="44">
        <v>0.194994</v>
      </c>
      <c r="Y39" s="44">
        <v>0.080176</v>
      </c>
      <c r="Z39" s="44">
        <v>0.118991</v>
      </c>
      <c r="AA39" s="45"/>
      <c r="AB39" s="46" t="s">
        <v>188</v>
      </c>
      <c r="AC39" s="44">
        <v>24.0</v>
      </c>
    </row>
    <row r="40">
      <c r="A40" s="2">
        <v>39.0</v>
      </c>
      <c r="B40" s="14">
        <f>IF(PasteBBM!B40="",156,PasteBBM!B40)</f>
        <v>40.08571</v>
      </c>
      <c r="C40" t="str">
        <f>PasteBBM!I40</f>
        <v>Ivica Zubac</v>
      </c>
      <c r="D40" t="str">
        <f>IFERROR(REPLACE(PasteBBM!K40,FIND("/",PasteBBM!K40,1),1,","),PasteBBM!K40)</f>
        <v>C</v>
      </c>
      <c r="E40" t="str">
        <f>PasteBBM!J40</f>
        <v>LAC</v>
      </c>
      <c r="F40">
        <f>PasteBBM!U40</f>
        <v>71</v>
      </c>
      <c r="G40">
        <f>PasteBBM!X40</f>
        <v>31</v>
      </c>
      <c r="H40">
        <f>PasteBBM!AE40*PasteBBM!AF40</f>
        <v>7.219007783</v>
      </c>
      <c r="I40">
        <f>PasteBBM!AE40</f>
        <v>0.647404</v>
      </c>
      <c r="J40">
        <f>PasteBBM!AG40*PasteBBM!AH40</f>
        <v>2.122534277</v>
      </c>
      <c r="K40">
        <f>PasteBBM!AG40</f>
        <v>0.704996</v>
      </c>
      <c r="L40">
        <f>PasteBBM!Z40</f>
        <v>0</v>
      </c>
      <c r="M40">
        <f>PasteBBM!Y40</f>
        <v>16.56056</v>
      </c>
      <c r="N40">
        <f>PasteBBM!AA40</f>
        <v>11.58944</v>
      </c>
      <c r="O40">
        <f>PasteBBM!AB40</f>
        <v>2.004648</v>
      </c>
      <c r="P40">
        <f>PasteBBM!AC40</f>
        <v>0.55507</v>
      </c>
      <c r="Q40">
        <f>PasteBBM!AD40</f>
        <v>1.076338</v>
      </c>
      <c r="R40">
        <f>PasteBBM!AI40</f>
        <v>1.252958</v>
      </c>
      <c r="S40">
        <f>PasteBBM!AE40</f>
        <v>0.647404</v>
      </c>
      <c r="T40">
        <f>PasteBBM!AG40</f>
        <v>0.704996</v>
      </c>
      <c r="V40" s="44">
        <v>0.27394</v>
      </c>
      <c r="W40" s="44">
        <v>-0.06228</v>
      </c>
      <c r="X40" s="44">
        <v>0.2207</v>
      </c>
      <c r="Y40" s="44">
        <v>0.05324</v>
      </c>
      <c r="Z40" s="44">
        <v>0.33272</v>
      </c>
      <c r="AA40" s="45"/>
      <c r="AB40" s="46" t="s">
        <v>137</v>
      </c>
      <c r="AC40" s="44">
        <v>25.0</v>
      </c>
    </row>
    <row r="41">
      <c r="A41" s="2">
        <v>40.0</v>
      </c>
      <c r="B41" s="14">
        <f>IF(PasteBBM!B41="",156,PasteBBM!B41)</f>
        <v>50.5</v>
      </c>
      <c r="C41" t="str">
        <f>PasteBBM!I41</f>
        <v>Nikola Vucevic</v>
      </c>
      <c r="D41" t="str">
        <f>IFERROR(REPLACE(PasteBBM!K41,FIND("/",PasteBBM!K41,1),1,","),PasteBBM!K41)</f>
        <v>C</v>
      </c>
      <c r="E41" t="str">
        <f>PasteBBM!J41</f>
        <v>CHI</v>
      </c>
      <c r="F41">
        <f>PasteBBM!U41</f>
        <v>71</v>
      </c>
      <c r="G41">
        <f>PasteBBM!X41</f>
        <v>30</v>
      </c>
      <c r="H41">
        <f>PasteBBM!AE41*PasteBBM!AF41</f>
        <v>6.970285026</v>
      </c>
      <c r="I41">
        <f>PasteBBM!AE41</f>
        <v>0.505795</v>
      </c>
      <c r="J41">
        <f>PasteBBM!AG41*PasteBBM!AH41</f>
        <v>1.334648789</v>
      </c>
      <c r="K41">
        <f>PasteBBM!AG41</f>
        <v>0.807018</v>
      </c>
      <c r="L41">
        <f>PasteBBM!Z41</f>
        <v>1.48831</v>
      </c>
      <c r="M41">
        <f>PasteBBM!Y41</f>
        <v>16.76352</v>
      </c>
      <c r="N41">
        <f>PasteBBM!AA41</f>
        <v>9.909437</v>
      </c>
      <c r="O41">
        <f>PasteBBM!AB41</f>
        <v>3.281268</v>
      </c>
      <c r="P41">
        <f>PasteBBM!AC41</f>
        <v>0.852676</v>
      </c>
      <c r="Q41">
        <f>PasteBBM!AD41</f>
        <v>0.722113</v>
      </c>
      <c r="R41">
        <f>PasteBBM!AI41</f>
        <v>1.641127</v>
      </c>
      <c r="S41">
        <f>PasteBBM!AE41</f>
        <v>0.505795</v>
      </c>
      <c r="T41">
        <f>PasteBBM!AG41</f>
        <v>0.807018</v>
      </c>
      <c r="V41" s="44">
        <v>0.272558</v>
      </c>
      <c r="W41" s="44">
        <v>-8.9E-4</v>
      </c>
      <c r="X41" s="44">
        <v>0.294516</v>
      </c>
      <c r="Y41" s="44">
        <v>-0.02196</v>
      </c>
      <c r="Z41" s="44">
        <v>1.113294</v>
      </c>
      <c r="AA41" s="45"/>
      <c r="AB41" s="46" t="s">
        <v>187</v>
      </c>
      <c r="AC41" s="44">
        <v>13.0</v>
      </c>
    </row>
    <row r="42">
      <c r="A42" s="2">
        <v>41.0</v>
      </c>
      <c r="B42" s="14">
        <f>IF(PasteBBM!B42="",156,PasteBBM!B42)</f>
        <v>97.52857</v>
      </c>
      <c r="C42" t="str">
        <f>PasteBBM!I42</f>
        <v>Toumani Camara</v>
      </c>
      <c r="D42" t="str">
        <f>IFERROR(REPLACE(PasteBBM!K42,FIND("/",PasteBBM!K42,1),1,","),PasteBBM!K42)</f>
        <v>PF</v>
      </c>
      <c r="E42" t="str">
        <f>PasteBBM!J42</f>
        <v>POR</v>
      </c>
      <c r="F42">
        <f>PasteBBM!U42</f>
        <v>71</v>
      </c>
      <c r="G42">
        <f>PasteBBM!X42</f>
        <v>33</v>
      </c>
      <c r="H42">
        <f>PasteBBM!AE42*PasteBBM!AF42</f>
        <v>5.611686003</v>
      </c>
      <c r="I42">
        <f>PasteBBM!AE42</f>
        <v>0.4599</v>
      </c>
      <c r="J42">
        <f>PasteBBM!AG42*PasteBBM!AH42</f>
        <v>1.507324214</v>
      </c>
      <c r="K42">
        <f>PasteBBM!AG42</f>
        <v>0.731011</v>
      </c>
      <c r="L42">
        <f>PasteBBM!Z42</f>
        <v>2.596479</v>
      </c>
      <c r="M42">
        <f>PasteBBM!Y42</f>
        <v>15.32718</v>
      </c>
      <c r="N42">
        <f>PasteBBM!AA42</f>
        <v>5.820423</v>
      </c>
      <c r="O42">
        <f>PasteBBM!AB42</f>
        <v>2.36338</v>
      </c>
      <c r="P42">
        <f>PasteBBM!AC42</f>
        <v>1.537042</v>
      </c>
      <c r="Q42">
        <f>PasteBBM!AD42</f>
        <v>0.703099</v>
      </c>
      <c r="R42">
        <f>PasteBBM!AI42</f>
        <v>1.121972</v>
      </c>
      <c r="S42">
        <f>PasteBBM!AE42</f>
        <v>0.4599</v>
      </c>
      <c r="T42">
        <f>PasteBBM!AG42</f>
        <v>0.731011</v>
      </c>
      <c r="V42" s="44">
        <v>0.266257</v>
      </c>
      <c r="W42" s="44">
        <v>0.003061</v>
      </c>
      <c r="X42" s="44">
        <v>0.496349</v>
      </c>
      <c r="Y42" s="44">
        <v>-0.23009</v>
      </c>
      <c r="Z42" s="44">
        <v>-1.22843</v>
      </c>
      <c r="AA42" s="45"/>
      <c r="AB42" s="46" t="s">
        <v>212</v>
      </c>
      <c r="AC42" s="44">
        <v>10.0</v>
      </c>
    </row>
    <row r="43">
      <c r="A43" s="2">
        <v>42.0</v>
      </c>
      <c r="B43" s="14">
        <f>IF(PasteBBM!B43="",156,PasteBBM!B43)</f>
        <v>30.01429</v>
      </c>
      <c r="C43" t="str">
        <f>PasteBBM!I43</f>
        <v>LaMelo Ball</v>
      </c>
      <c r="D43" t="str">
        <f>IFERROR(REPLACE(PasteBBM!K43,FIND("/",PasteBBM!K43,1),1,","),PasteBBM!K43)</f>
        <v>PG</v>
      </c>
      <c r="E43" t="str">
        <f>PasteBBM!J43</f>
        <v>CHA</v>
      </c>
      <c r="F43">
        <f>PasteBBM!U43</f>
        <v>58</v>
      </c>
      <c r="G43">
        <f>PasteBBM!X43</f>
        <v>33</v>
      </c>
      <c r="H43">
        <f>PasteBBM!AE43*PasteBBM!AF43</f>
        <v>8.134654834</v>
      </c>
      <c r="I43">
        <f>PasteBBM!AE43</f>
        <v>0.416646</v>
      </c>
      <c r="J43">
        <f>PasteBBM!AG43*PasteBBM!AH43</f>
        <v>3.892070731</v>
      </c>
      <c r="K43">
        <f>PasteBBM!AG43</f>
        <v>0.849989</v>
      </c>
      <c r="L43">
        <f>PasteBBM!Z43</f>
        <v>3.725345</v>
      </c>
      <c r="M43">
        <f>PasteBBM!Y43</f>
        <v>23.88672</v>
      </c>
      <c r="N43">
        <f>PasteBBM!AA43</f>
        <v>4.95</v>
      </c>
      <c r="O43">
        <f>PasteBBM!AB43</f>
        <v>8.136724</v>
      </c>
      <c r="P43">
        <f>PasteBBM!AC43</f>
        <v>1.252586</v>
      </c>
      <c r="Q43">
        <f>PasteBBM!AD43</f>
        <v>0.272759</v>
      </c>
      <c r="R43">
        <f>PasteBBM!AI43</f>
        <v>3.550172</v>
      </c>
      <c r="S43">
        <f>PasteBBM!AE43</f>
        <v>0.416646</v>
      </c>
      <c r="T43">
        <f>PasteBBM!AG43</f>
        <v>0.849989</v>
      </c>
      <c r="V43" s="44">
        <v>0.260054</v>
      </c>
      <c r="W43" s="44">
        <v>0.004499</v>
      </c>
      <c r="X43" s="44">
        <v>0.05777</v>
      </c>
      <c r="Y43" s="44">
        <v>0.202284</v>
      </c>
      <c r="Z43" s="44">
        <v>0.146869</v>
      </c>
      <c r="AA43" s="45"/>
      <c r="AB43" s="46" t="s">
        <v>216</v>
      </c>
      <c r="AC43" s="44">
        <v>57.0</v>
      </c>
    </row>
    <row r="44">
      <c r="A44" s="2">
        <v>43.0</v>
      </c>
      <c r="B44" s="14">
        <f>IF(PasteBBM!B44="",156,PasteBBM!B44)</f>
        <v>12.02857</v>
      </c>
      <c r="C44" t="str">
        <f>PasteBBM!I44</f>
        <v>Domantas Sabonis</v>
      </c>
      <c r="D44" t="str">
        <f>IFERROR(REPLACE(PasteBBM!K44,FIND("/",PasteBBM!K44,1),1,","),PasteBBM!K44)</f>
        <v>C</v>
      </c>
      <c r="E44" t="str">
        <f>PasteBBM!J44</f>
        <v>SAC</v>
      </c>
      <c r="F44">
        <f>PasteBBM!U44</f>
        <v>71</v>
      </c>
      <c r="G44">
        <f>PasteBBM!X44</f>
        <v>35</v>
      </c>
      <c r="H44">
        <f>PasteBBM!AE44*PasteBBM!AF44</f>
        <v>7.256063427</v>
      </c>
      <c r="I44">
        <f>PasteBBM!AE44</f>
        <v>0.569934</v>
      </c>
      <c r="J44">
        <f>PasteBBM!AG44*PasteBBM!AH44</f>
        <v>2.818733048</v>
      </c>
      <c r="K44">
        <f>PasteBBM!AG44</f>
        <v>0.737997</v>
      </c>
      <c r="L44">
        <f>PasteBBM!Z44</f>
        <v>0.792394</v>
      </c>
      <c r="M44">
        <f>PasteBBM!Y44</f>
        <v>18.12324</v>
      </c>
      <c r="N44">
        <f>PasteBBM!AA44</f>
        <v>13.93366</v>
      </c>
      <c r="O44">
        <f>PasteBBM!AB44</f>
        <v>5.446197</v>
      </c>
      <c r="P44">
        <f>PasteBBM!AC44</f>
        <v>0.715775</v>
      </c>
      <c r="Q44">
        <f>PasteBBM!AD44</f>
        <v>0.280563</v>
      </c>
      <c r="R44">
        <f>PasteBBM!AI44</f>
        <v>2.879718</v>
      </c>
      <c r="S44">
        <f>PasteBBM!AE44</f>
        <v>0.569934</v>
      </c>
      <c r="T44">
        <f>PasteBBM!AG44</f>
        <v>0.737997</v>
      </c>
      <c r="V44" s="44">
        <v>0.258403</v>
      </c>
      <c r="W44" s="44">
        <v>-0.00732</v>
      </c>
      <c r="X44" s="44">
        <v>0.05951</v>
      </c>
      <c r="Y44" s="44">
        <v>0.198893</v>
      </c>
      <c r="Z44" s="44">
        <v>-1.54438</v>
      </c>
      <c r="AA44" s="45"/>
      <c r="AB44" s="46" t="s">
        <v>68</v>
      </c>
      <c r="AC44" s="44">
        <v>59.0</v>
      </c>
    </row>
    <row r="45">
      <c r="A45" s="2">
        <v>44.0</v>
      </c>
      <c r="B45" s="14">
        <f>IF(PasteBBM!B45="",156,PasteBBM!B45)</f>
        <v>51.55714</v>
      </c>
      <c r="C45" t="str">
        <f>PasteBBM!I45</f>
        <v>Walker Kessler</v>
      </c>
      <c r="D45" t="str">
        <f>IFERROR(REPLACE(PasteBBM!K45,FIND("/",PasteBBM!K45,1),1,","),PasteBBM!K45)</f>
        <v>C</v>
      </c>
      <c r="E45" t="str">
        <f>PasteBBM!J45</f>
        <v>UTA</v>
      </c>
      <c r="F45">
        <f>PasteBBM!U45</f>
        <v>62</v>
      </c>
      <c r="G45">
        <f>PasteBBM!X45</f>
        <v>30</v>
      </c>
      <c r="H45">
        <f>PasteBBM!AE45*PasteBBM!AF45</f>
        <v>5.781289083</v>
      </c>
      <c r="I45">
        <f>PasteBBM!AE45</f>
        <v>0.680397</v>
      </c>
      <c r="J45">
        <f>PasteBBM!AG45*PasteBBM!AH45</f>
        <v>1.480969016</v>
      </c>
      <c r="K45">
        <f>PasteBBM!AG45</f>
        <v>0.528005</v>
      </c>
      <c r="L45">
        <f>PasteBBM!Z45</f>
        <v>0.127419</v>
      </c>
      <c r="M45">
        <f>PasteBBM!Y45</f>
        <v>13.17097</v>
      </c>
      <c r="N45">
        <f>PasteBBM!AA45</f>
        <v>11.58742</v>
      </c>
      <c r="O45">
        <f>PasteBBM!AB45</f>
        <v>1.93129</v>
      </c>
      <c r="P45">
        <f>PasteBBM!AC45</f>
        <v>0.643871</v>
      </c>
      <c r="Q45">
        <f>PasteBBM!AD45</f>
        <v>2.188548</v>
      </c>
      <c r="R45">
        <f>PasteBBM!AI45</f>
        <v>1.544839</v>
      </c>
      <c r="S45">
        <f>PasteBBM!AE45</f>
        <v>0.680397</v>
      </c>
      <c r="T45">
        <f>PasteBBM!AG45</f>
        <v>0.528005</v>
      </c>
      <c r="V45" s="44">
        <v>0.257122</v>
      </c>
      <c r="W45" s="44">
        <v>0.004447</v>
      </c>
      <c r="X45" s="44">
        <v>0.072061</v>
      </c>
      <c r="Y45" s="44">
        <v>0.185061</v>
      </c>
      <c r="Z45" s="44">
        <v>0.230502</v>
      </c>
      <c r="AA45" s="45"/>
      <c r="AB45" s="46" t="s">
        <v>52</v>
      </c>
      <c r="AC45" s="44">
        <v>22.0</v>
      </c>
    </row>
    <row r="46">
      <c r="A46" s="2">
        <v>45.0</v>
      </c>
      <c r="B46" s="14">
        <f>IF(PasteBBM!B46="",156,PasteBBM!B46)</f>
        <v>26.45714</v>
      </c>
      <c r="C46" t="str">
        <f>PasteBBM!I46</f>
        <v>LeBron James</v>
      </c>
      <c r="D46" t="str">
        <f>IFERROR(REPLACE(PasteBBM!K46,FIND("/",PasteBBM!K46,1),1,","),PasteBBM!K46)</f>
        <v>SF,PF</v>
      </c>
      <c r="E46" t="str">
        <f>PasteBBM!J46</f>
        <v>LAL</v>
      </c>
      <c r="F46">
        <f>PasteBBM!U46</f>
        <v>53</v>
      </c>
      <c r="G46">
        <f>PasteBBM!X46</f>
        <v>34</v>
      </c>
      <c r="H46">
        <f>PasteBBM!AE46*PasteBBM!AF46</f>
        <v>8.10245003</v>
      </c>
      <c r="I46">
        <f>PasteBBM!AE46</f>
        <v>0.494598</v>
      </c>
      <c r="J46">
        <f>PasteBBM!AG46*PasteBBM!AH46</f>
        <v>3.597169172</v>
      </c>
      <c r="K46">
        <f>PasteBBM!AG46</f>
        <v>0.794011</v>
      </c>
      <c r="L46">
        <f>PasteBBM!Z46</f>
        <v>1.939623</v>
      </c>
      <c r="M46">
        <f>PasteBBM!Y46</f>
        <v>21.7417</v>
      </c>
      <c r="N46">
        <f>PasteBBM!AA46</f>
        <v>6.941698</v>
      </c>
      <c r="O46">
        <f>PasteBBM!AB46</f>
        <v>6.45566</v>
      </c>
      <c r="P46">
        <f>PasteBBM!AC46</f>
        <v>1.033208</v>
      </c>
      <c r="Q46">
        <f>PasteBBM!AD46</f>
        <v>0.558302</v>
      </c>
      <c r="R46">
        <f>PasteBBM!AI46</f>
        <v>2.984906</v>
      </c>
      <c r="S46">
        <f>PasteBBM!AE46</f>
        <v>0.494598</v>
      </c>
      <c r="T46">
        <f>PasteBBM!AG46</f>
        <v>0.794011</v>
      </c>
      <c r="V46" s="44">
        <v>0.255105</v>
      </c>
      <c r="W46" s="44">
        <v>0.005818</v>
      </c>
      <c r="X46" s="44">
        <v>-0.00759</v>
      </c>
      <c r="Y46" s="44">
        <v>0.262692</v>
      </c>
      <c r="Z46" s="44">
        <v>-0.54078</v>
      </c>
      <c r="AA46" s="45"/>
      <c r="AB46" s="46" t="s">
        <v>98</v>
      </c>
      <c r="AC46" s="44">
        <v>69.0</v>
      </c>
    </row>
    <row r="47">
      <c r="A47" s="2">
        <v>46.0</v>
      </c>
      <c r="B47" s="14">
        <f>IF(PasteBBM!B47="",156,PasteBBM!B47)</f>
        <v>4.971429</v>
      </c>
      <c r="C47" t="str">
        <f>PasteBBM!I47</f>
        <v>Giannis Antetokounmpo</v>
      </c>
      <c r="D47" t="str">
        <f>IFERROR(REPLACE(PasteBBM!K47,FIND("/",PasteBBM!K47,1),1,","),PasteBBM!K47)</f>
        <v>PF,C</v>
      </c>
      <c r="E47" t="str">
        <f>PasteBBM!J47</f>
        <v>MIL</v>
      </c>
      <c r="F47">
        <f>PasteBBM!U47</f>
        <v>64</v>
      </c>
      <c r="G47">
        <f>PasteBBM!X47</f>
        <v>34</v>
      </c>
      <c r="H47">
        <f>PasteBBM!AE47*PasteBBM!AF47</f>
        <v>11.74155629</v>
      </c>
      <c r="I47">
        <f>PasteBBM!AE47</f>
        <v>0.581999</v>
      </c>
      <c r="J47">
        <f>PasteBBM!AG47*PasteBBM!AH47</f>
        <v>7.73499276</v>
      </c>
      <c r="K47">
        <f>PasteBBM!AG47</f>
        <v>0.639</v>
      </c>
      <c r="L47">
        <f>PasteBBM!Z47</f>
        <v>0.319531</v>
      </c>
      <c r="M47">
        <f>PasteBBM!Y47</f>
        <v>31.53766</v>
      </c>
      <c r="N47">
        <f>PasteBBM!AA47</f>
        <v>11.01734</v>
      </c>
      <c r="O47">
        <f>PasteBBM!AB47</f>
        <v>8.227344</v>
      </c>
      <c r="P47">
        <f>PasteBBM!AC47</f>
        <v>0.929531</v>
      </c>
      <c r="Q47">
        <f>PasteBBM!AD47</f>
        <v>0.93</v>
      </c>
      <c r="R47">
        <f>PasteBBM!AI47</f>
        <v>2.861719</v>
      </c>
      <c r="S47">
        <f>PasteBBM!AE47</f>
        <v>0.581999</v>
      </c>
      <c r="T47">
        <f>PasteBBM!AG47</f>
        <v>0.639</v>
      </c>
      <c r="V47" s="44">
        <v>0.234632</v>
      </c>
      <c r="W47" s="44">
        <v>0.010202</v>
      </c>
      <c r="X47" s="44">
        <v>0.089309</v>
      </c>
      <c r="Y47" s="44">
        <v>0.145323</v>
      </c>
      <c r="Z47" s="44">
        <v>0.565034</v>
      </c>
      <c r="AA47" s="45"/>
      <c r="AB47" s="46" t="s">
        <v>163</v>
      </c>
      <c r="AC47" s="44">
        <v>41.0</v>
      </c>
    </row>
    <row r="48">
      <c r="A48" s="2">
        <v>47.0</v>
      </c>
      <c r="B48" s="14">
        <f>IF(PasteBBM!B48="",156,PasteBBM!B48)</f>
        <v>109.1571</v>
      </c>
      <c r="C48" t="str">
        <f>PasteBBM!I48</f>
        <v>Zach Edey</v>
      </c>
      <c r="D48" t="str">
        <f>IFERROR(REPLACE(PasteBBM!K48,FIND("/",PasteBBM!K48,1),1,","),PasteBBM!K48)</f>
        <v>C</v>
      </c>
      <c r="E48" t="str">
        <f>PasteBBM!J48</f>
        <v>MEM</v>
      </c>
      <c r="F48">
        <f>PasteBBM!U48</f>
        <v>46</v>
      </c>
      <c r="G48">
        <f>PasteBBM!X48</f>
        <v>27</v>
      </c>
      <c r="H48">
        <f>PasteBBM!AE48*PasteBBM!AF48</f>
        <v>5.858699703</v>
      </c>
      <c r="I48">
        <f>PasteBBM!AE48</f>
        <v>0.620011</v>
      </c>
      <c r="J48">
        <f>PasteBBM!AG48*PasteBBM!AH48</f>
        <v>2.589130634</v>
      </c>
      <c r="K48">
        <f>PasteBBM!AG48</f>
        <v>0.720988</v>
      </c>
      <c r="L48">
        <f>PasteBBM!Z48</f>
        <v>0.314783</v>
      </c>
      <c r="M48">
        <f>PasteBBM!Y48</f>
        <v>14.6213</v>
      </c>
      <c r="N48">
        <f>PasteBBM!AA48</f>
        <v>11.1037</v>
      </c>
      <c r="O48">
        <f>PasteBBM!AB48</f>
        <v>1.344348</v>
      </c>
      <c r="P48">
        <f>PasteBBM!AC48</f>
        <v>0.670652</v>
      </c>
      <c r="Q48">
        <f>PasteBBM!AD48</f>
        <v>1.621087</v>
      </c>
      <c r="R48">
        <f>PasteBBM!AI48</f>
        <v>1.567826</v>
      </c>
      <c r="S48">
        <f>PasteBBM!AE48</f>
        <v>0.620011</v>
      </c>
      <c r="T48">
        <f>PasteBBM!AG48</f>
        <v>0.720988</v>
      </c>
      <c r="V48" s="44">
        <v>0.230748</v>
      </c>
      <c r="W48" s="44">
        <v>-0.05792</v>
      </c>
      <c r="X48" s="44">
        <v>0.092462</v>
      </c>
      <c r="Y48" s="44">
        <v>0.138286</v>
      </c>
      <c r="Z48" s="44">
        <v>-0.68946</v>
      </c>
      <c r="AA48" s="45"/>
      <c r="AB48" s="46" t="s">
        <v>217</v>
      </c>
      <c r="AC48" s="44">
        <v>47.0</v>
      </c>
    </row>
    <row r="49">
      <c r="A49" s="2">
        <v>48.0</v>
      </c>
      <c r="B49" s="14">
        <f>IF(PasteBBM!B49="",156,PasteBBM!B49)</f>
        <v>64.84286</v>
      </c>
      <c r="C49" t="str">
        <f>PasteBBM!I49</f>
        <v>Rudy Gobert</v>
      </c>
      <c r="D49" t="str">
        <f>IFERROR(REPLACE(PasteBBM!K49,FIND("/",PasteBBM!K49,1),1,","),PasteBBM!K49)</f>
        <v>C</v>
      </c>
      <c r="E49" t="str">
        <f>PasteBBM!J49</f>
        <v>MIN</v>
      </c>
      <c r="F49">
        <f>PasteBBM!U49</f>
        <v>71</v>
      </c>
      <c r="G49">
        <f>PasteBBM!X49</f>
        <v>32</v>
      </c>
      <c r="H49">
        <f>PasteBBM!AE49*PasteBBM!AF49</f>
        <v>4.975215077</v>
      </c>
      <c r="I49">
        <f>PasteBBM!AE49</f>
        <v>0.679047</v>
      </c>
      <c r="J49">
        <f>PasteBBM!AG49*PasteBBM!AH49</f>
        <v>2.430282163</v>
      </c>
      <c r="K49">
        <f>PasteBBM!AG49</f>
        <v>0.677012</v>
      </c>
      <c r="L49">
        <f>PasteBBM!Z49</f>
        <v>0</v>
      </c>
      <c r="M49">
        <f>PasteBBM!Y49</f>
        <v>12.3807</v>
      </c>
      <c r="N49">
        <f>PasteBBM!AA49</f>
        <v>11.41803</v>
      </c>
      <c r="O49">
        <f>PasteBBM!AB49</f>
        <v>1.518028</v>
      </c>
      <c r="P49">
        <f>PasteBBM!AC49</f>
        <v>0.853662</v>
      </c>
      <c r="Q49">
        <f>PasteBBM!AD49</f>
        <v>1.253944</v>
      </c>
      <c r="R49">
        <f>PasteBBM!AI49</f>
        <v>0.99</v>
      </c>
      <c r="S49">
        <f>PasteBBM!AE49</f>
        <v>0.679047</v>
      </c>
      <c r="T49">
        <f>PasteBBM!AG49</f>
        <v>0.677012</v>
      </c>
      <c r="V49" s="44">
        <v>0.192637</v>
      </c>
      <c r="W49" s="44">
        <v>0.005782</v>
      </c>
      <c r="X49" s="44">
        <v>0.155028</v>
      </c>
      <c r="Y49" s="44">
        <v>0.037609</v>
      </c>
      <c r="Z49" s="44">
        <v>-0.81956</v>
      </c>
      <c r="AA49" s="45"/>
      <c r="AB49" s="46" t="s">
        <v>41</v>
      </c>
      <c r="AC49" s="44">
        <v>62.0</v>
      </c>
    </row>
    <row r="50">
      <c r="A50" s="2">
        <v>49.0</v>
      </c>
      <c r="B50" s="14">
        <f>IF(PasteBBM!B50="",156,PasteBBM!B50)</f>
        <v>27.18571</v>
      </c>
      <c r="C50" t="str">
        <f>PasteBBM!I50</f>
        <v>Scottie Barnes</v>
      </c>
      <c r="D50" t="str">
        <f>IFERROR(REPLACE(PasteBBM!K50,FIND("/",PasteBBM!K50,1),1,","),PasteBBM!K50)</f>
        <v>SF,PF</v>
      </c>
      <c r="E50" t="str">
        <f>PasteBBM!J50</f>
        <v>TOR</v>
      </c>
      <c r="F50">
        <f>PasteBBM!U50</f>
        <v>66</v>
      </c>
      <c r="G50">
        <f>PasteBBM!X50</f>
        <v>34</v>
      </c>
      <c r="H50">
        <f>PasteBBM!AE50*PasteBBM!AF50</f>
        <v>7.025307648</v>
      </c>
      <c r="I50">
        <f>PasteBBM!AE50</f>
        <v>0.462939</v>
      </c>
      <c r="J50">
        <f>PasteBBM!AG50*PasteBBM!AH50</f>
        <v>2.94742292</v>
      </c>
      <c r="K50">
        <f>PasteBBM!AG50</f>
        <v>0.747014</v>
      </c>
      <c r="L50">
        <f>PasteBBM!Z50</f>
        <v>1.143636</v>
      </c>
      <c r="M50">
        <f>PasteBBM!Y50</f>
        <v>18.14167</v>
      </c>
      <c r="N50">
        <f>PasteBBM!AA50</f>
        <v>8.244242</v>
      </c>
      <c r="O50">
        <f>PasteBBM!AB50</f>
        <v>5.836667</v>
      </c>
      <c r="P50">
        <f>PasteBBM!AC50</f>
        <v>1.386212</v>
      </c>
      <c r="Q50">
        <f>PasteBBM!AD50</f>
        <v>1.077121</v>
      </c>
      <c r="R50">
        <f>PasteBBM!AI50</f>
        <v>2.807424</v>
      </c>
      <c r="S50">
        <f>PasteBBM!AE50</f>
        <v>0.462939</v>
      </c>
      <c r="T50">
        <f>PasteBBM!AG50</f>
        <v>0.747014</v>
      </c>
      <c r="V50" s="44">
        <v>0.183541</v>
      </c>
      <c r="W50" s="44">
        <v>-0.01506</v>
      </c>
      <c r="X50" s="44">
        <v>0.021202</v>
      </c>
      <c r="Y50" s="44">
        <v>0.162339</v>
      </c>
      <c r="Z50" s="44">
        <v>-1.89749</v>
      </c>
      <c r="AA50" s="45"/>
      <c r="AB50" s="46" t="s">
        <v>190</v>
      </c>
      <c r="AC50" s="44">
        <v>36.0</v>
      </c>
    </row>
    <row r="51">
      <c r="A51" s="2">
        <v>50.0</v>
      </c>
      <c r="B51" s="14">
        <f>IF(PasteBBM!B51="",156,PasteBBM!B51)</f>
        <v>78.31429</v>
      </c>
      <c r="C51" t="str">
        <f>PasteBBM!I51</f>
        <v>Mark Williams</v>
      </c>
      <c r="D51" t="str">
        <f>IFERROR(REPLACE(PasteBBM!K51,FIND("/",PasteBBM!K51,1),1,","),PasteBBM!K51)</f>
        <v>C</v>
      </c>
      <c r="E51" t="str">
        <f>PasteBBM!J51</f>
        <v>PHO</v>
      </c>
      <c r="F51">
        <f>PasteBBM!U51</f>
        <v>60</v>
      </c>
      <c r="G51">
        <f>PasteBBM!X51</f>
        <v>28</v>
      </c>
      <c r="H51">
        <f>PasteBBM!AE51*PasteBBM!AF51</f>
        <v>5.767497876</v>
      </c>
      <c r="I51">
        <f>PasteBBM!AE51</f>
        <v>0.616504</v>
      </c>
      <c r="J51">
        <f>PasteBBM!AG51*PasteBBM!AH51</f>
        <v>2.54783451</v>
      </c>
      <c r="K51">
        <f>PasteBBM!AG51</f>
        <v>0.800996</v>
      </c>
      <c r="L51">
        <f>PasteBBM!Z51</f>
        <v>0.0215</v>
      </c>
      <c r="M51">
        <f>PasteBBM!Y51</f>
        <v>14.10433</v>
      </c>
      <c r="N51">
        <f>PasteBBM!AA51</f>
        <v>10.0485</v>
      </c>
      <c r="O51">
        <f>PasteBBM!AB51</f>
        <v>2.714167</v>
      </c>
      <c r="P51">
        <f>PasteBBM!AC51</f>
        <v>0.768333</v>
      </c>
      <c r="Q51">
        <f>PasteBBM!AD51</f>
        <v>1.194333</v>
      </c>
      <c r="R51">
        <f>PasteBBM!AI51</f>
        <v>1.905667</v>
      </c>
      <c r="S51">
        <f>PasteBBM!AE51</f>
        <v>0.616504</v>
      </c>
      <c r="T51">
        <f>PasteBBM!AG51</f>
        <v>0.800996</v>
      </c>
      <c r="V51" s="44">
        <v>0.179391</v>
      </c>
      <c r="W51" s="44">
        <v>0.003879</v>
      </c>
      <c r="X51" s="44">
        <v>0.057032</v>
      </c>
      <c r="Y51" s="44">
        <v>0.122359</v>
      </c>
      <c r="Z51" s="44">
        <v>1.568629</v>
      </c>
      <c r="AA51" s="45"/>
      <c r="AB51" s="46" t="s">
        <v>39</v>
      </c>
      <c r="AC51" s="44">
        <v>40.0</v>
      </c>
    </row>
    <row r="52">
      <c r="A52" s="2">
        <v>51.0</v>
      </c>
      <c r="B52" s="14">
        <f>IF(PasteBBM!B52="",156,PasteBBM!B52)</f>
        <v>51.27143</v>
      </c>
      <c r="C52" t="str">
        <f>PasteBBM!I52</f>
        <v>Brandon Miller</v>
      </c>
      <c r="D52" t="str">
        <f>IFERROR(REPLACE(PasteBBM!K52,FIND("/",PasteBBM!K52,1),1,","),PasteBBM!K52)</f>
        <v>SF,PF</v>
      </c>
      <c r="E52" t="str">
        <f>PasteBBM!J52</f>
        <v>CHA</v>
      </c>
      <c r="F52">
        <f>PasteBBM!U52</f>
        <v>62</v>
      </c>
      <c r="G52">
        <f>PasteBBM!X52</f>
        <v>34</v>
      </c>
      <c r="H52">
        <f>PasteBBM!AE52*PasteBBM!AF52</f>
        <v>7.566780717</v>
      </c>
      <c r="I52">
        <f>PasteBBM!AE52</f>
        <v>0.420569</v>
      </c>
      <c r="J52">
        <f>PasteBBM!AG52*PasteBBM!AH52</f>
        <v>2.953547899</v>
      </c>
      <c r="K52">
        <f>PasteBBM!AG52</f>
        <v>0.864018</v>
      </c>
      <c r="L52">
        <f>PasteBBM!Z52</f>
        <v>3.972581</v>
      </c>
      <c r="M52">
        <f>PasteBBM!Y52</f>
        <v>22.05968</v>
      </c>
      <c r="N52">
        <f>PasteBBM!AA52</f>
        <v>4.958387</v>
      </c>
      <c r="O52">
        <f>PasteBBM!AB52</f>
        <v>3.966613</v>
      </c>
      <c r="P52">
        <f>PasteBBM!AC52</f>
        <v>1.058226</v>
      </c>
      <c r="Q52">
        <f>PasteBBM!AD52</f>
        <v>0.710323</v>
      </c>
      <c r="R52">
        <f>PasteBBM!AI52</f>
        <v>2.556129</v>
      </c>
      <c r="S52">
        <f>PasteBBM!AE52</f>
        <v>0.420569</v>
      </c>
      <c r="T52">
        <f>PasteBBM!AG52</f>
        <v>0.864018</v>
      </c>
      <c r="V52" s="44">
        <v>0.169638</v>
      </c>
      <c r="W52" s="44">
        <v>0.022622</v>
      </c>
      <c r="X52" s="44">
        <v>0.252127</v>
      </c>
      <c r="Y52" s="44">
        <v>-0.08249</v>
      </c>
      <c r="Z52" s="44">
        <v>0.40706</v>
      </c>
      <c r="AA52" s="45"/>
      <c r="AB52" s="46" t="s">
        <v>150</v>
      </c>
      <c r="AC52" s="44">
        <v>30.0</v>
      </c>
    </row>
    <row r="53">
      <c r="A53" s="2">
        <v>52.0</v>
      </c>
      <c r="B53" s="14">
        <f>IF(PasteBBM!B53="",156,PasteBBM!B53)</f>
        <v>81.2</v>
      </c>
      <c r="C53" t="str">
        <f>PasteBBM!I53</f>
        <v>Paul George</v>
      </c>
      <c r="D53" t="str">
        <f>IFERROR(REPLACE(PasteBBM!K53,FIND("/",PasteBBM!K53,1),1,","),PasteBBM!K53)</f>
        <v>PF</v>
      </c>
      <c r="E53" t="str">
        <f>PasteBBM!J53</f>
        <v>PHI</v>
      </c>
      <c r="F53">
        <f>PasteBBM!U53</f>
        <v>51</v>
      </c>
      <c r="G53">
        <f>PasteBBM!X53</f>
        <v>32</v>
      </c>
      <c r="H53">
        <f>PasteBBM!AE53*PasteBBM!AF53</f>
        <v>6.275885167</v>
      </c>
      <c r="I53">
        <f>PasteBBM!AE53</f>
        <v>0.44829</v>
      </c>
      <c r="J53">
        <f>PasteBBM!AG53*PasteBBM!AH53</f>
        <v>1.7745105</v>
      </c>
      <c r="K53">
        <f>PasteBBM!AG53</f>
        <v>0.845005</v>
      </c>
      <c r="L53">
        <f>PasteBBM!Z53</f>
        <v>2.480588</v>
      </c>
      <c r="M53">
        <f>PasteBBM!Y53</f>
        <v>16.80686</v>
      </c>
      <c r="N53">
        <f>PasteBBM!AA53</f>
        <v>5.066667</v>
      </c>
      <c r="O53">
        <f>PasteBBM!AB53</f>
        <v>3.940784</v>
      </c>
      <c r="P53">
        <f>PasteBBM!AC53</f>
        <v>1.656275</v>
      </c>
      <c r="Q53">
        <f>PasteBBM!AD53</f>
        <v>0.535686</v>
      </c>
      <c r="R53">
        <f>PasteBBM!AI53</f>
        <v>2.341765</v>
      </c>
      <c r="S53">
        <f>PasteBBM!AE53</f>
        <v>0.44829</v>
      </c>
      <c r="T53">
        <f>PasteBBM!AG53</f>
        <v>0.845005</v>
      </c>
      <c r="V53" s="44">
        <v>0.168413</v>
      </c>
      <c r="W53" s="44">
        <v>0.012445</v>
      </c>
      <c r="X53" s="44">
        <v>0.05137</v>
      </c>
      <c r="Y53" s="44">
        <v>0.117043</v>
      </c>
      <c r="Z53" s="44">
        <v>0.035358</v>
      </c>
      <c r="AA53" s="45"/>
      <c r="AB53" s="46" t="s">
        <v>191</v>
      </c>
      <c r="AC53" s="44">
        <v>48.0</v>
      </c>
    </row>
    <row r="54">
      <c r="A54" s="2">
        <v>53.0</v>
      </c>
      <c r="B54" s="14">
        <f>IF(PasteBBM!B54="",156,PasteBBM!B54)</f>
        <v>37.12857</v>
      </c>
      <c r="C54" t="str">
        <f>PasteBBM!I54</f>
        <v>Franz Wagner</v>
      </c>
      <c r="D54" t="str">
        <f>IFERROR(REPLACE(PasteBBM!K54,FIND("/",PasteBBM!K54,1),1,","),PasteBBM!K54)</f>
        <v>SF,PF</v>
      </c>
      <c r="E54" t="str">
        <f>PasteBBM!J54</f>
        <v>ORL</v>
      </c>
      <c r="F54">
        <f>PasteBBM!U54</f>
        <v>71</v>
      </c>
      <c r="G54">
        <f>PasteBBM!X54</f>
        <v>34</v>
      </c>
      <c r="H54">
        <f>PasteBBM!AE54*PasteBBM!AF54</f>
        <v>8.155767391</v>
      </c>
      <c r="I54">
        <f>PasteBBM!AE54</f>
        <v>0.485495</v>
      </c>
      <c r="J54">
        <f>PasteBBM!AG54*PasteBBM!AH54</f>
        <v>3.058591059</v>
      </c>
      <c r="K54">
        <f>PasteBBM!AG54</f>
        <v>0.86701</v>
      </c>
      <c r="L54">
        <f>PasteBBM!Z54</f>
        <v>1.612676</v>
      </c>
      <c r="M54">
        <f>PasteBBM!Y54</f>
        <v>20.98282</v>
      </c>
      <c r="N54">
        <f>PasteBBM!AA54</f>
        <v>5.761549</v>
      </c>
      <c r="O54">
        <f>PasteBBM!AB54</f>
        <v>3.817887</v>
      </c>
      <c r="P54">
        <f>PasteBBM!AC54</f>
        <v>1.107465</v>
      </c>
      <c r="Q54">
        <f>PasteBBM!AD54</f>
        <v>0.278169</v>
      </c>
      <c r="R54">
        <f>PasteBBM!AI54</f>
        <v>1.804789</v>
      </c>
      <c r="S54">
        <f>PasteBBM!AE54</f>
        <v>0.485495</v>
      </c>
      <c r="T54">
        <f>PasteBBM!AG54</f>
        <v>0.86701</v>
      </c>
      <c r="V54" s="44">
        <v>0.158622</v>
      </c>
      <c r="W54" s="44">
        <v>4.12E-4</v>
      </c>
      <c r="X54" s="44">
        <v>0.016338</v>
      </c>
      <c r="Y54" s="44">
        <v>0.142284</v>
      </c>
      <c r="Z54" s="44">
        <v>0.397768</v>
      </c>
      <c r="AA54" s="45"/>
      <c r="AB54" s="46" t="s">
        <v>127</v>
      </c>
      <c r="AC54" s="44">
        <v>76.0</v>
      </c>
    </row>
    <row r="55">
      <c r="A55" s="2">
        <v>54.0</v>
      </c>
      <c r="B55" s="14">
        <f>IF(PasteBBM!B55="",156,PasteBBM!B55)</f>
        <v>57.54286</v>
      </c>
      <c r="C55" t="str">
        <f>PasteBBM!I55</f>
        <v>Lauri Markkanen</v>
      </c>
      <c r="D55" t="str">
        <f>IFERROR(REPLACE(PasteBBM!K55,FIND("/",PasteBBM!K55,1),1,","),PasteBBM!K55)</f>
        <v>SF,PF</v>
      </c>
      <c r="E55" t="str">
        <f>PasteBBM!J55</f>
        <v>UTA</v>
      </c>
      <c r="F55">
        <f>PasteBBM!U55</f>
        <v>52</v>
      </c>
      <c r="G55">
        <f>PasteBBM!X55</f>
        <v>31</v>
      </c>
      <c r="H55">
        <f>PasteBBM!AE55*PasteBBM!AF55</f>
        <v>7.431150264</v>
      </c>
      <c r="I55">
        <f>PasteBBM!AE55</f>
        <v>0.457838</v>
      </c>
      <c r="J55">
        <f>PasteBBM!AG55*PasteBBM!AH55</f>
        <v>3.441152552</v>
      </c>
      <c r="K55">
        <f>PasteBBM!AG55</f>
        <v>0.886983</v>
      </c>
      <c r="L55">
        <f>PasteBBM!Z55</f>
        <v>3.383462</v>
      </c>
      <c r="M55">
        <f>PasteBBM!Y55</f>
        <v>21.68692</v>
      </c>
      <c r="N55">
        <f>PasteBBM!AA55</f>
        <v>5.654231</v>
      </c>
      <c r="O55">
        <f>PasteBBM!AB55</f>
        <v>1.796154</v>
      </c>
      <c r="P55">
        <f>PasteBBM!AC55</f>
        <v>0.729808</v>
      </c>
      <c r="Q55">
        <f>PasteBBM!AD55</f>
        <v>0.399808</v>
      </c>
      <c r="R55">
        <f>PasteBBM!AI55</f>
        <v>1.465577</v>
      </c>
      <c r="S55">
        <f>PasteBBM!AE55</f>
        <v>0.457838</v>
      </c>
      <c r="T55">
        <f>PasteBBM!AG55</f>
        <v>0.886983</v>
      </c>
      <c r="V55" s="44">
        <v>0.156861</v>
      </c>
      <c r="W55" s="44">
        <v>0.003582</v>
      </c>
      <c r="X55" s="44">
        <v>-0.11552</v>
      </c>
      <c r="Y55" s="44">
        <v>0.272379</v>
      </c>
      <c r="Z55" s="44">
        <v>1.568629</v>
      </c>
      <c r="AA55" s="45"/>
      <c r="AB55" s="46" t="s">
        <v>181</v>
      </c>
      <c r="AC55" s="44">
        <v>61.0</v>
      </c>
    </row>
    <row r="56">
      <c r="A56" s="2">
        <v>55.0</v>
      </c>
      <c r="B56" s="14">
        <f>IF(PasteBBM!B56="",156,PasteBBM!B56)</f>
        <v>75.58571</v>
      </c>
      <c r="C56" t="str">
        <f>PasteBBM!I56</f>
        <v>Immanuel Quickley</v>
      </c>
      <c r="D56" t="str">
        <f>IFERROR(REPLACE(PasteBBM!K56,FIND("/",PasteBBM!K56,1),1,","),PasteBBM!K56)</f>
        <v>PG</v>
      </c>
      <c r="E56" t="str">
        <f>PasteBBM!J56</f>
        <v>TOR</v>
      </c>
      <c r="F56">
        <f>PasteBBM!U56</f>
        <v>71</v>
      </c>
      <c r="G56">
        <f>PasteBBM!X56</f>
        <v>32</v>
      </c>
      <c r="H56">
        <f>PasteBBM!AE56*PasteBBM!AF56</f>
        <v>6.000002582</v>
      </c>
      <c r="I56">
        <f>PasteBBM!AE56</f>
        <v>0.436883</v>
      </c>
      <c r="J56">
        <f>PasteBBM!AG56*PasteBBM!AH56</f>
        <v>3.127886714</v>
      </c>
      <c r="K56">
        <f>PasteBBM!AG56</f>
        <v>0.875986</v>
      </c>
      <c r="L56">
        <f>PasteBBM!Z56</f>
        <v>2.960986</v>
      </c>
      <c r="M56">
        <f>PasteBBM!Y56</f>
        <v>18.08887</v>
      </c>
      <c r="N56">
        <f>PasteBBM!AA56</f>
        <v>4.46338</v>
      </c>
      <c r="O56">
        <f>PasteBBM!AB56</f>
        <v>6.248732</v>
      </c>
      <c r="P56">
        <f>PasteBBM!AC56</f>
        <v>0.961268</v>
      </c>
      <c r="Q56">
        <f>PasteBBM!AD56</f>
        <v>0.135915</v>
      </c>
      <c r="R56">
        <f>PasteBBM!AI56</f>
        <v>1.71662</v>
      </c>
      <c r="S56">
        <f>PasteBBM!AE56</f>
        <v>0.436883</v>
      </c>
      <c r="T56">
        <f>PasteBBM!AG56</f>
        <v>0.875986</v>
      </c>
      <c r="V56" s="44">
        <v>0.139298</v>
      </c>
      <c r="W56" s="44">
        <v>-0.00691</v>
      </c>
      <c r="X56" s="44">
        <v>0.149795</v>
      </c>
      <c r="Y56" s="44">
        <v>-0.0105</v>
      </c>
      <c r="Z56" s="44">
        <v>0.565034</v>
      </c>
      <c r="AA56" s="45"/>
      <c r="AB56" s="46" t="s">
        <v>67</v>
      </c>
      <c r="AC56" s="44">
        <v>49.0</v>
      </c>
    </row>
    <row r="57">
      <c r="A57" s="2">
        <v>56.0</v>
      </c>
      <c r="B57" s="14">
        <f>IF(PasteBBM!B57="",156,PasteBBM!B57)</f>
        <v>83.8</v>
      </c>
      <c r="C57" t="str">
        <f>PasteBBM!I57</f>
        <v>Matas Buzelis</v>
      </c>
      <c r="D57" t="str">
        <f>IFERROR(REPLACE(PasteBBM!K57,FIND("/",PasteBBM!K57,1),1,","),PasteBBM!K57)</f>
        <v>SF,PF</v>
      </c>
      <c r="E57" t="str">
        <f>PasteBBM!J57</f>
        <v>CHI</v>
      </c>
      <c r="F57">
        <f>PasteBBM!U57</f>
        <v>71</v>
      </c>
      <c r="G57">
        <f>PasteBBM!X57</f>
        <v>32</v>
      </c>
      <c r="H57">
        <f>PasteBBM!AE57*PasteBBM!AF57</f>
        <v>6.122115159</v>
      </c>
      <c r="I57">
        <f>PasteBBM!AE57</f>
        <v>0.475335</v>
      </c>
      <c r="J57">
        <f>PasteBBM!AG57*PasteBBM!AH57</f>
        <v>2.6339439</v>
      </c>
      <c r="K57">
        <f>PasteBBM!AG57</f>
        <v>0.817995</v>
      </c>
      <c r="L57">
        <f>PasteBBM!Z57</f>
        <v>2.27507</v>
      </c>
      <c r="M57">
        <f>PasteBBM!Y57</f>
        <v>17.15324</v>
      </c>
      <c r="N57">
        <f>PasteBBM!AA57</f>
        <v>6.16</v>
      </c>
      <c r="O57">
        <f>PasteBBM!AB57</f>
        <v>2.45</v>
      </c>
      <c r="P57">
        <f>PasteBBM!AC57</f>
        <v>0.84</v>
      </c>
      <c r="Q57">
        <f>PasteBBM!AD57</f>
        <v>1.54</v>
      </c>
      <c r="R57">
        <f>PasteBBM!AI57</f>
        <v>2.03</v>
      </c>
      <c r="S57">
        <f>PasteBBM!AE57</f>
        <v>0.475335</v>
      </c>
      <c r="T57">
        <f>PasteBBM!AG57</f>
        <v>0.817995</v>
      </c>
      <c r="V57" s="44">
        <v>0.128137</v>
      </c>
      <c r="W57" s="44">
        <v>0.028757</v>
      </c>
      <c r="X57" s="44">
        <v>0.041898</v>
      </c>
      <c r="Y57" s="44">
        <v>0.086239</v>
      </c>
      <c r="Z57" s="44">
        <v>0.184039</v>
      </c>
      <c r="AA57" s="45"/>
      <c r="AB57" s="46" t="s">
        <v>180</v>
      </c>
      <c r="AC57" s="44">
        <v>100.0</v>
      </c>
    </row>
    <row r="58">
      <c r="A58" s="2">
        <v>57.0</v>
      </c>
      <c r="B58" s="14">
        <f>IF(PasteBBM!B58="",156,PasteBBM!B58)</f>
        <v>44.7</v>
      </c>
      <c r="C58" t="str">
        <f>PasteBBM!I58</f>
        <v>Zion Williamson</v>
      </c>
      <c r="D58" t="str">
        <f>IFERROR(REPLACE(PasteBBM!K58,FIND("/",PasteBBM!K58,1),1,","),PasteBBM!K58)</f>
        <v>SF,PF</v>
      </c>
      <c r="E58" t="str">
        <f>PasteBBM!J58</f>
        <v>NOR</v>
      </c>
      <c r="F58">
        <f>PasteBBM!U58</f>
        <v>57</v>
      </c>
      <c r="G58">
        <f>PasteBBM!X58</f>
        <v>32</v>
      </c>
      <c r="H58">
        <f>PasteBBM!AE58*PasteBBM!AF58</f>
        <v>10.91104423</v>
      </c>
      <c r="I58">
        <f>PasteBBM!AE58</f>
        <v>0.578733</v>
      </c>
      <c r="J58">
        <f>PasteBBM!AG58*PasteBBM!AH58</f>
        <v>5.504738185</v>
      </c>
      <c r="K58">
        <f>PasteBBM!AG58</f>
        <v>0.679009</v>
      </c>
      <c r="L58">
        <f>PasteBBM!Z58</f>
        <v>0.157193</v>
      </c>
      <c r="M58">
        <f>PasteBBM!Y58</f>
        <v>27.48404</v>
      </c>
      <c r="N58">
        <f>PasteBBM!AA58</f>
        <v>7.07</v>
      </c>
      <c r="O58">
        <f>PasteBBM!AB58</f>
        <v>5.992632</v>
      </c>
      <c r="P58">
        <f>PasteBBM!AC58</f>
        <v>1.21193</v>
      </c>
      <c r="Q58">
        <f>PasteBBM!AD58</f>
        <v>0.875263</v>
      </c>
      <c r="R58">
        <f>PasteBBM!AI58</f>
        <v>3.139474</v>
      </c>
      <c r="S58">
        <f>PasteBBM!AE58</f>
        <v>0.578733</v>
      </c>
      <c r="T58">
        <f>PasteBBM!AG58</f>
        <v>0.679009</v>
      </c>
      <c r="V58" s="44">
        <v>0.124548</v>
      </c>
      <c r="W58" s="44">
        <v>0.010299</v>
      </c>
      <c r="X58" s="44">
        <v>0.006444</v>
      </c>
      <c r="Y58" s="44">
        <v>0.118105</v>
      </c>
      <c r="Z58" s="44">
        <v>0.509278</v>
      </c>
      <c r="AA58" s="45"/>
      <c r="AB58" s="46" t="s">
        <v>189</v>
      </c>
      <c r="AC58" s="44">
        <v>27.0</v>
      </c>
    </row>
    <row r="59">
      <c r="A59" s="2">
        <v>58.0</v>
      </c>
      <c r="B59" s="14">
        <f>IF(PasteBBM!B59="",156,PasteBBM!B59)</f>
        <v>87.85714</v>
      </c>
      <c r="C59" t="str">
        <f>PasteBBM!I59</f>
        <v>Onyeka Okongwu</v>
      </c>
      <c r="D59" t="str">
        <f>IFERROR(REPLACE(PasteBBM!K59,FIND("/",PasteBBM!K59,1),1,","),PasteBBM!K59)</f>
        <v>C</v>
      </c>
      <c r="E59" t="str">
        <f>PasteBBM!J59</f>
        <v>ATL</v>
      </c>
      <c r="F59">
        <f>PasteBBM!U59</f>
        <v>71</v>
      </c>
      <c r="G59">
        <f>PasteBBM!X59</f>
        <v>29</v>
      </c>
      <c r="H59">
        <f>PasteBBM!AE59*PasteBBM!AF59</f>
        <v>5.320565116</v>
      </c>
      <c r="I59">
        <f>PasteBBM!AE59</f>
        <v>0.564512</v>
      </c>
      <c r="J59">
        <f>PasteBBM!AG59*PasteBBM!AH59</f>
        <v>2.098029325</v>
      </c>
      <c r="K59">
        <f>PasteBBM!AG59</f>
        <v>0.795005</v>
      </c>
      <c r="L59">
        <f>PasteBBM!Z59</f>
        <v>0.885634</v>
      </c>
      <c r="M59">
        <f>PasteBBM!Y59</f>
        <v>13.62479</v>
      </c>
      <c r="N59">
        <f>PasteBBM!AA59</f>
        <v>8.356901</v>
      </c>
      <c r="O59">
        <f>PasteBBM!AB59</f>
        <v>2.136338</v>
      </c>
      <c r="P59">
        <f>PasteBBM!AC59</f>
        <v>0.937324</v>
      </c>
      <c r="Q59">
        <f>PasteBBM!AD59</f>
        <v>0.816901</v>
      </c>
      <c r="R59">
        <f>PasteBBM!AI59</f>
        <v>1.193803</v>
      </c>
      <c r="S59">
        <f>PasteBBM!AE59</f>
        <v>0.564512</v>
      </c>
      <c r="T59">
        <f>PasteBBM!AG59</f>
        <v>0.795005</v>
      </c>
      <c r="V59" s="44">
        <v>0.082558</v>
      </c>
      <c r="W59" s="270">
        <v>9.97E-5</v>
      </c>
      <c r="X59" s="44">
        <v>-0.02562</v>
      </c>
      <c r="Y59" s="44">
        <v>0.108175</v>
      </c>
      <c r="Z59" s="44">
        <v>0.946028</v>
      </c>
      <c r="AA59" s="45"/>
      <c r="AB59" s="46" t="s">
        <v>53</v>
      </c>
      <c r="AC59" s="44">
        <v>62.0</v>
      </c>
    </row>
    <row r="60">
      <c r="A60" s="2">
        <v>59.0</v>
      </c>
      <c r="B60" s="14">
        <f>IF(PasteBBM!B60="",156,PasteBBM!B60)</f>
        <v>66.6</v>
      </c>
      <c r="C60" t="str">
        <f>PasteBBM!I60</f>
        <v>Deandre Ayton</v>
      </c>
      <c r="D60" t="str">
        <f>IFERROR(REPLACE(PasteBBM!K60,FIND("/",PasteBBM!K60,1),1,","),PasteBBM!K60)</f>
        <v>C</v>
      </c>
      <c r="E60" t="str">
        <f>PasteBBM!J60</f>
        <v>LAL</v>
      </c>
      <c r="F60">
        <f>PasteBBM!U60</f>
        <v>66</v>
      </c>
      <c r="G60">
        <f>PasteBBM!X60</f>
        <v>32</v>
      </c>
      <c r="H60">
        <f>PasteBBM!AE60*PasteBBM!AF60</f>
        <v>6.88318046</v>
      </c>
      <c r="I60">
        <f>PasteBBM!AE60</f>
        <v>0.578868</v>
      </c>
      <c r="J60">
        <f>PasteBBM!AG60*PasteBBM!AH60</f>
        <v>1.417271636</v>
      </c>
      <c r="K60">
        <f>PasteBBM!AG60</f>
        <v>0.744982</v>
      </c>
      <c r="L60">
        <f>PasteBBM!Z60</f>
        <v>0.095152</v>
      </c>
      <c r="M60">
        <f>PasteBBM!Y60</f>
        <v>15.27879</v>
      </c>
      <c r="N60">
        <f>PasteBBM!AA60</f>
        <v>10.64939</v>
      </c>
      <c r="O60">
        <f>PasteBBM!AB60</f>
        <v>1.56803</v>
      </c>
      <c r="P60">
        <f>PasteBBM!AC60</f>
        <v>0.856818</v>
      </c>
      <c r="Q60">
        <f>PasteBBM!AD60</f>
        <v>0.974242</v>
      </c>
      <c r="R60">
        <f>PasteBBM!AI60</f>
        <v>1.56803</v>
      </c>
      <c r="S60">
        <f>PasteBBM!AE60</f>
        <v>0.578868</v>
      </c>
      <c r="T60">
        <f>PasteBBM!AG60</f>
        <v>0.744982</v>
      </c>
      <c r="V60" s="44">
        <v>0.07544</v>
      </c>
      <c r="W60" s="44">
        <v>0.002707</v>
      </c>
      <c r="X60" s="44">
        <v>-0.10134</v>
      </c>
      <c r="Y60" s="44">
        <v>0.176777</v>
      </c>
      <c r="Z60" s="44">
        <v>0.481401</v>
      </c>
      <c r="AA60" s="45"/>
      <c r="AB60" s="46" t="s">
        <v>141</v>
      </c>
      <c r="AC60" s="44">
        <v>92.0</v>
      </c>
    </row>
    <row r="61">
      <c r="A61" s="2">
        <v>60.0</v>
      </c>
      <c r="B61" s="14">
        <f>IF(PasteBBM!B61="",156,PasteBBM!B61)</f>
        <v>57.84286</v>
      </c>
      <c r="C61" t="str">
        <f>PasteBBM!I61</f>
        <v>Coby White</v>
      </c>
      <c r="D61" t="str">
        <f>IFERROR(REPLACE(PasteBBM!K61,FIND("/",PasteBBM!K61,1),1,","),PasteBBM!K61)</f>
        <v>PG,SG</v>
      </c>
      <c r="E61" t="str">
        <f>PasteBBM!J61</f>
        <v>CHI</v>
      </c>
      <c r="F61">
        <f>PasteBBM!U61</f>
        <v>71</v>
      </c>
      <c r="G61">
        <f>PasteBBM!X61</f>
        <v>33</v>
      </c>
      <c r="H61">
        <f>PasteBBM!AE61*PasteBBM!AF61</f>
        <v>7.291269636</v>
      </c>
      <c r="I61">
        <f>PasteBBM!AE61</f>
        <v>0.463319</v>
      </c>
      <c r="J61">
        <f>PasteBBM!AG61*PasteBBM!AH61</f>
        <v>5.26239402</v>
      </c>
      <c r="K61">
        <f>PasteBBM!AG61</f>
        <v>0.879999</v>
      </c>
      <c r="L61">
        <f>PasteBBM!Z61</f>
        <v>2.850986</v>
      </c>
      <c r="M61">
        <f>PasteBBM!Y61</f>
        <v>22.69592</v>
      </c>
      <c r="N61">
        <f>PasteBBM!AA61</f>
        <v>4.331268</v>
      </c>
      <c r="O61">
        <f>PasteBBM!AB61</f>
        <v>4.297465</v>
      </c>
      <c r="P61">
        <f>PasteBBM!AC61</f>
        <v>0.86338</v>
      </c>
      <c r="Q61">
        <f>PasteBBM!AD61</f>
        <v>0.217042</v>
      </c>
      <c r="R61">
        <f>PasteBBM!AI61</f>
        <v>2.454366</v>
      </c>
      <c r="S61">
        <f>PasteBBM!AE61</f>
        <v>0.463319</v>
      </c>
      <c r="T61">
        <f>PasteBBM!AG61</f>
        <v>0.879999</v>
      </c>
      <c r="V61" s="44">
        <v>0.062651</v>
      </c>
      <c r="W61" s="44">
        <v>0.069791</v>
      </c>
      <c r="X61" s="44">
        <v>-0.12288</v>
      </c>
      <c r="Y61" s="44">
        <v>0.185526</v>
      </c>
      <c r="Z61" s="44">
        <v>1.289853</v>
      </c>
      <c r="AA61" s="45"/>
      <c r="AB61" s="46" t="s">
        <v>183</v>
      </c>
      <c r="AC61" s="44">
        <v>151.0</v>
      </c>
    </row>
    <row r="62">
      <c r="A62" s="2">
        <v>61.0</v>
      </c>
      <c r="B62" s="14">
        <f>IF(PasteBBM!B62="",156,PasteBBM!B62)</f>
        <v>44.47143</v>
      </c>
      <c r="C62" t="str">
        <f>PasteBBM!I62</f>
        <v>Ja Morant</v>
      </c>
      <c r="D62" t="str">
        <f>IFERROR(REPLACE(PasteBBM!K62,FIND("/",PasteBBM!K62,1),1,","),PasteBBM!K62)</f>
        <v>PG</v>
      </c>
      <c r="E62" t="str">
        <f>PasteBBM!J62</f>
        <v>MEM</v>
      </c>
      <c r="F62">
        <f>PasteBBM!U62</f>
        <v>58</v>
      </c>
      <c r="G62">
        <f>PasteBBM!X62</f>
        <v>32</v>
      </c>
      <c r="H62">
        <f>PasteBBM!AE62*PasteBBM!AF62</f>
        <v>9.526545964</v>
      </c>
      <c r="I62">
        <f>PasteBBM!AE62</f>
        <v>0.4693</v>
      </c>
      <c r="J62">
        <f>PasteBBM!AG62*PasteBBM!AH62</f>
        <v>5.419483591</v>
      </c>
      <c r="K62">
        <f>PasteBBM!AG62</f>
        <v>0.809003</v>
      </c>
      <c r="L62">
        <f>PasteBBM!Z62</f>
        <v>2.078793</v>
      </c>
      <c r="M62">
        <f>PasteBBM!Y62</f>
        <v>26.55138</v>
      </c>
      <c r="N62">
        <f>PasteBBM!AA62</f>
        <v>5.04</v>
      </c>
      <c r="O62">
        <f>PasteBBM!AB62</f>
        <v>7.63</v>
      </c>
      <c r="P62">
        <f>PasteBBM!AC62</f>
        <v>1.12</v>
      </c>
      <c r="Q62">
        <f>PasteBBM!AD62</f>
        <v>0.278621</v>
      </c>
      <c r="R62">
        <f>PasteBBM!AI62</f>
        <v>3.625517</v>
      </c>
      <c r="S62">
        <f>PasteBBM!AE62</f>
        <v>0.4693</v>
      </c>
      <c r="T62">
        <f>PasteBBM!AG62</f>
        <v>0.809003</v>
      </c>
      <c r="V62" s="44">
        <v>0.057524</v>
      </c>
      <c r="W62" s="44">
        <v>-0.01599</v>
      </c>
      <c r="X62" s="44">
        <v>-0.23757</v>
      </c>
      <c r="Y62" s="44">
        <v>0.295097</v>
      </c>
      <c r="Z62" s="44">
        <v>-1.16338</v>
      </c>
      <c r="AA62" s="45"/>
      <c r="AB62" s="46" t="s">
        <v>130</v>
      </c>
      <c r="AC62" s="44">
        <v>89.0</v>
      </c>
    </row>
    <row r="63">
      <c r="A63" s="2">
        <v>62.0</v>
      </c>
      <c r="B63" s="14">
        <f>IF(PasteBBM!B63="",156,PasteBBM!B63)</f>
        <v>43.57143</v>
      </c>
      <c r="C63" t="str">
        <f>PasteBBM!I63</f>
        <v>Desmond Bane</v>
      </c>
      <c r="D63" t="str">
        <f>IFERROR(REPLACE(PasteBBM!K63,FIND("/",PasteBBM!K63,1),1,","),PasteBBM!K63)</f>
        <v>SG,SF</v>
      </c>
      <c r="E63" t="str">
        <f>PasteBBM!J63</f>
        <v>ORL</v>
      </c>
      <c r="F63">
        <f>PasteBBM!U63</f>
        <v>66</v>
      </c>
      <c r="G63">
        <f>PasteBBM!X63</f>
        <v>34</v>
      </c>
      <c r="H63">
        <f>PasteBBM!AE63*PasteBBM!AF63</f>
        <v>6.802580573</v>
      </c>
      <c r="I63">
        <f>PasteBBM!AE63</f>
        <v>0.485111</v>
      </c>
      <c r="J63">
        <f>PasteBBM!AG63*PasteBBM!AH63</f>
        <v>2.116818047</v>
      </c>
      <c r="K63">
        <f>PasteBBM!AG63</f>
        <v>0.888006</v>
      </c>
      <c r="L63">
        <f>PasteBBM!Z63</f>
        <v>2.504848</v>
      </c>
      <c r="M63">
        <f>PasteBBM!Y63</f>
        <v>18.22682</v>
      </c>
      <c r="N63">
        <f>PasteBBM!AA63</f>
        <v>4.512121</v>
      </c>
      <c r="O63">
        <f>PasteBBM!AB63</f>
        <v>4.165</v>
      </c>
      <c r="P63">
        <f>PasteBBM!AC63</f>
        <v>1.043333</v>
      </c>
      <c r="Q63">
        <f>PasteBBM!AD63</f>
        <v>0.346667</v>
      </c>
      <c r="R63">
        <f>PasteBBM!AI63</f>
        <v>1.943636</v>
      </c>
      <c r="S63">
        <f>PasteBBM!AE63</f>
        <v>0.485111</v>
      </c>
      <c r="T63">
        <f>PasteBBM!AG63</f>
        <v>0.888006</v>
      </c>
      <c r="V63" s="44">
        <v>0.054779</v>
      </c>
      <c r="W63" s="44">
        <v>0.001694</v>
      </c>
      <c r="X63" s="44">
        <v>-0.0979</v>
      </c>
      <c r="Y63" s="44">
        <v>0.152676</v>
      </c>
      <c r="Z63" s="44">
        <v>-1.85103</v>
      </c>
      <c r="AA63" s="45"/>
      <c r="AB63" s="46" t="s">
        <v>60</v>
      </c>
      <c r="AC63" s="44">
        <v>353.0</v>
      </c>
    </row>
    <row r="64">
      <c r="A64" s="2">
        <v>63.0</v>
      </c>
      <c r="B64" s="14">
        <f>IF(PasteBBM!B64="",156,PasteBBM!B64)</f>
        <v>114.4714</v>
      </c>
      <c r="C64" t="str">
        <f>PasteBBM!I64</f>
        <v>Tari Eason</v>
      </c>
      <c r="D64" t="str">
        <f>IFERROR(REPLACE(PasteBBM!K64,FIND("/",PasteBBM!K64,1),1,","),PasteBBM!K64)</f>
        <v>SF,PF</v>
      </c>
      <c r="E64" t="str">
        <f>PasteBBM!J64</f>
        <v>HOU</v>
      </c>
      <c r="F64">
        <f>PasteBBM!U64</f>
        <v>62</v>
      </c>
      <c r="G64">
        <f>PasteBBM!X64</f>
        <v>26</v>
      </c>
      <c r="H64">
        <f>PasteBBM!AE64*PasteBBM!AF64</f>
        <v>5.26371321</v>
      </c>
      <c r="I64">
        <f>PasteBBM!AE64</f>
        <v>0.493386</v>
      </c>
      <c r="J64">
        <f>PasteBBM!AG64*PasteBBM!AH64</f>
        <v>1.28354855</v>
      </c>
      <c r="K64">
        <f>PasteBBM!AG64</f>
        <v>0.751961</v>
      </c>
      <c r="L64">
        <f>PasteBBM!Z64</f>
        <v>1.194839</v>
      </c>
      <c r="M64">
        <f>PasteBBM!Y64</f>
        <v>13.00581</v>
      </c>
      <c r="N64">
        <f>PasteBBM!AA64</f>
        <v>6.783871</v>
      </c>
      <c r="O64">
        <f>PasteBBM!AB64</f>
        <v>1.517903</v>
      </c>
      <c r="P64">
        <f>PasteBBM!AC64</f>
        <v>1.477097</v>
      </c>
      <c r="Q64">
        <f>PasteBBM!AD64</f>
        <v>0.822581</v>
      </c>
      <c r="R64">
        <f>PasteBBM!AI64</f>
        <v>1.205968</v>
      </c>
      <c r="S64">
        <f>PasteBBM!AE64</f>
        <v>0.493386</v>
      </c>
      <c r="T64">
        <f>PasteBBM!AG64</f>
        <v>0.751961</v>
      </c>
      <c r="V64" s="44">
        <v>0.046604</v>
      </c>
      <c r="W64" s="44">
        <v>-0.0045</v>
      </c>
      <c r="X64" s="44">
        <v>-0.12026</v>
      </c>
      <c r="Y64" s="44">
        <v>0.166863</v>
      </c>
      <c r="Z64" s="44">
        <v>1.224805</v>
      </c>
      <c r="AA64" s="45"/>
      <c r="AB64" s="46" t="s">
        <v>143</v>
      </c>
      <c r="AC64" s="44">
        <v>121.0</v>
      </c>
    </row>
    <row r="65">
      <c r="A65" s="2">
        <v>64.0</v>
      </c>
      <c r="B65" s="14">
        <f>IF(PasteBBM!B65="",156,PasteBBM!B65)</f>
        <v>79.27143</v>
      </c>
      <c r="C65" t="str">
        <f>PasteBBM!I65</f>
        <v>Isaiah Hartenstein</v>
      </c>
      <c r="D65" t="str">
        <f>IFERROR(REPLACE(PasteBBM!K65,FIND("/",PasteBBM!K65,1),1,","),PasteBBM!K65)</f>
        <v>C</v>
      </c>
      <c r="E65" t="str">
        <f>PasteBBM!J65</f>
        <v>OKC</v>
      </c>
      <c r="F65">
        <f>PasteBBM!U65</f>
        <v>66</v>
      </c>
      <c r="G65">
        <f>PasteBBM!X65</f>
        <v>27</v>
      </c>
      <c r="H65">
        <f>PasteBBM!AE65*PasteBBM!AF65</f>
        <v>4.8137898</v>
      </c>
      <c r="I65">
        <f>PasteBBM!AE65</f>
        <v>0.59934</v>
      </c>
      <c r="J65">
        <f>PasteBBM!AG65*PasteBBM!AH65</f>
        <v>1.013635708</v>
      </c>
      <c r="K65">
        <f>PasteBBM!AG65</f>
        <v>0.701037</v>
      </c>
      <c r="L65">
        <f>PasteBBM!Z65</f>
        <v>0.062879</v>
      </c>
      <c r="M65">
        <f>PasteBBM!Y65</f>
        <v>10.70409</v>
      </c>
      <c r="N65">
        <f>PasteBBM!AA65</f>
        <v>9.466818</v>
      </c>
      <c r="O65">
        <f>PasteBBM!AB65</f>
        <v>3.442424</v>
      </c>
      <c r="P65">
        <f>PasteBBM!AC65</f>
        <v>0.911667</v>
      </c>
      <c r="Q65">
        <f>PasteBBM!AD65</f>
        <v>1.095</v>
      </c>
      <c r="R65">
        <f>PasteBBM!AI65</f>
        <v>1.549091</v>
      </c>
      <c r="S65">
        <f>PasteBBM!AE65</f>
        <v>0.59934</v>
      </c>
      <c r="T65">
        <f>PasteBBM!AG65</f>
        <v>0.701037</v>
      </c>
      <c r="V65" s="44">
        <v>0.036056</v>
      </c>
      <c r="W65" s="44">
        <v>-0.00863</v>
      </c>
      <c r="X65" s="44">
        <v>-0.05484</v>
      </c>
      <c r="Y65" s="44">
        <v>0.090894</v>
      </c>
      <c r="Z65" s="44">
        <v>0.639374</v>
      </c>
      <c r="AA65" s="45"/>
      <c r="AB65" s="46" t="s">
        <v>56</v>
      </c>
      <c r="AC65" s="44">
        <v>70.0</v>
      </c>
    </row>
    <row r="66">
      <c r="A66" s="2">
        <v>65.0</v>
      </c>
      <c r="B66" s="14">
        <f>IF(PasteBBM!B66="",156,PasteBBM!B66)</f>
        <v>23.38571</v>
      </c>
      <c r="C66" t="str">
        <f>PasteBBM!I66</f>
        <v>Jalen Brunson</v>
      </c>
      <c r="D66" t="str">
        <f>IFERROR(REPLACE(PasteBBM!K66,FIND("/",PasteBBM!K66,1),1,","),PasteBBM!K66)</f>
        <v>PG</v>
      </c>
      <c r="E66" t="str">
        <f>PasteBBM!J66</f>
        <v>NYK</v>
      </c>
      <c r="F66">
        <f>PasteBBM!U66</f>
        <v>66</v>
      </c>
      <c r="G66">
        <f>PasteBBM!X66</f>
        <v>35</v>
      </c>
      <c r="H66">
        <f>PasteBBM!AE66*PasteBBM!AF66</f>
        <v>8.608174928</v>
      </c>
      <c r="I66">
        <f>PasteBBM!AE66</f>
        <v>0.482767</v>
      </c>
      <c r="J66">
        <f>PasteBBM!AG66*PasteBBM!AH66</f>
        <v>5.385149972</v>
      </c>
      <c r="K66">
        <f>PasteBBM!AG66</f>
        <v>0.822998</v>
      </c>
      <c r="L66">
        <f>PasteBBM!Z66</f>
        <v>2.247727</v>
      </c>
      <c r="M66">
        <f>PasteBBM!Y66</f>
        <v>24.84924</v>
      </c>
      <c r="N66">
        <f>PasteBBM!AA66</f>
        <v>2.815303</v>
      </c>
      <c r="O66">
        <f>PasteBBM!AB66</f>
        <v>6.713485</v>
      </c>
      <c r="P66">
        <f>PasteBBM!AC66</f>
        <v>0.933636</v>
      </c>
      <c r="Q66">
        <f>PasteBBM!AD66</f>
        <v>0.144848</v>
      </c>
      <c r="R66">
        <f>PasteBBM!AI66</f>
        <v>2.606818</v>
      </c>
      <c r="S66">
        <f>PasteBBM!AE66</f>
        <v>0.482767</v>
      </c>
      <c r="T66">
        <f>PasteBBM!AG66</f>
        <v>0.822998</v>
      </c>
      <c r="V66" s="44">
        <v>0.032597</v>
      </c>
      <c r="W66" s="44">
        <v>0.002118</v>
      </c>
      <c r="X66" s="44">
        <v>-0.10025</v>
      </c>
      <c r="Y66" s="44">
        <v>0.132842</v>
      </c>
      <c r="Z66" s="44">
        <v>-2.70594</v>
      </c>
      <c r="AA66" s="45"/>
      <c r="AB66" s="46" t="s">
        <v>46</v>
      </c>
      <c r="AC66" s="44">
        <v>124.0</v>
      </c>
    </row>
    <row r="67">
      <c r="A67" s="2">
        <v>66.0</v>
      </c>
      <c r="B67" s="14">
        <f>IF(PasteBBM!B67="",156,PasteBBM!B67)</f>
        <v>55.22857</v>
      </c>
      <c r="C67" t="str">
        <f>PasteBBM!I67</f>
        <v>Jarrett Allen</v>
      </c>
      <c r="D67" t="str">
        <f>IFERROR(REPLACE(PasteBBM!K67,FIND("/",PasteBBM!K67,1),1,","),PasteBBM!K67)</f>
        <v>C</v>
      </c>
      <c r="E67" t="str">
        <f>PasteBBM!J67</f>
        <v>CLE</v>
      </c>
      <c r="F67">
        <f>PasteBBM!U67</f>
        <v>75</v>
      </c>
      <c r="G67">
        <f>PasteBBM!X67</f>
        <v>28</v>
      </c>
      <c r="H67">
        <f>PasteBBM!AE67*PasteBBM!AF67</f>
        <v>5.593999344</v>
      </c>
      <c r="I67">
        <f>PasteBBM!AE67</f>
        <v>0.683117</v>
      </c>
      <c r="J67">
        <f>PasteBBM!AG67*PasteBBM!AH67</f>
        <v>2.325734397</v>
      </c>
      <c r="K67">
        <f>PasteBBM!AG67</f>
        <v>0.709989</v>
      </c>
      <c r="L67">
        <f>PasteBBM!Z67</f>
        <v>0</v>
      </c>
      <c r="M67">
        <f>PasteBBM!Y67</f>
        <v>13.51373</v>
      </c>
      <c r="N67">
        <f>PasteBBM!AA67</f>
        <v>9.249867</v>
      </c>
      <c r="O67">
        <f>PasteBBM!AB67</f>
        <v>1.9416</v>
      </c>
      <c r="P67">
        <f>PasteBBM!AC67</f>
        <v>0.8248</v>
      </c>
      <c r="Q67">
        <f>PasteBBM!AD67</f>
        <v>0.825067</v>
      </c>
      <c r="R67">
        <f>PasteBBM!AI67</f>
        <v>1.2376</v>
      </c>
      <c r="S67">
        <f>PasteBBM!AE67</f>
        <v>0.683117</v>
      </c>
      <c r="T67">
        <f>PasteBBM!AG67</f>
        <v>0.709989</v>
      </c>
      <c r="V67" s="44">
        <v>0.03089</v>
      </c>
      <c r="W67" s="44">
        <v>0.052863</v>
      </c>
      <c r="X67" s="44">
        <v>-0.15308</v>
      </c>
      <c r="Y67" s="44">
        <v>0.183968</v>
      </c>
      <c r="Z67" s="44">
        <v>-0.66158</v>
      </c>
      <c r="AA67" s="45"/>
      <c r="AB67" s="46" t="s">
        <v>103</v>
      </c>
      <c r="AC67" s="44">
        <v>94.0</v>
      </c>
    </row>
    <row r="68">
      <c r="A68" s="2">
        <v>67.0</v>
      </c>
      <c r="B68" s="14">
        <f>IF(PasteBBM!B68="",156,PasteBBM!B68)</f>
        <v>38.71429</v>
      </c>
      <c r="C68" t="str">
        <f>PasteBBM!I68</f>
        <v>De'Aaron Fox</v>
      </c>
      <c r="D68" t="str">
        <f>IFERROR(REPLACE(PasteBBM!K68,FIND("/",PasteBBM!K68,1),1,","),PasteBBM!K68)</f>
        <v>PG,SG</v>
      </c>
      <c r="E68" t="str">
        <f>PasteBBM!J68</f>
        <v>SAS</v>
      </c>
      <c r="F68">
        <f>PasteBBM!U68</f>
        <v>66</v>
      </c>
      <c r="G68">
        <f>PasteBBM!X68</f>
        <v>34</v>
      </c>
      <c r="H68">
        <f>PasteBBM!AE68*PasteBBM!AF68</f>
        <v>7.486524049</v>
      </c>
      <c r="I68">
        <f>PasteBBM!AE68</f>
        <v>0.454484</v>
      </c>
      <c r="J68">
        <f>PasteBBM!AG68*PasteBBM!AH68</f>
        <v>3.320907633</v>
      </c>
      <c r="K68">
        <f>PasteBBM!AG68</f>
        <v>0.839995</v>
      </c>
      <c r="L68">
        <f>PasteBBM!Z68</f>
        <v>1.665455</v>
      </c>
      <c r="M68">
        <f>PasteBBM!Y68</f>
        <v>19.95939</v>
      </c>
      <c r="N68">
        <f>PasteBBM!AA68</f>
        <v>4.118182</v>
      </c>
      <c r="O68">
        <f>PasteBBM!AB68</f>
        <v>6.502424</v>
      </c>
      <c r="P68">
        <f>PasteBBM!AC68</f>
        <v>1.228182</v>
      </c>
      <c r="Q68">
        <f>PasteBBM!AD68</f>
        <v>0.435303</v>
      </c>
      <c r="R68">
        <f>PasteBBM!AI68</f>
        <v>2.528788</v>
      </c>
      <c r="S68">
        <f>PasteBBM!AE68</f>
        <v>0.454484</v>
      </c>
      <c r="T68">
        <f>PasteBBM!AG68</f>
        <v>0.839995</v>
      </c>
      <c r="V68" s="44">
        <v>0.030605</v>
      </c>
      <c r="W68" s="44">
        <v>0.001931</v>
      </c>
      <c r="X68" s="44">
        <v>-0.06797</v>
      </c>
      <c r="Y68" s="44">
        <v>0.098573</v>
      </c>
      <c r="Z68" s="44">
        <v>-1.69306</v>
      </c>
      <c r="AA68" s="45"/>
      <c r="AB68" s="46" t="s">
        <v>44</v>
      </c>
      <c r="AC68" s="44">
        <v>88.0</v>
      </c>
    </row>
    <row r="69">
      <c r="A69" s="2">
        <v>68.0</v>
      </c>
      <c r="B69" s="14">
        <f>IF(PasteBBM!B69="",156,PasteBBM!B69)</f>
        <v>101.5714</v>
      </c>
      <c r="C69" t="str">
        <f>PasteBBM!I69</f>
        <v>Keegan Murray</v>
      </c>
      <c r="D69" t="str">
        <f>IFERROR(REPLACE(PasteBBM!K69,FIND("/",PasteBBM!K69,1),1,","),PasteBBM!K69)</f>
        <v>PF</v>
      </c>
      <c r="E69" t="str">
        <f>PasteBBM!J69</f>
        <v>SAC</v>
      </c>
      <c r="F69">
        <f>PasteBBM!U69</f>
        <v>75</v>
      </c>
      <c r="G69">
        <f>PasteBBM!X69</f>
        <v>34</v>
      </c>
      <c r="H69">
        <f>PasteBBM!AE69*PasteBBM!AF69</f>
        <v>4.902133488</v>
      </c>
      <c r="I69">
        <f>PasteBBM!AE69</f>
        <v>0.469397</v>
      </c>
      <c r="J69">
        <f>PasteBBM!AG69*PasteBBM!AH69</f>
        <v>0.5320001763</v>
      </c>
      <c r="K69">
        <f>PasteBBM!AG69</f>
        <v>0.848936</v>
      </c>
      <c r="L69">
        <f>PasteBBM!Z69</f>
        <v>2.3936</v>
      </c>
      <c r="M69">
        <f>PasteBBM!Y69</f>
        <v>12.72987</v>
      </c>
      <c r="N69">
        <f>PasteBBM!AA69</f>
        <v>6.183733</v>
      </c>
      <c r="O69">
        <f>PasteBBM!AB69</f>
        <v>1.4532</v>
      </c>
      <c r="P69">
        <f>PasteBBM!AC69</f>
        <v>0.827067</v>
      </c>
      <c r="Q69">
        <f>PasteBBM!AD69</f>
        <v>0.959867</v>
      </c>
      <c r="R69">
        <f>PasteBBM!AI69</f>
        <v>0.685867</v>
      </c>
      <c r="S69">
        <f>PasteBBM!AE69</f>
        <v>0.469397</v>
      </c>
      <c r="T69">
        <f>PasteBBM!AG69</f>
        <v>0.848936</v>
      </c>
      <c r="V69" s="44">
        <v>0.025907</v>
      </c>
      <c r="W69" s="44">
        <v>-0.01197</v>
      </c>
      <c r="X69" s="44">
        <v>-0.27158</v>
      </c>
      <c r="Y69" s="44">
        <v>0.297486</v>
      </c>
      <c r="Z69" s="44">
        <v>-0.06686</v>
      </c>
      <c r="AA69" s="45"/>
      <c r="AB69" s="46" t="s">
        <v>155</v>
      </c>
      <c r="AC69" s="44">
        <v>91.0</v>
      </c>
    </row>
    <row r="70">
      <c r="A70" s="2">
        <v>69.0</v>
      </c>
      <c r="B70" s="14">
        <f>IF(PasteBBM!B70="",156,PasteBBM!B70)</f>
        <v>53.5</v>
      </c>
      <c r="C70" t="str">
        <f>PasteBBM!I70</f>
        <v>Jalen Duren</v>
      </c>
      <c r="D70" t="str">
        <f>IFERROR(REPLACE(PasteBBM!K70,FIND("/",PasteBBM!K70,1),1,","),PasteBBM!K70)</f>
        <v>C</v>
      </c>
      <c r="E70" t="str">
        <f>PasteBBM!J70</f>
        <v>DET</v>
      </c>
      <c r="F70">
        <f>PasteBBM!U70</f>
        <v>71</v>
      </c>
      <c r="G70">
        <f>PasteBBM!X70</f>
        <v>27</v>
      </c>
      <c r="H70">
        <f>PasteBBM!AE70*PasteBBM!AF70</f>
        <v>5.033383035</v>
      </c>
      <c r="I70">
        <f>PasteBBM!AE70</f>
        <v>0.681458</v>
      </c>
      <c r="J70">
        <f>PasteBBM!AG70*PasteBBM!AH70</f>
        <v>2.503663455</v>
      </c>
      <c r="K70">
        <f>PasteBBM!AG70</f>
        <v>0.677982</v>
      </c>
      <c r="L70">
        <f>PasteBBM!Z70</f>
        <v>0.00662</v>
      </c>
      <c r="M70">
        <f>PasteBBM!Y70</f>
        <v>12.57704</v>
      </c>
      <c r="N70">
        <f>PasteBBM!AA70</f>
        <v>10.73761</v>
      </c>
      <c r="O70">
        <f>PasteBBM!AB70</f>
        <v>2.853662</v>
      </c>
      <c r="P70">
        <f>PasteBBM!AC70</f>
        <v>0.796901</v>
      </c>
      <c r="Q70">
        <f>PasteBBM!AD70</f>
        <v>1.078169</v>
      </c>
      <c r="R70">
        <f>PasteBBM!AI70</f>
        <v>1.759437</v>
      </c>
      <c r="S70">
        <f>PasteBBM!AE70</f>
        <v>0.681458</v>
      </c>
      <c r="T70">
        <f>PasteBBM!AG70</f>
        <v>0.677982</v>
      </c>
      <c r="V70" s="44">
        <v>8.38E-4</v>
      </c>
      <c r="W70" s="44">
        <v>-0.04707</v>
      </c>
      <c r="X70" s="44">
        <v>0.256249</v>
      </c>
      <c r="Y70" s="44">
        <v>-0.25541</v>
      </c>
      <c r="Z70" s="44">
        <v>0.202624</v>
      </c>
      <c r="AA70" s="45"/>
      <c r="AB70" s="46" t="s">
        <v>215</v>
      </c>
      <c r="AC70" s="44">
        <v>24.0</v>
      </c>
    </row>
    <row r="71">
      <c r="A71" s="2">
        <v>70.0</v>
      </c>
      <c r="B71" s="14">
        <f>IF(PasteBBM!B71="",156,PasteBBM!B71)</f>
        <v>67.77143</v>
      </c>
      <c r="C71" t="str">
        <f>PasteBBM!I71</f>
        <v>Miles Bridges</v>
      </c>
      <c r="D71" t="str">
        <f>IFERROR(REPLACE(PasteBBM!K71,FIND("/",PasteBBM!K71,1),1,","),PasteBBM!K71)</f>
        <v>SF,PF</v>
      </c>
      <c r="E71" t="str">
        <f>PasteBBM!J71</f>
        <v>CHA</v>
      </c>
      <c r="F71">
        <f>PasteBBM!U71</f>
        <v>65</v>
      </c>
      <c r="G71">
        <f>PasteBBM!X71</f>
        <v>33</v>
      </c>
      <c r="H71">
        <f>PasteBBM!AE71*PasteBBM!AF71</f>
        <v>7.074006987</v>
      </c>
      <c r="I71">
        <f>PasteBBM!AE71</f>
        <v>0.44349</v>
      </c>
      <c r="J71">
        <f>PasteBBM!AG71*PasteBBM!AH71</f>
        <v>2.591078345</v>
      </c>
      <c r="K71">
        <f>PasteBBM!AG71</f>
        <v>0.855011</v>
      </c>
      <c r="L71">
        <f>PasteBBM!Z71</f>
        <v>2.304462</v>
      </c>
      <c r="M71">
        <f>PasteBBM!Y71</f>
        <v>19.04354</v>
      </c>
      <c r="N71">
        <f>PasteBBM!AA71</f>
        <v>7.287538</v>
      </c>
      <c r="O71">
        <f>PasteBBM!AB71</f>
        <v>3.712462</v>
      </c>
      <c r="P71">
        <f>PasteBBM!AC71</f>
        <v>0.693231</v>
      </c>
      <c r="Q71">
        <f>PasteBBM!AD71</f>
        <v>0.751846</v>
      </c>
      <c r="R71">
        <f>PasteBBM!AI71</f>
        <v>1.924923</v>
      </c>
      <c r="S71">
        <f>PasteBBM!AE71</f>
        <v>0.44349</v>
      </c>
      <c r="T71">
        <f>PasteBBM!AG71</f>
        <v>0.855011</v>
      </c>
      <c r="V71" s="44">
        <v>-0.00398</v>
      </c>
      <c r="W71" s="44">
        <v>-0.06104</v>
      </c>
      <c r="X71" s="44">
        <v>-0.18515</v>
      </c>
      <c r="Y71" s="44">
        <v>0.18117</v>
      </c>
      <c r="Z71" s="44">
        <v>1.196927</v>
      </c>
      <c r="AA71" s="45"/>
      <c r="AB71" s="46" t="s">
        <v>144</v>
      </c>
      <c r="AC71" s="44">
        <v>124.0</v>
      </c>
    </row>
    <row r="72">
      <c r="A72" s="2">
        <v>71.0</v>
      </c>
      <c r="B72" s="14">
        <f>IF(PasteBBM!B72="",156,PasteBBM!B72)</f>
        <v>65.24286</v>
      </c>
      <c r="C72" t="str">
        <f>PasteBBM!I72</f>
        <v>Darius Garland</v>
      </c>
      <c r="D72" t="str">
        <f>IFERROR(REPLACE(PasteBBM!K72,FIND("/",PasteBBM!K72,1),1,","),PasteBBM!K72)</f>
        <v>PG</v>
      </c>
      <c r="E72" t="str">
        <f>PasteBBM!J72</f>
        <v>CLE</v>
      </c>
      <c r="F72">
        <f>PasteBBM!U72</f>
        <v>55</v>
      </c>
      <c r="G72">
        <f>PasteBBM!X72</f>
        <v>30</v>
      </c>
      <c r="H72">
        <f>PasteBBM!AE72*PasteBBM!AF72</f>
        <v>7.011094468</v>
      </c>
      <c r="I72">
        <f>PasteBBM!AE72</f>
        <v>0.458956</v>
      </c>
      <c r="J72">
        <f>PasteBBM!AG72*PasteBBM!AH72</f>
        <v>2.715637064</v>
      </c>
      <c r="K72">
        <f>PasteBBM!AG72</f>
        <v>0.857012</v>
      </c>
      <c r="L72">
        <f>PasteBBM!Z72</f>
        <v>2.715455</v>
      </c>
      <c r="M72">
        <f>PasteBBM!Y72</f>
        <v>19.45327</v>
      </c>
      <c r="N72">
        <f>PasteBBM!AA72</f>
        <v>2.588182</v>
      </c>
      <c r="O72">
        <f>PasteBBM!AB72</f>
        <v>6.312545</v>
      </c>
      <c r="P72">
        <f>PasteBBM!AC72</f>
        <v>1.252909</v>
      </c>
      <c r="Q72">
        <f>PasteBBM!AD72</f>
        <v>0.126909</v>
      </c>
      <c r="R72">
        <f>PasteBBM!AI72</f>
        <v>2.536</v>
      </c>
      <c r="S72">
        <f>PasteBBM!AE72</f>
        <v>0.458956</v>
      </c>
      <c r="T72">
        <f>PasteBBM!AG72</f>
        <v>0.857012</v>
      </c>
      <c r="V72" s="44">
        <v>-0.00422</v>
      </c>
      <c r="W72" s="44">
        <v>0.025556</v>
      </c>
      <c r="X72" s="44">
        <v>-0.08197</v>
      </c>
      <c r="Y72" s="44">
        <v>0.07775</v>
      </c>
      <c r="Z72" s="44">
        <v>-0.78239</v>
      </c>
      <c r="AA72" s="45"/>
      <c r="AB72" s="46" t="s">
        <v>193</v>
      </c>
      <c r="AC72" s="44">
        <v>80.0</v>
      </c>
    </row>
    <row r="73">
      <c r="A73" s="2">
        <v>72.0</v>
      </c>
      <c r="B73" s="14">
        <f>IF(PasteBBM!B73="",156,PasteBBM!B73)</f>
        <v>87.85714</v>
      </c>
      <c r="C73" t="str">
        <f>PasteBBM!I73</f>
        <v>Cam Johnson</v>
      </c>
      <c r="D73" t="str">
        <f>IFERROR(REPLACE(PasteBBM!K73,FIND("/",PasteBBM!K73,1),1,","),PasteBBM!K73)</f>
        <v>SF,PF</v>
      </c>
      <c r="E73" t="str">
        <f>PasteBBM!J73</f>
        <v>DEN</v>
      </c>
      <c r="F73">
        <f>PasteBBM!U73</f>
        <v>66</v>
      </c>
      <c r="G73">
        <f>PasteBBM!X73</f>
        <v>32</v>
      </c>
      <c r="H73">
        <f>PasteBBM!AE73*PasteBBM!AF73</f>
        <v>5.485307987</v>
      </c>
      <c r="I73">
        <f>PasteBBM!AE73</f>
        <v>0.465502</v>
      </c>
      <c r="J73">
        <f>PasteBBM!AG73*PasteBBM!AH73</f>
        <v>2.062121332</v>
      </c>
      <c r="K73">
        <f>PasteBBM!AG73</f>
        <v>0.875016</v>
      </c>
      <c r="L73">
        <f>PasteBBM!Z73</f>
        <v>2.806818</v>
      </c>
      <c r="M73">
        <f>PasteBBM!Y73</f>
        <v>15.83955</v>
      </c>
      <c r="N73">
        <f>PasteBBM!AA73</f>
        <v>4.578636</v>
      </c>
      <c r="O73">
        <f>PasteBBM!AB73</f>
        <v>2.558636</v>
      </c>
      <c r="P73">
        <f>PasteBBM!AC73</f>
        <v>1.015455</v>
      </c>
      <c r="Q73">
        <f>PasteBBM!AD73</f>
        <v>0.469545</v>
      </c>
      <c r="R73">
        <f>PasteBBM!AI73</f>
        <v>1.481364</v>
      </c>
      <c r="S73">
        <f>PasteBBM!AE73</f>
        <v>0.465502</v>
      </c>
      <c r="T73">
        <f>PasteBBM!AG73</f>
        <v>0.875016</v>
      </c>
      <c r="V73" s="44">
        <v>-0.02121</v>
      </c>
      <c r="W73" s="44">
        <v>0.001553</v>
      </c>
      <c r="X73" s="44">
        <v>-0.25296</v>
      </c>
      <c r="Y73" s="44">
        <v>0.231747</v>
      </c>
      <c r="Z73" s="44">
        <v>0.091113</v>
      </c>
      <c r="AA73" s="45"/>
      <c r="AB73" s="46" t="s">
        <v>260</v>
      </c>
      <c r="AC73" s="44">
        <v>370.0</v>
      </c>
    </row>
    <row r="74">
      <c r="A74" s="2">
        <v>73.0</v>
      </c>
      <c r="B74" s="14">
        <f>IF(PasteBBM!B74="",156,PasteBBM!B74)</f>
        <v>111.9571</v>
      </c>
      <c r="C74" t="str">
        <f>PasteBBM!I74</f>
        <v>Tobias Harris</v>
      </c>
      <c r="D74" t="str">
        <f>IFERROR(REPLACE(PasteBBM!K74,FIND("/",PasteBBM!K74,1),1,","),PasteBBM!K74)</f>
        <v>PF</v>
      </c>
      <c r="E74" t="str">
        <f>PasteBBM!J74</f>
        <v>DET</v>
      </c>
      <c r="F74">
        <f>PasteBBM!U74</f>
        <v>71</v>
      </c>
      <c r="G74">
        <f>PasteBBM!X74</f>
        <v>31</v>
      </c>
      <c r="H74">
        <f>PasteBBM!AE74*PasteBBM!AF74</f>
        <v>5.407611702</v>
      </c>
      <c r="I74">
        <f>PasteBBM!AE74</f>
        <v>0.502441</v>
      </c>
      <c r="J74">
        <f>PasteBBM!AG74*PasteBBM!AH74</f>
        <v>1.92323966</v>
      </c>
      <c r="K74">
        <f>PasteBBM!AG74</f>
        <v>0.850991</v>
      </c>
      <c r="L74">
        <f>PasteBBM!Z74</f>
        <v>1.227042</v>
      </c>
      <c r="M74">
        <f>PasteBBM!Y74</f>
        <v>13.96549</v>
      </c>
      <c r="N74">
        <f>PasteBBM!AA74</f>
        <v>5.544507</v>
      </c>
      <c r="O74">
        <f>PasteBBM!AB74</f>
        <v>2.021831</v>
      </c>
      <c r="P74">
        <f>PasteBBM!AC74</f>
        <v>1.108873</v>
      </c>
      <c r="Q74">
        <f>PasteBBM!AD74</f>
        <v>0.717606</v>
      </c>
      <c r="R74">
        <f>PasteBBM!AI74</f>
        <v>1.108873</v>
      </c>
      <c r="S74">
        <f>PasteBBM!AE74</f>
        <v>0.502441</v>
      </c>
      <c r="T74">
        <f>PasteBBM!AG74</f>
        <v>0.850991</v>
      </c>
      <c r="V74" s="44">
        <v>-0.03374</v>
      </c>
      <c r="W74" s="44">
        <v>9.95E-4</v>
      </c>
      <c r="X74" s="44">
        <v>-0.05683</v>
      </c>
      <c r="Y74" s="44">
        <v>0.023091</v>
      </c>
      <c r="Z74" s="44">
        <v>1.24339</v>
      </c>
      <c r="AA74" s="45"/>
      <c r="AB74" s="46" t="s">
        <v>66</v>
      </c>
      <c r="AC74" s="44">
        <v>33.0</v>
      </c>
    </row>
    <row r="75">
      <c r="A75" s="2">
        <v>74.0</v>
      </c>
      <c r="B75" s="14">
        <f>IF(PasteBBM!B75="",156,PasteBBM!B75)</f>
        <v>111.2429</v>
      </c>
      <c r="C75" t="str">
        <f>PasteBBM!I75</f>
        <v>Dereck Lively II</v>
      </c>
      <c r="D75" t="str">
        <f>IFERROR(REPLACE(PasteBBM!K75,FIND("/",PasteBBM!K75,1),1,","),PasteBBM!K75)</f>
        <v>C</v>
      </c>
      <c r="E75" t="str">
        <f>PasteBBM!J75</f>
        <v>DAL</v>
      </c>
      <c r="F75">
        <f>PasteBBM!U75</f>
        <v>66</v>
      </c>
      <c r="G75">
        <f>PasteBBM!X75</f>
        <v>25</v>
      </c>
      <c r="H75">
        <f>PasteBBM!AE75*PasteBBM!AF75</f>
        <v>4.145153892</v>
      </c>
      <c r="I75">
        <f>PasteBBM!AE75</f>
        <v>0.722992</v>
      </c>
      <c r="J75">
        <f>PasteBBM!AG75*PasteBBM!AH75</f>
        <v>1.248029883</v>
      </c>
      <c r="K75">
        <f>PasteBBM!AG75</f>
        <v>0.672024</v>
      </c>
      <c r="L75">
        <f>PasteBBM!Z75</f>
        <v>0</v>
      </c>
      <c r="M75">
        <f>PasteBBM!Y75</f>
        <v>9.538333</v>
      </c>
      <c r="N75">
        <f>PasteBBM!AA75</f>
        <v>8.153636</v>
      </c>
      <c r="O75">
        <f>PasteBBM!AB75</f>
        <v>1.98303</v>
      </c>
      <c r="P75">
        <f>PasteBBM!AC75</f>
        <v>0.635909</v>
      </c>
      <c r="Q75">
        <f>PasteBBM!AD75</f>
        <v>1.570909</v>
      </c>
      <c r="R75">
        <f>PasteBBM!AI75</f>
        <v>1.100455</v>
      </c>
      <c r="S75">
        <f>PasteBBM!AE75</f>
        <v>0.722992</v>
      </c>
      <c r="T75">
        <f>PasteBBM!AG75</f>
        <v>0.672024</v>
      </c>
      <c r="V75" s="44">
        <v>-0.0355</v>
      </c>
      <c r="W75" s="44">
        <v>-0.05733</v>
      </c>
      <c r="X75" s="44">
        <v>-0.20087</v>
      </c>
      <c r="Y75" s="44">
        <v>0.165369</v>
      </c>
      <c r="Z75" s="44">
        <v>0.713715</v>
      </c>
      <c r="AA75" s="45"/>
      <c r="AB75" s="46" t="s">
        <v>156</v>
      </c>
      <c r="AC75" s="44">
        <v>119.0</v>
      </c>
    </row>
    <row r="76">
      <c r="A76" s="2">
        <v>75.0</v>
      </c>
      <c r="B76" s="14">
        <f>IF(PasteBBM!B76="",156,PasteBBM!B76)</f>
        <v>76.94286</v>
      </c>
      <c r="C76" t="str">
        <f>PasteBBM!I76</f>
        <v>Alexandre Sarr</v>
      </c>
      <c r="D76" t="str">
        <f>IFERROR(REPLACE(PasteBBM!K76,FIND("/",PasteBBM!K76,1),1,","),PasteBBM!K76)</f>
        <v>PF,C</v>
      </c>
      <c r="E76" t="str">
        <f>PasteBBM!J76</f>
        <v>WAS</v>
      </c>
      <c r="F76">
        <f>PasteBBM!U76</f>
        <v>71</v>
      </c>
      <c r="G76">
        <f>PasteBBM!X76</f>
        <v>31</v>
      </c>
      <c r="H76">
        <f>PasteBBM!AE76*PasteBBM!AF76</f>
        <v>6.435909413</v>
      </c>
      <c r="I76">
        <f>PasteBBM!AE76</f>
        <v>0.435796</v>
      </c>
      <c r="J76">
        <f>PasteBBM!AG76*PasteBBM!AH76</f>
        <v>2.695069856</v>
      </c>
      <c r="K76">
        <f>PasteBBM!AG76</f>
        <v>0.730009</v>
      </c>
      <c r="L76">
        <f>PasteBBM!Z76</f>
        <v>1.792113</v>
      </c>
      <c r="M76">
        <f>PasteBBM!Y76</f>
        <v>17.35901</v>
      </c>
      <c r="N76">
        <f>PasteBBM!AA76</f>
        <v>7.915915</v>
      </c>
      <c r="O76">
        <f>PasteBBM!AB76</f>
        <v>3.259577</v>
      </c>
      <c r="P76">
        <f>PasteBBM!AC76</f>
        <v>0.748451</v>
      </c>
      <c r="Q76">
        <f>PasteBBM!AD76</f>
        <v>1.796056</v>
      </c>
      <c r="R76">
        <f>PasteBBM!AI76</f>
        <v>2.036056</v>
      </c>
      <c r="S76">
        <f>PasteBBM!AE76</f>
        <v>0.435796</v>
      </c>
      <c r="T76">
        <f>PasteBBM!AG76</f>
        <v>0.730009</v>
      </c>
      <c r="V76" s="44">
        <v>-0.03553</v>
      </c>
      <c r="W76" s="44">
        <v>0.004721</v>
      </c>
      <c r="X76" s="44">
        <v>0.103383</v>
      </c>
      <c r="Y76" s="44">
        <v>-0.13891</v>
      </c>
      <c r="Z76" s="44">
        <v>0.472108</v>
      </c>
      <c r="AA76" s="45"/>
      <c r="AB76" s="46" t="s">
        <v>140</v>
      </c>
      <c r="AC76" s="44">
        <v>83.0</v>
      </c>
    </row>
    <row r="77">
      <c r="A77" s="2">
        <v>76.0</v>
      </c>
      <c r="B77" s="14">
        <f>IF(PasteBBM!B77="",156,PasteBBM!B77)</f>
        <v>71.12857</v>
      </c>
      <c r="C77" t="str">
        <f>PasteBBM!I77</f>
        <v>Michael Porter Jr.</v>
      </c>
      <c r="D77" t="str">
        <f>IFERROR(REPLACE(PasteBBM!K77,FIND("/",PasteBBM!K77,1),1,","),PasteBBM!K77)</f>
        <v>SF,PF</v>
      </c>
      <c r="E77" t="str">
        <f>PasteBBM!J77</f>
        <v>BKN</v>
      </c>
      <c r="F77">
        <f>PasteBBM!U77</f>
        <v>56</v>
      </c>
      <c r="G77">
        <f>PasteBBM!X77</f>
        <v>32</v>
      </c>
      <c r="H77">
        <f>PasteBBM!AE77*PasteBBM!AF77</f>
        <v>6.921965896</v>
      </c>
      <c r="I77">
        <f>PasteBBM!AE77</f>
        <v>0.468192</v>
      </c>
      <c r="J77">
        <f>PasteBBM!AG77*PasteBBM!AH77</f>
        <v>2.561249754</v>
      </c>
      <c r="K77">
        <f>PasteBBM!AG77</f>
        <v>0.824974</v>
      </c>
      <c r="L77">
        <f>PasteBBM!Z77</f>
        <v>2.917857</v>
      </c>
      <c r="M77">
        <f>PasteBBM!Y77</f>
        <v>19.32304</v>
      </c>
      <c r="N77">
        <f>PasteBBM!AA77</f>
        <v>6.93</v>
      </c>
      <c r="O77">
        <f>PasteBBM!AB77</f>
        <v>1.868393</v>
      </c>
      <c r="P77">
        <f>PasteBBM!AC77</f>
        <v>0.588036</v>
      </c>
      <c r="Q77">
        <f>PasteBBM!AD77</f>
        <v>0.531786</v>
      </c>
      <c r="R77">
        <f>PasteBBM!AI77</f>
        <v>1.518036</v>
      </c>
      <c r="S77">
        <f>PasteBBM!AE77</f>
        <v>0.468192</v>
      </c>
      <c r="T77">
        <f>PasteBBM!AG77</f>
        <v>0.824974</v>
      </c>
      <c r="V77" s="44">
        <v>-0.04978</v>
      </c>
      <c r="W77" s="44">
        <v>0.001786</v>
      </c>
      <c r="X77" s="44">
        <v>-0.00134</v>
      </c>
      <c r="Y77" s="44">
        <v>-0.04844</v>
      </c>
      <c r="Z77" s="44">
        <v>-0.10403</v>
      </c>
      <c r="AA77" s="45"/>
      <c r="AB77" s="46" t="s">
        <v>154</v>
      </c>
      <c r="AC77" s="44">
        <v>114.0</v>
      </c>
    </row>
    <row r="78">
      <c r="A78" s="2">
        <v>77.0</v>
      </c>
      <c r="B78" s="14">
        <f>IF(PasteBBM!B78="",156,PasteBBM!B78)</f>
        <v>120.3846</v>
      </c>
      <c r="C78" t="str">
        <f>PasteBBM!I78</f>
        <v>Cason Wallace</v>
      </c>
      <c r="D78" t="str">
        <f>IFERROR(REPLACE(PasteBBM!K78,FIND("/",PasteBBM!K78,1),1,","),PasteBBM!K78)</f>
        <v>PG,SG/SF</v>
      </c>
      <c r="E78" t="str">
        <f>PasteBBM!J78</f>
        <v>OKC</v>
      </c>
      <c r="F78">
        <f>PasteBBM!U78</f>
        <v>71</v>
      </c>
      <c r="G78">
        <f>PasteBBM!X78</f>
        <v>28</v>
      </c>
      <c r="H78">
        <f>PasteBBM!AE78*PasteBBM!AF78</f>
        <v>3.908452394</v>
      </c>
      <c r="I78">
        <f>PasteBBM!AE78</f>
        <v>0.505299</v>
      </c>
      <c r="J78">
        <f>PasteBBM!AG78*PasteBBM!AH78</f>
        <v>0.6173239045</v>
      </c>
      <c r="K78">
        <f>PasteBBM!AG78</f>
        <v>0.79807</v>
      </c>
      <c r="L78">
        <f>PasteBBM!Z78</f>
        <v>1.197465</v>
      </c>
      <c r="M78">
        <f>PasteBBM!Y78</f>
        <v>9.63169</v>
      </c>
      <c r="N78">
        <f>PasteBBM!AA78</f>
        <v>3.093944</v>
      </c>
      <c r="O78">
        <f>PasteBBM!AB78</f>
        <v>2.677465</v>
      </c>
      <c r="P78">
        <f>PasteBBM!AC78</f>
        <v>1.833662</v>
      </c>
      <c r="Q78">
        <f>PasteBBM!AD78</f>
        <v>0.418169</v>
      </c>
      <c r="R78">
        <f>PasteBBM!AI78</f>
        <v>1.014789</v>
      </c>
      <c r="S78">
        <f>PasteBBM!AE78</f>
        <v>0.505299</v>
      </c>
      <c r="T78">
        <f>PasteBBM!AG78</f>
        <v>0.79807</v>
      </c>
      <c r="V78" s="44">
        <v>-0.05007</v>
      </c>
      <c r="W78" s="44">
        <v>0.002014</v>
      </c>
      <c r="X78" s="44">
        <v>-0.25919</v>
      </c>
      <c r="Y78" s="44">
        <v>0.209122</v>
      </c>
      <c r="Z78" s="44">
        <v>-0.5222</v>
      </c>
      <c r="AA78" s="45"/>
      <c r="AB78" s="46" t="s">
        <v>261</v>
      </c>
      <c r="AC78" s="44">
        <v>117.0</v>
      </c>
    </row>
    <row r="79">
      <c r="A79" s="2">
        <v>78.0</v>
      </c>
      <c r="B79" s="14">
        <f>IF(PasteBBM!B79="",156,PasteBBM!B79)</f>
        <v>33.85714</v>
      </c>
      <c r="C79" t="str">
        <f>PasteBBM!I79</f>
        <v>Jaylen Brown</v>
      </c>
      <c r="D79" t="str">
        <f>IFERROR(REPLACE(PasteBBM!K79,FIND("/",PasteBBM!K79,1),1,","),PasteBBM!K79)</f>
        <v>SG,SF</v>
      </c>
      <c r="E79" t="str">
        <f>PasteBBM!J79</f>
        <v>BOS</v>
      </c>
      <c r="F79">
        <f>PasteBBM!U79</f>
        <v>53</v>
      </c>
      <c r="G79">
        <f>PasteBBM!X79</f>
        <v>33</v>
      </c>
      <c r="H79">
        <f>PasteBBM!AE79*PasteBBM!AF79</f>
        <v>9.054343065</v>
      </c>
      <c r="I79">
        <f>PasteBBM!AE79</f>
        <v>0.471803</v>
      </c>
      <c r="J79">
        <f>PasteBBM!AG79*PasteBBM!AH79</f>
        <v>4.521133731</v>
      </c>
      <c r="K79">
        <f>PasteBBM!AG79</f>
        <v>0.759999</v>
      </c>
      <c r="L79">
        <f>PasteBBM!Z79</f>
        <v>1.963208</v>
      </c>
      <c r="M79">
        <f>PasteBBM!Y79</f>
        <v>24.59302</v>
      </c>
      <c r="N79">
        <f>PasteBBM!AA79</f>
        <v>6.514717</v>
      </c>
      <c r="O79">
        <f>PasteBBM!AB79</f>
        <v>5.240189</v>
      </c>
      <c r="P79">
        <f>PasteBBM!AC79</f>
        <v>1.062264</v>
      </c>
      <c r="Q79">
        <f>PasteBBM!AD79</f>
        <v>0.353774</v>
      </c>
      <c r="R79">
        <f>PasteBBM!AI79</f>
        <v>2.832453</v>
      </c>
      <c r="S79">
        <f>PasteBBM!AE79</f>
        <v>0.471803</v>
      </c>
      <c r="T79">
        <f>PasteBBM!AG79</f>
        <v>0.759999</v>
      </c>
      <c r="V79" s="44">
        <v>-0.05937</v>
      </c>
      <c r="W79" s="44">
        <v>0.002632</v>
      </c>
      <c r="X79" s="44">
        <v>-0.16696</v>
      </c>
      <c r="Y79" s="44">
        <v>0.107593</v>
      </c>
      <c r="Z79" s="44">
        <v>0.397768</v>
      </c>
      <c r="AA79" s="45"/>
      <c r="AB79" s="46" t="s">
        <v>222</v>
      </c>
      <c r="AC79" s="44">
        <v>105.0</v>
      </c>
    </row>
    <row r="80">
      <c r="A80" s="2">
        <v>79.0</v>
      </c>
      <c r="B80" s="14">
        <f>IF(PasteBBM!B80="",156,PasteBBM!B80)</f>
        <v>83.15714</v>
      </c>
      <c r="C80" t="str">
        <f>PasteBBM!I80</f>
        <v>Kel'el Ware</v>
      </c>
      <c r="D80" t="str">
        <f>IFERROR(REPLACE(PasteBBM!K80,FIND("/",PasteBBM!K80,1),1,","),PasteBBM!K80)</f>
        <v>C</v>
      </c>
      <c r="E80" t="str">
        <f>PasteBBM!J80</f>
        <v>MIA</v>
      </c>
      <c r="F80">
        <f>PasteBBM!U80</f>
        <v>66</v>
      </c>
      <c r="G80">
        <f>PasteBBM!X80</f>
        <v>25</v>
      </c>
      <c r="H80">
        <f>PasteBBM!AE80*PasteBBM!AF80</f>
        <v>5.166513067</v>
      </c>
      <c r="I80">
        <f>PasteBBM!AE80</f>
        <v>0.562374</v>
      </c>
      <c r="J80">
        <f>PasteBBM!AG80*PasteBBM!AH80</f>
        <v>1.063635542</v>
      </c>
      <c r="K80">
        <f>PasteBBM!AG80</f>
        <v>0.681024</v>
      </c>
      <c r="L80">
        <f>PasteBBM!Z80</f>
        <v>0.671364</v>
      </c>
      <c r="M80">
        <f>PasteBBM!Y80</f>
        <v>12.06803</v>
      </c>
      <c r="N80">
        <f>PasteBBM!AA80</f>
        <v>9.187576</v>
      </c>
      <c r="O80">
        <f>PasteBBM!AB80</f>
        <v>1.276061</v>
      </c>
      <c r="P80">
        <f>PasteBBM!AC80</f>
        <v>0.670606</v>
      </c>
      <c r="Q80">
        <f>PasteBBM!AD80</f>
        <v>1.166061</v>
      </c>
      <c r="R80">
        <f>PasteBBM!AI80</f>
        <v>1.015</v>
      </c>
      <c r="S80">
        <f>PasteBBM!AE80</f>
        <v>0.562374</v>
      </c>
      <c r="T80">
        <f>PasteBBM!AG80</f>
        <v>0.681024</v>
      </c>
      <c r="V80" s="44">
        <v>-0.06825</v>
      </c>
      <c r="W80" s="44">
        <v>0.040293</v>
      </c>
      <c r="X80" s="44">
        <v>-0.22322</v>
      </c>
      <c r="Y80" s="44">
        <v>0.154961</v>
      </c>
      <c r="Z80" s="44">
        <v>-0.49432</v>
      </c>
      <c r="AA80" s="45"/>
      <c r="AB80" s="46" t="s">
        <v>107</v>
      </c>
      <c r="AC80" s="44">
        <v>174.0</v>
      </c>
    </row>
    <row r="81">
      <c r="A81" s="2">
        <v>80.0</v>
      </c>
      <c r="B81" s="14">
        <f>IF(PasteBBM!B81="",156,PasteBBM!B81)</f>
        <v>138.069</v>
      </c>
      <c r="C81" t="str">
        <f>PasteBBM!I81</f>
        <v>Neemias Queta</v>
      </c>
      <c r="D81" t="str">
        <f>IFERROR(REPLACE(PasteBBM!K81,FIND("/",PasteBBM!K81,1),1,","),PasteBBM!K81)</f>
        <v>C</v>
      </c>
      <c r="E81" t="str">
        <f>PasteBBM!J81</f>
        <v>BOS</v>
      </c>
      <c r="F81">
        <f>PasteBBM!U81</f>
        <v>66</v>
      </c>
      <c r="G81">
        <f>PasteBBM!X81</f>
        <v>25</v>
      </c>
      <c r="H81">
        <f>PasteBBM!AE81*PasteBBM!AF81</f>
        <v>4.558330604</v>
      </c>
      <c r="I81">
        <f>PasteBBM!AE81</f>
        <v>0.620245</v>
      </c>
      <c r="J81">
        <f>PasteBBM!AG81*PasteBBM!AH81</f>
        <v>1.760606996</v>
      </c>
      <c r="K81">
        <f>PasteBBM!AG81</f>
        <v>0.760024</v>
      </c>
      <c r="L81">
        <f>PasteBBM!Z81</f>
        <v>0.09</v>
      </c>
      <c r="M81">
        <f>PasteBBM!Y81</f>
        <v>10.96727</v>
      </c>
      <c r="N81">
        <f>PasteBBM!AA81</f>
        <v>8.583333</v>
      </c>
      <c r="O81">
        <f>PasteBBM!AB81</f>
        <v>1.716667</v>
      </c>
      <c r="P81">
        <f>PasteBBM!AC81</f>
        <v>0.675606</v>
      </c>
      <c r="Q81">
        <f>PasteBBM!AD81</f>
        <v>1.408333</v>
      </c>
      <c r="R81">
        <f>PasteBBM!AI81</f>
        <v>1.341212</v>
      </c>
      <c r="S81">
        <f>PasteBBM!AE81</f>
        <v>0.620245</v>
      </c>
      <c r="T81">
        <f>PasteBBM!AG81</f>
        <v>0.760024</v>
      </c>
      <c r="V81" s="44">
        <v>-0.06829</v>
      </c>
      <c r="W81" s="44">
        <v>0.144871</v>
      </c>
      <c r="X81" s="44">
        <v>0.085114</v>
      </c>
      <c r="Y81" s="44">
        <v>-0.1534</v>
      </c>
      <c r="Z81" s="44">
        <v>1.373486</v>
      </c>
      <c r="AA81" s="45"/>
      <c r="AB81" s="46" t="s">
        <v>96</v>
      </c>
      <c r="AC81" s="44">
        <v>93.0</v>
      </c>
    </row>
    <row r="82">
      <c r="A82" s="2">
        <v>81.0</v>
      </c>
      <c r="B82" s="14">
        <f>IF(PasteBBM!B82="",156,PasteBBM!B82)</f>
        <v>21.02857</v>
      </c>
      <c r="C82" t="str">
        <f>PasteBBM!I82</f>
        <v>Alperen Sengun</v>
      </c>
      <c r="D82" t="str">
        <f>IFERROR(REPLACE(PasteBBM!K82,FIND("/",PasteBBM!K82,1),1,","),PasteBBM!K82)</f>
        <v>C</v>
      </c>
      <c r="E82" t="str">
        <f>PasteBBM!J82</f>
        <v>HOU</v>
      </c>
      <c r="F82">
        <f>PasteBBM!U82</f>
        <v>71</v>
      </c>
      <c r="G82">
        <f>PasteBBM!X82</f>
        <v>32</v>
      </c>
      <c r="H82">
        <f>PasteBBM!AE82*PasteBBM!AF82</f>
        <v>8.416197086</v>
      </c>
      <c r="I82">
        <f>PasteBBM!AE82</f>
        <v>0.525194</v>
      </c>
      <c r="J82">
        <f>PasteBBM!AG82*PasteBBM!AH82</f>
        <v>4.603801536</v>
      </c>
      <c r="K82">
        <f>PasteBBM!AG82</f>
        <v>0.684</v>
      </c>
      <c r="L82">
        <f>PasteBBM!Z82</f>
        <v>0.259577</v>
      </c>
      <c r="M82">
        <f>PasteBBM!Y82</f>
        <v>21.69577</v>
      </c>
      <c r="N82">
        <f>PasteBBM!AA82</f>
        <v>9.898028</v>
      </c>
      <c r="O82">
        <f>PasteBBM!AB82</f>
        <v>5.38662</v>
      </c>
      <c r="P82">
        <f>PasteBBM!AC82</f>
        <v>1.01</v>
      </c>
      <c r="Q82">
        <f>PasteBBM!AD82</f>
        <v>0.811408</v>
      </c>
      <c r="R82">
        <f>PasteBBM!AI82</f>
        <v>2.635352</v>
      </c>
      <c r="S82">
        <f>PasteBBM!AE82</f>
        <v>0.525194</v>
      </c>
      <c r="T82">
        <f>PasteBBM!AG82</f>
        <v>0.684</v>
      </c>
      <c r="V82" s="44">
        <v>-0.06965</v>
      </c>
      <c r="W82" s="44">
        <v>0.009879</v>
      </c>
      <c r="X82" s="44">
        <v>-0.14675</v>
      </c>
      <c r="Y82" s="44">
        <v>0.0771</v>
      </c>
      <c r="Z82" s="44">
        <v>-1.64659</v>
      </c>
      <c r="AA82" s="45"/>
      <c r="AB82" s="46" t="s">
        <v>208</v>
      </c>
      <c r="AC82" s="44">
        <v>109.0</v>
      </c>
    </row>
    <row r="83">
      <c r="A83" s="2">
        <v>82.0</v>
      </c>
      <c r="B83" s="14">
        <f>IF(PasteBBM!B83="",156,PasteBBM!B83)</f>
        <v>33.77143</v>
      </c>
      <c r="C83" t="str">
        <f>PasteBBM!I83</f>
        <v>Pascal Siakam</v>
      </c>
      <c r="D83" t="str">
        <f>IFERROR(REPLACE(PasteBBM!K83,FIND("/",PasteBBM!K83,1),1,","),PasteBBM!K83)</f>
        <v>SF,PF</v>
      </c>
      <c r="E83" t="str">
        <f>PasteBBM!J83</f>
        <v>IND</v>
      </c>
      <c r="F83">
        <f>PasteBBM!U83</f>
        <v>71</v>
      </c>
      <c r="G83">
        <f>PasteBBM!X83</f>
        <v>33</v>
      </c>
      <c r="H83">
        <f>PasteBBM!AE83*PasteBBM!AF83</f>
        <v>8.390286592</v>
      </c>
      <c r="I83">
        <f>PasteBBM!AE83</f>
        <v>0.493199</v>
      </c>
      <c r="J83">
        <f>PasteBBM!AG83*PasteBBM!AH83</f>
        <v>3.935917073</v>
      </c>
      <c r="K83">
        <f>PasteBBM!AG83</f>
        <v>0.72299</v>
      </c>
      <c r="L83">
        <f>PasteBBM!Z83</f>
        <v>1.548169</v>
      </c>
      <c r="M83">
        <f>PasteBBM!Y83</f>
        <v>22.26465</v>
      </c>
      <c r="N83">
        <f>PasteBBM!AA83</f>
        <v>6.943803</v>
      </c>
      <c r="O83">
        <f>PasteBBM!AB83</f>
        <v>5.13831</v>
      </c>
      <c r="P83">
        <f>PasteBBM!AC83</f>
        <v>0.908028</v>
      </c>
      <c r="Q83">
        <f>PasteBBM!AD83</f>
        <v>0.486056</v>
      </c>
      <c r="R83">
        <f>PasteBBM!AI83</f>
        <v>2.221972</v>
      </c>
      <c r="S83">
        <f>PasteBBM!AE83</f>
        <v>0.493199</v>
      </c>
      <c r="T83">
        <f>PasteBBM!AG83</f>
        <v>0.72299</v>
      </c>
      <c r="V83" s="44">
        <v>-0.09085</v>
      </c>
      <c r="W83" s="44">
        <v>0.044771</v>
      </c>
      <c r="X83" s="44">
        <v>-0.36668</v>
      </c>
      <c r="Y83" s="44">
        <v>0.275824</v>
      </c>
      <c r="Z83" s="44">
        <v>-0.30847</v>
      </c>
      <c r="AA83" s="45"/>
      <c r="AB83" s="46" t="s">
        <v>169</v>
      </c>
      <c r="AC83" s="44">
        <v>125.0</v>
      </c>
    </row>
    <row r="84">
      <c r="A84" s="2">
        <v>83.0</v>
      </c>
      <c r="B84" s="14">
        <f>IF(PasteBBM!B84="",156,PasteBBM!B84)</f>
        <v>51.01429</v>
      </c>
      <c r="C84" t="str">
        <f>PasteBBM!I84</f>
        <v>Deni Avdija</v>
      </c>
      <c r="D84" t="str">
        <f>IFERROR(REPLACE(PasteBBM!K84,FIND("/",PasteBBM!K84,1),1,","),PasteBBM!K84)</f>
        <v>SG,SF/PF</v>
      </c>
      <c r="E84" t="str">
        <f>PasteBBM!J84</f>
        <v>POR</v>
      </c>
      <c r="F84">
        <f>PasteBBM!U84</f>
        <v>71</v>
      </c>
      <c r="G84">
        <f>PasteBBM!X84</f>
        <v>32</v>
      </c>
      <c r="H84">
        <f>PasteBBM!AE84*PasteBBM!AF84</f>
        <v>7.010559273</v>
      </c>
      <c r="I84">
        <f>PasteBBM!AE84</f>
        <v>0.477302</v>
      </c>
      <c r="J84">
        <f>PasteBBM!AG84*PasteBBM!AH84</f>
        <v>4.762534329</v>
      </c>
      <c r="K84">
        <f>PasteBBM!AG84</f>
        <v>0.772009</v>
      </c>
      <c r="L84">
        <f>PasteBBM!Z84</f>
        <v>2.197324</v>
      </c>
      <c r="M84">
        <f>PasteBBM!Y84</f>
        <v>20.98099</v>
      </c>
      <c r="N84">
        <f>PasteBBM!AA84</f>
        <v>8.091972</v>
      </c>
      <c r="O84">
        <f>PasteBBM!AB84</f>
        <v>4.517606</v>
      </c>
      <c r="P84">
        <f>PasteBBM!AC84</f>
        <v>1.022817</v>
      </c>
      <c r="Q84">
        <f>PasteBBM!AD84</f>
        <v>0.407183</v>
      </c>
      <c r="R84">
        <f>PasteBBM!AI84</f>
        <v>3.196056</v>
      </c>
      <c r="S84">
        <f>PasteBBM!AE84</f>
        <v>0.477302</v>
      </c>
      <c r="T84">
        <f>PasteBBM!AG84</f>
        <v>0.772009</v>
      </c>
      <c r="V84" s="44">
        <v>-0.09231</v>
      </c>
      <c r="W84" s="44">
        <v>-1.1E-4</v>
      </c>
      <c r="X84" s="44">
        <v>-0.18334</v>
      </c>
      <c r="Y84" s="44">
        <v>0.091024</v>
      </c>
      <c r="Z84" s="44">
        <v>-0.43856</v>
      </c>
      <c r="AA84" s="45"/>
      <c r="AB84" s="46" t="s">
        <v>204</v>
      </c>
      <c r="AC84" s="44">
        <v>56.0</v>
      </c>
    </row>
    <row r="85">
      <c r="A85" s="2">
        <v>84.0</v>
      </c>
      <c r="B85" s="14">
        <f>IF(PasteBBM!B85="",156,PasteBBM!B85)</f>
        <v>89.65714</v>
      </c>
      <c r="C85" t="str">
        <f>PasteBBM!I85</f>
        <v>Christian Braun</v>
      </c>
      <c r="D85" t="str">
        <f>IFERROR(REPLACE(PasteBBM!K85,FIND("/",PasteBBM!K85,1),1,","),PasteBBM!K85)</f>
        <v>SG,SF</v>
      </c>
      <c r="E85" t="str">
        <f>PasteBBM!J85</f>
        <v>DEN</v>
      </c>
      <c r="F85">
        <f>PasteBBM!U85</f>
        <v>71</v>
      </c>
      <c r="G85">
        <f>PasteBBM!X85</f>
        <v>32</v>
      </c>
      <c r="H85">
        <f>PasteBBM!AE85*PasteBBM!AF85</f>
        <v>5.495778474</v>
      </c>
      <c r="I85">
        <f>PasteBBM!AE85</f>
        <v>0.551512</v>
      </c>
      <c r="J85">
        <f>PasteBBM!AG85*PasteBBM!AH85</f>
        <v>2.02056266</v>
      </c>
      <c r="K85">
        <f>PasteBBM!AG85</f>
        <v>0.834021</v>
      </c>
      <c r="L85">
        <f>PasteBBM!Z85</f>
        <v>1.074225</v>
      </c>
      <c r="M85">
        <f>PasteBBM!Y85</f>
        <v>14.08634</v>
      </c>
      <c r="N85">
        <f>PasteBBM!AA85</f>
        <v>5.05</v>
      </c>
      <c r="O85">
        <f>PasteBBM!AB85</f>
        <v>3.164648</v>
      </c>
      <c r="P85">
        <f>PasteBBM!AC85</f>
        <v>0.875352</v>
      </c>
      <c r="Q85">
        <f>PasteBBM!AD85</f>
        <v>0.340704</v>
      </c>
      <c r="R85">
        <f>PasteBBM!AI85</f>
        <v>0.952394</v>
      </c>
      <c r="S85">
        <f>PasteBBM!AE85</f>
        <v>0.551512</v>
      </c>
      <c r="T85">
        <f>PasteBBM!AG85</f>
        <v>0.834021</v>
      </c>
      <c r="V85" s="44">
        <v>-0.10165</v>
      </c>
      <c r="W85" s="44">
        <v>6.66E-4</v>
      </c>
      <c r="X85" s="44">
        <v>-0.27329</v>
      </c>
      <c r="Y85" s="44">
        <v>0.171647</v>
      </c>
      <c r="Z85" s="44">
        <v>0.657959</v>
      </c>
      <c r="AA85" s="45"/>
      <c r="AB85" s="46" t="s">
        <v>168</v>
      </c>
      <c r="AC85" s="44">
        <v>102.0</v>
      </c>
    </row>
    <row r="86">
      <c r="A86" s="2">
        <v>85.0</v>
      </c>
      <c r="B86" s="14">
        <f>IF(PasteBBM!B86="",156,PasteBBM!B86)</f>
        <v>102.6286</v>
      </c>
      <c r="C86" t="str">
        <f>PasteBBM!I86</f>
        <v>Devin Vassell</v>
      </c>
      <c r="D86" t="str">
        <f>IFERROR(REPLACE(PasteBBM!K86,FIND("/",PasteBBM!K86,1),1,","),PasteBBM!K86)</f>
        <v>SG,SF</v>
      </c>
      <c r="E86" t="str">
        <f>PasteBBM!J86</f>
        <v>SAS</v>
      </c>
      <c r="F86">
        <f>PasteBBM!U86</f>
        <v>66</v>
      </c>
      <c r="G86">
        <f>PasteBBM!X86</f>
        <v>29</v>
      </c>
      <c r="H86">
        <f>PasteBBM!AE86*PasteBBM!AF86</f>
        <v>5.489851132</v>
      </c>
      <c r="I86">
        <f>PasteBBM!AE86</f>
        <v>0.454532</v>
      </c>
      <c r="J86">
        <f>PasteBBM!AG86*PasteBBM!AH86</f>
        <v>0.9831821011</v>
      </c>
      <c r="K86">
        <f>PasteBBM!AG86</f>
        <v>0.813974</v>
      </c>
      <c r="L86">
        <f>PasteBBM!Z86</f>
        <v>2.610758</v>
      </c>
      <c r="M86">
        <f>PasteBBM!Y86</f>
        <v>14.57364</v>
      </c>
      <c r="N86">
        <f>PasteBBM!AA86</f>
        <v>4.005606</v>
      </c>
      <c r="O86">
        <f>PasteBBM!AB86</f>
        <v>2.280152</v>
      </c>
      <c r="P86">
        <f>PasteBBM!AC86</f>
        <v>1.270152</v>
      </c>
      <c r="Q86">
        <f>PasteBBM!AD86</f>
        <v>0.436818</v>
      </c>
      <c r="R86">
        <f>PasteBBM!AI86</f>
        <v>1.183485</v>
      </c>
      <c r="S86">
        <f>PasteBBM!AE86</f>
        <v>0.454532</v>
      </c>
      <c r="T86">
        <f>PasteBBM!AG86</f>
        <v>0.813974</v>
      </c>
      <c r="V86" s="44">
        <v>-0.11137</v>
      </c>
      <c r="W86" s="44">
        <v>-0.10014</v>
      </c>
      <c r="X86" s="44">
        <v>-0.22085</v>
      </c>
      <c r="Y86" s="44">
        <v>0.109486</v>
      </c>
      <c r="Z86" s="44">
        <v>-0.45715</v>
      </c>
      <c r="AA86" s="45"/>
      <c r="AB86" s="46" t="s">
        <v>196</v>
      </c>
      <c r="AC86" s="44">
        <v>102.0</v>
      </c>
    </row>
    <row r="87">
      <c r="A87" s="2">
        <v>86.0</v>
      </c>
      <c r="B87" s="14">
        <f>IF(PasteBBM!B87="",156,PasteBBM!B87)</f>
        <v>25.7</v>
      </c>
      <c r="C87" t="str">
        <f>PasteBBM!I87</f>
        <v>Paolo Banchero</v>
      </c>
      <c r="D87" t="str">
        <f>IFERROR(REPLACE(PasteBBM!K87,FIND("/",PasteBBM!K87,1),1,","),PasteBBM!K87)</f>
        <v>PF</v>
      </c>
      <c r="E87" t="str">
        <f>PasteBBM!J87</f>
        <v>ORL</v>
      </c>
      <c r="F87">
        <f>PasteBBM!U87</f>
        <v>71</v>
      </c>
      <c r="G87">
        <f>PasteBBM!X87</f>
        <v>35</v>
      </c>
      <c r="H87">
        <f>PasteBBM!AE87*PasteBBM!AF87</f>
        <v>9.201137146</v>
      </c>
      <c r="I87">
        <f>PasteBBM!AE87</f>
        <v>0.468231</v>
      </c>
      <c r="J87">
        <f>PasteBBM!AG87*PasteBBM!AH87</f>
        <v>6.072956766</v>
      </c>
      <c r="K87">
        <f>PasteBBM!AG87</f>
        <v>0.754999</v>
      </c>
      <c r="L87">
        <f>PasteBBM!Z87</f>
        <v>1.920423</v>
      </c>
      <c r="M87">
        <f>PasteBBM!Y87</f>
        <v>26.39563</v>
      </c>
      <c r="N87">
        <f>PasteBBM!AA87</f>
        <v>7.860423</v>
      </c>
      <c r="O87">
        <f>PasteBBM!AB87</f>
        <v>4.716197</v>
      </c>
      <c r="P87">
        <f>PasteBBM!AC87</f>
        <v>0.785211</v>
      </c>
      <c r="Q87">
        <f>PasteBBM!AD87</f>
        <v>0.57169</v>
      </c>
      <c r="R87">
        <f>PasteBBM!AI87</f>
        <v>2.715352</v>
      </c>
      <c r="S87">
        <f>PasteBBM!AE87</f>
        <v>0.468231</v>
      </c>
      <c r="T87">
        <f>PasteBBM!AG87</f>
        <v>0.754999</v>
      </c>
      <c r="V87" s="44">
        <v>-0.1137</v>
      </c>
      <c r="W87" s="44">
        <v>-7.5E-4</v>
      </c>
      <c r="X87" s="44">
        <v>-0.16877</v>
      </c>
      <c r="Y87" s="44">
        <v>0.055066</v>
      </c>
      <c r="Z87" s="44">
        <v>1.076124</v>
      </c>
      <c r="AA87" s="45"/>
      <c r="AB87" s="46" t="s">
        <v>206</v>
      </c>
      <c r="AC87" s="44">
        <v>67.0</v>
      </c>
    </row>
    <row r="88">
      <c r="A88" s="2">
        <v>87.0</v>
      </c>
      <c r="B88" s="14">
        <f>IF(PasteBBM!B88="",156,PasteBBM!B88)</f>
        <v>118.7101</v>
      </c>
      <c r="C88" t="str">
        <f>PasteBBM!I88</f>
        <v>Jrue Holiday</v>
      </c>
      <c r="D88" t="str">
        <f>IFERROR(REPLACE(PasteBBM!K88,FIND("/",PasteBBM!K88,1),1,","),PasteBBM!K88)</f>
        <v>PG,SG</v>
      </c>
      <c r="E88" t="str">
        <f>PasteBBM!J88</f>
        <v>POR</v>
      </c>
      <c r="F88">
        <f>PasteBBM!U88</f>
        <v>59</v>
      </c>
      <c r="G88">
        <f>PasteBBM!X88</f>
        <v>31</v>
      </c>
      <c r="H88">
        <f>PasteBBM!AE88*PasteBBM!AF88</f>
        <v>4.600679643</v>
      </c>
      <c r="I88">
        <f>PasteBBM!AE88</f>
        <v>0.436476</v>
      </c>
      <c r="J88">
        <f>PasteBBM!AG88*PasteBBM!AH88</f>
        <v>1.011017223</v>
      </c>
      <c r="K88">
        <f>PasteBBM!AG88</f>
        <v>0.870041</v>
      </c>
      <c r="L88">
        <f>PasteBBM!Z88</f>
        <v>2.044576</v>
      </c>
      <c r="M88">
        <f>PasteBBM!Y88</f>
        <v>12.25695</v>
      </c>
      <c r="N88">
        <f>PasteBBM!AA88</f>
        <v>4.611186</v>
      </c>
      <c r="O88">
        <f>PasteBBM!AB88</f>
        <v>5.27</v>
      </c>
      <c r="P88">
        <f>PasteBBM!AC88</f>
        <v>1.187458</v>
      </c>
      <c r="Q88">
        <f>PasteBBM!AD88</f>
        <v>0.526441</v>
      </c>
      <c r="R88">
        <f>PasteBBM!AI88</f>
        <v>1.712712</v>
      </c>
      <c r="S88">
        <f>PasteBBM!AE88</f>
        <v>0.436476</v>
      </c>
      <c r="T88">
        <f>PasteBBM!AG88</f>
        <v>0.870041</v>
      </c>
      <c r="V88" s="44">
        <v>-0.11467</v>
      </c>
      <c r="W88" s="44">
        <v>-8.8E-4</v>
      </c>
      <c r="X88" s="44">
        <v>0.219641</v>
      </c>
      <c r="Y88" s="44">
        <v>-0.33431</v>
      </c>
      <c r="Z88" s="44">
        <v>0.379183</v>
      </c>
      <c r="AA88" s="45"/>
      <c r="AB88" s="46" t="s">
        <v>123</v>
      </c>
      <c r="AC88" s="44">
        <v>19.0</v>
      </c>
    </row>
    <row r="89">
      <c r="A89" s="2">
        <v>88.0</v>
      </c>
      <c r="B89" s="14">
        <f>IF(PasteBBM!B89="",156,PasteBBM!B89)</f>
        <v>141.2909</v>
      </c>
      <c r="C89" t="str">
        <f>PasteBBM!I89</f>
        <v>Sam Hauser</v>
      </c>
      <c r="D89" t="str">
        <f>IFERROR(REPLACE(PasteBBM!K89,FIND("/",PasteBBM!K89,1),1,","),PasteBBM!K89)</f>
        <v>SF,PF</v>
      </c>
      <c r="E89" t="str">
        <f>PasteBBM!J89</f>
        <v>BOS</v>
      </c>
      <c r="F89">
        <f>PasteBBM!U89</f>
        <v>60</v>
      </c>
      <c r="G89">
        <f>PasteBBM!X89</f>
        <v>30</v>
      </c>
      <c r="H89">
        <f>PasteBBM!AE89*PasteBBM!AF89</f>
        <v>4.559166113</v>
      </c>
      <c r="I89">
        <f>PasteBBM!AE89</f>
        <v>0.434503</v>
      </c>
      <c r="J89">
        <f>PasteBBM!AG89*PasteBBM!AH89</f>
        <v>0.6743334325</v>
      </c>
      <c r="K89">
        <f>PasteBBM!AG89</f>
        <v>0.918085</v>
      </c>
      <c r="L89">
        <f>PasteBBM!Z89</f>
        <v>3.484833</v>
      </c>
      <c r="M89">
        <f>PasteBBM!Y89</f>
        <v>13.2775</v>
      </c>
      <c r="N89">
        <f>PasteBBM!AA89</f>
        <v>5.278667</v>
      </c>
      <c r="O89">
        <f>PasteBBM!AB89</f>
        <v>1.866833</v>
      </c>
      <c r="P89">
        <f>PasteBBM!AC89</f>
        <v>0.792667</v>
      </c>
      <c r="Q89">
        <f>PasteBBM!AD89</f>
        <v>0.316667</v>
      </c>
      <c r="R89">
        <f>PasteBBM!AI89</f>
        <v>0.643667</v>
      </c>
      <c r="S89">
        <f>PasteBBM!AE89</f>
        <v>0.434503</v>
      </c>
      <c r="T89">
        <f>PasteBBM!AG89</f>
        <v>0.918085</v>
      </c>
      <c r="V89" s="44">
        <v>-0.11763</v>
      </c>
      <c r="W89" s="44">
        <v>0.00234</v>
      </c>
      <c r="X89" s="44">
        <v>-0.17045</v>
      </c>
      <c r="Y89" s="44">
        <v>0.052813</v>
      </c>
      <c r="Z89" s="44">
        <v>-0.20625</v>
      </c>
      <c r="AA89" s="45"/>
      <c r="AB89" s="46" t="s">
        <v>223</v>
      </c>
      <c r="AC89" s="44">
        <v>120.0</v>
      </c>
    </row>
    <row r="90">
      <c r="A90" s="2">
        <v>89.0</v>
      </c>
      <c r="B90" s="14">
        <f>IF(PasteBBM!B90="",156,PasteBBM!B90)</f>
        <v>42.31429</v>
      </c>
      <c r="C90" t="str">
        <f>PasteBBM!I90</f>
        <v>Cooper Flagg</v>
      </c>
      <c r="D90" t="str">
        <f>IFERROR(REPLACE(PasteBBM!K90,FIND("/",PasteBBM!K90,1),1,","),PasteBBM!K90)</f>
        <v>PG,SG/SF</v>
      </c>
      <c r="E90" t="str">
        <f>PasteBBM!J90</f>
        <v>DAL</v>
      </c>
      <c r="F90">
        <f>PasteBBM!U90</f>
        <v>71</v>
      </c>
      <c r="G90">
        <f>PasteBBM!X90</f>
        <v>34</v>
      </c>
      <c r="H90">
        <f>PasteBBM!AE90*PasteBBM!AF90</f>
        <v>6.396765849</v>
      </c>
      <c r="I90">
        <f>PasteBBM!AE90</f>
        <v>0.429874</v>
      </c>
      <c r="J90">
        <f>PasteBBM!AG90*PasteBBM!AH90</f>
        <v>3.773381192</v>
      </c>
      <c r="K90">
        <f>PasteBBM!AG90</f>
        <v>0.817996</v>
      </c>
      <c r="L90">
        <f>PasteBBM!Z90</f>
        <v>1.85</v>
      </c>
      <c r="M90">
        <f>PasteBBM!Y90</f>
        <v>18.4169</v>
      </c>
      <c r="N90">
        <f>PasteBBM!AA90</f>
        <v>5.938028</v>
      </c>
      <c r="O90">
        <f>PasteBBM!AB90</f>
        <v>4.292535</v>
      </c>
      <c r="P90">
        <f>PasteBBM!AC90</f>
        <v>1.287746</v>
      </c>
      <c r="Q90">
        <f>PasteBBM!AD90</f>
        <v>1.001549</v>
      </c>
      <c r="R90">
        <f>PasteBBM!AI90</f>
        <v>3.147887</v>
      </c>
      <c r="S90">
        <f>PasteBBM!AE90</f>
        <v>0.429874</v>
      </c>
      <c r="T90">
        <f>PasteBBM!AG90</f>
        <v>0.817996</v>
      </c>
      <c r="V90" s="44">
        <v>-0.1242</v>
      </c>
      <c r="W90" s="44">
        <v>-0.00177</v>
      </c>
      <c r="X90" s="44">
        <v>-0.25435</v>
      </c>
      <c r="Y90" s="44">
        <v>0.130151</v>
      </c>
      <c r="Z90" s="44">
        <v>-0.05757</v>
      </c>
      <c r="AA90" s="45"/>
      <c r="AB90" s="46" t="s">
        <v>157</v>
      </c>
      <c r="AC90" s="44">
        <v>110.0</v>
      </c>
    </row>
    <row r="91">
      <c r="A91" s="2">
        <v>90.0</v>
      </c>
      <c r="B91" s="14">
        <f>IF(PasteBBM!B91="",156,PasteBBM!B91)</f>
        <v>125.5</v>
      </c>
      <c r="C91" t="str">
        <f>PasteBBM!I91</f>
        <v>Kyrie Irving</v>
      </c>
      <c r="D91" t="str">
        <f>IFERROR(REPLACE(PasteBBM!K91,FIND("/",PasteBBM!K91,1),1,","),PasteBBM!K91)</f>
        <v>PG,SG</v>
      </c>
      <c r="E91" t="str">
        <f>PasteBBM!J91</f>
        <v>DAL</v>
      </c>
      <c r="F91">
        <f>PasteBBM!U91</f>
        <v>10</v>
      </c>
      <c r="G91">
        <f>PasteBBM!X91</f>
        <v>28</v>
      </c>
      <c r="H91">
        <f>PasteBBM!AE91*PasteBBM!AF91</f>
        <v>6.734006651</v>
      </c>
      <c r="I91">
        <f>PasteBBM!AE91</f>
        <v>0.453499</v>
      </c>
      <c r="J91">
        <f>PasteBBM!AG91*PasteBBM!AH91</f>
        <v>2.683999752</v>
      </c>
      <c r="K91">
        <f>PasteBBM!AG91</f>
        <v>0.904008</v>
      </c>
      <c r="L91">
        <f>PasteBBM!Z91</f>
        <v>2.257</v>
      </c>
      <c r="M91">
        <f>PasteBBM!Y91</f>
        <v>18.409</v>
      </c>
      <c r="N91">
        <f>PasteBBM!AA91</f>
        <v>3.653</v>
      </c>
      <c r="O91">
        <f>PasteBBM!AB91</f>
        <v>3.067</v>
      </c>
      <c r="P91">
        <f>PasteBBM!AC91</f>
        <v>1.021</v>
      </c>
      <c r="Q91">
        <f>PasteBBM!AD91</f>
        <v>0.424</v>
      </c>
      <c r="R91">
        <f>PasteBBM!AI91</f>
        <v>1.747</v>
      </c>
      <c r="S91">
        <f>PasteBBM!AE91</f>
        <v>0.453499</v>
      </c>
      <c r="T91">
        <f>PasteBBM!AG91</f>
        <v>0.904008</v>
      </c>
      <c r="V91" s="44">
        <v>-0.13677</v>
      </c>
      <c r="W91" s="44">
        <v>0.026354</v>
      </c>
      <c r="X91" s="44">
        <v>-0.24798</v>
      </c>
      <c r="Y91" s="44">
        <v>0.11121</v>
      </c>
      <c r="Z91" s="44">
        <v>1.150464</v>
      </c>
      <c r="AA91" s="45"/>
      <c r="AB91" s="46" t="s">
        <v>218</v>
      </c>
      <c r="AC91" s="44">
        <v>61.0</v>
      </c>
    </row>
    <row r="92">
      <c r="A92" s="2">
        <v>91.0</v>
      </c>
      <c r="B92" s="14">
        <f>IF(PasteBBM!B92="",156,PasteBBM!B92)</f>
        <v>106.6714</v>
      </c>
      <c r="C92" t="str">
        <f>PasteBBM!I92</f>
        <v>Bradley Beal</v>
      </c>
      <c r="D92" t="str">
        <f>IFERROR(REPLACE(PasteBBM!K92,FIND("/",PasteBBM!K92,1),1,","),PasteBBM!K92)</f>
        <v>SG</v>
      </c>
      <c r="E92" t="str">
        <f>PasteBBM!J92</f>
        <v>LAC</v>
      </c>
      <c r="F92">
        <f>PasteBBM!U92</f>
        <v>62</v>
      </c>
      <c r="G92">
        <f>PasteBBM!X92</f>
        <v>31</v>
      </c>
      <c r="H92">
        <f>PasteBBM!AE92*PasteBBM!AF92</f>
        <v>6.462094405</v>
      </c>
      <c r="I92">
        <f>PasteBBM!AE92</f>
        <v>0.491197</v>
      </c>
      <c r="J92">
        <f>PasteBBM!AG92*PasteBBM!AH92</f>
        <v>2.190160965</v>
      </c>
      <c r="K92">
        <f>PasteBBM!AG92</f>
        <v>0.830012</v>
      </c>
      <c r="L92">
        <f>PasteBBM!Z92</f>
        <v>2.036452</v>
      </c>
      <c r="M92">
        <f>PasteBBM!Y92</f>
        <v>17.15081</v>
      </c>
      <c r="N92">
        <f>PasteBBM!AA92</f>
        <v>3.257581</v>
      </c>
      <c r="O92">
        <f>PasteBBM!AB92</f>
        <v>3.382903</v>
      </c>
      <c r="P92">
        <f>PasteBBM!AC92</f>
        <v>1.004194</v>
      </c>
      <c r="Q92">
        <f>PasteBBM!AD92</f>
        <v>0.500484</v>
      </c>
      <c r="R92">
        <f>PasteBBM!AI92</f>
        <v>1.566129</v>
      </c>
      <c r="S92">
        <f>PasteBBM!AE92</f>
        <v>0.491197</v>
      </c>
      <c r="T92">
        <f>PasteBBM!AG92</f>
        <v>0.830012</v>
      </c>
      <c r="V92" s="44">
        <v>-0.13855</v>
      </c>
      <c r="W92" s="44">
        <v>8.25E-4</v>
      </c>
      <c r="X92" s="44">
        <v>-0.17707</v>
      </c>
      <c r="Y92" s="44">
        <v>0.038527</v>
      </c>
      <c r="Z92" s="44">
        <v>-0.74522</v>
      </c>
      <c r="AA92" s="45"/>
      <c r="AB92" s="46" t="s">
        <v>142</v>
      </c>
      <c r="AC92" s="44">
        <v>103.0</v>
      </c>
    </row>
    <row r="93">
      <c r="A93" s="2">
        <v>92.0</v>
      </c>
      <c r="B93" s="14">
        <f>IF(PasteBBM!B93="",156,PasteBBM!B93)</f>
        <v>73.94286</v>
      </c>
      <c r="C93" t="str">
        <f>PasteBBM!I93</f>
        <v>Jordan Poole</v>
      </c>
      <c r="D93" t="str">
        <f>IFERROR(REPLACE(PasteBBM!K93,FIND("/",PasteBBM!K93,1),1,","),PasteBBM!K93)</f>
        <v>PG,SG</v>
      </c>
      <c r="E93" t="str">
        <f>PasteBBM!J93</f>
        <v>NOR</v>
      </c>
      <c r="F93">
        <f>PasteBBM!U93</f>
        <v>66</v>
      </c>
      <c r="G93">
        <f>PasteBBM!X93</f>
        <v>31</v>
      </c>
      <c r="H93">
        <f>PasteBBM!AE93*PasteBBM!AF93</f>
        <v>6.525003007</v>
      </c>
      <c r="I93">
        <f>PasteBBM!AE93</f>
        <v>0.434908</v>
      </c>
      <c r="J93">
        <f>PasteBBM!AG93*PasteBBM!AH93</f>
        <v>2.6975748</v>
      </c>
      <c r="K93">
        <f>PasteBBM!AG93</f>
        <v>0.89901</v>
      </c>
      <c r="L93">
        <f>PasteBBM!Z93</f>
        <v>3.177727</v>
      </c>
      <c r="M93">
        <f>PasteBBM!Y93</f>
        <v>18.9253</v>
      </c>
      <c r="N93">
        <f>PasteBBM!AA93</f>
        <v>2.935303</v>
      </c>
      <c r="O93">
        <f>PasteBBM!AB93</f>
        <v>4.305152</v>
      </c>
      <c r="P93">
        <f>PasteBBM!AC93</f>
        <v>1.196364</v>
      </c>
      <c r="Q93">
        <f>PasteBBM!AD93</f>
        <v>0.326212</v>
      </c>
      <c r="R93">
        <f>PasteBBM!AI93</f>
        <v>2.739697</v>
      </c>
      <c r="S93">
        <f>PasteBBM!AE93</f>
        <v>0.434908</v>
      </c>
      <c r="T93">
        <f>PasteBBM!AG93</f>
        <v>0.89901</v>
      </c>
      <c r="V93" s="44">
        <v>-0.14311</v>
      </c>
      <c r="W93" s="44">
        <v>-3.0E-4</v>
      </c>
      <c r="X93" s="44">
        <v>-0.18098</v>
      </c>
      <c r="Y93" s="44">
        <v>0.037869</v>
      </c>
      <c r="Z93" s="44">
        <v>-0.0111</v>
      </c>
      <c r="AA93" s="45"/>
      <c r="AB93" s="46" t="s">
        <v>158</v>
      </c>
      <c r="AC93" s="44">
        <v>131.0</v>
      </c>
    </row>
    <row r="94">
      <c r="A94" s="2">
        <v>93.0</v>
      </c>
      <c r="B94" s="14">
        <f>IF(PasteBBM!B94="",156,PasteBBM!B94)</f>
        <v>117.9194</v>
      </c>
      <c r="C94" t="str">
        <f>PasteBBM!I94</f>
        <v>Reed Sheppard</v>
      </c>
      <c r="D94" t="str">
        <f>IFERROR(REPLACE(PasteBBM!K94,FIND("/",PasteBBM!K94,1),1,","),PasteBBM!K94)</f>
        <v>PG,SG</v>
      </c>
      <c r="E94" t="str">
        <f>PasteBBM!J94</f>
        <v>HOU</v>
      </c>
      <c r="F94">
        <f>PasteBBM!U94</f>
        <v>71</v>
      </c>
      <c r="G94">
        <f>PasteBBM!X94</f>
        <v>28</v>
      </c>
      <c r="H94">
        <f>PasteBBM!AE94*PasteBBM!AF94</f>
        <v>4.470986425</v>
      </c>
      <c r="I94">
        <f>PasteBBM!AE94</f>
        <v>0.399381</v>
      </c>
      <c r="J94">
        <f>PasteBBM!AG94*PasteBBM!AH94</f>
        <v>0.9066197125</v>
      </c>
      <c r="K94">
        <f>PasteBBM!AG94</f>
        <v>0.809889</v>
      </c>
      <c r="L94">
        <f>PasteBBM!Z94</f>
        <v>2.456901</v>
      </c>
      <c r="M94">
        <f>PasteBBM!Y94</f>
        <v>12.30549</v>
      </c>
      <c r="N94">
        <f>PasteBBM!AA94</f>
        <v>3.351972</v>
      </c>
      <c r="O94">
        <f>PasteBBM!AB94</f>
        <v>4.359859</v>
      </c>
      <c r="P94">
        <f>PasteBBM!AC94</f>
        <v>1.590704</v>
      </c>
      <c r="Q94">
        <f>PasteBBM!AD94</f>
        <v>0.66</v>
      </c>
      <c r="R94">
        <f>PasteBBM!AI94</f>
        <v>1.885352</v>
      </c>
      <c r="S94">
        <f>PasteBBM!AE94</f>
        <v>0.399381</v>
      </c>
      <c r="T94">
        <f>PasteBBM!AG94</f>
        <v>0.809889</v>
      </c>
      <c r="V94" s="44">
        <v>-0.14377</v>
      </c>
      <c r="W94" s="44">
        <v>-0.04885</v>
      </c>
      <c r="X94" s="44">
        <v>-0.17317</v>
      </c>
      <c r="Y94" s="44">
        <v>0.029392</v>
      </c>
      <c r="Z94" s="44">
        <v>-1.89749</v>
      </c>
      <c r="AA94" s="45"/>
      <c r="AB94" s="46" t="s">
        <v>72</v>
      </c>
      <c r="AC94" s="44">
        <v>103.0</v>
      </c>
    </row>
    <row r="95">
      <c r="A95" s="2">
        <v>94.0</v>
      </c>
      <c r="B95" s="14">
        <f>IF(PasteBBM!B95="",156,PasteBBM!B95)</f>
        <v>136.2615</v>
      </c>
      <c r="C95" t="str">
        <f>PasteBBM!I95</f>
        <v>Aaron Nesmith</v>
      </c>
      <c r="D95" t="str">
        <f>IFERROR(REPLACE(PasteBBM!K95,FIND("/",PasteBBM!K95,1),1,","),PasteBBM!K95)</f>
        <v>SF,PF</v>
      </c>
      <c r="E95" t="str">
        <f>PasteBBM!J95</f>
        <v>IND</v>
      </c>
      <c r="F95">
        <f>PasteBBM!U95</f>
        <v>66</v>
      </c>
      <c r="G95">
        <f>PasteBBM!X95</f>
        <v>29</v>
      </c>
      <c r="H95">
        <f>PasteBBM!AE95*PasteBBM!AF95</f>
        <v>5.185451165</v>
      </c>
      <c r="I95">
        <f>PasteBBM!AE95</f>
        <v>0.474746</v>
      </c>
      <c r="J95">
        <f>PasteBBM!AG95*PasteBBM!AH95</f>
        <v>2.228332316</v>
      </c>
      <c r="K95">
        <f>PasteBBM!AG95</f>
        <v>0.850017</v>
      </c>
      <c r="L95">
        <f>PasteBBM!Z95</f>
        <v>2.294394</v>
      </c>
      <c r="M95">
        <f>PasteBBM!Y95</f>
        <v>14.89364</v>
      </c>
      <c r="N95">
        <f>PasteBBM!AA95</f>
        <v>4.454545</v>
      </c>
      <c r="O95">
        <f>PasteBBM!AB95</f>
        <v>2.013636</v>
      </c>
      <c r="P95">
        <f>PasteBBM!AC95</f>
        <v>0.976364</v>
      </c>
      <c r="Q95">
        <f>PasteBBM!AD95</f>
        <v>0.483182</v>
      </c>
      <c r="R95">
        <f>PasteBBM!AI95</f>
        <v>1.220455</v>
      </c>
      <c r="S95">
        <f>PasteBBM!AE95</f>
        <v>0.474746</v>
      </c>
      <c r="T95">
        <f>PasteBBM!AG95</f>
        <v>0.850017</v>
      </c>
      <c r="V95" s="44">
        <v>-0.14474</v>
      </c>
      <c r="W95" s="44">
        <v>2.71E-4</v>
      </c>
      <c r="X95" s="44">
        <v>-0.14827</v>
      </c>
      <c r="Y95" s="44">
        <v>0.003531</v>
      </c>
      <c r="Z95" s="44">
        <v>-1.85103</v>
      </c>
      <c r="AA95" s="45"/>
      <c r="AB95" s="46" t="s">
        <v>220</v>
      </c>
      <c r="AC95" s="44">
        <v>100.0</v>
      </c>
    </row>
    <row r="96">
      <c r="A96" s="2">
        <v>95.0</v>
      </c>
      <c r="B96" s="14">
        <f>IF(PasteBBM!B96="",156,PasteBBM!B96)</f>
        <v>95.5</v>
      </c>
      <c r="C96" t="str">
        <f>PasteBBM!I96</f>
        <v>Shaedon Sharpe</v>
      </c>
      <c r="D96" t="str">
        <f>IFERROR(REPLACE(PasteBBM!K96,FIND("/",PasteBBM!K96,1),1,","),PasteBBM!K96)</f>
        <v>SG,SF</v>
      </c>
      <c r="E96" t="str">
        <f>PasteBBM!J96</f>
        <v>POR</v>
      </c>
      <c r="F96">
        <f>PasteBBM!U96</f>
        <v>66</v>
      </c>
      <c r="G96">
        <f>PasteBBM!X96</f>
        <v>32</v>
      </c>
      <c r="H96">
        <f>PasteBBM!AE96*PasteBBM!AF96</f>
        <v>8.297415268</v>
      </c>
      <c r="I96">
        <f>PasteBBM!AE96</f>
        <v>0.467504</v>
      </c>
      <c r="J96">
        <f>PasteBBM!AG96*PasteBBM!AH96</f>
        <v>3.496363419</v>
      </c>
      <c r="K96">
        <f>PasteBBM!AG96</f>
        <v>0.788007</v>
      </c>
      <c r="L96">
        <f>PasteBBM!Z96</f>
        <v>2.518485</v>
      </c>
      <c r="M96">
        <f>PasteBBM!Y96</f>
        <v>22.6097</v>
      </c>
      <c r="N96">
        <f>PasteBBM!AA96</f>
        <v>5.16803</v>
      </c>
      <c r="O96">
        <f>PasteBBM!AB96</f>
        <v>3.263939</v>
      </c>
      <c r="P96">
        <f>PasteBBM!AC96</f>
        <v>0.954848</v>
      </c>
      <c r="Q96">
        <f>PasteBBM!AD96</f>
        <v>0.203636</v>
      </c>
      <c r="R96">
        <f>PasteBBM!AI96</f>
        <v>2.172273</v>
      </c>
      <c r="S96">
        <f>PasteBBM!AE96</f>
        <v>0.467504</v>
      </c>
      <c r="T96">
        <f>PasteBBM!AG96</f>
        <v>0.788007</v>
      </c>
      <c r="V96" s="44">
        <v>-0.16233</v>
      </c>
      <c r="W96" s="44">
        <v>-0.0018</v>
      </c>
      <c r="X96" s="44">
        <v>-0.0352</v>
      </c>
      <c r="Y96" s="44">
        <v>-0.12714</v>
      </c>
      <c r="Z96" s="44">
        <v>0.193332</v>
      </c>
      <c r="AA96" s="45"/>
      <c r="AB96" s="46" t="s">
        <v>42</v>
      </c>
      <c r="AC96" s="44">
        <v>78.0</v>
      </c>
    </row>
    <row r="97">
      <c r="A97" s="2">
        <v>96.0</v>
      </c>
      <c r="B97" s="14">
        <f>IF(PasteBBM!B97="",156,PasteBBM!B97)</f>
        <v>90.45714</v>
      </c>
      <c r="C97" t="str">
        <f>PasteBBM!I97</f>
        <v>John Collins</v>
      </c>
      <c r="D97" t="str">
        <f>IFERROR(REPLACE(PasteBBM!K97,FIND("/",PasteBBM!K97,1),1,","),PasteBBM!K97)</f>
        <v>SF,PF</v>
      </c>
      <c r="E97" t="str">
        <f>PasteBBM!J97</f>
        <v>LAC</v>
      </c>
      <c r="F97">
        <f>PasteBBM!U97</f>
        <v>71</v>
      </c>
      <c r="G97">
        <f>PasteBBM!X97</f>
        <v>29</v>
      </c>
      <c r="H97">
        <f>PasteBBM!AE97*PasteBBM!AF97</f>
        <v>6.141548101</v>
      </c>
      <c r="I97">
        <f>PasteBBM!AE97</f>
        <v>0.557459</v>
      </c>
      <c r="J97">
        <f>PasteBBM!AG97*PasteBBM!AH97</f>
        <v>2.269578303</v>
      </c>
      <c r="K97">
        <f>PasteBBM!AG97</f>
        <v>0.823993</v>
      </c>
      <c r="L97">
        <f>PasteBBM!Z97</f>
        <v>1.130423</v>
      </c>
      <c r="M97">
        <f>PasteBBM!Y97</f>
        <v>15.6831</v>
      </c>
      <c r="N97">
        <f>PasteBBM!AA97</f>
        <v>6.446479</v>
      </c>
      <c r="O97">
        <f>PasteBBM!AB97</f>
        <v>1.230704</v>
      </c>
      <c r="P97">
        <f>PasteBBM!AC97</f>
        <v>0.644648</v>
      </c>
      <c r="Q97">
        <f>PasteBBM!AD97</f>
        <v>0.761831</v>
      </c>
      <c r="R97">
        <f>PasteBBM!AI97</f>
        <v>1.46507</v>
      </c>
      <c r="S97">
        <f>PasteBBM!AE97</f>
        <v>0.557459</v>
      </c>
      <c r="T97">
        <f>PasteBBM!AG97</f>
        <v>0.823993</v>
      </c>
      <c r="V97" s="44">
        <v>-0.16504</v>
      </c>
      <c r="W97" s="44">
        <v>-0.00108</v>
      </c>
      <c r="X97" s="44">
        <v>-0.24326</v>
      </c>
      <c r="Y97" s="44">
        <v>0.078229</v>
      </c>
      <c r="Z97" s="44">
        <v>-0.41068</v>
      </c>
      <c r="AA97" s="45"/>
      <c r="AB97" s="46" t="s">
        <v>198</v>
      </c>
      <c r="AC97" s="44">
        <v>141.0</v>
      </c>
    </row>
    <row r="98">
      <c r="A98" s="2">
        <v>97.0</v>
      </c>
      <c r="B98" s="14">
        <f>IF(PasteBBM!B98="",156,PasteBBM!B98)</f>
        <v>135.5682</v>
      </c>
      <c r="C98" t="str">
        <f>PasteBBM!I98</f>
        <v>Isaiah Jackson</v>
      </c>
      <c r="D98" t="str">
        <f>IFERROR(REPLACE(PasteBBM!K98,FIND("/",PasteBBM!K98,1),1,","),PasteBBM!K98)</f>
        <v>C</v>
      </c>
      <c r="E98" t="str">
        <f>PasteBBM!J98</f>
        <v>IND</v>
      </c>
      <c r="F98">
        <f>PasteBBM!U98</f>
        <v>54</v>
      </c>
      <c r="G98">
        <f>PasteBBM!X98</f>
        <v>24</v>
      </c>
      <c r="H98">
        <f>PasteBBM!AE98*PasteBBM!AF98</f>
        <v>4.000369699</v>
      </c>
      <c r="I98">
        <f>PasteBBM!AE98</f>
        <v>0.582531</v>
      </c>
      <c r="J98">
        <f>PasteBBM!AG98*PasteBBM!AH98</f>
        <v>2.234257565</v>
      </c>
      <c r="K98">
        <f>PasteBBM!AG98</f>
        <v>0.677999</v>
      </c>
      <c r="L98">
        <f>PasteBBM!Z98</f>
        <v>0.05037</v>
      </c>
      <c r="M98">
        <f>PasteBBM!Y98</f>
        <v>10.28537</v>
      </c>
      <c r="N98">
        <f>PasteBBM!AA98</f>
        <v>6.867963</v>
      </c>
      <c r="O98">
        <f>PasteBBM!AB98</f>
        <v>1.399444</v>
      </c>
      <c r="P98">
        <f>PasteBBM!AC98</f>
        <v>0.943704</v>
      </c>
      <c r="Q98">
        <f>PasteBBM!AD98</f>
        <v>1.926852</v>
      </c>
      <c r="R98">
        <f>PasteBBM!AI98</f>
        <v>1.189444</v>
      </c>
      <c r="S98">
        <f>PasteBBM!AE98</f>
        <v>0.582531</v>
      </c>
      <c r="T98">
        <f>PasteBBM!AG98</f>
        <v>0.677999</v>
      </c>
      <c r="V98" s="44">
        <v>-0.16578</v>
      </c>
      <c r="W98" s="44">
        <v>0.083088</v>
      </c>
      <c r="X98" s="44">
        <v>-0.27997</v>
      </c>
      <c r="Y98" s="44">
        <v>0.114184</v>
      </c>
      <c r="Z98" s="44">
        <v>-0.06686</v>
      </c>
      <c r="AA98" s="45"/>
      <c r="AB98" s="46" t="s">
        <v>315</v>
      </c>
      <c r="AC98" s="44">
        <v>172.0</v>
      </c>
    </row>
    <row r="99">
      <c r="A99" s="2">
        <v>98.0</v>
      </c>
      <c r="B99" s="14">
        <f>IF(PasteBBM!B99="",156,PasteBBM!B99)</f>
        <v>110.8429</v>
      </c>
      <c r="C99" t="str">
        <f>PasteBBM!I99</f>
        <v>Jaden McDaniels</v>
      </c>
      <c r="D99" t="str">
        <f>IFERROR(REPLACE(PasteBBM!K99,FIND("/",PasteBBM!K99,1),1,","),PasteBBM!K99)</f>
        <v>SF,PF</v>
      </c>
      <c r="E99" t="str">
        <f>PasteBBM!J99</f>
        <v>MIN</v>
      </c>
      <c r="F99">
        <f>PasteBBM!U99</f>
        <v>71</v>
      </c>
      <c r="G99">
        <f>PasteBBM!X99</f>
        <v>31</v>
      </c>
      <c r="H99">
        <f>PasteBBM!AE99*PasteBBM!AF99</f>
        <v>5.038311643</v>
      </c>
      <c r="I99">
        <f>PasteBBM!AE99</f>
        <v>0.495629</v>
      </c>
      <c r="J99">
        <f>PasteBBM!AG99*PasteBBM!AH99</f>
        <v>1.309154435</v>
      </c>
      <c r="K99">
        <f>PasteBBM!AG99</f>
        <v>0.812997</v>
      </c>
      <c r="L99">
        <f>PasteBBM!Z99</f>
        <v>1.046338</v>
      </c>
      <c r="M99">
        <f>PasteBBM!Y99</f>
        <v>12.43211</v>
      </c>
      <c r="N99">
        <f>PasteBBM!AA99</f>
        <v>5.306761</v>
      </c>
      <c r="O99">
        <f>PasteBBM!AB99</f>
        <v>1.854225</v>
      </c>
      <c r="P99">
        <f>PasteBBM!AC99</f>
        <v>1.086901</v>
      </c>
      <c r="Q99">
        <f>PasteBBM!AD99</f>
        <v>0.898873</v>
      </c>
      <c r="R99">
        <f>PasteBBM!AI99</f>
        <v>1.15507</v>
      </c>
      <c r="S99">
        <f>PasteBBM!AE99</f>
        <v>0.495629</v>
      </c>
      <c r="T99">
        <f>PasteBBM!AG99</f>
        <v>0.812997</v>
      </c>
      <c r="V99" s="44">
        <v>-0.17036</v>
      </c>
      <c r="W99" s="44">
        <v>0.008443</v>
      </c>
      <c r="X99" s="44">
        <v>-0.01617</v>
      </c>
      <c r="Y99" s="44">
        <v>-0.15419</v>
      </c>
      <c r="Z99" s="44">
        <v>0.276965</v>
      </c>
      <c r="AA99" s="45"/>
      <c r="AB99" s="46" t="s">
        <v>65</v>
      </c>
      <c r="AC99" s="44">
        <v>22.0</v>
      </c>
    </row>
    <row r="100">
      <c r="A100" s="2">
        <v>99.0</v>
      </c>
      <c r="B100" s="14">
        <f>IF(PasteBBM!B100="",156,PasteBBM!B100)</f>
        <v>75.88571</v>
      </c>
      <c r="C100" t="str">
        <f>PasteBBM!I100</f>
        <v>Donovan Clingan</v>
      </c>
      <c r="D100" t="str">
        <f>IFERROR(REPLACE(PasteBBM!K100,FIND("/",PasteBBM!K100,1),1,","),PasteBBM!K100)</f>
        <v>C</v>
      </c>
      <c r="E100" t="str">
        <f>PasteBBM!J100</f>
        <v>POR</v>
      </c>
      <c r="F100">
        <f>PasteBBM!U100</f>
        <v>66</v>
      </c>
      <c r="G100">
        <f>PasteBBM!X100</f>
        <v>27</v>
      </c>
      <c r="H100">
        <f>PasteBBM!AE100*PasteBBM!AF100</f>
        <v>4.620300173</v>
      </c>
      <c r="I100">
        <f>PasteBBM!AE100</f>
        <v>0.559225</v>
      </c>
      <c r="J100">
        <f>PasteBBM!AG100*PasteBBM!AH100</f>
        <v>1.578635826</v>
      </c>
      <c r="K100">
        <f>PasteBBM!AG100</f>
        <v>0.578994</v>
      </c>
      <c r="L100">
        <f>PasteBBM!Z100</f>
        <v>0.312576</v>
      </c>
      <c r="M100">
        <f>PasteBBM!Y100</f>
        <v>11.13182</v>
      </c>
      <c r="N100">
        <f>PasteBBM!AA100</f>
        <v>10.32742</v>
      </c>
      <c r="O100">
        <f>PasteBBM!AB100</f>
        <v>1.861212</v>
      </c>
      <c r="P100">
        <f>PasteBBM!AC100</f>
        <v>0.71</v>
      </c>
      <c r="Q100">
        <f>PasteBBM!AD100</f>
        <v>1.721212</v>
      </c>
      <c r="R100">
        <f>PasteBBM!AI100</f>
        <v>1.410909</v>
      </c>
      <c r="S100">
        <f>PasteBBM!AE100</f>
        <v>0.559225</v>
      </c>
      <c r="T100">
        <f>PasteBBM!AG100</f>
        <v>0.578994</v>
      </c>
      <c r="V100" s="44">
        <v>-0.17509</v>
      </c>
      <c r="W100" s="44">
        <v>-0.05735</v>
      </c>
      <c r="X100" s="44">
        <v>6.9E-4</v>
      </c>
      <c r="Y100" s="44">
        <v>-0.17578</v>
      </c>
      <c r="Z100" s="44">
        <v>0.983199</v>
      </c>
      <c r="AA100" s="45"/>
      <c r="AB100" s="46" t="s">
        <v>167</v>
      </c>
      <c r="AC100" s="44">
        <v>77.0</v>
      </c>
    </row>
    <row r="101">
      <c r="A101" s="2">
        <v>100.0</v>
      </c>
      <c r="B101" s="14">
        <f>IF(PasteBBM!B101="",156,PasteBBM!B101)</f>
        <v>59.85714</v>
      </c>
      <c r="C101" t="str">
        <f>PasteBBM!I101</f>
        <v>Josh Hart</v>
      </c>
      <c r="D101" t="str">
        <f>IFERROR(REPLACE(PasteBBM!K101,FIND("/",PasteBBM!K101,1),1,","),PasteBBM!K101)</f>
        <v>SG,SF</v>
      </c>
      <c r="E101" t="str">
        <f>PasteBBM!J101</f>
        <v>NYK</v>
      </c>
      <c r="F101">
        <f>PasteBBM!U101</f>
        <v>71</v>
      </c>
      <c r="G101">
        <f>PasteBBM!X101</f>
        <v>32</v>
      </c>
      <c r="H101">
        <f>PasteBBM!AE101*PasteBBM!AF101</f>
        <v>4.404368626</v>
      </c>
      <c r="I101">
        <f>PasteBBM!AE101</f>
        <v>0.494294</v>
      </c>
      <c r="J101">
        <f>PasteBBM!AG101*PasteBBM!AH101</f>
        <v>1.668449921</v>
      </c>
      <c r="K101">
        <f>PasteBBM!AG101</f>
        <v>0.742975</v>
      </c>
      <c r="L101">
        <f>PasteBBM!Z101</f>
        <v>0.895352</v>
      </c>
      <c r="M101">
        <f>PasteBBM!Y101</f>
        <v>11.37254</v>
      </c>
      <c r="N101">
        <f>PasteBBM!AA101</f>
        <v>7.26</v>
      </c>
      <c r="O101">
        <f>PasteBBM!AB101</f>
        <v>4.553944</v>
      </c>
      <c r="P101">
        <f>PasteBBM!AC101</f>
        <v>1.188028</v>
      </c>
      <c r="Q101">
        <f>PasteBBM!AD101</f>
        <v>0.267746</v>
      </c>
      <c r="R101">
        <f>PasteBBM!AI101</f>
        <v>1.518028</v>
      </c>
      <c r="S101">
        <f>PasteBBM!AE101</f>
        <v>0.494294</v>
      </c>
      <c r="T101">
        <f>PasteBBM!AG101</f>
        <v>0.742975</v>
      </c>
      <c r="V101" s="44">
        <v>-0.17825</v>
      </c>
      <c r="W101" s="44">
        <v>-0.01021</v>
      </c>
      <c r="X101" s="44">
        <v>0.222408</v>
      </c>
      <c r="Y101" s="44">
        <v>-0.40065</v>
      </c>
      <c r="Z101" s="44">
        <v>-0.41998</v>
      </c>
      <c r="AA101" s="45"/>
      <c r="AB101" s="46" t="s">
        <v>151</v>
      </c>
      <c r="AC101" s="44">
        <v>42.0</v>
      </c>
    </row>
    <row r="102">
      <c r="A102" s="2">
        <v>101.0</v>
      </c>
      <c r="B102" s="14">
        <f>IF(PasteBBM!B102="",156,PasteBBM!B102)</f>
        <v>79.9</v>
      </c>
      <c r="C102" t="str">
        <f>PasteBBM!I102</f>
        <v>Mikal Bridges</v>
      </c>
      <c r="D102" t="str">
        <f>IFERROR(REPLACE(PasteBBM!K102,FIND("/",PasteBBM!K102,1),1,","),PasteBBM!K102)</f>
        <v>SG,SF/PF</v>
      </c>
      <c r="E102" t="str">
        <f>PasteBBM!J102</f>
        <v>NYK</v>
      </c>
      <c r="F102">
        <f>PasteBBM!U102</f>
        <v>79</v>
      </c>
      <c r="G102">
        <f>PasteBBM!X102</f>
        <v>36</v>
      </c>
      <c r="H102">
        <f>PasteBBM!AE102*PasteBBM!AF102</f>
        <v>6.791393468</v>
      </c>
      <c r="I102">
        <f>PasteBBM!AE102</f>
        <v>0.502548</v>
      </c>
      <c r="J102">
        <f>PasteBBM!AG102*PasteBBM!AH102</f>
        <v>1.273924008</v>
      </c>
      <c r="K102">
        <f>PasteBBM!AG102</f>
        <v>0.857021</v>
      </c>
      <c r="L102">
        <f>PasteBBM!Z102</f>
        <v>1.641139</v>
      </c>
      <c r="M102">
        <f>PasteBBM!Y102</f>
        <v>16.49785</v>
      </c>
      <c r="N102">
        <f>PasteBBM!AA102</f>
        <v>2.97</v>
      </c>
      <c r="O102">
        <f>PasteBBM!AB102</f>
        <v>4.359747</v>
      </c>
      <c r="P102">
        <f>PasteBBM!AC102</f>
        <v>0.895696</v>
      </c>
      <c r="Q102">
        <f>PasteBBM!AD102</f>
        <v>0.517848</v>
      </c>
      <c r="R102">
        <f>PasteBBM!AI102</f>
        <v>1.702278</v>
      </c>
      <c r="S102">
        <f>PasteBBM!AE102</f>
        <v>0.502548</v>
      </c>
      <c r="T102">
        <f>PasteBBM!AG102</f>
        <v>0.857021</v>
      </c>
      <c r="V102" s="44">
        <v>-0.18021</v>
      </c>
      <c r="W102" s="44">
        <v>-0.00844</v>
      </c>
      <c r="X102" s="44">
        <v>-0.21327</v>
      </c>
      <c r="Y102" s="44">
        <v>0.033059</v>
      </c>
      <c r="Z102" s="44">
        <v>0.760177</v>
      </c>
      <c r="AA102" s="45"/>
      <c r="AB102" s="46" t="s">
        <v>102</v>
      </c>
      <c r="AC102" s="44">
        <v>117.0</v>
      </c>
    </row>
    <row r="103">
      <c r="A103" s="2">
        <v>102.0</v>
      </c>
      <c r="B103" s="14">
        <f>IF(PasteBBM!B103="",156,PasteBBM!B103)</f>
        <v>116.9429</v>
      </c>
      <c r="C103" t="str">
        <f>PasteBBM!I103</f>
        <v>Herb Jones</v>
      </c>
      <c r="D103" t="str">
        <f>IFERROR(REPLACE(PasteBBM!K103,FIND("/",PasteBBM!K103,1),1,","),PasteBBM!K103)</f>
        <v>SF,PF</v>
      </c>
      <c r="E103" t="str">
        <f>PasteBBM!J103</f>
        <v>NOR</v>
      </c>
      <c r="F103">
        <f>PasteBBM!U103</f>
        <v>71</v>
      </c>
      <c r="G103">
        <f>PasteBBM!X103</f>
        <v>33</v>
      </c>
      <c r="H103">
        <f>PasteBBM!AE103*PasteBBM!AF103</f>
        <v>3.777463414</v>
      </c>
      <c r="I103">
        <f>PasteBBM!AE103</f>
        <v>0.453362</v>
      </c>
      <c r="J103">
        <f>PasteBBM!AG103*PasteBBM!AH103</f>
        <v>1.692535563</v>
      </c>
      <c r="K103">
        <f>PasteBBM!AG103</f>
        <v>0.845018</v>
      </c>
      <c r="L103">
        <f>PasteBBM!Z103</f>
        <v>1.00493</v>
      </c>
      <c r="M103">
        <f>PasteBBM!Y103</f>
        <v>10.25239</v>
      </c>
      <c r="N103">
        <f>PasteBBM!AA103</f>
        <v>4.027324</v>
      </c>
      <c r="O103">
        <f>PasteBBM!AB103</f>
        <v>3.062394</v>
      </c>
      <c r="P103">
        <f>PasteBBM!AC103</f>
        <v>1.737606</v>
      </c>
      <c r="Q103">
        <f>PasteBBM!AD103</f>
        <v>0.55507</v>
      </c>
      <c r="R103">
        <f>PasteBBM!AI103</f>
        <v>1.735915</v>
      </c>
      <c r="S103">
        <f>PasteBBM!AE103</f>
        <v>0.453362</v>
      </c>
      <c r="T103">
        <f>PasteBBM!AG103</f>
        <v>0.845018</v>
      </c>
      <c r="V103" s="44">
        <v>-0.18167</v>
      </c>
      <c r="W103" s="44">
        <v>0.002807</v>
      </c>
      <c r="X103" s="44">
        <v>-0.17921</v>
      </c>
      <c r="Y103" s="44">
        <v>-0.00246</v>
      </c>
      <c r="Z103" s="44">
        <v>0.379183</v>
      </c>
      <c r="AA103" s="45"/>
      <c r="AB103" s="46" t="s">
        <v>104</v>
      </c>
      <c r="AC103" s="44">
        <v>144.0</v>
      </c>
    </row>
    <row r="104">
      <c r="A104" s="2">
        <v>103.0</v>
      </c>
      <c r="B104" s="14">
        <f>IF(PasteBBM!B104="",156,PasteBBM!B104)</f>
        <v>80.52857</v>
      </c>
      <c r="C104" t="str">
        <f>PasteBBM!I104</f>
        <v>Brandon Ingram</v>
      </c>
      <c r="D104" t="str">
        <f>IFERROR(REPLACE(PasteBBM!K104,FIND("/",PasteBBM!K104,1),1,","),PasteBBM!K104)</f>
        <v>SF,PF</v>
      </c>
      <c r="E104" t="str">
        <f>PasteBBM!J104</f>
        <v>TOR</v>
      </c>
      <c r="F104">
        <f>PasteBBM!U104</f>
        <v>59</v>
      </c>
      <c r="G104">
        <f>PasteBBM!X104</f>
        <v>33</v>
      </c>
      <c r="H104">
        <f>PasteBBM!AE104*PasteBBM!AF104</f>
        <v>7.964065492</v>
      </c>
      <c r="I104">
        <f>PasteBBM!AE104</f>
        <v>0.468596</v>
      </c>
      <c r="J104">
        <f>PasteBBM!AG104*PasteBBM!AH104</f>
        <v>3.271696862</v>
      </c>
      <c r="K104">
        <f>PasteBBM!AG104</f>
        <v>0.837005</v>
      </c>
      <c r="L104">
        <f>PasteBBM!Z104</f>
        <v>1.944068</v>
      </c>
      <c r="M104">
        <f>PasteBBM!Y104</f>
        <v>21.1439</v>
      </c>
      <c r="N104">
        <f>PasteBBM!AA104</f>
        <v>5.52339</v>
      </c>
      <c r="O104">
        <f>PasteBBM!AB104</f>
        <v>4.744407</v>
      </c>
      <c r="P104">
        <f>PasteBBM!AC104</f>
        <v>0.708136</v>
      </c>
      <c r="Q104">
        <f>PasteBBM!AD104</f>
        <v>0.566441</v>
      </c>
      <c r="R104">
        <f>PasteBBM!AI104</f>
        <v>2.832542</v>
      </c>
      <c r="S104">
        <f>PasteBBM!AE104</f>
        <v>0.468596</v>
      </c>
      <c r="T104">
        <f>PasteBBM!AG104</f>
        <v>0.837005</v>
      </c>
      <c r="V104" s="44">
        <v>-0.18186</v>
      </c>
      <c r="W104" s="44">
        <v>-0.00263</v>
      </c>
      <c r="X104" s="44">
        <v>0.174624</v>
      </c>
      <c r="Y104" s="44">
        <v>-0.35648</v>
      </c>
      <c r="Z104" s="44">
        <v>0.574326</v>
      </c>
      <c r="AA104" s="45"/>
      <c r="AB104" s="46" t="s">
        <v>202</v>
      </c>
      <c r="AC104" s="44">
        <v>29.0</v>
      </c>
    </row>
    <row r="105">
      <c r="A105" s="2">
        <v>104.0</v>
      </c>
      <c r="B105" s="14">
        <f>IF(PasteBBM!B105="",156,PasteBBM!B105)</f>
        <v>142.2308</v>
      </c>
      <c r="C105" t="str">
        <f>PasteBBM!I105</f>
        <v>Alex Caruso</v>
      </c>
      <c r="D105" t="str">
        <f>IFERROR(REPLACE(PasteBBM!K105,FIND("/",PasteBBM!K105,1),1,","),PasteBBM!K105)</f>
        <v>PG,SG/SF</v>
      </c>
      <c r="E105" t="str">
        <f>PasteBBM!J105</f>
        <v>OKC</v>
      </c>
      <c r="F105">
        <f>PasteBBM!U105</f>
        <v>54</v>
      </c>
      <c r="G105">
        <f>PasteBBM!X105</f>
        <v>20</v>
      </c>
      <c r="H105">
        <f>PasteBBM!AE105*PasteBBM!AF105</f>
        <v>2.920741002</v>
      </c>
      <c r="I105">
        <f>PasteBBM!AE105</f>
        <v>0.461291</v>
      </c>
      <c r="J105">
        <f>PasteBBM!AG105*PasteBBM!AH105</f>
        <v>1.03981383</v>
      </c>
      <c r="K105">
        <f>PasteBBM!AG105</f>
        <v>0.821026</v>
      </c>
      <c r="L105">
        <f>PasteBBM!Z105</f>
        <v>1.218333</v>
      </c>
      <c r="M105">
        <f>PasteBBM!Y105</f>
        <v>8.09963</v>
      </c>
      <c r="N105">
        <f>PasteBBM!AA105</f>
        <v>2.975</v>
      </c>
      <c r="O105">
        <f>PasteBBM!AB105</f>
        <v>2.629444</v>
      </c>
      <c r="P105">
        <f>PasteBBM!AC105</f>
        <v>1.53</v>
      </c>
      <c r="Q105">
        <f>PasteBBM!AD105</f>
        <v>0.59963</v>
      </c>
      <c r="R105">
        <f>PasteBBM!AI105</f>
        <v>0.68</v>
      </c>
      <c r="S105">
        <f>PasteBBM!AE105</f>
        <v>0.461291</v>
      </c>
      <c r="T105">
        <f>PasteBBM!AG105</f>
        <v>0.821026</v>
      </c>
      <c r="V105" s="44">
        <v>-0.18244</v>
      </c>
      <c r="W105" s="44">
        <v>0.01652</v>
      </c>
      <c r="X105" s="44">
        <v>-0.11626</v>
      </c>
      <c r="Y105" s="44">
        <v>-0.06618</v>
      </c>
      <c r="Z105" s="44">
        <v>-1.61872</v>
      </c>
      <c r="AA105" s="45"/>
      <c r="AB105" s="46" t="s">
        <v>132</v>
      </c>
      <c r="AC105" s="44">
        <v>102.0</v>
      </c>
    </row>
    <row r="106">
      <c r="A106" s="2">
        <v>105.0</v>
      </c>
      <c r="B106" s="14">
        <f>IF(PasteBBM!B106="",156,PasteBBM!B106)</f>
        <v>122.2353</v>
      </c>
      <c r="C106" t="str">
        <f>PasteBBM!I106</f>
        <v>Donte DiVincenzo</v>
      </c>
      <c r="D106" t="str">
        <f>IFERROR(REPLACE(PasteBBM!K106,FIND("/",PasteBBM!K106,1),1,","),PasteBBM!K106)</f>
        <v>PG,SG</v>
      </c>
      <c r="E106" t="str">
        <f>PasteBBM!J106</f>
        <v>MIN</v>
      </c>
      <c r="F106">
        <f>PasteBBM!U106</f>
        <v>66</v>
      </c>
      <c r="G106">
        <f>PasteBBM!X106</f>
        <v>27</v>
      </c>
      <c r="H106">
        <f>PasteBBM!AE106*PasteBBM!AF106</f>
        <v>4.565449703</v>
      </c>
      <c r="I106">
        <f>PasteBBM!AE106</f>
        <v>0.426992</v>
      </c>
      <c r="J106">
        <f>PasteBBM!AG106*PasteBBM!AH106</f>
        <v>0.7563638989</v>
      </c>
      <c r="K106">
        <f>PasteBBM!AG106</f>
        <v>0.786018</v>
      </c>
      <c r="L106">
        <f>PasteBBM!Z106</f>
        <v>3.048485</v>
      </c>
      <c r="M106">
        <f>PasteBBM!Y106</f>
        <v>12.93576</v>
      </c>
      <c r="N106">
        <f>PasteBBM!AA106</f>
        <v>3.898182</v>
      </c>
      <c r="O106">
        <f>PasteBBM!AB106</f>
        <v>4.065152</v>
      </c>
      <c r="P106">
        <f>PasteBBM!AC106</f>
        <v>1.182273</v>
      </c>
      <c r="Q106">
        <f>PasteBBM!AD106</f>
        <v>0.331818</v>
      </c>
      <c r="R106">
        <f>PasteBBM!AI106</f>
        <v>1.726364</v>
      </c>
      <c r="S106">
        <f>PasteBBM!AE106</f>
        <v>0.426992</v>
      </c>
      <c r="T106">
        <f>PasteBBM!AG106</f>
        <v>0.786018</v>
      </c>
      <c r="V106" s="44">
        <v>-0.19149</v>
      </c>
      <c r="W106" s="270">
        <v>-9.8E-5</v>
      </c>
      <c r="X106" s="44">
        <v>-0.2586</v>
      </c>
      <c r="Y106" s="44">
        <v>0.067112</v>
      </c>
      <c r="Z106" s="44">
        <v>0.778762</v>
      </c>
      <c r="AA106" s="45"/>
      <c r="AB106" s="46" t="s">
        <v>159</v>
      </c>
      <c r="AC106" s="44">
        <v>146.0</v>
      </c>
    </row>
    <row r="107">
      <c r="A107" s="2">
        <v>106.0</v>
      </c>
      <c r="B107" s="14">
        <f>IF(PasteBBM!B107="",156,PasteBBM!B107)</f>
        <v>136.9583</v>
      </c>
      <c r="C107" t="str">
        <f>PasteBBM!I107</f>
        <v>Mitchell Robinson</v>
      </c>
      <c r="D107" t="str">
        <f>IFERROR(REPLACE(PasteBBM!K107,FIND("/",PasteBBM!K107,1),1,","),PasteBBM!K107)</f>
        <v>C</v>
      </c>
      <c r="E107" t="str">
        <f>PasteBBM!J107</f>
        <v>NYK</v>
      </c>
      <c r="F107">
        <f>PasteBBM!U107</f>
        <v>66</v>
      </c>
      <c r="G107">
        <f>PasteBBM!X107</f>
        <v>25</v>
      </c>
      <c r="H107">
        <f>PasteBBM!AE107*PasteBBM!AF107</f>
        <v>3.2566644</v>
      </c>
      <c r="I107">
        <f>PasteBBM!AE107</f>
        <v>0.657912</v>
      </c>
      <c r="J107">
        <f>PasteBBM!AG107*PasteBBM!AH107</f>
        <v>1.041211383</v>
      </c>
      <c r="K107">
        <f>PasteBBM!AG107</f>
        <v>0.513027</v>
      </c>
      <c r="L107">
        <f>PasteBBM!Z107</f>
        <v>0</v>
      </c>
      <c r="M107">
        <f>PasteBBM!Y107</f>
        <v>7.554545</v>
      </c>
      <c r="N107">
        <f>PasteBBM!AA107</f>
        <v>8.817121</v>
      </c>
      <c r="O107">
        <f>PasteBBM!AB107</f>
        <v>0.802727</v>
      </c>
      <c r="P107">
        <f>PasteBBM!AC107</f>
        <v>1.031212</v>
      </c>
      <c r="Q107">
        <f>PasteBBM!AD107</f>
        <v>1.546818</v>
      </c>
      <c r="R107">
        <f>PasteBBM!AI107</f>
        <v>0.767576</v>
      </c>
      <c r="S107">
        <f>PasteBBM!AE107</f>
        <v>0.657912</v>
      </c>
      <c r="T107">
        <f>PasteBBM!AG107</f>
        <v>0.513027</v>
      </c>
      <c r="V107" s="44">
        <v>-0.19966</v>
      </c>
      <c r="W107" s="44">
        <v>-0.00195</v>
      </c>
      <c r="X107" s="44">
        <v>-0.13803</v>
      </c>
      <c r="Y107" s="44">
        <v>-0.06163</v>
      </c>
      <c r="Z107" s="44">
        <v>0.063236</v>
      </c>
      <c r="AA107" s="45"/>
      <c r="AB107" s="46" t="s">
        <v>185</v>
      </c>
      <c r="AC107" s="44">
        <v>109.0</v>
      </c>
    </row>
    <row r="108">
      <c r="A108" s="2">
        <v>107.0</v>
      </c>
      <c r="B108" s="14">
        <f>IF(PasteBBM!B108="",156,PasteBBM!B108)</f>
        <v>116.4857</v>
      </c>
      <c r="C108" t="str">
        <f>PasteBBM!I108</f>
        <v>Bobby Portis</v>
      </c>
      <c r="D108" t="str">
        <f>IFERROR(REPLACE(PasteBBM!K108,FIND("/",PasteBBM!K108,1),1,","),PasteBBM!K108)</f>
        <v>PF,C</v>
      </c>
      <c r="E108" t="str">
        <f>PasteBBM!J108</f>
        <v>MIL</v>
      </c>
      <c r="F108">
        <f>PasteBBM!U108</f>
        <v>71</v>
      </c>
      <c r="G108">
        <f>PasteBBM!X108</f>
        <v>25</v>
      </c>
      <c r="H108">
        <f>PasteBBM!AE108*PasteBBM!AF108</f>
        <v>5.542256527</v>
      </c>
      <c r="I108">
        <f>PasteBBM!AE108</f>
        <v>0.474594</v>
      </c>
      <c r="J108">
        <f>PasteBBM!AG108*PasteBBM!AH108</f>
        <v>1.233520156</v>
      </c>
      <c r="K108">
        <f>PasteBBM!AG108</f>
        <v>0.820037</v>
      </c>
      <c r="L108">
        <f>PasteBBM!Z108</f>
        <v>1.341268</v>
      </c>
      <c r="M108">
        <f>PasteBBM!Y108</f>
        <v>13.6593</v>
      </c>
      <c r="N108">
        <f>PasteBBM!AA108</f>
        <v>7.890563</v>
      </c>
      <c r="O108">
        <f>PasteBBM!AB108</f>
        <v>2.209437</v>
      </c>
      <c r="P108">
        <f>PasteBBM!AC108</f>
        <v>0.784648</v>
      </c>
      <c r="Q108">
        <f>PasteBBM!AD108</f>
        <v>0.47507</v>
      </c>
      <c r="R108">
        <f>PasteBBM!AI108</f>
        <v>1.108028</v>
      </c>
      <c r="S108">
        <f>PasteBBM!AE108</f>
        <v>0.474594</v>
      </c>
      <c r="T108">
        <f>PasteBBM!AG108</f>
        <v>0.820037</v>
      </c>
      <c r="V108" s="44">
        <v>-0.20403</v>
      </c>
      <c r="W108" s="44">
        <v>-0.00221</v>
      </c>
      <c r="X108" s="44">
        <v>-0.26416</v>
      </c>
      <c r="Y108" s="44">
        <v>0.060136</v>
      </c>
      <c r="Z108" s="44">
        <v>0.388475</v>
      </c>
      <c r="AA108" s="45"/>
      <c r="AB108" s="46" t="s">
        <v>424</v>
      </c>
      <c r="AC108" s="44">
        <v>183.0</v>
      </c>
    </row>
    <row r="109">
      <c r="A109" s="2">
        <v>108.0</v>
      </c>
      <c r="B109" s="14">
        <f>IF(PasteBBM!B109="",156,PasteBBM!B109)</f>
        <v>94.15714</v>
      </c>
      <c r="C109" t="str">
        <f>PasteBBM!I109</f>
        <v>Norman Powell</v>
      </c>
      <c r="D109" t="str">
        <f>IFERROR(REPLACE(PasteBBM!K109,FIND("/",PasteBBM!K109,1),1,","),PasteBBM!K109)</f>
        <v>SG,SF</v>
      </c>
      <c r="E109" t="str">
        <f>PasteBBM!J109</f>
        <v>MIA</v>
      </c>
      <c r="F109">
        <f>PasteBBM!U109</f>
        <v>66</v>
      </c>
      <c r="G109">
        <f>PasteBBM!X109</f>
        <v>32</v>
      </c>
      <c r="H109">
        <f>PasteBBM!AE109*PasteBBM!AF109</f>
        <v>6.64818005</v>
      </c>
      <c r="I109">
        <f>PasteBBM!AE109</f>
        <v>0.480013</v>
      </c>
      <c r="J109">
        <f>PasteBBM!AG109*PasteBBM!AH109</f>
        <v>3.006667772</v>
      </c>
      <c r="K109">
        <f>PasteBBM!AG109</f>
        <v>0.803987</v>
      </c>
      <c r="L109">
        <f>PasteBBM!Z109</f>
        <v>2.561212</v>
      </c>
      <c r="M109">
        <f>PasteBBM!Y109</f>
        <v>18.86424</v>
      </c>
      <c r="N109">
        <f>PasteBBM!AA109</f>
        <v>3.266667</v>
      </c>
      <c r="O109">
        <f>PasteBBM!AB109</f>
        <v>1.877576</v>
      </c>
      <c r="P109">
        <f>PasteBBM!AC109</f>
        <v>1.12303</v>
      </c>
      <c r="Q109">
        <f>PasteBBM!AD109</f>
        <v>0.129697</v>
      </c>
      <c r="R109">
        <f>PasteBBM!AI109</f>
        <v>1.49303</v>
      </c>
      <c r="S109">
        <f>PasteBBM!AE109</f>
        <v>0.480013</v>
      </c>
      <c r="T109">
        <f>PasteBBM!AG109</f>
        <v>0.803987</v>
      </c>
      <c r="V109" s="44">
        <v>-0.21027</v>
      </c>
      <c r="W109" s="44">
        <v>0.053064</v>
      </c>
      <c r="X109" s="44">
        <v>-0.28368</v>
      </c>
      <c r="Y109" s="44">
        <v>0.073414</v>
      </c>
      <c r="Z109" s="44">
        <v>-0.58724</v>
      </c>
      <c r="AA109" s="45"/>
      <c r="AB109" s="46" t="s">
        <v>435</v>
      </c>
      <c r="AC109" s="44">
        <v>232.0</v>
      </c>
    </row>
    <row r="110">
      <c r="A110" s="2">
        <v>109.0</v>
      </c>
      <c r="B110" s="14">
        <f>IF(PasteBBM!B110="",156,PasteBBM!B110)</f>
        <v>66.28571</v>
      </c>
      <c r="C110" t="str">
        <f>PasteBBM!I110</f>
        <v>Julius Randle</v>
      </c>
      <c r="D110" t="str">
        <f>IFERROR(REPLACE(PasteBBM!K110,FIND("/",PasteBBM!K110,1),1,","),PasteBBM!K110)</f>
        <v>PF</v>
      </c>
      <c r="E110" t="str">
        <f>PasteBBM!J110</f>
        <v>MIN</v>
      </c>
      <c r="F110">
        <f>PasteBBM!U110</f>
        <v>66</v>
      </c>
      <c r="G110">
        <f>PasteBBM!X110</f>
        <v>33</v>
      </c>
      <c r="H110">
        <f>PasteBBM!AE110*PasteBBM!AF110</f>
        <v>6.931203862</v>
      </c>
      <c r="I110">
        <f>PasteBBM!AE110</f>
        <v>0.487276</v>
      </c>
      <c r="J110">
        <f>PasteBBM!AG110*PasteBBM!AH110</f>
        <v>3.627879122</v>
      </c>
      <c r="K110">
        <f>PasteBBM!AG110</f>
        <v>0.796991</v>
      </c>
      <c r="L110">
        <f>PasteBBM!Z110</f>
        <v>1.692727</v>
      </c>
      <c r="M110">
        <f>PasteBBM!Y110</f>
        <v>19.18303</v>
      </c>
      <c r="N110">
        <f>PasteBBM!AA110</f>
        <v>7.418788</v>
      </c>
      <c r="O110">
        <f>PasteBBM!AB110</f>
        <v>5.37697</v>
      </c>
      <c r="P110">
        <f>PasteBBM!AC110</f>
        <v>0.754697</v>
      </c>
      <c r="Q110">
        <f>PasteBBM!AD110</f>
        <v>0.270758</v>
      </c>
      <c r="R110">
        <f>PasteBBM!AI110</f>
        <v>2.994697</v>
      </c>
      <c r="S110">
        <f>PasteBBM!AE110</f>
        <v>0.487276</v>
      </c>
      <c r="T110">
        <f>PasteBBM!AG110</f>
        <v>0.796991</v>
      </c>
      <c r="V110" s="44">
        <v>-0.21442</v>
      </c>
      <c r="W110" s="44">
        <v>-5.8E-4</v>
      </c>
      <c r="X110" s="44">
        <v>-0.34027</v>
      </c>
      <c r="Y110" s="44">
        <v>0.125854</v>
      </c>
      <c r="Z110" s="44">
        <v>-0.18766</v>
      </c>
      <c r="AA110" s="45"/>
      <c r="AB110" s="46" t="s">
        <v>170</v>
      </c>
      <c r="AC110" s="44">
        <v>113.0</v>
      </c>
    </row>
    <row r="111">
      <c r="A111" s="2">
        <v>110.0</v>
      </c>
      <c r="B111" s="14">
        <f>IF(PasteBBM!B111="",156,PasteBBM!B111)</f>
        <v>119.9286</v>
      </c>
      <c r="C111" t="str">
        <f>PasteBBM!I111</f>
        <v>Brandin Podziemski</v>
      </c>
      <c r="D111" t="str">
        <f>IFERROR(REPLACE(PasteBBM!K111,FIND("/",PasteBBM!K111,1),1,","),PasteBBM!K111)</f>
        <v>SG,SF</v>
      </c>
      <c r="E111" t="str">
        <f>PasteBBM!J111</f>
        <v>GSW</v>
      </c>
      <c r="F111">
        <f>PasteBBM!U111</f>
        <v>66</v>
      </c>
      <c r="G111">
        <f>PasteBBM!X111</f>
        <v>28</v>
      </c>
      <c r="H111">
        <f>PasteBBM!AE111*PasteBBM!AF111</f>
        <v>4.958640573</v>
      </c>
      <c r="I111">
        <f>PasteBBM!AE111</f>
        <v>0.451912</v>
      </c>
      <c r="J111">
        <f>PasteBBM!AG111*PasteBBM!AH111</f>
        <v>1.436212428</v>
      </c>
      <c r="K111">
        <f>PasteBBM!AG111</f>
        <v>0.769962</v>
      </c>
      <c r="L111">
        <f>PasteBBM!Z111</f>
        <v>2.139697</v>
      </c>
      <c r="M111">
        <f>PasteBBM!Y111</f>
        <v>13.49318</v>
      </c>
      <c r="N111">
        <f>PasteBBM!AA111</f>
        <v>5.31303</v>
      </c>
      <c r="O111">
        <f>PasteBBM!AB111</f>
        <v>3.349545</v>
      </c>
      <c r="P111">
        <f>PasteBBM!AC111</f>
        <v>1.103788</v>
      </c>
      <c r="Q111">
        <f>PasteBBM!AD111</f>
        <v>0.172576</v>
      </c>
      <c r="R111">
        <f>PasteBBM!AI111</f>
        <v>1.208636</v>
      </c>
      <c r="S111">
        <f>PasteBBM!AE111</f>
        <v>0.451912</v>
      </c>
      <c r="T111">
        <f>PasteBBM!AG111</f>
        <v>0.769962</v>
      </c>
      <c r="V111" s="44">
        <v>-0.21456</v>
      </c>
      <c r="W111" s="44">
        <v>-0.11553</v>
      </c>
      <c r="X111" s="44">
        <v>0.123109</v>
      </c>
      <c r="Y111" s="44">
        <v>-0.33767</v>
      </c>
      <c r="Z111" s="44">
        <v>-0.81956</v>
      </c>
      <c r="AA111" s="45"/>
      <c r="AB111" s="46" t="s">
        <v>166</v>
      </c>
      <c r="AC111" s="44">
        <v>64.0</v>
      </c>
    </row>
    <row r="112">
      <c r="A112" s="2">
        <v>111.0</v>
      </c>
      <c r="B112" s="14">
        <f>IF(PasteBBM!B112="",156,PasteBBM!B112)</f>
        <v>156</v>
      </c>
      <c r="C112" t="str">
        <f>PasteBBM!I112</f>
        <v>Matisse Thybulle</v>
      </c>
      <c r="D112" t="str">
        <f>IFERROR(REPLACE(PasteBBM!K112,FIND("/",PasteBBM!K112,1),1,","),PasteBBM!K112)</f>
        <v>SG,SF</v>
      </c>
      <c r="E112" t="str">
        <f>PasteBBM!J112</f>
        <v>POR</v>
      </c>
      <c r="F112">
        <f>PasteBBM!U112</f>
        <v>66</v>
      </c>
      <c r="G112">
        <f>PasteBBM!X112</f>
        <v>23</v>
      </c>
      <c r="H112">
        <f>PasteBBM!AE112*PasteBBM!AF112</f>
        <v>3.057426314</v>
      </c>
      <c r="I112">
        <f>PasteBBM!AE112</f>
        <v>0.440484</v>
      </c>
      <c r="J112">
        <f>PasteBBM!AG112*PasteBBM!AH112</f>
        <v>0.5375759618</v>
      </c>
      <c r="K112">
        <f>PasteBBM!AG112</f>
        <v>0.646031</v>
      </c>
      <c r="L112">
        <f>PasteBBM!Z112</f>
        <v>1.395303</v>
      </c>
      <c r="M112">
        <f>PasteBBM!Y112</f>
        <v>8.047727</v>
      </c>
      <c r="N112">
        <f>PasteBBM!AA112</f>
        <v>3.079091</v>
      </c>
      <c r="O112">
        <f>PasteBBM!AB112</f>
        <v>1.368485</v>
      </c>
      <c r="P112">
        <f>PasteBBM!AC112</f>
        <v>1.808333</v>
      </c>
      <c r="Q112">
        <f>PasteBBM!AD112</f>
        <v>0.684545</v>
      </c>
      <c r="R112">
        <f>PasteBBM!AI112</f>
        <v>0.684394</v>
      </c>
      <c r="S112">
        <f>PasteBBM!AE112</f>
        <v>0.440484</v>
      </c>
      <c r="T112">
        <f>PasteBBM!AG112</f>
        <v>0.646031</v>
      </c>
      <c r="V112" s="44">
        <v>-0.2201</v>
      </c>
      <c r="W112" s="44">
        <v>0.002525</v>
      </c>
      <c r="X112" s="44">
        <v>0.055537</v>
      </c>
      <c r="Y112" s="44">
        <v>-0.27564</v>
      </c>
      <c r="Z112" s="44">
        <v>-3.06835</v>
      </c>
      <c r="AA112" s="45"/>
      <c r="AB112" s="46" t="s">
        <v>69</v>
      </c>
      <c r="AC112" s="44">
        <v>72.0</v>
      </c>
    </row>
    <row r="113">
      <c r="A113" s="2">
        <v>112.0</v>
      </c>
      <c r="B113" s="14">
        <f>IF(PasteBBM!B113="",156,PasteBBM!B113)</f>
        <v>92.2</v>
      </c>
      <c r="C113" t="str">
        <f>PasteBBM!I113</f>
        <v>Naz Reid</v>
      </c>
      <c r="D113" t="str">
        <f>IFERROR(REPLACE(PasteBBM!K113,FIND("/",PasteBBM!K113,1),1,","),PasteBBM!K113)</f>
        <v>PF,C</v>
      </c>
      <c r="E113" t="str">
        <f>PasteBBM!J113</f>
        <v>MIN</v>
      </c>
      <c r="F113">
        <f>PasteBBM!U113</f>
        <v>71</v>
      </c>
      <c r="G113">
        <f>PasteBBM!X113</f>
        <v>27</v>
      </c>
      <c r="H113">
        <f>PasteBBM!AE113*PasteBBM!AF113</f>
        <v>5.230562995</v>
      </c>
      <c r="I113">
        <f>PasteBBM!AE113</f>
        <v>0.465003</v>
      </c>
      <c r="J113">
        <f>PasteBBM!AG113*PasteBBM!AH113</f>
        <v>1.254789508</v>
      </c>
      <c r="K113">
        <f>PasteBBM!AG113</f>
        <v>0.756989</v>
      </c>
      <c r="L113">
        <f>PasteBBM!Z113</f>
        <v>2.137324</v>
      </c>
      <c r="M113">
        <f>PasteBBM!Y113</f>
        <v>13.85324</v>
      </c>
      <c r="N113">
        <f>PasteBBM!AA113</f>
        <v>6.07</v>
      </c>
      <c r="O113">
        <f>PasteBBM!AB113</f>
        <v>2.617324</v>
      </c>
      <c r="P113">
        <f>PasteBBM!AC113</f>
        <v>0.660986</v>
      </c>
      <c r="Q113">
        <f>PasteBBM!AD113</f>
        <v>0.897324</v>
      </c>
      <c r="R113">
        <f>PasteBBM!AI113</f>
        <v>1.344648</v>
      </c>
      <c r="S113">
        <f>PasteBBM!AE113</f>
        <v>0.465003</v>
      </c>
      <c r="T113">
        <f>PasteBBM!AG113</f>
        <v>0.756989</v>
      </c>
      <c r="V113" s="44">
        <v>-0.22191</v>
      </c>
      <c r="W113" s="44">
        <v>-0.00133</v>
      </c>
      <c r="X113" s="44">
        <v>-0.17976</v>
      </c>
      <c r="Y113" s="44">
        <v>-0.04215</v>
      </c>
      <c r="Z113" s="44">
        <v>1.568629</v>
      </c>
      <c r="AA113" s="45"/>
      <c r="AB113" s="46" t="s">
        <v>194</v>
      </c>
      <c r="AC113" s="44">
        <v>71.0</v>
      </c>
    </row>
    <row r="114">
      <c r="A114" s="2">
        <v>113.0</v>
      </c>
      <c r="B114" s="14">
        <f>IF(PasteBBM!B114="",156,PasteBBM!B114)</f>
        <v>80.54286</v>
      </c>
      <c r="C114" t="str">
        <f>PasteBBM!I114</f>
        <v>Andrew Nembhard</v>
      </c>
      <c r="D114" t="str">
        <f>IFERROR(REPLACE(PasteBBM!K114,FIND("/",PasteBBM!K114,1),1,","),PasteBBM!K114)</f>
        <v>PG,SG</v>
      </c>
      <c r="E114" t="str">
        <f>PasteBBM!J114</f>
        <v>IND</v>
      </c>
      <c r="F114">
        <f>PasteBBM!U114</f>
        <v>66</v>
      </c>
      <c r="G114">
        <f>PasteBBM!X114</f>
        <v>32</v>
      </c>
      <c r="H114">
        <f>PasteBBM!AE114*PasteBBM!AF114</f>
        <v>4.929541632</v>
      </c>
      <c r="I114">
        <f>PasteBBM!AE114</f>
        <v>0.4464</v>
      </c>
      <c r="J114">
        <f>PasteBBM!AG114*PasteBBM!AH114</f>
        <v>2.544697494</v>
      </c>
      <c r="K114">
        <f>PasteBBM!AG114</f>
        <v>0.823002</v>
      </c>
      <c r="L114">
        <f>PasteBBM!Z114</f>
        <v>1.501818</v>
      </c>
      <c r="M114">
        <f>PasteBBM!Y114</f>
        <v>13.90561</v>
      </c>
      <c r="N114">
        <f>PasteBBM!AA114</f>
        <v>3.501364</v>
      </c>
      <c r="O114">
        <f>PasteBBM!AB114</f>
        <v>7.07</v>
      </c>
      <c r="P114">
        <f>PasteBBM!AC114</f>
        <v>1.21197</v>
      </c>
      <c r="Q114">
        <f>PasteBBM!AD114</f>
        <v>0.199697</v>
      </c>
      <c r="R114">
        <f>PasteBBM!AI114</f>
        <v>2.22197</v>
      </c>
      <c r="S114">
        <f>PasteBBM!AE114</f>
        <v>0.4464</v>
      </c>
      <c r="T114">
        <f>PasteBBM!AG114</f>
        <v>0.823002</v>
      </c>
      <c r="V114" s="44">
        <v>-0.23214</v>
      </c>
      <c r="W114" s="44">
        <v>-0.00196</v>
      </c>
      <c r="X114" s="44">
        <v>-0.42556</v>
      </c>
      <c r="Y114" s="44">
        <v>0.193415</v>
      </c>
      <c r="Z114" s="44">
        <v>0.853103</v>
      </c>
      <c r="AA114" s="45"/>
      <c r="AB114" s="46" t="s">
        <v>199</v>
      </c>
      <c r="AC114" s="44">
        <v>141.0</v>
      </c>
    </row>
    <row r="115">
      <c r="A115" s="2">
        <v>114.0</v>
      </c>
      <c r="B115" s="14">
        <f>IF(PasteBBM!B115="",156,PasteBBM!B115)</f>
        <v>102.7857</v>
      </c>
      <c r="C115" t="str">
        <f>PasteBBM!I115</f>
        <v>Jalen Suggs</v>
      </c>
      <c r="D115" t="str">
        <f>IFERROR(REPLACE(PasteBBM!K115,FIND("/",PasteBBM!K115,1),1,","),PasteBBM!K115)</f>
        <v>PG</v>
      </c>
      <c r="E115" t="str">
        <f>PasteBBM!J115</f>
        <v>ORL</v>
      </c>
      <c r="F115">
        <f>PasteBBM!U115</f>
        <v>53</v>
      </c>
      <c r="G115">
        <f>PasteBBM!X115</f>
        <v>30</v>
      </c>
      <c r="H115">
        <f>PasteBBM!AE115*PasteBBM!AF115</f>
        <v>4.521694475</v>
      </c>
      <c r="I115">
        <f>PasteBBM!AE115</f>
        <v>0.41943</v>
      </c>
      <c r="J115">
        <f>PasteBBM!AG115*PasteBBM!AH115</f>
        <v>2.10981197</v>
      </c>
      <c r="K115">
        <f>PasteBBM!AG115</f>
        <v>0.835975</v>
      </c>
      <c r="L115">
        <f>PasteBBM!Z115</f>
        <v>1.767925</v>
      </c>
      <c r="M115">
        <f>PasteBBM!Y115</f>
        <v>12.92113</v>
      </c>
      <c r="N115">
        <f>PasteBBM!AA115</f>
        <v>3.858679</v>
      </c>
      <c r="O115">
        <f>PasteBBM!AB115</f>
        <v>3.307547</v>
      </c>
      <c r="P115">
        <f>PasteBBM!AC115</f>
        <v>1.486038</v>
      </c>
      <c r="Q115">
        <f>PasteBBM!AD115</f>
        <v>0.851321</v>
      </c>
      <c r="R115">
        <f>PasteBBM!AI115</f>
        <v>2.266226</v>
      </c>
      <c r="S115">
        <f>PasteBBM!AE115</f>
        <v>0.41943</v>
      </c>
      <c r="T115">
        <f>PasteBBM!AG115</f>
        <v>0.835975</v>
      </c>
      <c r="V115" s="44">
        <v>-0.23918</v>
      </c>
      <c r="W115" s="270">
        <v>4.1E-5</v>
      </c>
      <c r="X115" s="44">
        <v>-0.31278</v>
      </c>
      <c r="Y115" s="44">
        <v>0.073595</v>
      </c>
      <c r="Z115" s="44">
        <v>-0.3921</v>
      </c>
      <c r="AA115" s="45"/>
      <c r="AB115" s="46" t="s">
        <v>494</v>
      </c>
      <c r="AC115" s="44">
        <v>150.0</v>
      </c>
    </row>
    <row r="116">
      <c r="A116" s="2">
        <v>115.0</v>
      </c>
      <c r="B116" s="14">
        <f>IF(PasteBBM!B116="",156,PasteBBM!B116)</f>
        <v>69.1</v>
      </c>
      <c r="C116" t="str">
        <f>PasteBBM!I116</f>
        <v>DeMar DeRozan</v>
      </c>
      <c r="D116" t="str">
        <f>IFERROR(REPLACE(PasteBBM!K116,FIND("/",PasteBBM!K116,1),1,","),PasteBBM!K116)</f>
        <v>SF</v>
      </c>
      <c r="E116" t="str">
        <f>PasteBBM!J116</f>
        <v>SAC</v>
      </c>
      <c r="F116">
        <f>PasteBBM!U116</f>
        <v>71</v>
      </c>
      <c r="G116">
        <f>PasteBBM!X116</f>
        <v>35</v>
      </c>
      <c r="H116">
        <f>PasteBBM!AE116*PasteBBM!AF116</f>
        <v>7.847738256</v>
      </c>
      <c r="I116">
        <f>PasteBBM!AE116</f>
        <v>0.462302</v>
      </c>
      <c r="J116">
        <f>PasteBBM!AG116*PasteBBM!AH116</f>
        <v>4.797886634</v>
      </c>
      <c r="K116">
        <f>PasteBBM!AG116</f>
        <v>0.839991</v>
      </c>
      <c r="L116">
        <f>PasteBBM!Z116</f>
        <v>1.232394</v>
      </c>
      <c r="M116">
        <f>PasteBBM!Y116</f>
        <v>21.72577</v>
      </c>
      <c r="N116">
        <f>PasteBBM!AA116</f>
        <v>3.748592</v>
      </c>
      <c r="O116">
        <f>PasteBBM!AB116</f>
        <v>4.52662</v>
      </c>
      <c r="P116">
        <f>PasteBBM!AC116</f>
        <v>0.491831</v>
      </c>
      <c r="Q116">
        <f>PasteBBM!AD116</f>
        <v>0.355352</v>
      </c>
      <c r="R116">
        <f>PasteBBM!AI116</f>
        <v>1.207042</v>
      </c>
      <c r="S116">
        <f>PasteBBM!AE116</f>
        <v>0.462302</v>
      </c>
      <c r="T116">
        <f>PasteBBM!AG116</f>
        <v>0.839991</v>
      </c>
      <c r="V116" s="44">
        <v>-0.24421</v>
      </c>
      <c r="W116" s="44">
        <v>0.001121</v>
      </c>
      <c r="X116" s="44">
        <v>0.119951</v>
      </c>
      <c r="Y116" s="44">
        <v>-0.36416</v>
      </c>
      <c r="Z116" s="44">
        <v>-1.66518</v>
      </c>
      <c r="AA116" s="45"/>
      <c r="AB116" s="46" t="s">
        <v>164</v>
      </c>
      <c r="AC116" s="44">
        <v>43.0</v>
      </c>
    </row>
    <row r="117">
      <c r="A117" s="2">
        <v>116.0</v>
      </c>
      <c r="B117" s="14">
        <f>IF(PasteBBM!B117="",156,PasteBBM!B117)</f>
        <v>109.0429</v>
      </c>
      <c r="C117" t="str">
        <f>PasteBBM!I117</f>
        <v>Andrew Wiggins</v>
      </c>
      <c r="D117" t="str">
        <f>IFERROR(REPLACE(PasteBBM!K117,FIND("/",PasteBBM!K117,1),1,","),PasteBBM!K117)</f>
        <v>SG,SF</v>
      </c>
      <c r="E117" t="str">
        <f>PasteBBM!J117</f>
        <v>MIA</v>
      </c>
      <c r="F117">
        <f>PasteBBM!U117</f>
        <v>66</v>
      </c>
      <c r="G117">
        <f>PasteBBM!X117</f>
        <v>32</v>
      </c>
      <c r="H117">
        <f>PasteBBM!AE117*PasteBBM!AF117</f>
        <v>6.377876784</v>
      </c>
      <c r="I117">
        <f>PasteBBM!AE117</f>
        <v>0.449847</v>
      </c>
      <c r="J117">
        <f>PasteBBM!AG117*PasteBBM!AH117</f>
        <v>3.378182069</v>
      </c>
      <c r="K117">
        <f>PasteBBM!AG117</f>
        <v>0.758987</v>
      </c>
      <c r="L117">
        <f>PasteBBM!Z117</f>
        <v>2.185606</v>
      </c>
      <c r="M117">
        <f>PasteBBM!Y117</f>
        <v>18.31955</v>
      </c>
      <c r="N117">
        <f>PasteBBM!AA117</f>
        <v>4.769394</v>
      </c>
      <c r="O117">
        <f>PasteBBM!AB117</f>
        <v>3.266667</v>
      </c>
      <c r="P117">
        <f>PasteBBM!AC117</f>
        <v>1.053636</v>
      </c>
      <c r="Q117">
        <f>PasteBBM!AD117</f>
        <v>0.844848</v>
      </c>
      <c r="R117">
        <f>PasteBBM!AI117</f>
        <v>2.221364</v>
      </c>
      <c r="S117">
        <f>PasteBBM!AE117</f>
        <v>0.449847</v>
      </c>
      <c r="T117">
        <f>PasteBBM!AG117</f>
        <v>0.758987</v>
      </c>
      <c r="V117" s="44">
        <v>-0.24788</v>
      </c>
      <c r="W117" s="44">
        <v>-0.00143</v>
      </c>
      <c r="X117" s="44">
        <v>-0.36453</v>
      </c>
      <c r="Y117" s="44">
        <v>0.116652</v>
      </c>
      <c r="Z117" s="44">
        <v>-3.30996</v>
      </c>
      <c r="AA117" s="45"/>
      <c r="AB117" s="46" t="s">
        <v>211</v>
      </c>
      <c r="AC117" s="44">
        <v>187.0</v>
      </c>
    </row>
    <row r="118">
      <c r="A118" s="2">
        <v>117.0</v>
      </c>
      <c r="B118" s="14">
        <f>IF(PasteBBM!B118="",156,PasteBBM!B118)</f>
        <v>141.5</v>
      </c>
      <c r="C118" t="str">
        <f>PasteBBM!I118</f>
        <v>Cam Whitmore</v>
      </c>
      <c r="D118" t="str">
        <f>IFERROR(REPLACE(PasteBBM!K118,FIND("/",PasteBBM!K118,1),1,","),PasteBBM!K118)</f>
        <v>SF,PF</v>
      </c>
      <c r="E118" t="str">
        <f>PasteBBM!J118</f>
        <v>WAS</v>
      </c>
      <c r="F118">
        <f>PasteBBM!U118</f>
        <v>66</v>
      </c>
      <c r="G118">
        <f>PasteBBM!X118</f>
        <v>26</v>
      </c>
      <c r="H118">
        <f>PasteBBM!AE118*PasteBBM!AF118</f>
        <v>5.870458895</v>
      </c>
      <c r="I118">
        <f>PasteBBM!AE118</f>
        <v>0.457503</v>
      </c>
      <c r="J118">
        <f>PasteBBM!AG118*PasteBBM!AH118</f>
        <v>2.545605696</v>
      </c>
      <c r="K118">
        <f>PasteBBM!AG118</f>
        <v>0.762988</v>
      </c>
      <c r="L118">
        <f>PasteBBM!Z118</f>
        <v>2.183939</v>
      </c>
      <c r="M118">
        <f>PasteBBM!Y118</f>
        <v>16.47045</v>
      </c>
      <c r="N118">
        <f>PasteBBM!AA118</f>
        <v>5.300152</v>
      </c>
      <c r="O118">
        <f>PasteBBM!AB118</f>
        <v>1.952727</v>
      </c>
      <c r="P118">
        <f>PasteBBM!AC118</f>
        <v>1.014242</v>
      </c>
      <c r="Q118">
        <f>PasteBBM!AD118</f>
        <v>0.481667</v>
      </c>
      <c r="R118">
        <f>PasteBBM!AI118</f>
        <v>1.346212</v>
      </c>
      <c r="S118">
        <f>PasteBBM!AE118</f>
        <v>0.457503</v>
      </c>
      <c r="T118">
        <f>PasteBBM!AG118</f>
        <v>0.762988</v>
      </c>
      <c r="V118" s="44">
        <v>-0.24994</v>
      </c>
      <c r="W118" s="44">
        <v>2.82E-4</v>
      </c>
      <c r="X118" s="44">
        <v>-0.35743</v>
      </c>
      <c r="Y118" s="44">
        <v>0.107488</v>
      </c>
      <c r="Z118" s="44">
        <v>0.425645</v>
      </c>
      <c r="AA118" s="45"/>
      <c r="AB118" s="46" t="s">
        <v>145</v>
      </c>
      <c r="AC118" s="44">
        <v>114.0</v>
      </c>
    </row>
    <row r="119">
      <c r="A119" s="2">
        <v>118.0</v>
      </c>
      <c r="B119" s="14">
        <f>IF(PasteBBM!B119="",156,PasteBBM!B119)</f>
        <v>118.0571</v>
      </c>
      <c r="C119" t="str">
        <f>PasteBBM!I119</f>
        <v>Aaron Gordon</v>
      </c>
      <c r="D119" t="str">
        <f>IFERROR(REPLACE(PasteBBM!K119,FIND("/",PasteBBM!K119,1),1,","),PasteBBM!K119)</f>
        <v>PF</v>
      </c>
      <c r="E119" t="str">
        <f>PasteBBM!J119</f>
        <v>DEN</v>
      </c>
      <c r="F119">
        <f>PasteBBM!U119</f>
        <v>66</v>
      </c>
      <c r="G119">
        <f>PasteBBM!X119</f>
        <v>32</v>
      </c>
      <c r="H119">
        <f>PasteBBM!AE119*PasteBBM!AF119</f>
        <v>5.747881136</v>
      </c>
      <c r="I119">
        <f>PasteBBM!AE119</f>
        <v>0.53024</v>
      </c>
      <c r="J119">
        <f>PasteBBM!AG119*PasteBBM!AH119</f>
        <v>3.108332645</v>
      </c>
      <c r="K119">
        <f>PasteBBM!AG119</f>
        <v>0.798995</v>
      </c>
      <c r="L119">
        <f>PasteBBM!Z119</f>
        <v>1.28697</v>
      </c>
      <c r="M119">
        <f>PasteBBM!Y119</f>
        <v>15.89106</v>
      </c>
      <c r="N119">
        <f>PasteBBM!AA119</f>
        <v>6.06</v>
      </c>
      <c r="O119">
        <f>PasteBBM!AB119</f>
        <v>3.913333</v>
      </c>
      <c r="P119">
        <f>PasteBBM!AC119</f>
        <v>0.547121</v>
      </c>
      <c r="Q119">
        <f>PasteBBM!AD119</f>
        <v>0.333182</v>
      </c>
      <c r="R119">
        <f>PasteBBM!AI119</f>
        <v>1.601818</v>
      </c>
      <c r="S119">
        <f>PasteBBM!AE119</f>
        <v>0.53024</v>
      </c>
      <c r="T119">
        <f>PasteBBM!AG119</f>
        <v>0.798995</v>
      </c>
      <c r="V119" s="44">
        <v>-0.26055</v>
      </c>
      <c r="W119" s="44">
        <v>0.012507</v>
      </c>
      <c r="X119" s="44">
        <v>-0.29246</v>
      </c>
      <c r="Y119" s="44">
        <v>0.031913</v>
      </c>
      <c r="Z119" s="44">
        <v>-0.262</v>
      </c>
      <c r="AA119" s="45"/>
      <c r="AB119" s="46" t="s">
        <v>146</v>
      </c>
      <c r="AC119" s="44">
        <v>127.0</v>
      </c>
    </row>
    <row r="120">
      <c r="A120" s="2">
        <v>119.0</v>
      </c>
      <c r="B120" s="14">
        <f>IF(PasteBBM!B120="",156,PasteBBM!B120)</f>
        <v>140.1304</v>
      </c>
      <c r="C120" t="str">
        <f>PasteBBM!I120</f>
        <v>De'Andre Hunter</v>
      </c>
      <c r="D120" t="str">
        <f>IFERROR(REPLACE(PasteBBM!K120,FIND("/",PasteBBM!K120,1),1,","),PasteBBM!K120)</f>
        <v>SF,PF</v>
      </c>
      <c r="E120" t="str">
        <f>PasteBBM!J120</f>
        <v>CLE</v>
      </c>
      <c r="F120">
        <f>PasteBBM!U120</f>
        <v>66</v>
      </c>
      <c r="G120">
        <f>PasteBBM!X120</f>
        <v>31</v>
      </c>
      <c r="H120">
        <f>PasteBBM!AE120*PasteBBM!AF120</f>
        <v>5.799246833</v>
      </c>
      <c r="I120">
        <f>PasteBBM!AE120</f>
        <v>0.463064</v>
      </c>
      <c r="J120">
        <f>PasteBBM!AG120*PasteBBM!AH120</f>
        <v>2.36197022</v>
      </c>
      <c r="K120">
        <f>PasteBBM!AG120</f>
        <v>0.819999</v>
      </c>
      <c r="L120">
        <f>PasteBBM!Z120</f>
        <v>2.471818</v>
      </c>
      <c r="M120">
        <f>PasteBBM!Y120</f>
        <v>16.43227</v>
      </c>
      <c r="N120">
        <f>PasteBBM!AA120</f>
        <v>5.218333</v>
      </c>
      <c r="O120">
        <f>PasteBBM!AB120</f>
        <v>1.790303</v>
      </c>
      <c r="P120">
        <f>PasteBBM!AC120</f>
        <v>0.800152</v>
      </c>
      <c r="Q120">
        <f>PasteBBM!AD120</f>
        <v>0.391364</v>
      </c>
      <c r="R120">
        <f>PasteBBM!AI120</f>
        <v>1.417576</v>
      </c>
      <c r="S120">
        <f>PasteBBM!AE120</f>
        <v>0.463064</v>
      </c>
      <c r="T120">
        <f>PasteBBM!AG120</f>
        <v>0.819999</v>
      </c>
      <c r="V120" s="44">
        <v>-0.26093</v>
      </c>
      <c r="W120" s="44">
        <v>-0.05395</v>
      </c>
      <c r="X120" s="44">
        <v>0.180278</v>
      </c>
      <c r="Y120" s="44">
        <v>-0.44121</v>
      </c>
      <c r="Z120" s="44">
        <v>-0.61512</v>
      </c>
      <c r="AA120" s="45"/>
      <c r="AB120" s="46" t="s">
        <v>153</v>
      </c>
      <c r="AC120" s="44">
        <v>67.0</v>
      </c>
    </row>
    <row r="121">
      <c r="A121" s="2">
        <v>120.0</v>
      </c>
      <c r="B121" s="14">
        <f>IF(PasteBBM!B121="",156,PasteBBM!B121)</f>
        <v>98.87143</v>
      </c>
      <c r="C121" t="str">
        <f>PasteBBM!I121</f>
        <v>Nicolas Claxton</v>
      </c>
      <c r="D121" t="str">
        <f>IFERROR(REPLACE(PasteBBM!K121,FIND("/",PasteBBM!K121,1),1,","),PasteBBM!K121)</f>
        <v>C</v>
      </c>
      <c r="E121" t="str">
        <f>PasteBBM!J121</f>
        <v>BKN</v>
      </c>
      <c r="F121">
        <f>PasteBBM!U121</f>
        <v>58</v>
      </c>
      <c r="G121">
        <f>PasteBBM!X121</f>
        <v>27</v>
      </c>
      <c r="H121">
        <f>PasteBBM!AE121*PasteBBM!AF121</f>
        <v>5.112070598</v>
      </c>
      <c r="I121">
        <f>PasteBBM!AE121</f>
        <v>0.588504</v>
      </c>
      <c r="J121">
        <f>PasteBBM!AG121*PasteBBM!AH121</f>
        <v>1.25155066</v>
      </c>
      <c r="K121">
        <f>PasteBBM!AG121</f>
        <v>0.535996</v>
      </c>
      <c r="L121">
        <f>PasteBBM!Z121</f>
        <v>0.067759</v>
      </c>
      <c r="M121">
        <f>PasteBBM!Y121</f>
        <v>11.54345</v>
      </c>
      <c r="N121">
        <f>PasteBBM!AA121</f>
        <v>7.517759</v>
      </c>
      <c r="O121">
        <f>PasteBBM!AB121</f>
        <v>2.060517</v>
      </c>
      <c r="P121">
        <f>PasteBBM!AC121</f>
        <v>0.779655</v>
      </c>
      <c r="Q121">
        <f>PasteBBM!AD121</f>
        <v>1.562069</v>
      </c>
      <c r="R121">
        <f>PasteBBM!AI121</f>
        <v>1.169483</v>
      </c>
      <c r="S121">
        <f>PasteBBM!AE121</f>
        <v>0.588504</v>
      </c>
      <c r="T121">
        <f>PasteBBM!AG121</f>
        <v>0.535996</v>
      </c>
      <c r="V121" s="44">
        <v>-0.2677</v>
      </c>
      <c r="W121" s="44">
        <v>0.094182</v>
      </c>
      <c r="X121" s="44">
        <v>-0.31358</v>
      </c>
      <c r="Y121" s="44">
        <v>0.045881</v>
      </c>
      <c r="Z121" s="44">
        <v>0.397768</v>
      </c>
      <c r="AA121" s="45"/>
      <c r="AB121" s="46" t="s">
        <v>73</v>
      </c>
      <c r="AC121" s="44">
        <v>136.0</v>
      </c>
    </row>
    <row r="122">
      <c r="A122" s="2">
        <v>121.0</v>
      </c>
      <c r="B122" s="14">
        <f>IF(PasteBBM!B122="",156,PasteBBM!B122)</f>
        <v>151</v>
      </c>
      <c r="C122" t="str">
        <f>PasteBBM!I122</f>
        <v>Robert Williams</v>
      </c>
      <c r="D122" t="str">
        <f>IFERROR(REPLACE(PasteBBM!K122,FIND("/",PasteBBM!K122,1),1,","),PasteBBM!K122)</f>
        <v>C</v>
      </c>
      <c r="E122" t="str">
        <f>PasteBBM!J122</f>
        <v>POR</v>
      </c>
      <c r="F122">
        <f>PasteBBM!U122</f>
        <v>43</v>
      </c>
      <c r="G122">
        <f>PasteBBM!X122</f>
        <v>20</v>
      </c>
      <c r="H122">
        <f>PasteBBM!AE122*PasteBBM!AF122</f>
        <v>3.009302304</v>
      </c>
      <c r="I122">
        <f>PasteBBM!AE122</f>
        <v>0.643717</v>
      </c>
      <c r="J122">
        <f>PasteBBM!AG122*PasteBBM!AH122</f>
        <v>0.7039536287</v>
      </c>
      <c r="K122">
        <f>PasteBBM!AG122</f>
        <v>0.752985</v>
      </c>
      <c r="L122">
        <f>PasteBBM!Z122</f>
        <v>0.025349</v>
      </c>
      <c r="M122">
        <f>PasteBBM!Y122</f>
        <v>6.747907</v>
      </c>
      <c r="N122">
        <f>PasteBBM!AA122</f>
        <v>6.8</v>
      </c>
      <c r="O122">
        <f>PasteBBM!AB122</f>
        <v>1.23093</v>
      </c>
      <c r="P122">
        <f>PasteBBM!AC122</f>
        <v>0.713023</v>
      </c>
      <c r="Q122">
        <f>PasteBBM!AD122</f>
        <v>1.456512</v>
      </c>
      <c r="R122">
        <f>PasteBBM!AI122</f>
        <v>0.855814</v>
      </c>
      <c r="S122">
        <f>PasteBBM!AE122</f>
        <v>0.643717</v>
      </c>
      <c r="T122">
        <f>PasteBBM!AG122</f>
        <v>0.752985</v>
      </c>
      <c r="V122" s="44">
        <v>-0.26839</v>
      </c>
      <c r="W122" s="44">
        <v>-6.9E-4</v>
      </c>
      <c r="X122" s="44">
        <v>-0.4236</v>
      </c>
      <c r="Y122" s="44">
        <v>0.15521</v>
      </c>
      <c r="Z122" s="44">
        <v>1.234097</v>
      </c>
      <c r="AA122" s="45"/>
      <c r="AB122" s="46" t="s">
        <v>559</v>
      </c>
      <c r="AC122" s="44">
        <v>209.0</v>
      </c>
    </row>
    <row r="123">
      <c r="A123" s="2">
        <v>122.0</v>
      </c>
      <c r="B123" s="14">
        <f>IF(PasteBBM!B123="",156,PasteBBM!B123)</f>
        <v>64.52857</v>
      </c>
      <c r="C123" t="str">
        <f>PasteBBM!I123</f>
        <v>Zach LaVine</v>
      </c>
      <c r="D123" t="str">
        <f>IFERROR(REPLACE(PasteBBM!K123,FIND("/",PasteBBM!K123,1),1,","),PasteBBM!K123)</f>
        <v>SG,SF</v>
      </c>
      <c r="E123" t="str">
        <f>PasteBBM!J123</f>
        <v>SAC</v>
      </c>
      <c r="F123">
        <f>PasteBBM!U123</f>
        <v>71</v>
      </c>
      <c r="G123">
        <f>PasteBBM!X123</f>
        <v>35</v>
      </c>
      <c r="H123">
        <f>PasteBBM!AE123*PasteBBM!AF123</f>
        <v>8.038725094</v>
      </c>
      <c r="I123">
        <f>PasteBBM!AE123</f>
        <v>0.494134</v>
      </c>
      <c r="J123">
        <f>PasteBBM!AG123*PasteBBM!AH123</f>
        <v>2.345071692</v>
      </c>
      <c r="K123">
        <f>PasteBBM!AG123</f>
        <v>0.847976</v>
      </c>
      <c r="L123">
        <f>PasteBBM!Z123</f>
        <v>2.790986</v>
      </c>
      <c r="M123">
        <f>PasteBBM!Y123</f>
        <v>21.21352</v>
      </c>
      <c r="N123">
        <f>PasteBBM!AA123</f>
        <v>3.324225</v>
      </c>
      <c r="O123">
        <f>PasteBBM!AB123</f>
        <v>3.39507</v>
      </c>
      <c r="P123">
        <f>PasteBBM!AC123</f>
        <v>0.63169</v>
      </c>
      <c r="Q123">
        <f>PasteBBM!AD123</f>
        <v>0.071127</v>
      </c>
      <c r="R123">
        <f>PasteBBM!AI123</f>
        <v>2.26338</v>
      </c>
      <c r="S123">
        <f>PasteBBM!AE123</f>
        <v>0.494134</v>
      </c>
      <c r="T123">
        <f>PasteBBM!AG123</f>
        <v>0.847976</v>
      </c>
      <c r="V123" s="44">
        <v>-0.26886</v>
      </c>
      <c r="W123" s="44">
        <v>-0.00335</v>
      </c>
      <c r="X123" s="44">
        <v>-0.18137</v>
      </c>
      <c r="Y123" s="44">
        <v>-0.08749</v>
      </c>
      <c r="Z123" s="44">
        <v>1.011076</v>
      </c>
      <c r="AA123" s="45"/>
      <c r="AB123" s="46" t="s">
        <v>569</v>
      </c>
      <c r="AC123" s="44">
        <v>96.0</v>
      </c>
    </row>
    <row r="124">
      <c r="A124" s="2">
        <v>123.0</v>
      </c>
      <c r="B124" s="14">
        <f>IF(PasteBBM!B124="",156,PasteBBM!B124)</f>
        <v>108.0714</v>
      </c>
      <c r="C124" t="str">
        <f>PasteBBM!I124</f>
        <v>Santi Aldama</v>
      </c>
      <c r="D124" t="str">
        <f>IFERROR(REPLACE(PasteBBM!K124,FIND("/",PasteBBM!K124,1),1,","),PasteBBM!K124)</f>
        <v>PF,C</v>
      </c>
      <c r="E124" t="str">
        <f>PasteBBM!J124</f>
        <v>MEM</v>
      </c>
      <c r="F124">
        <f>PasteBBM!U124</f>
        <v>71</v>
      </c>
      <c r="G124">
        <f>PasteBBM!X124</f>
        <v>28</v>
      </c>
      <c r="H124">
        <f>PasteBBM!AE124*PasteBBM!AF124</f>
        <v>4.803101047</v>
      </c>
      <c r="I124">
        <f>PasteBBM!AE124</f>
        <v>0.448086</v>
      </c>
      <c r="J124">
        <f>PasteBBM!AG124*PasteBBM!AH124</f>
        <v>1.137887469</v>
      </c>
      <c r="K124">
        <f>PasteBBM!AG124</f>
        <v>0.662974</v>
      </c>
      <c r="L124">
        <f>PasteBBM!Z124</f>
        <v>2.124225</v>
      </c>
      <c r="M124">
        <f>PasteBBM!Y124</f>
        <v>12.86831</v>
      </c>
      <c r="N124">
        <f>PasteBBM!AA124</f>
        <v>6.186197</v>
      </c>
      <c r="O124">
        <f>PasteBBM!AB124</f>
        <v>3.368732</v>
      </c>
      <c r="P124">
        <f>PasteBBM!AC124</f>
        <v>0.857887</v>
      </c>
      <c r="Q124">
        <f>PasteBBM!AD124</f>
        <v>0.612254</v>
      </c>
      <c r="R124">
        <f>PasteBBM!AI124</f>
        <v>1.286197</v>
      </c>
      <c r="S124">
        <f>PasteBBM!AE124</f>
        <v>0.448086</v>
      </c>
      <c r="T124">
        <f>PasteBBM!AG124</f>
        <v>0.662974</v>
      </c>
      <c r="V124" s="44">
        <v>-0.27401</v>
      </c>
      <c r="W124" s="44">
        <v>0.044441</v>
      </c>
      <c r="X124" s="44">
        <v>-0.36447</v>
      </c>
      <c r="Y124" s="44">
        <v>0.090466</v>
      </c>
      <c r="Z124" s="44">
        <v>-1.84174</v>
      </c>
      <c r="AA124" s="45"/>
      <c r="AB124" s="46" t="s">
        <v>71</v>
      </c>
      <c r="AC124" s="44">
        <v>96.0</v>
      </c>
    </row>
    <row r="125">
      <c r="A125" s="2">
        <v>124.0</v>
      </c>
      <c r="B125" s="14">
        <f>IF(PasteBBM!B125="",156,PasteBBM!B125)</f>
        <v>73.31429</v>
      </c>
      <c r="C125" t="str">
        <f>PasteBBM!I125</f>
        <v>Jalen Green</v>
      </c>
      <c r="D125" t="str">
        <f>IFERROR(REPLACE(PasteBBM!K125,FIND("/",PasteBBM!K125,1),1,","),PasteBBM!K125)</f>
        <v>PG,SG</v>
      </c>
      <c r="E125" t="str">
        <f>PasteBBM!J125</f>
        <v>PHO</v>
      </c>
      <c r="F125">
        <f>PasteBBM!U125</f>
        <v>75</v>
      </c>
      <c r="G125">
        <f>PasteBBM!X125</f>
        <v>35</v>
      </c>
      <c r="H125">
        <f>PasteBBM!AE125*PasteBBM!AF125</f>
        <v>7.493605501</v>
      </c>
      <c r="I125">
        <f>PasteBBM!AE125</f>
        <v>0.428961</v>
      </c>
      <c r="J125">
        <f>PasteBBM!AG125*PasteBBM!AH125</f>
        <v>3.726133913</v>
      </c>
      <c r="K125">
        <f>PasteBBM!AG125</f>
        <v>0.789993</v>
      </c>
      <c r="L125">
        <f>PasteBBM!Z125</f>
        <v>2.8608</v>
      </c>
      <c r="M125">
        <f>PasteBBM!Y125</f>
        <v>21.57413</v>
      </c>
      <c r="N125">
        <f>PasteBBM!AA125</f>
        <v>5.053067</v>
      </c>
      <c r="O125">
        <f>PasteBBM!AB125</f>
        <v>5.125333</v>
      </c>
      <c r="P125">
        <f>PasteBBM!AC125</f>
        <v>0.8788</v>
      </c>
      <c r="Q125">
        <f>PasteBBM!AD125</f>
        <v>0.357333</v>
      </c>
      <c r="R125">
        <f>PasteBBM!AI125</f>
        <v>2.887467</v>
      </c>
      <c r="S125">
        <f>PasteBBM!AE125</f>
        <v>0.428961</v>
      </c>
      <c r="T125">
        <f>PasteBBM!AG125</f>
        <v>0.789993</v>
      </c>
      <c r="V125" s="44">
        <v>-0.28413</v>
      </c>
      <c r="W125" s="44">
        <v>-0.00467</v>
      </c>
      <c r="X125" s="44">
        <v>-0.22298</v>
      </c>
      <c r="Y125" s="44">
        <v>-0.06115</v>
      </c>
      <c r="Z125" s="44">
        <v>-0.47573</v>
      </c>
      <c r="AA125" s="45"/>
      <c r="AB125" s="46" t="s">
        <v>195</v>
      </c>
      <c r="AC125" s="44">
        <v>121.0</v>
      </c>
    </row>
    <row r="126">
      <c r="A126" s="2">
        <v>125.0</v>
      </c>
      <c r="B126" s="14">
        <f>IF(PasteBBM!B126="",156,PasteBBM!B126)</f>
        <v>102</v>
      </c>
      <c r="C126" t="str">
        <f>PasteBBM!I126</f>
        <v>Grayson Allen</v>
      </c>
      <c r="D126" t="str">
        <f>IFERROR(REPLACE(PasteBBM!K126,FIND("/",PasteBBM!K126,1),1,","),PasteBBM!K126)</f>
        <v>PG,SG</v>
      </c>
      <c r="E126" t="str">
        <f>PasteBBM!J126</f>
        <v>PHO</v>
      </c>
      <c r="F126">
        <f>PasteBBM!U126</f>
        <v>71</v>
      </c>
      <c r="G126">
        <f>PasteBBM!X126</f>
        <v>29</v>
      </c>
      <c r="H126">
        <f>PasteBBM!AE126*PasteBBM!AF126</f>
        <v>4.137601894</v>
      </c>
      <c r="I126">
        <f>PasteBBM!AE126</f>
        <v>0.455083</v>
      </c>
      <c r="J126">
        <f>PasteBBM!AG126*PasteBBM!AH126</f>
        <v>1.599718251</v>
      </c>
      <c r="K126">
        <f>PasteBBM!AG126</f>
        <v>0.823999</v>
      </c>
      <c r="L126">
        <f>PasteBBM!Z126</f>
        <v>2.478169</v>
      </c>
      <c r="M126">
        <f>PasteBBM!Y126</f>
        <v>12.3531</v>
      </c>
      <c r="N126">
        <f>PasteBBM!AA126</f>
        <v>3.289718</v>
      </c>
      <c r="O126">
        <f>PasteBBM!AB126</f>
        <v>3.409296</v>
      </c>
      <c r="P126">
        <f>PasteBBM!AC126</f>
        <v>1.027183</v>
      </c>
      <c r="Q126">
        <f>PasteBBM!AD126</f>
        <v>0.35662</v>
      </c>
      <c r="R126">
        <f>PasteBBM!AI126</f>
        <v>1.495352</v>
      </c>
      <c r="S126">
        <f>PasteBBM!AE126</f>
        <v>0.455083</v>
      </c>
      <c r="T126">
        <f>PasteBBM!AG126</f>
        <v>0.823999</v>
      </c>
      <c r="V126" s="44">
        <v>-0.28747</v>
      </c>
      <c r="W126" s="44">
        <v>-0.00129</v>
      </c>
      <c r="X126" s="44">
        <v>-0.32523</v>
      </c>
      <c r="Y126" s="44">
        <v>0.037762</v>
      </c>
      <c r="Z126" s="44">
        <v>1.085417</v>
      </c>
      <c r="AA126" s="45"/>
      <c r="AB126" s="46" t="s">
        <v>597</v>
      </c>
      <c r="AC126" s="45"/>
    </row>
    <row r="127">
      <c r="A127" s="2">
        <v>126.0</v>
      </c>
      <c r="B127" s="14">
        <f>IF(PasteBBM!B127="",156,PasteBBM!B127)</f>
        <v>115.1159</v>
      </c>
      <c r="C127" t="str">
        <f>PasteBBM!I127</f>
        <v>Kevin Porter Jr.</v>
      </c>
      <c r="D127" t="str">
        <f>IFERROR(REPLACE(PasteBBM!K127,FIND("/",PasteBBM!K127,1),1,","),PasteBBM!K127)</f>
        <v>PG,SG</v>
      </c>
      <c r="E127" t="str">
        <f>PasteBBM!J127</f>
        <v>MIL</v>
      </c>
      <c r="F127">
        <f>PasteBBM!U127</f>
        <v>71</v>
      </c>
      <c r="G127">
        <f>PasteBBM!X127</f>
        <v>29</v>
      </c>
      <c r="H127">
        <f>PasteBBM!AE127*PasteBBM!AF127</f>
        <v>5.382107908</v>
      </c>
      <c r="I127">
        <f>PasteBBM!AE127</f>
        <v>0.461777</v>
      </c>
      <c r="J127">
        <f>PasteBBM!AG127*PasteBBM!AH127</f>
        <v>3.77619732</v>
      </c>
      <c r="K127">
        <f>PasteBBM!AG127</f>
        <v>0.81</v>
      </c>
      <c r="L127">
        <f>PasteBBM!Z127</f>
        <v>1.15493</v>
      </c>
      <c r="M127">
        <f>PasteBBM!Y127</f>
        <v>15.69535</v>
      </c>
      <c r="N127">
        <f>PasteBBM!AA127</f>
        <v>5.369859</v>
      </c>
      <c r="O127">
        <f>PasteBBM!AB127</f>
        <v>5.858028</v>
      </c>
      <c r="P127">
        <f>PasteBBM!AC127</f>
        <v>1.220423</v>
      </c>
      <c r="Q127">
        <f>PasteBBM!AD127</f>
        <v>0.177746</v>
      </c>
      <c r="R127">
        <f>PasteBBM!AI127</f>
        <v>2.806901</v>
      </c>
      <c r="S127">
        <f>PasteBBM!AE127</f>
        <v>0.461777</v>
      </c>
      <c r="T127">
        <f>PasteBBM!AG127</f>
        <v>0.81</v>
      </c>
      <c r="V127" s="44">
        <v>-0.29065</v>
      </c>
      <c r="W127" s="44">
        <v>-0.0033</v>
      </c>
      <c r="X127" s="44">
        <v>-0.2316</v>
      </c>
      <c r="Y127" s="44">
        <v>-0.05905</v>
      </c>
      <c r="Z127" s="44">
        <v>1.187635</v>
      </c>
      <c r="AA127" s="45"/>
      <c r="AB127" s="46" t="s">
        <v>58</v>
      </c>
      <c r="AC127" s="44">
        <v>85.0</v>
      </c>
    </row>
    <row r="128">
      <c r="A128" s="2">
        <v>127.0</v>
      </c>
      <c r="B128" s="14">
        <f>IF(PasteBBM!B128="",156,PasteBBM!B128)</f>
        <v>87.22857</v>
      </c>
      <c r="C128" t="str">
        <f>PasteBBM!I128</f>
        <v>Cam Thomas</v>
      </c>
      <c r="D128" t="str">
        <f>IFERROR(REPLACE(PasteBBM!K128,FIND("/",PasteBBM!K128,1),1,","),PasteBBM!K128)</f>
        <v>SG,SF</v>
      </c>
      <c r="E128" t="str">
        <f>PasteBBM!J128</f>
        <v>BKN</v>
      </c>
      <c r="F128">
        <f>PasteBBM!U128</f>
        <v>58</v>
      </c>
      <c r="G128">
        <f>PasteBBM!X128</f>
        <v>30</v>
      </c>
      <c r="H128">
        <f>PasteBBM!AE128*PasteBBM!AF128</f>
        <v>7.772408516</v>
      </c>
      <c r="I128">
        <f>PasteBBM!AE128</f>
        <v>0.425821</v>
      </c>
      <c r="J128">
        <f>PasteBBM!AG128*PasteBBM!AH128</f>
        <v>5.264483</v>
      </c>
      <c r="K128">
        <f>PasteBBM!AG128</f>
        <v>0.875</v>
      </c>
      <c r="L128">
        <f>PasteBBM!Z128</f>
        <v>2.551897</v>
      </c>
      <c r="M128">
        <f>PasteBBM!Y128</f>
        <v>23.36121</v>
      </c>
      <c r="N128">
        <f>PasteBBM!AA128</f>
        <v>3.15569</v>
      </c>
      <c r="O128">
        <f>PasteBBM!AB128</f>
        <v>4.207586</v>
      </c>
      <c r="P128">
        <f>PasteBBM!AC128</f>
        <v>0.618276</v>
      </c>
      <c r="Q128">
        <f>PasteBBM!AD128</f>
        <v>0.123793</v>
      </c>
      <c r="R128">
        <f>PasteBBM!AI128</f>
        <v>2.166552</v>
      </c>
      <c r="S128">
        <f>PasteBBM!AE128</f>
        <v>0.425821</v>
      </c>
      <c r="T128">
        <f>PasteBBM!AG128</f>
        <v>0.875</v>
      </c>
      <c r="V128" s="44">
        <v>-0.29355</v>
      </c>
      <c r="W128" s="44">
        <v>-0.00241</v>
      </c>
      <c r="X128" s="44">
        <v>-0.31959</v>
      </c>
      <c r="Y128" s="44">
        <v>0.026034</v>
      </c>
      <c r="Z128" s="44">
        <v>0.537156</v>
      </c>
      <c r="AA128" s="45"/>
      <c r="AB128" s="46" t="s">
        <v>134</v>
      </c>
      <c r="AC128" s="44">
        <v>115.0</v>
      </c>
    </row>
    <row r="129">
      <c r="A129" s="2">
        <v>128.0</v>
      </c>
      <c r="B129" s="14">
        <f>IF(PasteBBM!B129="",156,PasteBBM!B129)</f>
        <v>104.7286</v>
      </c>
      <c r="C129" t="str">
        <f>PasteBBM!I129</f>
        <v>Draymond Green</v>
      </c>
      <c r="D129" t="str">
        <f>IFERROR(REPLACE(PasteBBM!K129,FIND("/",PasteBBM!K129,1),1,","),PasteBBM!K129)</f>
        <v>PF,C</v>
      </c>
      <c r="E129" t="str">
        <f>PasteBBM!J129</f>
        <v>GSW</v>
      </c>
      <c r="F129">
        <f>PasteBBM!U129</f>
        <v>66</v>
      </c>
      <c r="G129">
        <f>PasteBBM!X129</f>
        <v>29</v>
      </c>
      <c r="H129">
        <f>PasteBBM!AE129*PasteBBM!AF129</f>
        <v>3.101965868</v>
      </c>
      <c r="I129">
        <f>PasteBBM!AE129</f>
        <v>0.411575</v>
      </c>
      <c r="J129">
        <f>PasteBBM!AG129*PasteBBM!AH129</f>
        <v>1.335758344</v>
      </c>
      <c r="K129">
        <f>PasteBBM!AG129</f>
        <v>0.708967</v>
      </c>
      <c r="L129">
        <f>PasteBBM!Z129</f>
        <v>1.155909</v>
      </c>
      <c r="M129">
        <f>PasteBBM!Y129</f>
        <v>8.695606</v>
      </c>
      <c r="N129">
        <f>PasteBBM!AA129</f>
        <v>5.921364</v>
      </c>
      <c r="O129">
        <f>PasteBBM!AB129</f>
        <v>5.921364</v>
      </c>
      <c r="P129">
        <f>PasteBBM!AC129</f>
        <v>1.375758</v>
      </c>
      <c r="Q129">
        <f>PasteBBM!AD129</f>
        <v>0.837424</v>
      </c>
      <c r="R129">
        <f>PasteBBM!AI129</f>
        <v>2.518485</v>
      </c>
      <c r="S129">
        <f>PasteBBM!AE129</f>
        <v>0.411575</v>
      </c>
      <c r="T129">
        <f>PasteBBM!AG129</f>
        <v>0.708967</v>
      </c>
      <c r="V129" s="44">
        <v>-0.29585</v>
      </c>
      <c r="W129" s="44">
        <v>-0.00537</v>
      </c>
      <c r="X129" s="44">
        <v>-0.00994</v>
      </c>
      <c r="Y129" s="44">
        <v>-0.28591</v>
      </c>
      <c r="Z129" s="44">
        <v>-0.1412</v>
      </c>
      <c r="AA129" s="45"/>
      <c r="AB129" s="46" t="s">
        <v>70</v>
      </c>
      <c r="AC129" s="44">
        <v>82.0</v>
      </c>
    </row>
    <row r="130">
      <c r="A130" s="2">
        <v>129.0</v>
      </c>
      <c r="B130" s="14">
        <f>IF(PasteBBM!B130="",156,PasteBBM!B130)</f>
        <v>143.7143</v>
      </c>
      <c r="C130" t="str">
        <f>PasteBBM!I130</f>
        <v>Al Horford</v>
      </c>
      <c r="D130" t="str">
        <f>IFERROR(REPLACE(PasteBBM!K130,FIND("/",PasteBBM!K130,1),1,","),PasteBBM!K130)</f>
        <v>PF,C</v>
      </c>
      <c r="E130" t="str">
        <f>PasteBBM!J130</f>
        <v>GSW</v>
      </c>
      <c r="F130">
        <f>PasteBBM!U130</f>
        <v>51</v>
      </c>
      <c r="G130">
        <f>PasteBBM!X130</f>
        <v>28</v>
      </c>
      <c r="H130">
        <f>PasteBBM!AE130*PasteBBM!AF130</f>
        <v>3.267842221</v>
      </c>
      <c r="I130">
        <f>PasteBBM!AE130</f>
        <v>0.438625</v>
      </c>
      <c r="J130">
        <f>PasteBBM!AG130*PasteBBM!AH130</f>
        <v>0.38000015</v>
      </c>
      <c r="K130">
        <f>PasteBBM!AG130</f>
        <v>0.85</v>
      </c>
      <c r="L130">
        <f>PasteBBM!Z130</f>
        <v>1.84</v>
      </c>
      <c r="M130">
        <f>PasteBBM!Y130</f>
        <v>8.755686</v>
      </c>
      <c r="N130">
        <f>PasteBBM!AA130</f>
        <v>6.525686</v>
      </c>
      <c r="O130">
        <f>PasteBBM!AB130</f>
        <v>2.54098</v>
      </c>
      <c r="P130">
        <f>PasteBBM!AC130</f>
        <v>0.575882</v>
      </c>
      <c r="Q130">
        <f>PasteBBM!AD130</f>
        <v>0.867843</v>
      </c>
      <c r="R130">
        <f>PasteBBM!AI130</f>
        <v>0.866275</v>
      </c>
      <c r="S130">
        <f>PasteBBM!AE130</f>
        <v>0.438625</v>
      </c>
      <c r="T130">
        <f>PasteBBM!AG130</f>
        <v>0.85</v>
      </c>
      <c r="V130" s="44">
        <v>-0.29705</v>
      </c>
      <c r="W130" s="44">
        <v>-0.13193</v>
      </c>
      <c r="X130" s="44">
        <v>-0.39936</v>
      </c>
      <c r="Y130" s="44">
        <v>0.102306</v>
      </c>
      <c r="Z130" s="44">
        <v>-1.80457</v>
      </c>
      <c r="AA130" s="45"/>
      <c r="AB130" s="46" t="s">
        <v>639</v>
      </c>
      <c r="AC130" s="44">
        <v>187.0</v>
      </c>
    </row>
    <row r="131">
      <c r="A131" s="2">
        <v>130.0</v>
      </c>
      <c r="B131" s="14">
        <f>IF(PasteBBM!B131="",156,PasteBBM!B131)</f>
        <v>128.5</v>
      </c>
      <c r="C131" t="str">
        <f>PasteBBM!I131</f>
        <v>Aaron Wiggins</v>
      </c>
      <c r="D131" t="str">
        <f>IFERROR(REPLACE(PasteBBM!K131,FIND("/",PasteBBM!K131,1),1,","),PasteBBM!K131)</f>
        <v>SG,SF</v>
      </c>
      <c r="E131" t="str">
        <f>PasteBBM!J131</f>
        <v>OKC</v>
      </c>
      <c r="F131">
        <f>PasteBBM!U131</f>
        <v>71</v>
      </c>
      <c r="G131">
        <f>PasteBBM!X131</f>
        <v>24</v>
      </c>
      <c r="H131">
        <f>PasteBBM!AE131*PasteBBM!AF131</f>
        <v>5.273524354</v>
      </c>
      <c r="I131">
        <f>PasteBBM!AE131</f>
        <v>0.492399</v>
      </c>
      <c r="J131">
        <f>PasteBBM!AG131*PasteBBM!AH131</f>
        <v>1.322112939</v>
      </c>
      <c r="K131">
        <f>PasteBBM!AG131</f>
        <v>0.822988</v>
      </c>
      <c r="L131">
        <f>PasteBBM!Z131</f>
        <v>2.00493</v>
      </c>
      <c r="M131">
        <f>PasteBBM!Y131</f>
        <v>13.87408</v>
      </c>
      <c r="N131">
        <f>PasteBBM!AA131</f>
        <v>4.029014</v>
      </c>
      <c r="O131">
        <f>PasteBBM!AB131</f>
        <v>1.872113</v>
      </c>
      <c r="P131">
        <f>PasteBBM!AC131</f>
        <v>0.855493</v>
      </c>
      <c r="Q131">
        <f>PasteBBM!AD131</f>
        <v>0.257183</v>
      </c>
      <c r="R131">
        <f>PasteBBM!AI131</f>
        <v>0.975915</v>
      </c>
      <c r="S131">
        <f>PasteBBM!AE131</f>
        <v>0.492399</v>
      </c>
      <c r="T131">
        <f>PasteBBM!AG131</f>
        <v>0.822988</v>
      </c>
      <c r="V131" s="44">
        <v>-0.30412</v>
      </c>
      <c r="W131" s="44">
        <v>-0.00937</v>
      </c>
      <c r="X131" s="44">
        <v>-0.4554</v>
      </c>
      <c r="Y131" s="44">
        <v>0.151286</v>
      </c>
      <c r="Z131" s="44">
        <v>-0.53149</v>
      </c>
      <c r="AA131" s="45"/>
      <c r="AB131" s="46" t="s">
        <v>647</v>
      </c>
      <c r="AC131" s="44">
        <v>198.0</v>
      </c>
    </row>
    <row r="132">
      <c r="A132" s="2">
        <v>131.0</v>
      </c>
      <c r="B132" s="14">
        <f>IF(PasteBBM!B132="",156,PasteBBM!B132)</f>
        <v>147.8</v>
      </c>
      <c r="C132" t="str">
        <f>PasteBBM!I132</f>
        <v>Kelly Oubre</v>
      </c>
      <c r="D132" t="str">
        <f>IFERROR(REPLACE(PasteBBM!K132,FIND("/",PasteBBM!K132,1),1,","),PasteBBM!K132)</f>
        <v>SF,PF</v>
      </c>
      <c r="E132" t="str">
        <f>PasteBBM!J132</f>
        <v>PHI</v>
      </c>
      <c r="F132">
        <f>PasteBBM!U132</f>
        <v>71</v>
      </c>
      <c r="G132">
        <f>PasteBBM!X132</f>
        <v>33</v>
      </c>
      <c r="H132">
        <f>PasteBBM!AE132*PasteBBM!AF132</f>
        <v>5.049718449</v>
      </c>
      <c r="I132">
        <f>PasteBBM!AE132</f>
        <v>0.470827</v>
      </c>
      <c r="J132">
        <f>PasteBBM!AG132*PasteBBM!AH132</f>
        <v>2.064930481</v>
      </c>
      <c r="K132">
        <f>PasteBBM!AG132</f>
        <v>0.762998</v>
      </c>
      <c r="L132">
        <f>PasteBBM!Z132</f>
        <v>1.136056</v>
      </c>
      <c r="M132">
        <f>PasteBBM!Y132</f>
        <v>13.30042</v>
      </c>
      <c r="N132">
        <f>PasteBBM!AA132</f>
        <v>4.812535</v>
      </c>
      <c r="O132">
        <f>PasteBBM!AB132</f>
        <v>1.512535</v>
      </c>
      <c r="P132">
        <f>PasteBBM!AC132</f>
        <v>1.37493</v>
      </c>
      <c r="Q132">
        <f>PasteBBM!AD132</f>
        <v>0.487606</v>
      </c>
      <c r="R132">
        <f>PasteBBM!AI132</f>
        <v>1.320845</v>
      </c>
      <c r="S132">
        <f>PasteBBM!AE132</f>
        <v>0.470827</v>
      </c>
      <c r="T132">
        <f>PasteBBM!AG132</f>
        <v>0.762998</v>
      </c>
      <c r="V132" s="44">
        <v>-0.30448</v>
      </c>
      <c r="W132" s="44">
        <v>-0.04522</v>
      </c>
      <c r="X132" s="44">
        <v>-0.31487</v>
      </c>
      <c r="Y132" s="44">
        <v>0.010385</v>
      </c>
      <c r="Z132" s="44">
        <v>0.825225</v>
      </c>
      <c r="AA132" s="45"/>
      <c r="AB132" s="46" t="s">
        <v>654</v>
      </c>
      <c r="AC132" s="44">
        <v>151.0</v>
      </c>
    </row>
    <row r="133">
      <c r="A133" s="2">
        <v>132.0</v>
      </c>
      <c r="B133" s="14">
        <f>IF(PasteBBM!B133="",156,PasteBBM!B133)</f>
        <v>141.1935</v>
      </c>
      <c r="C133" t="str">
        <f>PasteBBM!I133</f>
        <v>Quentin Grimes</v>
      </c>
      <c r="D133" t="str">
        <f>IFERROR(REPLACE(PasteBBM!K133,FIND("/",PasteBBM!K133,1),1,","),PasteBBM!K133)</f>
        <v>SG,SF</v>
      </c>
      <c r="E133" t="str">
        <f>PasteBBM!J133</f>
        <v>PHI</v>
      </c>
      <c r="F133">
        <f>PasteBBM!U133</f>
        <v>66</v>
      </c>
      <c r="G133">
        <f>PasteBBM!X133</f>
        <v>28</v>
      </c>
      <c r="H133">
        <f>PasteBBM!AE133*PasteBBM!AF133</f>
        <v>4.495454707</v>
      </c>
      <c r="I133">
        <f>PasteBBM!AE133</f>
        <v>0.453337</v>
      </c>
      <c r="J133">
        <f>PasteBBM!AG133*PasteBBM!AH133</f>
        <v>1.578483639</v>
      </c>
      <c r="K133">
        <f>PasteBBM!AG133</f>
        <v>0.758003</v>
      </c>
      <c r="L133">
        <f>PasteBBM!Z133</f>
        <v>2.41803</v>
      </c>
      <c r="M133">
        <f>PasteBBM!Y133</f>
        <v>12.98742</v>
      </c>
      <c r="N133">
        <f>PasteBBM!AA133</f>
        <v>4.258333</v>
      </c>
      <c r="O133">
        <f>PasteBBM!AB133</f>
        <v>2.683333</v>
      </c>
      <c r="P133">
        <f>PasteBBM!AC133</f>
        <v>1.066061</v>
      </c>
      <c r="Q133">
        <f>PasteBBM!AD133</f>
        <v>0.359091</v>
      </c>
      <c r="R133">
        <f>PasteBBM!AI133</f>
        <v>1.458333</v>
      </c>
      <c r="S133">
        <f>PasteBBM!AE133</f>
        <v>0.453337</v>
      </c>
      <c r="T133">
        <f>PasteBBM!AG133</f>
        <v>0.758003</v>
      </c>
      <c r="V133" s="44">
        <v>-0.30956</v>
      </c>
      <c r="W133" s="44">
        <v>0.048139</v>
      </c>
      <c r="X133" s="44">
        <v>-0.45436</v>
      </c>
      <c r="Y133" s="44">
        <v>0.1448</v>
      </c>
      <c r="Z133" s="44">
        <v>0.29555</v>
      </c>
      <c r="AA133" s="45"/>
      <c r="AB133" s="46" t="s">
        <v>663</v>
      </c>
      <c r="AC133" s="44">
        <v>219.0</v>
      </c>
    </row>
    <row r="134">
      <c r="A134" s="2">
        <v>133.0</v>
      </c>
      <c r="B134" s="14">
        <f>IF(PasteBBM!B134="",156,PasteBBM!B134)</f>
        <v>142.2</v>
      </c>
      <c r="C134" t="str">
        <f>PasteBBM!I134</f>
        <v>Ty Jerome</v>
      </c>
      <c r="D134" t="str">
        <f>IFERROR(REPLACE(PasteBBM!K134,FIND("/",PasteBBM!K134,1),1,","),PasteBBM!K134)</f>
        <v>SG,SF</v>
      </c>
      <c r="E134" t="str">
        <f>PasteBBM!J134</f>
        <v>MEM</v>
      </c>
      <c r="F134">
        <f>PasteBBM!U134</f>
        <v>71</v>
      </c>
      <c r="G134">
        <f>PasteBBM!X134</f>
        <v>23</v>
      </c>
      <c r="H134">
        <f>PasteBBM!AE134*PasteBBM!AF134</f>
        <v>4.919017628</v>
      </c>
      <c r="I134">
        <f>PasteBBM!AE134</f>
        <v>0.476942</v>
      </c>
      <c r="J134">
        <f>PasteBBM!AG134*PasteBBM!AH134</f>
        <v>2.045492468</v>
      </c>
      <c r="K134">
        <f>PasteBBM!AG134</f>
        <v>0.869016</v>
      </c>
      <c r="L134">
        <f>PasteBBM!Z134</f>
        <v>1.579437</v>
      </c>
      <c r="M134">
        <f>PasteBBM!Y134</f>
        <v>13.46296</v>
      </c>
      <c r="N134">
        <f>PasteBBM!AA134</f>
        <v>2.867746</v>
      </c>
      <c r="O134">
        <f>PasteBBM!AB134</f>
        <v>4.27662</v>
      </c>
      <c r="P134">
        <f>PasteBBM!AC134</f>
        <v>1.151831</v>
      </c>
      <c r="Q134">
        <f>PasteBBM!AD134</f>
        <v>0.050423</v>
      </c>
      <c r="R134">
        <f>PasteBBM!AI134</f>
        <v>1.710563</v>
      </c>
      <c r="S134">
        <f>PasteBBM!AE134</f>
        <v>0.476942</v>
      </c>
      <c r="T134">
        <f>PasteBBM!AG134</f>
        <v>0.869016</v>
      </c>
      <c r="V134" s="44">
        <v>-0.30972</v>
      </c>
      <c r="W134" s="44">
        <v>0.058706</v>
      </c>
      <c r="X134" s="44">
        <v>-0.41405</v>
      </c>
      <c r="Y134" s="44">
        <v>0.104329</v>
      </c>
      <c r="Z134" s="44">
        <v>1.559337</v>
      </c>
      <c r="AA134" s="45"/>
      <c r="AB134" s="46" t="s">
        <v>671</v>
      </c>
      <c r="AC134" s="44">
        <v>226.0</v>
      </c>
    </row>
    <row r="135">
      <c r="A135" s="2">
        <v>134.0</v>
      </c>
      <c r="B135" s="14">
        <f>IF(PasteBBM!B135="",156,PasteBBM!B135)</f>
        <v>134.2581</v>
      </c>
      <c r="C135" t="str">
        <f>PasteBBM!I135</f>
        <v>Daniel Gafford</v>
      </c>
      <c r="D135" t="str">
        <f>IFERROR(REPLACE(PasteBBM!K135,FIND("/",PasteBBM!K135,1),1,","),PasteBBM!K135)</f>
        <v>C</v>
      </c>
      <c r="E135" t="str">
        <f>PasteBBM!J135</f>
        <v>DAL</v>
      </c>
      <c r="F135">
        <f>PasteBBM!U135</f>
        <v>66</v>
      </c>
      <c r="G135">
        <f>PasteBBM!X135</f>
        <v>21</v>
      </c>
      <c r="H135">
        <f>PasteBBM!AE135*PasteBBM!AF135</f>
        <v>3.9586386</v>
      </c>
      <c r="I135">
        <f>PasteBBM!AE135</f>
        <v>0.694498</v>
      </c>
      <c r="J135">
        <f>PasteBBM!AG135*PasteBBM!AH135</f>
        <v>1.786667256</v>
      </c>
      <c r="K135">
        <f>PasteBBM!AG135</f>
        <v>0.680989</v>
      </c>
      <c r="L135">
        <f>PasteBBM!Z135</f>
        <v>0</v>
      </c>
      <c r="M135">
        <f>PasteBBM!Y135</f>
        <v>9.703939</v>
      </c>
      <c r="N135">
        <f>PasteBBM!AA135</f>
        <v>6.318788</v>
      </c>
      <c r="O135">
        <f>PasteBBM!AB135</f>
        <v>1.368485</v>
      </c>
      <c r="P135">
        <f>PasteBBM!AC135</f>
        <v>0.48</v>
      </c>
      <c r="Q135">
        <f>PasteBBM!AD135</f>
        <v>1.590758</v>
      </c>
      <c r="R135">
        <f>PasteBBM!AI135</f>
        <v>0.972121</v>
      </c>
      <c r="S135">
        <f>PasteBBM!AE135</f>
        <v>0.694498</v>
      </c>
      <c r="T135">
        <f>PasteBBM!AG135</f>
        <v>0.680989</v>
      </c>
      <c r="V135" s="44">
        <v>-0.31665</v>
      </c>
      <c r="W135" s="44">
        <v>-7.1E-4</v>
      </c>
      <c r="X135" s="44">
        <v>-0.32148</v>
      </c>
      <c r="Y135" s="44">
        <v>0.00483</v>
      </c>
      <c r="Z135" s="44">
        <v>0.007481</v>
      </c>
      <c r="AA135" s="45"/>
      <c r="AB135" s="46" t="s">
        <v>678</v>
      </c>
      <c r="AC135" s="44">
        <v>150.0</v>
      </c>
    </row>
    <row r="136">
      <c r="A136" s="2">
        <v>135.0</v>
      </c>
      <c r="B136" s="14">
        <f>IF(PasteBBM!B136="",156,PasteBBM!B136)</f>
        <v>143.8333</v>
      </c>
      <c r="C136" t="str">
        <f>PasteBBM!I136</f>
        <v>Chris Boucher</v>
      </c>
      <c r="D136" t="str">
        <f>IFERROR(REPLACE(PasteBBM!K136,FIND("/",PasteBBM!K136,1),1,","),PasteBBM!K136)</f>
        <v>PF</v>
      </c>
      <c r="E136" t="str">
        <f>PasteBBM!J136</f>
        <v>BOS</v>
      </c>
      <c r="F136">
        <f>PasteBBM!U136</f>
        <v>75</v>
      </c>
      <c r="G136">
        <f>PasteBBM!X136</f>
        <v>24</v>
      </c>
      <c r="H136">
        <f>PasteBBM!AE136*PasteBBM!AF136</f>
        <v>4.440668304</v>
      </c>
      <c r="I136">
        <f>PasteBBM!AE136</f>
        <v>0.481697</v>
      </c>
      <c r="J136">
        <f>PasteBBM!AG136*PasteBBM!AH136</f>
        <v>1.513867353</v>
      </c>
      <c r="K136">
        <f>PasteBBM!AG136</f>
        <v>0.78201</v>
      </c>
      <c r="L136">
        <f>PasteBBM!Z136</f>
        <v>1.692533</v>
      </c>
      <c r="M136">
        <f>PasteBBM!Y136</f>
        <v>12.08773</v>
      </c>
      <c r="N136">
        <f>PasteBBM!AA136</f>
        <v>6.746533</v>
      </c>
      <c r="O136">
        <f>PasteBBM!AB136</f>
        <v>0.909067</v>
      </c>
      <c r="P136">
        <f>PasteBBM!AC136</f>
        <v>0.641067</v>
      </c>
      <c r="Q136">
        <f>PasteBBM!AD136</f>
        <v>0.669467</v>
      </c>
      <c r="R136">
        <f>PasteBBM!AI136</f>
        <v>0.859333</v>
      </c>
      <c r="S136">
        <f>PasteBBM!AE136</f>
        <v>0.481697</v>
      </c>
      <c r="T136">
        <f>PasteBBM!AG136</f>
        <v>0.78201</v>
      </c>
      <c r="V136" s="44">
        <v>-0.31724</v>
      </c>
      <c r="W136" s="44">
        <v>-0.00739</v>
      </c>
      <c r="X136" s="44">
        <v>0.113107</v>
      </c>
      <c r="Y136" s="44">
        <v>-0.43035</v>
      </c>
      <c r="Z136" s="44">
        <v>0.983199</v>
      </c>
      <c r="AA136" s="45"/>
      <c r="AB136" s="46" t="s">
        <v>165</v>
      </c>
      <c r="AC136" s="44">
        <v>41.0</v>
      </c>
    </row>
    <row r="137">
      <c r="A137" s="2">
        <v>136.0</v>
      </c>
      <c r="B137" s="14">
        <f>IF(PasteBBM!B137="",156,PasteBBM!B137)</f>
        <v>142.2</v>
      </c>
      <c r="C137" t="str">
        <f>PasteBBM!I137</f>
        <v>Taylor Hendricks</v>
      </c>
      <c r="D137" t="str">
        <f>IFERROR(REPLACE(PasteBBM!K137,FIND("/",PasteBBM!K137,1),1,","),PasteBBM!K137)</f>
        <v>PF</v>
      </c>
      <c r="E137" t="str">
        <f>PasteBBM!J137</f>
        <v>UTA</v>
      </c>
      <c r="F137">
        <f>PasteBBM!U137</f>
        <v>59</v>
      </c>
      <c r="G137">
        <f>PasteBBM!X137</f>
        <v>26</v>
      </c>
      <c r="H137">
        <f>PasteBBM!AE137*PasteBBM!AF137</f>
        <v>2.882204552</v>
      </c>
      <c r="I137">
        <f>PasteBBM!AE137</f>
        <v>0.423442</v>
      </c>
      <c r="J137">
        <f>PasteBBM!AG137*PasteBBM!AH137</f>
        <v>0.8045767113</v>
      </c>
      <c r="K137">
        <f>PasteBBM!AG137</f>
        <v>0.788015</v>
      </c>
      <c r="L137">
        <f>PasteBBM!Z137</f>
        <v>1.548814</v>
      </c>
      <c r="M137">
        <f>PasteBBM!Y137</f>
        <v>8.117797</v>
      </c>
      <c r="N137">
        <f>PasteBBM!AA137</f>
        <v>5.300169</v>
      </c>
      <c r="O137">
        <f>PasteBBM!AB137</f>
        <v>0.992881</v>
      </c>
      <c r="P137">
        <f>PasteBBM!AC137</f>
        <v>0.965763</v>
      </c>
      <c r="Q137">
        <f>PasteBBM!AD137</f>
        <v>1.115763</v>
      </c>
      <c r="R137">
        <f>PasteBBM!AI137</f>
        <v>0.828814</v>
      </c>
      <c r="S137">
        <f>PasteBBM!AE137</f>
        <v>0.423442</v>
      </c>
      <c r="T137">
        <f>PasteBBM!AG137</f>
        <v>0.788015</v>
      </c>
      <c r="V137" s="44">
        <v>-0.31765</v>
      </c>
      <c r="W137" s="44">
        <v>0.003281</v>
      </c>
      <c r="X137" s="44">
        <v>0.103984</v>
      </c>
      <c r="Y137" s="44">
        <v>-0.42164</v>
      </c>
      <c r="Z137" s="44">
        <v>-1.3864</v>
      </c>
      <c r="AA137" s="45"/>
      <c r="AB137" s="46" t="s">
        <v>122</v>
      </c>
      <c r="AC137" s="44">
        <v>4.0</v>
      </c>
    </row>
    <row r="138">
      <c r="A138" s="2">
        <v>137.0</v>
      </c>
      <c r="B138" s="14">
        <f>IF(PasteBBM!B138="",156,PasteBBM!B138)</f>
        <v>150</v>
      </c>
      <c r="C138" t="str">
        <f>PasteBBM!I138</f>
        <v>Kevin Huerter</v>
      </c>
      <c r="D138" t="str">
        <f>IFERROR(REPLACE(PasteBBM!K138,FIND("/",PasteBBM!K138,1),1,","),PasteBBM!K138)</f>
        <v>SG</v>
      </c>
      <c r="E138" t="str">
        <f>PasteBBM!J138</f>
        <v>CHI</v>
      </c>
      <c r="F138">
        <f>PasteBBM!U138</f>
        <v>66</v>
      </c>
      <c r="G138">
        <f>PasteBBM!X138</f>
        <v>26</v>
      </c>
      <c r="H138">
        <f>PasteBBM!AE138*PasteBBM!AF138</f>
        <v>4.718635016</v>
      </c>
      <c r="I138">
        <f>PasteBBM!AE138</f>
        <v>0.466108</v>
      </c>
      <c r="J138">
        <f>PasteBBM!AG138*PasteBBM!AH138</f>
        <v>0.5659091003</v>
      </c>
      <c r="K138">
        <f>PasteBBM!AG138</f>
        <v>0.732928</v>
      </c>
      <c r="L138">
        <f>PasteBBM!Z138</f>
        <v>2.468333</v>
      </c>
      <c r="M138">
        <f>PasteBBM!Y138</f>
        <v>12.47152</v>
      </c>
      <c r="N138">
        <f>PasteBBM!AA138</f>
        <v>3.128182</v>
      </c>
      <c r="O138">
        <f>PasteBBM!AB138</f>
        <v>2.431212</v>
      </c>
      <c r="P138">
        <f>PasteBBM!AC138</f>
        <v>0.994697</v>
      </c>
      <c r="Q138">
        <f>PasteBBM!AD138</f>
        <v>0.347424</v>
      </c>
      <c r="R138">
        <f>PasteBBM!AI138</f>
        <v>1.097424</v>
      </c>
      <c r="S138">
        <f>PasteBBM!AE138</f>
        <v>0.466108</v>
      </c>
      <c r="T138">
        <f>PasteBBM!AG138</f>
        <v>0.732928</v>
      </c>
      <c r="V138" s="44">
        <v>-0.31893</v>
      </c>
      <c r="W138" s="44">
        <v>1.22E-4</v>
      </c>
      <c r="X138" s="44">
        <v>-0.43142</v>
      </c>
      <c r="Y138" s="44">
        <v>0.112492</v>
      </c>
      <c r="Z138" s="44">
        <v>1.568629</v>
      </c>
      <c r="AA138" s="45"/>
      <c r="AB138" s="46" t="s">
        <v>147</v>
      </c>
      <c r="AC138" s="44">
        <v>149.0</v>
      </c>
    </row>
    <row r="139">
      <c r="A139" s="2">
        <v>138.0</v>
      </c>
      <c r="B139" s="14">
        <f>IF(PasteBBM!B139="",156,PasteBBM!B139)</f>
        <v>122.6812</v>
      </c>
      <c r="C139" t="str">
        <f>PasteBBM!I139</f>
        <v>Jabari Smith Jr.</v>
      </c>
      <c r="D139" t="str">
        <f>IFERROR(REPLACE(PasteBBM!K139,FIND("/",PasteBBM!K139,1),1,","),PasteBBM!K139)</f>
        <v>PF</v>
      </c>
      <c r="E139" t="str">
        <f>PasteBBM!J139</f>
        <v>HOU</v>
      </c>
      <c r="F139">
        <f>PasteBBM!U139</f>
        <v>68</v>
      </c>
      <c r="G139">
        <f>PasteBBM!X139</f>
        <v>30</v>
      </c>
      <c r="H139">
        <f>PasteBBM!AE139*PasteBBM!AF139</f>
        <v>5.105593445</v>
      </c>
      <c r="I139">
        <f>PasteBBM!AE139</f>
        <v>0.446856</v>
      </c>
      <c r="J139">
        <f>PasteBBM!AG139*PasteBBM!AH139</f>
        <v>1.873822825</v>
      </c>
      <c r="K139">
        <f>PasteBBM!AG139</f>
        <v>0.820001</v>
      </c>
      <c r="L139">
        <f>PasteBBM!Z139</f>
        <v>2.132647</v>
      </c>
      <c r="M139">
        <f>PasteBBM!Y139</f>
        <v>14.21765</v>
      </c>
      <c r="N139">
        <f>PasteBBM!AA139</f>
        <v>7.575</v>
      </c>
      <c r="O139">
        <f>PasteBBM!AB139</f>
        <v>1.184118</v>
      </c>
      <c r="P139">
        <f>PasteBBM!AC139</f>
        <v>0.502353</v>
      </c>
      <c r="Q139">
        <f>PasteBBM!AD139</f>
        <v>0.568088</v>
      </c>
      <c r="R139">
        <f>PasteBBM!AI139</f>
        <v>1.202941</v>
      </c>
      <c r="S139">
        <f>PasteBBM!AE139</f>
        <v>0.446856</v>
      </c>
      <c r="T139">
        <f>PasteBBM!AG139</f>
        <v>0.820001</v>
      </c>
      <c r="V139" s="44">
        <v>-0.33046</v>
      </c>
      <c r="W139" s="44">
        <v>-1.3E-4</v>
      </c>
      <c r="X139" s="44">
        <v>-0.30799</v>
      </c>
      <c r="Y139" s="44">
        <v>-0.02247</v>
      </c>
      <c r="Z139" s="44">
        <v>-1.69306</v>
      </c>
      <c r="AA139" s="45"/>
      <c r="AB139" s="46" t="s">
        <v>49</v>
      </c>
      <c r="AC139" s="44">
        <v>193.0</v>
      </c>
    </row>
    <row r="140">
      <c r="A140" s="2">
        <v>139.0</v>
      </c>
      <c r="B140" s="14">
        <f>IF(PasteBBM!B140="",156,PasteBBM!B140)</f>
        <v>148.25</v>
      </c>
      <c r="C140" t="str">
        <f>PasteBBM!I140</f>
        <v>Khris Middleton</v>
      </c>
      <c r="D140" t="str">
        <f>IFERROR(REPLACE(PasteBBM!K140,FIND("/",PasteBBM!K140,1),1,","),PasteBBM!K140)</f>
        <v>SF</v>
      </c>
      <c r="E140" t="str">
        <f>PasteBBM!J140</f>
        <v>WAS</v>
      </c>
      <c r="F140">
        <f>PasteBBM!U140</f>
        <v>48</v>
      </c>
      <c r="G140">
        <f>PasteBBM!X140</f>
        <v>25</v>
      </c>
      <c r="H140">
        <f>PasteBBM!AE140*PasteBBM!AF140</f>
        <v>4.835831974</v>
      </c>
      <c r="I140">
        <f>PasteBBM!AE140</f>
        <v>0.484613</v>
      </c>
      <c r="J140">
        <f>PasteBBM!AG140*PasteBBM!AH140</f>
        <v>2.132915862</v>
      </c>
      <c r="K140">
        <f>PasteBBM!AG140</f>
        <v>0.855019</v>
      </c>
      <c r="L140">
        <f>PasteBBM!Z140</f>
        <v>1.436875</v>
      </c>
      <c r="M140">
        <f>PasteBBM!Y140</f>
        <v>13.24146</v>
      </c>
      <c r="N140">
        <f>PasteBBM!AA140</f>
        <v>4.291667</v>
      </c>
      <c r="O140">
        <f>PasteBBM!AB140</f>
        <v>4.770417</v>
      </c>
      <c r="P140">
        <f>PasteBBM!AC140</f>
        <v>0.858333</v>
      </c>
      <c r="Q140">
        <f>PasteBBM!AD140</f>
        <v>0.213958</v>
      </c>
      <c r="R140">
        <f>PasteBBM!AI140</f>
        <v>1.927083</v>
      </c>
      <c r="S140">
        <f>PasteBBM!AE140</f>
        <v>0.484613</v>
      </c>
      <c r="T140">
        <f>PasteBBM!AG140</f>
        <v>0.855019</v>
      </c>
      <c r="V140" s="44">
        <v>-0.34314</v>
      </c>
      <c r="W140" s="44">
        <v>-0.00304</v>
      </c>
      <c r="X140" s="44">
        <v>-0.2178</v>
      </c>
      <c r="Y140" s="44">
        <v>-0.12534</v>
      </c>
      <c r="Z140" s="44">
        <v>1.122587</v>
      </c>
      <c r="AA140" s="45"/>
      <c r="AB140" s="46" t="s">
        <v>45</v>
      </c>
      <c r="AC140" s="44">
        <v>106.0</v>
      </c>
    </row>
    <row r="141">
      <c r="A141" s="2">
        <v>140.0</v>
      </c>
      <c r="B141" s="14">
        <f>IF(PasteBBM!B141="",156,PasteBBM!B141)</f>
        <v>146.8378</v>
      </c>
      <c r="C141" t="str">
        <f>PasteBBM!I141</f>
        <v>Kyle Filipowski</v>
      </c>
      <c r="D141" t="str">
        <f>IFERROR(REPLACE(PasteBBM!K141,FIND("/",PasteBBM!K141,1),1,","),PasteBBM!K141)</f>
        <v>PF,C</v>
      </c>
      <c r="E141" t="str">
        <f>PasteBBM!J141</f>
        <v>UTA</v>
      </c>
      <c r="F141">
        <f>PasteBBM!U141</f>
        <v>71</v>
      </c>
      <c r="G141">
        <f>PasteBBM!X141</f>
        <v>24</v>
      </c>
      <c r="H141">
        <f>PasteBBM!AE141*PasteBBM!AF141</f>
        <v>4.8807026</v>
      </c>
      <c r="I141">
        <f>PasteBBM!AE141</f>
        <v>0.515041</v>
      </c>
      <c r="J141">
        <f>PasteBBM!AG141*PasteBBM!AH141</f>
        <v>1.481971392</v>
      </c>
      <c r="K141">
        <f>PasteBBM!AG141</f>
        <v>0.679979</v>
      </c>
      <c r="L141">
        <f>PasteBBM!Z141</f>
        <v>1.341831</v>
      </c>
      <c r="M141">
        <f>PasteBBM!Y141</f>
        <v>12.58521</v>
      </c>
      <c r="N141">
        <f>PasteBBM!AA141</f>
        <v>7.312958</v>
      </c>
      <c r="O141">
        <f>PasteBBM!AB141</f>
        <v>1.853944</v>
      </c>
      <c r="P141">
        <f>PasteBBM!AC141</f>
        <v>0.775775</v>
      </c>
      <c r="Q141">
        <f>PasteBBM!AD141</f>
        <v>0.566479</v>
      </c>
      <c r="R141">
        <f>PasteBBM!AI141</f>
        <v>1.339014</v>
      </c>
      <c r="S141">
        <f>PasteBBM!AE141</f>
        <v>0.515041</v>
      </c>
      <c r="T141">
        <f>PasteBBM!AG141</f>
        <v>0.679979</v>
      </c>
      <c r="V141" s="44">
        <v>-0.34323</v>
      </c>
      <c r="W141" s="44">
        <v>0.01227</v>
      </c>
      <c r="X141" s="44">
        <v>-0.37623</v>
      </c>
      <c r="Y141" s="44">
        <v>0.032999</v>
      </c>
      <c r="Z141" s="44">
        <v>-0.0204</v>
      </c>
      <c r="AA141" s="45"/>
      <c r="AB141" s="46" t="s">
        <v>718</v>
      </c>
      <c r="AC141" s="44">
        <v>257.0</v>
      </c>
    </row>
    <row r="142">
      <c r="A142" s="2">
        <v>141.0</v>
      </c>
      <c r="B142" s="14">
        <f>IF(PasteBBM!B142="",156,PasteBBM!B142)</f>
        <v>141.8333</v>
      </c>
      <c r="C142" t="str">
        <f>PasteBBM!I142</f>
        <v>Kyshawn George</v>
      </c>
      <c r="D142" t="str">
        <f>IFERROR(REPLACE(PasteBBM!K142,FIND("/",PasteBBM!K142,1),1,","),PasteBBM!K142)</f>
        <v>SF</v>
      </c>
      <c r="E142" t="str">
        <f>PasteBBM!J142</f>
        <v>WAS</v>
      </c>
      <c r="F142">
        <f>PasteBBM!U142</f>
        <v>66</v>
      </c>
      <c r="G142">
        <f>PasteBBM!X142</f>
        <v>28</v>
      </c>
      <c r="H142">
        <f>PasteBBM!AE142*PasteBBM!AF142</f>
        <v>3.574996273</v>
      </c>
      <c r="I142">
        <f>PasteBBM!AE142</f>
        <v>0.422002</v>
      </c>
      <c r="J142">
        <f>PasteBBM!AG142*PasteBBM!AH142</f>
        <v>1.287727579</v>
      </c>
      <c r="K142">
        <f>PasteBBM!AG142</f>
        <v>0.759993</v>
      </c>
      <c r="L142">
        <f>PasteBBM!Z142</f>
        <v>1.693636</v>
      </c>
      <c r="M142">
        <f>PasteBBM!Y142</f>
        <v>10.13136</v>
      </c>
      <c r="N142">
        <f>PasteBBM!AA142</f>
        <v>5.167121</v>
      </c>
      <c r="O142">
        <f>PasteBBM!AB142</f>
        <v>3.004242</v>
      </c>
      <c r="P142">
        <f>PasteBBM!AC142</f>
        <v>1.140152</v>
      </c>
      <c r="Q142">
        <f>PasteBBM!AD142</f>
        <v>0.660909</v>
      </c>
      <c r="R142">
        <f>PasteBBM!AI142</f>
        <v>1.563182</v>
      </c>
      <c r="S142">
        <f>PasteBBM!AE142</f>
        <v>0.422002</v>
      </c>
      <c r="T142">
        <f>PasteBBM!AG142</f>
        <v>0.759993</v>
      </c>
      <c r="V142" s="44">
        <v>-0.34764</v>
      </c>
      <c r="W142" s="44">
        <v>-0.00141</v>
      </c>
      <c r="X142" s="44">
        <v>-0.3504</v>
      </c>
      <c r="Y142" s="44">
        <v>0.002761</v>
      </c>
      <c r="Z142" s="44">
        <v>0.29555</v>
      </c>
      <c r="AA142" s="45"/>
      <c r="AB142" s="46" t="s">
        <v>225</v>
      </c>
      <c r="AC142" s="44">
        <v>139.0</v>
      </c>
    </row>
    <row r="143">
      <c r="A143" s="2">
        <v>142.0</v>
      </c>
      <c r="B143" s="14">
        <f>IF(PasteBBM!B143="",156,PasteBBM!B143)</f>
        <v>141.3462</v>
      </c>
      <c r="C143" t="str">
        <f>PasteBBM!I143</f>
        <v>Scotty Pippen Jr.</v>
      </c>
      <c r="D143" t="str">
        <f>IFERROR(REPLACE(PasteBBM!K143,FIND("/",PasteBBM!K143,1),1,","),PasteBBM!K143)</f>
        <v>PG</v>
      </c>
      <c r="E143" t="str">
        <f>PasteBBM!J143</f>
        <v>MEM</v>
      </c>
      <c r="F143">
        <f>PasteBBM!U143</f>
        <v>71</v>
      </c>
      <c r="G143">
        <f>PasteBBM!X143</f>
        <v>24</v>
      </c>
      <c r="H143">
        <f>PasteBBM!AE143*PasteBBM!AF143</f>
        <v>4.184785165</v>
      </c>
      <c r="I143">
        <f>PasteBBM!AE143</f>
        <v>0.468865</v>
      </c>
      <c r="J143">
        <f>PasteBBM!AG143*PasteBBM!AH143</f>
        <v>2.032393339</v>
      </c>
      <c r="K143">
        <f>PasteBBM!AG143</f>
        <v>0.720995</v>
      </c>
      <c r="L143">
        <f>PasteBBM!Z143</f>
        <v>1.36</v>
      </c>
      <c r="M143">
        <f>PasteBBM!Y143</f>
        <v>11.76197</v>
      </c>
      <c r="N143">
        <f>PasteBBM!AA143</f>
        <v>3.412535</v>
      </c>
      <c r="O143">
        <f>PasteBBM!AB143</f>
        <v>4.72507</v>
      </c>
      <c r="P143">
        <f>PasteBBM!AC143</f>
        <v>1.36493</v>
      </c>
      <c r="Q143">
        <f>PasteBBM!AD143</f>
        <v>0.463521</v>
      </c>
      <c r="R143">
        <f>PasteBBM!AI143</f>
        <v>1.962394</v>
      </c>
      <c r="S143">
        <f>PasteBBM!AE143</f>
        <v>0.468865</v>
      </c>
      <c r="T143">
        <f>PasteBBM!AG143</f>
        <v>0.720995</v>
      </c>
      <c r="V143" s="44">
        <v>-0.34786</v>
      </c>
      <c r="W143" s="44">
        <v>-0.00275</v>
      </c>
      <c r="X143" s="44">
        <v>-0.35423</v>
      </c>
      <c r="Y143" s="44">
        <v>0.006367</v>
      </c>
      <c r="Z143" s="44">
        <v>1.122587</v>
      </c>
      <c r="AA143" s="45"/>
      <c r="AB143" s="46" t="s">
        <v>731</v>
      </c>
      <c r="AC143" s="44">
        <v>246.0</v>
      </c>
    </row>
    <row r="144">
      <c r="A144" s="2">
        <v>143.0</v>
      </c>
      <c r="B144" s="14">
        <f>IF(PasteBBM!B144="",156,PasteBBM!B144)</f>
        <v>138.3333</v>
      </c>
      <c r="C144" t="str">
        <f>PasteBBM!I144</f>
        <v>Moussa Diabate</v>
      </c>
      <c r="D144" t="str">
        <f>IFERROR(REPLACE(PasteBBM!K144,FIND("/",PasteBBM!K144,1),1,","),PasteBBM!K144)</f>
        <v>C</v>
      </c>
      <c r="E144" t="str">
        <f>PasteBBM!J144</f>
        <v>CHA</v>
      </c>
      <c r="F144">
        <f>PasteBBM!U144</f>
        <v>71</v>
      </c>
      <c r="G144">
        <f>PasteBBM!X144</f>
        <v>25</v>
      </c>
      <c r="H144">
        <f>PasteBBM!AE144*PasteBBM!AF144</f>
        <v>4.23168725</v>
      </c>
      <c r="I144">
        <f>PasteBBM!AE144</f>
        <v>0.620213</v>
      </c>
      <c r="J144">
        <f>PasteBBM!AG144*PasteBBM!AH144</f>
        <v>1.97760618</v>
      </c>
      <c r="K144">
        <f>PasteBBM!AG144</f>
        <v>0.640002</v>
      </c>
      <c r="L144">
        <f>PasteBBM!Z144</f>
        <v>0.036901</v>
      </c>
      <c r="M144">
        <f>PasteBBM!Y144</f>
        <v>10.47789</v>
      </c>
      <c r="N144">
        <f>PasteBBM!AA144</f>
        <v>8.593803</v>
      </c>
      <c r="O144">
        <f>PasteBBM!AB144</f>
        <v>1.04169</v>
      </c>
      <c r="P144">
        <f>PasteBBM!AC144</f>
        <v>1.020141</v>
      </c>
      <c r="Q144">
        <f>PasteBBM!AD144</f>
        <v>0.729155</v>
      </c>
      <c r="R144">
        <f>PasteBBM!AI144</f>
        <v>1.230845</v>
      </c>
      <c r="S144">
        <f>PasteBBM!AE144</f>
        <v>0.620213</v>
      </c>
      <c r="T144">
        <f>PasteBBM!AG144</f>
        <v>0.640002</v>
      </c>
      <c r="V144" s="44">
        <v>-0.34901</v>
      </c>
      <c r="W144" s="44">
        <v>0.073166</v>
      </c>
      <c r="X144" s="44">
        <v>-0.37955</v>
      </c>
      <c r="Y144" s="44">
        <v>0.030533</v>
      </c>
      <c r="Z144" s="44">
        <v>0.723007</v>
      </c>
      <c r="AA144" s="45"/>
      <c r="AB144" s="46" t="s">
        <v>48</v>
      </c>
      <c r="AC144" s="44">
        <v>200.0</v>
      </c>
    </row>
    <row r="145">
      <c r="A145" s="2">
        <v>144.0</v>
      </c>
      <c r="B145" s="14">
        <f>IF(PasteBBM!B145="",156,PasteBBM!B145)</f>
        <v>141.8125</v>
      </c>
      <c r="C145" t="str">
        <f>PasteBBM!I145</f>
        <v>Buddy Hield</v>
      </c>
      <c r="D145" t="str">
        <f>IFERROR(REPLACE(PasteBBM!K145,FIND("/",PasteBBM!K145,1),1,","),PasteBBM!K145)</f>
        <v>PG,SG/SF</v>
      </c>
      <c r="E145" t="str">
        <f>PasteBBM!J145</f>
        <v>GSW</v>
      </c>
      <c r="F145">
        <f>PasteBBM!U145</f>
        <v>75</v>
      </c>
      <c r="G145">
        <f>PasteBBM!X145</f>
        <v>24</v>
      </c>
      <c r="H145">
        <f>PasteBBM!AE145*PasteBBM!AF145</f>
        <v>4.351200742</v>
      </c>
      <c r="I145">
        <f>PasteBBM!AE145</f>
        <v>0.433007</v>
      </c>
      <c r="J145">
        <f>PasteBBM!AG145*PasteBBM!AH145</f>
        <v>0.7701337376</v>
      </c>
      <c r="K145">
        <f>PasteBBM!AG145</f>
        <v>0.842966</v>
      </c>
      <c r="L145">
        <f>PasteBBM!Z145</f>
        <v>2.9268</v>
      </c>
      <c r="M145">
        <f>PasteBBM!Y145</f>
        <v>12.39933</v>
      </c>
      <c r="N145">
        <f>PasteBBM!AA145</f>
        <v>3.366</v>
      </c>
      <c r="O145">
        <f>PasteBBM!AB145</f>
        <v>1.484933</v>
      </c>
      <c r="P145">
        <f>PasteBBM!AC145</f>
        <v>0.8964</v>
      </c>
      <c r="Q145">
        <f>PasteBBM!AD145</f>
        <v>0.295867</v>
      </c>
      <c r="R145">
        <f>PasteBBM!AI145</f>
        <v>0.841467</v>
      </c>
      <c r="S145">
        <f>PasteBBM!AE145</f>
        <v>0.433007</v>
      </c>
      <c r="T145">
        <f>PasteBBM!AG145</f>
        <v>0.842966</v>
      </c>
      <c r="V145" s="44">
        <v>-0.35582</v>
      </c>
      <c r="W145" s="44">
        <v>0.00154</v>
      </c>
      <c r="X145" s="44">
        <v>-0.33674</v>
      </c>
      <c r="Y145" s="44">
        <v>-0.01908</v>
      </c>
      <c r="Z145" s="44">
        <v>-0.62441</v>
      </c>
      <c r="AA145" s="45"/>
      <c r="AB145" s="46" t="s">
        <v>746</v>
      </c>
      <c r="AC145" s="44">
        <v>279.0</v>
      </c>
    </row>
    <row r="146">
      <c r="A146" s="2">
        <v>145.0</v>
      </c>
      <c r="B146" s="14">
        <f>IF(PasteBBM!B146="",156,PasteBBM!B146)</f>
        <v>127.8529</v>
      </c>
      <c r="C146" t="str">
        <f>PasteBBM!I146</f>
        <v>Dejounte Murray</v>
      </c>
      <c r="D146" t="str">
        <f>IFERROR(REPLACE(PasteBBM!K146,FIND("/",PasteBBM!K146,1),1,","),PasteBBM!K146)</f>
        <v>PG,SG</v>
      </c>
      <c r="E146" t="str">
        <f>PasteBBM!J146</f>
        <v>NOR</v>
      </c>
      <c r="F146">
        <f>PasteBBM!U146</f>
        <v>25</v>
      </c>
      <c r="G146">
        <f>PasteBBM!X146</f>
        <v>26</v>
      </c>
      <c r="H146">
        <f>PasteBBM!AE146*PasteBBM!AF146</f>
        <v>4.944802582</v>
      </c>
      <c r="I146">
        <f>PasteBBM!AE146</f>
        <v>0.410889</v>
      </c>
      <c r="J146">
        <f>PasteBBM!AG146*PasteBBM!AH146</f>
        <v>2.056800586</v>
      </c>
      <c r="K146">
        <f>PasteBBM!AG146</f>
        <v>0.799938</v>
      </c>
      <c r="L146">
        <f>PasteBBM!Z146</f>
        <v>1.6608</v>
      </c>
      <c r="M146">
        <f>PasteBBM!Y146</f>
        <v>13.6072</v>
      </c>
      <c r="N146">
        <f>PasteBBM!AA146</f>
        <v>5.088</v>
      </c>
      <c r="O146">
        <f>PasteBBM!AB146</f>
        <v>5.0956</v>
      </c>
      <c r="P146">
        <f>PasteBBM!AC146</f>
        <v>1.2036</v>
      </c>
      <c r="Q146">
        <f>PasteBBM!AD146</f>
        <v>0.282</v>
      </c>
      <c r="R146">
        <f>PasteBBM!AI146</f>
        <v>2.1884</v>
      </c>
      <c r="S146">
        <f>PasteBBM!AE146</f>
        <v>0.410889</v>
      </c>
      <c r="T146">
        <f>PasteBBM!AG146</f>
        <v>0.799938</v>
      </c>
      <c r="V146" s="44">
        <v>-0.36764</v>
      </c>
      <c r="W146" s="44">
        <v>0.0064</v>
      </c>
      <c r="X146" s="44">
        <v>0.096437</v>
      </c>
      <c r="Y146" s="44">
        <v>-0.46408</v>
      </c>
      <c r="Z146" s="44">
        <v>1.076124</v>
      </c>
      <c r="AA146" s="45"/>
      <c r="AB146" s="46" t="s">
        <v>221</v>
      </c>
      <c r="AC146" s="44">
        <v>116.0</v>
      </c>
    </row>
    <row r="147">
      <c r="A147" s="2">
        <v>146.0</v>
      </c>
      <c r="B147" s="14">
        <f>IF(PasteBBM!B147="",156,PasteBBM!B147)</f>
        <v>89.4</v>
      </c>
      <c r="C147" t="str">
        <f>PasteBBM!I147</f>
        <v>Anfernee Simons</v>
      </c>
      <c r="D147" t="str">
        <f>IFERROR(REPLACE(PasteBBM!K147,FIND("/",PasteBBM!K147,1),1,","),PasteBBM!K147)</f>
        <v>PG,SG</v>
      </c>
      <c r="E147" t="str">
        <f>PasteBBM!J147</f>
        <v>BOS</v>
      </c>
      <c r="F147">
        <f>PasteBBM!U147</f>
        <v>59</v>
      </c>
      <c r="G147">
        <f>PasteBBM!X147</f>
        <v>31</v>
      </c>
      <c r="H147">
        <f>PasteBBM!AE147*PasteBBM!AF147</f>
        <v>6.638983022</v>
      </c>
      <c r="I147">
        <f>PasteBBM!AE147</f>
        <v>0.426498</v>
      </c>
      <c r="J147">
        <f>PasteBBM!AG147*PasteBBM!AH147</f>
        <v>2.509661453</v>
      </c>
      <c r="K147">
        <f>PasteBBM!AG147</f>
        <v>0.900998</v>
      </c>
      <c r="L147">
        <f>PasteBBM!Z147</f>
        <v>3.236102</v>
      </c>
      <c r="M147">
        <f>PasteBBM!Y147</f>
        <v>19.02373</v>
      </c>
      <c r="N147">
        <f>PasteBBM!AA147</f>
        <v>2.594237</v>
      </c>
      <c r="O147">
        <f>PasteBBM!AB147</f>
        <v>5.188644</v>
      </c>
      <c r="P147">
        <f>PasteBBM!AC147</f>
        <v>0.665254</v>
      </c>
      <c r="Q147">
        <f>PasteBBM!AD147</f>
        <v>0.06661</v>
      </c>
      <c r="R147">
        <f>PasteBBM!AI147</f>
        <v>2.461186</v>
      </c>
      <c r="S147">
        <f>PasteBBM!AE147</f>
        <v>0.426498</v>
      </c>
      <c r="T147">
        <f>PasteBBM!AG147</f>
        <v>0.900998</v>
      </c>
      <c r="V147" s="44">
        <v>-0.37261</v>
      </c>
      <c r="W147" s="44">
        <v>0.174794</v>
      </c>
      <c r="X147" s="44">
        <v>-0.50427</v>
      </c>
      <c r="Y147" s="44">
        <v>0.13166</v>
      </c>
      <c r="Z147" s="44">
        <v>1.568629</v>
      </c>
      <c r="AA147" s="45"/>
      <c r="AB147" s="46" t="s">
        <v>760</v>
      </c>
      <c r="AC147" s="44">
        <v>153.0</v>
      </c>
    </row>
    <row r="148">
      <c r="A148" s="2">
        <v>147.0</v>
      </c>
      <c r="B148" s="14">
        <f>IF(PasteBBM!B148="",156,PasteBBM!B148)</f>
        <v>143.0476</v>
      </c>
      <c r="C148" t="str">
        <f>PasteBBM!I148</f>
        <v>Lonzo Ball</v>
      </c>
      <c r="D148" t="str">
        <f>IFERROR(REPLACE(PasteBBM!K148,FIND("/",PasteBBM!K148,1),1,","),PasteBBM!K148)</f>
        <v>PG</v>
      </c>
      <c r="E148" t="str">
        <f>PasteBBM!J148</f>
        <v>CLE</v>
      </c>
      <c r="F148">
        <f>PasteBBM!U148</f>
        <v>53</v>
      </c>
      <c r="G148">
        <f>PasteBBM!X148</f>
        <v>22</v>
      </c>
      <c r="H148">
        <f>PasteBBM!AE148*PasteBBM!AF148</f>
        <v>2.701134988</v>
      </c>
      <c r="I148">
        <f>PasteBBM!AE148</f>
        <v>0.3839</v>
      </c>
      <c r="J148">
        <f>PasteBBM!AG148*PasteBBM!AH148</f>
        <v>0.5166040132</v>
      </c>
      <c r="K148">
        <f>PasteBBM!AG148</f>
        <v>0.815852</v>
      </c>
      <c r="L148">
        <f>PasteBBM!Z148</f>
        <v>2.001132</v>
      </c>
      <c r="M148">
        <f>PasteBBM!Y148</f>
        <v>7.92</v>
      </c>
      <c r="N148">
        <f>PasteBBM!AA148</f>
        <v>3.42566</v>
      </c>
      <c r="O148">
        <f>PasteBBM!AB148</f>
        <v>3.142453</v>
      </c>
      <c r="P148">
        <f>PasteBBM!AC148</f>
        <v>1.273585</v>
      </c>
      <c r="Q148">
        <f>PasteBBM!AD148</f>
        <v>0.468113</v>
      </c>
      <c r="R148">
        <f>PasteBBM!AI148</f>
        <v>1.064717</v>
      </c>
      <c r="S148">
        <f>PasteBBM!AE148</f>
        <v>0.3839</v>
      </c>
      <c r="T148">
        <f>PasteBBM!AG148</f>
        <v>0.815852</v>
      </c>
      <c r="V148" s="44">
        <v>-0.38188</v>
      </c>
      <c r="W148" s="44">
        <v>-7.1E-4</v>
      </c>
      <c r="X148" s="44">
        <v>-0.44987</v>
      </c>
      <c r="Y148" s="44">
        <v>0.067993</v>
      </c>
      <c r="Z148" s="44">
        <v>0.88098</v>
      </c>
      <c r="AA148" s="45"/>
      <c r="AB148" s="46" t="s">
        <v>767</v>
      </c>
      <c r="AC148" s="44">
        <v>203.0</v>
      </c>
    </row>
    <row r="149">
      <c r="A149" s="2">
        <v>148.0</v>
      </c>
      <c r="B149" s="14">
        <f>IF(PasteBBM!B149="",156,PasteBBM!B149)</f>
        <v>145.5</v>
      </c>
      <c r="C149" t="str">
        <f>PasteBBM!I149</f>
        <v>Luguentz Dort</v>
      </c>
      <c r="D149" t="str">
        <f>IFERROR(REPLACE(PasteBBM!K149,FIND("/",PasteBBM!K149,1),1,","),PasteBBM!K149)</f>
        <v>SF,PF</v>
      </c>
      <c r="E149" t="str">
        <f>PasteBBM!J149</f>
        <v>OKC</v>
      </c>
      <c r="F149">
        <f>PasteBBM!U149</f>
        <v>71</v>
      </c>
      <c r="G149">
        <f>PasteBBM!X149</f>
        <v>29</v>
      </c>
      <c r="H149">
        <f>PasteBBM!AE149*PasteBBM!AF149</f>
        <v>3.375778333</v>
      </c>
      <c r="I149">
        <f>PasteBBM!AE149</f>
        <v>0.421364</v>
      </c>
      <c r="J149">
        <f>PasteBBM!AG149*PasteBBM!AH149</f>
        <v>0.4118309749</v>
      </c>
      <c r="K149">
        <f>PasteBBM!AG149</f>
        <v>0.744968</v>
      </c>
      <c r="L149">
        <f>PasteBBM!Z149</f>
        <v>2.292535</v>
      </c>
      <c r="M149">
        <f>PasteBBM!Y149</f>
        <v>9.455915</v>
      </c>
      <c r="N149">
        <f>PasteBBM!AA149</f>
        <v>3.943944</v>
      </c>
      <c r="O149">
        <f>PasteBBM!AB149</f>
        <v>1.417324</v>
      </c>
      <c r="P149">
        <f>PasteBBM!AC149</f>
        <v>1.099437</v>
      </c>
      <c r="Q149">
        <f>PasteBBM!AD149</f>
        <v>0.495915</v>
      </c>
      <c r="R149">
        <f>PasteBBM!AI149</f>
        <v>0.80507</v>
      </c>
      <c r="S149">
        <f>PasteBBM!AE149</f>
        <v>0.421364</v>
      </c>
      <c r="T149">
        <f>PasteBBM!AG149</f>
        <v>0.744968</v>
      </c>
      <c r="V149" s="44">
        <v>-0.38419</v>
      </c>
      <c r="W149" s="44">
        <v>-0.00472</v>
      </c>
      <c r="X149" s="44">
        <v>-0.473</v>
      </c>
      <c r="Y149" s="44">
        <v>0.088814</v>
      </c>
      <c r="Z149" s="44">
        <v>1.568629</v>
      </c>
      <c r="AA149" s="45"/>
      <c r="AB149" s="46" t="s">
        <v>771</v>
      </c>
      <c r="AC149" s="44">
        <v>133.0</v>
      </c>
    </row>
    <row r="150">
      <c r="A150" s="2">
        <v>149.0</v>
      </c>
      <c r="B150" s="14">
        <f>IF(PasteBBM!B150="",156,PasteBBM!B150)</f>
        <v>144.5</v>
      </c>
      <c r="C150" t="str">
        <f>PasteBBM!I150</f>
        <v>Gary Trent</v>
      </c>
      <c r="D150" t="str">
        <f>IFERROR(REPLACE(PasteBBM!K150,FIND("/",PasteBBM!K150,1),1,","),PasteBBM!K150)</f>
        <v>SG,SF</v>
      </c>
      <c r="E150" t="str">
        <f>PasteBBM!J150</f>
        <v>MIL</v>
      </c>
      <c r="F150">
        <f>PasteBBM!U150</f>
        <v>71</v>
      </c>
      <c r="G150">
        <f>PasteBBM!X150</f>
        <v>29</v>
      </c>
      <c r="H150">
        <f>PasteBBM!AE150*PasteBBM!AF150</f>
        <v>4.100421332</v>
      </c>
      <c r="I150">
        <f>PasteBBM!AE150</f>
        <v>0.430742</v>
      </c>
      <c r="J150">
        <f>PasteBBM!AG150*PasteBBM!AH150</f>
        <v>1.591548847</v>
      </c>
      <c r="K150">
        <f>PasteBBM!AG150</f>
        <v>0.835984</v>
      </c>
      <c r="L150">
        <f>PasteBBM!Z150</f>
        <v>2.481831</v>
      </c>
      <c r="M150">
        <f>PasteBBM!Y150</f>
        <v>12.27423</v>
      </c>
      <c r="N150">
        <f>PasteBBM!AA150</f>
        <v>2.623944</v>
      </c>
      <c r="O150">
        <f>PasteBBM!AB150</f>
        <v>1.550563</v>
      </c>
      <c r="P150">
        <f>PasteBBM!AC150</f>
        <v>1.105634</v>
      </c>
      <c r="Q150">
        <f>PasteBBM!AD150</f>
        <v>0.060704</v>
      </c>
      <c r="R150">
        <f>PasteBBM!AI150</f>
        <v>0.608028</v>
      </c>
      <c r="S150">
        <f>PasteBBM!AE150</f>
        <v>0.430742</v>
      </c>
      <c r="T150">
        <f>PasteBBM!AG150</f>
        <v>0.835984</v>
      </c>
      <c r="V150" s="44">
        <v>-0.38425</v>
      </c>
      <c r="W150" s="44">
        <v>-0.00178</v>
      </c>
      <c r="X150" s="44">
        <v>-0.42723</v>
      </c>
      <c r="Y150" s="44">
        <v>0.042983</v>
      </c>
      <c r="Z150" s="44">
        <v>-1.81386</v>
      </c>
      <c r="AA150" s="45"/>
      <c r="AB150" s="46" t="s">
        <v>780</v>
      </c>
      <c r="AC150" s="44">
        <v>195.0</v>
      </c>
    </row>
    <row r="151">
      <c r="A151" s="2">
        <v>150.0</v>
      </c>
      <c r="B151" s="14">
        <f>IF(PasteBBM!B151="",156,PasteBBM!B151)</f>
        <v>96.81429</v>
      </c>
      <c r="C151" t="str">
        <f>PasteBBM!I151</f>
        <v>Bennedict Mathurin</v>
      </c>
      <c r="D151" t="str">
        <f>IFERROR(REPLACE(PasteBBM!K151,FIND("/",PasteBBM!K151,1),1,","),PasteBBM!K151)</f>
        <v>SG,SF</v>
      </c>
      <c r="E151" t="str">
        <f>PasteBBM!J151</f>
        <v>IND</v>
      </c>
      <c r="F151">
        <f>PasteBBM!U151</f>
        <v>66</v>
      </c>
      <c r="G151">
        <f>PasteBBM!X151</f>
        <v>32</v>
      </c>
      <c r="H151">
        <f>PasteBBM!AE151*PasteBBM!AF151</f>
        <v>6.133791718</v>
      </c>
      <c r="I151">
        <f>PasteBBM!AE151</f>
        <v>0.450969</v>
      </c>
      <c r="J151">
        <f>PasteBBM!AG151*PasteBBM!AH151</f>
        <v>5.590152537</v>
      </c>
      <c r="K151">
        <f>PasteBBM!AG151</f>
        <v>0.822008</v>
      </c>
      <c r="L151">
        <f>PasteBBM!Z151</f>
        <v>1.623333</v>
      </c>
      <c r="M151">
        <f>PasteBBM!Y151</f>
        <v>19.48106</v>
      </c>
      <c r="N151">
        <f>PasteBBM!AA151</f>
        <v>5.453939</v>
      </c>
      <c r="O151">
        <f>PasteBBM!AB151</f>
        <v>2.558636</v>
      </c>
      <c r="P151">
        <f>PasteBBM!AC151</f>
        <v>0.758939</v>
      </c>
      <c r="Q151">
        <f>PasteBBM!AD151</f>
        <v>0.331212</v>
      </c>
      <c r="R151">
        <f>PasteBBM!AI151</f>
        <v>2.154697</v>
      </c>
      <c r="S151">
        <f>PasteBBM!AE151</f>
        <v>0.450969</v>
      </c>
      <c r="T151">
        <f>PasteBBM!AG151</f>
        <v>0.822008</v>
      </c>
      <c r="V151" s="44">
        <v>-0.38431</v>
      </c>
      <c r="W151" s="44">
        <v>-0.00275</v>
      </c>
      <c r="X151" s="44">
        <v>-0.45623</v>
      </c>
      <c r="Y151" s="44">
        <v>0.071929</v>
      </c>
      <c r="Z151" s="44">
        <v>1.16905</v>
      </c>
      <c r="AA151" s="45"/>
      <c r="AB151" s="46" t="s">
        <v>207</v>
      </c>
      <c r="AC151" s="44">
        <v>173.0</v>
      </c>
    </row>
    <row r="152">
      <c r="A152" s="2">
        <v>151.0</v>
      </c>
      <c r="B152" s="14">
        <f>IF(PasteBBM!B152="",156,PasteBBM!B152)</f>
        <v>140.9286</v>
      </c>
      <c r="C152" t="str">
        <f>PasteBBM!I152</f>
        <v>Keon Ellis</v>
      </c>
      <c r="D152" t="str">
        <f>IFERROR(REPLACE(PasteBBM!K152,FIND("/",PasteBBM!K152,1),1,","),PasteBBM!K152)</f>
        <v>PG,SG</v>
      </c>
      <c r="E152" t="str">
        <f>PasteBBM!J152</f>
        <v>SAC</v>
      </c>
      <c r="F152">
        <f>PasteBBM!U152</f>
        <v>71</v>
      </c>
      <c r="G152">
        <f>PasteBBM!X152</f>
        <v>23</v>
      </c>
      <c r="H152">
        <f>PasteBBM!AE152*PasteBBM!AF152</f>
        <v>2.143804437</v>
      </c>
      <c r="I152">
        <f>PasteBBM!AE152</f>
        <v>0.443451</v>
      </c>
      <c r="J152">
        <f>PasteBBM!AG152*PasteBBM!AH152</f>
        <v>0.6090138146</v>
      </c>
      <c r="K152">
        <f>PasteBBM!AG152</f>
        <v>0.818939</v>
      </c>
      <c r="L152">
        <f>PasteBBM!Z152</f>
        <v>1.418592</v>
      </c>
      <c r="M152">
        <f>PasteBBM!Y152</f>
        <v>6.315211</v>
      </c>
      <c r="N152">
        <f>PasteBBM!AA152</f>
        <v>2.509859</v>
      </c>
      <c r="O152">
        <f>PasteBBM!AB152</f>
        <v>1.400423</v>
      </c>
      <c r="P152">
        <f>PasteBBM!AC152</f>
        <v>1.394366</v>
      </c>
      <c r="Q152">
        <f>PasteBBM!AD152</f>
        <v>0.707746</v>
      </c>
      <c r="R152">
        <f>PasteBBM!AI152</f>
        <v>0.743662</v>
      </c>
      <c r="S152">
        <f>PasteBBM!AE152</f>
        <v>0.443451</v>
      </c>
      <c r="T152">
        <f>PasteBBM!AG152</f>
        <v>0.818939</v>
      </c>
      <c r="V152" s="44">
        <v>-0.38639</v>
      </c>
      <c r="W152" s="44">
        <v>-0.00575</v>
      </c>
      <c r="X152" s="44">
        <v>-0.16729</v>
      </c>
      <c r="Y152" s="44">
        <v>-0.2191</v>
      </c>
      <c r="Z152" s="44">
        <v>-0.87531</v>
      </c>
      <c r="AA152" s="45"/>
      <c r="AB152" s="46" t="s">
        <v>129</v>
      </c>
      <c r="AC152" s="44">
        <v>89.0</v>
      </c>
    </row>
    <row r="153">
      <c r="A153" s="2">
        <v>152.0</v>
      </c>
      <c r="B153" s="14">
        <f>IF(PasteBBM!B153="",156,PasteBBM!B153)</f>
        <v>143.125</v>
      </c>
      <c r="C153" t="str">
        <f>PasteBBM!I153</f>
        <v>Obi Toppin</v>
      </c>
      <c r="D153" t="str">
        <f>IFERROR(REPLACE(PasteBBM!K153,FIND("/",PasteBBM!K153,1),1,","),PasteBBM!K153)</f>
        <v>PF</v>
      </c>
      <c r="E153" t="str">
        <f>PasteBBM!J153</f>
        <v>IND</v>
      </c>
      <c r="F153">
        <f>PasteBBM!U153</f>
        <v>75</v>
      </c>
      <c r="G153">
        <f>PasteBBM!X153</f>
        <v>24</v>
      </c>
      <c r="H153">
        <f>PasteBBM!AE153*PasteBBM!AF153</f>
        <v>5.064136323</v>
      </c>
      <c r="I153">
        <f>PasteBBM!AE153</f>
        <v>0.52232</v>
      </c>
      <c r="J153">
        <f>PasteBBM!AG153*PasteBBM!AH153</f>
        <v>1.547733776</v>
      </c>
      <c r="K153">
        <f>PasteBBM!AG153</f>
        <v>0.76198</v>
      </c>
      <c r="L153">
        <f>PasteBBM!Z153</f>
        <v>1.7592</v>
      </c>
      <c r="M153">
        <f>PasteBBM!Y153</f>
        <v>13.4352</v>
      </c>
      <c r="N153">
        <f>PasteBBM!AA153</f>
        <v>5.05</v>
      </c>
      <c r="O153">
        <f>PasteBBM!AB153</f>
        <v>2.373467</v>
      </c>
      <c r="P153">
        <f>PasteBBM!AC153</f>
        <v>0.555467</v>
      </c>
      <c r="Q153">
        <f>PasteBBM!AD153</f>
        <v>0.4468</v>
      </c>
      <c r="R153">
        <f>PasteBBM!AI153</f>
        <v>1.312933</v>
      </c>
      <c r="S153">
        <f>PasteBBM!AE153</f>
        <v>0.52232</v>
      </c>
      <c r="T153">
        <f>PasteBBM!AG153</f>
        <v>0.76198</v>
      </c>
      <c r="V153" s="44">
        <v>-0.38708</v>
      </c>
      <c r="W153" s="44">
        <v>-0.00168</v>
      </c>
      <c r="X153" s="44">
        <v>-0.43156</v>
      </c>
      <c r="Y153" s="44">
        <v>0.04448</v>
      </c>
      <c r="Z153" s="44">
        <v>0.7323</v>
      </c>
      <c r="AA153" s="45"/>
      <c r="AB153" s="46" t="s">
        <v>801</v>
      </c>
      <c r="AC153" s="44">
        <v>217.0</v>
      </c>
    </row>
    <row r="154">
      <c r="A154" s="2">
        <v>153.0</v>
      </c>
      <c r="B154" s="14">
        <f>IF(PasteBBM!B154="",156,PasteBBM!B154)</f>
        <v>133.4154</v>
      </c>
      <c r="C154" t="str">
        <f>PasteBBM!I154</f>
        <v>Zaccharie Risacher</v>
      </c>
      <c r="D154" t="str">
        <f>IFERROR(REPLACE(PasteBBM!K154,FIND("/",PasteBBM!K154,1),1,","),PasteBBM!K154)</f>
        <v>SF</v>
      </c>
      <c r="E154" t="str">
        <f>PasteBBM!J154</f>
        <v>ATL</v>
      </c>
      <c r="F154">
        <f>PasteBBM!U154</f>
        <v>75</v>
      </c>
      <c r="G154">
        <f>PasteBBM!X154</f>
        <v>30</v>
      </c>
      <c r="H154">
        <f>PasteBBM!AE154*PasteBBM!AF154</f>
        <v>6.458266236</v>
      </c>
      <c r="I154">
        <f>PasteBBM!AE154</f>
        <v>0.499268</v>
      </c>
      <c r="J154">
        <f>PasteBBM!AG154*PasteBBM!AH154</f>
        <v>1.619599097</v>
      </c>
      <c r="K154">
        <f>PasteBBM!AG154</f>
        <v>0.682991</v>
      </c>
      <c r="L154">
        <f>PasteBBM!Z154</f>
        <v>2.316267</v>
      </c>
      <c r="M154">
        <f>PasteBBM!Y154</f>
        <v>16.8524</v>
      </c>
      <c r="N154">
        <f>PasteBBM!AA154</f>
        <v>3.9</v>
      </c>
      <c r="O154">
        <f>PasteBBM!AB154</f>
        <v>1.5372</v>
      </c>
      <c r="P154">
        <f>PasteBBM!AC154</f>
        <v>0.788667</v>
      </c>
      <c r="Q154">
        <f>PasteBBM!AD154</f>
        <v>0.454933</v>
      </c>
      <c r="R154">
        <f>PasteBBM!AI154</f>
        <v>1.364933</v>
      </c>
      <c r="S154">
        <f>PasteBBM!AE154</f>
        <v>0.499268</v>
      </c>
      <c r="T154">
        <f>PasteBBM!AG154</f>
        <v>0.682991</v>
      </c>
      <c r="V154" s="44">
        <v>-0.38759</v>
      </c>
      <c r="W154" s="44">
        <v>-0.04813</v>
      </c>
      <c r="X154" s="44">
        <v>-0.41536</v>
      </c>
      <c r="Y154" s="44">
        <v>0.027765</v>
      </c>
      <c r="Z154" s="44">
        <v>0.499986</v>
      </c>
      <c r="AA154" s="45"/>
      <c r="AB154" s="46" t="s">
        <v>184</v>
      </c>
      <c r="AC154" s="44">
        <v>162.0</v>
      </c>
    </row>
    <row r="155">
      <c r="A155" s="2">
        <v>154.0</v>
      </c>
      <c r="B155" s="14">
        <f>IF(PasteBBM!B155="",156,PasteBBM!B155)</f>
        <v>102</v>
      </c>
      <c r="C155" t="str">
        <f>PasteBBM!I155</f>
        <v>C.J. McCollum</v>
      </c>
      <c r="D155" t="str">
        <f>IFERROR(REPLACE(PasteBBM!K155,FIND("/",PasteBBM!K155,1),1,","),PasteBBM!K155)</f>
        <v>PG,SG</v>
      </c>
      <c r="E155" t="str">
        <f>PasteBBM!J155</f>
        <v>WAS</v>
      </c>
      <c r="F155">
        <f>PasteBBM!U155</f>
        <v>55</v>
      </c>
      <c r="G155">
        <f>PasteBBM!X155</f>
        <v>30</v>
      </c>
      <c r="H155">
        <f>PasteBBM!AE155*PasteBBM!AF155</f>
        <v>7.048723514</v>
      </c>
      <c r="I155">
        <f>PasteBBM!AE155</f>
        <v>0.437992</v>
      </c>
      <c r="J155">
        <f>PasteBBM!AG155*PasteBBM!AH155</f>
        <v>2.478361853</v>
      </c>
      <c r="K155">
        <f>PasteBBM!AG155</f>
        <v>0.769982</v>
      </c>
      <c r="L155">
        <f>PasteBBM!Z155</f>
        <v>2.874364</v>
      </c>
      <c r="M155">
        <f>PasteBBM!Y155</f>
        <v>19.45018</v>
      </c>
      <c r="N155">
        <f>PasteBBM!AA155</f>
        <v>3.862545</v>
      </c>
      <c r="O155">
        <f>PasteBBM!AB155</f>
        <v>4.699455</v>
      </c>
      <c r="P155">
        <f>PasteBBM!AC155</f>
        <v>0.694727</v>
      </c>
      <c r="Q155">
        <f>PasteBBM!AD155</f>
        <v>0.391273</v>
      </c>
      <c r="R155">
        <f>PasteBBM!AI155</f>
        <v>2.381818</v>
      </c>
      <c r="S155">
        <f>PasteBBM!AE155</f>
        <v>0.437992</v>
      </c>
      <c r="T155">
        <f>PasteBBM!AG155</f>
        <v>0.769982</v>
      </c>
      <c r="V155" s="44">
        <v>-0.39331</v>
      </c>
      <c r="W155" s="44">
        <v>0.18038</v>
      </c>
      <c r="X155" s="44">
        <v>-0.39187</v>
      </c>
      <c r="Y155" s="44">
        <v>-0.00144</v>
      </c>
      <c r="Z155" s="44">
        <v>0.360598</v>
      </c>
      <c r="AA155" s="45"/>
      <c r="AB155" s="46" t="s">
        <v>814</v>
      </c>
      <c r="AC155" s="44">
        <v>277.0</v>
      </c>
    </row>
    <row r="156">
      <c r="A156" s="2">
        <v>155.0</v>
      </c>
      <c r="B156" s="14">
        <f>IF(PasteBBM!B156="",156,PasteBBM!B156)</f>
        <v>152</v>
      </c>
      <c r="C156" t="str">
        <f>PasteBBM!I156</f>
        <v>Ryan Dunn</v>
      </c>
      <c r="D156" t="str">
        <f>IFERROR(REPLACE(PasteBBM!K156,FIND("/",PasteBBM!K156,1),1,","),PasteBBM!K156)</f>
        <v>SF,PF</v>
      </c>
      <c r="E156" t="str">
        <f>PasteBBM!J156</f>
        <v>PHO</v>
      </c>
      <c r="F156">
        <f>PasteBBM!U156</f>
        <v>71</v>
      </c>
      <c r="G156">
        <f>PasteBBM!X156</f>
        <v>27</v>
      </c>
      <c r="H156">
        <f>PasteBBM!AE156*PasteBBM!AF156</f>
        <v>3.880985987</v>
      </c>
      <c r="I156">
        <f>PasteBBM!AE156</f>
        <v>0.393761</v>
      </c>
      <c r="J156">
        <f>PasteBBM!AG156*PasteBBM!AH156</f>
        <v>0.6139435295</v>
      </c>
      <c r="K156">
        <f>PasteBBM!AG156</f>
        <v>0.519052</v>
      </c>
      <c r="L156">
        <f>PasteBBM!Z156</f>
        <v>1.85169</v>
      </c>
      <c r="M156">
        <f>PasteBBM!Y156</f>
        <v>10.22761</v>
      </c>
      <c r="N156">
        <f>PasteBBM!AA156</f>
        <v>5.958592</v>
      </c>
      <c r="O156">
        <f>PasteBBM!AB156</f>
        <v>0.890986</v>
      </c>
      <c r="P156">
        <f>PasteBBM!AC156</f>
        <v>1.336479</v>
      </c>
      <c r="Q156">
        <f>PasteBBM!AD156</f>
        <v>0.703521</v>
      </c>
      <c r="R156">
        <f>PasteBBM!AI156</f>
        <v>0.760845</v>
      </c>
      <c r="S156">
        <f>PasteBBM!AE156</f>
        <v>0.393761</v>
      </c>
      <c r="T156">
        <f>PasteBBM!AG156</f>
        <v>0.519052</v>
      </c>
      <c r="V156" s="44">
        <v>-0.39529</v>
      </c>
      <c r="W156" s="44">
        <v>0.042087</v>
      </c>
      <c r="X156" s="44">
        <v>-0.4993</v>
      </c>
      <c r="Y156" s="44">
        <v>0.104013</v>
      </c>
      <c r="Z156" s="44">
        <v>0.221209</v>
      </c>
      <c r="AA156" s="45"/>
      <c r="AB156" s="46" t="s">
        <v>61</v>
      </c>
      <c r="AC156" s="44">
        <v>230.0</v>
      </c>
    </row>
    <row r="157">
      <c r="A157" s="2">
        <v>156.0</v>
      </c>
      <c r="B157" s="14">
        <f>IF(PasteBBM!B157="",156,PasteBBM!B157)</f>
        <v>148.75</v>
      </c>
      <c r="C157" t="str">
        <f>PasteBBM!I157</f>
        <v>Kentavious Caldwell-Pope</v>
      </c>
      <c r="D157" t="str">
        <f>IFERROR(REPLACE(PasteBBM!K157,FIND("/",PasteBBM!K157,1),1,","),PasteBBM!K157)</f>
        <v>SG,SF</v>
      </c>
      <c r="E157" t="str">
        <f>PasteBBM!J157</f>
        <v>MEM</v>
      </c>
      <c r="F157">
        <f>PasteBBM!U157</f>
        <v>75</v>
      </c>
      <c r="G157">
        <f>PasteBBM!X157</f>
        <v>28</v>
      </c>
      <c r="H157">
        <f>PasteBBM!AE157*PasteBBM!AF157</f>
        <v>3.206800612</v>
      </c>
      <c r="I157">
        <f>PasteBBM!AE157</f>
        <v>0.436339</v>
      </c>
      <c r="J157">
        <f>PasteBBM!AG157*PasteBBM!AH157</f>
        <v>1.1439996</v>
      </c>
      <c r="K157">
        <f>PasteBBM!AG157</f>
        <v>0.870006</v>
      </c>
      <c r="L157">
        <f>PasteBBM!Z157</f>
        <v>1.853333</v>
      </c>
      <c r="M157">
        <f>PasteBBM!Y157</f>
        <v>9.410933</v>
      </c>
      <c r="N157">
        <f>PasteBBM!AA157</f>
        <v>2.695067</v>
      </c>
      <c r="O157">
        <f>PasteBBM!AB157</f>
        <v>1.8988</v>
      </c>
      <c r="P157">
        <f>PasteBBM!AC157</f>
        <v>1.159467</v>
      </c>
      <c r="Q157">
        <f>PasteBBM!AD157</f>
        <v>0.3684</v>
      </c>
      <c r="R157">
        <f>PasteBBM!AI157</f>
        <v>0.797867</v>
      </c>
      <c r="S157">
        <f>PasteBBM!AE157</f>
        <v>0.436339</v>
      </c>
      <c r="T157">
        <f>PasteBBM!AG157</f>
        <v>0.870006</v>
      </c>
      <c r="V157" s="44">
        <v>-0.39837</v>
      </c>
      <c r="W157" s="44">
        <v>-0.0097</v>
      </c>
      <c r="X157" s="44">
        <v>-0.46927</v>
      </c>
      <c r="Y157" s="44">
        <v>0.070895</v>
      </c>
      <c r="Z157" s="44">
        <v>-0.0204</v>
      </c>
      <c r="AA157" s="45"/>
      <c r="AB157" s="46" t="s">
        <v>828</v>
      </c>
      <c r="AC157" s="44">
        <v>270.0</v>
      </c>
    </row>
    <row r="158">
      <c r="A158" s="2">
        <v>157.0</v>
      </c>
      <c r="B158" s="14">
        <f>IF(PasteBBM!B158="",156,PasteBBM!B158)</f>
        <v>154</v>
      </c>
      <c r="C158" t="str">
        <f>PasteBBM!I158</f>
        <v>Goga Bitadze</v>
      </c>
      <c r="D158" t="str">
        <f>IFERROR(REPLACE(PasteBBM!K158,FIND("/",PasteBBM!K158,1),1,","),PasteBBM!K158)</f>
        <v>C</v>
      </c>
      <c r="E158" t="str">
        <f>PasteBBM!J158</f>
        <v>ORL</v>
      </c>
      <c r="F158">
        <f>PasteBBM!U158</f>
        <v>66</v>
      </c>
      <c r="G158">
        <f>PasteBBM!X158</f>
        <v>21</v>
      </c>
      <c r="H158">
        <f>PasteBBM!AE158*PasteBBM!AF158</f>
        <v>2.909092248</v>
      </c>
      <c r="I158">
        <f>PasteBBM!AE158</f>
        <v>0.600413</v>
      </c>
      <c r="J158">
        <f>PasteBBM!AG158*PasteBBM!AH158</f>
        <v>1.314545406</v>
      </c>
      <c r="K158">
        <f>PasteBBM!AG158</f>
        <v>0.670013</v>
      </c>
      <c r="L158">
        <f>PasteBBM!Z158</f>
        <v>0.103788</v>
      </c>
      <c r="M158">
        <f>PasteBBM!Y158</f>
        <v>7.236515</v>
      </c>
      <c r="N158">
        <f>PasteBBM!AA158</f>
        <v>6.431212</v>
      </c>
      <c r="O158">
        <f>PasteBBM!AB158</f>
        <v>1.715</v>
      </c>
      <c r="P158">
        <f>PasteBBM!AC158</f>
        <v>0.723636</v>
      </c>
      <c r="Q158">
        <f>PasteBBM!AD158</f>
        <v>1.329091</v>
      </c>
      <c r="R158">
        <f>PasteBBM!AI158</f>
        <v>0.900303</v>
      </c>
      <c r="S158">
        <f>PasteBBM!AE158</f>
        <v>0.600413</v>
      </c>
      <c r="T158">
        <f>PasteBBM!AG158</f>
        <v>0.670013</v>
      </c>
      <c r="V158" s="44">
        <v>-0.40117</v>
      </c>
      <c r="W158" s="44">
        <v>-0.0057</v>
      </c>
      <c r="X158" s="44">
        <v>-0.34158</v>
      </c>
      <c r="Y158" s="44">
        <v>-0.05959</v>
      </c>
      <c r="Z158" s="44">
        <v>-2.57585</v>
      </c>
      <c r="AA158" s="45"/>
      <c r="AB158" s="46" t="s">
        <v>833</v>
      </c>
      <c r="AC158" s="44">
        <v>194.0</v>
      </c>
    </row>
    <row r="159">
      <c r="A159" s="2">
        <v>158.0</v>
      </c>
      <c r="B159" s="14">
        <f>IF(PasteBBM!B159="",156,PasteBBM!B159)</f>
        <v>156</v>
      </c>
      <c r="C159" t="str">
        <f>PasteBBM!I159</f>
        <v>Caris LeVert</v>
      </c>
      <c r="D159" t="str">
        <f>IFERROR(REPLACE(PasteBBM!K159,FIND("/",PasteBBM!K159,1),1,","),PasteBBM!K159)</f>
        <v>SG,SF</v>
      </c>
      <c r="E159" t="str">
        <f>PasteBBM!J159</f>
        <v>DET</v>
      </c>
      <c r="F159">
        <f>PasteBBM!U159</f>
        <v>66</v>
      </c>
      <c r="G159">
        <f>PasteBBM!X159</f>
        <v>28</v>
      </c>
      <c r="H159">
        <f>PasteBBM!AE159*PasteBBM!AF159</f>
        <v>4.755608552</v>
      </c>
      <c r="I159">
        <f>PasteBBM!AE159</f>
        <v>0.448405</v>
      </c>
      <c r="J159">
        <f>PasteBBM!AG159*PasteBBM!AH159</f>
        <v>1.909394665</v>
      </c>
      <c r="K159">
        <f>PasteBBM!AG159</f>
        <v>0.732973</v>
      </c>
      <c r="L159">
        <f>PasteBBM!Z159</f>
        <v>1.781667</v>
      </c>
      <c r="M159">
        <f>PasteBBM!Y159</f>
        <v>13.20227</v>
      </c>
      <c r="N159">
        <f>PasteBBM!AA159</f>
        <v>3.711818</v>
      </c>
      <c r="O159">
        <f>PasteBBM!AB159</f>
        <v>3.181515</v>
      </c>
      <c r="P159">
        <f>PasteBBM!AC159</f>
        <v>1.015758</v>
      </c>
      <c r="Q159">
        <f>PasteBBM!AD159</f>
        <v>0.412424</v>
      </c>
      <c r="R159">
        <f>PasteBBM!AI159</f>
        <v>1.178333</v>
      </c>
      <c r="S159">
        <f>PasteBBM!AE159</f>
        <v>0.448405</v>
      </c>
      <c r="T159">
        <f>PasteBBM!AG159</f>
        <v>0.732973</v>
      </c>
      <c r="V159" s="44">
        <v>-0.40307</v>
      </c>
      <c r="W159" s="44">
        <v>-0.06258</v>
      </c>
      <c r="X159" s="44">
        <v>-0.29533</v>
      </c>
      <c r="Y159" s="44">
        <v>-0.10774</v>
      </c>
      <c r="Z159" s="44">
        <v>1.475704</v>
      </c>
      <c r="AA159" s="45"/>
      <c r="AB159" s="46" t="s">
        <v>840</v>
      </c>
      <c r="AC159" s="44">
        <v>123.0</v>
      </c>
    </row>
    <row r="160">
      <c r="A160" s="2">
        <v>159.0</v>
      </c>
      <c r="B160" s="14">
        <f>IF(PasteBBM!B160="",156,PasteBBM!B160)</f>
        <v>144.5789</v>
      </c>
      <c r="C160" t="str">
        <f>PasteBBM!I160</f>
        <v>Adem Bona</v>
      </c>
      <c r="D160" t="str">
        <f>IFERROR(REPLACE(PasteBBM!K160,FIND("/",PasteBBM!K160,1),1,","),PasteBBM!K160)</f>
        <v>C</v>
      </c>
      <c r="E160" t="str">
        <f>PasteBBM!J160</f>
        <v>PHI</v>
      </c>
      <c r="F160">
        <f>PasteBBM!U160</f>
        <v>64</v>
      </c>
      <c r="G160">
        <f>PasteBBM!X160</f>
        <v>22</v>
      </c>
      <c r="H160">
        <f>PasteBBM!AE160*PasteBBM!AF160</f>
        <v>3.466719548</v>
      </c>
      <c r="I160">
        <f>PasteBBM!AE160</f>
        <v>0.713615</v>
      </c>
      <c r="J160">
        <f>PasteBBM!AG160*PasteBBM!AH160</f>
        <v>1.302031306</v>
      </c>
      <c r="K160">
        <f>PasteBBM!AG160</f>
        <v>0.670017</v>
      </c>
      <c r="L160">
        <f>PasteBBM!Z160</f>
        <v>0.008281</v>
      </c>
      <c r="M160">
        <f>PasteBBM!Y160</f>
        <v>8.24375</v>
      </c>
      <c r="N160">
        <f>PasteBBM!AA160</f>
        <v>6.004219</v>
      </c>
      <c r="O160">
        <f>PasteBBM!AB160</f>
        <v>0.626094</v>
      </c>
      <c r="P160">
        <f>PasteBBM!AC160</f>
        <v>0.635938</v>
      </c>
      <c r="Q160">
        <f>PasteBBM!AD160</f>
        <v>1.750625</v>
      </c>
      <c r="R160">
        <f>PasteBBM!AI160</f>
        <v>1.519219</v>
      </c>
      <c r="S160">
        <f>PasteBBM!AE160</f>
        <v>0.713615</v>
      </c>
      <c r="T160">
        <f>PasteBBM!AG160</f>
        <v>0.670017</v>
      </c>
      <c r="V160" s="44">
        <v>-0.4041</v>
      </c>
      <c r="W160" s="44">
        <v>0.008261</v>
      </c>
      <c r="X160" s="44">
        <v>-0.50475</v>
      </c>
      <c r="Y160" s="44">
        <v>0.100655</v>
      </c>
      <c r="Z160" s="44">
        <v>1.540752</v>
      </c>
      <c r="AA160" s="45"/>
      <c r="AB160" s="46" t="s">
        <v>847</v>
      </c>
      <c r="AC160" s="44">
        <v>167.0</v>
      </c>
    </row>
    <row r="161">
      <c r="A161" s="2">
        <v>160.0</v>
      </c>
      <c r="B161" s="14">
        <f>IF(PasteBBM!B161="",156,PasteBBM!B161)</f>
        <v>135.4286</v>
      </c>
      <c r="C161" t="str">
        <f>PasteBBM!I161</f>
        <v>Jay Huff</v>
      </c>
      <c r="D161" t="str">
        <f>IFERROR(REPLACE(PasteBBM!K161,FIND("/",PasteBBM!K161,1),1,","),PasteBBM!K161)</f>
        <v>C</v>
      </c>
      <c r="E161" t="str">
        <f>PasteBBM!J161</f>
        <v>IND</v>
      </c>
      <c r="F161">
        <f>PasteBBM!U161</f>
        <v>66</v>
      </c>
      <c r="G161">
        <f>PasteBBM!X161</f>
        <v>22</v>
      </c>
      <c r="H161">
        <f>PasteBBM!AE161*PasteBBM!AF161</f>
        <v>3.453787098</v>
      </c>
      <c r="I161">
        <f>PasteBBM!AE161</f>
        <v>0.490806</v>
      </c>
      <c r="J161">
        <f>PasteBBM!AG161*PasteBBM!AH161</f>
        <v>0.7536362375</v>
      </c>
      <c r="K161">
        <f>PasteBBM!AG161</f>
        <v>0.823919</v>
      </c>
      <c r="L161">
        <f>PasteBBM!Z161</f>
        <v>1.536667</v>
      </c>
      <c r="M161">
        <f>PasteBBM!Y161</f>
        <v>9.197879</v>
      </c>
      <c r="N161">
        <f>PasteBBM!AA161</f>
        <v>4.443939</v>
      </c>
      <c r="O161">
        <f>PasteBBM!AB161</f>
        <v>1.018485</v>
      </c>
      <c r="P161">
        <f>PasteBBM!AC161</f>
        <v>0.554394</v>
      </c>
      <c r="Q161">
        <f>PasteBBM!AD161</f>
        <v>1.203636</v>
      </c>
      <c r="R161">
        <f>PasteBBM!AI161</f>
        <v>0.887576</v>
      </c>
      <c r="S161">
        <f>PasteBBM!AE161</f>
        <v>0.490806</v>
      </c>
      <c r="T161">
        <f>PasteBBM!AG161</f>
        <v>0.823919</v>
      </c>
      <c r="V161" s="44">
        <v>-0.4068</v>
      </c>
      <c r="W161" s="44">
        <v>-0.0659</v>
      </c>
      <c r="X161" s="44">
        <v>-0.49538</v>
      </c>
      <c r="Y161" s="44">
        <v>0.088578</v>
      </c>
      <c r="Z161" s="44">
        <v>-0.32705</v>
      </c>
      <c r="AA161" s="45"/>
      <c r="AB161" s="46" t="s">
        <v>854</v>
      </c>
      <c r="AC161" s="44">
        <v>268.0</v>
      </c>
    </row>
    <row r="162">
      <c r="A162" s="2">
        <v>161.0</v>
      </c>
      <c r="B162" s="14">
        <f>IF(PasteBBM!B162="",156,PasteBBM!B162)</f>
        <v>128.2576</v>
      </c>
      <c r="C162" t="str">
        <f>PasteBBM!I162</f>
        <v>Malik Monk</v>
      </c>
      <c r="D162" t="str">
        <f>IFERROR(REPLACE(PasteBBM!K162,FIND("/",PasteBBM!K162,1),1,","),PasteBBM!K162)</f>
        <v>PG,SG</v>
      </c>
      <c r="E162" t="str">
        <f>PasteBBM!J162</f>
        <v>SAC</v>
      </c>
      <c r="F162">
        <f>PasteBBM!U162</f>
        <v>66</v>
      </c>
      <c r="G162">
        <f>PasteBBM!X162</f>
        <v>27</v>
      </c>
      <c r="H162">
        <f>PasteBBM!AE162*PasteBBM!AF162</f>
        <v>5.554543564</v>
      </c>
      <c r="I162">
        <f>PasteBBM!AE162</f>
        <v>0.462756</v>
      </c>
      <c r="J162">
        <f>PasteBBM!AG162*PasteBBM!AH162</f>
        <v>1.803637058</v>
      </c>
      <c r="K162">
        <f>PasteBBM!AG162</f>
        <v>0.838015</v>
      </c>
      <c r="L162">
        <f>PasteBBM!Z162</f>
        <v>1.971667</v>
      </c>
      <c r="M162">
        <f>PasteBBM!Y162</f>
        <v>14.88439</v>
      </c>
      <c r="N162">
        <f>PasteBBM!AA162</f>
        <v>3.11</v>
      </c>
      <c r="O162">
        <f>PasteBBM!AB162</f>
        <v>4.365</v>
      </c>
      <c r="P162">
        <f>PasteBBM!AC162</f>
        <v>0.737273</v>
      </c>
      <c r="Q162">
        <f>PasteBBM!AD162</f>
        <v>0.502727</v>
      </c>
      <c r="R162">
        <f>PasteBBM!AI162</f>
        <v>2.073333</v>
      </c>
      <c r="S162">
        <f>PasteBBM!AE162</f>
        <v>0.462756</v>
      </c>
      <c r="T162">
        <f>PasteBBM!AG162</f>
        <v>0.838015</v>
      </c>
      <c r="V162" s="44">
        <v>-0.4097</v>
      </c>
      <c r="W162" s="44">
        <v>0.010755</v>
      </c>
      <c r="X162" s="44">
        <v>-0.44968</v>
      </c>
      <c r="Y162" s="44">
        <v>0.039982</v>
      </c>
      <c r="Z162" s="44">
        <v>0.509278</v>
      </c>
      <c r="AA162" s="45"/>
      <c r="AB162" s="46" t="s">
        <v>864</v>
      </c>
      <c r="AC162" s="44">
        <v>243.0</v>
      </c>
    </row>
    <row r="163">
      <c r="A163" s="2">
        <v>162.0</v>
      </c>
      <c r="B163" s="14">
        <f>IF(PasteBBM!B163="",156,PasteBBM!B163)</f>
        <v>156</v>
      </c>
      <c r="C163" t="str">
        <f>PasteBBM!I163</f>
        <v>Ryan Rollins</v>
      </c>
      <c r="D163" t="str">
        <f>IFERROR(REPLACE(PasteBBM!K163,FIND("/",PasteBBM!K163,1),1,","),PasteBBM!K163)</f>
        <v>PG</v>
      </c>
      <c r="E163" t="str">
        <f>PasteBBM!J163</f>
        <v>MIL</v>
      </c>
      <c r="F163">
        <f>PasteBBM!U163</f>
        <v>66</v>
      </c>
      <c r="G163">
        <f>PasteBBM!X163</f>
        <v>22</v>
      </c>
      <c r="H163">
        <f>PasteBBM!AE163*PasteBBM!AF163</f>
        <v>3.274243274</v>
      </c>
      <c r="I163">
        <f>PasteBBM!AE163</f>
        <v>0.481174</v>
      </c>
      <c r="J163">
        <f>PasteBBM!AG163*PasteBBM!AH163</f>
        <v>1.219394408</v>
      </c>
      <c r="K163">
        <f>PasteBBM!AG163</f>
        <v>0.809007</v>
      </c>
      <c r="L163">
        <f>PasteBBM!Z163</f>
        <v>1.158788</v>
      </c>
      <c r="M163">
        <f>PasteBBM!Y163</f>
        <v>8.926667</v>
      </c>
      <c r="N163">
        <f>PasteBBM!AA163</f>
        <v>3.055303</v>
      </c>
      <c r="O163">
        <f>PasteBBM!AB163</f>
        <v>3.934848</v>
      </c>
      <c r="P163">
        <f>PasteBBM!AC163</f>
        <v>1.241364</v>
      </c>
      <c r="Q163">
        <f>PasteBBM!AD163</f>
        <v>0.324091</v>
      </c>
      <c r="R163">
        <f>PasteBBM!AI163</f>
        <v>1.573939</v>
      </c>
      <c r="S163">
        <f>PasteBBM!AE163</f>
        <v>0.481174</v>
      </c>
      <c r="T163">
        <f>PasteBBM!AG163</f>
        <v>0.809007</v>
      </c>
      <c r="V163" s="44">
        <v>-0.41029</v>
      </c>
      <c r="W163" s="44">
        <v>-0.09463</v>
      </c>
      <c r="X163" s="44">
        <v>-0.52851</v>
      </c>
      <c r="Y163" s="44">
        <v>0.118217</v>
      </c>
      <c r="Z163" s="44">
        <v>-0.84743</v>
      </c>
      <c r="AA163" s="45"/>
      <c r="AB163" s="46" t="s">
        <v>872</v>
      </c>
      <c r="AC163" s="44">
        <v>234.0</v>
      </c>
    </row>
    <row r="164">
      <c r="A164" s="2">
        <v>163.0</v>
      </c>
      <c r="B164" s="14">
        <f>IF(PasteBBM!B164="",156,PasteBBM!B164)</f>
        <v>110.7857</v>
      </c>
      <c r="C164" t="str">
        <f>PasteBBM!I164</f>
        <v>D'Angelo Russell</v>
      </c>
      <c r="D164" t="str">
        <f>IFERROR(REPLACE(PasteBBM!K164,FIND("/",PasteBBM!K164,1),1,","),PasteBBM!K164)</f>
        <v>PG</v>
      </c>
      <c r="E164" t="str">
        <f>PasteBBM!J164</f>
        <v>DAL</v>
      </c>
      <c r="F164">
        <f>PasteBBM!U164</f>
        <v>71</v>
      </c>
      <c r="G164">
        <f>PasteBBM!X164</f>
        <v>27</v>
      </c>
      <c r="H164">
        <f>PasteBBM!AE164*PasteBBM!AF164</f>
        <v>4.464784251</v>
      </c>
      <c r="I164">
        <f>PasteBBM!AE164</f>
        <v>0.41804</v>
      </c>
      <c r="J164">
        <f>PasteBBM!AG164*PasteBBM!AH164</f>
        <v>1.682253915</v>
      </c>
      <c r="K164">
        <f>PasteBBM!AG164</f>
        <v>0.828984</v>
      </c>
      <c r="L164">
        <f>PasteBBM!Z164</f>
        <v>2.307042</v>
      </c>
      <c r="M164">
        <f>PasteBBM!Y164</f>
        <v>12.91887</v>
      </c>
      <c r="N164">
        <f>PasteBBM!AA164</f>
        <v>2.499718</v>
      </c>
      <c r="O164">
        <f>PasteBBM!AB164</f>
        <v>5.635211</v>
      </c>
      <c r="P164">
        <f>PasteBBM!AC164</f>
        <v>0.852254</v>
      </c>
      <c r="Q164">
        <f>PasteBBM!AD164</f>
        <v>0.451831</v>
      </c>
      <c r="R164">
        <f>PasteBBM!AI164</f>
        <v>2.035352</v>
      </c>
      <c r="S164">
        <f>PasteBBM!AE164</f>
        <v>0.41804</v>
      </c>
      <c r="T164">
        <f>PasteBBM!AG164</f>
        <v>0.828984</v>
      </c>
      <c r="V164" s="44">
        <v>-0.41709</v>
      </c>
      <c r="W164" s="44">
        <v>-0.00658</v>
      </c>
      <c r="X164" s="44">
        <v>0.009207</v>
      </c>
      <c r="Y164" s="44">
        <v>-0.4263</v>
      </c>
      <c r="Z164" s="44">
        <v>-0.34564</v>
      </c>
      <c r="AA164" s="45"/>
      <c r="AB164" s="46" t="s">
        <v>126</v>
      </c>
      <c r="AC164" s="44">
        <v>67.0</v>
      </c>
    </row>
    <row r="165">
      <c r="A165" s="2">
        <v>164.0</v>
      </c>
      <c r="B165" s="14">
        <f>IF(PasteBBM!B165="",156,PasteBBM!B165)</f>
        <v>144.5714</v>
      </c>
      <c r="C165" t="str">
        <f>PasteBBM!I165</f>
        <v>Bilal Coulibaly</v>
      </c>
      <c r="D165" t="str">
        <f>IFERROR(REPLACE(PasteBBM!K165,FIND("/",PasteBBM!K165,1),1,","),PasteBBM!K165)</f>
        <v>SF,PF</v>
      </c>
      <c r="E165" t="str">
        <f>PasteBBM!J165</f>
        <v>WAS</v>
      </c>
      <c r="F165">
        <f>PasteBBM!U165</f>
        <v>61</v>
      </c>
      <c r="G165">
        <f>PasteBBM!X165</f>
        <v>31</v>
      </c>
      <c r="H165">
        <f>PasteBBM!AE165*PasteBBM!AF165</f>
        <v>4.630331129</v>
      </c>
      <c r="I165">
        <f>PasteBBM!AE165</f>
        <v>0.446223</v>
      </c>
      <c r="J165">
        <f>PasteBBM!AG165*PasteBBM!AH165</f>
        <v>2.260984579</v>
      </c>
      <c r="K165">
        <f>PasteBBM!AG165</f>
        <v>0.729003</v>
      </c>
      <c r="L165">
        <f>PasteBBM!Z165</f>
        <v>1.154262</v>
      </c>
      <c r="M165">
        <f>PasteBBM!Y165</f>
        <v>12.6759</v>
      </c>
      <c r="N165">
        <f>PasteBBM!AA165</f>
        <v>4.989016</v>
      </c>
      <c r="O165">
        <f>PasteBBM!AB165</f>
        <v>3.592131</v>
      </c>
      <c r="P165">
        <f>PasteBBM!AC165</f>
        <v>1.19459</v>
      </c>
      <c r="Q165">
        <f>PasteBBM!AD165</f>
        <v>0.66623</v>
      </c>
      <c r="R165">
        <f>PasteBBM!AI165</f>
        <v>1.998361</v>
      </c>
      <c r="S165">
        <f>PasteBBM!AE165</f>
        <v>0.446223</v>
      </c>
      <c r="T165">
        <f>PasteBBM!AG165</f>
        <v>0.729003</v>
      </c>
      <c r="V165" s="44">
        <v>-0.41709</v>
      </c>
      <c r="W165" s="44">
        <v>-0.00658</v>
      </c>
      <c r="X165" s="44">
        <v>0.009207</v>
      </c>
      <c r="Y165" s="44">
        <v>-0.4263</v>
      </c>
      <c r="Z165" s="44">
        <v>-0.34564</v>
      </c>
      <c r="AA165" s="45"/>
      <c r="AB165" s="46" t="s">
        <v>126</v>
      </c>
      <c r="AC165" s="44">
        <v>67.0</v>
      </c>
    </row>
    <row r="166">
      <c r="A166" s="2">
        <v>165.0</v>
      </c>
      <c r="B166" s="14">
        <f>IF(PasteBBM!B166="",156,PasteBBM!B166)</f>
        <v>143.8333</v>
      </c>
      <c r="C166" t="str">
        <f>PasteBBM!I166</f>
        <v>Nikola Jovic</v>
      </c>
      <c r="D166" t="str">
        <f>IFERROR(REPLACE(PasteBBM!K166,FIND("/",PasteBBM!K166,1),1,","),PasteBBM!K166)</f>
        <v>PF</v>
      </c>
      <c r="E166" t="str">
        <f>PasteBBM!J166</f>
        <v>MIA</v>
      </c>
      <c r="F166">
        <f>PasteBBM!U166</f>
        <v>66</v>
      </c>
      <c r="G166">
        <f>PasteBBM!X166</f>
        <v>27</v>
      </c>
      <c r="H166">
        <f>PasteBBM!AE166*PasteBBM!AF166</f>
        <v>3.970150756</v>
      </c>
      <c r="I166">
        <f>PasteBBM!AE166</f>
        <v>0.464691</v>
      </c>
      <c r="J166">
        <f>PasteBBM!AG166*PasteBBM!AH166</f>
        <v>1.133333739</v>
      </c>
      <c r="K166">
        <f>PasteBBM!AG166</f>
        <v>0.828993</v>
      </c>
      <c r="L166">
        <f>PasteBBM!Z166</f>
        <v>1.858485</v>
      </c>
      <c r="M166">
        <f>PasteBBM!Y166</f>
        <v>10.93212</v>
      </c>
      <c r="N166">
        <f>PasteBBM!AA166</f>
        <v>4.465152</v>
      </c>
      <c r="O166">
        <f>PasteBBM!AB166</f>
        <v>3.142121</v>
      </c>
      <c r="P166">
        <f>PasteBBM!AC166</f>
        <v>0.860152</v>
      </c>
      <c r="Q166">
        <f>PasteBBM!AD166</f>
        <v>0.336061</v>
      </c>
      <c r="R166">
        <f>PasteBBM!AI166</f>
        <v>1.598636</v>
      </c>
      <c r="S166">
        <f>PasteBBM!AE166</f>
        <v>0.464691</v>
      </c>
      <c r="T166">
        <f>PasteBBM!AG166</f>
        <v>0.828993</v>
      </c>
      <c r="V166" s="44">
        <v>-0.41709</v>
      </c>
      <c r="W166" s="44">
        <v>-0.00658</v>
      </c>
      <c r="X166" s="44">
        <v>0.009207</v>
      </c>
      <c r="Y166" s="44">
        <v>-0.4263</v>
      </c>
      <c r="Z166" s="44">
        <v>-0.34564</v>
      </c>
      <c r="AA166" s="45"/>
      <c r="AB166" s="46" t="s">
        <v>126</v>
      </c>
      <c r="AC166" s="44">
        <v>67.0</v>
      </c>
    </row>
    <row r="167">
      <c r="A167" s="2">
        <v>166.0</v>
      </c>
      <c r="B167" s="14">
        <f>IF(PasteBBM!B167="",156,PasteBBM!B167)</f>
        <v>148.2</v>
      </c>
      <c r="C167" t="str">
        <f>PasteBBM!I167</f>
        <v>Rui Hachimura</v>
      </c>
      <c r="D167" t="str">
        <f>IFERROR(REPLACE(PasteBBM!K167,FIND("/",PasteBBM!K167,1),1,","),PasteBBM!K167)</f>
        <v>PF</v>
      </c>
      <c r="E167" t="str">
        <f>PasteBBM!J167</f>
        <v>LAL</v>
      </c>
      <c r="F167">
        <f>PasteBBM!U167</f>
        <v>71</v>
      </c>
      <c r="G167">
        <f>PasteBBM!X167</f>
        <v>31</v>
      </c>
      <c r="H167">
        <f>PasteBBM!AE167*PasteBBM!AF167</f>
        <v>4.98619355</v>
      </c>
      <c r="I167">
        <f>PasteBBM!AE167</f>
        <v>0.508262</v>
      </c>
      <c r="J167">
        <f>PasteBBM!AG167*PasteBBM!AH167</f>
        <v>1.234083675</v>
      </c>
      <c r="K167">
        <f>PasteBBM!AG167</f>
        <v>0.739971</v>
      </c>
      <c r="L167">
        <f>PasteBBM!Z167</f>
        <v>1.708451</v>
      </c>
      <c r="M167">
        <f>PasteBBM!Y167</f>
        <v>12.91493</v>
      </c>
      <c r="N167">
        <f>PasteBBM!AA167</f>
        <v>4.493662</v>
      </c>
      <c r="O167">
        <f>PasteBBM!AB167</f>
        <v>1.075915</v>
      </c>
      <c r="P167">
        <f>PasteBBM!AC167</f>
        <v>0.630282</v>
      </c>
      <c r="Q167">
        <f>PasteBBM!AD167</f>
        <v>0.380845</v>
      </c>
      <c r="R167">
        <f>PasteBBM!AI167</f>
        <v>0.632958</v>
      </c>
      <c r="S167">
        <f>PasteBBM!AE167</f>
        <v>0.508262</v>
      </c>
      <c r="T167">
        <f>PasteBBM!AG167</f>
        <v>0.739971</v>
      </c>
      <c r="V167" s="44">
        <v>-0.41709</v>
      </c>
      <c r="W167" s="44">
        <v>-0.00658</v>
      </c>
      <c r="X167" s="44">
        <v>0.009207</v>
      </c>
      <c r="Y167" s="44">
        <v>-0.4263</v>
      </c>
      <c r="Z167" s="44">
        <v>-0.34564</v>
      </c>
      <c r="AA167" s="45"/>
      <c r="AB167" s="46" t="s">
        <v>126</v>
      </c>
      <c r="AC167" s="44">
        <v>67.0</v>
      </c>
    </row>
    <row r="168">
      <c r="A168" s="2">
        <v>167.0</v>
      </c>
      <c r="B168" s="14">
        <f>IF(PasteBBM!B168="",156,PasteBBM!B168)</f>
        <v>149.4545</v>
      </c>
      <c r="C168" t="str">
        <f>PasteBBM!I168</f>
        <v>Jerami Grant</v>
      </c>
      <c r="D168" t="str">
        <f>IFERROR(REPLACE(PasteBBM!K168,FIND("/",PasteBBM!K168,1),1,","),PasteBBM!K168)</f>
        <v>SF,PF</v>
      </c>
      <c r="E168" t="str">
        <f>PasteBBM!J168</f>
        <v>POR</v>
      </c>
      <c r="F168">
        <f>PasteBBM!U168</f>
        <v>56</v>
      </c>
      <c r="G168">
        <f>PasteBBM!X168</f>
        <v>30</v>
      </c>
      <c r="H168">
        <f>PasteBBM!AE168*PasteBBM!AF168</f>
        <v>4.651608263</v>
      </c>
      <c r="I168">
        <f>PasteBBM!AE168</f>
        <v>0.388125</v>
      </c>
      <c r="J168">
        <f>PasteBBM!AG168*PasteBBM!AH168</f>
        <v>2.673570222</v>
      </c>
      <c r="K168">
        <f>PasteBBM!AG168</f>
        <v>0.857994</v>
      </c>
      <c r="L168">
        <f>PasteBBM!Z168</f>
        <v>2.3625</v>
      </c>
      <c r="M168">
        <f>PasteBBM!Y168</f>
        <v>14.33929</v>
      </c>
      <c r="N168">
        <f>PasteBBM!AA168</f>
        <v>3.25125</v>
      </c>
      <c r="O168">
        <f>PasteBBM!AB168</f>
        <v>1.785</v>
      </c>
      <c r="P168">
        <f>PasteBBM!AC168</f>
        <v>0.826786</v>
      </c>
      <c r="Q168">
        <f>PasteBBM!AD168</f>
        <v>0.83</v>
      </c>
      <c r="R168">
        <f>PasteBBM!AI168</f>
        <v>1.404286</v>
      </c>
      <c r="S168">
        <f>PasteBBM!AE168</f>
        <v>0.388125</v>
      </c>
      <c r="T168">
        <f>PasteBBM!AG168</f>
        <v>0.857994</v>
      </c>
      <c r="V168" s="44">
        <v>-0.41709</v>
      </c>
      <c r="W168" s="44">
        <v>-0.00658</v>
      </c>
      <c r="X168" s="44">
        <v>0.009207</v>
      </c>
      <c r="Y168" s="44">
        <v>-0.4263</v>
      </c>
      <c r="Z168" s="44">
        <v>-0.34564</v>
      </c>
      <c r="AA168" s="45"/>
      <c r="AB168" s="46" t="s">
        <v>126</v>
      </c>
      <c r="AC168" s="44">
        <v>67.0</v>
      </c>
    </row>
    <row r="169">
      <c r="A169" s="2">
        <v>168.0</v>
      </c>
      <c r="B169" s="14">
        <f>IF(PasteBBM!B169="",156,PasteBBM!B169)</f>
        <v>147</v>
      </c>
      <c r="C169" t="str">
        <f>PasteBBM!I169</f>
        <v>Josh Minott</v>
      </c>
      <c r="D169" t="str">
        <f>IFERROR(REPLACE(PasteBBM!K169,FIND("/",PasteBBM!K169,1),1,","),PasteBBM!K169)</f>
        <v>SF</v>
      </c>
      <c r="E169" t="str">
        <f>PasteBBM!J169</f>
        <v>BOS</v>
      </c>
      <c r="F169">
        <f>PasteBBM!U169</f>
        <v>71</v>
      </c>
      <c r="G169">
        <f>PasteBBM!X169</f>
        <v>17</v>
      </c>
      <c r="H169">
        <f>PasteBBM!AE169*PasteBBM!AF169</f>
        <v>2.943522033</v>
      </c>
      <c r="I169">
        <f>PasteBBM!AE169</f>
        <v>0.491996</v>
      </c>
      <c r="J169">
        <f>PasteBBM!AG169*PasteBBM!AH169</f>
        <v>1.278733141</v>
      </c>
      <c r="K169">
        <f>PasteBBM!AG169</f>
        <v>0.84213</v>
      </c>
      <c r="L169">
        <f>PasteBBM!Z169</f>
        <v>1.03493</v>
      </c>
      <c r="M169">
        <f>PasteBBM!Y169</f>
        <v>8.200704</v>
      </c>
      <c r="N169">
        <f>PasteBBM!AA169</f>
        <v>3.550986</v>
      </c>
      <c r="O169">
        <f>PasteBBM!AB169</f>
        <v>1.15338</v>
      </c>
      <c r="P169">
        <f>PasteBBM!AC169</f>
        <v>0.948451</v>
      </c>
      <c r="Q169">
        <f>PasteBBM!AD169</f>
        <v>0.736338</v>
      </c>
      <c r="R169">
        <f>PasteBBM!AI169</f>
        <v>0.717606</v>
      </c>
      <c r="S169">
        <f>PasteBBM!AE169</f>
        <v>0.491996</v>
      </c>
      <c r="T169">
        <f>PasteBBM!AG169</f>
        <v>0.84213</v>
      </c>
      <c r="V169" s="44">
        <v>-0.41709</v>
      </c>
      <c r="W169" s="44">
        <v>-0.00658</v>
      </c>
      <c r="X169" s="44">
        <v>0.009207</v>
      </c>
      <c r="Y169" s="44">
        <v>-0.4263</v>
      </c>
      <c r="Z169" s="44">
        <v>-0.34564</v>
      </c>
      <c r="AA169" s="45"/>
      <c r="AB169" s="46" t="s">
        <v>126</v>
      </c>
      <c r="AC169" s="44">
        <v>67.0</v>
      </c>
    </row>
    <row r="170">
      <c r="A170" s="2">
        <v>169.0</v>
      </c>
      <c r="B170" s="14">
        <f>IF(PasteBBM!B170="",156,PasteBBM!B170)</f>
        <v>144.6667</v>
      </c>
      <c r="C170" t="str">
        <f>PasteBBM!I170</f>
        <v>Wendell Carter Jr.</v>
      </c>
      <c r="D170" t="str">
        <f>IFERROR(REPLACE(PasteBBM!K170,FIND("/",PasteBBM!K170,1),1,","),PasteBBM!K170)</f>
        <v>C</v>
      </c>
      <c r="E170" t="str">
        <f>PasteBBM!J170</f>
        <v>ORL</v>
      </c>
      <c r="F170">
        <f>PasteBBM!U170</f>
        <v>66</v>
      </c>
      <c r="G170">
        <f>PasteBBM!X170</f>
        <v>27</v>
      </c>
      <c r="H170">
        <f>PasteBBM!AE170*PasteBBM!AF170</f>
        <v>3.436061656</v>
      </c>
      <c r="I170">
        <f>PasteBBM!AE170</f>
        <v>0.498604</v>
      </c>
      <c r="J170">
        <f>PasteBBM!AG170*PasteBBM!AH170</f>
        <v>1.247273298</v>
      </c>
      <c r="K170">
        <f>PasteBBM!AG170</f>
        <v>0.724011</v>
      </c>
      <c r="L170">
        <f>PasteBBM!Z170</f>
        <v>0.749697</v>
      </c>
      <c r="M170">
        <f>PasteBBM!Y170</f>
        <v>8.869091</v>
      </c>
      <c r="N170">
        <f>PasteBBM!AA170</f>
        <v>7.166212</v>
      </c>
      <c r="O170">
        <f>PasteBBM!AB170</f>
        <v>1.598636</v>
      </c>
      <c r="P170">
        <f>PasteBBM!AC170</f>
        <v>0.831667</v>
      </c>
      <c r="Q170">
        <f>PasteBBM!AD170</f>
        <v>0.716667</v>
      </c>
      <c r="R170">
        <f>PasteBBM!AI170</f>
        <v>1.212727</v>
      </c>
      <c r="S170">
        <f>PasteBBM!AE170</f>
        <v>0.498604</v>
      </c>
      <c r="T170">
        <f>PasteBBM!AG170</f>
        <v>0.724011</v>
      </c>
      <c r="V170" s="44">
        <v>-0.41709</v>
      </c>
      <c r="W170" s="44">
        <v>-0.00658</v>
      </c>
      <c r="X170" s="44">
        <v>0.009207</v>
      </c>
      <c r="Y170" s="44">
        <v>-0.4263</v>
      </c>
      <c r="Z170" s="44">
        <v>-0.34564</v>
      </c>
      <c r="AA170" s="45"/>
      <c r="AB170" s="46" t="s">
        <v>126</v>
      </c>
      <c r="AC170" s="44">
        <v>67.0</v>
      </c>
    </row>
    <row r="171">
      <c r="A171" s="2">
        <v>170.0</v>
      </c>
      <c r="B171" s="14">
        <f>IF(PasteBBM!B171="",156,PasteBBM!B171)</f>
        <v>156</v>
      </c>
      <c r="C171" t="str">
        <f>PasteBBM!I171</f>
        <v>Ben Sheppard</v>
      </c>
      <c r="D171" t="str">
        <f>IFERROR(REPLACE(PasteBBM!K171,FIND("/",PasteBBM!K171,1),1,","),PasteBBM!K171)</f>
        <v>SG</v>
      </c>
      <c r="E171" t="str">
        <f>PasteBBM!J171</f>
        <v>IND</v>
      </c>
      <c r="F171">
        <f>PasteBBM!U171</f>
        <v>71</v>
      </c>
      <c r="G171">
        <f>PasteBBM!X171</f>
        <v>25</v>
      </c>
      <c r="H171">
        <f>PasteBBM!AE171*PasteBBM!AF171</f>
        <v>3.128589693</v>
      </c>
      <c r="I171">
        <f>PasteBBM!AE171</f>
        <v>0.437341</v>
      </c>
      <c r="J171">
        <f>PasteBBM!AG171*PasteBBM!AH171</f>
        <v>0.8894366065</v>
      </c>
      <c r="K171">
        <f>PasteBBM!AG171</f>
        <v>0.888061</v>
      </c>
      <c r="L171">
        <f>PasteBBM!Z171</f>
        <v>1.736761</v>
      </c>
      <c r="M171">
        <f>PasteBBM!Y171</f>
        <v>8.88338</v>
      </c>
      <c r="N171">
        <f>PasteBBM!AA171</f>
        <v>4.20831</v>
      </c>
      <c r="O171">
        <f>PasteBBM!AB171</f>
        <v>2.261972</v>
      </c>
      <c r="P171">
        <f>PasteBBM!AC171</f>
        <v>0.86831</v>
      </c>
      <c r="Q171">
        <f>PasteBBM!AD171</f>
        <v>0.258028</v>
      </c>
      <c r="R171">
        <f>PasteBBM!AI171</f>
        <v>0.736479</v>
      </c>
      <c r="S171">
        <f>PasteBBM!AE171</f>
        <v>0.437341</v>
      </c>
      <c r="T171">
        <f>PasteBBM!AG171</f>
        <v>0.888061</v>
      </c>
      <c r="V171" s="44">
        <v>-0.41709</v>
      </c>
      <c r="W171" s="44">
        <v>-0.00658</v>
      </c>
      <c r="X171" s="44">
        <v>0.009207</v>
      </c>
      <c r="Y171" s="44">
        <v>-0.4263</v>
      </c>
      <c r="Z171" s="44">
        <v>-0.34564</v>
      </c>
      <c r="AA171" s="45"/>
      <c r="AB171" s="46" t="s">
        <v>126</v>
      </c>
      <c r="AC171" s="44">
        <v>67.0</v>
      </c>
    </row>
    <row r="172">
      <c r="A172" s="2">
        <v>171.0</v>
      </c>
      <c r="B172" s="14">
        <f>IF(PasteBBM!B172="",156,PasteBBM!B172)</f>
        <v>143.6667</v>
      </c>
      <c r="C172" t="str">
        <f>PasteBBM!I172</f>
        <v>Moses Moody</v>
      </c>
      <c r="D172" t="str">
        <f>IFERROR(REPLACE(PasteBBM!K172,FIND("/",PasteBBM!K172,1),1,","),PasteBBM!K172)</f>
        <v>SG,SF</v>
      </c>
      <c r="E172" t="str">
        <f>PasteBBM!J172</f>
        <v>GSW</v>
      </c>
      <c r="F172">
        <f>PasteBBM!U172</f>
        <v>71</v>
      </c>
      <c r="G172">
        <f>PasteBBM!X172</f>
        <v>26</v>
      </c>
      <c r="H172">
        <f>PasteBBM!AE172*PasteBBM!AF172</f>
        <v>3.804370612</v>
      </c>
      <c r="I172">
        <f>PasteBBM!AE172</f>
        <v>0.448994</v>
      </c>
      <c r="J172">
        <f>PasteBBM!AG172*PasteBBM!AH172</f>
        <v>1.367465454</v>
      </c>
      <c r="K172">
        <f>PasteBBM!AG172</f>
        <v>0.806999</v>
      </c>
      <c r="L172">
        <f>PasteBBM!Z172</f>
        <v>1.835211</v>
      </c>
      <c r="M172">
        <f>PasteBBM!Y172</f>
        <v>10.81141</v>
      </c>
      <c r="N172">
        <f>PasteBBM!AA172</f>
        <v>2.895775</v>
      </c>
      <c r="O172">
        <f>PasteBBM!AB172</f>
        <v>1.423803</v>
      </c>
      <c r="P172">
        <f>PasteBBM!AC172</f>
        <v>0.945493</v>
      </c>
      <c r="Q172">
        <f>PasteBBM!AD172</f>
        <v>0.543239</v>
      </c>
      <c r="R172">
        <f>PasteBBM!AI172</f>
        <v>0.813239</v>
      </c>
      <c r="S172">
        <f>PasteBBM!AE172</f>
        <v>0.448994</v>
      </c>
      <c r="T172">
        <f>PasteBBM!AG172</f>
        <v>0.806999</v>
      </c>
      <c r="V172" s="44">
        <v>-0.41709</v>
      </c>
      <c r="W172" s="44">
        <v>-0.00658</v>
      </c>
      <c r="X172" s="44">
        <v>0.009207</v>
      </c>
      <c r="Y172" s="44">
        <v>-0.4263</v>
      </c>
      <c r="Z172" s="44">
        <v>-0.34564</v>
      </c>
      <c r="AA172" s="45"/>
      <c r="AB172" s="46" t="s">
        <v>126</v>
      </c>
      <c r="AC172" s="44">
        <v>67.0</v>
      </c>
    </row>
    <row r="173">
      <c r="A173" s="2">
        <v>172.0</v>
      </c>
      <c r="B173" s="14">
        <f>IF(PasteBBM!B173="",156,PasteBBM!B173)</f>
        <v>145.8889</v>
      </c>
      <c r="C173" t="str">
        <f>PasteBBM!I173</f>
        <v>Davion Mitchell</v>
      </c>
      <c r="D173" t="str">
        <f>IFERROR(REPLACE(PasteBBM!K173,FIND("/",PasteBBM!K173,1),1,","),PasteBBM!K173)</f>
        <v>PG</v>
      </c>
      <c r="E173" t="str">
        <f>PasteBBM!J173</f>
        <v>MIA</v>
      </c>
      <c r="F173">
        <f>PasteBBM!U173</f>
        <v>71</v>
      </c>
      <c r="G173">
        <f>PasteBBM!X173</f>
        <v>29</v>
      </c>
      <c r="H173">
        <f>PasteBBM!AE173*PasteBBM!AF173</f>
        <v>3.174363817</v>
      </c>
      <c r="I173">
        <f>PasteBBM!AE173</f>
        <v>0.470335</v>
      </c>
      <c r="J173">
        <f>PasteBBM!AG173*PasteBBM!AH173</f>
        <v>0.9053522105</v>
      </c>
      <c r="K173">
        <f>PasteBBM!AG173</f>
        <v>0.705986</v>
      </c>
      <c r="L173">
        <f>PasteBBM!Z173</f>
        <v>1.025915</v>
      </c>
      <c r="M173">
        <f>PasteBBM!Y173</f>
        <v>8.28</v>
      </c>
      <c r="N173">
        <f>PasteBBM!AA173</f>
        <v>2.723521</v>
      </c>
      <c r="O173">
        <f>PasteBBM!AB173</f>
        <v>5.683944</v>
      </c>
      <c r="P173">
        <f>PasteBBM!AC173</f>
        <v>1.302535</v>
      </c>
      <c r="Q173">
        <f>PasteBBM!AD173</f>
        <v>0.243099</v>
      </c>
      <c r="R173">
        <f>PasteBBM!AI173</f>
        <v>1.755211</v>
      </c>
      <c r="S173">
        <f>PasteBBM!AE173</f>
        <v>0.470335</v>
      </c>
      <c r="T173">
        <f>PasteBBM!AG173</f>
        <v>0.705986</v>
      </c>
      <c r="V173" s="44">
        <v>-0.41709</v>
      </c>
      <c r="W173" s="44">
        <v>-0.00658</v>
      </c>
      <c r="X173" s="44">
        <v>0.009207</v>
      </c>
      <c r="Y173" s="44">
        <v>-0.4263</v>
      </c>
      <c r="Z173" s="44">
        <v>-0.34564</v>
      </c>
      <c r="AA173" s="45"/>
      <c r="AB173" s="46" t="s">
        <v>126</v>
      </c>
      <c r="AC173" s="44">
        <v>67.0</v>
      </c>
    </row>
    <row r="174">
      <c r="A174" s="2">
        <v>173.0</v>
      </c>
      <c r="B174" s="14">
        <f>IF(PasteBBM!B174="",156,PasteBBM!B174)</f>
        <v>156</v>
      </c>
      <c r="C174" t="str">
        <f>PasteBBM!I174</f>
        <v>Sam Merrill</v>
      </c>
      <c r="D174" t="str">
        <f>IFERROR(REPLACE(PasteBBM!K174,FIND("/",PasteBBM!K174,1),1,","),PasteBBM!K174)</f>
        <v>SG</v>
      </c>
      <c r="E174" t="str">
        <f>PasteBBM!J174</f>
        <v>CLE</v>
      </c>
      <c r="F174">
        <f>PasteBBM!U174</f>
        <v>71</v>
      </c>
      <c r="G174">
        <f>PasteBBM!X174</f>
        <v>23</v>
      </c>
      <c r="H174">
        <f>PasteBBM!AE174*PasteBBM!AF174</f>
        <v>3.301263851</v>
      </c>
      <c r="I174">
        <f>PasteBBM!AE174</f>
        <v>0.421072</v>
      </c>
      <c r="J174">
        <f>PasteBBM!AG174*PasteBBM!AH174</f>
        <v>0.2154927914</v>
      </c>
      <c r="K174">
        <f>PasteBBM!AG174</f>
        <v>0.916168</v>
      </c>
      <c r="L174">
        <f>PasteBBM!Z174</f>
        <v>2.76662</v>
      </c>
      <c r="M174">
        <f>PasteBBM!Y174</f>
        <v>9.584648</v>
      </c>
      <c r="N174">
        <f>PasteBBM!AA174</f>
        <v>2.661831</v>
      </c>
      <c r="O174">
        <f>PasteBBM!AB174</f>
        <v>1.973099</v>
      </c>
      <c r="P174">
        <f>PasteBBM!AC174</f>
        <v>0.836761</v>
      </c>
      <c r="Q174">
        <f>PasteBBM!AD174</f>
        <v>0.191549</v>
      </c>
      <c r="R174">
        <f>PasteBBM!AI174</f>
        <v>0.527606</v>
      </c>
      <c r="S174">
        <f>PasteBBM!AE174</f>
        <v>0.421072</v>
      </c>
      <c r="T174">
        <f>PasteBBM!AG174</f>
        <v>0.916168</v>
      </c>
      <c r="V174" s="44">
        <v>-0.41709</v>
      </c>
      <c r="W174" s="44">
        <v>-0.00658</v>
      </c>
      <c r="X174" s="44">
        <v>0.009207</v>
      </c>
      <c r="Y174" s="44">
        <v>-0.4263</v>
      </c>
      <c r="Z174" s="44">
        <v>-0.34564</v>
      </c>
      <c r="AA174" s="45"/>
      <c r="AB174" s="46" t="s">
        <v>126</v>
      </c>
      <c r="AC174" s="44">
        <v>67.0</v>
      </c>
    </row>
    <row r="175">
      <c r="A175" s="2">
        <v>174.0</v>
      </c>
      <c r="B175" s="14">
        <f>IF(PasteBBM!B175="",156,PasteBBM!B175)</f>
        <v>151.25</v>
      </c>
      <c r="C175" t="str">
        <f>PasteBBM!I175</f>
        <v>Dillon Brooks</v>
      </c>
      <c r="D175" t="str">
        <f>IFERROR(REPLACE(PasteBBM!K175,FIND("/",PasteBBM!K175,1),1,","),PasteBBM!K175)</f>
        <v>SG,SF</v>
      </c>
      <c r="E175" t="str">
        <f>PasteBBM!J175</f>
        <v>PHO</v>
      </c>
      <c r="F175">
        <f>PasteBBM!U175</f>
        <v>71</v>
      </c>
      <c r="G175">
        <f>PasteBBM!X175</f>
        <v>31</v>
      </c>
      <c r="H175">
        <f>PasteBBM!AE175*PasteBBM!AF175</f>
        <v>5.0257701</v>
      </c>
      <c r="I175">
        <f>PasteBBM!AE175</f>
        <v>0.429553</v>
      </c>
      <c r="J175">
        <f>PasteBBM!AG175*PasteBBM!AH175</f>
        <v>1.49957749</v>
      </c>
      <c r="K175">
        <f>PasteBBM!AG175</f>
        <v>0.801008</v>
      </c>
      <c r="L175">
        <f>PasteBBM!Z175</f>
        <v>2.426197</v>
      </c>
      <c r="M175">
        <f>PasteBBM!Y175</f>
        <v>13.97732</v>
      </c>
      <c r="N175">
        <f>PasteBBM!AA175</f>
        <v>3.452676</v>
      </c>
      <c r="O175">
        <f>PasteBBM!AB175</f>
        <v>2.685352</v>
      </c>
      <c r="P175">
        <f>PasteBBM!AC175</f>
        <v>0.959014</v>
      </c>
      <c r="Q175">
        <f>PasteBBM!AD175</f>
        <v>0.192254</v>
      </c>
      <c r="R175">
        <f>PasteBBM!AI175</f>
        <v>1.470563</v>
      </c>
      <c r="S175">
        <f>PasteBBM!AE175</f>
        <v>0.429553</v>
      </c>
      <c r="T175">
        <f>PasteBBM!AG175</f>
        <v>0.801008</v>
      </c>
      <c r="V175" s="44">
        <v>-0.41709</v>
      </c>
      <c r="W175" s="44">
        <v>-0.00658</v>
      </c>
      <c r="X175" s="44">
        <v>0.009207</v>
      </c>
      <c r="Y175" s="44">
        <v>-0.4263</v>
      </c>
      <c r="Z175" s="44">
        <v>-0.34564</v>
      </c>
      <c r="AA175" s="45"/>
      <c r="AB175" s="46" t="s">
        <v>126</v>
      </c>
      <c r="AC175" s="44">
        <v>67.0</v>
      </c>
    </row>
    <row r="176">
      <c r="A176" s="2">
        <v>175.0</v>
      </c>
      <c r="B176" s="14">
        <f>IF(PasteBBM!B176="",156,PasteBBM!B176)</f>
        <v>94.11429</v>
      </c>
      <c r="C176" t="str">
        <f>PasteBBM!I176</f>
        <v>R.J. Barrett</v>
      </c>
      <c r="D176" t="str">
        <f>IFERROR(REPLACE(PasteBBM!K176,FIND("/",PasteBBM!K176,1),1,","),PasteBBM!K176)</f>
        <v>SG,SF/PF</v>
      </c>
      <c r="E176" t="str">
        <f>PasteBBM!J176</f>
        <v>TOR</v>
      </c>
      <c r="F176">
        <f>PasteBBM!U176</f>
        <v>71</v>
      </c>
      <c r="G176">
        <f>PasteBBM!X176</f>
        <v>32</v>
      </c>
      <c r="H176">
        <f>PasteBBM!AE176*PasteBBM!AF176</f>
        <v>6.842393482</v>
      </c>
      <c r="I176">
        <f>PasteBBM!AE176</f>
        <v>0.461323</v>
      </c>
      <c r="J176">
        <f>PasteBBM!AG176*PasteBBM!AH176</f>
        <v>2.927889378</v>
      </c>
      <c r="K176">
        <f>PasteBBM!AG176</f>
        <v>0.705013</v>
      </c>
      <c r="L176">
        <f>PasteBBM!Z176</f>
        <v>1.642254</v>
      </c>
      <c r="M176">
        <f>PasteBBM!Y176</f>
        <v>18.25493</v>
      </c>
      <c r="N176">
        <f>PasteBBM!AA176</f>
        <v>6.18</v>
      </c>
      <c r="O176">
        <f>PasteBBM!AB176</f>
        <v>4.12</v>
      </c>
      <c r="P176">
        <f>PasteBBM!AC176</f>
        <v>0.82338</v>
      </c>
      <c r="Q176">
        <f>PasteBBM!AD176</f>
        <v>0.274789</v>
      </c>
      <c r="R176">
        <f>PasteBBM!AI176</f>
        <v>2.128732</v>
      </c>
      <c r="S176">
        <f>PasteBBM!AE176</f>
        <v>0.461323</v>
      </c>
      <c r="T176">
        <f>PasteBBM!AG176</f>
        <v>0.705013</v>
      </c>
      <c r="V176" s="44">
        <v>-0.41709</v>
      </c>
      <c r="W176" s="44">
        <v>-0.00658</v>
      </c>
      <c r="X176" s="44">
        <v>0.009207</v>
      </c>
      <c r="Y176" s="44">
        <v>-0.4263</v>
      </c>
      <c r="Z176" s="44">
        <v>-0.34564</v>
      </c>
      <c r="AA176" s="45"/>
      <c r="AB176" s="46" t="s">
        <v>126</v>
      </c>
      <c r="AC176" s="44">
        <v>67.0</v>
      </c>
    </row>
    <row r="177">
      <c r="A177" s="2">
        <v>176.0</v>
      </c>
      <c r="B177" s="14">
        <f>IF(PasteBBM!B177="",156,PasteBBM!B177)</f>
        <v>144.75</v>
      </c>
      <c r="C177" t="str">
        <f>PasteBBM!I177</f>
        <v>Isaiah Stewart</v>
      </c>
      <c r="D177" t="str">
        <f>IFERROR(REPLACE(PasteBBM!K177,FIND("/",PasteBBM!K177,1),1,","),PasteBBM!K177)</f>
        <v>C</v>
      </c>
      <c r="E177" t="str">
        <f>PasteBBM!J177</f>
        <v>DET</v>
      </c>
      <c r="F177">
        <f>PasteBBM!U177</f>
        <v>71</v>
      </c>
      <c r="G177">
        <f>PasteBBM!X177</f>
        <v>22</v>
      </c>
      <c r="H177">
        <f>PasteBBM!AE177*PasteBBM!AF177</f>
        <v>2.834648077</v>
      </c>
      <c r="I177">
        <f>PasteBBM!AE177</f>
        <v>0.583244</v>
      </c>
      <c r="J177">
        <f>PasteBBM!AG177*PasteBBM!AH177</f>
        <v>0.9543660089</v>
      </c>
      <c r="K177">
        <f>PasteBBM!AG177</f>
        <v>0.739012</v>
      </c>
      <c r="L177">
        <f>PasteBBM!Z177</f>
        <v>0.304085</v>
      </c>
      <c r="M177">
        <f>PasteBBM!Y177</f>
        <v>6.927746</v>
      </c>
      <c r="N177">
        <f>PasteBBM!AA177</f>
        <v>5.647606</v>
      </c>
      <c r="O177">
        <f>PasteBBM!AB177</f>
        <v>1.527606</v>
      </c>
      <c r="P177">
        <f>PasteBBM!AC177</f>
        <v>0.37507</v>
      </c>
      <c r="Q177">
        <f>PasteBBM!AD177</f>
        <v>1.573944</v>
      </c>
      <c r="R177">
        <f>PasteBBM!AI177</f>
        <v>0.965634</v>
      </c>
      <c r="S177">
        <f>PasteBBM!AE177</f>
        <v>0.583244</v>
      </c>
      <c r="T177">
        <f>PasteBBM!AG177</f>
        <v>0.739012</v>
      </c>
      <c r="V177" s="44">
        <v>-0.41709</v>
      </c>
      <c r="W177" s="44">
        <v>-0.00658</v>
      </c>
      <c r="X177" s="44">
        <v>0.009207</v>
      </c>
      <c r="Y177" s="44">
        <v>-0.4263</v>
      </c>
      <c r="Z177" s="44">
        <v>-0.34564</v>
      </c>
      <c r="AA177" s="45"/>
      <c r="AB177" s="46" t="s">
        <v>126</v>
      </c>
      <c r="AC177" s="44">
        <v>67.0</v>
      </c>
    </row>
    <row r="178">
      <c r="A178" s="2">
        <v>177.0</v>
      </c>
      <c r="B178" s="14">
        <f>IF(PasteBBM!B178="",156,PasteBBM!B178)</f>
        <v>141.6842</v>
      </c>
      <c r="C178" t="str">
        <f>PasteBBM!I178</f>
        <v>Chris Paul</v>
      </c>
      <c r="D178" t="str">
        <f>IFERROR(REPLACE(PasteBBM!K178,FIND("/",PasteBBM!K178,1),1,","),PasteBBM!K178)</f>
        <v>PG</v>
      </c>
      <c r="E178" t="str">
        <f>PasteBBM!J178</f>
        <v>LAC</v>
      </c>
      <c r="F178">
        <f>PasteBBM!U178</f>
        <v>57</v>
      </c>
      <c r="G178">
        <f>PasteBBM!X178</f>
        <v>24</v>
      </c>
      <c r="H178">
        <f>PasteBBM!AE178*PasteBBM!AF178</f>
        <v>2.594561294</v>
      </c>
      <c r="I178">
        <f>PasteBBM!AE178</f>
        <v>0.424593</v>
      </c>
      <c r="J178">
        <f>PasteBBM!AG178*PasteBBM!AH178</f>
        <v>0.5278947972</v>
      </c>
      <c r="K178">
        <f>PasteBBM!AG178</f>
        <v>0.86391</v>
      </c>
      <c r="L178">
        <f>PasteBBM!Z178</f>
        <v>1.517368</v>
      </c>
      <c r="M178">
        <f>PasteBBM!Y178</f>
        <v>7.234386</v>
      </c>
      <c r="N178">
        <f>PasteBBM!AA178</f>
        <v>3.055439</v>
      </c>
      <c r="O178">
        <f>PasteBBM!AB178</f>
        <v>5.044035</v>
      </c>
      <c r="P178">
        <f>PasteBBM!AC178</f>
        <v>1.012281</v>
      </c>
      <c r="Q178">
        <f>PasteBBM!AD178</f>
        <v>0.243509</v>
      </c>
      <c r="R178">
        <f>PasteBBM!AI178</f>
        <v>1.31386</v>
      </c>
      <c r="S178">
        <f>PasteBBM!AE178</f>
        <v>0.424593</v>
      </c>
      <c r="T178">
        <f>PasteBBM!AG178</f>
        <v>0.86391</v>
      </c>
      <c r="V178" s="44">
        <v>-0.41709</v>
      </c>
      <c r="W178" s="44">
        <v>-0.00658</v>
      </c>
      <c r="X178" s="44">
        <v>0.009207</v>
      </c>
      <c r="Y178" s="44">
        <v>-0.4263</v>
      </c>
      <c r="Z178" s="44">
        <v>-0.34564</v>
      </c>
      <c r="AA178" s="45"/>
      <c r="AB178" s="46" t="s">
        <v>126</v>
      </c>
      <c r="AC178" s="44">
        <v>67.0</v>
      </c>
    </row>
    <row r="179">
      <c r="A179" s="2">
        <v>178.0</v>
      </c>
      <c r="B179" s="14">
        <f>IF(PasteBBM!B179="",156,PasteBBM!B179)</f>
        <v>129.625</v>
      </c>
      <c r="C179" t="str">
        <f>PasteBBM!I179</f>
        <v>T.J. McConnell</v>
      </c>
      <c r="D179" t="str">
        <f>IFERROR(REPLACE(PasteBBM!K179,FIND("/",PasteBBM!K179,1),1,","),PasteBBM!K179)</f>
        <v>PG</v>
      </c>
      <c r="E179" t="str">
        <f>PasteBBM!J179</f>
        <v>IND</v>
      </c>
      <c r="F179">
        <f>PasteBBM!U179</f>
        <v>52</v>
      </c>
      <c r="G179">
        <f>PasteBBM!X179</f>
        <v>21</v>
      </c>
      <c r="H179">
        <f>PasteBBM!AE179*PasteBBM!AF179</f>
        <v>4.402308692</v>
      </c>
      <c r="I179">
        <f>PasteBBM!AE179</f>
        <v>0.518846</v>
      </c>
      <c r="J179">
        <f>PasteBBM!AG179*PasteBBM!AH179</f>
        <v>0.7967305992</v>
      </c>
      <c r="K179">
        <f>PasteBBM!AG179</f>
        <v>0.730044</v>
      </c>
      <c r="L179">
        <f>PasteBBM!Z179</f>
        <v>0.277885</v>
      </c>
      <c r="M179">
        <f>PasteBBM!Y179</f>
        <v>9.879231</v>
      </c>
      <c r="N179">
        <f>PasteBBM!AA179</f>
        <v>2.828077</v>
      </c>
      <c r="O179">
        <f>PasteBBM!AB179</f>
        <v>6.109808</v>
      </c>
      <c r="P179">
        <f>PasteBBM!AC179</f>
        <v>1.104615</v>
      </c>
      <c r="Q179">
        <f>PasteBBM!AD179</f>
        <v>0.258654</v>
      </c>
      <c r="R179">
        <f>PasteBBM!AI179</f>
        <v>1.811731</v>
      </c>
      <c r="S179">
        <f>PasteBBM!AE179</f>
        <v>0.518846</v>
      </c>
      <c r="T179">
        <f>PasteBBM!AG179</f>
        <v>0.730044</v>
      </c>
      <c r="V179" s="44">
        <v>-0.41709</v>
      </c>
      <c r="W179" s="44">
        <v>-0.00658</v>
      </c>
      <c r="X179" s="44">
        <v>0.009207</v>
      </c>
      <c r="Y179" s="44">
        <v>-0.4263</v>
      </c>
      <c r="Z179" s="44">
        <v>-0.34564</v>
      </c>
      <c r="AA179" s="45"/>
      <c r="AB179" s="46" t="s">
        <v>126</v>
      </c>
      <c r="AC179" s="44">
        <v>67.0</v>
      </c>
    </row>
    <row r="180">
      <c r="A180" s="2">
        <v>179.0</v>
      </c>
      <c r="B180" s="14">
        <f>IF(PasteBBM!B180="",156,PasteBBM!B180)</f>
        <v>156</v>
      </c>
      <c r="C180" t="str">
        <f>PasteBBM!I180</f>
        <v>Larry Nance Jr.</v>
      </c>
      <c r="D180" t="str">
        <f>IFERROR(REPLACE(PasteBBM!K180,FIND("/",PasteBBM!K180,1),1,","),PasteBBM!K180)</f>
        <v>PF,C</v>
      </c>
      <c r="E180" t="str">
        <f>PasteBBM!J180</f>
        <v>CLE</v>
      </c>
      <c r="F180">
        <f>PasteBBM!U180</f>
        <v>58</v>
      </c>
      <c r="G180">
        <f>PasteBBM!X180</f>
        <v>22</v>
      </c>
      <c r="H180">
        <f>PasteBBM!AE180*PasteBBM!AF180</f>
        <v>2.957415018</v>
      </c>
      <c r="I180">
        <f>PasteBBM!AE180</f>
        <v>0.476724</v>
      </c>
      <c r="J180">
        <f>PasteBBM!AG180*PasteBBM!AH180</f>
        <v>0.4627587597</v>
      </c>
      <c r="K180">
        <f>PasteBBM!AG180</f>
        <v>0.74597</v>
      </c>
      <c r="L180">
        <f>PasteBBM!Z180</f>
        <v>0.893276</v>
      </c>
      <c r="M180">
        <f>PasteBBM!Y180</f>
        <v>7.270862</v>
      </c>
      <c r="N180">
        <f>PasteBBM!AA180</f>
        <v>4.768103</v>
      </c>
      <c r="O180">
        <f>PasteBBM!AB180</f>
        <v>1.897931</v>
      </c>
      <c r="P180">
        <f>PasteBBM!AC180</f>
        <v>1.030172</v>
      </c>
      <c r="Q180">
        <f>PasteBBM!AD180</f>
        <v>0.413621</v>
      </c>
      <c r="R180">
        <f>PasteBBM!AI180</f>
        <v>0.782241</v>
      </c>
      <c r="S180">
        <f>PasteBBM!AE180</f>
        <v>0.476724</v>
      </c>
      <c r="T180">
        <f>PasteBBM!AG180</f>
        <v>0.74597</v>
      </c>
      <c r="V180" s="44">
        <v>-0.41709</v>
      </c>
      <c r="W180" s="44">
        <v>-0.00658</v>
      </c>
      <c r="X180" s="44">
        <v>0.009207</v>
      </c>
      <c r="Y180" s="44">
        <v>-0.4263</v>
      </c>
      <c r="Z180" s="44">
        <v>-0.34564</v>
      </c>
      <c r="AA180" s="45"/>
      <c r="AB180" s="46" t="s">
        <v>126</v>
      </c>
      <c r="AC180" s="44">
        <v>67.0</v>
      </c>
    </row>
    <row r="181">
      <c r="A181" s="2">
        <v>180.0</v>
      </c>
      <c r="B181" s="14">
        <f>IF(PasteBBM!B181="",156,PasteBBM!B181)</f>
        <v>125.0294</v>
      </c>
      <c r="C181" t="str">
        <f>PasteBBM!I181</f>
        <v>Keyonte George</v>
      </c>
      <c r="D181" t="str">
        <f>IFERROR(REPLACE(PasteBBM!K181,FIND("/",PasteBBM!K181,1),1,","),PasteBBM!K181)</f>
        <v>PG</v>
      </c>
      <c r="E181" t="str">
        <f>PasteBBM!J181</f>
        <v>UTA</v>
      </c>
      <c r="F181">
        <f>PasteBBM!U181</f>
        <v>66</v>
      </c>
      <c r="G181">
        <f>PasteBBM!X181</f>
        <v>31</v>
      </c>
      <c r="H181">
        <f>PasteBBM!AE181*PasteBBM!AF181</f>
        <v>5.864246764</v>
      </c>
      <c r="I181">
        <f>PasteBBM!AE181</f>
        <v>0.410035</v>
      </c>
      <c r="J181">
        <f>PasteBBM!AG181*PasteBBM!AH181</f>
        <v>3.556968152</v>
      </c>
      <c r="K181">
        <f>PasteBBM!AG181</f>
        <v>0.829013</v>
      </c>
      <c r="L181">
        <f>PasteBBM!Z181</f>
        <v>2.764848</v>
      </c>
      <c r="M181">
        <f>PasteBBM!Y181</f>
        <v>18.0503</v>
      </c>
      <c r="N181">
        <f>PasteBBM!AA181</f>
        <v>3.459091</v>
      </c>
      <c r="O181">
        <f>PasteBBM!AB181</f>
        <v>4.656515</v>
      </c>
      <c r="P181">
        <f>PasteBBM!AC181</f>
        <v>0.597273</v>
      </c>
      <c r="Q181">
        <f>PasteBBM!AD181</f>
        <v>0.133182</v>
      </c>
      <c r="R181">
        <f>PasteBBM!AI181</f>
        <v>2.128636</v>
      </c>
      <c r="S181">
        <f>PasteBBM!AE181</f>
        <v>0.410035</v>
      </c>
      <c r="T181">
        <f>PasteBBM!AG181</f>
        <v>0.829013</v>
      </c>
      <c r="V181" s="44">
        <v>-0.41709</v>
      </c>
      <c r="W181" s="44">
        <v>-0.00658</v>
      </c>
      <c r="X181" s="44">
        <v>0.009207</v>
      </c>
      <c r="Y181" s="44">
        <v>-0.4263</v>
      </c>
      <c r="Z181" s="44">
        <v>-0.34564</v>
      </c>
      <c r="AA181" s="45"/>
      <c r="AB181" s="46" t="s">
        <v>126</v>
      </c>
      <c r="AC181" s="44">
        <v>67.0</v>
      </c>
    </row>
    <row r="182">
      <c r="A182" s="2">
        <v>181.0</v>
      </c>
      <c r="B182" s="14">
        <f>IF(PasteBBM!B182="",156,PasteBBM!B182)</f>
        <v>145.25</v>
      </c>
      <c r="C182" t="str">
        <f>PasteBBM!I182</f>
        <v>Brice Sensabaugh</v>
      </c>
      <c r="D182" t="str">
        <f>IFERROR(REPLACE(PasteBBM!K182,FIND("/",PasteBBM!K182,1),1,","),PasteBBM!K182)</f>
        <v>SF,PF</v>
      </c>
      <c r="E182" t="str">
        <f>PasteBBM!J182</f>
        <v>UTA</v>
      </c>
      <c r="F182">
        <f>PasteBBM!U182</f>
        <v>66</v>
      </c>
      <c r="G182">
        <f>PasteBBM!X182</f>
        <v>26</v>
      </c>
      <c r="H182">
        <f>PasteBBM!AE182*PasteBBM!AF182</f>
        <v>4.891515521</v>
      </c>
      <c r="I182">
        <f>PasteBBM!AE182</f>
        <v>0.429777</v>
      </c>
      <c r="J182">
        <f>PasteBBM!AG182*PasteBBM!AH182</f>
        <v>1.323484462</v>
      </c>
      <c r="K182">
        <f>PasteBBM!AG182</f>
        <v>0.859998</v>
      </c>
      <c r="L182">
        <f>PasteBBM!Z182</f>
        <v>2.952121</v>
      </c>
      <c r="M182">
        <f>PasteBBM!Y182</f>
        <v>14.05864</v>
      </c>
      <c r="N182">
        <f>PasteBBM!AA182</f>
        <v>3.961212</v>
      </c>
      <c r="O182">
        <f>PasteBBM!AB182</f>
        <v>2.192879</v>
      </c>
      <c r="P182">
        <f>PasteBBM!AC182</f>
        <v>0.799848</v>
      </c>
      <c r="Q182">
        <f>PasteBBM!AD182</f>
        <v>0.164848</v>
      </c>
      <c r="R182">
        <f>PasteBBM!AI182</f>
        <v>1.87303</v>
      </c>
      <c r="S182">
        <f>PasteBBM!AE182</f>
        <v>0.429777</v>
      </c>
      <c r="T182">
        <f>PasteBBM!AG182</f>
        <v>0.859998</v>
      </c>
      <c r="V182" s="44">
        <v>-0.41709</v>
      </c>
      <c r="W182" s="44">
        <v>-0.00658</v>
      </c>
      <c r="X182" s="44">
        <v>0.009207</v>
      </c>
      <c r="Y182" s="44">
        <v>-0.4263</v>
      </c>
      <c r="Z182" s="44">
        <v>-0.34564</v>
      </c>
      <c r="AA182" s="45"/>
      <c r="AB182" s="46" t="s">
        <v>126</v>
      </c>
      <c r="AC182" s="44">
        <v>67.0</v>
      </c>
    </row>
    <row r="183">
      <c r="A183" s="2">
        <v>182.0</v>
      </c>
      <c r="B183" s="14">
        <f>IF(PasteBBM!B183="",156,PasteBBM!B183)</f>
        <v>136.3659</v>
      </c>
      <c r="C183" t="str">
        <f>PasteBBM!I183</f>
        <v>Scoot Henderson</v>
      </c>
      <c r="D183" t="str">
        <f>IFERROR(REPLACE(PasteBBM!K183,FIND("/",PasteBBM!K183,1),1,","),PasteBBM!K183)</f>
        <v>PG</v>
      </c>
      <c r="E183" t="str">
        <f>PasteBBM!J183</f>
        <v>POR</v>
      </c>
      <c r="F183">
        <f>PasteBBM!U183</f>
        <v>50</v>
      </c>
      <c r="G183">
        <f>PasteBBM!X183</f>
        <v>31</v>
      </c>
      <c r="H183">
        <f>PasteBBM!AE183*PasteBBM!AF183</f>
        <v>5.773400506</v>
      </c>
      <c r="I183">
        <f>PasteBBM!AE183</f>
        <v>0.433888</v>
      </c>
      <c r="J183">
        <f>PasteBBM!AG183*PasteBBM!AH183</f>
        <v>2.809598342</v>
      </c>
      <c r="K183">
        <f>PasteBBM!AG183</f>
        <v>0.782008</v>
      </c>
      <c r="L183">
        <f>PasteBBM!Z183</f>
        <v>2.289</v>
      </c>
      <c r="M183">
        <f>PasteBBM!Y183</f>
        <v>16.6454</v>
      </c>
      <c r="N183">
        <f>PasteBBM!AA183</f>
        <v>3.4914</v>
      </c>
      <c r="O183">
        <f>PasteBBM!AB183</f>
        <v>6.5312</v>
      </c>
      <c r="P183">
        <f>PasteBBM!AC183</f>
        <v>0.9882</v>
      </c>
      <c r="Q183">
        <f>PasteBBM!AD183</f>
        <v>0.1936</v>
      </c>
      <c r="R183">
        <f>PasteBBM!AI183</f>
        <v>3.3018</v>
      </c>
      <c r="S183">
        <f>PasteBBM!AE183</f>
        <v>0.433888</v>
      </c>
      <c r="T183">
        <f>PasteBBM!AG183</f>
        <v>0.782008</v>
      </c>
      <c r="V183" s="44">
        <v>-0.41709</v>
      </c>
      <c r="W183" s="44">
        <v>-0.00658</v>
      </c>
      <c r="X183" s="44">
        <v>0.009207</v>
      </c>
      <c r="Y183" s="44">
        <v>-0.4263</v>
      </c>
      <c r="Z183" s="44">
        <v>-0.34564</v>
      </c>
      <c r="AA183" s="45"/>
      <c r="AB183" s="46" t="s">
        <v>126</v>
      </c>
      <c r="AC183" s="44">
        <v>67.0</v>
      </c>
    </row>
    <row r="184">
      <c r="A184" s="2">
        <v>183.0</v>
      </c>
      <c r="B184" s="14">
        <f>IF(PasteBBM!B184="",156,PasteBBM!B184)</f>
        <v>153</v>
      </c>
      <c r="C184" t="str">
        <f>PasteBBM!I184</f>
        <v>Day'Ron Sharpe</v>
      </c>
      <c r="D184" t="str">
        <f>IFERROR(REPLACE(PasteBBM!K184,FIND("/",PasteBBM!K184,1),1,","),PasteBBM!K184)</f>
        <v>C</v>
      </c>
      <c r="E184" t="str">
        <f>PasteBBM!J184</f>
        <v>BKN</v>
      </c>
      <c r="F184">
        <f>PasteBBM!U184</f>
        <v>66</v>
      </c>
      <c r="G184">
        <f>PasteBBM!X184</f>
        <v>19</v>
      </c>
      <c r="H184">
        <f>PasteBBM!AE184*PasteBBM!AF184</f>
        <v>3.650151268</v>
      </c>
      <c r="I184">
        <f>PasteBBM!AE184</f>
        <v>0.529205</v>
      </c>
      <c r="J184">
        <f>PasteBBM!AG184*PasteBBM!AH184</f>
        <v>0.8603028532</v>
      </c>
      <c r="K184">
        <f>PasteBBM!AG184</f>
        <v>0.692946</v>
      </c>
      <c r="L184">
        <f>PasteBBM!Z184</f>
        <v>0.297879</v>
      </c>
      <c r="M184">
        <f>PasteBBM!Y184</f>
        <v>8.458485</v>
      </c>
      <c r="N184">
        <f>PasteBBM!AA184</f>
        <v>7.288939</v>
      </c>
      <c r="O184">
        <f>PasteBBM!AB184</f>
        <v>1.885</v>
      </c>
      <c r="P184">
        <f>PasteBBM!AC184</f>
        <v>0.587879</v>
      </c>
      <c r="Q184">
        <f>PasteBBM!AD184</f>
        <v>0.931364</v>
      </c>
      <c r="R184">
        <f>PasteBBM!AI184</f>
        <v>1.253939</v>
      </c>
      <c r="S184">
        <f>PasteBBM!AE184</f>
        <v>0.529205</v>
      </c>
      <c r="T184">
        <f>PasteBBM!AG184</f>
        <v>0.692946</v>
      </c>
      <c r="V184" s="44">
        <v>-0.41709</v>
      </c>
      <c r="W184" s="44">
        <v>-0.00658</v>
      </c>
      <c r="X184" s="44">
        <v>0.009207</v>
      </c>
      <c r="Y184" s="44">
        <v>-0.4263</v>
      </c>
      <c r="Z184" s="44">
        <v>-0.34564</v>
      </c>
      <c r="AA184" s="45"/>
      <c r="AB184" s="46" t="s">
        <v>126</v>
      </c>
      <c r="AC184" s="44">
        <v>67.0</v>
      </c>
    </row>
    <row r="185">
      <c r="A185" s="2">
        <v>184.0</v>
      </c>
      <c r="B185" s="14">
        <f>IF(PasteBBM!B185="",156,PasteBBM!B185)</f>
        <v>156</v>
      </c>
      <c r="C185" t="str">
        <f>PasteBBM!I185</f>
        <v>Kevon Looney</v>
      </c>
      <c r="D185" t="str">
        <f>IFERROR(REPLACE(PasteBBM!K185,FIND("/",PasteBBM!K185,1),1,","),PasteBBM!K185)</f>
        <v>C</v>
      </c>
      <c r="E185" t="str">
        <f>PasteBBM!J185</f>
        <v>NOR</v>
      </c>
      <c r="F185">
        <f>PasteBBM!U185</f>
        <v>71</v>
      </c>
      <c r="G185">
        <f>PasteBBM!X185</f>
        <v>22</v>
      </c>
      <c r="H185">
        <f>PasteBBM!AE185*PasteBBM!AF185</f>
        <v>2.254508015</v>
      </c>
      <c r="I185">
        <f>PasteBBM!AE185</f>
        <v>0.5127</v>
      </c>
      <c r="J185">
        <f>PasteBBM!AG185*PasteBBM!AH185</f>
        <v>1.056197751</v>
      </c>
      <c r="K185">
        <f>PasteBBM!AG185</f>
        <v>0.655966</v>
      </c>
      <c r="L185">
        <f>PasteBBM!Z185</f>
        <v>0.060282</v>
      </c>
      <c r="M185">
        <f>PasteBBM!Y185</f>
        <v>5.625493</v>
      </c>
      <c r="N185">
        <f>PasteBBM!AA185</f>
        <v>8.147324</v>
      </c>
      <c r="O185">
        <f>PasteBBM!AB185</f>
        <v>2.036901</v>
      </c>
      <c r="P185">
        <f>PasteBBM!AC185</f>
        <v>0.747887</v>
      </c>
      <c r="Q185">
        <f>PasteBBM!AD185</f>
        <v>0.644507</v>
      </c>
      <c r="R185">
        <f>PasteBBM!AI185</f>
        <v>0.555493</v>
      </c>
      <c r="S185">
        <f>PasteBBM!AE185</f>
        <v>0.5127</v>
      </c>
      <c r="T185">
        <f>PasteBBM!AG185</f>
        <v>0.655966</v>
      </c>
      <c r="V185" s="44">
        <v>-0.41709</v>
      </c>
      <c r="W185" s="44">
        <v>-0.00658</v>
      </c>
      <c r="X185" s="44">
        <v>0.009207</v>
      </c>
      <c r="Y185" s="44">
        <v>-0.4263</v>
      </c>
      <c r="Z185" s="44">
        <v>-0.34564</v>
      </c>
      <c r="AA185" s="45"/>
      <c r="AB185" s="46" t="s">
        <v>126</v>
      </c>
      <c r="AC185" s="44">
        <v>67.0</v>
      </c>
    </row>
    <row r="186">
      <c r="A186" s="2">
        <v>185.0</v>
      </c>
      <c r="B186" s="14">
        <f>IF(PasteBBM!B186="",156,PasteBBM!B186)</f>
        <v>144.4286</v>
      </c>
      <c r="C186" t="str">
        <f>PasteBBM!I186</f>
        <v>Ayo Dosunmu</v>
      </c>
      <c r="D186" t="str">
        <f>IFERROR(REPLACE(PasteBBM!K186,FIND("/",PasteBBM!K186,1),1,","),PasteBBM!K186)</f>
        <v>SG,SF</v>
      </c>
      <c r="E186" t="str">
        <f>PasteBBM!J186</f>
        <v>CHI</v>
      </c>
      <c r="F186">
        <f>PasteBBM!U186</f>
        <v>66</v>
      </c>
      <c r="G186">
        <f>PasteBBM!X186</f>
        <v>25</v>
      </c>
      <c r="H186">
        <f>PasteBBM!AE186*PasteBBM!AF186</f>
        <v>4.380456258</v>
      </c>
      <c r="I186">
        <f>PasteBBM!AE186</f>
        <v>0.506935</v>
      </c>
      <c r="J186">
        <f>PasteBBM!AG186*PasteBBM!AH186</f>
        <v>1.038333143</v>
      </c>
      <c r="K186">
        <f>PasteBBM!AG186</f>
        <v>0.789971</v>
      </c>
      <c r="L186">
        <f>PasteBBM!Z186</f>
        <v>1.324848</v>
      </c>
      <c r="M186">
        <f>PasteBBM!Y186</f>
        <v>11.12409</v>
      </c>
      <c r="N186">
        <f>PasteBBM!AA186</f>
        <v>2.679697</v>
      </c>
      <c r="O186">
        <f>PasteBBM!AB186</f>
        <v>3.497879</v>
      </c>
      <c r="P186">
        <f>PasteBBM!AC186</f>
        <v>0.848333</v>
      </c>
      <c r="Q186">
        <f>PasteBBM!AD186</f>
        <v>0.334848</v>
      </c>
      <c r="R186">
        <f>PasteBBM!AI186</f>
        <v>1.476515</v>
      </c>
      <c r="S186">
        <f>PasteBBM!AE186</f>
        <v>0.506935</v>
      </c>
      <c r="T186">
        <f>PasteBBM!AG186</f>
        <v>0.789971</v>
      </c>
      <c r="V186" s="44">
        <v>-0.41709</v>
      </c>
      <c r="W186" s="44">
        <v>-0.00658</v>
      </c>
      <c r="X186" s="44">
        <v>0.009207</v>
      </c>
      <c r="Y186" s="44">
        <v>-0.4263</v>
      </c>
      <c r="Z186" s="44">
        <v>-0.34564</v>
      </c>
      <c r="AA186" s="45"/>
      <c r="AB186" s="46" t="s">
        <v>126</v>
      </c>
      <c r="AC186" s="44">
        <v>67.0</v>
      </c>
    </row>
    <row r="187">
      <c r="A187" s="2">
        <v>186.0</v>
      </c>
      <c r="B187" s="14">
        <f>IF(PasteBBM!B187="",156,PasteBBM!B187)</f>
        <v>137.4375</v>
      </c>
      <c r="C187" t="str">
        <f>PasteBBM!I187</f>
        <v>Dennis Schroder</v>
      </c>
      <c r="D187" t="str">
        <f>IFERROR(REPLACE(PasteBBM!K187,FIND("/",PasteBBM!K187,1),1,","),PasteBBM!K187)</f>
        <v>PG</v>
      </c>
      <c r="E187" t="str">
        <f>PasteBBM!J187</f>
        <v>SAC</v>
      </c>
      <c r="F187">
        <f>PasteBBM!U187</f>
        <v>71</v>
      </c>
      <c r="G187">
        <f>PasteBBM!X187</f>
        <v>31</v>
      </c>
      <c r="H187">
        <f>PasteBBM!AE187*PasteBBM!AF187</f>
        <v>4.489712599</v>
      </c>
      <c r="I187">
        <f>PasteBBM!AE187</f>
        <v>0.409556</v>
      </c>
      <c r="J187">
        <f>PasteBBM!AG187*PasteBBM!AH187</f>
        <v>2.709998463</v>
      </c>
      <c r="K187">
        <f>PasteBBM!AG187</f>
        <v>0.82399</v>
      </c>
      <c r="L187">
        <f>PasteBBM!Z187</f>
        <v>1.514789</v>
      </c>
      <c r="M187">
        <f>PasteBBM!Y187</f>
        <v>13.20423</v>
      </c>
      <c r="N187">
        <f>PasteBBM!AA187</f>
        <v>3.007042</v>
      </c>
      <c r="O187">
        <f>PasteBBM!AB187</f>
        <v>6.230141</v>
      </c>
      <c r="P187">
        <f>PasteBBM!AC187</f>
        <v>0.814366</v>
      </c>
      <c r="Q187">
        <f>PasteBBM!AD187</f>
        <v>0.184507</v>
      </c>
      <c r="R187">
        <f>PasteBBM!AI187</f>
        <v>1.850704</v>
      </c>
      <c r="S187">
        <f>PasteBBM!AE187</f>
        <v>0.409556</v>
      </c>
      <c r="T187">
        <f>PasteBBM!AG187</f>
        <v>0.82399</v>
      </c>
      <c r="V187" s="44">
        <v>-0.41709</v>
      </c>
      <c r="W187" s="44">
        <v>-0.00658</v>
      </c>
      <c r="X187" s="44">
        <v>0.009207</v>
      </c>
      <c r="Y187" s="44">
        <v>-0.4263</v>
      </c>
      <c r="Z187" s="44">
        <v>-0.34564</v>
      </c>
      <c r="AA187" s="45"/>
      <c r="AB187" s="46" t="s">
        <v>126</v>
      </c>
      <c r="AC187" s="44">
        <v>67.0</v>
      </c>
    </row>
    <row r="188">
      <c r="A188" s="2">
        <v>187.0</v>
      </c>
      <c r="B188" s="14">
        <f>IF(PasteBBM!B188="",156,PasteBBM!B188)</f>
        <v>137.9167</v>
      </c>
      <c r="C188" t="str">
        <f>PasteBBM!I188</f>
        <v>Jaylen Wells</v>
      </c>
      <c r="D188" t="str">
        <f>IFERROR(REPLACE(PasteBBM!K188,FIND("/",PasteBBM!K188,1),1,","),PasteBBM!K188)</f>
        <v>SG,SF</v>
      </c>
      <c r="E188" t="str">
        <f>PasteBBM!J188</f>
        <v>MEM</v>
      </c>
      <c r="F188">
        <f>PasteBBM!U188</f>
        <v>71</v>
      </c>
      <c r="G188">
        <f>PasteBBM!X188</f>
        <v>29</v>
      </c>
      <c r="H188">
        <f>PasteBBM!AE188*PasteBBM!AF188</f>
        <v>3.884365657</v>
      </c>
      <c r="I188">
        <f>PasteBBM!AE188</f>
        <v>0.43738</v>
      </c>
      <c r="J188">
        <f>PasteBBM!AG188*PasteBBM!AH188</f>
        <v>1.865070184</v>
      </c>
      <c r="K188">
        <f>PasteBBM!AG188</f>
        <v>0.840015</v>
      </c>
      <c r="L188">
        <f>PasteBBM!Z188</f>
        <v>2.047887</v>
      </c>
      <c r="M188">
        <f>PasteBBM!Y188</f>
        <v>11.68169</v>
      </c>
      <c r="N188">
        <f>PasteBBM!AA188</f>
        <v>4.440563</v>
      </c>
      <c r="O188">
        <f>PasteBBM!AB188</f>
        <v>2.283803</v>
      </c>
      <c r="P188">
        <f>PasteBBM!AC188</f>
        <v>0.641268</v>
      </c>
      <c r="Q188">
        <f>PasteBBM!AD188</f>
        <v>0.126056</v>
      </c>
      <c r="R188">
        <f>PasteBBM!AI188</f>
        <v>1.01507</v>
      </c>
      <c r="S188">
        <f>PasteBBM!AE188</f>
        <v>0.43738</v>
      </c>
      <c r="T188">
        <f>PasteBBM!AG188</f>
        <v>0.840015</v>
      </c>
      <c r="V188" s="44">
        <v>-0.41709</v>
      </c>
      <c r="W188" s="44">
        <v>-0.00658</v>
      </c>
      <c r="X188" s="44">
        <v>0.009207</v>
      </c>
      <c r="Y188" s="44">
        <v>-0.4263</v>
      </c>
      <c r="Z188" s="44">
        <v>-0.34564</v>
      </c>
      <c r="AA188" s="45"/>
      <c r="AB188" s="46" t="s">
        <v>126</v>
      </c>
      <c r="AC188" s="44">
        <v>67.0</v>
      </c>
    </row>
    <row r="189">
      <c r="A189" s="2">
        <v>188.0</v>
      </c>
      <c r="B189" s="14">
        <f>IF(PasteBBM!B189="",156,PasteBBM!B189)</f>
        <v>142.3171</v>
      </c>
      <c r="C189" t="str">
        <f>PasteBBM!I189</f>
        <v>VJ Edgecombe</v>
      </c>
      <c r="D189" t="str">
        <f>IFERROR(REPLACE(PasteBBM!K189,FIND("/",PasteBBM!K189,1),1,","),PasteBBM!K189)</f>
        <v>SG</v>
      </c>
      <c r="E189" t="str">
        <f>PasteBBM!J189</f>
        <v>PHI</v>
      </c>
      <c r="F189">
        <f>PasteBBM!U189</f>
        <v>71</v>
      </c>
      <c r="G189">
        <f>PasteBBM!X189</f>
        <v>30</v>
      </c>
      <c r="H189">
        <f>PasteBBM!AE189*PasteBBM!AF189</f>
        <v>4.029159064</v>
      </c>
      <c r="I189">
        <f>PasteBBM!AE189</f>
        <v>0.408019</v>
      </c>
      <c r="J189">
        <f>PasteBBM!AG189*PasteBBM!AH189</f>
        <v>1.80831</v>
      </c>
      <c r="K189">
        <f>PasteBBM!AG189</f>
        <v>0.763</v>
      </c>
      <c r="L189">
        <f>PasteBBM!Z189</f>
        <v>1.453662</v>
      </c>
      <c r="M189">
        <f>PasteBBM!Y189</f>
        <v>11.32028</v>
      </c>
      <c r="N189">
        <f>PasteBBM!AA189</f>
        <v>4.062535</v>
      </c>
      <c r="O189">
        <f>PasteBBM!AB189</f>
        <v>2.25</v>
      </c>
      <c r="P189">
        <f>PasteBBM!AC189</f>
        <v>1.437465</v>
      </c>
      <c r="Q189">
        <f>PasteBBM!AD189</f>
        <v>0.437465</v>
      </c>
      <c r="R189">
        <f>PasteBBM!AI189</f>
        <v>1.87507</v>
      </c>
      <c r="S189">
        <f>PasteBBM!AE189</f>
        <v>0.408019</v>
      </c>
      <c r="T189">
        <f>PasteBBM!AG189</f>
        <v>0.763</v>
      </c>
      <c r="V189" s="44">
        <v>-0.41709</v>
      </c>
      <c r="W189" s="44">
        <v>-0.00658</v>
      </c>
      <c r="X189" s="44">
        <v>0.009207</v>
      </c>
      <c r="Y189" s="44">
        <v>-0.4263</v>
      </c>
      <c r="Z189" s="44">
        <v>-0.34564</v>
      </c>
      <c r="AA189" s="45"/>
      <c r="AB189" s="46" t="s">
        <v>126</v>
      </c>
      <c r="AC189" s="44">
        <v>67.0</v>
      </c>
    </row>
    <row r="190">
      <c r="A190" s="2">
        <v>189.0</v>
      </c>
      <c r="B190" s="14">
        <f>IF(PasteBBM!B190="",156,PasteBBM!B190)</f>
        <v>127</v>
      </c>
      <c r="C190" t="str">
        <f>PasteBBM!I190</f>
        <v>Duncan Robinson</v>
      </c>
      <c r="D190" t="str">
        <f>IFERROR(REPLACE(PasteBBM!K190,FIND("/",PasteBBM!K190,1),1,","),PasteBBM!K190)</f>
        <v>SG,SF</v>
      </c>
      <c r="E190" t="str">
        <f>PasteBBM!J190</f>
        <v>DET</v>
      </c>
      <c r="F190">
        <f>PasteBBM!U190</f>
        <v>66</v>
      </c>
      <c r="G190">
        <f>PasteBBM!X190</f>
        <v>27</v>
      </c>
      <c r="H190">
        <f>PasteBBM!AE190*PasteBBM!AF190</f>
        <v>4.271666605</v>
      </c>
      <c r="I190">
        <f>PasteBBM!AE190</f>
        <v>0.442257</v>
      </c>
      <c r="J190">
        <f>PasteBBM!AG190*PasteBBM!AH190</f>
        <v>0.7080304652</v>
      </c>
      <c r="K190">
        <f>PasteBBM!AG190</f>
        <v>0.889926</v>
      </c>
      <c r="L190">
        <f>PasteBBM!Z190</f>
        <v>2.948182</v>
      </c>
      <c r="M190">
        <f>PasteBBM!Y190</f>
        <v>12.19955</v>
      </c>
      <c r="N190">
        <f>PasteBBM!AA190</f>
        <v>2.613333</v>
      </c>
      <c r="O190">
        <f>PasteBBM!AB190</f>
        <v>2.386061</v>
      </c>
      <c r="P190">
        <f>PasteBBM!AC190</f>
        <v>0.693939</v>
      </c>
      <c r="Q190">
        <f>PasteBBM!AD190</f>
        <v>0.112273</v>
      </c>
      <c r="R190">
        <f>PasteBBM!AI190</f>
        <v>1.306667</v>
      </c>
      <c r="S190">
        <f>PasteBBM!AE190</f>
        <v>0.442257</v>
      </c>
      <c r="T190">
        <f>PasteBBM!AG190</f>
        <v>0.889926</v>
      </c>
      <c r="V190" s="44">
        <v>-0.41709</v>
      </c>
      <c r="W190" s="44">
        <v>-0.00658</v>
      </c>
      <c r="X190" s="44">
        <v>0.009207</v>
      </c>
      <c r="Y190" s="44">
        <v>-0.4263</v>
      </c>
      <c r="Z190" s="44">
        <v>-0.34564</v>
      </c>
      <c r="AA190" s="45"/>
      <c r="AB190" s="46" t="s">
        <v>126</v>
      </c>
      <c r="AC190" s="44">
        <v>67.0</v>
      </c>
    </row>
    <row r="191">
      <c r="A191" s="2">
        <v>190.0</v>
      </c>
      <c r="B191" s="14">
        <f>IF(PasteBBM!B191="",156,PasteBBM!B191)</f>
        <v>115.1143</v>
      </c>
      <c r="C191" t="str">
        <f>PasteBBM!I191</f>
        <v>Jaden Ivey</v>
      </c>
      <c r="D191" t="str">
        <f>IFERROR(REPLACE(PasteBBM!K191,FIND("/",PasteBBM!K191,1),1,","),PasteBBM!K191)</f>
        <v>SG</v>
      </c>
      <c r="E191" t="str">
        <f>PasteBBM!J191</f>
        <v>DET</v>
      </c>
      <c r="F191">
        <f>PasteBBM!U191</f>
        <v>66</v>
      </c>
      <c r="G191">
        <f>PasteBBM!X191</f>
        <v>32</v>
      </c>
      <c r="H191">
        <f>PasteBBM!AE191*PasteBBM!AF191</f>
        <v>6.606972798</v>
      </c>
      <c r="I191">
        <f>PasteBBM!AE191</f>
        <v>0.445997</v>
      </c>
      <c r="J191">
        <f>PasteBBM!AG191*PasteBBM!AH191</f>
        <v>3.507881104</v>
      </c>
      <c r="K191">
        <f>PasteBBM!AG191</f>
        <v>0.740012</v>
      </c>
      <c r="L191">
        <f>PasteBBM!Z191</f>
        <v>2.082727</v>
      </c>
      <c r="M191">
        <f>PasteBBM!Y191</f>
        <v>18.80455</v>
      </c>
      <c r="N191">
        <f>PasteBBM!AA191</f>
        <v>4.04</v>
      </c>
      <c r="O191">
        <f>PasteBBM!AB191</f>
        <v>4.309394</v>
      </c>
      <c r="P191">
        <f>PasteBBM!AC191</f>
        <v>0.955758</v>
      </c>
      <c r="Q191">
        <f>PasteBBM!AD191</f>
        <v>0.400303</v>
      </c>
      <c r="R191">
        <f>PasteBBM!AI191</f>
        <v>2.760606</v>
      </c>
      <c r="S191">
        <f>PasteBBM!AE191</f>
        <v>0.445997</v>
      </c>
      <c r="T191">
        <f>PasteBBM!AG191</f>
        <v>0.740012</v>
      </c>
      <c r="V191" s="44">
        <v>-0.41709</v>
      </c>
      <c r="W191" s="44">
        <v>-0.00658</v>
      </c>
      <c r="X191" s="44">
        <v>0.009207</v>
      </c>
      <c r="Y191" s="44">
        <v>-0.4263</v>
      </c>
      <c r="Z191" s="44">
        <v>-0.34564</v>
      </c>
      <c r="AA191" s="45"/>
      <c r="AB191" s="46" t="s">
        <v>126</v>
      </c>
      <c r="AC191" s="44">
        <v>67.0</v>
      </c>
    </row>
    <row r="192">
      <c r="A192" s="2">
        <v>191.0</v>
      </c>
      <c r="B192" s="14">
        <f>IF(PasteBBM!B192="",156,PasteBBM!B192)</f>
        <v>137.9787</v>
      </c>
      <c r="C192" t="str">
        <f>PasteBBM!I192</f>
        <v>Brook Lopez</v>
      </c>
      <c r="D192" t="str">
        <f>IFERROR(REPLACE(PasteBBM!K192,FIND("/",PasteBBM!K192,1),1,","),PasteBBM!K192)</f>
        <v>C</v>
      </c>
      <c r="E192" t="str">
        <f>PasteBBM!J192</f>
        <v>LAC</v>
      </c>
      <c r="F192">
        <f>PasteBBM!U192</f>
        <v>71</v>
      </c>
      <c r="G192">
        <f>PasteBBM!X192</f>
        <v>21</v>
      </c>
      <c r="H192">
        <f>PasteBBM!AE192*PasteBBM!AF192</f>
        <v>3.489997429</v>
      </c>
      <c r="I192">
        <f>PasteBBM!AE192</f>
        <v>0.50761</v>
      </c>
      <c r="J192">
        <f>PasteBBM!AG192*PasteBBM!AH192</f>
        <v>1.031690582</v>
      </c>
      <c r="K192">
        <f>PasteBBM!AG192</f>
        <v>0.838005</v>
      </c>
      <c r="L192">
        <f>PasteBBM!Z192</f>
        <v>1.169437</v>
      </c>
      <c r="M192">
        <f>PasteBBM!Y192</f>
        <v>9.181127</v>
      </c>
      <c r="N192">
        <f>PasteBBM!AA192</f>
        <v>3.310141</v>
      </c>
      <c r="O192">
        <f>PasteBBM!AB192</f>
        <v>1.004507</v>
      </c>
      <c r="P192">
        <f>PasteBBM!AC192</f>
        <v>0.317465</v>
      </c>
      <c r="Q192">
        <f>PasteBBM!AD192</f>
        <v>1.315493</v>
      </c>
      <c r="R192">
        <f>PasteBBM!AI192</f>
        <v>0.704366</v>
      </c>
      <c r="S192">
        <f>PasteBBM!AE192</f>
        <v>0.50761</v>
      </c>
      <c r="T192">
        <f>PasteBBM!AG192</f>
        <v>0.838005</v>
      </c>
      <c r="V192" s="44">
        <v>-0.41709</v>
      </c>
      <c r="W192" s="44">
        <v>-0.00658</v>
      </c>
      <c r="X192" s="44">
        <v>0.009207</v>
      </c>
      <c r="Y192" s="44">
        <v>-0.4263</v>
      </c>
      <c r="Z192" s="44">
        <v>-0.34564</v>
      </c>
      <c r="AA192" s="45"/>
      <c r="AB192" s="46" t="s">
        <v>126</v>
      </c>
      <c r="AC192" s="44">
        <v>67.0</v>
      </c>
    </row>
    <row r="193">
      <c r="A193" s="2">
        <v>192.0</v>
      </c>
      <c r="B193" s="14">
        <f>IF(PasteBBM!B193="",156,PasteBBM!B193)</f>
        <v>156</v>
      </c>
      <c r="C193" t="str">
        <f>PasteBBM!I193</f>
        <v>Mouhamed Gueye</v>
      </c>
      <c r="D193" t="str">
        <f>IFERROR(REPLACE(PasteBBM!K193,FIND("/",PasteBBM!K193,1),1,","),PasteBBM!K193)</f>
        <v>PF</v>
      </c>
      <c r="E193" t="str">
        <f>PasteBBM!J193</f>
        <v>ATL</v>
      </c>
      <c r="F193">
        <f>PasteBBM!U193</f>
        <v>71</v>
      </c>
      <c r="G193">
        <f>PasteBBM!X193</f>
        <v>18</v>
      </c>
      <c r="H193">
        <f>PasteBBM!AE193*PasteBBM!AF193</f>
        <v>2.44662175</v>
      </c>
      <c r="I193">
        <f>PasteBBM!AE193</f>
        <v>0.451371</v>
      </c>
      <c r="J193">
        <f>PasteBBM!AG193*PasteBBM!AH193</f>
        <v>1.121127037</v>
      </c>
      <c r="K193">
        <f>PasteBBM!AG193</f>
        <v>0.765974</v>
      </c>
      <c r="L193">
        <f>PasteBBM!Z193</f>
        <v>0.71493</v>
      </c>
      <c r="M193">
        <f>PasteBBM!Y193</f>
        <v>6.729296</v>
      </c>
      <c r="N193">
        <f>PasteBBM!AA193</f>
        <v>4.87493</v>
      </c>
      <c r="O193">
        <f>PasteBBM!AB193</f>
        <v>0.882113</v>
      </c>
      <c r="P193">
        <f>PasteBBM!AC193</f>
        <v>0.819014</v>
      </c>
      <c r="Q193">
        <f>PasteBBM!AD193</f>
        <v>0.973662</v>
      </c>
      <c r="R193">
        <f>PasteBBM!AI193</f>
        <v>0.554085</v>
      </c>
      <c r="S193">
        <f>PasteBBM!AE193</f>
        <v>0.451371</v>
      </c>
      <c r="T193">
        <f>PasteBBM!AG193</f>
        <v>0.765974</v>
      </c>
      <c r="V193" s="44">
        <v>-0.41709</v>
      </c>
      <c r="W193" s="44">
        <v>-0.00658</v>
      </c>
      <c r="X193" s="44">
        <v>0.009207</v>
      </c>
      <c r="Y193" s="44">
        <v>-0.4263</v>
      </c>
      <c r="Z193" s="44">
        <v>-0.34564</v>
      </c>
      <c r="AA193" s="45"/>
      <c r="AB193" s="46" t="s">
        <v>126</v>
      </c>
      <c r="AC193" s="44">
        <v>67.0</v>
      </c>
    </row>
    <row r="194">
      <c r="A194" s="2">
        <v>193.0</v>
      </c>
      <c r="B194" s="14">
        <f>IF(PasteBBM!B194="",156,PasteBBM!B194)</f>
        <v>156</v>
      </c>
      <c r="C194" t="str">
        <f>PasteBBM!I194</f>
        <v>Jaylin Williams</v>
      </c>
      <c r="D194" t="str">
        <f>IFERROR(REPLACE(PasteBBM!K194,FIND("/",PasteBBM!K194,1),1,","),PasteBBM!K194)</f>
        <v>PF,C</v>
      </c>
      <c r="E194" t="str">
        <f>PasteBBM!J194</f>
        <v>OKC</v>
      </c>
      <c r="F194">
        <f>PasteBBM!U194</f>
        <v>66</v>
      </c>
      <c r="G194">
        <f>PasteBBM!X194</f>
        <v>19</v>
      </c>
      <c r="H194">
        <f>PasteBBM!AE194*PasteBBM!AF194</f>
        <v>2.119546572</v>
      </c>
      <c r="I194">
        <f>PasteBBM!AE194</f>
        <v>0.437512</v>
      </c>
      <c r="J194">
        <f>PasteBBM!AG194*PasteBBM!AH194</f>
        <v>0.62454552</v>
      </c>
      <c r="K194">
        <f>PasteBBM!AG194</f>
        <v>0.759956</v>
      </c>
      <c r="L194">
        <f>PasteBBM!Z194</f>
        <v>1.300455</v>
      </c>
      <c r="M194">
        <f>PasteBBM!Y194</f>
        <v>6.164091</v>
      </c>
      <c r="N194">
        <f>PasteBBM!AA194</f>
        <v>6.056212</v>
      </c>
      <c r="O194">
        <f>PasteBBM!AB194</f>
        <v>2.826212</v>
      </c>
      <c r="P194">
        <f>PasteBBM!AC194</f>
        <v>0.564545</v>
      </c>
      <c r="Q194">
        <f>PasteBBM!AD194</f>
        <v>0.606061</v>
      </c>
      <c r="R194">
        <f>PasteBBM!AI194</f>
        <v>0.928636</v>
      </c>
      <c r="S194">
        <f>PasteBBM!AE194</f>
        <v>0.437512</v>
      </c>
      <c r="T194">
        <f>PasteBBM!AG194</f>
        <v>0.759956</v>
      </c>
      <c r="V194" s="44">
        <v>-0.41709</v>
      </c>
      <c r="W194" s="44">
        <v>-0.00658</v>
      </c>
      <c r="X194" s="44">
        <v>0.009207</v>
      </c>
      <c r="Y194" s="44">
        <v>-0.4263</v>
      </c>
      <c r="Z194" s="44">
        <v>-0.34564</v>
      </c>
      <c r="AA194" s="45"/>
      <c r="AB194" s="46" t="s">
        <v>126</v>
      </c>
      <c r="AC194" s="44">
        <v>67.0</v>
      </c>
    </row>
    <row r="195">
      <c r="A195" s="2">
        <v>194.0</v>
      </c>
      <c r="B195" s="14">
        <f>IF(PasteBBM!B195="",156,PasteBBM!B195)</f>
        <v>156</v>
      </c>
      <c r="C195" t="str">
        <f>PasteBBM!I195</f>
        <v>De'Anthony Melton</v>
      </c>
      <c r="D195" t="str">
        <f>IFERROR(REPLACE(PasteBBM!K195,FIND("/",PasteBBM!K195,1),1,","),PasteBBM!K195)</f>
        <v>PG,SG</v>
      </c>
      <c r="E195" t="str">
        <f>PasteBBM!J195</f>
        <v>GSW</v>
      </c>
      <c r="F195">
        <f>PasteBBM!U195</f>
        <v>53</v>
      </c>
      <c r="G195">
        <f>PasteBBM!X195</f>
        <v>21</v>
      </c>
      <c r="H195">
        <f>PasteBBM!AE195*PasteBBM!AF195</f>
        <v>3.106413919</v>
      </c>
      <c r="I195">
        <f>PasteBBM!AE195</f>
        <v>0.402917</v>
      </c>
      <c r="J195">
        <f>PasteBBM!AG195*PasteBBM!AH195</f>
        <v>0.9954722554</v>
      </c>
      <c r="K195">
        <f>PasteBBM!AG195</f>
        <v>0.806975</v>
      </c>
      <c r="L195">
        <f>PasteBBM!Z195</f>
        <v>1.77283</v>
      </c>
      <c r="M195">
        <f>PasteBBM!Y195</f>
        <v>8.981132</v>
      </c>
      <c r="N195">
        <f>PasteBBM!AA195</f>
        <v>3.378302</v>
      </c>
      <c r="O195">
        <f>PasteBBM!AB195</f>
        <v>2.728679</v>
      </c>
      <c r="P195">
        <f>PasteBBM!AC195</f>
        <v>1.139434</v>
      </c>
      <c r="Q195">
        <f>PasteBBM!AD195</f>
        <v>0.352075</v>
      </c>
      <c r="R195">
        <f>PasteBBM!AI195</f>
        <v>1.386038</v>
      </c>
      <c r="S195">
        <f>PasteBBM!AE195</f>
        <v>0.402917</v>
      </c>
      <c r="T195">
        <f>PasteBBM!AG195</f>
        <v>0.806975</v>
      </c>
      <c r="V195" s="44">
        <v>-0.41709</v>
      </c>
      <c r="W195" s="44">
        <v>-0.00658</v>
      </c>
      <c r="X195" s="44">
        <v>0.009207</v>
      </c>
      <c r="Y195" s="44">
        <v>-0.4263</v>
      </c>
      <c r="Z195" s="44">
        <v>-0.34564</v>
      </c>
      <c r="AA195" s="45"/>
      <c r="AB195" s="46" t="s">
        <v>126</v>
      </c>
      <c r="AC195" s="44">
        <v>67.0</v>
      </c>
    </row>
    <row r="196">
      <c r="A196" s="2">
        <v>195.0</v>
      </c>
      <c r="B196" s="14">
        <f>IF(PasteBBM!B196="",156,PasteBBM!B196)</f>
        <v>156</v>
      </c>
      <c r="C196" t="str">
        <f>PasteBBM!I196</f>
        <v>Guerschon Yabusele</v>
      </c>
      <c r="D196" t="str">
        <f>IFERROR(REPLACE(PasteBBM!K196,FIND("/",PasteBBM!K196,1),1,","),PasteBBM!K196)</f>
        <v>PF,C</v>
      </c>
      <c r="E196" t="str">
        <f>PasteBBM!J196</f>
        <v>NYK</v>
      </c>
      <c r="F196">
        <f>PasteBBM!U196</f>
        <v>71</v>
      </c>
      <c r="G196">
        <f>PasteBBM!X196</f>
        <v>26</v>
      </c>
      <c r="H196">
        <f>PasteBBM!AE196*PasteBBM!AF196</f>
        <v>3.751834237</v>
      </c>
      <c r="I196">
        <f>PasteBBM!AE196</f>
        <v>0.514476</v>
      </c>
      <c r="J196">
        <f>PasteBBM!AG196*PasteBBM!AH196</f>
        <v>1.255069974</v>
      </c>
      <c r="K196">
        <f>PasteBBM!AG196</f>
        <v>0.749012</v>
      </c>
      <c r="L196">
        <f>PasteBBM!Z196</f>
        <v>1.281972</v>
      </c>
      <c r="M196">
        <f>PasteBBM!Y196</f>
        <v>10.0407</v>
      </c>
      <c r="N196">
        <f>PasteBBM!AA196</f>
        <v>4.879859</v>
      </c>
      <c r="O196">
        <f>PasteBBM!AB196</f>
        <v>2.007324</v>
      </c>
      <c r="P196">
        <f>PasteBBM!AC196</f>
        <v>0.78338</v>
      </c>
      <c r="Q196">
        <f>PasteBBM!AD196</f>
        <v>0.272676</v>
      </c>
      <c r="R196">
        <f>PasteBBM!AI196</f>
        <v>1.196901</v>
      </c>
      <c r="S196">
        <f>PasteBBM!AE196</f>
        <v>0.514476</v>
      </c>
      <c r="T196">
        <f>PasteBBM!AG196</f>
        <v>0.749012</v>
      </c>
      <c r="V196" s="44">
        <v>-0.41709</v>
      </c>
      <c r="W196" s="44">
        <v>-0.00658</v>
      </c>
      <c r="X196" s="44">
        <v>0.009207</v>
      </c>
      <c r="Y196" s="44">
        <v>-0.4263</v>
      </c>
      <c r="Z196" s="44">
        <v>-0.34564</v>
      </c>
      <c r="AA196" s="45"/>
      <c r="AB196" s="46" t="s">
        <v>126</v>
      </c>
      <c r="AC196" s="44">
        <v>67.0</v>
      </c>
    </row>
    <row r="197">
      <c r="A197" s="2">
        <v>196.0</v>
      </c>
      <c r="B197" s="14">
        <f>IF(PasteBBM!B197="",156,PasteBBM!B197)</f>
        <v>148.5</v>
      </c>
      <c r="C197" t="str">
        <f>PasteBBM!I197</f>
        <v>Tre Jones</v>
      </c>
      <c r="D197" t="str">
        <f>IFERROR(REPLACE(PasteBBM!K197,FIND("/",PasteBBM!K197,1),1,","),PasteBBM!K197)</f>
        <v>PG</v>
      </c>
      <c r="E197" t="str">
        <f>PasteBBM!J197</f>
        <v>CHI</v>
      </c>
      <c r="F197">
        <f>PasteBBM!U197</f>
        <v>71</v>
      </c>
      <c r="G197">
        <f>PasteBBM!X197</f>
        <v>21</v>
      </c>
      <c r="H197">
        <f>PasteBBM!AE197*PasteBBM!AF197</f>
        <v>3.555914641</v>
      </c>
      <c r="I197">
        <f>PasteBBM!AE197</f>
        <v>0.489938</v>
      </c>
      <c r="J197">
        <f>PasteBBM!AG197*PasteBBM!AH197</f>
        <v>1.437606039</v>
      </c>
      <c r="K197">
        <f>PasteBBM!AG197</f>
        <v>0.83004</v>
      </c>
      <c r="L197">
        <f>PasteBBM!Z197</f>
        <v>0.438028</v>
      </c>
      <c r="M197">
        <f>PasteBBM!Y197</f>
        <v>8.987465</v>
      </c>
      <c r="N197">
        <f>PasteBBM!AA197</f>
        <v>2.985915</v>
      </c>
      <c r="O197">
        <f>PasteBBM!AB197</f>
        <v>4.501831</v>
      </c>
      <c r="P197">
        <f>PasteBBM!AC197</f>
        <v>0.869859</v>
      </c>
      <c r="Q197">
        <f>PasteBBM!AD197</f>
        <v>0.184085</v>
      </c>
      <c r="R197">
        <f>PasteBBM!AI197</f>
        <v>0.966479</v>
      </c>
      <c r="S197">
        <f>PasteBBM!AE197</f>
        <v>0.489938</v>
      </c>
      <c r="T197">
        <f>PasteBBM!AG197</f>
        <v>0.83004</v>
      </c>
      <c r="V197" s="44">
        <v>-0.41709</v>
      </c>
      <c r="W197" s="44">
        <v>-0.00658</v>
      </c>
      <c r="X197" s="44">
        <v>0.009207</v>
      </c>
      <c r="Y197" s="44">
        <v>-0.4263</v>
      </c>
      <c r="Z197" s="44">
        <v>-0.34564</v>
      </c>
      <c r="AA197" s="45"/>
      <c r="AB197" s="46" t="s">
        <v>126</v>
      </c>
      <c r="AC197" s="44">
        <v>67.0</v>
      </c>
    </row>
    <row r="198">
      <c r="A198" s="2">
        <v>197.0</v>
      </c>
      <c r="B198" s="14">
        <f>IF(PasteBBM!B198="",156,PasteBBM!B198)</f>
        <v>138.1379</v>
      </c>
      <c r="C198" t="str">
        <f>PasteBBM!I198</f>
        <v>Nickeil Alexander-Walker</v>
      </c>
      <c r="D198" t="str">
        <f>IFERROR(REPLACE(PasteBBM!K198,FIND("/",PasteBBM!K198,1),1,","),PasteBBM!K198)</f>
        <v>PG,SG</v>
      </c>
      <c r="E198" t="str">
        <f>PasteBBM!J198</f>
        <v>ATL</v>
      </c>
      <c r="F198">
        <f>PasteBBM!U198</f>
        <v>71</v>
      </c>
      <c r="G198">
        <f>PasteBBM!X198</f>
        <v>26</v>
      </c>
      <c r="H198">
        <f>PasteBBM!AE198*PasteBBM!AF198</f>
        <v>3.582961819</v>
      </c>
      <c r="I198">
        <f>PasteBBM!AE198</f>
        <v>0.424005</v>
      </c>
      <c r="J198">
        <f>PasteBBM!AG198*PasteBBM!AH198</f>
        <v>1.598027251</v>
      </c>
      <c r="K198">
        <f>PasteBBM!AG198</f>
        <v>0.787971</v>
      </c>
      <c r="L198">
        <f>PasteBBM!Z198</f>
        <v>1.80493</v>
      </c>
      <c r="M198">
        <f>PasteBBM!Y198</f>
        <v>10.56887</v>
      </c>
      <c r="N198">
        <f>PasteBBM!AA198</f>
        <v>3.09831</v>
      </c>
      <c r="O198">
        <f>PasteBBM!AB198</f>
        <v>2.877042</v>
      </c>
      <c r="P198">
        <f>PasteBBM!AC198</f>
        <v>0.788732</v>
      </c>
      <c r="Q198">
        <f>PasteBBM!AD198</f>
        <v>0.56338</v>
      </c>
      <c r="R198">
        <f>PasteBBM!AI198</f>
        <v>1.192394</v>
      </c>
      <c r="S198">
        <f>PasteBBM!AE198</f>
        <v>0.424005</v>
      </c>
      <c r="T198">
        <f>PasteBBM!AG198</f>
        <v>0.787971</v>
      </c>
      <c r="V198" s="44">
        <v>-0.41709</v>
      </c>
      <c r="W198" s="44">
        <v>-0.00658</v>
      </c>
      <c r="X198" s="44">
        <v>0.009207</v>
      </c>
      <c r="Y198" s="44">
        <v>-0.4263</v>
      </c>
      <c r="Z198" s="44">
        <v>-0.34564</v>
      </c>
      <c r="AA198" s="45"/>
      <c r="AB198" s="46" t="s">
        <v>126</v>
      </c>
      <c r="AC198" s="44">
        <v>67.0</v>
      </c>
    </row>
    <row r="199">
      <c r="A199" s="2">
        <v>198.0</v>
      </c>
      <c r="B199" s="14">
        <f>IF(PasteBBM!B199="",156,PasteBBM!B199)</f>
        <v>143.0476</v>
      </c>
      <c r="C199" t="str">
        <f>PasteBBM!I199</f>
        <v>Jeremy Sochan</v>
      </c>
      <c r="D199" t="str">
        <f>IFERROR(REPLACE(PasteBBM!K199,FIND("/",PasteBBM!K199,1),1,","),PasteBBM!K199)</f>
        <v>PF,C</v>
      </c>
      <c r="E199" t="str">
        <f>PasteBBM!J199</f>
        <v>SAS</v>
      </c>
      <c r="F199">
        <f>PasteBBM!U199</f>
        <v>66</v>
      </c>
      <c r="G199">
        <f>PasteBBM!X199</f>
        <v>24</v>
      </c>
      <c r="H199">
        <f>PasteBBM!AE199*PasteBBM!AF199</f>
        <v>4.614694504</v>
      </c>
      <c r="I199">
        <f>PasteBBM!AE199</f>
        <v>0.551717</v>
      </c>
      <c r="J199">
        <f>PasteBBM!AG199*PasteBBM!AH199</f>
        <v>1.358637033</v>
      </c>
      <c r="K199">
        <f>PasteBBM!AG199</f>
        <v>0.712006</v>
      </c>
      <c r="L199">
        <f>PasteBBM!Z199</f>
        <v>0.570455</v>
      </c>
      <c r="M199">
        <f>PasteBBM!Y199</f>
        <v>11.15848</v>
      </c>
      <c r="N199">
        <f>PasteBBM!AA199</f>
        <v>4.845</v>
      </c>
      <c r="O199">
        <f>PasteBBM!AB199</f>
        <v>2.04</v>
      </c>
      <c r="P199">
        <f>PasteBBM!AC199</f>
        <v>0.81197</v>
      </c>
      <c r="Q199">
        <f>PasteBBM!AD199</f>
        <v>0.40803</v>
      </c>
      <c r="R199">
        <f>PasteBBM!AI199</f>
        <v>1.326061</v>
      </c>
      <c r="S199">
        <f>PasteBBM!AE199</f>
        <v>0.551717</v>
      </c>
      <c r="T199">
        <f>PasteBBM!AG199</f>
        <v>0.712006</v>
      </c>
      <c r="V199" s="44">
        <v>-0.41709</v>
      </c>
      <c r="W199" s="44">
        <v>-0.00658</v>
      </c>
      <c r="X199" s="44">
        <v>0.009207</v>
      </c>
      <c r="Y199" s="44">
        <v>-0.4263</v>
      </c>
      <c r="Z199" s="44">
        <v>-0.34564</v>
      </c>
      <c r="AA199" s="45"/>
      <c r="AB199" s="46" t="s">
        <v>126</v>
      </c>
      <c r="AC199" s="44">
        <v>67.0</v>
      </c>
    </row>
    <row r="200">
      <c r="A200" s="2">
        <v>199.0</v>
      </c>
      <c r="B200" s="14">
        <f>IF(PasteBBM!B200="",156,PasteBBM!B200)</f>
        <v>156</v>
      </c>
      <c r="C200" t="str">
        <f>PasteBBM!I200</f>
        <v>Justin Champagnie</v>
      </c>
      <c r="D200" t="str">
        <f>IFERROR(REPLACE(PasteBBM!K200,FIND("/",PasteBBM!K200,1),1,","),PasteBBM!K200)</f>
        <v>SF</v>
      </c>
      <c r="E200" t="str">
        <f>PasteBBM!J200</f>
        <v>WAS</v>
      </c>
      <c r="F200">
        <f>PasteBBM!U200</f>
        <v>66</v>
      </c>
      <c r="G200">
        <f>PasteBBM!X200</f>
        <v>19</v>
      </c>
      <c r="H200">
        <f>PasteBBM!AE200*PasteBBM!AF200</f>
        <v>2.856815722</v>
      </c>
      <c r="I200">
        <f>PasteBBM!AE200</f>
        <v>0.515248</v>
      </c>
      <c r="J200">
        <f>PasteBBM!AG200*PasteBBM!AH200</f>
        <v>0.7510610611</v>
      </c>
      <c r="K200">
        <f>PasteBBM!AG200</f>
        <v>0.71293</v>
      </c>
      <c r="L200">
        <f>PasteBBM!Z200</f>
        <v>0.969242</v>
      </c>
      <c r="M200">
        <f>PasteBBM!Y200</f>
        <v>7.433939</v>
      </c>
      <c r="N200">
        <f>PasteBBM!AA200</f>
        <v>4.933333</v>
      </c>
      <c r="O200">
        <f>PasteBBM!AB200</f>
        <v>0.834697</v>
      </c>
      <c r="P200">
        <f>PasteBBM!AC200</f>
        <v>0.87303</v>
      </c>
      <c r="Q200">
        <f>PasteBBM!AD200</f>
        <v>0.538788</v>
      </c>
      <c r="R200">
        <f>PasteBBM!AI200</f>
        <v>0.744091</v>
      </c>
      <c r="S200">
        <f>PasteBBM!AE200</f>
        <v>0.515248</v>
      </c>
      <c r="T200">
        <f>PasteBBM!AG200</f>
        <v>0.71293</v>
      </c>
      <c r="V200" s="44">
        <v>-0.41709</v>
      </c>
      <c r="W200" s="44">
        <v>-0.00658</v>
      </c>
      <c r="X200" s="44">
        <v>0.009207</v>
      </c>
      <c r="Y200" s="44">
        <v>-0.4263</v>
      </c>
      <c r="Z200" s="44">
        <v>-0.34564</v>
      </c>
      <c r="AA200" s="45"/>
      <c r="AB200" s="46" t="s">
        <v>126</v>
      </c>
      <c r="AC200" s="44">
        <v>67.0</v>
      </c>
    </row>
    <row r="201">
      <c r="A201" s="2">
        <v>200.0</v>
      </c>
      <c r="B201" s="14">
        <f>IF(PasteBBM!B201="",156,PasteBBM!B201)</f>
        <v>134.6667</v>
      </c>
      <c r="C201" t="str">
        <f>PasteBBM!I201</f>
        <v>Ace Bailey</v>
      </c>
      <c r="D201" t="str">
        <f>IFERROR(REPLACE(PasteBBM!K201,FIND("/",PasteBBM!K201,1),1,","),PasteBBM!K201)</f>
        <v>PG,SG/SF</v>
      </c>
      <c r="E201" t="str">
        <f>PasteBBM!J201</f>
        <v>UTA</v>
      </c>
      <c r="F201">
        <f>PasteBBM!U201</f>
        <v>66</v>
      </c>
      <c r="G201">
        <f>PasteBBM!X201</f>
        <v>31</v>
      </c>
      <c r="H201">
        <f>PasteBBM!AE201*PasteBBM!AF201</f>
        <v>6.113633565</v>
      </c>
      <c r="I201">
        <f>PasteBBM!AE201</f>
        <v>0.429479</v>
      </c>
      <c r="J201">
        <f>PasteBBM!AG201*PasteBBM!AH201</f>
        <v>1.70606128</v>
      </c>
      <c r="K201">
        <f>PasteBBM!AG201</f>
        <v>0.704984</v>
      </c>
      <c r="L201">
        <f>PasteBBM!Z201</f>
        <v>1.742273</v>
      </c>
      <c r="M201">
        <f>PasteBBM!Y201</f>
        <v>15.67561</v>
      </c>
      <c r="N201">
        <f>PasteBBM!AA201</f>
        <v>5.321667</v>
      </c>
      <c r="O201">
        <f>PasteBBM!AB201</f>
        <v>1.796061</v>
      </c>
      <c r="P201">
        <f>PasteBBM!AC201</f>
        <v>0.864697</v>
      </c>
      <c r="Q201">
        <f>PasteBBM!AD201</f>
        <v>0.798182</v>
      </c>
      <c r="R201">
        <f>PasteBBM!AI201</f>
        <v>1.862576</v>
      </c>
      <c r="S201">
        <f>PasteBBM!AE201</f>
        <v>0.429479</v>
      </c>
      <c r="T201">
        <f>PasteBBM!AG201</f>
        <v>0.704984</v>
      </c>
      <c r="V201" s="44">
        <v>-0.41709</v>
      </c>
      <c r="W201" s="44">
        <v>-0.00658</v>
      </c>
      <c r="X201" s="44">
        <v>0.009207</v>
      </c>
      <c r="Y201" s="44">
        <v>-0.4263</v>
      </c>
      <c r="Z201" s="44">
        <v>-0.34564</v>
      </c>
      <c r="AA201" s="45"/>
      <c r="AB201" s="46" t="s">
        <v>126</v>
      </c>
      <c r="AC201" s="44">
        <v>67.0</v>
      </c>
    </row>
    <row r="202">
      <c r="A202" s="2">
        <v>201.0</v>
      </c>
      <c r="B202" s="14">
        <f>IF(PasteBBM!B202="",156,PasteBBM!B202)</f>
        <v>156</v>
      </c>
      <c r="C202" t="str">
        <f>PasteBBM!I202</f>
        <v>Bruce Brown</v>
      </c>
      <c r="D202" t="str">
        <f>IFERROR(REPLACE(PasteBBM!K202,FIND("/",PasteBBM!K202,1),1,","),PasteBBM!K202)</f>
        <v>PG,SG</v>
      </c>
      <c r="E202" t="str">
        <f>PasteBBM!J202</f>
        <v>DEN</v>
      </c>
      <c r="F202">
        <f>PasteBBM!U202</f>
        <v>71</v>
      </c>
      <c r="G202">
        <f>PasteBBM!X202</f>
        <v>26</v>
      </c>
      <c r="H202">
        <f>PasteBBM!AE202*PasteBBM!AF202</f>
        <v>4.094225367</v>
      </c>
      <c r="I202">
        <f>PasteBBM!AE202</f>
        <v>0.476666</v>
      </c>
      <c r="J202">
        <f>PasteBBM!AG202*PasteBBM!AH202</f>
        <v>1.372535023</v>
      </c>
      <c r="K202">
        <f>PasteBBM!AG202</f>
        <v>0.798967</v>
      </c>
      <c r="L202">
        <f>PasteBBM!Z202</f>
        <v>0.975352</v>
      </c>
      <c r="M202">
        <f>PasteBBM!Y202</f>
        <v>10.53634</v>
      </c>
      <c r="N202">
        <f>PasteBBM!AA202</f>
        <v>3.829577</v>
      </c>
      <c r="O202">
        <f>PasteBBM!AB202</f>
        <v>2.735352</v>
      </c>
      <c r="P202">
        <f>PasteBBM!AC202</f>
        <v>0.887606</v>
      </c>
      <c r="Q202">
        <f>PasteBBM!AD202</f>
        <v>0.382958</v>
      </c>
      <c r="R202">
        <f>PasteBBM!AI202</f>
        <v>1.367746</v>
      </c>
      <c r="S202">
        <f>PasteBBM!AE202</f>
        <v>0.476666</v>
      </c>
      <c r="T202">
        <f>PasteBBM!AG202</f>
        <v>0.798967</v>
      </c>
      <c r="V202" s="44">
        <v>-0.41709</v>
      </c>
      <c r="W202" s="44">
        <v>-0.00658</v>
      </c>
      <c r="X202" s="44">
        <v>0.009207</v>
      </c>
      <c r="Y202" s="44">
        <v>-0.4263</v>
      </c>
      <c r="Z202" s="44">
        <v>-0.34564</v>
      </c>
      <c r="AA202" s="45"/>
      <c r="AB202" s="46" t="s">
        <v>126</v>
      </c>
      <c r="AC202" s="44">
        <v>67.0</v>
      </c>
    </row>
    <row r="203">
      <c r="A203" s="2">
        <v>202.0</v>
      </c>
      <c r="B203" s="14">
        <f>IF(PasteBBM!B203="",156,PasteBBM!B203)</f>
        <v>133.4314</v>
      </c>
      <c r="C203" t="str">
        <f>PasteBBM!I203</f>
        <v>Klay Thompson</v>
      </c>
      <c r="D203" t="str">
        <f>IFERROR(REPLACE(PasteBBM!K203,FIND("/",PasteBBM!K203,1),1,","),PasteBBM!K203)</f>
        <v>SG,SF</v>
      </c>
      <c r="E203" t="str">
        <f>PasteBBM!J203</f>
        <v>DAL</v>
      </c>
      <c r="F203">
        <f>PasteBBM!U203</f>
        <v>66</v>
      </c>
      <c r="G203">
        <f>PasteBBM!X203</f>
        <v>26</v>
      </c>
      <c r="H203">
        <f>PasteBBM!AE203*PasteBBM!AF203</f>
        <v>4.475152421</v>
      </c>
      <c r="I203">
        <f>PasteBBM!AE203</f>
        <v>0.413114</v>
      </c>
      <c r="J203">
        <f>PasteBBM!AG203*PasteBBM!AH203</f>
        <v>0.69015128</v>
      </c>
      <c r="K203">
        <f>PasteBBM!AG203</f>
        <v>0.91009</v>
      </c>
      <c r="L203">
        <f>PasteBBM!Z203</f>
        <v>2.696818</v>
      </c>
      <c r="M203">
        <f>PasteBBM!Y203</f>
        <v>12.33727</v>
      </c>
      <c r="N203">
        <f>PasteBBM!AA203</f>
        <v>2.735455</v>
      </c>
      <c r="O203">
        <f>PasteBBM!AB203</f>
        <v>1.695909</v>
      </c>
      <c r="P203">
        <f>PasteBBM!AC203</f>
        <v>0.593333</v>
      </c>
      <c r="Q203">
        <f>PasteBBM!AD203</f>
        <v>0.441667</v>
      </c>
      <c r="R203">
        <f>PasteBBM!AI203</f>
        <v>0.93</v>
      </c>
      <c r="S203">
        <f>PasteBBM!AE203</f>
        <v>0.413114</v>
      </c>
      <c r="T203">
        <f>PasteBBM!AG203</f>
        <v>0.91009</v>
      </c>
      <c r="V203" s="44">
        <v>-0.41709</v>
      </c>
      <c r="W203" s="44">
        <v>-0.00658</v>
      </c>
      <c r="X203" s="44">
        <v>0.009207</v>
      </c>
      <c r="Y203" s="44">
        <v>-0.4263</v>
      </c>
      <c r="Z203" s="44">
        <v>-0.34564</v>
      </c>
      <c r="AA203" s="45"/>
      <c r="AB203" s="46" t="s">
        <v>126</v>
      </c>
      <c r="AC203" s="44">
        <v>67.0</v>
      </c>
    </row>
    <row r="204">
      <c r="A204" s="2">
        <v>203.0</v>
      </c>
      <c r="B204" s="14">
        <f>IF(PasteBBM!B204="",156,PasteBBM!B204)</f>
        <v>145.7778</v>
      </c>
      <c r="C204" t="str">
        <f>PasteBBM!I204</f>
        <v>Jonas Valanciunas</v>
      </c>
      <c r="D204" t="str">
        <f>IFERROR(REPLACE(PasteBBM!K204,FIND("/",PasteBBM!K204,1),1,","),PasteBBM!K204)</f>
        <v>C</v>
      </c>
      <c r="E204" t="str">
        <f>PasteBBM!J204</f>
        <v>DEN</v>
      </c>
      <c r="F204">
        <f>PasteBBM!U204</f>
        <v>71</v>
      </c>
      <c r="G204">
        <f>PasteBBM!X204</f>
        <v>18</v>
      </c>
      <c r="H204">
        <f>PasteBBM!AE204*PasteBBM!AF204</f>
        <v>3.972819452</v>
      </c>
      <c r="I204">
        <f>PasteBBM!AE204</f>
        <v>0.557903</v>
      </c>
      <c r="J204">
        <f>PasteBBM!AG204*PasteBBM!AH204</f>
        <v>1.492958223</v>
      </c>
      <c r="K204">
        <f>PasteBBM!AG204</f>
        <v>0.842005</v>
      </c>
      <c r="L204">
        <f>PasteBBM!Z204</f>
        <v>0.129577</v>
      </c>
      <c r="M204">
        <f>PasteBBM!Y204</f>
        <v>9.568169</v>
      </c>
      <c r="N204">
        <f>PasteBBM!AA204</f>
        <v>7.499296</v>
      </c>
      <c r="O204">
        <f>PasteBBM!AB204</f>
        <v>1.881972</v>
      </c>
      <c r="P204">
        <f>PasteBBM!AC204</f>
        <v>0.378732</v>
      </c>
      <c r="Q204">
        <f>PasteBBM!AD204</f>
        <v>0.493099</v>
      </c>
      <c r="R204">
        <f>PasteBBM!AI204</f>
        <v>1.327183</v>
      </c>
      <c r="S204">
        <f>PasteBBM!AE204</f>
        <v>0.557903</v>
      </c>
      <c r="T204">
        <f>PasteBBM!AG204</f>
        <v>0.842005</v>
      </c>
      <c r="V204" s="44">
        <v>-0.41709</v>
      </c>
      <c r="W204" s="44">
        <v>-0.00658</v>
      </c>
      <c r="X204" s="44">
        <v>0.009207</v>
      </c>
      <c r="Y204" s="44">
        <v>-0.4263</v>
      </c>
      <c r="Z204" s="44">
        <v>-0.34564</v>
      </c>
      <c r="AA204" s="45"/>
      <c r="AB204" s="46" t="s">
        <v>126</v>
      </c>
      <c r="AC204" s="44">
        <v>67.0</v>
      </c>
    </row>
    <row r="205">
      <c r="A205" s="2">
        <v>204.0</v>
      </c>
      <c r="B205" s="14">
        <f>IF(PasteBBM!B205="",156,PasteBBM!B205)</f>
        <v>124</v>
      </c>
      <c r="C205" t="str">
        <f>PasteBBM!I205</f>
        <v>Max Strus</v>
      </c>
      <c r="D205" t="str">
        <f>IFERROR(REPLACE(PasteBBM!K205,FIND("/",PasteBBM!K205,1),1,","),PasteBBM!K205)</f>
        <v>SG,SF</v>
      </c>
      <c r="E205" t="str">
        <f>PasteBBM!J205</f>
        <v>CLE</v>
      </c>
      <c r="F205">
        <f>PasteBBM!U205</f>
        <v>38</v>
      </c>
      <c r="G205">
        <f>PasteBBM!X205</f>
        <v>25</v>
      </c>
      <c r="H205">
        <f>PasteBBM!AE205*PasteBBM!AF205</f>
        <v>3.402104274</v>
      </c>
      <c r="I205">
        <f>PasteBBM!AE205</f>
        <v>0.425487</v>
      </c>
      <c r="J205">
        <f>PasteBBM!AG205*PasteBBM!AH205</f>
        <v>0.6402635497</v>
      </c>
      <c r="K205">
        <f>PasteBBM!AG205</f>
        <v>0.800856</v>
      </c>
      <c r="L205">
        <f>PasteBBM!Z205</f>
        <v>2.248421</v>
      </c>
      <c r="M205">
        <f>PasteBBM!Y205</f>
        <v>9.692895</v>
      </c>
      <c r="N205">
        <f>PasteBBM!AA205</f>
        <v>4.261053</v>
      </c>
      <c r="O205">
        <f>PasteBBM!AB205</f>
        <v>2.998421</v>
      </c>
      <c r="P205">
        <f>PasteBBM!AC205</f>
        <v>0.591842</v>
      </c>
      <c r="Q205">
        <f>PasteBBM!AD205</f>
        <v>0.207368</v>
      </c>
      <c r="R205">
        <f>PasteBBM!AI205</f>
        <v>1.052105</v>
      </c>
      <c r="S205">
        <f>PasteBBM!AE205</f>
        <v>0.425487</v>
      </c>
      <c r="T205">
        <f>PasteBBM!AG205</f>
        <v>0.800856</v>
      </c>
      <c r="V205" s="44">
        <v>-0.41709</v>
      </c>
      <c r="W205" s="44">
        <v>-0.00658</v>
      </c>
      <c r="X205" s="44">
        <v>0.009207</v>
      </c>
      <c r="Y205" s="44">
        <v>-0.4263</v>
      </c>
      <c r="Z205" s="44">
        <v>-0.34564</v>
      </c>
      <c r="AA205" s="45"/>
      <c r="AB205" s="46" t="s">
        <v>126</v>
      </c>
      <c r="AC205" s="44">
        <v>67.0</v>
      </c>
    </row>
    <row r="206">
      <c r="A206" s="2">
        <v>205.0</v>
      </c>
      <c r="B206" s="14">
        <f>IF(PasteBBM!B206="",156,PasteBBM!B206)</f>
        <v>156</v>
      </c>
      <c r="C206" t="str">
        <f>PasteBBM!I206</f>
        <v>Luke Kornet</v>
      </c>
      <c r="D206" t="str">
        <f>IFERROR(REPLACE(PasteBBM!K206,FIND("/",PasteBBM!K206,1),1,","),PasteBBM!K206)</f>
        <v>C</v>
      </c>
      <c r="E206" t="str">
        <f>PasteBBM!J206</f>
        <v>SAS</v>
      </c>
      <c r="F206">
        <f>PasteBBM!U206</f>
        <v>71</v>
      </c>
      <c r="G206">
        <f>PasteBBM!X206</f>
        <v>17</v>
      </c>
      <c r="H206">
        <f>PasteBBM!AE206*PasteBBM!AF206</f>
        <v>2.644507628</v>
      </c>
      <c r="I206">
        <f>PasteBBM!AE206</f>
        <v>0.684157</v>
      </c>
      <c r="J206">
        <f>PasteBBM!AG206*PasteBBM!AH206</f>
        <v>0.6812673237</v>
      </c>
      <c r="K206">
        <f>PasteBBM!AG206</f>
        <v>0.704999</v>
      </c>
      <c r="L206">
        <f>PasteBBM!Z206</f>
        <v>0.009859</v>
      </c>
      <c r="M206">
        <f>PasteBBM!Y206</f>
        <v>5.980141</v>
      </c>
      <c r="N206">
        <f>PasteBBM!AA206</f>
        <v>5.093662</v>
      </c>
      <c r="O206">
        <f>PasteBBM!AB206</f>
        <v>1.192113</v>
      </c>
      <c r="P206">
        <f>PasteBBM!AC206</f>
        <v>0.426761</v>
      </c>
      <c r="Q206">
        <f>PasteBBM!AD206</f>
        <v>0.948028</v>
      </c>
      <c r="R206">
        <f>PasteBBM!AI206</f>
        <v>0.361268</v>
      </c>
      <c r="S206">
        <f>PasteBBM!AE206</f>
        <v>0.684157</v>
      </c>
      <c r="T206">
        <f>PasteBBM!AG206</f>
        <v>0.704999</v>
      </c>
      <c r="V206" s="44">
        <v>-0.41709</v>
      </c>
      <c r="W206" s="44">
        <v>-0.00658</v>
      </c>
      <c r="X206" s="44">
        <v>0.009207</v>
      </c>
      <c r="Y206" s="44">
        <v>-0.4263</v>
      </c>
      <c r="Z206" s="44">
        <v>-0.34564</v>
      </c>
      <c r="AA206" s="45"/>
      <c r="AB206" s="46" t="s">
        <v>126</v>
      </c>
      <c r="AC206" s="44">
        <v>67.0</v>
      </c>
    </row>
    <row r="207">
      <c r="A207" s="2">
        <v>206.0</v>
      </c>
      <c r="B207" s="14">
        <f>IF(PasteBBM!B207="",156,PasteBBM!B207)</f>
        <v>156</v>
      </c>
      <c r="C207" t="str">
        <f>PasteBBM!I207</f>
        <v>Ziaire Williams</v>
      </c>
      <c r="D207" t="str">
        <f>IFERROR(REPLACE(PasteBBM!K207,FIND("/",PasteBBM!K207,1),1,","),PasteBBM!K207)</f>
        <v>SF</v>
      </c>
      <c r="E207" t="str">
        <f>PasteBBM!J207</f>
        <v>BKN</v>
      </c>
      <c r="F207">
        <f>PasteBBM!U207</f>
        <v>66</v>
      </c>
      <c r="G207">
        <f>PasteBBM!X207</f>
        <v>24</v>
      </c>
      <c r="H207">
        <f>PasteBBM!AE207*PasteBBM!AF207</f>
        <v>3.642424396</v>
      </c>
      <c r="I207">
        <f>PasteBBM!AE207</f>
        <v>0.420515</v>
      </c>
      <c r="J207">
        <f>PasteBBM!AG207*PasteBBM!AH207</f>
        <v>1.427576278</v>
      </c>
      <c r="K207">
        <f>PasteBBM!AG207</f>
        <v>0.824034</v>
      </c>
      <c r="L207">
        <f>PasteBBM!Z207</f>
        <v>1.915455</v>
      </c>
      <c r="M207">
        <f>PasteBBM!Y207</f>
        <v>10.62788</v>
      </c>
      <c r="N207">
        <f>PasteBBM!AA207</f>
        <v>3.563939</v>
      </c>
      <c r="O207">
        <f>PasteBBM!AB207</f>
        <v>1.088939</v>
      </c>
      <c r="P207">
        <f>PasteBBM!AC207</f>
        <v>0.891061</v>
      </c>
      <c r="Q207">
        <f>PasteBBM!AD207</f>
        <v>0.398333</v>
      </c>
      <c r="R207">
        <f>PasteBBM!AI207</f>
        <v>0.99</v>
      </c>
      <c r="S207">
        <f>PasteBBM!AE207</f>
        <v>0.420515</v>
      </c>
      <c r="T207">
        <f>PasteBBM!AG207</f>
        <v>0.824034</v>
      </c>
      <c r="V207" s="44">
        <v>-0.41709</v>
      </c>
      <c r="W207" s="44">
        <v>-0.00658</v>
      </c>
      <c r="X207" s="44">
        <v>0.009207</v>
      </c>
      <c r="Y207" s="44">
        <v>-0.4263</v>
      </c>
      <c r="Z207" s="44">
        <v>-0.34564</v>
      </c>
      <c r="AA207" s="45"/>
      <c r="AB207" s="46" t="s">
        <v>126</v>
      </c>
      <c r="AC207" s="44">
        <v>67.0</v>
      </c>
    </row>
    <row r="208">
      <c r="A208" s="2">
        <v>207.0</v>
      </c>
      <c r="B208" s="14">
        <f>IF(PasteBBM!B208="",156,PasteBBM!B208)</f>
        <v>141.1429</v>
      </c>
      <c r="C208" t="str">
        <f>PasteBBM!I208</f>
        <v>PJ Washington</v>
      </c>
      <c r="D208" t="str">
        <f>IFERROR(REPLACE(PasteBBM!K208,FIND("/",PasteBBM!K208,1),1,","),PasteBBM!K208)</f>
        <v>SF,PF/C</v>
      </c>
      <c r="E208" t="str">
        <f>PasteBBM!J208</f>
        <v>DAL</v>
      </c>
      <c r="F208">
        <f>PasteBBM!U208</f>
        <v>66</v>
      </c>
      <c r="G208">
        <f>PasteBBM!X208</f>
        <v>27</v>
      </c>
      <c r="H208">
        <f>PasteBBM!AE208*PasteBBM!AF208</f>
        <v>4.48090759</v>
      </c>
      <c r="I208">
        <f>PasteBBM!AE208</f>
        <v>0.4612</v>
      </c>
      <c r="J208">
        <f>PasteBBM!AG208*PasteBBM!AH208</f>
        <v>1.948030575</v>
      </c>
      <c r="K208">
        <f>PasteBBM!AG208</f>
        <v>0.701993</v>
      </c>
      <c r="L208">
        <f>PasteBBM!Z208</f>
        <v>1.365909</v>
      </c>
      <c r="M208">
        <f>PasteBBM!Y208</f>
        <v>12.27576</v>
      </c>
      <c r="N208">
        <f>PasteBBM!AA208</f>
        <v>5.113182</v>
      </c>
      <c r="O208">
        <f>PasteBBM!AB208</f>
        <v>1.795</v>
      </c>
      <c r="P208">
        <f>PasteBBM!AC208</f>
        <v>0.88197</v>
      </c>
      <c r="Q208">
        <f>PasteBBM!AD208</f>
        <v>0.625</v>
      </c>
      <c r="R208">
        <f>PasteBBM!AI208</f>
        <v>1.533939</v>
      </c>
      <c r="S208">
        <f>PasteBBM!AE208</f>
        <v>0.4612</v>
      </c>
      <c r="T208">
        <f>PasteBBM!AG208</f>
        <v>0.701993</v>
      </c>
      <c r="V208" s="44">
        <v>-0.41709</v>
      </c>
      <c r="W208" s="44">
        <v>-0.00658</v>
      </c>
      <c r="X208" s="44">
        <v>0.009207</v>
      </c>
      <c r="Y208" s="44">
        <v>-0.4263</v>
      </c>
      <c r="Z208" s="44">
        <v>-0.34564</v>
      </c>
      <c r="AA208" s="45"/>
      <c r="AB208" s="46" t="s">
        <v>126</v>
      </c>
      <c r="AC208" s="44">
        <v>67.0</v>
      </c>
    </row>
    <row r="209">
      <c r="A209" s="2">
        <v>208.0</v>
      </c>
      <c r="B209" s="14">
        <f>IF(PasteBBM!B209="",156,PasteBBM!B209)</f>
        <v>156</v>
      </c>
      <c r="C209" t="str">
        <f>PasteBBM!I209</f>
        <v>Isaac Okoro</v>
      </c>
      <c r="D209" t="str">
        <f>IFERROR(REPLACE(PasteBBM!K209,FIND("/",PasteBBM!K209,1),1,","),PasteBBM!K209)</f>
        <v>SG,SF</v>
      </c>
      <c r="E209" t="str">
        <f>PasteBBM!J209</f>
        <v>CHI</v>
      </c>
      <c r="F209">
        <f>PasteBBM!U209</f>
        <v>62</v>
      </c>
      <c r="G209">
        <f>PasteBBM!X209</f>
        <v>26</v>
      </c>
      <c r="H209">
        <f>PasteBBM!AE209*PasteBBM!AF209</f>
        <v>3.627416007</v>
      </c>
      <c r="I209">
        <f>PasteBBM!AE209</f>
        <v>0.486912</v>
      </c>
      <c r="J209">
        <f>PasteBBM!AG209*PasteBBM!AH209</f>
        <v>1.260645683</v>
      </c>
      <c r="K209">
        <f>PasteBBM!AG209</f>
        <v>0.70497</v>
      </c>
      <c r="L209">
        <f>PasteBBM!Z209</f>
        <v>1.257742</v>
      </c>
      <c r="M209">
        <f>PasteBBM!Y209</f>
        <v>9.773226</v>
      </c>
      <c r="N209">
        <f>PasteBBM!AA209</f>
        <v>3.185</v>
      </c>
      <c r="O209">
        <f>PasteBBM!AB209</f>
        <v>1.820968</v>
      </c>
      <c r="P209">
        <f>PasteBBM!AC209</f>
        <v>0.806129</v>
      </c>
      <c r="Q209">
        <f>PasteBBM!AD209</f>
        <v>0.451613</v>
      </c>
      <c r="R209">
        <f>PasteBBM!AI209</f>
        <v>0.621613</v>
      </c>
      <c r="S209">
        <f>PasteBBM!AE209</f>
        <v>0.486912</v>
      </c>
      <c r="T209">
        <f>PasteBBM!AG209</f>
        <v>0.70497</v>
      </c>
      <c r="V209" s="44">
        <v>-0.41709</v>
      </c>
      <c r="W209" s="44">
        <v>-0.00658</v>
      </c>
      <c r="X209" s="44">
        <v>0.009207</v>
      </c>
      <c r="Y209" s="44">
        <v>-0.4263</v>
      </c>
      <c r="Z209" s="44">
        <v>-0.34564</v>
      </c>
      <c r="AA209" s="45"/>
      <c r="AB209" s="46" t="s">
        <v>126</v>
      </c>
      <c r="AC209" s="44">
        <v>67.0</v>
      </c>
    </row>
    <row r="210">
      <c r="A210" s="2">
        <v>209.0</v>
      </c>
      <c r="B210" s="14">
        <f>IF(PasteBBM!B210="",156,PasteBBM!B210)</f>
        <v>156</v>
      </c>
      <c r="C210" t="str">
        <f>PasteBBM!I210</f>
        <v>Dru Smith</v>
      </c>
      <c r="D210" t="str">
        <f>IFERROR(REPLACE(PasteBBM!K210,FIND("/",PasteBBM!K210,1),1,","),PasteBBM!K210)</f>
        <v>SG</v>
      </c>
      <c r="E210" t="str">
        <f>PasteBBM!J210</f>
        <v>MIA</v>
      </c>
      <c r="F210">
        <f>PasteBBM!U210</f>
        <v>52</v>
      </c>
      <c r="G210">
        <f>PasteBBM!X210</f>
        <v>19</v>
      </c>
      <c r="H210">
        <f>PasteBBM!AE210*PasteBBM!AF210</f>
        <v>2.295191757</v>
      </c>
      <c r="I210">
        <f>PasteBBM!AE210</f>
        <v>0.462328</v>
      </c>
      <c r="J210">
        <f>PasteBBM!AG210*PasteBBM!AH210</f>
        <v>0.6619234011</v>
      </c>
      <c r="K210">
        <f>PasteBBM!AG210</f>
        <v>0.828998</v>
      </c>
      <c r="L210">
        <f>PasteBBM!Z210</f>
        <v>0.99</v>
      </c>
      <c r="M210">
        <f>PasteBBM!Y210</f>
        <v>6.242308</v>
      </c>
      <c r="N210">
        <f>PasteBBM!AA210</f>
        <v>2.383077</v>
      </c>
      <c r="O210">
        <f>PasteBBM!AB210</f>
        <v>2.058077</v>
      </c>
      <c r="P210">
        <f>PasteBBM!AC210</f>
        <v>1.208462</v>
      </c>
      <c r="Q210">
        <f>PasteBBM!AD210</f>
        <v>0.366923</v>
      </c>
      <c r="R210">
        <f>PasteBBM!AI210</f>
        <v>0.913077</v>
      </c>
      <c r="S210">
        <f>PasteBBM!AE210</f>
        <v>0.462328</v>
      </c>
      <c r="T210">
        <f>PasteBBM!AG210</f>
        <v>0.828998</v>
      </c>
      <c r="V210" s="44">
        <v>-0.41709</v>
      </c>
      <c r="W210" s="44">
        <v>-0.00658</v>
      </c>
      <c r="X210" s="44">
        <v>0.009207</v>
      </c>
      <c r="Y210" s="44">
        <v>-0.4263</v>
      </c>
      <c r="Z210" s="44">
        <v>-0.34564</v>
      </c>
      <c r="AA210" s="45"/>
      <c r="AB210" s="46" t="s">
        <v>126</v>
      </c>
      <c r="AC210" s="44">
        <v>67.0</v>
      </c>
    </row>
    <row r="211">
      <c r="A211" s="2">
        <v>210.0</v>
      </c>
      <c r="B211" s="14">
        <f>IF(PasteBBM!B211="",156,PasteBBM!B211)</f>
        <v>145</v>
      </c>
      <c r="C211" t="str">
        <f>PasteBBM!I211</f>
        <v>Jonathan Isaac</v>
      </c>
      <c r="D211" t="str">
        <f>IFERROR(REPLACE(PasteBBM!K211,FIND("/",PasteBBM!K211,1),1,","),PasteBBM!K211)</f>
        <v>PF</v>
      </c>
      <c r="E211" t="str">
        <f>PasteBBM!J211</f>
        <v>ORL</v>
      </c>
      <c r="F211">
        <f>PasteBBM!U211</f>
        <v>59</v>
      </c>
      <c r="G211">
        <f>PasteBBM!X211</f>
        <v>16</v>
      </c>
      <c r="H211">
        <f>PasteBBM!AE211*PasteBBM!AF211</f>
        <v>1.5835608</v>
      </c>
      <c r="I211">
        <f>PasteBBM!AE211</f>
        <v>0.440708</v>
      </c>
      <c r="J211">
        <f>PasteBBM!AG211*PasteBBM!AH211</f>
        <v>0.8061016024</v>
      </c>
      <c r="K211">
        <f>PasteBBM!AG211</f>
        <v>0.717995</v>
      </c>
      <c r="L211">
        <f>PasteBBM!Z211</f>
        <v>0.434068</v>
      </c>
      <c r="M211">
        <f>PasteBBM!Y211</f>
        <v>4.407288</v>
      </c>
      <c r="N211">
        <f>PasteBBM!AA211</f>
        <v>4.638644</v>
      </c>
      <c r="O211">
        <f>PasteBBM!AB211</f>
        <v>0.685932</v>
      </c>
      <c r="P211">
        <f>PasteBBM!AC211</f>
        <v>0.947288</v>
      </c>
      <c r="Q211">
        <f>PasteBBM!AD211</f>
        <v>1.172881</v>
      </c>
      <c r="R211">
        <f>PasteBBM!AI211</f>
        <v>0.65339</v>
      </c>
      <c r="S211">
        <f>PasteBBM!AE211</f>
        <v>0.440708</v>
      </c>
      <c r="T211">
        <f>PasteBBM!AG211</f>
        <v>0.717995</v>
      </c>
      <c r="V211" s="44">
        <v>-0.41709</v>
      </c>
      <c r="W211" s="44">
        <v>-0.00658</v>
      </c>
      <c r="X211" s="44">
        <v>0.009207</v>
      </c>
      <c r="Y211" s="44">
        <v>-0.4263</v>
      </c>
      <c r="Z211" s="44">
        <v>-0.34564</v>
      </c>
      <c r="AA211" s="45"/>
      <c r="AB211" s="46" t="s">
        <v>126</v>
      </c>
      <c r="AC211" s="44">
        <v>67.0</v>
      </c>
    </row>
    <row r="212">
      <c r="A212" s="2">
        <v>211.0</v>
      </c>
      <c r="B212" s="14">
        <f>IF(PasteBBM!B212="",156,PasteBBM!B212)</f>
        <v>156</v>
      </c>
      <c r="C212" t="str">
        <f>PasteBBM!I212</f>
        <v>Dorian Finney-Smith</v>
      </c>
      <c r="D212" t="str">
        <f>IFERROR(REPLACE(PasteBBM!K212,FIND("/",PasteBBM!K212,1),1,","),PasteBBM!K212)</f>
        <v>SF,PF</v>
      </c>
      <c r="E212" t="str">
        <f>PasteBBM!J212</f>
        <v>HOU</v>
      </c>
      <c r="F212">
        <f>PasteBBM!U212</f>
        <v>68</v>
      </c>
      <c r="G212">
        <f>PasteBBM!X212</f>
        <v>28</v>
      </c>
      <c r="H212">
        <f>PasteBBM!AE212*PasteBBM!AF212</f>
        <v>3.242943813</v>
      </c>
      <c r="I212">
        <f>PasteBBM!AE212</f>
        <v>0.423434</v>
      </c>
      <c r="J212">
        <f>PasteBBM!AG212*PasteBBM!AH212</f>
        <v>0.3860290262</v>
      </c>
      <c r="K212">
        <f>PasteBBM!AG212</f>
        <v>0.719967</v>
      </c>
      <c r="L212">
        <f>PasteBBM!Z212</f>
        <v>2.078971</v>
      </c>
      <c r="M212">
        <f>PasteBBM!Y212</f>
        <v>8.950882</v>
      </c>
      <c r="N212">
        <f>PasteBBM!AA212</f>
        <v>3.535</v>
      </c>
      <c r="O212">
        <f>PasteBBM!AB212</f>
        <v>1.237206</v>
      </c>
      <c r="P212">
        <f>PasteBBM!AC212</f>
        <v>0.920147</v>
      </c>
      <c r="Q212">
        <f>PasteBBM!AD212</f>
        <v>0.359118</v>
      </c>
      <c r="R212">
        <f>PasteBBM!AI212</f>
        <v>0.895735</v>
      </c>
      <c r="S212">
        <f>PasteBBM!AE212</f>
        <v>0.423434</v>
      </c>
      <c r="T212">
        <f>PasteBBM!AG212</f>
        <v>0.719967</v>
      </c>
      <c r="V212" s="44">
        <v>-0.41709</v>
      </c>
      <c r="W212" s="44">
        <v>-0.00658</v>
      </c>
      <c r="X212" s="44">
        <v>0.009207</v>
      </c>
      <c r="Y212" s="44">
        <v>-0.4263</v>
      </c>
      <c r="Z212" s="44">
        <v>-0.34564</v>
      </c>
      <c r="AA212" s="45"/>
      <c r="AB212" s="46" t="s">
        <v>126</v>
      </c>
      <c r="AC212" s="44">
        <v>67.0</v>
      </c>
    </row>
    <row r="213">
      <c r="A213" s="2">
        <v>212.0</v>
      </c>
      <c r="B213" s="14">
        <f>IF(PasteBBM!B213="",156,PasteBBM!B213)</f>
        <v>142.6429</v>
      </c>
      <c r="C213" t="str">
        <f>PasteBBM!I213</f>
        <v>Kon Knueppel</v>
      </c>
      <c r="D213" t="str">
        <f>IFERROR(REPLACE(PasteBBM!K213,FIND("/",PasteBBM!K213,1),1,","),PasteBBM!K213)</f>
        <v>PG,SG/SF</v>
      </c>
      <c r="E213" t="str">
        <f>PasteBBM!J213</f>
        <v>CHA</v>
      </c>
      <c r="F213">
        <f>PasteBBM!U213</f>
        <v>71</v>
      </c>
      <c r="G213">
        <f>PasteBBM!X213</f>
        <v>31</v>
      </c>
      <c r="H213">
        <f>PasteBBM!AE213*PasteBBM!AF213</f>
        <v>3.982678743</v>
      </c>
      <c r="I213">
        <f>PasteBBM!AE213</f>
        <v>0.416678</v>
      </c>
      <c r="J213">
        <f>PasteBBM!AG213*PasteBBM!AH213</f>
        <v>1.653661554</v>
      </c>
      <c r="K213">
        <f>PasteBBM!AG213</f>
        <v>0.865026</v>
      </c>
      <c r="L213">
        <f>PasteBBM!Z213</f>
        <v>1.986761</v>
      </c>
      <c r="M213">
        <f>PasteBBM!Y213</f>
        <v>11.60577</v>
      </c>
      <c r="N213">
        <f>PasteBBM!AA213</f>
        <v>3.422958</v>
      </c>
      <c r="O213">
        <f>PasteBBM!AB213</f>
        <v>2.389577</v>
      </c>
      <c r="P213">
        <f>PasteBBM!AC213</f>
        <v>0.904225</v>
      </c>
      <c r="Q213">
        <f>PasteBBM!AD213</f>
        <v>0.193803</v>
      </c>
      <c r="R213">
        <f>PasteBBM!AI213</f>
        <v>1.55</v>
      </c>
      <c r="S213">
        <f>PasteBBM!AE213</f>
        <v>0.416678</v>
      </c>
      <c r="T213">
        <f>PasteBBM!AG213</f>
        <v>0.865026</v>
      </c>
      <c r="V213" s="44">
        <v>-0.41709</v>
      </c>
      <c r="W213" s="44">
        <v>-0.00658</v>
      </c>
      <c r="X213" s="44">
        <v>0.009207</v>
      </c>
      <c r="Y213" s="44">
        <v>-0.4263</v>
      </c>
      <c r="Z213" s="44">
        <v>-0.34564</v>
      </c>
      <c r="AA213" s="45"/>
      <c r="AB213" s="46" t="s">
        <v>126</v>
      </c>
      <c r="AC213" s="44">
        <v>67.0</v>
      </c>
    </row>
    <row r="214">
      <c r="A214" s="2">
        <v>213.0</v>
      </c>
      <c r="B214" s="14">
        <f>IF(PasteBBM!B214="",156,PasteBBM!B214)</f>
        <v>148</v>
      </c>
      <c r="C214" t="str">
        <f>PasteBBM!I214</f>
        <v>Kris Dunn</v>
      </c>
      <c r="D214" t="str">
        <f>IFERROR(REPLACE(PasteBBM!K214,FIND("/",PasteBBM!K214,1),1,","),PasteBBM!K214)</f>
        <v>PG</v>
      </c>
      <c r="E214" t="str">
        <f>PasteBBM!J214</f>
        <v>LAC</v>
      </c>
      <c r="F214">
        <f>PasteBBM!U214</f>
        <v>66</v>
      </c>
      <c r="G214">
        <f>PasteBBM!X214</f>
        <v>20</v>
      </c>
      <c r="H214">
        <f>PasteBBM!AE214*PasteBBM!AF214</f>
        <v>2.245909267</v>
      </c>
      <c r="I214">
        <f>PasteBBM!AE214</f>
        <v>0.441082</v>
      </c>
      <c r="J214">
        <f>PasteBBM!AG214*PasteBBM!AH214</f>
        <v>0.1890912</v>
      </c>
      <c r="K214">
        <f>PasteBBM!AG214</f>
        <v>0.8</v>
      </c>
      <c r="L214">
        <f>PasteBBM!Z214</f>
        <v>0.865758</v>
      </c>
      <c r="M214">
        <f>PasteBBM!Y214</f>
        <v>5.546667</v>
      </c>
      <c r="N214">
        <f>PasteBBM!AA214</f>
        <v>2.829242</v>
      </c>
      <c r="O214">
        <f>PasteBBM!AB214</f>
        <v>2.122727</v>
      </c>
      <c r="P214">
        <f>PasteBBM!AC214</f>
        <v>1.252879</v>
      </c>
      <c r="Q214">
        <f>PasteBBM!AD214</f>
        <v>0.332273</v>
      </c>
      <c r="R214">
        <f>PasteBBM!AI214</f>
        <v>0.785909</v>
      </c>
      <c r="S214">
        <f>PasteBBM!AE214</f>
        <v>0.441082</v>
      </c>
      <c r="T214">
        <f>PasteBBM!AG214</f>
        <v>0.8</v>
      </c>
      <c r="V214" s="44">
        <v>-0.41709</v>
      </c>
      <c r="W214" s="44">
        <v>-0.00658</v>
      </c>
      <c r="X214" s="44">
        <v>0.009207</v>
      </c>
      <c r="Y214" s="44">
        <v>-0.4263</v>
      </c>
      <c r="Z214" s="44">
        <v>-0.34564</v>
      </c>
      <c r="AA214" s="45"/>
      <c r="AB214" s="46" t="s">
        <v>126</v>
      </c>
      <c r="AC214" s="44">
        <v>67.0</v>
      </c>
    </row>
    <row r="215">
      <c r="A215" s="2">
        <v>214.0</v>
      </c>
      <c r="B215" s="14">
        <f>IF(PasteBBM!B215="",156,PasteBBM!B215)</f>
        <v>156</v>
      </c>
      <c r="C215" t="str">
        <f>PasteBBM!I215</f>
        <v>Zach Collins</v>
      </c>
      <c r="D215" t="str">
        <f>IFERROR(REPLACE(PasteBBM!K215,FIND("/",PasteBBM!K215,1),1,","),PasteBBM!K215)</f>
        <v>PF,C</v>
      </c>
      <c r="E215" t="str">
        <f>PasteBBM!J215</f>
        <v>CHI</v>
      </c>
      <c r="F215">
        <f>PasteBBM!U215</f>
        <v>66</v>
      </c>
      <c r="G215">
        <f>PasteBBM!X215</f>
        <v>18</v>
      </c>
      <c r="H215">
        <f>PasteBBM!AE215*PasteBBM!AF215</f>
        <v>3.215452086</v>
      </c>
      <c r="I215">
        <f>PasteBBM!AE215</f>
        <v>0.516853</v>
      </c>
      <c r="J215">
        <f>PasteBBM!AG215*PasteBBM!AH215</f>
        <v>1.391514729</v>
      </c>
      <c r="K215">
        <f>PasteBBM!AG215</f>
        <v>0.84404</v>
      </c>
      <c r="L215">
        <f>PasteBBM!Z215</f>
        <v>0.667273</v>
      </c>
      <c r="M215">
        <f>PasteBBM!Y215</f>
        <v>8.489697</v>
      </c>
      <c r="N215">
        <f>PasteBBM!AA215</f>
        <v>5.906212</v>
      </c>
      <c r="O215">
        <f>PasteBBM!AB215</f>
        <v>2.23303</v>
      </c>
      <c r="P215">
        <f>PasteBBM!AC215</f>
        <v>0.517576</v>
      </c>
      <c r="Q215">
        <f>PasteBBM!AD215</f>
        <v>0.586818</v>
      </c>
      <c r="R215">
        <f>PasteBBM!AI215</f>
        <v>1.417424</v>
      </c>
      <c r="S215">
        <f>PasteBBM!AE215</f>
        <v>0.516853</v>
      </c>
      <c r="T215">
        <f>PasteBBM!AG215</f>
        <v>0.84404</v>
      </c>
      <c r="V215" s="44">
        <v>-0.41709</v>
      </c>
      <c r="W215" s="44">
        <v>-0.00658</v>
      </c>
      <c r="X215" s="44">
        <v>0.009207</v>
      </c>
      <c r="Y215" s="44">
        <v>-0.4263</v>
      </c>
      <c r="Z215" s="44">
        <v>-0.34564</v>
      </c>
      <c r="AA215" s="45"/>
      <c r="AB215" s="46" t="s">
        <v>126</v>
      </c>
      <c r="AC215" s="44">
        <v>67.0</v>
      </c>
    </row>
    <row r="216">
      <c r="A216" s="2">
        <v>215.0</v>
      </c>
      <c r="B216" s="14">
        <f>IF(PasteBBM!B216="",156,PasteBBM!B216)</f>
        <v>156</v>
      </c>
      <c r="C216" t="str">
        <f>PasteBBM!I216</f>
        <v>Royce O'Neale</v>
      </c>
      <c r="D216" t="str">
        <f>IFERROR(REPLACE(PasteBBM!K216,FIND("/",PasteBBM!K216,1),1,","),PasteBBM!K216)</f>
        <v>SF,PF</v>
      </c>
      <c r="E216" t="str">
        <f>PasteBBM!J216</f>
        <v>PHO</v>
      </c>
      <c r="F216">
        <f>PasteBBM!U216</f>
        <v>71</v>
      </c>
      <c r="G216">
        <f>PasteBBM!X216</f>
        <v>21</v>
      </c>
      <c r="H216">
        <f>PasteBBM!AE216*PasteBBM!AF216</f>
        <v>2.909296486</v>
      </c>
      <c r="I216">
        <f>PasteBBM!AE216</f>
        <v>0.414646</v>
      </c>
      <c r="J216">
        <f>PasteBBM!AG216*PasteBBM!AH216</f>
        <v>0.3276057742</v>
      </c>
      <c r="K216">
        <f>PasteBBM!AG216</f>
        <v>0.667049</v>
      </c>
      <c r="L216">
        <f>PasteBBM!Z216</f>
        <v>2.183944</v>
      </c>
      <c r="M216">
        <f>PasteBBM!Y216</f>
        <v>8.330141</v>
      </c>
      <c r="N216">
        <f>PasteBBM!AA216</f>
        <v>3.46507</v>
      </c>
      <c r="O216">
        <f>PasteBBM!AB216</f>
        <v>2.338873</v>
      </c>
      <c r="P216">
        <f>PasteBBM!AC216</f>
        <v>0.728732</v>
      </c>
      <c r="Q216">
        <f>PasteBBM!AD216</f>
        <v>0.392254</v>
      </c>
      <c r="R216">
        <f>PasteBBM!AI216</f>
        <v>0.866197</v>
      </c>
      <c r="S216">
        <f>PasteBBM!AE216</f>
        <v>0.414646</v>
      </c>
      <c r="T216">
        <f>PasteBBM!AG216</f>
        <v>0.667049</v>
      </c>
      <c r="V216" s="44">
        <v>-0.41709</v>
      </c>
      <c r="W216" s="44">
        <v>-0.00658</v>
      </c>
      <c r="X216" s="44">
        <v>0.009207</v>
      </c>
      <c r="Y216" s="44">
        <v>-0.4263</v>
      </c>
      <c r="Z216" s="44">
        <v>-0.34564</v>
      </c>
      <c r="AA216" s="45"/>
      <c r="AB216" s="46" t="s">
        <v>126</v>
      </c>
      <c r="AC216" s="44">
        <v>67.0</v>
      </c>
    </row>
    <row r="217">
      <c r="A217" s="2">
        <v>216.0</v>
      </c>
      <c r="B217" s="14">
        <f>IF(PasteBBM!B217="",156,PasteBBM!B217)</f>
        <v>156</v>
      </c>
      <c r="C217" t="str">
        <f>PasteBBM!I217</f>
        <v>Marcus Smart</v>
      </c>
      <c r="D217" t="str">
        <f>IFERROR(REPLACE(PasteBBM!K217,FIND("/",PasteBBM!K217,1),1,","),PasteBBM!K217)</f>
        <v>PG,SG</v>
      </c>
      <c r="E217" t="str">
        <f>PasteBBM!J217</f>
        <v>LAL</v>
      </c>
      <c r="F217">
        <f>PasteBBM!U217</f>
        <v>56</v>
      </c>
      <c r="G217">
        <f>PasteBBM!X217</f>
        <v>25</v>
      </c>
      <c r="H217">
        <f>PasteBBM!AE217*PasteBBM!AF217</f>
        <v>3.064288609</v>
      </c>
      <c r="I217">
        <f>PasteBBM!AE217</f>
        <v>0.394928</v>
      </c>
      <c r="J217">
        <f>PasteBBM!AG217*PasteBBM!AH217</f>
        <v>1.176071558</v>
      </c>
      <c r="K217">
        <f>PasteBBM!AG217</f>
        <v>0.75797</v>
      </c>
      <c r="L217">
        <f>PasteBBM!Z217</f>
        <v>1.416071</v>
      </c>
      <c r="M217">
        <f>PasteBBM!Y217</f>
        <v>8.720714</v>
      </c>
      <c r="N217">
        <f>PasteBBM!AA217</f>
        <v>2.347857</v>
      </c>
      <c r="O217">
        <f>PasteBBM!AB217</f>
        <v>3.744643</v>
      </c>
      <c r="P217">
        <f>PasteBBM!AC217</f>
        <v>1.395893</v>
      </c>
      <c r="Q217">
        <f>PasteBBM!AD217</f>
        <v>0.253214</v>
      </c>
      <c r="R217">
        <f>PasteBBM!AI217</f>
        <v>1.684286</v>
      </c>
      <c r="S217">
        <f>PasteBBM!AE217</f>
        <v>0.394928</v>
      </c>
      <c r="T217">
        <f>PasteBBM!AG217</f>
        <v>0.75797</v>
      </c>
      <c r="V217" s="44">
        <v>-0.41709</v>
      </c>
      <c r="W217" s="44">
        <v>-0.00658</v>
      </c>
      <c r="X217" s="44">
        <v>0.009207</v>
      </c>
      <c r="Y217" s="44">
        <v>-0.4263</v>
      </c>
      <c r="Z217" s="44">
        <v>-0.34564</v>
      </c>
      <c r="AA217" s="45"/>
      <c r="AB217" s="46" t="s">
        <v>126</v>
      </c>
      <c r="AC217" s="44">
        <v>67.0</v>
      </c>
    </row>
    <row r="218">
      <c r="A218" s="2">
        <v>217.0</v>
      </c>
      <c r="B218" s="14">
        <f>IF(PasteBBM!B218="",156,PasteBBM!B218)</f>
        <v>156</v>
      </c>
      <c r="C218" t="str">
        <f>PasteBBM!I218</f>
        <v>Mike Conley</v>
      </c>
      <c r="D218" t="str">
        <f>IFERROR(REPLACE(PasteBBM!K218,FIND("/",PasteBBM!K218,1),1,","),PasteBBM!K218)</f>
        <v>PG</v>
      </c>
      <c r="E218" t="str">
        <f>PasteBBM!J218</f>
        <v>MIN</v>
      </c>
      <c r="F218">
        <f>PasteBBM!U218</f>
        <v>60</v>
      </c>
      <c r="G218">
        <f>PasteBBM!X218</f>
        <v>23</v>
      </c>
      <c r="H218">
        <f>PasteBBM!AE218*PasteBBM!AF218</f>
        <v>2.424833757</v>
      </c>
      <c r="I218">
        <f>PasteBBM!AE218</f>
        <v>0.422494</v>
      </c>
      <c r="J218">
        <f>PasteBBM!AG218*PasteBBM!AH218</f>
        <v>0.8704996343</v>
      </c>
      <c r="K218">
        <f>PasteBBM!AG218</f>
        <v>0.892058</v>
      </c>
      <c r="L218">
        <f>PasteBBM!Z218</f>
        <v>1.507333</v>
      </c>
      <c r="M218">
        <f>PasteBBM!Y218</f>
        <v>7.2275</v>
      </c>
      <c r="N218">
        <f>PasteBBM!AA218</f>
        <v>2.3245</v>
      </c>
      <c r="O218">
        <f>PasteBBM!AB218</f>
        <v>4.124167</v>
      </c>
      <c r="P218">
        <f>PasteBBM!AC218</f>
        <v>0.8065</v>
      </c>
      <c r="Q218">
        <f>PasteBBM!AD218</f>
        <v>0.190833</v>
      </c>
      <c r="R218">
        <f>PasteBBM!AI218</f>
        <v>1.001</v>
      </c>
      <c r="S218">
        <f>PasteBBM!AE218</f>
        <v>0.422494</v>
      </c>
      <c r="T218">
        <f>PasteBBM!AG218</f>
        <v>0.892058</v>
      </c>
      <c r="V218" s="44">
        <v>-0.41709</v>
      </c>
      <c r="W218" s="44">
        <v>-0.00658</v>
      </c>
      <c r="X218" s="44">
        <v>0.009207</v>
      </c>
      <c r="Y218" s="44">
        <v>-0.4263</v>
      </c>
      <c r="Z218" s="44">
        <v>-0.34564</v>
      </c>
      <c r="AA218" s="45"/>
      <c r="AB218" s="46" t="s">
        <v>126</v>
      </c>
      <c r="AC218" s="44">
        <v>67.0</v>
      </c>
    </row>
    <row r="219">
      <c r="A219" s="2">
        <v>218.0</v>
      </c>
      <c r="B219" s="14">
        <f>IF(PasteBBM!B219="",156,PasteBBM!B219)</f>
        <v>145.8</v>
      </c>
      <c r="C219" t="str">
        <f>PasteBBM!I219</f>
        <v>Brandon Clarke</v>
      </c>
      <c r="D219" t="str">
        <f>IFERROR(REPLACE(PasteBBM!K219,FIND("/",PasteBBM!K219,1),1,","),PasteBBM!K219)</f>
        <v>PF</v>
      </c>
      <c r="E219" t="str">
        <f>PasteBBM!J219</f>
        <v>MEM</v>
      </c>
      <c r="F219">
        <f>PasteBBM!U219</f>
        <v>46</v>
      </c>
      <c r="G219">
        <f>PasteBBM!X219</f>
        <v>16</v>
      </c>
      <c r="H219">
        <f>PasteBBM!AE219*PasteBBM!AF219</f>
        <v>3.492610364</v>
      </c>
      <c r="I219">
        <f>PasteBBM!AE219</f>
        <v>0.665204</v>
      </c>
      <c r="J219">
        <f>PasteBBM!AG219*PasteBBM!AH219</f>
        <v>0.9173915621</v>
      </c>
      <c r="K219">
        <f>PasteBBM!AG219</f>
        <v>0.688081</v>
      </c>
      <c r="L219">
        <f>PasteBBM!Z219</f>
        <v>0.011087</v>
      </c>
      <c r="M219">
        <f>PasteBBM!Y219</f>
        <v>7.913696</v>
      </c>
      <c r="N219">
        <f>PasteBBM!AA219</f>
        <v>4.48</v>
      </c>
      <c r="O219">
        <f>PasteBBM!AB219</f>
        <v>1.155</v>
      </c>
      <c r="P219">
        <f>PasteBBM!AC219</f>
        <v>0.621304</v>
      </c>
      <c r="Q219">
        <f>PasteBBM!AD219</f>
        <v>0.529348</v>
      </c>
      <c r="R219">
        <f>PasteBBM!AI219</f>
        <v>0.59913</v>
      </c>
      <c r="S219">
        <f>PasteBBM!AE219</f>
        <v>0.665204</v>
      </c>
      <c r="T219">
        <f>PasteBBM!AG219</f>
        <v>0.688081</v>
      </c>
      <c r="V219" s="44">
        <v>-0.41709</v>
      </c>
      <c r="W219" s="44">
        <v>-0.00658</v>
      </c>
      <c r="X219" s="44">
        <v>0.009207</v>
      </c>
      <c r="Y219" s="44">
        <v>-0.4263</v>
      </c>
      <c r="Z219" s="44">
        <v>-0.34564</v>
      </c>
      <c r="AA219" s="45"/>
      <c r="AB219" s="46" t="s">
        <v>126</v>
      </c>
      <c r="AC219" s="44">
        <v>67.0</v>
      </c>
    </row>
    <row r="220">
      <c r="A220" s="2">
        <v>219.0</v>
      </c>
      <c r="B220" s="14">
        <f>IF(PasteBBM!B220="",156,PasteBBM!B220)</f>
        <v>156</v>
      </c>
      <c r="C220" t="str">
        <f>PasteBBM!I220</f>
        <v>Aaron Holiday</v>
      </c>
      <c r="D220" t="str">
        <f>IFERROR(REPLACE(PasteBBM!K220,FIND("/",PasteBBM!K220,1),1,","),PasteBBM!K220)</f>
        <v>PG</v>
      </c>
      <c r="E220" t="str">
        <f>PasteBBM!J220</f>
        <v>HOU</v>
      </c>
      <c r="F220">
        <f>PasteBBM!U220</f>
        <v>71</v>
      </c>
      <c r="G220">
        <f>PasteBBM!X220</f>
        <v>22</v>
      </c>
      <c r="H220">
        <f>PasteBBM!AE220*PasteBBM!AF220</f>
        <v>3.754652361</v>
      </c>
      <c r="I220">
        <f>PasteBBM!AE220</f>
        <v>0.426911</v>
      </c>
      <c r="J220">
        <f>PasteBBM!AG220*PasteBBM!AH220</f>
        <v>0.9277466822</v>
      </c>
      <c r="K220">
        <f>PasteBBM!AG220</f>
        <v>0.87897</v>
      </c>
      <c r="L220">
        <f>PasteBBM!Z220</f>
        <v>2.386338</v>
      </c>
      <c r="M220">
        <f>PasteBBM!Y220</f>
        <v>10.82338</v>
      </c>
      <c r="N220">
        <f>PasteBBM!AA220</f>
        <v>1.944225</v>
      </c>
      <c r="O220">
        <f>PasteBBM!AB220</f>
        <v>2.40662</v>
      </c>
      <c r="P220">
        <f>PasteBBM!AC220</f>
        <v>0.648028</v>
      </c>
      <c r="Q220">
        <f>PasteBBM!AD220</f>
        <v>0.231408</v>
      </c>
      <c r="R220">
        <f>PasteBBM!AI220</f>
        <v>0.972113</v>
      </c>
      <c r="S220">
        <f>PasteBBM!AE220</f>
        <v>0.426911</v>
      </c>
      <c r="T220">
        <f>PasteBBM!AG220</f>
        <v>0.87897</v>
      </c>
      <c r="V220" s="44">
        <v>-0.41709</v>
      </c>
      <c r="W220" s="44">
        <v>-0.00658</v>
      </c>
      <c r="X220" s="44">
        <v>0.009207</v>
      </c>
      <c r="Y220" s="44">
        <v>-0.4263</v>
      </c>
      <c r="Z220" s="44">
        <v>-0.34564</v>
      </c>
      <c r="AA220" s="45"/>
      <c r="AB220" s="46" t="s">
        <v>126</v>
      </c>
      <c r="AC220" s="44">
        <v>67.0</v>
      </c>
    </row>
    <row r="221">
      <c r="A221" s="2">
        <v>220.0</v>
      </c>
      <c r="B221" s="14">
        <f>IF(PasteBBM!B221="",156,PasteBBM!B221)</f>
        <v>156</v>
      </c>
      <c r="C221" t="str">
        <f>PasteBBM!I221</f>
        <v>Noah Clowney</v>
      </c>
      <c r="D221" t="str">
        <f>IFERROR(REPLACE(PasteBBM!K221,FIND("/",PasteBBM!K221,1),1,","),PasteBBM!K221)</f>
        <v>PF,C</v>
      </c>
      <c r="E221" t="str">
        <f>PasteBBM!J221</f>
        <v>BKN</v>
      </c>
      <c r="F221">
        <f>PasteBBM!U221</f>
        <v>66</v>
      </c>
      <c r="G221">
        <f>PasteBBM!X221</f>
        <v>24</v>
      </c>
      <c r="H221">
        <f>PasteBBM!AE221*PasteBBM!AF221</f>
        <v>3.699549754</v>
      </c>
      <c r="I221">
        <f>PasteBBM!AE221</f>
        <v>0.401847</v>
      </c>
      <c r="J221">
        <f>PasteBBM!AG221*PasteBBM!AH221</f>
        <v>1.986817708</v>
      </c>
      <c r="K221">
        <f>PasteBBM!AG221</f>
        <v>0.829989</v>
      </c>
      <c r="L221">
        <f>PasteBBM!Z221</f>
        <v>1.874091</v>
      </c>
      <c r="M221">
        <f>PasteBBM!Y221</f>
        <v>11.26</v>
      </c>
      <c r="N221">
        <f>PasteBBM!AA221</f>
        <v>4.356061</v>
      </c>
      <c r="O221">
        <f>PasteBBM!AB221</f>
        <v>1.019394</v>
      </c>
      <c r="P221">
        <f>PasteBBM!AC221</f>
        <v>0.550758</v>
      </c>
      <c r="Q221">
        <f>PasteBBM!AD221</f>
        <v>0.643485</v>
      </c>
      <c r="R221">
        <f>PasteBBM!AI221</f>
        <v>1.033182</v>
      </c>
      <c r="S221">
        <f>PasteBBM!AE221</f>
        <v>0.401847</v>
      </c>
      <c r="T221">
        <f>PasteBBM!AG221</f>
        <v>0.829989</v>
      </c>
      <c r="V221" s="44">
        <v>-0.41709</v>
      </c>
      <c r="W221" s="44">
        <v>-0.00658</v>
      </c>
      <c r="X221" s="44">
        <v>0.009207</v>
      </c>
      <c r="Y221" s="44">
        <v>-0.4263</v>
      </c>
      <c r="Z221" s="44">
        <v>-0.34564</v>
      </c>
      <c r="AA221" s="45"/>
      <c r="AB221" s="46" t="s">
        <v>126</v>
      </c>
      <c r="AC221" s="44">
        <v>67.0</v>
      </c>
    </row>
    <row r="222">
      <c r="A222" s="2">
        <v>221.0</v>
      </c>
      <c r="B222" s="14">
        <f>IF(PasteBBM!B222="",156,PasteBBM!B222)</f>
        <v>156</v>
      </c>
      <c r="C222" t="str">
        <f>PasteBBM!I222</f>
        <v>Naji Marshall</v>
      </c>
      <c r="D222" t="str">
        <f>IFERROR(REPLACE(PasteBBM!K222,FIND("/",PasteBBM!K222,1),1,","),PasteBBM!K222)</f>
        <v>SF,PF</v>
      </c>
      <c r="E222" t="str">
        <f>PasteBBM!J222</f>
        <v>DAL</v>
      </c>
      <c r="F222">
        <f>PasteBBM!U222</f>
        <v>71</v>
      </c>
      <c r="G222">
        <f>PasteBBM!X222</f>
        <v>25</v>
      </c>
      <c r="H222">
        <f>PasteBBM!AE222*PasteBBM!AF222</f>
        <v>4.040280451</v>
      </c>
      <c r="I222">
        <f>PasteBBM!AE222</f>
        <v>0.468358</v>
      </c>
      <c r="J222">
        <f>PasteBBM!AG222*PasteBBM!AH222</f>
        <v>1.476338543</v>
      </c>
      <c r="K222">
        <f>PasteBBM!AG222</f>
        <v>0.791991</v>
      </c>
      <c r="L222">
        <f>PasteBBM!Z222</f>
        <v>0.972254</v>
      </c>
      <c r="M222">
        <f>PasteBBM!Y222</f>
        <v>10.52915</v>
      </c>
      <c r="N222">
        <f>PasteBBM!AA222</f>
        <v>4.629155</v>
      </c>
      <c r="O222">
        <f>PasteBBM!AB222</f>
        <v>2.49</v>
      </c>
      <c r="P222">
        <f>PasteBBM!AC222</f>
        <v>0.860704</v>
      </c>
      <c r="Q222">
        <f>PasteBBM!AD222</f>
        <v>0.161831</v>
      </c>
      <c r="R222">
        <f>PasteBBM!AI222</f>
        <v>1.450845</v>
      </c>
      <c r="S222">
        <f>PasteBBM!AE222</f>
        <v>0.468358</v>
      </c>
      <c r="T222">
        <f>PasteBBM!AG222</f>
        <v>0.791991</v>
      </c>
      <c r="V222" s="44">
        <v>-0.41709</v>
      </c>
      <c r="W222" s="44">
        <v>-0.00658</v>
      </c>
      <c r="X222" s="44">
        <v>0.009207</v>
      </c>
      <c r="Y222" s="44">
        <v>-0.4263</v>
      </c>
      <c r="Z222" s="44">
        <v>-0.34564</v>
      </c>
      <c r="AA222" s="45"/>
      <c r="AB222" s="46" t="s">
        <v>126</v>
      </c>
      <c r="AC222" s="44">
        <v>67.0</v>
      </c>
    </row>
    <row r="223">
      <c r="A223" s="2">
        <v>222.0</v>
      </c>
      <c r="B223" s="14">
        <f>IF(PasteBBM!B223="",156,PasteBBM!B223)</f>
        <v>156</v>
      </c>
      <c r="C223" t="str">
        <f>PasteBBM!I223</f>
        <v>Jalen Smith</v>
      </c>
      <c r="D223" t="str">
        <f>IFERROR(REPLACE(PasteBBM!K223,FIND("/",PasteBBM!K223,1),1,","),PasteBBM!K223)</f>
        <v>C</v>
      </c>
      <c r="E223" t="str">
        <f>PasteBBM!J223</f>
        <v>CHI</v>
      </c>
      <c r="F223">
        <f>PasteBBM!U223</f>
        <v>58</v>
      </c>
      <c r="G223">
        <f>PasteBBM!X223</f>
        <v>15</v>
      </c>
      <c r="H223">
        <f>PasteBBM!AE223*PasteBBM!AF223</f>
        <v>3.180171836</v>
      </c>
      <c r="I223">
        <f>PasteBBM!AE223</f>
        <v>0.499526</v>
      </c>
      <c r="J223">
        <f>PasteBBM!AG223*PasteBBM!AH223</f>
        <v>0.8494823459</v>
      </c>
      <c r="K223">
        <f>PasteBBM!AG223</f>
        <v>0.784929</v>
      </c>
      <c r="L223">
        <f>PasteBBM!Z223</f>
        <v>0.974655</v>
      </c>
      <c r="M223">
        <f>PasteBBM!Y223</f>
        <v>8.184483</v>
      </c>
      <c r="N223">
        <f>PasteBBM!AA223</f>
        <v>5.775</v>
      </c>
      <c r="O223">
        <f>PasteBBM!AB223</f>
        <v>1.048448</v>
      </c>
      <c r="P223">
        <f>PasteBBM!AC223</f>
        <v>0.265345</v>
      </c>
      <c r="Q223">
        <f>PasteBBM!AD223</f>
        <v>0.652069</v>
      </c>
      <c r="R223">
        <f>PasteBBM!AI223</f>
        <v>0.525</v>
      </c>
      <c r="S223">
        <f>PasteBBM!AE223</f>
        <v>0.499526</v>
      </c>
      <c r="T223">
        <f>PasteBBM!AG223</f>
        <v>0.784929</v>
      </c>
      <c r="V223" s="44">
        <v>-0.41709</v>
      </c>
      <c r="W223" s="44">
        <v>-0.00658</v>
      </c>
      <c r="X223" s="44">
        <v>0.009207</v>
      </c>
      <c r="Y223" s="44">
        <v>-0.4263</v>
      </c>
      <c r="Z223" s="44">
        <v>-0.34564</v>
      </c>
      <c r="AA223" s="45"/>
      <c r="AB223" s="46" t="s">
        <v>126</v>
      </c>
      <c r="AC223" s="44">
        <v>67.0</v>
      </c>
    </row>
    <row r="224">
      <c r="A224" s="2">
        <v>223.0</v>
      </c>
      <c r="B224" s="14">
        <f>IF(PasteBBM!B224="",156,PasteBBM!B224)</f>
        <v>143.6667</v>
      </c>
      <c r="C224" t="str">
        <f>PasteBBM!I224</f>
        <v>Harrison Barnes</v>
      </c>
      <c r="D224" t="str">
        <f>IFERROR(REPLACE(PasteBBM!K224,FIND("/",PasteBBM!K224,1),1,","),PasteBBM!K224)</f>
        <v>SF,PF</v>
      </c>
      <c r="E224" t="str">
        <f>PasteBBM!J224</f>
        <v>SAS</v>
      </c>
      <c r="F224">
        <f>PasteBBM!U224</f>
        <v>75</v>
      </c>
      <c r="G224">
        <f>PasteBBM!X224</f>
        <v>25</v>
      </c>
      <c r="H224">
        <f>PasteBBM!AE224*PasteBBM!AF224</f>
        <v>3.564264184</v>
      </c>
      <c r="I224">
        <f>PasteBBM!AE224</f>
        <v>0.482701</v>
      </c>
      <c r="J224">
        <f>PasteBBM!AG224*PasteBBM!AH224</f>
        <v>1.332133305</v>
      </c>
      <c r="K224">
        <f>PasteBBM!AG224</f>
        <v>0.82001</v>
      </c>
      <c r="L224">
        <f>PasteBBM!Z224</f>
        <v>1.772267</v>
      </c>
      <c r="M224">
        <f>PasteBBM!Y224</f>
        <v>10.23293</v>
      </c>
      <c r="N224">
        <f>PasteBBM!AA224</f>
        <v>3.187467</v>
      </c>
      <c r="O224">
        <f>PasteBBM!AB224</f>
        <v>1.328133</v>
      </c>
      <c r="P224">
        <f>PasteBBM!AC224</f>
        <v>0.525733</v>
      </c>
      <c r="Q224">
        <f>PasteBBM!AD224</f>
        <v>0.1604</v>
      </c>
      <c r="R224">
        <f>PasteBBM!AI224</f>
        <v>0.5876</v>
      </c>
      <c r="S224">
        <f>PasteBBM!AE224</f>
        <v>0.482701</v>
      </c>
      <c r="T224">
        <f>PasteBBM!AG224</f>
        <v>0.82001</v>
      </c>
      <c r="V224" s="44">
        <v>-0.41709</v>
      </c>
      <c r="W224" s="44">
        <v>-0.00658</v>
      </c>
      <c r="X224" s="44">
        <v>0.009207</v>
      </c>
      <c r="Y224" s="44">
        <v>-0.4263</v>
      </c>
      <c r="Z224" s="44">
        <v>-0.34564</v>
      </c>
      <c r="AA224" s="45"/>
      <c r="AB224" s="46" t="s">
        <v>126</v>
      </c>
      <c r="AC224" s="44">
        <v>67.0</v>
      </c>
    </row>
    <row r="225">
      <c r="A225" s="2">
        <v>224.0</v>
      </c>
      <c r="B225" s="14">
        <f>IF(PasteBBM!B225="",156,PasteBBM!B225)</f>
        <v>137.4655</v>
      </c>
      <c r="C225" t="str">
        <f>PasteBBM!I225</f>
        <v>Jonathan Kuminga</v>
      </c>
      <c r="D225" t="str">
        <f>IFERROR(REPLACE(PasteBBM!K225,FIND("/",PasteBBM!K225,1),1,","),PasteBBM!K225)</f>
        <v>PF,C</v>
      </c>
      <c r="E225" t="str">
        <f>PasteBBM!J225</f>
        <v>GSW</v>
      </c>
      <c r="F225">
        <f>PasteBBM!U225</f>
        <v>66</v>
      </c>
      <c r="G225">
        <f>PasteBBM!X225</f>
        <v>25</v>
      </c>
      <c r="H225">
        <f>PasteBBM!AE225*PasteBBM!AF225</f>
        <v>5.758028996</v>
      </c>
      <c r="I225">
        <f>PasteBBM!AE225</f>
        <v>0.489767</v>
      </c>
      <c r="J225">
        <f>PasteBBM!AG225*PasteBBM!AH225</f>
        <v>3.563941658</v>
      </c>
      <c r="K225">
        <f>PasteBBM!AG225</f>
        <v>0.688987</v>
      </c>
      <c r="L225">
        <f>PasteBBM!Z225</f>
        <v>1.008636</v>
      </c>
      <c r="M225">
        <f>PasteBBM!Y225</f>
        <v>16.08864</v>
      </c>
      <c r="N225">
        <f>PasteBBM!AA225</f>
        <v>5.104697</v>
      </c>
      <c r="O225">
        <f>PasteBBM!AB225</f>
        <v>2.347727</v>
      </c>
      <c r="P225">
        <f>PasteBBM!AC225</f>
        <v>0.784091</v>
      </c>
      <c r="Q225">
        <f>PasteBBM!AD225</f>
        <v>0.46</v>
      </c>
      <c r="R225">
        <f>PasteBBM!AI225</f>
        <v>1.484242</v>
      </c>
      <c r="S225">
        <f>PasteBBM!AE225</f>
        <v>0.489767</v>
      </c>
      <c r="T225">
        <f>PasteBBM!AG225</f>
        <v>0.688987</v>
      </c>
      <c r="V225" s="44">
        <v>-0.41709</v>
      </c>
      <c r="W225" s="44">
        <v>-0.00658</v>
      </c>
      <c r="X225" s="44">
        <v>0.009207</v>
      </c>
      <c r="Y225" s="44">
        <v>-0.4263</v>
      </c>
      <c r="Z225" s="44">
        <v>-0.34564</v>
      </c>
      <c r="AA225" s="45"/>
      <c r="AB225" s="46" t="s">
        <v>126</v>
      </c>
      <c r="AC225" s="44">
        <v>67.0</v>
      </c>
    </row>
    <row r="226">
      <c r="A226" s="2">
        <v>225.0</v>
      </c>
      <c r="B226" s="14">
        <f>IF(PasteBBM!B226="",156,PasteBBM!B226)</f>
        <v>156</v>
      </c>
      <c r="C226" t="str">
        <f>PasteBBM!I226</f>
        <v>Josh Okogie</v>
      </c>
      <c r="D226" t="str">
        <f>IFERROR(REPLACE(PasteBBM!K226,FIND("/",PasteBBM!K226,1),1,","),PasteBBM!K226)</f>
        <v>SG,SF</v>
      </c>
      <c r="E226" t="str">
        <f>PasteBBM!J226</f>
        <v>HOU</v>
      </c>
      <c r="F226">
        <f>PasteBBM!U226</f>
        <v>66</v>
      </c>
      <c r="G226">
        <f>PasteBBM!X226</f>
        <v>22</v>
      </c>
      <c r="H226">
        <f>PasteBBM!AE226*PasteBBM!AF226</f>
        <v>3.181969013</v>
      </c>
      <c r="I226">
        <f>PasteBBM!AE226</f>
        <v>0.4296</v>
      </c>
      <c r="J226">
        <f>PasteBBM!AG226*PasteBBM!AH226</f>
        <v>2.404545515</v>
      </c>
      <c r="K226">
        <f>PasteBBM!AG226</f>
        <v>0.735983</v>
      </c>
      <c r="L226">
        <f>PasteBBM!Z226</f>
        <v>1.148788</v>
      </c>
      <c r="M226">
        <f>PasteBBM!Y226</f>
        <v>9.917273</v>
      </c>
      <c r="N226">
        <f>PasteBBM!AA226</f>
        <v>3.008939</v>
      </c>
      <c r="O226">
        <f>PasteBBM!AB226</f>
        <v>1.249848</v>
      </c>
      <c r="P226">
        <f>PasteBBM!AC226</f>
        <v>1.111061</v>
      </c>
      <c r="Q226">
        <f>PasteBBM!AD226</f>
        <v>0.596667</v>
      </c>
      <c r="R226">
        <f>PasteBBM!AI226</f>
        <v>0.965</v>
      </c>
      <c r="S226">
        <f>PasteBBM!AE226</f>
        <v>0.4296</v>
      </c>
      <c r="T226">
        <f>PasteBBM!AG226</f>
        <v>0.735983</v>
      </c>
      <c r="V226" s="44">
        <v>-0.41709</v>
      </c>
      <c r="W226" s="44">
        <v>-0.00658</v>
      </c>
      <c r="X226" s="44">
        <v>0.009207</v>
      </c>
      <c r="Y226" s="44">
        <v>-0.4263</v>
      </c>
      <c r="Z226" s="44">
        <v>-0.34564</v>
      </c>
      <c r="AA226" s="45"/>
      <c r="AB226" s="46" t="s">
        <v>126</v>
      </c>
      <c r="AC226" s="44">
        <v>67.0</v>
      </c>
    </row>
    <row r="227">
      <c r="A227" s="2">
        <v>226.0</v>
      </c>
      <c r="B227" s="14">
        <f>IF(PasteBBM!B227="",156,PasteBBM!B227)</f>
        <v>146</v>
      </c>
      <c r="C227" t="str">
        <f>PasteBBM!I227</f>
        <v>Anthony Black</v>
      </c>
      <c r="D227" t="str">
        <f>IFERROR(REPLACE(PasteBBM!K227,FIND("/",PasteBBM!K227,1),1,","),PasteBBM!K227)</f>
        <v>PG,SG</v>
      </c>
      <c r="E227" t="str">
        <f>PasteBBM!J227</f>
        <v>ORL</v>
      </c>
      <c r="F227">
        <f>PasteBBM!U227</f>
        <v>71</v>
      </c>
      <c r="G227">
        <f>PasteBBM!X227</f>
        <v>22</v>
      </c>
      <c r="H227">
        <f>PasteBBM!AE227*PasteBBM!AF227</f>
        <v>3.17746406</v>
      </c>
      <c r="I227">
        <f>PasteBBM!AE227</f>
        <v>0.453449</v>
      </c>
      <c r="J227">
        <f>PasteBBM!AG227*PasteBBM!AH227</f>
        <v>1.146197404</v>
      </c>
      <c r="K227">
        <f>PasteBBM!AG227</f>
        <v>0.77898</v>
      </c>
      <c r="L227">
        <f>PasteBBM!Z227</f>
        <v>0.725493</v>
      </c>
      <c r="M227">
        <f>PasteBBM!Y227</f>
        <v>8.22662</v>
      </c>
      <c r="N227">
        <f>PasteBBM!AA227</f>
        <v>3.144225</v>
      </c>
      <c r="O227">
        <f>PasteBBM!AB227</f>
        <v>2.245775</v>
      </c>
      <c r="P227">
        <f>PasteBBM!AC227</f>
        <v>1.02831</v>
      </c>
      <c r="Q227">
        <f>PasteBBM!AD227</f>
        <v>0.540563</v>
      </c>
      <c r="R227">
        <f>PasteBBM!AI227</f>
        <v>1.212817</v>
      </c>
      <c r="S227">
        <f>PasteBBM!AE227</f>
        <v>0.453449</v>
      </c>
      <c r="T227">
        <f>PasteBBM!AG227</f>
        <v>0.77898</v>
      </c>
      <c r="V227" s="44">
        <v>-0.41709</v>
      </c>
      <c r="W227" s="44">
        <v>-0.00658</v>
      </c>
      <c r="X227" s="44">
        <v>0.009207</v>
      </c>
      <c r="Y227" s="44">
        <v>-0.4263</v>
      </c>
      <c r="Z227" s="44">
        <v>-0.34564</v>
      </c>
      <c r="AA227" s="45"/>
      <c r="AB227" s="46" t="s">
        <v>126</v>
      </c>
      <c r="AC227" s="44">
        <v>67.0</v>
      </c>
    </row>
    <row r="228">
      <c r="A228" s="2">
        <v>227.0</v>
      </c>
      <c r="B228" s="14">
        <f>IF(PasteBBM!B228="",156,PasteBBM!B228)</f>
        <v>148</v>
      </c>
      <c r="C228" t="str">
        <f>PasteBBM!I228</f>
        <v>Terance Mann</v>
      </c>
      <c r="D228" t="str">
        <f>IFERROR(REPLACE(PasteBBM!K228,FIND("/",PasteBBM!K228,1),1,","),PasteBBM!K228)</f>
        <v>PG,SG/SF</v>
      </c>
      <c r="E228" t="str">
        <f>PasteBBM!J228</f>
        <v>BKN</v>
      </c>
      <c r="F228">
        <f>PasteBBM!U228</f>
        <v>56</v>
      </c>
      <c r="G228">
        <f>PasteBBM!X228</f>
        <v>26</v>
      </c>
      <c r="H228">
        <f>PasteBBM!AE228*PasteBBM!AF228</f>
        <v>3.86892849</v>
      </c>
      <c r="I228">
        <f>PasteBBM!AE228</f>
        <v>0.504588</v>
      </c>
      <c r="J228">
        <f>PasteBBM!AG228*PasteBBM!AH228</f>
        <v>1.036964079</v>
      </c>
      <c r="K228">
        <f>PasteBBM!AG228</f>
        <v>0.778001</v>
      </c>
      <c r="L228">
        <f>PasteBBM!Z228</f>
        <v>1.069464</v>
      </c>
      <c r="M228">
        <f>PasteBBM!Y228</f>
        <v>9.844286</v>
      </c>
      <c r="N228">
        <f>PasteBBM!AA228</f>
        <v>3.539286</v>
      </c>
      <c r="O228">
        <f>PasteBBM!AB228</f>
        <v>2.10875</v>
      </c>
      <c r="P228">
        <f>PasteBBM!AC228</f>
        <v>0.643571</v>
      </c>
      <c r="Q228">
        <f>PasteBBM!AD228</f>
        <v>0.212679</v>
      </c>
      <c r="R228">
        <f>PasteBBM!AI228</f>
        <v>0.851964</v>
      </c>
      <c r="S228">
        <f>PasteBBM!AE228</f>
        <v>0.504588</v>
      </c>
      <c r="T228">
        <f>PasteBBM!AG228</f>
        <v>0.778001</v>
      </c>
      <c r="V228" s="44">
        <v>-0.41709</v>
      </c>
      <c r="W228" s="44">
        <v>-0.00658</v>
      </c>
      <c r="X228" s="44">
        <v>0.009207</v>
      </c>
      <c r="Y228" s="44">
        <v>-0.4263</v>
      </c>
      <c r="Z228" s="44">
        <v>-0.34564</v>
      </c>
      <c r="AA228" s="45"/>
      <c r="AB228" s="46" t="s">
        <v>126</v>
      </c>
      <c r="AC228" s="44">
        <v>67.0</v>
      </c>
    </row>
    <row r="229">
      <c r="A229" s="2">
        <v>228.0</v>
      </c>
      <c r="B229" s="14">
        <f>IF(PasteBBM!B229="",156,PasteBBM!B229)</f>
        <v>156</v>
      </c>
      <c r="C229" t="str">
        <f>PasteBBM!I229</f>
        <v>Derrick Jones</v>
      </c>
      <c r="D229" t="str">
        <f>IFERROR(REPLACE(PasteBBM!K229,FIND("/",PasteBBM!K229,1),1,","),PasteBBM!K229)</f>
        <v>SF,PF</v>
      </c>
      <c r="E229" t="str">
        <f>PasteBBM!J229</f>
        <v>LAC</v>
      </c>
      <c r="F229">
        <f>PasteBBM!U229</f>
        <v>71</v>
      </c>
      <c r="G229">
        <f>PasteBBM!X229</f>
        <v>24</v>
      </c>
      <c r="H229">
        <f>PasteBBM!AE229*PasteBBM!AF229</f>
        <v>3.673378277</v>
      </c>
      <c r="I229">
        <f>PasteBBM!AE229</f>
        <v>0.525996</v>
      </c>
      <c r="J229">
        <f>PasteBBM!AG229*PasteBBM!AH229</f>
        <v>1.060282089</v>
      </c>
      <c r="K229">
        <f>PasteBBM!AG229</f>
        <v>0.665018</v>
      </c>
      <c r="L229">
        <f>PasteBBM!Z229</f>
        <v>1.025211</v>
      </c>
      <c r="M229">
        <f>PasteBBM!Y229</f>
        <v>9.432254</v>
      </c>
      <c r="N229">
        <f>PasteBBM!AA229</f>
        <v>3.298028</v>
      </c>
      <c r="O229">
        <f>PasteBBM!AB229</f>
        <v>0.719155</v>
      </c>
      <c r="P229">
        <f>PasteBBM!AC229</f>
        <v>0.869155</v>
      </c>
      <c r="Q229">
        <f>PasteBBM!AD229</f>
        <v>0.486338</v>
      </c>
      <c r="R229">
        <f>PasteBBM!AI229</f>
        <v>0.777887</v>
      </c>
      <c r="S229">
        <f>PasteBBM!AE229</f>
        <v>0.525996</v>
      </c>
      <c r="T229">
        <f>PasteBBM!AG229</f>
        <v>0.665018</v>
      </c>
      <c r="V229" s="44">
        <v>-0.41709</v>
      </c>
      <c r="W229" s="44">
        <v>-0.00658</v>
      </c>
      <c r="X229" s="44">
        <v>0.009207</v>
      </c>
      <c r="Y229" s="44">
        <v>-0.4263</v>
      </c>
      <c r="Z229" s="44">
        <v>-0.34564</v>
      </c>
      <c r="AA229" s="45"/>
      <c r="AB229" s="46" t="s">
        <v>126</v>
      </c>
      <c r="AC229" s="44">
        <v>67.0</v>
      </c>
    </row>
    <row r="230">
      <c r="A230" s="2">
        <v>229.0</v>
      </c>
      <c r="B230" s="14">
        <f>IF(PasteBBM!B230="",156,PasteBBM!B230)</f>
        <v>144.65</v>
      </c>
      <c r="C230" t="str">
        <f>PasteBBM!I230</f>
        <v>Bub Carrington</v>
      </c>
      <c r="D230" t="str">
        <f>IFERROR(REPLACE(PasteBBM!K230,FIND("/",PasteBBM!K230,1),1,","),PasteBBM!K230)</f>
        <v>PG</v>
      </c>
      <c r="E230" t="str">
        <f>PasteBBM!J230</f>
        <v>WAS</v>
      </c>
      <c r="F230">
        <f>PasteBBM!U230</f>
        <v>71</v>
      </c>
      <c r="G230">
        <f>PasteBBM!X230</f>
        <v>29</v>
      </c>
      <c r="H230">
        <f>PasteBBM!AE230*PasteBBM!AF230</f>
        <v>3.853523291</v>
      </c>
      <c r="I230">
        <f>PasteBBM!AE230</f>
        <v>0.42416</v>
      </c>
      <c r="J230">
        <f>PasteBBM!AG230*PasteBBM!AH230</f>
        <v>1.108028822</v>
      </c>
      <c r="K230">
        <f>PasteBBM!AG230</f>
        <v>0.813043</v>
      </c>
      <c r="L230">
        <f>PasteBBM!Z230</f>
        <v>1.815352</v>
      </c>
      <c r="M230">
        <f>PasteBBM!Y230</f>
        <v>10.63042</v>
      </c>
      <c r="N230">
        <f>PasteBBM!AA230</f>
        <v>4.542676</v>
      </c>
      <c r="O230">
        <f>PasteBBM!AB230</f>
        <v>5.289437</v>
      </c>
      <c r="P230">
        <f>PasteBBM!AC230</f>
        <v>0.553662</v>
      </c>
      <c r="Q230">
        <f>PasteBBM!AD230</f>
        <v>0.313521</v>
      </c>
      <c r="R230">
        <f>PasteBBM!AI230</f>
        <v>2.302535</v>
      </c>
      <c r="S230">
        <f>PasteBBM!AE230</f>
        <v>0.42416</v>
      </c>
      <c r="T230">
        <f>PasteBBM!AG230</f>
        <v>0.813043</v>
      </c>
      <c r="V230" s="44">
        <v>-0.41709</v>
      </c>
      <c r="W230" s="44">
        <v>-0.00658</v>
      </c>
      <c r="X230" s="44">
        <v>0.009207</v>
      </c>
      <c r="Y230" s="44">
        <v>-0.4263</v>
      </c>
      <c r="Z230" s="44">
        <v>-0.34564</v>
      </c>
      <c r="AA230" s="45"/>
      <c r="AB230" s="46" t="s">
        <v>126</v>
      </c>
      <c r="AC230" s="44">
        <v>67.0</v>
      </c>
    </row>
    <row r="231">
      <c r="A231" s="2">
        <v>230.0</v>
      </c>
      <c r="B231" s="14">
        <f>IF(PasteBBM!B231="",156,PasteBBM!B231)</f>
        <v>150.6</v>
      </c>
      <c r="C231" t="str">
        <f>PasteBBM!I231</f>
        <v>Ryan Kalkbrenner</v>
      </c>
      <c r="D231" t="str">
        <f>IFERROR(REPLACE(PasteBBM!K231,FIND("/",PasteBBM!K231,1),1,","),PasteBBM!K231)</f>
        <v>C</v>
      </c>
      <c r="E231" t="str">
        <f>PasteBBM!J231</f>
        <v>CHA</v>
      </c>
      <c r="F231">
        <f>PasteBBM!U231</f>
        <v>66</v>
      </c>
      <c r="G231">
        <f>PasteBBM!X231</f>
        <v>20</v>
      </c>
      <c r="H231">
        <f>PasteBBM!AE231*PasteBBM!AF231</f>
        <v>3.463027842</v>
      </c>
      <c r="I231">
        <f>PasteBBM!AE231</f>
        <v>0.593739</v>
      </c>
      <c r="J231">
        <f>PasteBBM!AG231*PasteBBM!AH231</f>
        <v>0.9619698723</v>
      </c>
      <c r="K231">
        <f>PasteBBM!AG231</f>
        <v>0.716996</v>
      </c>
      <c r="L231">
        <f>PasteBBM!Z231</f>
        <v>0.1</v>
      </c>
      <c r="M231">
        <f>PasteBBM!Y231</f>
        <v>7.98803</v>
      </c>
      <c r="N231">
        <f>PasteBBM!AA231</f>
        <v>4.75</v>
      </c>
      <c r="O231">
        <f>PasteBBM!AB231</f>
        <v>0.791667</v>
      </c>
      <c r="P231">
        <f>PasteBBM!AC231</f>
        <v>0.375</v>
      </c>
      <c r="Q231">
        <f>PasteBBM!AD231</f>
        <v>1.25</v>
      </c>
      <c r="R231">
        <f>PasteBBM!AI231</f>
        <v>1</v>
      </c>
      <c r="S231">
        <f>PasteBBM!AE231</f>
        <v>0.593739</v>
      </c>
      <c r="T231">
        <f>PasteBBM!AG231</f>
        <v>0.716996</v>
      </c>
      <c r="V231" s="44">
        <v>-0.41709</v>
      </c>
      <c r="W231" s="44">
        <v>-0.00658</v>
      </c>
      <c r="X231" s="44">
        <v>0.009207</v>
      </c>
      <c r="Y231" s="44">
        <v>-0.4263</v>
      </c>
      <c r="Z231" s="44">
        <v>-0.34564</v>
      </c>
      <c r="AA231" s="45"/>
      <c r="AB231" s="46" t="s">
        <v>126</v>
      </c>
      <c r="AC231" s="44">
        <v>67.0</v>
      </c>
    </row>
    <row r="232">
      <c r="A232" s="2">
        <v>231.0</v>
      </c>
      <c r="B232" s="14">
        <f>IF(PasteBBM!B232="",156,PasteBBM!B232)</f>
        <v>156</v>
      </c>
      <c r="C232" t="str">
        <f>PasteBBM!I232</f>
        <v>AJ Green</v>
      </c>
      <c r="D232" t="str">
        <f>IFERROR(REPLACE(PasteBBM!K232,FIND("/",PasteBBM!K232,1),1,","),PasteBBM!K232)</f>
        <v>SG</v>
      </c>
      <c r="E232" t="str">
        <f>PasteBBM!J232</f>
        <v>MIL</v>
      </c>
      <c r="F232">
        <f>PasteBBM!U232</f>
        <v>71</v>
      </c>
      <c r="G232">
        <f>PasteBBM!X232</f>
        <v>28</v>
      </c>
      <c r="H232">
        <f>PasteBBM!AE232*PasteBBM!AF232</f>
        <v>2.7866187</v>
      </c>
      <c r="I232">
        <f>PasteBBM!AE232</f>
        <v>0.418606</v>
      </c>
      <c r="J232">
        <f>PasteBBM!AG232*PasteBBM!AH232</f>
        <v>0.3814087252</v>
      </c>
      <c r="K232">
        <f>PasteBBM!AG232</f>
        <v>0.819117</v>
      </c>
      <c r="L232">
        <f>PasteBBM!Z232</f>
        <v>2.374789</v>
      </c>
      <c r="M232">
        <f>PasteBBM!Y232</f>
        <v>8.329437</v>
      </c>
      <c r="N232">
        <f>PasteBBM!AA232</f>
        <v>2.945775</v>
      </c>
      <c r="O232">
        <f>PasteBBM!AB232</f>
        <v>2.179859</v>
      </c>
      <c r="P232">
        <f>PasteBBM!AC232</f>
        <v>0.588873</v>
      </c>
      <c r="Q232">
        <f>PasteBBM!AD232</f>
        <v>0.117887</v>
      </c>
      <c r="R232">
        <f>PasteBBM!AI232</f>
        <v>0.648169</v>
      </c>
      <c r="S232">
        <f>PasteBBM!AE232</f>
        <v>0.418606</v>
      </c>
      <c r="T232">
        <f>PasteBBM!AG232</f>
        <v>0.819117</v>
      </c>
      <c r="V232" s="44">
        <v>-0.41709</v>
      </c>
      <c r="W232" s="44">
        <v>-0.00658</v>
      </c>
      <c r="X232" s="44">
        <v>0.009207</v>
      </c>
      <c r="Y232" s="44">
        <v>-0.4263</v>
      </c>
      <c r="Z232" s="44">
        <v>-0.34564</v>
      </c>
      <c r="AA232" s="45"/>
      <c r="AB232" s="46" t="s">
        <v>126</v>
      </c>
      <c r="AC232" s="44">
        <v>67.0</v>
      </c>
    </row>
    <row r="233">
      <c r="A233" s="2">
        <v>232.0</v>
      </c>
      <c r="B233" s="14">
        <f>IF(PasteBBM!B233="",156,PasteBBM!B233)</f>
        <v>148.6429</v>
      </c>
      <c r="C233" t="str">
        <f>PasteBBM!I233</f>
        <v>Tyus Jones</v>
      </c>
      <c r="D233" t="str">
        <f>IFERROR(REPLACE(PasteBBM!K233,FIND("/",PasteBBM!K233,1),1,","),PasteBBM!K233)</f>
        <v>PG</v>
      </c>
      <c r="E233" t="str">
        <f>PasteBBM!J233</f>
        <v>ORL</v>
      </c>
      <c r="F233">
        <f>PasteBBM!U233</f>
        <v>71</v>
      </c>
      <c r="G233">
        <f>PasteBBM!X233</f>
        <v>23</v>
      </c>
      <c r="H233">
        <f>PasteBBM!AE233*PasteBBM!AF233</f>
        <v>2.658312513</v>
      </c>
      <c r="I233">
        <f>PasteBBM!AE233</f>
        <v>0.432147</v>
      </c>
      <c r="J233">
        <f>PasteBBM!AG233*PasteBBM!AH233</f>
        <v>0.2042250037</v>
      </c>
      <c r="K233">
        <f>PasteBBM!AG233</f>
        <v>0.829994</v>
      </c>
      <c r="L233">
        <f>PasteBBM!Z233</f>
        <v>1.374507</v>
      </c>
      <c r="M233">
        <f>PasteBBM!Y233</f>
        <v>6.895352</v>
      </c>
      <c r="N233">
        <f>PasteBBM!AA233</f>
        <v>2.113099</v>
      </c>
      <c r="O233">
        <f>PasteBBM!AB233</f>
        <v>4.367183</v>
      </c>
      <c r="P233">
        <f>PasteBBM!AC233</f>
        <v>0.747324</v>
      </c>
      <c r="Q233">
        <f>PasteBBM!AD233</f>
        <v>0.094225</v>
      </c>
      <c r="R233">
        <f>PasteBBM!AI233</f>
        <v>0.751268</v>
      </c>
      <c r="S233">
        <f>PasteBBM!AE233</f>
        <v>0.432147</v>
      </c>
      <c r="T233">
        <f>PasteBBM!AG233</f>
        <v>0.829994</v>
      </c>
      <c r="V233" s="44">
        <v>-0.41709</v>
      </c>
      <c r="W233" s="44">
        <v>-0.00658</v>
      </c>
      <c r="X233" s="44">
        <v>0.009207</v>
      </c>
      <c r="Y233" s="44">
        <v>-0.4263</v>
      </c>
      <c r="Z233" s="44">
        <v>-0.34564</v>
      </c>
      <c r="AA233" s="45"/>
      <c r="AB233" s="46" t="s">
        <v>126</v>
      </c>
      <c r="AC233" s="44">
        <v>67.0</v>
      </c>
    </row>
    <row r="234">
      <c r="A234" s="2">
        <v>233.0</v>
      </c>
      <c r="B234" s="14">
        <f>IF(PasteBBM!B234="",156,PasteBBM!B234)</f>
        <v>119.4783</v>
      </c>
      <c r="C234" t="str">
        <f>PasteBBM!I234</f>
        <v>Stephon Castle</v>
      </c>
      <c r="D234" t="str">
        <f>IFERROR(REPLACE(PasteBBM!K234,FIND("/",PasteBBM!K234,1),1,","),PasteBBM!K234)</f>
        <v>PG,SG</v>
      </c>
      <c r="E234" t="str">
        <f>PasteBBM!J234</f>
        <v>SAS</v>
      </c>
      <c r="F234">
        <f>PasteBBM!U234</f>
        <v>75</v>
      </c>
      <c r="G234">
        <f>PasteBBM!X234</f>
        <v>29</v>
      </c>
      <c r="H234">
        <f>PasteBBM!AE234*PasteBBM!AF234</f>
        <v>5.348939003</v>
      </c>
      <c r="I234">
        <f>PasteBBM!AE234</f>
        <v>0.454414</v>
      </c>
      <c r="J234">
        <f>PasteBBM!AG234*PasteBBM!AH234</f>
        <v>2.816132418</v>
      </c>
      <c r="K234">
        <f>PasteBBM!AG234</f>
        <v>0.72501</v>
      </c>
      <c r="L234">
        <f>PasteBBM!Z234</f>
        <v>1.0628</v>
      </c>
      <c r="M234">
        <f>PasteBBM!Y234</f>
        <v>14.5768</v>
      </c>
      <c r="N234">
        <f>PasteBBM!AA234</f>
        <v>3.8824</v>
      </c>
      <c r="O234">
        <f>PasteBBM!AB234</f>
        <v>4.375333</v>
      </c>
      <c r="P234">
        <f>PasteBBM!AC234</f>
        <v>0.986</v>
      </c>
      <c r="Q234">
        <f>PasteBBM!AD234</f>
        <v>0.3076</v>
      </c>
      <c r="R234">
        <f>PasteBBM!AI234</f>
        <v>2.280133</v>
      </c>
      <c r="S234">
        <f>PasteBBM!AE234</f>
        <v>0.454414</v>
      </c>
      <c r="T234">
        <f>PasteBBM!AG234</f>
        <v>0.72501</v>
      </c>
      <c r="V234" s="44">
        <v>-0.41709</v>
      </c>
      <c r="W234" s="44">
        <v>-0.00658</v>
      </c>
      <c r="X234" s="44">
        <v>0.009207</v>
      </c>
      <c r="Y234" s="44">
        <v>-0.4263</v>
      </c>
      <c r="Z234" s="44">
        <v>-0.34564</v>
      </c>
      <c r="AA234" s="45"/>
      <c r="AB234" s="46" t="s">
        <v>126</v>
      </c>
      <c r="AC234" s="44">
        <v>67.0</v>
      </c>
    </row>
    <row r="235">
      <c r="A235" s="2">
        <v>234.0</v>
      </c>
      <c r="B235" s="14">
        <f>IF(PasteBBM!B235="",156,PasteBBM!B235)</f>
        <v>156</v>
      </c>
      <c r="C235" t="str">
        <f>PasteBBM!I235</f>
        <v>Baylor Scheierman</v>
      </c>
      <c r="D235" t="str">
        <f>IFERROR(REPLACE(PasteBBM!K235,FIND("/",PasteBBM!K235,1),1,","),PasteBBM!K235)</f>
        <v>SF</v>
      </c>
      <c r="E235" t="str">
        <f>PasteBBM!J235</f>
        <v>BOS</v>
      </c>
      <c r="F235">
        <f>PasteBBM!U235</f>
        <v>71</v>
      </c>
      <c r="G235">
        <f>PasteBBM!X235</f>
        <v>21</v>
      </c>
      <c r="H235">
        <f>PasteBBM!AE235*PasteBBM!AF235</f>
        <v>2.959153912</v>
      </c>
      <c r="I235">
        <f>PasteBBM!AE235</f>
        <v>0.400381</v>
      </c>
      <c r="J235">
        <f>PasteBBM!AG235*PasteBBM!AH235</f>
        <v>0.8077468511</v>
      </c>
      <c r="K235">
        <f>PasteBBM!AG235</f>
        <v>0.768561</v>
      </c>
      <c r="L235">
        <f>PasteBBM!Z235</f>
        <v>1.835775</v>
      </c>
      <c r="M235">
        <f>PasteBBM!Y235</f>
        <v>8.561831</v>
      </c>
      <c r="N235">
        <f>PasteBBM!AA235</f>
        <v>4.227324</v>
      </c>
      <c r="O235">
        <f>PasteBBM!AB235</f>
        <v>2.386338</v>
      </c>
      <c r="P235">
        <f>PasteBBM!AC235</f>
        <v>0.833521</v>
      </c>
      <c r="Q235">
        <f>PasteBBM!AD235</f>
        <v>0.132113</v>
      </c>
      <c r="R235">
        <f>PasteBBM!AI235</f>
        <v>1.081549</v>
      </c>
      <c r="S235">
        <f>PasteBBM!AE235</f>
        <v>0.400381</v>
      </c>
      <c r="T235">
        <f>PasteBBM!AG235</f>
        <v>0.768561</v>
      </c>
      <c r="V235" s="44">
        <v>-0.41709</v>
      </c>
      <c r="W235" s="44">
        <v>-0.00658</v>
      </c>
      <c r="X235" s="44">
        <v>0.009207</v>
      </c>
      <c r="Y235" s="44">
        <v>-0.4263</v>
      </c>
      <c r="Z235" s="44">
        <v>-0.34564</v>
      </c>
      <c r="AA235" s="45"/>
      <c r="AB235" s="46" t="s">
        <v>126</v>
      </c>
      <c r="AC235" s="44">
        <v>67.0</v>
      </c>
    </row>
    <row r="236">
      <c r="A236" s="2">
        <v>235.0</v>
      </c>
      <c r="B236" s="14">
        <f>IF(PasteBBM!B236="",156,PasteBBM!B236)</f>
        <v>156</v>
      </c>
      <c r="C236" t="str">
        <f>PasteBBM!I236</f>
        <v>Jake LaRavia</v>
      </c>
      <c r="D236" t="str">
        <f>IFERROR(REPLACE(PasteBBM!K236,FIND("/",PasteBBM!K236,1),1,","),PasteBBM!K236)</f>
        <v>PF</v>
      </c>
      <c r="E236" t="str">
        <f>PasteBBM!J236</f>
        <v>LAL</v>
      </c>
      <c r="F236">
        <f>PasteBBM!U236</f>
        <v>66</v>
      </c>
      <c r="G236">
        <f>PasteBBM!X236</f>
        <v>23</v>
      </c>
      <c r="H236">
        <f>PasteBBM!AE236*PasteBBM!AF236</f>
        <v>2.831968947</v>
      </c>
      <c r="I236">
        <f>PasteBBM!AE236</f>
        <v>0.460324</v>
      </c>
      <c r="J236">
        <f>PasteBBM!AG236*PasteBBM!AH236</f>
        <v>1.035605068</v>
      </c>
      <c r="K236">
        <f>PasteBBM!AG236</f>
        <v>0.731955</v>
      </c>
      <c r="L236">
        <f>PasteBBM!Z236</f>
        <v>1.139394</v>
      </c>
      <c r="M236">
        <f>PasteBBM!Y236</f>
        <v>7.838939</v>
      </c>
      <c r="N236">
        <f>PasteBBM!AA236</f>
        <v>3.287121</v>
      </c>
      <c r="O236">
        <f>PasteBBM!AB236</f>
        <v>1.925303</v>
      </c>
      <c r="P236">
        <f>PasteBBM!AC236</f>
        <v>1.00197</v>
      </c>
      <c r="Q236">
        <f>PasteBBM!AD236</f>
        <v>0.37197</v>
      </c>
      <c r="R236">
        <f>PasteBBM!AI236</f>
        <v>1.12697</v>
      </c>
      <c r="S236">
        <f>PasteBBM!AE236</f>
        <v>0.460324</v>
      </c>
      <c r="T236">
        <f>PasteBBM!AG236</f>
        <v>0.731955</v>
      </c>
      <c r="V236" s="44">
        <v>-0.41709</v>
      </c>
      <c r="W236" s="44">
        <v>-0.00658</v>
      </c>
      <c r="X236" s="44">
        <v>0.009207</v>
      </c>
      <c r="Y236" s="44">
        <v>-0.4263</v>
      </c>
      <c r="Z236" s="44">
        <v>-0.34564</v>
      </c>
      <c r="AA236" s="45"/>
      <c r="AB236" s="46" t="s">
        <v>126</v>
      </c>
      <c r="AC236" s="44">
        <v>67.0</v>
      </c>
    </row>
    <row r="237">
      <c r="A237" s="2">
        <v>236.0</v>
      </c>
      <c r="B237" s="14">
        <f>IF(PasteBBM!B237="",156,PasteBBM!B237)</f>
        <v>154</v>
      </c>
      <c r="C237" t="str">
        <f>PasteBBM!I237</f>
        <v>Jarred Vanderbilt</v>
      </c>
      <c r="D237" t="str">
        <f>IFERROR(REPLACE(PasteBBM!K237,FIND("/",PasteBBM!K237,1),1,","),PasteBBM!K237)</f>
        <v>PF</v>
      </c>
      <c r="E237" t="str">
        <f>PasteBBM!J237</f>
        <v>LAL</v>
      </c>
      <c r="F237">
        <f>PasteBBM!U237</f>
        <v>58</v>
      </c>
      <c r="G237">
        <f>PasteBBM!X237</f>
        <v>22</v>
      </c>
      <c r="H237">
        <f>PasteBBM!AE237*PasteBBM!AF237</f>
        <v>2.451207923</v>
      </c>
      <c r="I237">
        <f>PasteBBM!AE237</f>
        <v>0.540324</v>
      </c>
      <c r="J237">
        <f>PasteBBM!AG237*PasteBBM!AH237</f>
        <v>0.7839658593</v>
      </c>
      <c r="K237">
        <f>PasteBBM!AG237</f>
        <v>0.640062</v>
      </c>
      <c r="L237">
        <f>PasteBBM!Z237</f>
        <v>0.245</v>
      </c>
      <c r="M237">
        <f>PasteBBM!Y237</f>
        <v>5.931379</v>
      </c>
      <c r="N237">
        <f>PasteBBM!AA237</f>
        <v>5.39</v>
      </c>
      <c r="O237">
        <f>PasteBBM!AB237</f>
        <v>1.347586</v>
      </c>
      <c r="P237">
        <f>PasteBBM!AC237</f>
        <v>1.122931</v>
      </c>
      <c r="Q237">
        <f>PasteBBM!AD237</f>
        <v>0.265345</v>
      </c>
      <c r="R237">
        <f>PasteBBM!AI237</f>
        <v>1.019483</v>
      </c>
      <c r="S237">
        <f>PasteBBM!AE237</f>
        <v>0.540324</v>
      </c>
      <c r="T237">
        <f>PasteBBM!AG237</f>
        <v>0.640062</v>
      </c>
      <c r="V237" s="44">
        <v>-0.41709</v>
      </c>
      <c r="W237" s="44">
        <v>-0.00658</v>
      </c>
      <c r="X237" s="44">
        <v>0.009207</v>
      </c>
      <c r="Y237" s="44">
        <v>-0.4263</v>
      </c>
      <c r="Z237" s="44">
        <v>-0.34564</v>
      </c>
      <c r="AA237" s="45"/>
      <c r="AB237" s="46" t="s">
        <v>126</v>
      </c>
      <c r="AC237" s="44">
        <v>67.0</v>
      </c>
    </row>
    <row r="238">
      <c r="A238" s="2">
        <v>237.0</v>
      </c>
      <c r="B238" s="14">
        <f>IF(PasteBBM!B238="",156,PasteBBM!B238)</f>
        <v>135</v>
      </c>
      <c r="C238" t="str">
        <f>PasteBBM!I238</f>
        <v>Vince Williams Jr.</v>
      </c>
      <c r="D238" t="str">
        <f>IFERROR(REPLACE(PasteBBM!K238,FIND("/",PasteBBM!K238,1),1,","),PasteBBM!K238)</f>
        <v>SG</v>
      </c>
      <c r="E238" t="str">
        <f>PasteBBM!J238</f>
        <v>MEM</v>
      </c>
      <c r="F238">
        <f>PasteBBM!U238</f>
        <v>71</v>
      </c>
      <c r="G238">
        <f>PasteBBM!X238</f>
        <v>21</v>
      </c>
      <c r="H238">
        <f>PasteBBM!AE238*PasteBBM!AF238</f>
        <v>3.15183435</v>
      </c>
      <c r="I238">
        <f>PasteBBM!AE238</f>
        <v>0.428821</v>
      </c>
      <c r="J238">
        <f>PasteBBM!AG238*PasteBBM!AH238</f>
        <v>0.9932399432</v>
      </c>
      <c r="K238">
        <f>PasteBBM!AG238</f>
        <v>0.79495</v>
      </c>
      <c r="L238">
        <f>PasteBBM!Z238</f>
        <v>1.449577</v>
      </c>
      <c r="M238">
        <f>PasteBBM!Y238</f>
        <v>8.746479</v>
      </c>
      <c r="N238">
        <f>PasteBBM!AA238</f>
        <v>4.180282</v>
      </c>
      <c r="O238">
        <f>PasteBBM!AB238</f>
        <v>2.670845</v>
      </c>
      <c r="P238">
        <f>PasteBBM!AC238</f>
        <v>0.676479</v>
      </c>
      <c r="Q238">
        <f>PasteBBM!AD238</f>
        <v>0.418169</v>
      </c>
      <c r="R238">
        <f>PasteBBM!AI238</f>
        <v>1.286197</v>
      </c>
      <c r="S238">
        <f>PasteBBM!AE238</f>
        <v>0.428821</v>
      </c>
      <c r="T238">
        <f>PasteBBM!AG238</f>
        <v>0.79495</v>
      </c>
      <c r="V238" s="44">
        <v>-0.41709</v>
      </c>
      <c r="W238" s="44">
        <v>-0.00658</v>
      </c>
      <c r="X238" s="44">
        <v>0.009207</v>
      </c>
      <c r="Y238" s="44">
        <v>-0.4263</v>
      </c>
      <c r="Z238" s="44">
        <v>-0.34564</v>
      </c>
      <c r="AA238" s="45"/>
      <c r="AB238" s="46" t="s">
        <v>126</v>
      </c>
      <c r="AC238" s="44">
        <v>67.0</v>
      </c>
    </row>
    <row r="239">
      <c r="A239" s="2">
        <v>238.0</v>
      </c>
      <c r="B239" s="14">
        <f>IF(PasteBBM!B239="",156,PasteBBM!B239)</f>
        <v>156</v>
      </c>
      <c r="C239" t="str">
        <f>PasteBBM!I239</f>
        <v>Jose Alvarado</v>
      </c>
      <c r="D239" t="str">
        <f>IFERROR(REPLACE(PasteBBM!K239,FIND("/",PasteBBM!K239,1),1,","),PasteBBM!K239)</f>
        <v>PG</v>
      </c>
      <c r="E239" t="str">
        <f>PasteBBM!J239</f>
        <v>NOR</v>
      </c>
      <c r="F239">
        <f>PasteBBM!U239</f>
        <v>66</v>
      </c>
      <c r="G239">
        <f>PasteBBM!X239</f>
        <v>20</v>
      </c>
      <c r="H239">
        <f>PasteBBM!AE239*PasteBBM!AF239</f>
        <v>2.81106133</v>
      </c>
      <c r="I239">
        <f>PasteBBM!AE239</f>
        <v>0.407275</v>
      </c>
      <c r="J239">
        <f>PasteBBM!AG239*PasteBBM!AH239</f>
        <v>0.732575204</v>
      </c>
      <c r="K239">
        <f>PasteBBM!AG239</f>
        <v>0.796934</v>
      </c>
      <c r="L239">
        <f>PasteBBM!Z239</f>
        <v>1.416212</v>
      </c>
      <c r="M239">
        <f>PasteBBM!Y239</f>
        <v>7.770909</v>
      </c>
      <c r="N239">
        <f>PasteBBM!AA239</f>
        <v>2.146212</v>
      </c>
      <c r="O239">
        <f>PasteBBM!AB239</f>
        <v>2.945758</v>
      </c>
      <c r="P239">
        <f>PasteBBM!AC239</f>
        <v>1.021212</v>
      </c>
      <c r="Q239">
        <f>PasteBBM!AD239</f>
        <v>0.214394</v>
      </c>
      <c r="R239">
        <f>PasteBBM!AI239</f>
        <v>0.967879</v>
      </c>
      <c r="S239">
        <f>PasteBBM!AE239</f>
        <v>0.407275</v>
      </c>
      <c r="T239">
        <f>PasteBBM!AG239</f>
        <v>0.796934</v>
      </c>
      <c r="V239" s="44">
        <v>-0.41709</v>
      </c>
      <c r="W239" s="44">
        <v>-0.00658</v>
      </c>
      <c r="X239" s="44">
        <v>0.009207</v>
      </c>
      <c r="Y239" s="44">
        <v>-0.4263</v>
      </c>
      <c r="Z239" s="44">
        <v>-0.34564</v>
      </c>
      <c r="AA239" s="45"/>
      <c r="AB239" s="46" t="s">
        <v>126</v>
      </c>
      <c r="AC239" s="44">
        <v>67.0</v>
      </c>
    </row>
    <row r="240">
      <c r="A240" s="2">
        <v>239.0</v>
      </c>
      <c r="B240" s="14">
        <f>IF(PasteBBM!B240="",156,PasteBBM!B240)</f>
        <v>156</v>
      </c>
      <c r="C240" t="str">
        <f>PasteBBM!I240</f>
        <v>Moritz Wagner</v>
      </c>
      <c r="D240" t="str">
        <f>IFERROR(REPLACE(PasteBBM!K240,FIND("/",PasteBBM!K240,1),1,","),PasteBBM!K240)</f>
        <v>C</v>
      </c>
      <c r="E240" t="str">
        <f>PasteBBM!J240</f>
        <v>ORL</v>
      </c>
      <c r="F240">
        <f>PasteBBM!U240</f>
        <v>40</v>
      </c>
      <c r="G240">
        <f>PasteBBM!X240</f>
        <v>17</v>
      </c>
      <c r="H240">
        <f>PasteBBM!AE240*PasteBBM!AF240</f>
        <v>3.774499122</v>
      </c>
      <c r="I240">
        <f>PasteBBM!AE240</f>
        <v>0.572284</v>
      </c>
      <c r="J240">
        <f>PasteBBM!AG240*PasteBBM!AH240</f>
        <v>2.077001199</v>
      </c>
      <c r="K240">
        <f>PasteBBM!AG240</f>
        <v>0.787041</v>
      </c>
      <c r="L240">
        <f>PasteBBM!Z240</f>
        <v>0.65525</v>
      </c>
      <c r="M240">
        <f>PasteBBM!Y240</f>
        <v>10.28125</v>
      </c>
      <c r="N240">
        <f>PasteBBM!AA240</f>
        <v>4.30375</v>
      </c>
      <c r="O240">
        <f>PasteBBM!AB240</f>
        <v>1.181</v>
      </c>
      <c r="P240">
        <f>PasteBBM!AC240</f>
        <v>0.59025</v>
      </c>
      <c r="Q240">
        <f>PasteBBM!AD240</f>
        <v>0.2775</v>
      </c>
      <c r="R240">
        <f>PasteBBM!AI240</f>
        <v>1.11075</v>
      </c>
      <c r="S240">
        <f>PasteBBM!AE240</f>
        <v>0.572284</v>
      </c>
      <c r="T240">
        <f>PasteBBM!AG240</f>
        <v>0.787041</v>
      </c>
      <c r="V240" s="44">
        <v>-0.41709</v>
      </c>
      <c r="W240" s="44">
        <v>-0.00658</v>
      </c>
      <c r="X240" s="44">
        <v>0.009207</v>
      </c>
      <c r="Y240" s="44">
        <v>-0.4263</v>
      </c>
      <c r="Z240" s="44">
        <v>-0.34564</v>
      </c>
      <c r="AA240" s="45"/>
      <c r="AB240" s="46" t="s">
        <v>126</v>
      </c>
      <c r="AC240" s="44">
        <v>67.0</v>
      </c>
    </row>
    <row r="241">
      <c r="A241" s="2">
        <v>240.0</v>
      </c>
      <c r="B241" s="14">
        <f>IF(PasteBBM!B241="",156,PasteBBM!B241)</f>
        <v>156</v>
      </c>
      <c r="C241" t="str">
        <f>PasteBBM!I241</f>
        <v>Dean Wade</v>
      </c>
      <c r="D241" t="str">
        <f>IFERROR(REPLACE(PasteBBM!K241,FIND("/",PasteBBM!K241,1),1,","),PasteBBM!K241)</f>
        <v>PF</v>
      </c>
      <c r="E241" t="str">
        <f>PasteBBM!J241</f>
        <v>CLE</v>
      </c>
      <c r="F241">
        <f>PasteBBM!U241</f>
        <v>66</v>
      </c>
      <c r="G241">
        <f>PasteBBM!X241</f>
        <v>22</v>
      </c>
      <c r="H241">
        <f>PasteBBM!AE241*PasteBBM!AF241</f>
        <v>2.157122094</v>
      </c>
      <c r="I241">
        <f>PasteBBM!AE241</f>
        <v>0.427512</v>
      </c>
      <c r="J241">
        <f>PasteBBM!AG241*PasteBBM!AH241</f>
        <v>0.38196954</v>
      </c>
      <c r="K241">
        <f>PasteBBM!AG241</f>
        <v>0.670122</v>
      </c>
      <c r="L241">
        <f>PasteBBM!Z241</f>
        <v>1.533939</v>
      </c>
      <c r="M241">
        <f>PasteBBM!Y241</f>
        <v>6.230152</v>
      </c>
      <c r="N241">
        <f>PasteBBM!AA241</f>
        <v>3.703333</v>
      </c>
      <c r="O241">
        <f>PasteBBM!AB241</f>
        <v>1.064697</v>
      </c>
      <c r="P241">
        <f>PasteBBM!AC241</f>
        <v>0.752576</v>
      </c>
      <c r="Q241">
        <f>PasteBBM!AD241</f>
        <v>0.412576</v>
      </c>
      <c r="R241">
        <f>PasteBBM!AI241</f>
        <v>0.413182</v>
      </c>
      <c r="S241">
        <f>PasteBBM!AE241</f>
        <v>0.427512</v>
      </c>
      <c r="T241">
        <f>PasteBBM!AG241</f>
        <v>0.670122</v>
      </c>
      <c r="V241" s="44">
        <v>-0.41709</v>
      </c>
      <c r="W241" s="44">
        <v>-0.00658</v>
      </c>
      <c r="X241" s="44">
        <v>0.009207</v>
      </c>
      <c r="Y241" s="44">
        <v>-0.4263</v>
      </c>
      <c r="Z241" s="44">
        <v>-0.34564</v>
      </c>
      <c r="AA241" s="45"/>
      <c r="AB241" s="46" t="s">
        <v>126</v>
      </c>
      <c r="AC241" s="44">
        <v>67.0</v>
      </c>
    </row>
    <row r="242">
      <c r="A242" s="2">
        <v>241.0</v>
      </c>
      <c r="B242" s="14">
        <f>IF(PasteBBM!B242="",156,PasteBBM!B242)</f>
        <v>134.0167</v>
      </c>
      <c r="C242" t="str">
        <f>PasteBBM!I242</f>
        <v>Isaiah Collier</v>
      </c>
      <c r="D242" t="str">
        <f>IFERROR(REPLACE(PasteBBM!K242,FIND("/",PasteBBM!K242,1),1,","),PasteBBM!K242)</f>
        <v>PG</v>
      </c>
      <c r="E242" t="str">
        <f>PasteBBM!J242</f>
        <v>UTA</v>
      </c>
      <c r="F242">
        <f>PasteBBM!U242</f>
        <v>71</v>
      </c>
      <c r="G242">
        <f>PasteBBM!X242</f>
        <v>28</v>
      </c>
      <c r="H242">
        <f>PasteBBM!AE242*PasteBBM!AF242</f>
        <v>4.130563074</v>
      </c>
      <c r="I242">
        <f>PasteBBM!AE242</f>
        <v>0.452277</v>
      </c>
      <c r="J242">
        <f>PasteBBM!AG242*PasteBBM!AH242</f>
        <v>1.957886413</v>
      </c>
      <c r="K242">
        <f>PasteBBM!AG242</f>
        <v>0.698999</v>
      </c>
      <c r="L242">
        <f>PasteBBM!Z242</f>
        <v>0.794507</v>
      </c>
      <c r="M242">
        <f>PasteBBM!Y242</f>
        <v>11.01352</v>
      </c>
      <c r="N242">
        <f>PasteBBM!AA242</f>
        <v>3.364648</v>
      </c>
      <c r="O242">
        <f>PasteBBM!AB242</f>
        <v>6.609155</v>
      </c>
      <c r="P242">
        <f>PasteBBM!AC242</f>
        <v>1.141549</v>
      </c>
      <c r="Q242">
        <f>PasteBBM!AD242</f>
        <v>0.241408</v>
      </c>
      <c r="R242">
        <f>PasteBBM!AI242</f>
        <v>2.703803</v>
      </c>
      <c r="S242">
        <f>PasteBBM!AE242</f>
        <v>0.452277</v>
      </c>
      <c r="T242">
        <f>PasteBBM!AG242</f>
        <v>0.698999</v>
      </c>
      <c r="V242" s="44">
        <v>-0.41709</v>
      </c>
      <c r="W242" s="44">
        <v>-0.00658</v>
      </c>
      <c r="X242" s="44">
        <v>0.009207</v>
      </c>
      <c r="Y242" s="44">
        <v>-0.4263</v>
      </c>
      <c r="Z242" s="44">
        <v>-0.34564</v>
      </c>
      <c r="AA242" s="45"/>
      <c r="AB242" s="46" t="s">
        <v>126</v>
      </c>
      <c r="AC242" s="44">
        <v>67.0</v>
      </c>
    </row>
    <row r="243">
      <c r="A243" s="2">
        <v>242.0</v>
      </c>
      <c r="B243" s="14">
        <f>IF(PasteBBM!B243="",156,PasteBBM!B243)</f>
        <v>145</v>
      </c>
      <c r="C243" t="str">
        <f>PasteBBM!I243</f>
        <v>Bogdan Bogdanovic</v>
      </c>
      <c r="D243" t="str">
        <f>IFERROR(REPLACE(PasteBBM!K243,FIND("/",PasteBBM!K243,1),1,","),PasteBBM!K243)</f>
        <v>SG,SF</v>
      </c>
      <c r="E243" t="str">
        <f>PasteBBM!J243</f>
        <v>LAC</v>
      </c>
      <c r="F243">
        <f>PasteBBM!U243</f>
        <v>59</v>
      </c>
      <c r="G243">
        <f>PasteBBM!X243</f>
        <v>22</v>
      </c>
      <c r="H243">
        <f>PasteBBM!AE243*PasteBBM!AF243</f>
        <v>3.542369195</v>
      </c>
      <c r="I243">
        <f>PasteBBM!AE243</f>
        <v>0.445135</v>
      </c>
      <c r="J243">
        <f>PasteBBM!AG243*PasteBBM!AH243</f>
        <v>0.967287873</v>
      </c>
      <c r="K243">
        <f>PasteBBM!AG243</f>
        <v>0.883026</v>
      </c>
      <c r="L243">
        <f>PasteBBM!Z243</f>
        <v>1.790847</v>
      </c>
      <c r="M243">
        <f>PasteBBM!Y243</f>
        <v>9.842881</v>
      </c>
      <c r="N243">
        <f>PasteBBM!AA243</f>
        <v>2.667458</v>
      </c>
      <c r="O243">
        <f>PasteBBM!AB243</f>
        <v>2.134068</v>
      </c>
      <c r="P243">
        <f>PasteBBM!AC243</f>
        <v>0.616102</v>
      </c>
      <c r="Q243">
        <f>PasteBBM!AD243</f>
        <v>0.178983</v>
      </c>
      <c r="R243">
        <f>PasteBBM!AI243</f>
        <v>0.933559</v>
      </c>
      <c r="S243">
        <f>PasteBBM!AE243</f>
        <v>0.445135</v>
      </c>
      <c r="T243">
        <f>PasteBBM!AG243</f>
        <v>0.883026</v>
      </c>
      <c r="V243" s="44">
        <v>-0.41709</v>
      </c>
      <c r="W243" s="44">
        <v>-0.00658</v>
      </c>
      <c r="X243" s="44">
        <v>0.009207</v>
      </c>
      <c r="Y243" s="44">
        <v>-0.4263</v>
      </c>
      <c r="Z243" s="44">
        <v>-0.34564</v>
      </c>
      <c r="AA243" s="45"/>
      <c r="AB243" s="46" t="s">
        <v>126</v>
      </c>
      <c r="AC243" s="44">
        <v>67.0</v>
      </c>
    </row>
    <row r="244">
      <c r="A244" s="2">
        <v>243.0</v>
      </c>
      <c r="B244" s="14">
        <f>IF(PasteBBM!B244="",156,PasteBBM!B244)</f>
        <v>136.25</v>
      </c>
      <c r="C244" t="str">
        <f>PasteBBM!I244</f>
        <v>Isaiah Joe</v>
      </c>
      <c r="D244" t="str">
        <f>IFERROR(REPLACE(PasteBBM!K244,FIND("/",PasteBBM!K244,1),1,","),PasteBBM!K244)</f>
        <v>PG,SG</v>
      </c>
      <c r="E244" t="str">
        <f>PasteBBM!J244</f>
        <v>OKC</v>
      </c>
      <c r="F244">
        <f>PasteBBM!U244</f>
        <v>71</v>
      </c>
      <c r="G244">
        <f>PasteBBM!X244</f>
        <v>19</v>
      </c>
      <c r="H244">
        <f>PasteBBM!AE244*PasteBBM!AF244</f>
        <v>3.015213912</v>
      </c>
      <c r="I244">
        <f>PasteBBM!AE244</f>
        <v>0.439283</v>
      </c>
      <c r="J244">
        <f>PasteBBM!AG244*PasteBBM!AH244</f>
        <v>0.5669011953</v>
      </c>
      <c r="K244">
        <f>PasteBBM!AG244</f>
        <v>0.852032</v>
      </c>
      <c r="L244">
        <f>PasteBBM!Z244</f>
        <v>2.318451</v>
      </c>
      <c r="M244">
        <f>PasteBBM!Y244</f>
        <v>8.915775</v>
      </c>
      <c r="N244">
        <f>PasteBBM!AA244</f>
        <v>2.301408</v>
      </c>
      <c r="O244">
        <f>PasteBBM!AB244</f>
        <v>1.383944</v>
      </c>
      <c r="P244">
        <f>PasteBBM!AC244</f>
        <v>0.515211</v>
      </c>
      <c r="Q244">
        <f>PasteBBM!AD244</f>
        <v>0.122535</v>
      </c>
      <c r="R244">
        <f>PasteBBM!AI244</f>
        <v>0.403803</v>
      </c>
      <c r="S244">
        <f>PasteBBM!AE244</f>
        <v>0.439283</v>
      </c>
      <c r="T244">
        <f>PasteBBM!AG244</f>
        <v>0.852032</v>
      </c>
      <c r="V244" s="44">
        <v>-0.41709</v>
      </c>
      <c r="W244" s="44">
        <v>-0.00658</v>
      </c>
      <c r="X244" s="44">
        <v>0.009207</v>
      </c>
      <c r="Y244" s="44">
        <v>-0.4263</v>
      </c>
      <c r="Z244" s="44">
        <v>-0.34564</v>
      </c>
      <c r="AA244" s="45"/>
      <c r="AB244" s="46" t="s">
        <v>126</v>
      </c>
      <c r="AC244" s="44">
        <v>67.0</v>
      </c>
    </row>
    <row r="245">
      <c r="A245" s="2">
        <v>244.0</v>
      </c>
      <c r="B245" s="14">
        <f>IF(PasteBBM!B245="",156,PasteBBM!B245)</f>
        <v>156</v>
      </c>
      <c r="C245" t="str">
        <f>PasteBBM!I245</f>
        <v>Ron Holland</v>
      </c>
      <c r="D245" t="str">
        <f>IFERROR(REPLACE(PasteBBM!K245,FIND("/",PasteBBM!K245,1),1,","),PasteBBM!K245)</f>
        <v>SF,PF</v>
      </c>
      <c r="E245" t="str">
        <f>PasteBBM!J245</f>
        <v>DET</v>
      </c>
      <c r="F245">
        <f>PasteBBM!U245</f>
        <v>71</v>
      </c>
      <c r="G245">
        <f>PasteBBM!X245</f>
        <v>23</v>
      </c>
      <c r="H245">
        <f>PasteBBM!AE245*PasteBBM!AF245</f>
        <v>3.731126479</v>
      </c>
      <c r="I245">
        <f>PasteBBM!AE245</f>
        <v>0.517372</v>
      </c>
      <c r="J245">
        <f>PasteBBM!AG245*PasteBBM!AH245</f>
        <v>1.854929586</v>
      </c>
      <c r="K245">
        <f>PasteBBM!AG245</f>
        <v>0.734974</v>
      </c>
      <c r="L245">
        <f>PasteBBM!Z245</f>
        <v>0.560704</v>
      </c>
      <c r="M245">
        <f>PasteBBM!Y245</f>
        <v>9.877887</v>
      </c>
      <c r="N245">
        <f>PasteBBM!AA245</f>
        <v>3.92</v>
      </c>
      <c r="O245">
        <f>PasteBBM!AB245</f>
        <v>2.080986</v>
      </c>
      <c r="P245">
        <f>PasteBBM!AC245</f>
        <v>0.822676</v>
      </c>
      <c r="Q245">
        <f>PasteBBM!AD245</f>
        <v>0.387183</v>
      </c>
      <c r="R245">
        <f>PasteBBM!AI245</f>
        <v>1.322535</v>
      </c>
      <c r="S245">
        <f>PasteBBM!AE245</f>
        <v>0.517372</v>
      </c>
      <c r="T245">
        <f>PasteBBM!AG245</f>
        <v>0.734974</v>
      </c>
      <c r="V245" s="44">
        <v>-0.41709</v>
      </c>
      <c r="W245" s="44">
        <v>-0.00658</v>
      </c>
      <c r="X245" s="44">
        <v>0.009207</v>
      </c>
      <c r="Y245" s="44">
        <v>-0.4263</v>
      </c>
      <c r="Z245" s="44">
        <v>-0.34564</v>
      </c>
      <c r="AA245" s="45"/>
      <c r="AB245" s="46" t="s">
        <v>126</v>
      </c>
      <c r="AC245" s="44">
        <v>67.0</v>
      </c>
    </row>
    <row r="246">
      <c r="A246" s="2">
        <v>245.0</v>
      </c>
      <c r="B246" s="14">
        <f>IF(PasteBBM!B246="",156,PasteBBM!B246)</f>
        <v>145.2667</v>
      </c>
      <c r="C246" t="str">
        <f>PasteBBM!I246</f>
        <v>Jared McCain</v>
      </c>
      <c r="D246" t="str">
        <f>IFERROR(REPLACE(PasteBBM!K246,FIND("/",PasteBBM!K246,1),1,","),PasteBBM!K246)</f>
        <v>SG</v>
      </c>
      <c r="E246" t="str">
        <f>PasteBBM!J246</f>
        <v>PHI</v>
      </c>
      <c r="F246">
        <f>PasteBBM!U246</f>
        <v>50</v>
      </c>
      <c r="G246">
        <f>PasteBBM!X246</f>
        <v>26</v>
      </c>
      <c r="H246">
        <f>PasteBBM!AE246*PasteBBM!AF246</f>
        <v>4.520800788</v>
      </c>
      <c r="I246">
        <f>PasteBBM!AE246</f>
        <v>0.45862</v>
      </c>
      <c r="J246">
        <f>PasteBBM!AG246*PasteBBM!AH246</f>
        <v>1.620199152</v>
      </c>
      <c r="K246">
        <f>PasteBBM!AG246</f>
        <v>0.865491</v>
      </c>
      <c r="L246">
        <f>PasteBBM!Z246</f>
        <v>1.7606</v>
      </c>
      <c r="M246">
        <f>PasteBBM!Y246</f>
        <v>12.4224</v>
      </c>
      <c r="N246">
        <f>PasteBBM!AA246</f>
        <v>2.3834</v>
      </c>
      <c r="O246">
        <f>PasteBBM!AB246</f>
        <v>2.4888</v>
      </c>
      <c r="P246">
        <f>PasteBBM!AC246</f>
        <v>0.6738</v>
      </c>
      <c r="Q246">
        <f>PasteBBM!AD246</f>
        <v>0.0228</v>
      </c>
      <c r="R246">
        <f>PasteBBM!AI246</f>
        <v>1.5294</v>
      </c>
      <c r="S246">
        <f>PasteBBM!AE246</f>
        <v>0.45862</v>
      </c>
      <c r="T246">
        <f>PasteBBM!AG246</f>
        <v>0.865491</v>
      </c>
      <c r="V246" s="44">
        <v>-0.41709</v>
      </c>
      <c r="W246" s="44">
        <v>-0.00658</v>
      </c>
      <c r="X246" s="44">
        <v>0.009207</v>
      </c>
      <c r="Y246" s="44">
        <v>-0.4263</v>
      </c>
      <c r="Z246" s="44">
        <v>-0.34564</v>
      </c>
      <c r="AA246" s="45"/>
      <c r="AB246" s="46" t="s">
        <v>126</v>
      </c>
      <c r="AC246" s="44">
        <v>67.0</v>
      </c>
    </row>
    <row r="247">
      <c r="A247" s="2">
        <v>246.0</v>
      </c>
      <c r="B247" s="14">
        <f>IF(PasteBBM!B247="",156,PasteBBM!B247)</f>
        <v>156</v>
      </c>
      <c r="C247" t="str">
        <f>PasteBBM!I247</f>
        <v>Karlo Matkovic</v>
      </c>
      <c r="D247" t="str">
        <f>IFERROR(REPLACE(PasteBBM!K247,FIND("/",PasteBBM!K247,1),1,","),PasteBBM!K247)</f>
        <v>PF,C</v>
      </c>
      <c r="E247" t="str">
        <f>PasteBBM!J247</f>
        <v>NOR</v>
      </c>
      <c r="F247">
        <f>PasteBBM!U247</f>
        <v>46</v>
      </c>
      <c r="G247">
        <f>PasteBBM!X247</f>
        <v>16</v>
      </c>
      <c r="H247">
        <f>PasteBBM!AE247*PasteBBM!AF247</f>
        <v>3.002392814</v>
      </c>
      <c r="I247">
        <f>PasteBBM!AE247</f>
        <v>0.59461</v>
      </c>
      <c r="J247">
        <f>PasteBBM!AG247*PasteBBM!AH247</f>
        <v>0.7091303995</v>
      </c>
      <c r="K247">
        <f>PasteBBM!AG247</f>
        <v>0.772986</v>
      </c>
      <c r="L247">
        <f>PasteBBM!Z247</f>
        <v>0.498043</v>
      </c>
      <c r="M247">
        <f>PasteBBM!Y247</f>
        <v>7.211957</v>
      </c>
      <c r="N247">
        <f>PasteBBM!AA247</f>
        <v>4.275652</v>
      </c>
      <c r="O247">
        <f>PasteBBM!AB247</f>
        <v>0.877609</v>
      </c>
      <c r="P247">
        <f>PasteBBM!AC247</f>
        <v>0.426304</v>
      </c>
      <c r="Q247">
        <f>PasteBBM!AD247</f>
        <v>0.740652</v>
      </c>
      <c r="R247">
        <f>PasteBBM!AI247</f>
        <v>0.886957</v>
      </c>
      <c r="S247">
        <f>PasteBBM!AE247</f>
        <v>0.59461</v>
      </c>
      <c r="T247">
        <f>PasteBBM!AG247</f>
        <v>0.772986</v>
      </c>
      <c r="V247" s="44">
        <v>-0.41709</v>
      </c>
      <c r="W247" s="44">
        <v>-0.00658</v>
      </c>
      <c r="X247" s="44">
        <v>0.009207</v>
      </c>
      <c r="Y247" s="44">
        <v>-0.4263</v>
      </c>
      <c r="Z247" s="44">
        <v>-0.34564</v>
      </c>
      <c r="AA247" s="45"/>
      <c r="AB247" s="46" t="s">
        <v>126</v>
      </c>
      <c r="AC247" s="44">
        <v>67.0</v>
      </c>
    </row>
    <row r="248">
      <c r="A248" s="2">
        <v>247.0</v>
      </c>
      <c r="B248" s="14">
        <f>IF(PasteBBM!B248="",156,PasteBBM!B248)</f>
        <v>156</v>
      </c>
      <c r="C248" t="str">
        <f>PasteBBM!I248</f>
        <v>Quinten Post</v>
      </c>
      <c r="D248" t="str">
        <f>IFERROR(REPLACE(PasteBBM!K248,FIND("/",PasteBBM!K248,1),1,","),PasteBBM!K248)</f>
        <v>PF,C</v>
      </c>
      <c r="E248" t="str">
        <f>PasteBBM!J248</f>
        <v>GSW</v>
      </c>
      <c r="F248">
        <f>PasteBBM!U248</f>
        <v>71</v>
      </c>
      <c r="G248">
        <f>PasteBBM!X248</f>
        <v>19</v>
      </c>
      <c r="H248">
        <f>PasteBBM!AE248*PasteBBM!AF248</f>
        <v>3.250704377</v>
      </c>
      <c r="I248">
        <f>PasteBBM!AE248</f>
        <v>0.441199</v>
      </c>
      <c r="J248">
        <f>PasteBBM!AG248*PasteBBM!AH248</f>
        <v>0.6271831679</v>
      </c>
      <c r="K248">
        <f>PasteBBM!AG248</f>
        <v>0.777274</v>
      </c>
      <c r="L248">
        <f>PasteBBM!Z248</f>
        <v>2.038451</v>
      </c>
      <c r="M248">
        <f>PasteBBM!Y248</f>
        <v>9.167042</v>
      </c>
      <c r="N248">
        <f>PasteBBM!AA248</f>
        <v>3.526901</v>
      </c>
      <c r="O248">
        <f>PasteBBM!AB248</f>
        <v>1.253944</v>
      </c>
      <c r="P248">
        <f>PasteBBM!AC248</f>
        <v>0.439859</v>
      </c>
      <c r="Q248">
        <f>PasteBBM!AD248</f>
        <v>0.510141</v>
      </c>
      <c r="R248">
        <f>PasteBBM!AI248</f>
        <v>0.908873</v>
      </c>
      <c r="S248">
        <f>PasteBBM!AE248</f>
        <v>0.441199</v>
      </c>
      <c r="T248">
        <f>PasteBBM!AG248</f>
        <v>0.777274</v>
      </c>
      <c r="V248" s="44">
        <v>-0.41709</v>
      </c>
      <c r="W248" s="44">
        <v>-0.00658</v>
      </c>
      <c r="X248" s="44">
        <v>0.009207</v>
      </c>
      <c r="Y248" s="44">
        <v>-0.4263</v>
      </c>
      <c r="Z248" s="44">
        <v>-0.34564</v>
      </c>
      <c r="AA248" s="45"/>
      <c r="AB248" s="46" t="s">
        <v>126</v>
      </c>
      <c r="AC248" s="44">
        <v>67.0</v>
      </c>
    </row>
    <row r="249">
      <c r="A249" s="2">
        <v>248.0</v>
      </c>
      <c r="B249" s="14">
        <f>IF(PasteBBM!B249="",156,PasteBBM!B249)</f>
        <v>154</v>
      </c>
      <c r="C249" t="str">
        <f>PasteBBM!I249</f>
        <v>Jaime Jaquez Jr.</v>
      </c>
      <c r="D249" t="str">
        <f>IFERROR(REPLACE(PasteBBM!K249,FIND("/",PasteBBM!K249,1),1,","),PasteBBM!K249)</f>
        <v>SG,SF</v>
      </c>
      <c r="E249" t="str">
        <f>PasteBBM!J249</f>
        <v>MIA</v>
      </c>
      <c r="F249">
        <f>PasteBBM!U249</f>
        <v>66</v>
      </c>
      <c r="G249">
        <f>PasteBBM!X249</f>
        <v>21</v>
      </c>
      <c r="H249">
        <f>PasteBBM!AE249*PasteBBM!AF249</f>
        <v>3.40833637</v>
      </c>
      <c r="I249">
        <f>PasteBBM!AE249</f>
        <v>0.503188</v>
      </c>
      <c r="J249">
        <f>PasteBBM!AG249*PasteBBM!AH249</f>
        <v>1.091060312</v>
      </c>
      <c r="K249">
        <f>PasteBBM!AG249</f>
        <v>0.766961</v>
      </c>
      <c r="L249">
        <f>PasteBBM!Z249</f>
        <v>0.563636</v>
      </c>
      <c r="M249">
        <f>PasteBBM!Y249</f>
        <v>8.471364</v>
      </c>
      <c r="N249">
        <f>PasteBBM!AA249</f>
        <v>4.544697</v>
      </c>
      <c r="O249">
        <f>PasteBBM!AB249</f>
        <v>2.743939</v>
      </c>
      <c r="P249">
        <f>PasteBBM!AC249</f>
        <v>0.894242</v>
      </c>
      <c r="Q249">
        <f>PasteBBM!AD249</f>
        <v>0.215303</v>
      </c>
      <c r="R249">
        <f>PasteBBM!AI249</f>
        <v>1.715</v>
      </c>
      <c r="S249">
        <f>PasteBBM!AE249</f>
        <v>0.503188</v>
      </c>
      <c r="T249">
        <f>PasteBBM!AG249</f>
        <v>0.766961</v>
      </c>
      <c r="V249" s="44">
        <v>-0.41709</v>
      </c>
      <c r="W249" s="44">
        <v>-0.00658</v>
      </c>
      <c r="X249" s="44">
        <v>0.009207</v>
      </c>
      <c r="Y249" s="44">
        <v>-0.4263</v>
      </c>
      <c r="Z249" s="44">
        <v>-0.34564</v>
      </c>
      <c r="AA249" s="45"/>
      <c r="AB249" s="46" t="s">
        <v>126</v>
      </c>
      <c r="AC249" s="44">
        <v>67.0</v>
      </c>
    </row>
    <row r="250">
      <c r="A250" s="2">
        <v>249.0</v>
      </c>
      <c r="B250" s="14">
        <f>IF(PasteBBM!B250="",156,PasteBBM!B250)</f>
        <v>156</v>
      </c>
      <c r="C250" t="str">
        <f>PasteBBM!I250</f>
        <v>Johnny Furphy</v>
      </c>
      <c r="D250" t="str">
        <f>IFERROR(REPLACE(PasteBBM!K250,FIND("/",PasteBBM!K250,1),1,","),PasteBBM!K250)</f>
        <v>SG,SF</v>
      </c>
      <c r="E250" t="str">
        <f>PasteBBM!J250</f>
        <v>IND</v>
      </c>
      <c r="F250">
        <f>PasteBBM!U250</f>
        <v>71</v>
      </c>
      <c r="G250">
        <f>PasteBBM!X250</f>
        <v>19</v>
      </c>
      <c r="H250">
        <f>PasteBBM!AE250*PasteBBM!AF250</f>
        <v>2.486762451</v>
      </c>
      <c r="I250">
        <f>PasteBBM!AE250</f>
        <v>0.434995</v>
      </c>
      <c r="J250">
        <f>PasteBBM!AG250*PasteBBM!AH250</f>
        <v>1.347887234</v>
      </c>
      <c r="K250">
        <f>PasteBBM!AG250</f>
        <v>0.785908</v>
      </c>
      <c r="L250">
        <f>PasteBBM!Z250</f>
        <v>1.089718</v>
      </c>
      <c r="M250">
        <f>PasteBBM!Y250</f>
        <v>7.411127</v>
      </c>
      <c r="N250">
        <f>PasteBBM!AA250</f>
        <v>3.758028</v>
      </c>
      <c r="O250">
        <f>PasteBBM!AB250</f>
        <v>1.199437</v>
      </c>
      <c r="P250">
        <f>PasteBBM!AC250</f>
        <v>0.741268</v>
      </c>
      <c r="Q250">
        <f>PasteBBM!AD250</f>
        <v>0.40169</v>
      </c>
      <c r="R250">
        <f>PasteBBM!AI250</f>
        <v>0.619437</v>
      </c>
      <c r="S250">
        <f>PasteBBM!AE250</f>
        <v>0.434995</v>
      </c>
      <c r="T250">
        <f>PasteBBM!AG250</f>
        <v>0.785908</v>
      </c>
      <c r="V250" s="44">
        <v>-0.41709</v>
      </c>
      <c r="W250" s="44">
        <v>-0.00658</v>
      </c>
      <c r="X250" s="44">
        <v>0.009207</v>
      </c>
      <c r="Y250" s="44">
        <v>-0.4263</v>
      </c>
      <c r="Z250" s="44">
        <v>-0.34564</v>
      </c>
      <c r="AA250" s="45"/>
      <c r="AB250" s="46" t="s">
        <v>126</v>
      </c>
      <c r="AC250" s="44">
        <v>67.0</v>
      </c>
    </row>
    <row r="251">
      <c r="A251" s="2">
        <v>250.0</v>
      </c>
      <c r="B251" s="14">
        <f>IF(PasteBBM!B251="",156,PasteBBM!B251)</f>
        <v>156</v>
      </c>
      <c r="C251" t="str">
        <f>PasteBBM!I251</f>
        <v>Collin Gillespie</v>
      </c>
      <c r="D251" t="str">
        <f>IFERROR(REPLACE(PasteBBM!K251,FIND("/",PasteBBM!K251,1),1,","),PasteBBM!K251)</f>
        <v>PG</v>
      </c>
      <c r="E251" t="str">
        <f>PasteBBM!J251</f>
        <v>PHO</v>
      </c>
      <c r="F251">
        <f>PasteBBM!U251</f>
        <v>71</v>
      </c>
      <c r="G251">
        <f>PasteBBM!X251</f>
        <v>17</v>
      </c>
      <c r="H251">
        <f>PasteBBM!AE251*PasteBBM!AF251</f>
        <v>2.315213081</v>
      </c>
      <c r="I251">
        <f>PasteBBM!AE251</f>
        <v>0.410171</v>
      </c>
      <c r="J251">
        <f>PasteBBM!AG251*PasteBBM!AH251</f>
        <v>0.739858711</v>
      </c>
      <c r="K251">
        <f>PasteBBM!AG251</f>
        <v>0.839942</v>
      </c>
      <c r="L251">
        <f>PasteBBM!Z251</f>
        <v>1.280704</v>
      </c>
      <c r="M251">
        <f>PasteBBM!Y251</f>
        <v>6.650986</v>
      </c>
      <c r="N251">
        <f>PasteBBM!AA251</f>
        <v>2.41831</v>
      </c>
      <c r="O251">
        <f>PasteBBM!AB251</f>
        <v>3.120563</v>
      </c>
      <c r="P251">
        <f>PasteBBM!AC251</f>
        <v>0.820282</v>
      </c>
      <c r="Q251">
        <f>PasteBBM!AD251</f>
        <v>0.133521</v>
      </c>
      <c r="R251">
        <f>PasteBBM!AI251</f>
        <v>0.76169</v>
      </c>
      <c r="S251">
        <f>PasteBBM!AE251</f>
        <v>0.410171</v>
      </c>
      <c r="T251">
        <f>PasteBBM!AG251</f>
        <v>0.839942</v>
      </c>
      <c r="V251" s="44">
        <v>-0.41709</v>
      </c>
      <c r="W251" s="44">
        <v>-0.00658</v>
      </c>
      <c r="X251" s="44">
        <v>0.009207</v>
      </c>
      <c r="Y251" s="44">
        <v>-0.4263</v>
      </c>
      <c r="Z251" s="44">
        <v>-0.34564</v>
      </c>
      <c r="AA251" s="45"/>
      <c r="AB251" s="46" t="s">
        <v>126</v>
      </c>
      <c r="AC251" s="44">
        <v>67.0</v>
      </c>
    </row>
    <row r="252">
      <c r="A252" s="2">
        <v>251.0</v>
      </c>
      <c r="B252" s="14">
        <f>IF(PasteBBM!B252="",156,PasteBBM!B252)</f>
        <v>156</v>
      </c>
      <c r="C252" t="str">
        <f>PasteBBM!I252</f>
        <v>Gary Payton II</v>
      </c>
      <c r="D252" t="str">
        <f>IFERROR(REPLACE(PasteBBM!K252,FIND("/",PasteBBM!K252,1),1,","),PasteBBM!K252)</f>
        <v>PG,SG</v>
      </c>
      <c r="E252" t="str">
        <f>PasteBBM!J252</f>
        <v>GSW</v>
      </c>
      <c r="F252">
        <f>PasteBBM!U252</f>
        <v>52</v>
      </c>
      <c r="G252">
        <f>PasteBBM!X252</f>
        <v>16</v>
      </c>
      <c r="H252">
        <f>PasteBBM!AE252*PasteBBM!AF252</f>
        <v>2.549617866</v>
      </c>
      <c r="I252">
        <f>PasteBBM!AE252</f>
        <v>0.544097</v>
      </c>
      <c r="J252">
        <f>PasteBBM!AG252*PasteBBM!AH252</f>
        <v>0.2526925551</v>
      </c>
      <c r="K252">
        <f>PasteBBM!AG252</f>
        <v>0.674192</v>
      </c>
      <c r="L252">
        <f>PasteBBM!Z252</f>
        <v>0.509808</v>
      </c>
      <c r="M252">
        <f>PasteBBM!Y252</f>
        <v>5.861731</v>
      </c>
      <c r="N252">
        <f>PasteBBM!AA252</f>
        <v>2.936923</v>
      </c>
      <c r="O252">
        <f>PasteBBM!AB252</f>
        <v>1.286923</v>
      </c>
      <c r="P252">
        <f>PasteBBM!AC252</f>
        <v>0.890962</v>
      </c>
      <c r="Q252">
        <f>PasteBBM!AD252</f>
        <v>0.33</v>
      </c>
      <c r="R252">
        <f>PasteBBM!AI252</f>
        <v>0.594038</v>
      </c>
      <c r="S252">
        <f>PasteBBM!AE252</f>
        <v>0.544097</v>
      </c>
      <c r="T252">
        <f>PasteBBM!AG252</f>
        <v>0.674192</v>
      </c>
      <c r="V252" s="44">
        <v>-0.41709</v>
      </c>
      <c r="W252" s="44">
        <v>-0.00658</v>
      </c>
      <c r="X252" s="44">
        <v>0.009207</v>
      </c>
      <c r="Y252" s="44">
        <v>-0.4263</v>
      </c>
      <c r="Z252" s="44">
        <v>-0.34564</v>
      </c>
      <c r="AA252" s="45"/>
      <c r="AB252" s="46" t="s">
        <v>126</v>
      </c>
      <c r="AC252" s="44">
        <v>67.0</v>
      </c>
    </row>
    <row r="253">
      <c r="A253" s="2">
        <v>252.0</v>
      </c>
      <c r="B253" s="14">
        <f>IF(PasteBBM!B253="",156,PasteBBM!B253)</f>
        <v>156</v>
      </c>
      <c r="C253" t="str">
        <f>PasteBBM!I253</f>
        <v>Malcolm Brogdon</v>
      </c>
      <c r="D253" t="str">
        <f>IFERROR(REPLACE(PasteBBM!K253,FIND("/",PasteBBM!K253,1),1,","),PasteBBM!K253)</f>
        <v>PG</v>
      </c>
      <c r="E253" t="str">
        <f>PasteBBM!J253</f>
        <v>NYK</v>
      </c>
      <c r="F253">
        <f>PasteBBM!U253</f>
        <v>48</v>
      </c>
      <c r="G253">
        <f>PasteBBM!X253</f>
        <v>22</v>
      </c>
      <c r="H253">
        <f>PasteBBM!AE253*PasteBBM!AF253</f>
        <v>3.935418243</v>
      </c>
      <c r="I253">
        <f>PasteBBM!AE253</f>
        <v>0.431525</v>
      </c>
      <c r="J253">
        <f>PasteBBM!AG253*PasteBBM!AH253</f>
        <v>1.656666411</v>
      </c>
      <c r="K253">
        <f>PasteBBM!AG253</f>
        <v>0.865006</v>
      </c>
      <c r="L253">
        <f>PasteBBM!Z253</f>
        <v>1.119375</v>
      </c>
      <c r="M253">
        <f>PasteBBM!Y253</f>
        <v>10.64688</v>
      </c>
      <c r="N253">
        <f>PasteBBM!AA253</f>
        <v>3.403125</v>
      </c>
      <c r="O253">
        <f>PasteBBM!AB253</f>
        <v>3.766042</v>
      </c>
      <c r="P253">
        <f>PasteBBM!AC253</f>
        <v>0.499167</v>
      </c>
      <c r="Q253">
        <f>PasteBBM!AD253</f>
        <v>0.181458</v>
      </c>
      <c r="R253">
        <f>PasteBBM!AI253</f>
        <v>1.225208</v>
      </c>
      <c r="S253">
        <f>PasteBBM!AE253</f>
        <v>0.431525</v>
      </c>
      <c r="T253">
        <f>PasteBBM!AG253</f>
        <v>0.865006</v>
      </c>
      <c r="V253" s="44">
        <v>-0.41709</v>
      </c>
      <c r="W253" s="44">
        <v>-0.00658</v>
      </c>
      <c r="X253" s="44">
        <v>0.009207</v>
      </c>
      <c r="Y253" s="44">
        <v>-0.4263</v>
      </c>
      <c r="Z253" s="44">
        <v>-0.34564</v>
      </c>
      <c r="AA253" s="45"/>
      <c r="AB253" s="46" t="s">
        <v>126</v>
      </c>
      <c r="AC253" s="44">
        <v>67.0</v>
      </c>
    </row>
    <row r="254">
      <c r="A254" s="2">
        <v>253.0</v>
      </c>
      <c r="B254" s="14">
        <f>IF(PasteBBM!B254="",156,PasteBBM!B254)</f>
        <v>130.2381</v>
      </c>
      <c r="C254" t="str">
        <f>PasteBBM!I254</f>
        <v>Yves Missi</v>
      </c>
      <c r="D254" t="str">
        <f>IFERROR(REPLACE(PasteBBM!K254,FIND("/",PasteBBM!K254,1),1,","),PasteBBM!K254)</f>
        <v>C</v>
      </c>
      <c r="E254" t="str">
        <f>PasteBBM!J254</f>
        <v>NOR</v>
      </c>
      <c r="F254">
        <f>PasteBBM!U254</f>
        <v>71</v>
      </c>
      <c r="G254">
        <f>PasteBBM!X254</f>
        <v>21</v>
      </c>
      <c r="H254">
        <f>PasteBBM!AE254*PasteBBM!AF254</f>
        <v>3.078307739</v>
      </c>
      <c r="I254">
        <f>PasteBBM!AE254</f>
        <v>0.55738</v>
      </c>
      <c r="J254">
        <f>PasteBBM!AG254*PasteBBM!AH254</f>
        <v>1.284506078</v>
      </c>
      <c r="K254">
        <f>PasteBBM!AG254</f>
        <v>0.611998</v>
      </c>
      <c r="L254">
        <f>PasteBBM!Z254</f>
        <v>0.01</v>
      </c>
      <c r="M254">
        <f>PasteBBM!Y254</f>
        <v>7.451127</v>
      </c>
      <c r="N254">
        <f>PasteBBM!AA254</f>
        <v>6.893239</v>
      </c>
      <c r="O254">
        <f>PasteBBM!AB254</f>
        <v>1.015211</v>
      </c>
      <c r="P254">
        <f>PasteBBM!AC254</f>
        <v>0.347465</v>
      </c>
      <c r="Q254">
        <f>PasteBBM!AD254</f>
        <v>1.072254</v>
      </c>
      <c r="R254">
        <f>PasteBBM!AI254</f>
        <v>0.707042</v>
      </c>
      <c r="S254">
        <f>PasteBBM!AE254</f>
        <v>0.55738</v>
      </c>
      <c r="T254">
        <f>PasteBBM!AG254</f>
        <v>0.611998</v>
      </c>
      <c r="V254" s="44">
        <v>-0.41709</v>
      </c>
      <c r="W254" s="44">
        <v>-0.00658</v>
      </c>
      <c r="X254" s="44">
        <v>0.009207</v>
      </c>
      <c r="Y254" s="44">
        <v>-0.4263</v>
      </c>
      <c r="Z254" s="44">
        <v>-0.34564</v>
      </c>
      <c r="AA254" s="45"/>
      <c r="AB254" s="46" t="s">
        <v>126</v>
      </c>
      <c r="AC254" s="44">
        <v>67.0</v>
      </c>
    </row>
    <row r="255">
      <c r="A255" s="2">
        <v>254.0</v>
      </c>
      <c r="B255" s="14">
        <f>IF(PasteBBM!B255="",156,PasteBBM!B255)</f>
        <v>156</v>
      </c>
      <c r="C255" t="str">
        <f>PasteBBM!I255</f>
        <v>Vit Krejci</v>
      </c>
      <c r="D255" t="str">
        <f>IFERROR(REPLACE(PasteBBM!K255,FIND("/",PasteBBM!K255,1),1,","),PasteBBM!K255)</f>
        <v>PG,SG</v>
      </c>
      <c r="E255" t="str">
        <f>PasteBBM!J255</f>
        <v>ATL</v>
      </c>
      <c r="F255">
        <f>PasteBBM!U255</f>
        <v>66</v>
      </c>
      <c r="G255">
        <f>PasteBBM!X255</f>
        <v>21</v>
      </c>
      <c r="H255">
        <f>PasteBBM!AE255*PasteBBM!AF255</f>
        <v>2.368333319</v>
      </c>
      <c r="I255">
        <f>PasteBBM!AE255</f>
        <v>0.452574</v>
      </c>
      <c r="J255">
        <f>PasteBBM!AG255*PasteBBM!AH255</f>
        <v>0.491212526</v>
      </c>
      <c r="K255">
        <f>PasteBBM!AG255</f>
        <v>0.748039</v>
      </c>
      <c r="L255">
        <f>PasteBBM!Z255</f>
        <v>1.547576</v>
      </c>
      <c r="M255">
        <f>PasteBBM!Y255</f>
        <v>6.775455</v>
      </c>
      <c r="N255">
        <f>PasteBBM!AA255</f>
        <v>3.185</v>
      </c>
      <c r="O255">
        <f>PasteBBM!AB255</f>
        <v>2.183939</v>
      </c>
      <c r="P255">
        <f>PasteBBM!AC255</f>
        <v>0.623939</v>
      </c>
      <c r="Q255">
        <f>PasteBBM!AD255</f>
        <v>0.318485</v>
      </c>
      <c r="R255">
        <f>PasteBBM!AI255</f>
        <v>0.873636</v>
      </c>
      <c r="S255">
        <f>PasteBBM!AE255</f>
        <v>0.452574</v>
      </c>
      <c r="T255">
        <f>PasteBBM!AG255</f>
        <v>0.748039</v>
      </c>
      <c r="V255" s="44">
        <v>-0.41709</v>
      </c>
      <c r="W255" s="44">
        <v>-0.00658</v>
      </c>
      <c r="X255" s="44">
        <v>0.009207</v>
      </c>
      <c r="Y255" s="44">
        <v>-0.4263</v>
      </c>
      <c r="Z255" s="44">
        <v>-0.34564</v>
      </c>
      <c r="AA255" s="45"/>
      <c r="AB255" s="46" t="s">
        <v>126</v>
      </c>
      <c r="AC255" s="44">
        <v>67.0</v>
      </c>
    </row>
    <row r="256">
      <c r="A256" s="2">
        <v>255.0</v>
      </c>
      <c r="B256" s="14">
        <f>IF(PasteBBM!B256="",156,PasteBBM!B256)</f>
        <v>156</v>
      </c>
      <c r="C256" t="str">
        <f>PasteBBM!I256</f>
        <v>Ochai Agbaji</v>
      </c>
      <c r="D256" t="str">
        <f>IFERROR(REPLACE(PasteBBM!K256,FIND("/",PasteBBM!K256,1),1,","),PasteBBM!K256)</f>
        <v>SG,SF</v>
      </c>
      <c r="E256" t="str">
        <f>PasteBBM!J256</f>
        <v>TOR</v>
      </c>
      <c r="F256">
        <f>PasteBBM!U256</f>
        <v>71</v>
      </c>
      <c r="G256">
        <f>PasteBBM!X256</f>
        <v>20</v>
      </c>
      <c r="H256">
        <f>PasteBBM!AE256*PasteBBM!AF256</f>
        <v>3.245213612</v>
      </c>
      <c r="I256">
        <f>PasteBBM!AE256</f>
        <v>0.497442</v>
      </c>
      <c r="J256">
        <f>PasteBBM!AG256*PasteBBM!AH256</f>
        <v>0.3287326101</v>
      </c>
      <c r="K256">
        <f>PasteBBM!AG256</f>
        <v>0.719926</v>
      </c>
      <c r="L256">
        <f>PasteBBM!Z256</f>
        <v>1.214225</v>
      </c>
      <c r="M256">
        <f>PasteBBM!Y256</f>
        <v>8.03338</v>
      </c>
      <c r="N256">
        <f>PasteBBM!AA256</f>
        <v>2.832535</v>
      </c>
      <c r="O256">
        <f>PasteBBM!AB256</f>
        <v>0.975775</v>
      </c>
      <c r="P256">
        <f>PasteBBM!AC256</f>
        <v>0.661972</v>
      </c>
      <c r="Q256">
        <f>PasteBBM!AD256</f>
        <v>0.351268</v>
      </c>
      <c r="R256">
        <f>PasteBBM!AI256</f>
        <v>0.656338</v>
      </c>
      <c r="S256">
        <f>PasteBBM!AE256</f>
        <v>0.497442</v>
      </c>
      <c r="T256">
        <f>PasteBBM!AG256</f>
        <v>0.719926</v>
      </c>
      <c r="V256" s="44">
        <v>-0.41709</v>
      </c>
      <c r="W256" s="44">
        <v>-0.00658</v>
      </c>
      <c r="X256" s="44">
        <v>0.009207</v>
      </c>
      <c r="Y256" s="44">
        <v>-0.4263</v>
      </c>
      <c r="Z256" s="44">
        <v>-0.34564</v>
      </c>
      <c r="AA256" s="45"/>
      <c r="AB256" s="46" t="s">
        <v>126</v>
      </c>
      <c r="AC256" s="44">
        <v>67.0</v>
      </c>
    </row>
    <row r="257">
      <c r="A257" s="2">
        <v>256.0</v>
      </c>
      <c r="B257" s="14">
        <f>IF(PasteBBM!B257="",156,PasteBBM!B257)</f>
        <v>143.5</v>
      </c>
      <c r="C257" t="str">
        <f>PasteBBM!I257</f>
        <v>Cole Anthony</v>
      </c>
      <c r="D257" t="str">
        <f>IFERROR(REPLACE(PasteBBM!K257,FIND("/",PasteBBM!K257,1),1,","),PasteBBM!K257)</f>
        <v>PG</v>
      </c>
      <c r="E257" t="str">
        <f>PasteBBM!J257</f>
        <v>MIL</v>
      </c>
      <c r="F257">
        <f>PasteBBM!U257</f>
        <v>66</v>
      </c>
      <c r="G257">
        <f>PasteBBM!X257</f>
        <v>19</v>
      </c>
      <c r="H257">
        <f>PasteBBM!AE257*PasteBBM!AF257</f>
        <v>3.121966707</v>
      </c>
      <c r="I257">
        <f>PasteBBM!AE257</f>
        <v>0.433853</v>
      </c>
      <c r="J257">
        <f>PasteBBM!AG257*PasteBBM!AH257</f>
        <v>1.342576332</v>
      </c>
      <c r="K257">
        <f>PasteBBM!AG257</f>
        <v>0.848024</v>
      </c>
      <c r="L257">
        <f>PasteBBM!Z257</f>
        <v>1.145</v>
      </c>
      <c r="M257">
        <f>PasteBBM!Y257</f>
        <v>8.731515</v>
      </c>
      <c r="N257">
        <f>PasteBBM!AA257</f>
        <v>3.198333</v>
      </c>
      <c r="O257">
        <f>PasteBBM!AB257</f>
        <v>3.038485</v>
      </c>
      <c r="P257">
        <f>PasteBBM!AC257</f>
        <v>0.705455</v>
      </c>
      <c r="Q257">
        <f>PasteBBM!AD257</f>
        <v>0.359848</v>
      </c>
      <c r="R257">
        <f>PasteBBM!AI257</f>
        <v>1.534545</v>
      </c>
      <c r="S257">
        <f>PasteBBM!AE257</f>
        <v>0.433853</v>
      </c>
      <c r="T257">
        <f>PasteBBM!AG257</f>
        <v>0.848024</v>
      </c>
      <c r="V257" s="44">
        <v>-0.41709</v>
      </c>
      <c r="W257" s="44">
        <v>-0.00658</v>
      </c>
      <c r="X257" s="44">
        <v>0.009207</v>
      </c>
      <c r="Y257" s="44">
        <v>-0.4263</v>
      </c>
      <c r="Z257" s="44">
        <v>-0.34564</v>
      </c>
      <c r="AA257" s="45"/>
      <c r="AB257" s="46" t="s">
        <v>126</v>
      </c>
      <c r="AC257" s="44">
        <v>67.0</v>
      </c>
    </row>
    <row r="258">
      <c r="A258" s="2">
        <v>257.0</v>
      </c>
      <c r="B258" s="14">
        <f>IF(PasteBBM!B258="",156,PasteBBM!B258)</f>
        <v>156</v>
      </c>
      <c r="C258" t="str">
        <f>PasteBBM!I258</f>
        <v>Grant Williams</v>
      </c>
      <c r="D258" t="str">
        <f>IFERROR(REPLACE(PasteBBM!K258,FIND("/",PasteBBM!K258,1),1,","),PasteBBM!K258)</f>
        <v>PF</v>
      </c>
      <c r="E258" t="str">
        <f>PasteBBM!J258</f>
        <v>CHA</v>
      </c>
      <c r="F258">
        <f>PasteBBM!U258</f>
        <v>38</v>
      </c>
      <c r="G258">
        <f>PasteBBM!X258</f>
        <v>24</v>
      </c>
      <c r="H258">
        <f>PasteBBM!AE258*PasteBBM!AF258</f>
        <v>2.376844051</v>
      </c>
      <c r="I258">
        <f>PasteBBM!AE258</f>
        <v>0.413402</v>
      </c>
      <c r="J258">
        <f>PasteBBM!AG258*PasteBBM!AH258</f>
        <v>1.156316215</v>
      </c>
      <c r="K258">
        <f>PasteBBM!AG258</f>
        <v>0.790004</v>
      </c>
      <c r="L258">
        <f>PasteBBM!Z258</f>
        <v>1.227632</v>
      </c>
      <c r="M258">
        <f>PasteBBM!Y258</f>
        <v>7.137632</v>
      </c>
      <c r="N258">
        <f>PasteBBM!AA258</f>
        <v>4.5</v>
      </c>
      <c r="O258">
        <f>PasteBBM!AB258</f>
        <v>1.65</v>
      </c>
      <c r="P258">
        <f>PasteBBM!AC258</f>
        <v>0.675263</v>
      </c>
      <c r="Q258">
        <f>PasteBBM!AD258</f>
        <v>0.460526</v>
      </c>
      <c r="R258">
        <f>PasteBBM!AI258</f>
        <v>1.1</v>
      </c>
      <c r="S258">
        <f>PasteBBM!AE258</f>
        <v>0.413402</v>
      </c>
      <c r="T258">
        <f>PasteBBM!AG258</f>
        <v>0.790004</v>
      </c>
      <c r="V258" s="44">
        <v>-0.41709</v>
      </c>
      <c r="W258" s="44">
        <v>-0.00658</v>
      </c>
      <c r="X258" s="44">
        <v>0.009207</v>
      </c>
      <c r="Y258" s="44">
        <v>-0.4263</v>
      </c>
      <c r="Z258" s="44">
        <v>-0.34564</v>
      </c>
      <c r="AA258" s="45"/>
      <c r="AB258" s="46" t="s">
        <v>126</v>
      </c>
      <c r="AC258" s="44">
        <v>67.0</v>
      </c>
    </row>
    <row r="259">
      <c r="A259" s="2">
        <v>258.0</v>
      </c>
      <c r="B259" s="14">
        <f>IF(PasteBBM!B259="",156,PasteBBM!B259)</f>
        <v>153</v>
      </c>
      <c r="C259" t="str">
        <f>PasteBBM!I259</f>
        <v>Jarace Walker</v>
      </c>
      <c r="D259" t="str">
        <f>IFERROR(REPLACE(PasteBBM!K259,FIND("/",PasteBBM!K259,1),1,","),PasteBBM!K259)</f>
        <v>SF,PF</v>
      </c>
      <c r="E259" t="str">
        <f>PasteBBM!J259</f>
        <v>IND</v>
      </c>
      <c r="F259">
        <f>PasteBBM!U259</f>
        <v>66</v>
      </c>
      <c r="G259">
        <f>PasteBBM!X259</f>
        <v>18</v>
      </c>
      <c r="H259">
        <f>PasteBBM!AE259*PasteBBM!AF259</f>
        <v>2.765303768</v>
      </c>
      <c r="I259">
        <f>PasteBBM!AE259</f>
        <v>0.45072</v>
      </c>
      <c r="J259">
        <f>PasteBBM!AG259*PasteBBM!AH259</f>
        <v>0.6221212436</v>
      </c>
      <c r="K259">
        <f>PasteBBM!AG259</f>
        <v>0.780015</v>
      </c>
      <c r="L259">
        <f>PasteBBM!Z259</f>
        <v>1.248788</v>
      </c>
      <c r="M259">
        <f>PasteBBM!Y259</f>
        <v>7.401515</v>
      </c>
      <c r="N259">
        <f>PasteBBM!AA259</f>
        <v>3.408788</v>
      </c>
      <c r="O259">
        <f>PasteBBM!AB259</f>
        <v>2.045303</v>
      </c>
      <c r="P259">
        <f>PasteBBM!AC259</f>
        <v>0.606061</v>
      </c>
      <c r="Q259">
        <f>PasteBBM!AD259</f>
        <v>0.411364</v>
      </c>
      <c r="R259">
        <f>PasteBBM!AI259</f>
        <v>0.984697</v>
      </c>
      <c r="S259">
        <f>PasteBBM!AE259</f>
        <v>0.45072</v>
      </c>
      <c r="T259">
        <f>PasteBBM!AG259</f>
        <v>0.780015</v>
      </c>
      <c r="V259" s="44">
        <v>-0.41709</v>
      </c>
      <c r="W259" s="44">
        <v>-0.00658</v>
      </c>
      <c r="X259" s="44">
        <v>0.009207</v>
      </c>
      <c r="Y259" s="44">
        <v>-0.4263</v>
      </c>
      <c r="Z259" s="44">
        <v>-0.34564</v>
      </c>
      <c r="AA259" s="45"/>
      <c r="AB259" s="46" t="s">
        <v>126</v>
      </c>
      <c r="AC259" s="44">
        <v>67.0</v>
      </c>
    </row>
    <row r="260">
      <c r="A260" s="2">
        <v>259.0</v>
      </c>
      <c r="B260" s="14">
        <f>IF(PasteBBM!B260="",156,PasteBBM!B260)</f>
        <v>156</v>
      </c>
      <c r="C260" t="str">
        <f>PasteBBM!I260</f>
        <v>Saddiq Bey</v>
      </c>
      <c r="D260" t="str">
        <f>IFERROR(REPLACE(PasteBBM!K260,FIND("/",PasteBBM!K260,1),1,","),PasteBBM!K260)</f>
        <v>SF</v>
      </c>
      <c r="E260" t="str">
        <f>PasteBBM!J260</f>
        <v>NOR</v>
      </c>
      <c r="F260">
        <f>PasteBBM!U260</f>
        <v>59</v>
      </c>
      <c r="G260">
        <f>PasteBBM!X260</f>
        <v>23</v>
      </c>
      <c r="H260">
        <f>PasteBBM!AE260*PasteBBM!AF260</f>
        <v>3.287627273</v>
      </c>
      <c r="I260">
        <f>PasteBBM!AE260</f>
        <v>0.4246</v>
      </c>
      <c r="J260">
        <f>PasteBBM!AG260*PasteBBM!AH260</f>
        <v>1.515593818</v>
      </c>
      <c r="K260">
        <f>PasteBBM!AG260</f>
        <v>0.850971</v>
      </c>
      <c r="L260">
        <f>PasteBBM!Z260</f>
        <v>1.386102</v>
      </c>
      <c r="M260">
        <f>PasteBBM!Y260</f>
        <v>9.476949</v>
      </c>
      <c r="N260">
        <f>PasteBBM!AA260</f>
        <v>4.113729</v>
      </c>
      <c r="O260">
        <f>PasteBBM!AB260</f>
        <v>0.907966</v>
      </c>
      <c r="P260">
        <f>PasteBBM!AC260</f>
        <v>0.580678</v>
      </c>
      <c r="Q260">
        <f>PasteBBM!AD260</f>
        <v>0.151525</v>
      </c>
      <c r="R260">
        <f>PasteBBM!AI260</f>
        <v>0.725932</v>
      </c>
      <c r="S260">
        <f>PasteBBM!AE260</f>
        <v>0.4246</v>
      </c>
      <c r="T260">
        <f>PasteBBM!AG260</f>
        <v>0.850971</v>
      </c>
      <c r="V260" s="44">
        <v>-0.41709</v>
      </c>
      <c r="W260" s="44">
        <v>-0.00658</v>
      </c>
      <c r="X260" s="44">
        <v>0.009207</v>
      </c>
      <c r="Y260" s="44">
        <v>-0.4263</v>
      </c>
      <c r="Z260" s="44">
        <v>-0.34564</v>
      </c>
      <c r="AA260" s="45"/>
      <c r="AB260" s="46" t="s">
        <v>126</v>
      </c>
      <c r="AC260" s="44">
        <v>67.0</v>
      </c>
    </row>
    <row r="261">
      <c r="A261" s="2">
        <v>260.0</v>
      </c>
      <c r="B261" s="14">
        <f>IF(PasteBBM!B261="",156,PasteBBM!B261)</f>
        <v>151.75</v>
      </c>
      <c r="C261" t="str">
        <f>PasteBBM!I261</f>
        <v>Clint Capela</v>
      </c>
      <c r="D261" t="str">
        <f>IFERROR(REPLACE(PasteBBM!K261,FIND("/",PasteBBM!K261,1),1,","),PasteBBM!K261)</f>
        <v>C</v>
      </c>
      <c r="E261" t="str">
        <f>PasteBBM!J261</f>
        <v>HOU</v>
      </c>
      <c r="F261">
        <f>PasteBBM!U261</f>
        <v>51</v>
      </c>
      <c r="G261">
        <f>PasteBBM!X261</f>
        <v>17</v>
      </c>
      <c r="H261">
        <f>PasteBBM!AE261*PasteBBM!AF261</f>
        <v>3.370391688</v>
      </c>
      <c r="I261">
        <f>PasteBBM!AE261</f>
        <v>0.554305</v>
      </c>
      <c r="J261">
        <f>PasteBBM!AG261*PasteBBM!AH261</f>
        <v>0.8099999294</v>
      </c>
      <c r="K261">
        <f>PasteBBM!AG261</f>
        <v>0.555018</v>
      </c>
      <c r="L261">
        <f>PasteBBM!Z261</f>
        <v>0</v>
      </c>
      <c r="M261">
        <f>PasteBBM!Y261</f>
        <v>7.550784</v>
      </c>
      <c r="N261">
        <f>PasteBBM!AA261</f>
        <v>6.438824</v>
      </c>
      <c r="O261">
        <f>PasteBBM!AB261</f>
        <v>0.792549</v>
      </c>
      <c r="P261">
        <f>PasteBBM!AC261</f>
        <v>0.465098</v>
      </c>
      <c r="Q261">
        <f>PasteBBM!AD261</f>
        <v>0.764706</v>
      </c>
      <c r="R261">
        <f>PasteBBM!AI261</f>
        <v>0.653725</v>
      </c>
      <c r="S261">
        <f>PasteBBM!AE261</f>
        <v>0.554305</v>
      </c>
      <c r="T261">
        <f>PasteBBM!AG261</f>
        <v>0.555018</v>
      </c>
      <c r="V261" s="44">
        <v>-0.41709</v>
      </c>
      <c r="W261" s="44">
        <v>-0.00658</v>
      </c>
      <c r="X261" s="44">
        <v>0.009207</v>
      </c>
      <c r="Y261" s="44">
        <v>-0.4263</v>
      </c>
      <c r="Z261" s="44">
        <v>-0.34564</v>
      </c>
      <c r="AA261" s="45"/>
      <c r="AB261" s="46" t="s">
        <v>126</v>
      </c>
      <c r="AC261" s="44">
        <v>67.0</v>
      </c>
    </row>
    <row r="262">
      <c r="A262" s="2">
        <v>261.0</v>
      </c>
      <c r="B262" s="14">
        <f>IF(PasteBBM!B262="",156,PasteBBM!B262)</f>
        <v>147</v>
      </c>
      <c r="C262" t="str">
        <f>PasteBBM!I262</f>
        <v>Walter Clayton</v>
      </c>
      <c r="D262" t="str">
        <f>IFERROR(REPLACE(PasteBBM!K262,FIND("/",PasteBBM!K262,1),1,","),PasteBBM!K262)</f>
        <v>PG,SG</v>
      </c>
      <c r="E262" t="str">
        <f>PasteBBM!J262</f>
        <v>UTA</v>
      </c>
      <c r="F262">
        <f>PasteBBM!U262</f>
        <v>71</v>
      </c>
      <c r="G262">
        <f>PasteBBM!X262</f>
        <v>21</v>
      </c>
      <c r="H262">
        <f>PasteBBM!AE262*PasteBBM!AF262</f>
        <v>3.383517726</v>
      </c>
      <c r="I262">
        <f>PasteBBM!AE262</f>
        <v>0.408089</v>
      </c>
      <c r="J262">
        <f>PasteBBM!AG262*PasteBBM!AH262</f>
        <v>1.369717627</v>
      </c>
      <c r="K262">
        <f>PasteBBM!AG262</f>
        <v>0.825972</v>
      </c>
      <c r="L262">
        <f>PasteBBM!Z262</f>
        <v>1.787887</v>
      </c>
      <c r="M262">
        <f>PasteBBM!Y262</f>
        <v>9.924648</v>
      </c>
      <c r="N262">
        <f>PasteBBM!AA262</f>
        <v>2.568592</v>
      </c>
      <c r="O262">
        <f>PasteBBM!AB262</f>
        <v>2.703803</v>
      </c>
      <c r="P262">
        <f>PasteBBM!AC262</f>
        <v>0.720986</v>
      </c>
      <c r="Q262">
        <f>PasteBBM!AD262</f>
        <v>0.315493</v>
      </c>
      <c r="R262">
        <f>PasteBBM!AI262</f>
        <v>1.532113</v>
      </c>
      <c r="S262">
        <f>PasteBBM!AE262</f>
        <v>0.408089</v>
      </c>
      <c r="T262">
        <f>PasteBBM!AG262</f>
        <v>0.825972</v>
      </c>
      <c r="V262" s="44">
        <v>-0.41709</v>
      </c>
      <c r="W262" s="44">
        <v>-0.00658</v>
      </c>
      <c r="X262" s="44">
        <v>0.009207</v>
      </c>
      <c r="Y262" s="44">
        <v>-0.4263</v>
      </c>
      <c r="Z262" s="44">
        <v>-0.34564</v>
      </c>
      <c r="AA262" s="45"/>
      <c r="AB262" s="46" t="s">
        <v>126</v>
      </c>
      <c r="AC262" s="44">
        <v>67.0</v>
      </c>
    </row>
    <row r="263">
      <c r="A263" s="2">
        <v>262.0</v>
      </c>
      <c r="B263" s="14">
        <f>IF(PasteBBM!B263="",156,PasteBBM!B263)</f>
        <v>156</v>
      </c>
      <c r="C263" t="str">
        <f>PasteBBM!I263</f>
        <v>Taurean Prince</v>
      </c>
      <c r="D263" t="str">
        <f>IFERROR(REPLACE(PasteBBM!K263,FIND("/",PasteBBM!K263,1),1,","),PasteBBM!K263)</f>
        <v>SG,SF</v>
      </c>
      <c r="E263" t="str">
        <f>PasteBBM!J263</f>
        <v>MIL</v>
      </c>
      <c r="F263">
        <f>PasteBBM!U263</f>
        <v>75</v>
      </c>
      <c r="G263">
        <f>PasteBBM!X263</f>
        <v>24</v>
      </c>
      <c r="H263">
        <f>PasteBBM!AE263*PasteBBM!AF263</f>
        <v>2.368931365</v>
      </c>
      <c r="I263">
        <f>PasteBBM!AE263</f>
        <v>0.455482</v>
      </c>
      <c r="J263">
        <f>PasteBBM!AG263*PasteBBM!AH263</f>
        <v>0.4993332377</v>
      </c>
      <c r="K263">
        <f>PasteBBM!AG263</f>
        <v>0.800043</v>
      </c>
      <c r="L263">
        <f>PasteBBM!Z263</f>
        <v>1.338267</v>
      </c>
      <c r="M263">
        <f>PasteBBM!Y263</f>
        <v>6.575467</v>
      </c>
      <c r="N263">
        <f>PasteBBM!AA263</f>
        <v>2.525067</v>
      </c>
      <c r="O263">
        <f>PasteBBM!AB263</f>
        <v>1.637867</v>
      </c>
      <c r="P263">
        <f>PasteBBM!AC263</f>
        <v>0.852533</v>
      </c>
      <c r="Q263">
        <f>PasteBBM!AD263</f>
        <v>0.202933</v>
      </c>
      <c r="R263">
        <f>PasteBBM!AI263</f>
        <v>0.912533</v>
      </c>
      <c r="S263">
        <f>PasteBBM!AE263</f>
        <v>0.455482</v>
      </c>
      <c r="T263">
        <f>PasteBBM!AG263</f>
        <v>0.800043</v>
      </c>
      <c r="V263" s="44">
        <v>-0.41709</v>
      </c>
      <c r="W263" s="44">
        <v>-0.00658</v>
      </c>
      <c r="X263" s="44">
        <v>0.009207</v>
      </c>
      <c r="Y263" s="44">
        <v>-0.4263</v>
      </c>
      <c r="Z263" s="44">
        <v>-0.34564</v>
      </c>
      <c r="AA263" s="45"/>
      <c r="AB263" s="46" t="s">
        <v>126</v>
      </c>
      <c r="AC263" s="44">
        <v>67.0</v>
      </c>
    </row>
    <row r="264">
      <c r="A264" s="2">
        <v>263.0</v>
      </c>
      <c r="B264" s="14">
        <f>IF(PasteBBM!B264="",156,PasteBBM!B264)</f>
        <v>156</v>
      </c>
      <c r="C264" t="str">
        <f>PasteBBM!I264</f>
        <v>Luke Kennard</v>
      </c>
      <c r="D264" t="str">
        <f>IFERROR(REPLACE(PasteBBM!K264,FIND("/",PasteBBM!K264,1),1,","),PasteBBM!K264)</f>
        <v>PG,SG</v>
      </c>
      <c r="E264" t="str">
        <f>PasteBBM!J264</f>
        <v>ATL</v>
      </c>
      <c r="F264">
        <f>PasteBBM!U264</f>
        <v>66</v>
      </c>
      <c r="G264">
        <f>PasteBBM!X264</f>
        <v>22</v>
      </c>
      <c r="H264">
        <f>PasteBBM!AE264*PasteBBM!AF264</f>
        <v>2.878334155</v>
      </c>
      <c r="I264">
        <f>PasteBBM!AE264</f>
        <v>0.468091</v>
      </c>
      <c r="J264">
        <f>PasteBBM!AG264*PasteBBM!AH264</f>
        <v>0.6395452424</v>
      </c>
      <c r="K264">
        <f>PasteBBM!AG264</f>
        <v>0.919007</v>
      </c>
      <c r="L264">
        <f>PasteBBM!Z264</f>
        <v>1.567273</v>
      </c>
      <c r="M264">
        <f>PasteBBM!Y264</f>
        <v>7.963485</v>
      </c>
      <c r="N264">
        <f>PasteBBM!AA264</f>
        <v>2.71697</v>
      </c>
      <c r="O264">
        <f>PasteBBM!AB264</f>
        <v>2.764697</v>
      </c>
      <c r="P264">
        <f>PasteBBM!AC264</f>
        <v>0.524394</v>
      </c>
      <c r="Q264">
        <f>PasteBBM!AD264</f>
        <v>0.048636</v>
      </c>
      <c r="R264">
        <f>PasteBBM!AI264</f>
        <v>1.048636</v>
      </c>
      <c r="S264">
        <f>PasteBBM!AE264</f>
        <v>0.468091</v>
      </c>
      <c r="T264">
        <f>PasteBBM!AG264</f>
        <v>0.919007</v>
      </c>
      <c r="V264" s="44">
        <v>-0.41709</v>
      </c>
      <c r="W264" s="44">
        <v>-0.00658</v>
      </c>
      <c r="X264" s="44">
        <v>0.009207</v>
      </c>
      <c r="Y264" s="44">
        <v>-0.4263</v>
      </c>
      <c r="Z264" s="44">
        <v>-0.34564</v>
      </c>
      <c r="AA264" s="45"/>
      <c r="AB264" s="46" t="s">
        <v>126</v>
      </c>
      <c r="AC264" s="44">
        <v>67.0</v>
      </c>
    </row>
    <row r="265">
      <c r="A265" s="2">
        <v>264.0</v>
      </c>
      <c r="B265" s="14">
        <f>IF(PasteBBM!B265="",156,PasteBBM!B265)</f>
        <v>137.6667</v>
      </c>
      <c r="C265" t="str">
        <f>PasteBBM!I265</f>
        <v>Dylan Harper</v>
      </c>
      <c r="D265" t="str">
        <f>IFERROR(REPLACE(PasteBBM!K265,FIND("/",PasteBBM!K265,1),1,","),PasteBBM!K265)</f>
        <v>SG</v>
      </c>
      <c r="E265" t="str">
        <f>PasteBBM!J265</f>
        <v>SAS</v>
      </c>
      <c r="F265">
        <f>PasteBBM!U265</f>
        <v>71</v>
      </c>
      <c r="G265">
        <f>PasteBBM!X265</f>
        <v>27</v>
      </c>
      <c r="H265">
        <f>PasteBBM!AE265*PasteBBM!AF265</f>
        <v>3.946199607</v>
      </c>
      <c r="I265">
        <f>PasteBBM!AE265</f>
        <v>0.4194</v>
      </c>
      <c r="J265">
        <f>PasteBBM!AG265*PasteBBM!AH265</f>
        <v>1.887605282</v>
      </c>
      <c r="K265">
        <f>PasteBBM!AG265</f>
        <v>0.742987</v>
      </c>
      <c r="L265">
        <f>PasteBBM!Z265</f>
        <v>1.210563</v>
      </c>
      <c r="M265">
        <f>PasteBBM!Y265</f>
        <v>10.99056</v>
      </c>
      <c r="N265">
        <f>PasteBBM!AA265</f>
        <v>3.614648</v>
      </c>
      <c r="O265">
        <f>PasteBBM!AB265</f>
        <v>3.786761</v>
      </c>
      <c r="P265">
        <f>PasteBBM!AC265</f>
        <v>0.975352</v>
      </c>
      <c r="Q265">
        <f>PasteBBM!AD265</f>
        <v>0.40169</v>
      </c>
      <c r="R265">
        <f>PasteBBM!AI265</f>
        <v>2.29493</v>
      </c>
      <c r="S265">
        <f>PasteBBM!AE265</f>
        <v>0.4194</v>
      </c>
      <c r="T265">
        <f>PasteBBM!AG265</f>
        <v>0.742987</v>
      </c>
      <c r="V265" s="44">
        <v>-0.41709</v>
      </c>
      <c r="W265" s="44">
        <v>-0.00658</v>
      </c>
      <c r="X265" s="44">
        <v>0.009207</v>
      </c>
      <c r="Y265" s="44">
        <v>-0.4263</v>
      </c>
      <c r="Z265" s="44">
        <v>-0.34564</v>
      </c>
      <c r="AA265" s="45"/>
      <c r="AB265" s="46" t="s">
        <v>126</v>
      </c>
      <c r="AC265" s="44">
        <v>67.0</v>
      </c>
    </row>
    <row r="266">
      <c r="A266" s="2">
        <v>265.0</v>
      </c>
      <c r="B266" s="14">
        <f>IF(PasteBBM!B266="",156,PasteBBM!B266)</f>
        <v>145</v>
      </c>
      <c r="C266" t="str">
        <f>PasteBBM!I266</f>
        <v>Jordan Clarkson</v>
      </c>
      <c r="D266" t="str">
        <f>IFERROR(REPLACE(PasteBBM!K266,FIND("/",PasteBBM!K266,1),1,","),PasteBBM!K266)</f>
        <v>SG,SF</v>
      </c>
      <c r="E266" t="str">
        <f>PasteBBM!J266</f>
        <v>NYK</v>
      </c>
      <c r="F266">
        <f>PasteBBM!U266</f>
        <v>66</v>
      </c>
      <c r="G266">
        <f>PasteBBM!X266</f>
        <v>25</v>
      </c>
      <c r="H266">
        <f>PasteBBM!AE266*PasteBBM!AF266</f>
        <v>4.430907231</v>
      </c>
      <c r="I266">
        <f>PasteBBM!AE266</f>
        <v>0.399699</v>
      </c>
      <c r="J266">
        <f>PasteBBM!AG266*PasteBBM!AH266</f>
        <v>2.088181445</v>
      </c>
      <c r="K266">
        <f>PasteBBM!AG266</f>
        <v>0.818992</v>
      </c>
      <c r="L266">
        <f>PasteBBM!Z266</f>
        <v>1.978788</v>
      </c>
      <c r="M266">
        <f>PasteBBM!Y266</f>
        <v>12.92879</v>
      </c>
      <c r="N266">
        <f>PasteBBM!AA266</f>
        <v>2.887424</v>
      </c>
      <c r="O266">
        <f>PasteBBM!AB266</f>
        <v>3.918788</v>
      </c>
      <c r="P266">
        <f>PasteBBM!AC266</f>
        <v>0.721212</v>
      </c>
      <c r="Q266">
        <f>PasteBBM!AD266</f>
        <v>0.154848</v>
      </c>
      <c r="R266">
        <f>PasteBBM!AI266</f>
        <v>2.115152</v>
      </c>
      <c r="S266">
        <f>PasteBBM!AE266</f>
        <v>0.399699</v>
      </c>
      <c r="T266">
        <f>PasteBBM!AG266</f>
        <v>0.818992</v>
      </c>
      <c r="V266" s="44">
        <v>-0.41709</v>
      </c>
      <c r="W266" s="44">
        <v>-0.00658</v>
      </c>
      <c r="X266" s="44">
        <v>0.009207</v>
      </c>
      <c r="Y266" s="44">
        <v>-0.4263</v>
      </c>
      <c r="Z266" s="44">
        <v>-0.34564</v>
      </c>
      <c r="AA266" s="45"/>
      <c r="AB266" s="46" t="s">
        <v>126</v>
      </c>
      <c r="AC266" s="44">
        <v>67.0</v>
      </c>
    </row>
    <row r="267">
      <c r="A267" s="2">
        <v>266.0</v>
      </c>
      <c r="B267" s="14">
        <f>IF(PasteBBM!B267="",156,PasteBBM!B267)</f>
        <v>156</v>
      </c>
      <c r="C267" t="str">
        <f>PasteBBM!I267</f>
        <v>Haywood Highsmith</v>
      </c>
      <c r="D267" t="str">
        <f>IFERROR(REPLACE(PasteBBM!K267,FIND("/",PasteBBM!K267,1),1,","),PasteBBM!K267)</f>
        <v>SF,PF</v>
      </c>
      <c r="E267" t="str">
        <f>PasteBBM!J267</f>
        <v>BKN</v>
      </c>
      <c r="F267">
        <f>PasteBBM!U267</f>
        <v>56</v>
      </c>
      <c r="G267">
        <f>PasteBBM!X267</f>
        <v>22</v>
      </c>
      <c r="H267">
        <f>PasteBBM!AE267*PasteBBM!AF267</f>
        <v>2.008927584</v>
      </c>
      <c r="I267">
        <f>PasteBBM!AE267</f>
        <v>0.447227</v>
      </c>
      <c r="J267">
        <f>PasteBBM!AG267*PasteBBM!AH267</f>
        <v>0.2555360596</v>
      </c>
      <c r="K267">
        <f>PasteBBM!AG267</f>
        <v>0.711233</v>
      </c>
      <c r="L267">
        <f>PasteBBM!Z267</f>
        <v>1.0275</v>
      </c>
      <c r="M267">
        <f>PasteBBM!Y267</f>
        <v>5.300893</v>
      </c>
      <c r="N267">
        <f>PasteBBM!AA267</f>
        <v>3.63</v>
      </c>
      <c r="O267">
        <f>PasteBBM!AB267</f>
        <v>1.488393</v>
      </c>
      <c r="P267">
        <f>PasteBBM!AC267</f>
        <v>0.760536</v>
      </c>
      <c r="Q267">
        <f>PasteBBM!AD267</f>
        <v>0.317679</v>
      </c>
      <c r="R267">
        <f>PasteBBM!AI267</f>
        <v>0.680536</v>
      </c>
      <c r="S267">
        <f>PasteBBM!AE267</f>
        <v>0.447227</v>
      </c>
      <c r="T267">
        <f>PasteBBM!AG267</f>
        <v>0.711233</v>
      </c>
      <c r="V267" s="44">
        <v>-0.41709</v>
      </c>
      <c r="W267" s="44">
        <v>-0.00658</v>
      </c>
      <c r="X267" s="44">
        <v>0.009207</v>
      </c>
      <c r="Y267" s="44">
        <v>-0.4263</v>
      </c>
      <c r="Z267" s="44">
        <v>-0.34564</v>
      </c>
      <c r="AA267" s="45"/>
      <c r="AB267" s="46" t="s">
        <v>126</v>
      </c>
      <c r="AC267" s="44">
        <v>67.0</v>
      </c>
    </row>
    <row r="268">
      <c r="A268" s="2">
        <v>267.0</v>
      </c>
      <c r="B268" s="14">
        <f>IF(PasteBBM!B268="",156,PasteBBM!B268)</f>
        <v>156</v>
      </c>
      <c r="C268" t="str">
        <f>PasteBBM!I268</f>
        <v>Miles McBride</v>
      </c>
      <c r="D268" t="str">
        <f>IFERROR(REPLACE(PasteBBM!K268,FIND("/",PasteBBM!K268,1),1,","),PasteBBM!K268)</f>
        <v>PG,SG</v>
      </c>
      <c r="E268" t="str">
        <f>PasteBBM!J268</f>
        <v>NYK</v>
      </c>
      <c r="F268">
        <f>PasteBBM!U268</f>
        <v>66</v>
      </c>
      <c r="G268">
        <f>PasteBBM!X268</f>
        <v>19</v>
      </c>
      <c r="H268">
        <f>PasteBBM!AE268*PasteBBM!AF268</f>
        <v>2.688184769</v>
      </c>
      <c r="I268">
        <f>PasteBBM!AE268</f>
        <v>0.423417</v>
      </c>
      <c r="J268">
        <f>PasteBBM!AG268*PasteBBM!AH268</f>
        <v>0.4093941516</v>
      </c>
      <c r="K268">
        <f>PasteBBM!AG268</f>
        <v>0.806086</v>
      </c>
      <c r="L268">
        <f>PasteBBM!Z268</f>
        <v>1.349697</v>
      </c>
      <c r="M268">
        <f>PasteBBM!Y268</f>
        <v>7.135455</v>
      </c>
      <c r="N268">
        <f>PasteBBM!AA268</f>
        <v>1.881061</v>
      </c>
      <c r="O268">
        <f>PasteBBM!AB268</f>
        <v>1.763485</v>
      </c>
      <c r="P268">
        <f>PasteBBM!AC268</f>
        <v>0.797727</v>
      </c>
      <c r="Q268">
        <f>PasteBBM!AD268</f>
        <v>0.199848</v>
      </c>
      <c r="R268">
        <f>PasteBBM!AI268</f>
        <v>0.470303</v>
      </c>
      <c r="S268">
        <f>PasteBBM!AE268</f>
        <v>0.423417</v>
      </c>
      <c r="T268">
        <f>PasteBBM!AG268</f>
        <v>0.806086</v>
      </c>
      <c r="V268" s="44">
        <v>-0.41709</v>
      </c>
      <c r="W268" s="44">
        <v>-0.00658</v>
      </c>
      <c r="X268" s="44">
        <v>0.009207</v>
      </c>
      <c r="Y268" s="44">
        <v>-0.4263</v>
      </c>
      <c r="Z268" s="44">
        <v>-0.34564</v>
      </c>
      <c r="AA268" s="45"/>
      <c r="AB268" s="46" t="s">
        <v>126</v>
      </c>
      <c r="AC268" s="44">
        <v>67.0</v>
      </c>
    </row>
    <row r="269">
      <c r="A269" s="2">
        <v>268.0</v>
      </c>
      <c r="B269" s="14">
        <f>IF(PasteBBM!B269="",156,PasteBBM!B269)</f>
        <v>135.3333</v>
      </c>
      <c r="C269" t="str">
        <f>PasteBBM!I269</f>
        <v>Peyton Watson</v>
      </c>
      <c r="D269" t="str">
        <f>IFERROR(REPLACE(PasteBBM!K269,FIND("/",PasteBBM!K269,1),1,","),PasteBBM!K269)</f>
        <v>SF,PF</v>
      </c>
      <c r="E269" t="str">
        <f>PasteBBM!J269</f>
        <v>DEN</v>
      </c>
      <c r="F269">
        <f>PasteBBM!U269</f>
        <v>71</v>
      </c>
      <c r="G269">
        <f>PasteBBM!X269</f>
        <v>19</v>
      </c>
      <c r="H269">
        <f>PasteBBM!AE269*PasteBBM!AF269</f>
        <v>2.511267556</v>
      </c>
      <c r="I269">
        <f>PasteBBM!AE269</f>
        <v>0.490779</v>
      </c>
      <c r="J269">
        <f>PasteBBM!AG269*PasteBBM!AH269</f>
        <v>1.006901782</v>
      </c>
      <c r="K269">
        <f>PasteBBM!AG269</f>
        <v>0.671016</v>
      </c>
      <c r="L269">
        <f>PasteBBM!Z269</f>
        <v>0.520423</v>
      </c>
      <c r="M269">
        <f>PasteBBM!Y269</f>
        <v>6.549859</v>
      </c>
      <c r="N269">
        <f>PasteBBM!AA269</f>
        <v>3.15831</v>
      </c>
      <c r="O269">
        <f>PasteBBM!AB269</f>
        <v>1.026338</v>
      </c>
      <c r="P269">
        <f>PasteBBM!AC269</f>
        <v>0.502817</v>
      </c>
      <c r="Q269">
        <f>PasteBBM!AD269</f>
        <v>1.223944</v>
      </c>
      <c r="R269">
        <f>PasteBBM!AI269</f>
        <v>0.691549</v>
      </c>
      <c r="S269">
        <f>PasteBBM!AE269</f>
        <v>0.490779</v>
      </c>
      <c r="T269">
        <f>PasteBBM!AG269</f>
        <v>0.671016</v>
      </c>
      <c r="V269" s="44">
        <v>-0.41709</v>
      </c>
      <c r="W269" s="44">
        <v>-0.00658</v>
      </c>
      <c r="X269" s="44">
        <v>0.009207</v>
      </c>
      <c r="Y269" s="44">
        <v>-0.4263</v>
      </c>
      <c r="Z269" s="44">
        <v>-0.34564</v>
      </c>
      <c r="AA269" s="45"/>
      <c r="AB269" s="46" t="s">
        <v>126</v>
      </c>
      <c r="AC269" s="44">
        <v>67.0</v>
      </c>
    </row>
    <row r="270">
      <c r="A270" s="2">
        <v>269.0</v>
      </c>
      <c r="B270" s="14">
        <f>IF(PasteBBM!B270="",156,PasteBBM!B270)</f>
        <v>149</v>
      </c>
      <c r="C270" t="str">
        <f>PasteBBM!I270</f>
        <v>Jaxson Hayes</v>
      </c>
      <c r="D270" t="str">
        <f>IFERROR(REPLACE(PasteBBM!K270,FIND("/",PasteBBM!K270,1),1,","),PasteBBM!K270)</f>
        <v>C</v>
      </c>
      <c r="E270" t="str">
        <f>PasteBBM!J270</f>
        <v>LAL</v>
      </c>
      <c r="F270">
        <f>PasteBBM!U270</f>
        <v>71</v>
      </c>
      <c r="G270">
        <f>PasteBBM!X270</f>
        <v>17</v>
      </c>
      <c r="H270">
        <f>PasteBBM!AE270*PasteBBM!AF270</f>
        <v>2.62183183</v>
      </c>
      <c r="I270">
        <f>PasteBBM!AE270</f>
        <v>0.747921</v>
      </c>
      <c r="J270">
        <f>PasteBBM!AG270*PasteBBM!AH270</f>
        <v>1.010704623</v>
      </c>
      <c r="K270">
        <f>PasteBBM!AG270</f>
        <v>0.643011</v>
      </c>
      <c r="L270">
        <f>PasteBBM!Z270</f>
        <v>0.006056</v>
      </c>
      <c r="M270">
        <f>PasteBBM!Y270</f>
        <v>6.260423</v>
      </c>
      <c r="N270">
        <f>PasteBBM!AA270</f>
        <v>4.026197</v>
      </c>
      <c r="O270">
        <f>PasteBBM!AB270</f>
        <v>0.766479</v>
      </c>
      <c r="P270">
        <f>PasteBBM!AC270</f>
        <v>0.512958</v>
      </c>
      <c r="Q270">
        <f>PasteBBM!AD270</f>
        <v>0.735352</v>
      </c>
      <c r="R270">
        <f>PasteBBM!AI270</f>
        <v>0.699437</v>
      </c>
      <c r="S270">
        <f>PasteBBM!AE270</f>
        <v>0.747921</v>
      </c>
      <c r="T270">
        <f>PasteBBM!AG270</f>
        <v>0.643011</v>
      </c>
      <c r="V270" s="44">
        <v>-0.41709</v>
      </c>
      <c r="W270" s="44">
        <v>-0.00658</v>
      </c>
      <c r="X270" s="44">
        <v>0.009207</v>
      </c>
      <c r="Y270" s="44">
        <v>-0.4263</v>
      </c>
      <c r="Z270" s="44">
        <v>-0.34564</v>
      </c>
      <c r="AA270" s="45"/>
      <c r="AB270" s="46" t="s">
        <v>126</v>
      </c>
      <c r="AC270" s="44">
        <v>67.0</v>
      </c>
    </row>
    <row r="271">
      <c r="A271" s="2">
        <v>270.0</v>
      </c>
      <c r="B271" s="14">
        <f>IF(PasteBBM!B271="",156,PasteBBM!B271)</f>
        <v>156</v>
      </c>
      <c r="C271" t="str">
        <f>PasteBBM!I271</f>
        <v>Kelly Olynyk</v>
      </c>
      <c r="D271" t="str">
        <f>IFERROR(REPLACE(PasteBBM!K271,FIND("/",PasteBBM!K271,1),1,","),PasteBBM!K271)</f>
        <v>C</v>
      </c>
      <c r="E271" t="str">
        <f>PasteBBM!J271</f>
        <v>SAS</v>
      </c>
      <c r="F271">
        <f>PasteBBM!U271</f>
        <v>66</v>
      </c>
      <c r="G271">
        <f>PasteBBM!X271</f>
        <v>17</v>
      </c>
      <c r="H271">
        <f>PasteBBM!AE271*PasteBBM!AF271</f>
        <v>2.530607283</v>
      </c>
      <c r="I271">
        <f>PasteBBM!AE271</f>
        <v>0.511359</v>
      </c>
      <c r="J271">
        <f>PasteBBM!AG271*PasteBBM!AH271</f>
        <v>1.45954557</v>
      </c>
      <c r="K271">
        <f>PasteBBM!AG271</f>
        <v>0.805974</v>
      </c>
      <c r="L271">
        <f>PasteBBM!Z271</f>
        <v>0.677273</v>
      </c>
      <c r="M271">
        <f>PasteBBM!Y271</f>
        <v>7.19803</v>
      </c>
      <c r="N271">
        <f>PasteBBM!AA271</f>
        <v>3.829242</v>
      </c>
      <c r="O271">
        <f>PasteBBM!AB271</f>
        <v>2.348182</v>
      </c>
      <c r="P271">
        <f>PasteBBM!AC271</f>
        <v>0.626212</v>
      </c>
      <c r="Q271">
        <f>PasteBBM!AD271</f>
        <v>0.369545</v>
      </c>
      <c r="R271">
        <f>PasteBBM!AI271</f>
        <v>1.372727</v>
      </c>
      <c r="S271">
        <f>PasteBBM!AE271</f>
        <v>0.511359</v>
      </c>
      <c r="T271">
        <f>PasteBBM!AG271</f>
        <v>0.805974</v>
      </c>
      <c r="V271" s="44">
        <v>-0.41709</v>
      </c>
      <c r="W271" s="44">
        <v>-0.00658</v>
      </c>
      <c r="X271" s="44">
        <v>0.009207</v>
      </c>
      <c r="Y271" s="44">
        <v>-0.4263</v>
      </c>
      <c r="Z271" s="44">
        <v>-0.34564</v>
      </c>
      <c r="AA271" s="45"/>
      <c r="AB271" s="46" t="s">
        <v>126</v>
      </c>
      <c r="AC271" s="44">
        <v>67.0</v>
      </c>
    </row>
    <row r="272">
      <c r="A272" s="2">
        <v>271.0</v>
      </c>
      <c r="B272" s="14">
        <f>IF(PasteBBM!B272="",156,PasteBBM!B272)</f>
        <v>156</v>
      </c>
      <c r="C272" t="str">
        <f>PasteBBM!I272</f>
        <v>Jamal Shead</v>
      </c>
      <c r="D272" t="str">
        <f>IFERROR(REPLACE(PasteBBM!K272,FIND("/",PasteBBM!K272,1),1,","),PasteBBM!K272)</f>
        <v>PG</v>
      </c>
      <c r="E272" t="str">
        <f>PasteBBM!J272</f>
        <v>TOR</v>
      </c>
      <c r="F272">
        <f>PasteBBM!U272</f>
        <v>71</v>
      </c>
      <c r="G272">
        <f>PasteBBM!X272</f>
        <v>20</v>
      </c>
      <c r="H272">
        <f>PasteBBM!AE272*PasteBBM!AF272</f>
        <v>2.96253714</v>
      </c>
      <c r="I272">
        <f>PasteBBM!AE272</f>
        <v>0.415807</v>
      </c>
      <c r="J272">
        <f>PasteBBM!AG272*PasteBBM!AH272</f>
        <v>0.8777461432</v>
      </c>
      <c r="K272">
        <f>PasteBBM!AG272</f>
        <v>0.770048</v>
      </c>
      <c r="L272">
        <f>PasteBBM!Z272</f>
        <v>0.97169</v>
      </c>
      <c r="M272">
        <f>PasteBBM!Y272</f>
        <v>7.774507</v>
      </c>
      <c r="N272">
        <f>PasteBBM!AA272</f>
        <v>1.587887</v>
      </c>
      <c r="O272">
        <f>PasteBBM!AB272</f>
        <v>4.26493</v>
      </c>
      <c r="P272">
        <f>PasteBBM!AC272</f>
        <v>0.987042</v>
      </c>
      <c r="Q272">
        <f>PasteBBM!AD272</f>
        <v>0.172676</v>
      </c>
      <c r="R272">
        <f>PasteBBM!AI272</f>
        <v>1.416197</v>
      </c>
      <c r="S272">
        <f>PasteBBM!AE272</f>
        <v>0.415807</v>
      </c>
      <c r="T272">
        <f>PasteBBM!AG272</f>
        <v>0.770048</v>
      </c>
      <c r="V272" s="44">
        <v>-0.41709</v>
      </c>
      <c r="W272" s="44">
        <v>-0.00658</v>
      </c>
      <c r="X272" s="44">
        <v>0.009207</v>
      </c>
      <c r="Y272" s="44">
        <v>-0.4263</v>
      </c>
      <c r="Z272" s="44">
        <v>-0.34564</v>
      </c>
      <c r="AA272" s="45"/>
      <c r="AB272" s="46" t="s">
        <v>126</v>
      </c>
      <c r="AC272" s="44">
        <v>67.0</v>
      </c>
    </row>
    <row r="273">
      <c r="A273" s="2">
        <v>272.0</v>
      </c>
      <c r="B273" s="14">
        <f>IF(PasteBBM!B273="",156,PasteBBM!B273)</f>
        <v>156</v>
      </c>
      <c r="C273" t="str">
        <f>PasteBBM!I273</f>
        <v>Keldon Johnson</v>
      </c>
      <c r="D273" t="str">
        <f>IFERROR(REPLACE(PasteBBM!K273,FIND("/",PasteBBM!K273,1),1,","),PasteBBM!K273)</f>
        <v>SG,SF</v>
      </c>
      <c r="E273" t="str">
        <f>PasteBBM!J273</f>
        <v>SAS</v>
      </c>
      <c r="F273">
        <f>PasteBBM!U273</f>
        <v>71</v>
      </c>
      <c r="G273">
        <f>PasteBBM!X273</f>
        <v>20</v>
      </c>
      <c r="H273">
        <f>PasteBBM!AE273*PasteBBM!AF273</f>
        <v>3.810848551</v>
      </c>
      <c r="I273">
        <f>PasteBBM!AE273</f>
        <v>0.487312</v>
      </c>
      <c r="J273">
        <f>PasteBBM!AG273*PasteBBM!AH273</f>
        <v>1.226197782</v>
      </c>
      <c r="K273">
        <f>PasteBBM!AG273</f>
        <v>0.784042</v>
      </c>
      <c r="L273">
        <f>PasteBBM!Z273</f>
        <v>0.925915</v>
      </c>
      <c r="M273">
        <f>PasteBBM!Y273</f>
        <v>9.773803</v>
      </c>
      <c r="N273">
        <f>PasteBBM!AA273</f>
        <v>3.99493</v>
      </c>
      <c r="O273">
        <f>PasteBBM!AB273</f>
        <v>1.27493</v>
      </c>
      <c r="P273">
        <f>PasteBBM!AC273</f>
        <v>0.497183</v>
      </c>
      <c r="Q273">
        <f>PasteBBM!AD273</f>
        <v>0.259014</v>
      </c>
      <c r="R273">
        <f>PasteBBM!AI273</f>
        <v>0.904507</v>
      </c>
      <c r="S273">
        <f>PasteBBM!AE273</f>
        <v>0.487312</v>
      </c>
      <c r="T273">
        <f>PasteBBM!AG273</f>
        <v>0.784042</v>
      </c>
      <c r="V273" s="44">
        <v>-0.41709</v>
      </c>
      <c r="W273" s="44">
        <v>-0.00658</v>
      </c>
      <c r="X273" s="44">
        <v>0.009207</v>
      </c>
      <c r="Y273" s="44">
        <v>-0.4263</v>
      </c>
      <c r="Z273" s="44">
        <v>-0.34564</v>
      </c>
      <c r="AA273" s="45"/>
      <c r="AB273" s="46" t="s">
        <v>126</v>
      </c>
      <c r="AC273" s="44">
        <v>67.0</v>
      </c>
    </row>
    <row r="274">
      <c r="A274" s="2">
        <v>273.0</v>
      </c>
      <c r="B274" s="14">
        <f>IF(PasteBBM!B274="",156,PasteBBM!B274)</f>
        <v>156</v>
      </c>
      <c r="C274" t="str">
        <f>PasteBBM!I274</f>
        <v>Terrence Shannon Jr.</v>
      </c>
      <c r="D274" t="str">
        <f>IFERROR(REPLACE(PasteBBM!K274,FIND("/",PasteBBM!K274,1),1,","),PasteBBM!K274)</f>
        <v>SG</v>
      </c>
      <c r="E274" t="str">
        <f>PasteBBM!J274</f>
        <v>MIN</v>
      </c>
      <c r="F274">
        <f>PasteBBM!U274</f>
        <v>71</v>
      </c>
      <c r="G274">
        <f>PasteBBM!X274</f>
        <v>22</v>
      </c>
      <c r="H274">
        <f>PasteBBM!AE274*PasteBBM!AF274</f>
        <v>3.964363139</v>
      </c>
      <c r="I274">
        <f>PasteBBM!AE274</f>
        <v>0.508004</v>
      </c>
      <c r="J274">
        <f>PasteBBM!AG274*PasteBBM!AH274</f>
        <v>0.9990143208</v>
      </c>
      <c r="K274">
        <f>PasteBBM!AG274</f>
        <v>0.800023</v>
      </c>
      <c r="L274">
        <f>PasteBBM!Z274</f>
        <v>0.742676</v>
      </c>
      <c r="M274">
        <f>PasteBBM!Y274</f>
        <v>9.670423</v>
      </c>
      <c r="N274">
        <f>PasteBBM!AA274</f>
        <v>2.915775</v>
      </c>
      <c r="O274">
        <f>PasteBBM!AB274</f>
        <v>1.724225</v>
      </c>
      <c r="P274">
        <f>PasteBBM!AC274</f>
        <v>0.499155</v>
      </c>
      <c r="Q274">
        <f>PasteBBM!AD274</f>
        <v>0.285493</v>
      </c>
      <c r="R274">
        <f>PasteBBM!AI274</f>
        <v>0.862113</v>
      </c>
      <c r="S274">
        <f>PasteBBM!AE274</f>
        <v>0.508004</v>
      </c>
      <c r="T274">
        <f>PasteBBM!AG274</f>
        <v>0.800023</v>
      </c>
      <c r="V274" s="44">
        <v>-0.41709</v>
      </c>
      <c r="W274" s="44">
        <v>-0.00658</v>
      </c>
      <c r="X274" s="44">
        <v>0.009207</v>
      </c>
      <c r="Y274" s="44">
        <v>-0.4263</v>
      </c>
      <c r="Z274" s="44">
        <v>-0.34564</v>
      </c>
      <c r="AA274" s="45"/>
      <c r="AB274" s="46" t="s">
        <v>126</v>
      </c>
      <c r="AC274" s="44">
        <v>67.0</v>
      </c>
    </row>
    <row r="275">
      <c r="A275" s="2">
        <v>274.0</v>
      </c>
      <c r="B275" s="14">
        <f>IF(PasteBBM!B275="",156,PasteBBM!B275)</f>
        <v>141.5952</v>
      </c>
      <c r="C275" t="str">
        <f>PasteBBM!I275</f>
        <v>Collin Sexton</v>
      </c>
      <c r="D275" t="str">
        <f>IFERROR(REPLACE(PasteBBM!K275,FIND("/",PasteBBM!K275,1),1,","),PasteBBM!K275)</f>
        <v>PG,SG</v>
      </c>
      <c r="E275" t="str">
        <f>PasteBBM!J275</f>
        <v>CHA</v>
      </c>
      <c r="F275">
        <f>PasteBBM!U275</f>
        <v>61</v>
      </c>
      <c r="G275">
        <f>PasteBBM!X275</f>
        <v>23</v>
      </c>
      <c r="H275">
        <f>PasteBBM!AE275*PasteBBM!AF275</f>
        <v>4.334429281</v>
      </c>
      <c r="I275">
        <f>PasteBBM!AE275</f>
        <v>0.483709</v>
      </c>
      <c r="J275">
        <f>PasteBBM!AG275*PasteBBM!AH275</f>
        <v>1.901966441</v>
      </c>
      <c r="K275">
        <f>PasteBBM!AG275</f>
        <v>0.84903</v>
      </c>
      <c r="L275">
        <f>PasteBBM!Z275</f>
        <v>1.141148</v>
      </c>
      <c r="M275">
        <f>PasteBBM!Y275</f>
        <v>11.71197</v>
      </c>
      <c r="N275">
        <f>PasteBBM!AA275</f>
        <v>2.060492</v>
      </c>
      <c r="O275">
        <f>PasteBBM!AB275</f>
        <v>2.875082</v>
      </c>
      <c r="P275">
        <f>PasteBBM!AC275</f>
        <v>0.614262</v>
      </c>
      <c r="Q275">
        <f>PasteBBM!AD275</f>
        <v>0.096721</v>
      </c>
      <c r="R275">
        <f>PasteBBM!AI275</f>
        <v>1.677049</v>
      </c>
      <c r="S275">
        <f>PasteBBM!AE275</f>
        <v>0.483709</v>
      </c>
      <c r="T275">
        <f>PasteBBM!AG275</f>
        <v>0.84903</v>
      </c>
      <c r="V275" s="44">
        <v>-0.41709</v>
      </c>
      <c r="W275" s="44">
        <v>-0.00658</v>
      </c>
      <c r="X275" s="44">
        <v>0.009207</v>
      </c>
      <c r="Y275" s="44">
        <v>-0.4263</v>
      </c>
      <c r="Z275" s="44">
        <v>-0.34564</v>
      </c>
      <c r="AA275" s="45"/>
      <c r="AB275" s="46" t="s">
        <v>126</v>
      </c>
      <c r="AC275" s="44">
        <v>67.0</v>
      </c>
    </row>
    <row r="276">
      <c r="A276" s="2">
        <v>275.0</v>
      </c>
      <c r="B276" s="14">
        <f>IF(PasteBBM!B276="",156,PasteBBM!B276)</f>
        <v>142</v>
      </c>
      <c r="C276" t="str">
        <f>PasteBBM!I276</f>
        <v>Jusuf Nurkic</v>
      </c>
      <c r="D276" t="str">
        <f>IFERROR(REPLACE(PasteBBM!K276,FIND("/",PasteBBM!K276,1),1,","),PasteBBM!K276)</f>
        <v>C</v>
      </c>
      <c r="E276" t="str">
        <f>PasteBBM!J276</f>
        <v>UTA</v>
      </c>
      <c r="F276">
        <f>PasteBBM!U276</f>
        <v>40</v>
      </c>
      <c r="G276">
        <f>PasteBBM!X276</f>
        <v>16</v>
      </c>
      <c r="H276">
        <f>PasteBBM!AE276*PasteBBM!AF276</f>
        <v>3.172499895</v>
      </c>
      <c r="I276">
        <f>PasteBBM!AE276</f>
        <v>0.502097</v>
      </c>
      <c r="J276">
        <f>PasteBBM!AG276*PasteBBM!AH276</f>
        <v>1.359250746</v>
      </c>
      <c r="K276">
        <f>PasteBBM!AG276</f>
        <v>0.651997</v>
      </c>
      <c r="L276">
        <f>PasteBBM!Z276</f>
        <v>0.40425</v>
      </c>
      <c r="M276">
        <f>PasteBBM!Y276</f>
        <v>8.1085</v>
      </c>
      <c r="N276">
        <f>PasteBBM!AA276</f>
        <v>5.83675</v>
      </c>
      <c r="O276">
        <f>PasteBBM!AB276</f>
        <v>2.266</v>
      </c>
      <c r="P276">
        <f>PasteBBM!AC276</f>
        <v>0.63075</v>
      </c>
      <c r="Q276">
        <f>PasteBBM!AD276</f>
        <v>0.56025</v>
      </c>
      <c r="R276">
        <f>PasteBBM!AI276</f>
        <v>1.5365</v>
      </c>
      <c r="S276">
        <f>PasteBBM!AE276</f>
        <v>0.502097</v>
      </c>
      <c r="T276">
        <f>PasteBBM!AG276</f>
        <v>0.651997</v>
      </c>
      <c r="V276" s="44">
        <v>-0.41709</v>
      </c>
      <c r="W276" s="44">
        <v>-0.00658</v>
      </c>
      <c r="X276" s="44">
        <v>0.009207</v>
      </c>
      <c r="Y276" s="44">
        <v>-0.4263</v>
      </c>
      <c r="Z276" s="44">
        <v>-0.34564</v>
      </c>
      <c r="AA276" s="45"/>
      <c r="AB276" s="46" t="s">
        <v>126</v>
      </c>
      <c r="AC276" s="44">
        <v>67.0</v>
      </c>
    </row>
    <row r="277">
      <c r="A277" s="2">
        <v>276.0</v>
      </c>
      <c r="B277" s="14">
        <f>IF(PasteBBM!B277="",156,PasteBBM!B277)</f>
        <v>156</v>
      </c>
      <c r="C277" t="str">
        <f>PasteBBM!I277</f>
        <v>Ajay Mitchell</v>
      </c>
      <c r="D277" t="str">
        <f>IFERROR(REPLACE(PasteBBM!K277,FIND("/",PasteBBM!K277,1),1,","),PasteBBM!K277)</f>
        <v>SG,SF</v>
      </c>
      <c r="E277" t="str">
        <f>PasteBBM!J277</f>
        <v>OKC</v>
      </c>
      <c r="F277">
        <f>PasteBBM!U277</f>
        <v>59</v>
      </c>
      <c r="G277">
        <f>PasteBBM!X277</f>
        <v>19</v>
      </c>
      <c r="H277">
        <f>PasteBBM!AE277*PasteBBM!AF277</f>
        <v>2.919489096</v>
      </c>
      <c r="I277">
        <f>PasteBBM!AE277</f>
        <v>0.48202</v>
      </c>
      <c r="J277">
        <f>PasteBBM!AG277*PasteBBM!AH277</f>
        <v>1.060508708</v>
      </c>
      <c r="K277">
        <f>PasteBBM!AG277</f>
        <v>0.82016</v>
      </c>
      <c r="L277">
        <f>PasteBBM!Z277</f>
        <v>0.878644</v>
      </c>
      <c r="M277">
        <f>PasteBBM!Y277</f>
        <v>7.778136</v>
      </c>
      <c r="N277">
        <f>PasteBBM!AA277</f>
        <v>2.301356</v>
      </c>
      <c r="O277">
        <f>PasteBBM!AB277</f>
        <v>2.018814</v>
      </c>
      <c r="P277">
        <f>PasteBBM!AC277</f>
        <v>0.686441</v>
      </c>
      <c r="Q277">
        <f>PasteBBM!AD277</f>
        <v>0.129661</v>
      </c>
      <c r="R277">
        <f>PasteBBM!AI277</f>
        <v>0.807458</v>
      </c>
      <c r="S277">
        <f>PasteBBM!AE277</f>
        <v>0.48202</v>
      </c>
      <c r="T277">
        <f>PasteBBM!AG277</f>
        <v>0.82016</v>
      </c>
      <c r="V277" s="44">
        <v>-0.41709</v>
      </c>
      <c r="W277" s="44">
        <v>-0.00658</v>
      </c>
      <c r="X277" s="44">
        <v>0.009207</v>
      </c>
      <c r="Y277" s="44">
        <v>-0.4263</v>
      </c>
      <c r="Z277" s="44">
        <v>-0.34564</v>
      </c>
      <c r="AA277" s="45"/>
      <c r="AB277" s="46" t="s">
        <v>126</v>
      </c>
      <c r="AC277" s="44">
        <v>67.0</v>
      </c>
    </row>
    <row r="278">
      <c r="A278" s="2">
        <v>277.0</v>
      </c>
      <c r="B278" s="14">
        <f>IF(PasteBBM!B278="",156,PasteBBM!B278)</f>
        <v>156</v>
      </c>
      <c r="C278" t="str">
        <f>PasteBBM!I278</f>
        <v>Tre Mann</v>
      </c>
      <c r="D278" t="str">
        <f>IFERROR(REPLACE(PasteBBM!K278,FIND("/",PasteBBM!K278,1),1,","),PasteBBM!K278)</f>
        <v>PG</v>
      </c>
      <c r="E278" t="str">
        <f>PasteBBM!J278</f>
        <v>CHA</v>
      </c>
      <c r="F278">
        <f>PasteBBM!U278</f>
        <v>58</v>
      </c>
      <c r="G278">
        <f>PasteBBM!X278</f>
        <v>23</v>
      </c>
      <c r="H278">
        <f>PasteBBM!AE278*PasteBBM!AF278</f>
        <v>3.946892</v>
      </c>
      <c r="I278">
        <f>PasteBBM!AE278</f>
        <v>0.42901</v>
      </c>
      <c r="J278">
        <f>PasteBBM!AG278*PasteBBM!AH278</f>
        <v>1.163103246</v>
      </c>
      <c r="K278">
        <f>PasteBBM!AG278</f>
        <v>0.819983</v>
      </c>
      <c r="L278">
        <f>PasteBBM!Z278</f>
        <v>1.327586</v>
      </c>
      <c r="M278">
        <f>PasteBBM!Y278</f>
        <v>10.38448</v>
      </c>
      <c r="N278">
        <f>PasteBBM!AA278</f>
        <v>2.875</v>
      </c>
      <c r="O278">
        <f>PasteBBM!AB278</f>
        <v>3.077586</v>
      </c>
      <c r="P278">
        <f>PasteBBM!AC278</f>
        <v>0.766724</v>
      </c>
      <c r="Q278">
        <f>PasteBBM!AD278</f>
        <v>0.14569</v>
      </c>
      <c r="R278">
        <f>PasteBBM!AI278</f>
        <v>1.725</v>
      </c>
      <c r="S278">
        <f>PasteBBM!AE278</f>
        <v>0.42901</v>
      </c>
      <c r="T278">
        <f>PasteBBM!AG278</f>
        <v>0.819983</v>
      </c>
      <c r="V278" s="44">
        <v>-0.41709</v>
      </c>
      <c r="W278" s="44">
        <v>-0.00658</v>
      </c>
      <c r="X278" s="44">
        <v>0.009207</v>
      </c>
      <c r="Y278" s="44">
        <v>-0.4263</v>
      </c>
      <c r="Z278" s="44">
        <v>-0.34564</v>
      </c>
      <c r="AA278" s="45"/>
      <c r="AB278" s="46" t="s">
        <v>126</v>
      </c>
      <c r="AC278" s="44">
        <v>67.0</v>
      </c>
    </row>
    <row r="279">
      <c r="A279" s="2">
        <v>278.0</v>
      </c>
      <c r="B279" s="14">
        <f>IF(PasteBBM!B279="",156,PasteBBM!B279)</f>
        <v>144</v>
      </c>
      <c r="C279" t="str">
        <f>PasteBBM!I279</f>
        <v>Gradey Dick</v>
      </c>
      <c r="D279" t="str">
        <f>IFERROR(REPLACE(PasteBBM!K279,FIND("/",PasteBBM!K279,1),1,","),PasteBBM!K279)</f>
        <v>SG,SF</v>
      </c>
      <c r="E279" t="str">
        <f>PasteBBM!J279</f>
        <v>TOR</v>
      </c>
      <c r="F279">
        <f>PasteBBM!U279</f>
        <v>71</v>
      </c>
      <c r="G279">
        <f>PasteBBM!X279</f>
        <v>23</v>
      </c>
      <c r="H279">
        <f>PasteBBM!AE279*PasteBBM!AF279</f>
        <v>3.426475281</v>
      </c>
      <c r="I279">
        <f>PasteBBM!AE279</f>
        <v>0.418222</v>
      </c>
      <c r="J279">
        <f>PasteBBM!AG279*PasteBBM!AH279</f>
        <v>1.398310516</v>
      </c>
      <c r="K279">
        <f>PasteBBM!AG279</f>
        <v>0.841</v>
      </c>
      <c r="L279">
        <f>PasteBBM!Z279</f>
        <v>1.593662</v>
      </c>
      <c r="M279">
        <f>PasteBBM!Y279</f>
        <v>9.84493</v>
      </c>
      <c r="N279">
        <f>PasteBBM!AA279</f>
        <v>2.961268</v>
      </c>
      <c r="O279">
        <f>PasteBBM!AB279</f>
        <v>1.184507</v>
      </c>
      <c r="P279">
        <f>PasteBBM!AC279</f>
        <v>0.676761</v>
      </c>
      <c r="Q279">
        <f>PasteBBM!AD279</f>
        <v>0.1</v>
      </c>
      <c r="R279">
        <f>PasteBBM!AI279</f>
        <v>0.987042</v>
      </c>
      <c r="S279">
        <f>PasteBBM!AE279</f>
        <v>0.418222</v>
      </c>
      <c r="T279">
        <f>PasteBBM!AG279</f>
        <v>0.841</v>
      </c>
      <c r="V279" s="44">
        <v>-0.41709</v>
      </c>
      <c r="W279" s="44">
        <v>-0.00658</v>
      </c>
      <c r="X279" s="44">
        <v>0.009207</v>
      </c>
      <c r="Y279" s="44">
        <v>-0.4263</v>
      </c>
      <c r="Z279" s="44">
        <v>-0.34564</v>
      </c>
      <c r="AA279" s="45"/>
      <c r="AB279" s="46" t="s">
        <v>126</v>
      </c>
      <c r="AC279" s="44">
        <v>67.0</v>
      </c>
    </row>
    <row r="280">
      <c r="A280" s="2">
        <v>279.0</v>
      </c>
      <c r="B280" s="14">
        <f>IF(PasteBBM!B280="",156,PasteBBM!B280)</f>
        <v>156</v>
      </c>
      <c r="C280" t="str">
        <f>PasteBBM!I280</f>
        <v>Craig Porter Jr.</v>
      </c>
      <c r="D280" t="str">
        <f>IFERROR(REPLACE(PasteBBM!K280,FIND("/",PasteBBM!K280,1),1,","),PasteBBM!K280)</f>
        <v>PG</v>
      </c>
      <c r="E280" t="str">
        <f>PasteBBM!J280</f>
        <v>CLE</v>
      </c>
      <c r="F280">
        <f>PasteBBM!U280</f>
        <v>71</v>
      </c>
      <c r="G280">
        <f>PasteBBM!X280</f>
        <v>19</v>
      </c>
      <c r="H280">
        <f>PasteBBM!AE280*PasteBBM!AF280</f>
        <v>3.370140699</v>
      </c>
      <c r="I280">
        <f>PasteBBM!AE280</f>
        <v>0.490127</v>
      </c>
      <c r="J280">
        <f>PasteBBM!AG280*PasteBBM!AH280</f>
        <v>1.505916018</v>
      </c>
      <c r="K280">
        <f>PasteBBM!AG280</f>
        <v>0.729979</v>
      </c>
      <c r="L280">
        <f>PasteBBM!Z280</f>
        <v>0.860423</v>
      </c>
      <c r="M280">
        <f>PasteBBM!Y280</f>
        <v>9.10662</v>
      </c>
      <c r="N280">
        <f>PasteBBM!AA280</f>
        <v>2.638592</v>
      </c>
      <c r="O280">
        <f>PasteBBM!AB280</f>
        <v>2.518732</v>
      </c>
      <c r="P280">
        <f>PasteBBM!AC280</f>
        <v>0.624789</v>
      </c>
      <c r="Q280">
        <f>PasteBBM!AD280</f>
        <v>0.479718</v>
      </c>
      <c r="R280">
        <f>PasteBBM!AI280</f>
        <v>1.319296</v>
      </c>
      <c r="S280">
        <f>PasteBBM!AE280</f>
        <v>0.490127</v>
      </c>
      <c r="T280">
        <f>PasteBBM!AG280</f>
        <v>0.729979</v>
      </c>
      <c r="V280" s="44">
        <v>-0.41709</v>
      </c>
      <c r="W280" s="44">
        <v>-0.00658</v>
      </c>
      <c r="X280" s="44">
        <v>0.009207</v>
      </c>
      <c r="Y280" s="44">
        <v>-0.4263</v>
      </c>
      <c r="Z280" s="44">
        <v>-0.34564</v>
      </c>
      <c r="AA280" s="45"/>
      <c r="AB280" s="46" t="s">
        <v>126</v>
      </c>
      <c r="AC280" s="44">
        <v>67.0</v>
      </c>
    </row>
    <row r="281">
      <c r="A281" s="2">
        <v>280.0</v>
      </c>
      <c r="B281" s="14">
        <f>IF(PasteBBM!B281="",156,PasteBBM!B281)</f>
        <v>156</v>
      </c>
      <c r="C281" t="str">
        <f>PasteBBM!I281</f>
        <v>Julian Champagnie</v>
      </c>
      <c r="D281" t="str">
        <f>IFERROR(REPLACE(PasteBBM!K281,FIND("/",PasteBBM!K281,1),1,","),PasteBBM!K281)</f>
        <v>SF,PF</v>
      </c>
      <c r="E281" t="str">
        <f>PasteBBM!J281</f>
        <v>SAS</v>
      </c>
      <c r="F281">
        <f>PasteBBM!U281</f>
        <v>71</v>
      </c>
      <c r="G281">
        <f>PasteBBM!X281</f>
        <v>19</v>
      </c>
      <c r="H281">
        <f>PasteBBM!AE281*PasteBBM!AF281</f>
        <v>2.280422607</v>
      </c>
      <c r="I281">
        <f>PasteBBM!AE281</f>
        <v>0.412247</v>
      </c>
      <c r="J281">
        <f>PasteBBM!AG281*PasteBBM!AH281</f>
        <v>0.5881692862</v>
      </c>
      <c r="K281">
        <f>PasteBBM!AG281</f>
        <v>0.88606</v>
      </c>
      <c r="L281">
        <f>PasteBBM!Z281</f>
        <v>1.470704</v>
      </c>
      <c r="M281">
        <f>PasteBBM!Y281</f>
        <v>6.619718</v>
      </c>
      <c r="N281">
        <f>PasteBBM!AA281</f>
        <v>3.068451</v>
      </c>
      <c r="O281">
        <f>PasteBBM!AB281</f>
        <v>1.146761</v>
      </c>
      <c r="P281">
        <f>PasteBBM!AC281</f>
        <v>0.593239</v>
      </c>
      <c r="Q281">
        <f>PasteBBM!AD281</f>
        <v>0.327042</v>
      </c>
      <c r="R281">
        <f>PasteBBM!AI281</f>
        <v>0.734507</v>
      </c>
      <c r="S281">
        <f>PasteBBM!AE281</f>
        <v>0.412247</v>
      </c>
      <c r="T281">
        <f>PasteBBM!AG281</f>
        <v>0.88606</v>
      </c>
      <c r="V281" s="44">
        <v>-0.41709</v>
      </c>
      <c r="W281" s="44">
        <v>-0.00658</v>
      </c>
      <c r="X281" s="44">
        <v>0.009207</v>
      </c>
      <c r="Y281" s="44">
        <v>-0.4263</v>
      </c>
      <c r="Z281" s="44">
        <v>-0.34564</v>
      </c>
      <c r="AA281" s="45"/>
      <c r="AB281" s="46" t="s">
        <v>126</v>
      </c>
      <c r="AC281" s="44">
        <v>67.0</v>
      </c>
    </row>
    <row r="282">
      <c r="A282" s="2">
        <v>281.0</v>
      </c>
      <c r="B282" s="14">
        <f>IF(PasteBBM!B282="",156,PasteBBM!B282)</f>
        <v>154</v>
      </c>
      <c r="C282" t="str">
        <f>PasteBBM!I282</f>
        <v>Derik Queen</v>
      </c>
      <c r="D282" t="str">
        <f>IFERROR(REPLACE(PasteBBM!K282,FIND("/",PasteBBM!K282,1),1,","),PasteBBM!K282)</f>
        <v>C</v>
      </c>
      <c r="E282" t="str">
        <f>PasteBBM!J282</f>
        <v>NOR</v>
      </c>
      <c r="F282">
        <f>PasteBBM!U282</f>
        <v>71</v>
      </c>
      <c r="G282">
        <f>PasteBBM!X282</f>
        <v>21</v>
      </c>
      <c r="H282">
        <f>PasteBBM!AE282*PasteBBM!AF282</f>
        <v>3.84689808</v>
      </c>
      <c r="I282">
        <f>PasteBBM!AE282</f>
        <v>0.483698</v>
      </c>
      <c r="J282">
        <f>PasteBBM!AG282*PasteBBM!AH282</f>
        <v>2.096198091</v>
      </c>
      <c r="K282">
        <f>PasteBBM!AG282</f>
        <v>0.752998</v>
      </c>
      <c r="L282">
        <f>PasteBBM!Z282</f>
        <v>0.17493</v>
      </c>
      <c r="M282">
        <f>PasteBBM!Y282</f>
        <v>9.96493</v>
      </c>
      <c r="N282">
        <f>PasteBBM!AA282</f>
        <v>5.302535</v>
      </c>
      <c r="O282">
        <f>PasteBBM!AB282</f>
        <v>1.325634</v>
      </c>
      <c r="P282">
        <f>PasteBBM!AC282</f>
        <v>0.618592</v>
      </c>
      <c r="Q282">
        <f>PasteBBM!AD282</f>
        <v>0.486056</v>
      </c>
      <c r="R282">
        <f>PasteBBM!AI282</f>
        <v>1.325634</v>
      </c>
      <c r="S282">
        <f>PasteBBM!AE282</f>
        <v>0.483698</v>
      </c>
      <c r="T282">
        <f>PasteBBM!AG282</f>
        <v>0.752998</v>
      </c>
      <c r="V282" s="44">
        <v>-0.41709</v>
      </c>
      <c r="W282" s="44">
        <v>-0.00658</v>
      </c>
      <c r="X282" s="44">
        <v>0.009207</v>
      </c>
      <c r="Y282" s="44">
        <v>-0.4263</v>
      </c>
      <c r="Z282" s="44">
        <v>-0.34564</v>
      </c>
      <c r="AA282" s="45"/>
      <c r="AB282" s="46" t="s">
        <v>126</v>
      </c>
      <c r="AC282" s="44">
        <v>67.0</v>
      </c>
    </row>
    <row r="283">
      <c r="A283" s="2">
        <v>282.0</v>
      </c>
      <c r="B283" s="14">
        <f>IF(PasteBBM!B283="",156,PasteBBM!B283)</f>
        <v>156</v>
      </c>
      <c r="C283" t="str">
        <f>PasteBBM!I283</f>
        <v>Ja'Kobe Walter</v>
      </c>
      <c r="D283" t="str">
        <f>IFERROR(REPLACE(PasteBBM!K283,FIND("/",PasteBBM!K283,1),1,","),PasteBBM!K283)</f>
        <v>PG,SG</v>
      </c>
      <c r="E283" t="str">
        <f>PasteBBM!J283</f>
        <v>TOR</v>
      </c>
      <c r="F283">
        <f>PasteBBM!U283</f>
        <v>71</v>
      </c>
      <c r="G283">
        <f>PasteBBM!X283</f>
        <v>19</v>
      </c>
      <c r="H283">
        <f>PasteBBM!AE283*PasteBBM!AF283</f>
        <v>2.990707011</v>
      </c>
      <c r="I283">
        <f>PasteBBM!AE283</f>
        <v>0.424002</v>
      </c>
      <c r="J283">
        <f>PasteBBM!AG283*PasteBBM!AH283</f>
        <v>1.145351376</v>
      </c>
      <c r="K283">
        <f>PasteBBM!AG283</f>
        <v>0.801024</v>
      </c>
      <c r="L283">
        <f>PasteBBM!Z283</f>
        <v>1.366901</v>
      </c>
      <c r="M283">
        <f>PasteBBM!Y283</f>
        <v>8.493662</v>
      </c>
      <c r="N283">
        <f>PasteBBM!AA283</f>
        <v>2.772394</v>
      </c>
      <c r="O283">
        <f>PasteBBM!AB283</f>
        <v>1.350141</v>
      </c>
      <c r="P283">
        <f>PasteBBM!AC283</f>
        <v>0.758592</v>
      </c>
      <c r="Q283">
        <f>PasteBBM!AD283</f>
        <v>0.165211</v>
      </c>
      <c r="R283">
        <f>PasteBBM!AI283</f>
        <v>0.906761</v>
      </c>
      <c r="S283">
        <f>PasteBBM!AE283</f>
        <v>0.424002</v>
      </c>
      <c r="T283">
        <f>PasteBBM!AG283</f>
        <v>0.801024</v>
      </c>
      <c r="V283" s="44">
        <v>-0.41709</v>
      </c>
      <c r="W283" s="44">
        <v>-0.00658</v>
      </c>
      <c r="X283" s="44">
        <v>0.009207</v>
      </c>
      <c r="Y283" s="44">
        <v>-0.4263</v>
      </c>
      <c r="Z283" s="44">
        <v>-0.34564</v>
      </c>
      <c r="AA283" s="45"/>
      <c r="AB283" s="46" t="s">
        <v>126</v>
      </c>
      <c r="AC283" s="44">
        <v>67.0</v>
      </c>
    </row>
    <row r="284">
      <c r="A284" s="2">
        <v>283.0</v>
      </c>
      <c r="B284" s="14">
        <f>IF(PasteBBM!B284="",156,PasteBBM!B284)</f>
        <v>136</v>
      </c>
      <c r="C284" t="str">
        <f>PasteBBM!I284</f>
        <v>Jaylon Tyson</v>
      </c>
      <c r="D284" t="str">
        <f>IFERROR(REPLACE(PasteBBM!K284,FIND("/",PasteBBM!K284,1),1,","),PasteBBM!K284)</f>
        <v>SG,SF</v>
      </c>
      <c r="E284" t="str">
        <f>PasteBBM!J284</f>
        <v>CLE</v>
      </c>
      <c r="F284">
        <f>PasteBBM!U284</f>
        <v>71</v>
      </c>
      <c r="G284">
        <f>PasteBBM!X284</f>
        <v>19</v>
      </c>
      <c r="H284">
        <f>PasteBBM!AE284*PasteBBM!AF284</f>
        <v>3.103942831</v>
      </c>
      <c r="I284">
        <f>PasteBBM!AE284</f>
        <v>0.451404</v>
      </c>
      <c r="J284">
        <f>PasteBBM!AG284*PasteBBM!AH284</f>
        <v>1.007464594</v>
      </c>
      <c r="K284">
        <f>PasteBBM!AG284</f>
        <v>0.813951</v>
      </c>
      <c r="L284">
        <f>PasteBBM!Z284</f>
        <v>0.952113</v>
      </c>
      <c r="M284">
        <f>PasteBBM!Y284</f>
        <v>8.167465</v>
      </c>
      <c r="N284">
        <f>PasteBBM!AA284</f>
        <v>3.776197</v>
      </c>
      <c r="O284">
        <f>PasteBBM!AB284</f>
        <v>1.839014</v>
      </c>
      <c r="P284">
        <f>PasteBBM!AC284</f>
        <v>0.591408</v>
      </c>
      <c r="Q284">
        <f>PasteBBM!AD284</f>
        <v>0.167465</v>
      </c>
      <c r="R284">
        <f>PasteBBM!AI284</f>
        <v>0.959437</v>
      </c>
      <c r="S284">
        <f>PasteBBM!AE284</f>
        <v>0.451404</v>
      </c>
      <c r="T284">
        <f>PasteBBM!AG284</f>
        <v>0.813951</v>
      </c>
      <c r="V284" s="44">
        <v>-0.41709</v>
      </c>
      <c r="W284" s="44">
        <v>-0.00658</v>
      </c>
      <c r="X284" s="44">
        <v>0.009207</v>
      </c>
      <c r="Y284" s="44">
        <v>-0.4263</v>
      </c>
      <c r="Z284" s="44">
        <v>-0.34564</v>
      </c>
      <c r="AA284" s="45"/>
      <c r="AB284" s="46" t="s">
        <v>126</v>
      </c>
      <c r="AC284" s="44">
        <v>67.0</v>
      </c>
    </row>
    <row r="285">
      <c r="A285" s="2">
        <v>284.0</v>
      </c>
      <c r="B285" s="14">
        <f>IF(PasteBBM!B285="",156,PasteBBM!B285)</f>
        <v>156</v>
      </c>
      <c r="C285" t="str">
        <f>PasteBBM!I285</f>
        <v>Marcus Sasser</v>
      </c>
      <c r="D285" t="str">
        <f>IFERROR(REPLACE(PasteBBM!K285,FIND("/",PasteBBM!K285,1),1,","),PasteBBM!K285)</f>
        <v>PG</v>
      </c>
      <c r="E285" t="str">
        <f>PasteBBM!J285</f>
        <v>DET</v>
      </c>
      <c r="F285">
        <f>PasteBBM!U285</f>
        <v>71</v>
      </c>
      <c r="G285">
        <f>PasteBBM!X285</f>
        <v>17</v>
      </c>
      <c r="H285">
        <f>PasteBBM!AE285*PasteBBM!AF285</f>
        <v>2.841828183</v>
      </c>
      <c r="I285">
        <f>PasteBBM!AE285</f>
        <v>0.467341</v>
      </c>
      <c r="J285">
        <f>PasteBBM!AG285*PasteBBM!AH285</f>
        <v>1.047183319</v>
      </c>
      <c r="K285">
        <f>PasteBBM!AG285</f>
        <v>0.861031</v>
      </c>
      <c r="L285">
        <f>PasteBBM!Z285</f>
        <v>1.13831</v>
      </c>
      <c r="M285">
        <f>PasteBBM!Y285</f>
        <v>7.869155</v>
      </c>
      <c r="N285">
        <f>PasteBBM!AA285</f>
        <v>1.46662</v>
      </c>
      <c r="O285">
        <f>PasteBBM!AB285</f>
        <v>2.871268</v>
      </c>
      <c r="P285">
        <f>PasteBBM!AC285</f>
        <v>0.683521</v>
      </c>
      <c r="Q285">
        <f>PasteBBM!AD285</f>
        <v>0.106901</v>
      </c>
      <c r="R285">
        <f>PasteBBM!AI285</f>
        <v>1.141408</v>
      </c>
      <c r="S285">
        <f>PasteBBM!AE285</f>
        <v>0.467341</v>
      </c>
      <c r="T285">
        <f>PasteBBM!AG285</f>
        <v>0.861031</v>
      </c>
      <c r="V285" s="44">
        <v>-0.41709</v>
      </c>
      <c r="W285" s="44">
        <v>-0.00658</v>
      </c>
      <c r="X285" s="44">
        <v>0.009207</v>
      </c>
      <c r="Y285" s="44">
        <v>-0.4263</v>
      </c>
      <c r="Z285" s="44">
        <v>-0.34564</v>
      </c>
      <c r="AA285" s="45"/>
      <c r="AB285" s="46" t="s">
        <v>126</v>
      </c>
      <c r="AC285" s="44">
        <v>67.0</v>
      </c>
    </row>
    <row r="286">
      <c r="A286" s="2">
        <v>285.0</v>
      </c>
      <c r="B286" s="14">
        <f>IF(PasteBBM!B286="",156,PasteBBM!B286)</f>
        <v>151</v>
      </c>
      <c r="C286" t="str">
        <f>PasteBBM!I286</f>
        <v>Luka Garza</v>
      </c>
      <c r="D286" t="str">
        <f>IFERROR(REPLACE(PasteBBM!K286,FIND("/",PasteBBM!K286,1),1,","),PasteBBM!K286)</f>
        <v>C</v>
      </c>
      <c r="E286" t="str">
        <f>PasteBBM!J286</f>
        <v>BOS</v>
      </c>
      <c r="F286">
        <f>PasteBBM!U286</f>
        <v>71</v>
      </c>
      <c r="G286">
        <f>PasteBBM!X286</f>
        <v>18</v>
      </c>
      <c r="H286">
        <f>PasteBBM!AE286*PasteBBM!AF286</f>
        <v>3.673800916</v>
      </c>
      <c r="I286">
        <f>PasteBBM!AE286</f>
        <v>0.516965</v>
      </c>
      <c r="J286">
        <f>PasteBBM!AG286*PasteBBM!AH286</f>
        <v>1.577746563</v>
      </c>
      <c r="K286">
        <f>PasteBBM!AG286</f>
        <v>0.739992</v>
      </c>
      <c r="L286">
        <f>PasteBBM!Z286</f>
        <v>0.819155</v>
      </c>
      <c r="M286">
        <f>PasteBBM!Y286</f>
        <v>9.744507</v>
      </c>
      <c r="N286">
        <f>PasteBBM!AA286</f>
        <v>4.673662</v>
      </c>
      <c r="O286">
        <f>PasteBBM!AB286</f>
        <v>1.120141</v>
      </c>
      <c r="P286">
        <f>PasteBBM!AC286</f>
        <v>0.42493</v>
      </c>
      <c r="Q286">
        <f>PasteBBM!AD286</f>
        <v>0.23169</v>
      </c>
      <c r="R286">
        <f>PasteBBM!AI286</f>
        <v>1.081549</v>
      </c>
      <c r="S286">
        <f>PasteBBM!AE286</f>
        <v>0.516965</v>
      </c>
      <c r="T286">
        <f>PasteBBM!AG286</f>
        <v>0.739992</v>
      </c>
      <c r="V286" s="44">
        <v>-0.41709</v>
      </c>
      <c r="W286" s="44">
        <v>-0.00658</v>
      </c>
      <c r="X286" s="44">
        <v>0.009207</v>
      </c>
      <c r="Y286" s="44">
        <v>-0.4263</v>
      </c>
      <c r="Z286" s="44">
        <v>-0.34564</v>
      </c>
      <c r="AA286" s="45"/>
      <c r="AB286" s="46" t="s">
        <v>126</v>
      </c>
      <c r="AC286" s="44">
        <v>67.0</v>
      </c>
    </row>
    <row r="287">
      <c r="A287" s="2">
        <v>286.0</v>
      </c>
      <c r="B287" s="14">
        <f>IF(PasteBBM!B287="",156,PasteBBM!B287)</f>
        <v>156</v>
      </c>
      <c r="C287" t="str">
        <f>PasteBBM!I287</f>
        <v>Jalen Pickett</v>
      </c>
      <c r="D287" t="str">
        <f>IFERROR(REPLACE(PasteBBM!K287,FIND("/",PasteBBM!K287,1),1,","),PasteBBM!K287)</f>
        <v>SG</v>
      </c>
      <c r="E287" t="str">
        <f>PasteBBM!J287</f>
        <v>DEN</v>
      </c>
      <c r="F287">
        <f>PasteBBM!U287</f>
        <v>71</v>
      </c>
      <c r="G287">
        <f>PasteBBM!X287</f>
        <v>18</v>
      </c>
      <c r="H287">
        <f>PasteBBM!AE287*PasteBBM!AF287</f>
        <v>2.446760932</v>
      </c>
      <c r="I287">
        <f>PasteBBM!AE287</f>
        <v>0.448576</v>
      </c>
      <c r="J287">
        <f>PasteBBM!AG287*PasteBBM!AH287</f>
        <v>0.26408475</v>
      </c>
      <c r="K287">
        <f>PasteBBM!AG287</f>
        <v>0.75</v>
      </c>
      <c r="L287">
        <f>PasteBBM!Z287</f>
        <v>1.264648</v>
      </c>
      <c r="M287">
        <f>PasteBBM!Y287</f>
        <v>6.422254</v>
      </c>
      <c r="N287">
        <f>PasteBBM!AA287</f>
        <v>1.969437</v>
      </c>
      <c r="O287">
        <f>PasteBBM!AB287</f>
        <v>3.408732</v>
      </c>
      <c r="P287">
        <f>PasteBBM!AC287</f>
        <v>0.553239</v>
      </c>
      <c r="Q287">
        <f>PasteBBM!AD287</f>
        <v>0.110845</v>
      </c>
      <c r="R287">
        <f>PasteBBM!AI287</f>
        <v>0.871127</v>
      </c>
      <c r="S287">
        <f>PasteBBM!AE287</f>
        <v>0.448576</v>
      </c>
      <c r="T287">
        <f>PasteBBM!AG287</f>
        <v>0.75</v>
      </c>
      <c r="V287" s="44">
        <v>-0.41709</v>
      </c>
      <c r="W287" s="44">
        <v>-0.00658</v>
      </c>
      <c r="X287" s="44">
        <v>0.009207</v>
      </c>
      <c r="Y287" s="44">
        <v>-0.4263</v>
      </c>
      <c r="Z287" s="44">
        <v>-0.34564</v>
      </c>
      <c r="AA287" s="45"/>
      <c r="AB287" s="46" t="s">
        <v>126</v>
      </c>
      <c r="AC287" s="44">
        <v>67.0</v>
      </c>
    </row>
    <row r="288">
      <c r="A288" s="2">
        <v>287.0</v>
      </c>
      <c r="B288" s="14">
        <f>IF(PasteBBM!B288="",156,PasteBBM!B288)</f>
        <v>156</v>
      </c>
      <c r="C288" t="str">
        <f>PasteBBM!I288</f>
        <v>Tony Bradley</v>
      </c>
      <c r="D288" t="str">
        <f>IFERROR(REPLACE(PasteBBM!K288,FIND("/",PasteBBM!K288,1),1,","),PasteBBM!K288)</f>
        <v>C</v>
      </c>
      <c r="E288" t="str">
        <f>PasteBBM!J288</f>
        <v>IND</v>
      </c>
      <c r="F288">
        <f>PasteBBM!U288</f>
        <v>46</v>
      </c>
      <c r="G288">
        <f>PasteBBM!X288</f>
        <v>14</v>
      </c>
      <c r="H288">
        <f>PasteBBM!AE288*PasteBBM!AF288</f>
        <v>2.646523972</v>
      </c>
      <c r="I288">
        <f>PasteBBM!AE288</f>
        <v>0.619574</v>
      </c>
      <c r="J288">
        <f>PasteBBM!AG288*PasteBBM!AH288</f>
        <v>0.7728265013</v>
      </c>
      <c r="K288">
        <f>PasteBBM!AG288</f>
        <v>0.66598</v>
      </c>
      <c r="L288">
        <f>PasteBBM!Z288</f>
        <v>0.081957</v>
      </c>
      <c r="M288">
        <f>PasteBBM!Y288</f>
        <v>6.147826</v>
      </c>
      <c r="N288">
        <f>PasteBBM!AA288</f>
        <v>4.772174</v>
      </c>
      <c r="O288">
        <f>PasteBBM!AB288</f>
        <v>0.760652</v>
      </c>
      <c r="P288">
        <f>PasteBBM!AC288</f>
        <v>0.294565</v>
      </c>
      <c r="Q288">
        <f>PasteBBM!AD288</f>
        <v>0.755435</v>
      </c>
      <c r="R288">
        <f>PasteBBM!AI288</f>
        <v>0.756957</v>
      </c>
      <c r="S288">
        <f>PasteBBM!AE288</f>
        <v>0.619574</v>
      </c>
      <c r="T288">
        <f>PasteBBM!AG288</f>
        <v>0.66598</v>
      </c>
      <c r="V288" s="44">
        <v>-0.41709</v>
      </c>
      <c r="W288" s="44">
        <v>-0.00658</v>
      </c>
      <c r="X288" s="44">
        <v>0.009207</v>
      </c>
      <c r="Y288" s="44">
        <v>-0.4263</v>
      </c>
      <c r="Z288" s="44">
        <v>-0.34564</v>
      </c>
      <c r="AA288" s="45"/>
      <c r="AB288" s="46" t="s">
        <v>126</v>
      </c>
      <c r="AC288" s="44">
        <v>67.0</v>
      </c>
    </row>
    <row r="289">
      <c r="A289" s="2">
        <v>288.0</v>
      </c>
      <c r="B289" s="14">
        <f>IF(PasteBBM!B289="",156,PasteBBM!B289)</f>
        <v>156</v>
      </c>
      <c r="C289" t="str">
        <f>PasteBBM!I289</f>
        <v>Trendon Watford</v>
      </c>
      <c r="D289" t="str">
        <f>IFERROR(REPLACE(PasteBBM!K289,FIND("/",PasteBBM!K289,1),1,","),PasteBBM!K289)</f>
        <v>PF</v>
      </c>
      <c r="E289" t="str">
        <f>PasteBBM!J289</f>
        <v>PHI</v>
      </c>
      <c r="F289">
        <f>PasteBBM!U289</f>
        <v>71</v>
      </c>
      <c r="G289">
        <f>PasteBBM!X289</f>
        <v>19</v>
      </c>
      <c r="H289">
        <f>PasteBBM!AE289*PasteBBM!AF289</f>
        <v>3.308734528</v>
      </c>
      <c r="I289">
        <f>PasteBBM!AE289</f>
        <v>0.535858</v>
      </c>
      <c r="J289">
        <f>PasteBBM!AG289*PasteBBM!AH289</f>
        <v>1.521549288</v>
      </c>
      <c r="K289">
        <f>PasteBBM!AG289</f>
        <v>0.769993</v>
      </c>
      <c r="L289">
        <f>PasteBBM!Z289</f>
        <v>0.418873</v>
      </c>
      <c r="M289">
        <f>PasteBBM!Y289</f>
        <v>8.557887</v>
      </c>
      <c r="N289">
        <f>PasteBBM!AA289</f>
        <v>3.720845</v>
      </c>
      <c r="O289">
        <f>PasteBBM!AB289</f>
        <v>1.781268</v>
      </c>
      <c r="P289">
        <f>PasteBBM!AC289</f>
        <v>0.555634</v>
      </c>
      <c r="Q289">
        <f>PasteBBM!AD289</f>
        <v>0.27662</v>
      </c>
      <c r="R289">
        <f>PasteBBM!AI289</f>
        <v>1.306197</v>
      </c>
      <c r="S289">
        <f>PasteBBM!AE289</f>
        <v>0.535858</v>
      </c>
      <c r="T289">
        <f>PasteBBM!AG289</f>
        <v>0.769993</v>
      </c>
      <c r="V289" s="44">
        <v>-0.41709</v>
      </c>
      <c r="W289" s="44">
        <v>-0.00658</v>
      </c>
      <c r="X289" s="44">
        <v>0.009207</v>
      </c>
      <c r="Y289" s="44">
        <v>-0.4263</v>
      </c>
      <c r="Z289" s="44">
        <v>-0.34564</v>
      </c>
      <c r="AA289" s="45"/>
      <c r="AB289" s="46" t="s">
        <v>126</v>
      </c>
      <c r="AC289" s="44">
        <v>67.0</v>
      </c>
    </row>
    <row r="290">
      <c r="A290" s="2">
        <v>289.0</v>
      </c>
      <c r="B290" s="14">
        <f>IF(PasteBBM!B290="",156,PasteBBM!B290)</f>
        <v>156</v>
      </c>
      <c r="C290" t="str">
        <f>PasteBBM!I290</f>
        <v>Charles Bassey</v>
      </c>
      <c r="D290" t="str">
        <f>IFERROR(REPLACE(PasteBBM!K290,FIND("/",PasteBBM!K290,1),1,","),PasteBBM!K290)</f>
        <v>C</v>
      </c>
      <c r="E290" t="str">
        <f>PasteBBM!J290</f>
        <v>ATL</v>
      </c>
      <c r="F290">
        <f>PasteBBM!U290</f>
        <v>34</v>
      </c>
      <c r="G290">
        <f>PasteBBM!X290</f>
        <v>11</v>
      </c>
      <c r="H290">
        <f>PasteBBM!AE290*PasteBBM!AF290</f>
        <v>2.280296077</v>
      </c>
      <c r="I290">
        <f>PasteBBM!AE290</f>
        <v>0.655479</v>
      </c>
      <c r="J290">
        <f>PasteBBM!AG290*PasteBBM!AH290</f>
        <v>0.575294403</v>
      </c>
      <c r="K290">
        <f>PasteBBM!AG290</f>
        <v>0.635891</v>
      </c>
      <c r="L290">
        <f>PasteBBM!Z290</f>
        <v>0.008824</v>
      </c>
      <c r="M290">
        <f>PasteBBM!Y290</f>
        <v>5.144706</v>
      </c>
      <c r="N290">
        <f>PasteBBM!AA290</f>
        <v>4.29</v>
      </c>
      <c r="O290">
        <f>PasteBBM!AB290</f>
        <v>0.715</v>
      </c>
      <c r="P290">
        <f>PasteBBM!AC290</f>
        <v>0.381471</v>
      </c>
      <c r="Q290">
        <f>PasteBBM!AD290</f>
        <v>0.834118</v>
      </c>
      <c r="R290">
        <f>PasteBBM!AI290</f>
        <v>0.786471</v>
      </c>
      <c r="S290">
        <f>PasteBBM!AE290</f>
        <v>0.655479</v>
      </c>
      <c r="T290">
        <f>PasteBBM!AG290</f>
        <v>0.635891</v>
      </c>
      <c r="V290" s="44">
        <v>-0.41709</v>
      </c>
      <c r="W290" s="44">
        <v>-0.00658</v>
      </c>
      <c r="X290" s="44">
        <v>0.009207</v>
      </c>
      <c r="Y290" s="44">
        <v>-0.4263</v>
      </c>
      <c r="Z290" s="44">
        <v>-0.34564</v>
      </c>
      <c r="AA290" s="45"/>
      <c r="AB290" s="46" t="s">
        <v>126</v>
      </c>
      <c r="AC290" s="44">
        <v>67.0</v>
      </c>
    </row>
    <row r="291">
      <c r="A291" s="2">
        <v>290.0</v>
      </c>
      <c r="B291" s="14">
        <f>IF(PasteBBM!B291="",156,PasteBBM!B291)</f>
        <v>156</v>
      </c>
      <c r="C291" t="str">
        <f>PasteBBM!I291</f>
        <v>Max Christie</v>
      </c>
      <c r="D291" t="str">
        <f>IFERROR(REPLACE(PasteBBM!K291,FIND("/",PasteBBM!K291,1),1,","),PasteBBM!K291)</f>
        <v>SG,SF</v>
      </c>
      <c r="E291" t="str">
        <f>PasteBBM!J291</f>
        <v>DAL</v>
      </c>
      <c r="F291">
        <f>PasteBBM!U291</f>
        <v>71</v>
      </c>
      <c r="G291">
        <f>PasteBBM!X291</f>
        <v>22</v>
      </c>
      <c r="H291">
        <f>PasteBBM!AE291*PasteBBM!AF291</f>
        <v>2.70619643</v>
      </c>
      <c r="I291">
        <f>PasteBBM!AE291</f>
        <v>0.420594</v>
      </c>
      <c r="J291">
        <f>PasteBBM!AG291*PasteBBM!AH291</f>
        <v>1.155070806</v>
      </c>
      <c r="K291">
        <f>PasteBBM!AG291</f>
        <v>0.847036</v>
      </c>
      <c r="L291">
        <f>PasteBBM!Z291</f>
        <v>1.227746</v>
      </c>
      <c r="M291">
        <f>PasteBBM!Y291</f>
        <v>7.795211</v>
      </c>
      <c r="N291">
        <f>PasteBBM!AA291</f>
        <v>2.777465</v>
      </c>
      <c r="O291">
        <f>PasteBBM!AB291</f>
        <v>1.471268</v>
      </c>
      <c r="P291">
        <f>PasteBBM!AC291</f>
        <v>0.616761</v>
      </c>
      <c r="Q291">
        <f>PasteBBM!AD291</f>
        <v>0.286761</v>
      </c>
      <c r="R291">
        <f>PasteBBM!AI291</f>
        <v>0.998732</v>
      </c>
      <c r="S291">
        <f>PasteBBM!AE291</f>
        <v>0.420594</v>
      </c>
      <c r="T291">
        <f>PasteBBM!AG291</f>
        <v>0.847036</v>
      </c>
      <c r="V291" s="44">
        <v>-0.41709</v>
      </c>
      <c r="W291" s="44">
        <v>-0.00658</v>
      </c>
      <c r="X291" s="44">
        <v>0.009207</v>
      </c>
      <c r="Y291" s="44">
        <v>-0.4263</v>
      </c>
      <c r="Z291" s="44">
        <v>-0.34564</v>
      </c>
      <c r="AA291" s="45"/>
      <c r="AB291" s="46" t="s">
        <v>126</v>
      </c>
      <c r="AC291" s="44">
        <v>67.0</v>
      </c>
    </row>
    <row r="292">
      <c r="A292" s="2">
        <v>291.0</v>
      </c>
      <c r="B292" s="14">
        <f>IF(PasteBBM!B292="",156,PasteBBM!B292)</f>
        <v>156</v>
      </c>
      <c r="C292" t="str">
        <f>PasteBBM!I292</f>
        <v>Collin Murray-Boyles</v>
      </c>
      <c r="D292" t="str">
        <f>IFERROR(REPLACE(PasteBBM!K292,FIND("/",PasteBBM!K292,1),1,","),PasteBBM!K292)</f>
        <v>PF</v>
      </c>
      <c r="E292" t="str">
        <f>PasteBBM!J292</f>
        <v>TOR</v>
      </c>
      <c r="F292">
        <f>PasteBBM!U292</f>
        <v>71</v>
      </c>
      <c r="G292">
        <f>PasteBBM!X292</f>
        <v>20</v>
      </c>
      <c r="H292">
        <f>PasteBBM!AE292*PasteBBM!AF292</f>
        <v>3.181690831</v>
      </c>
      <c r="I292">
        <f>PasteBBM!AE292</f>
        <v>0.50432</v>
      </c>
      <c r="J292">
        <f>PasteBBM!AG292*PasteBBM!AH292</f>
        <v>1.471831617</v>
      </c>
      <c r="K292">
        <f>PasteBBM!AG292</f>
        <v>0.706989</v>
      </c>
      <c r="L292">
        <f>PasteBBM!Z292</f>
        <v>0.105493</v>
      </c>
      <c r="M292">
        <f>PasteBBM!Y292</f>
        <v>7.940704</v>
      </c>
      <c r="N292">
        <f>PasteBBM!AA292</f>
        <v>4.63507</v>
      </c>
      <c r="O292">
        <f>PasteBBM!AB292</f>
        <v>1.416197</v>
      </c>
      <c r="P292">
        <f>PasteBBM!AC292</f>
        <v>0.729577</v>
      </c>
      <c r="Q292">
        <f>PasteBBM!AD292</f>
        <v>0.472113</v>
      </c>
      <c r="R292">
        <f>PasteBBM!AI292</f>
        <v>1.287465</v>
      </c>
      <c r="S292">
        <f>PasteBBM!AE292</f>
        <v>0.50432</v>
      </c>
      <c r="T292">
        <f>PasteBBM!AG292</f>
        <v>0.706989</v>
      </c>
      <c r="V292" s="44">
        <v>-0.41709</v>
      </c>
      <c r="W292" s="44">
        <v>-0.00658</v>
      </c>
      <c r="X292" s="44">
        <v>0.009207</v>
      </c>
      <c r="Y292" s="44">
        <v>-0.4263</v>
      </c>
      <c r="Z292" s="44">
        <v>-0.34564</v>
      </c>
      <c r="AA292" s="45"/>
      <c r="AB292" s="46" t="s">
        <v>126</v>
      </c>
      <c r="AC292" s="44">
        <v>67.0</v>
      </c>
    </row>
    <row r="293">
      <c r="A293" s="2">
        <v>292.0</v>
      </c>
      <c r="B293" s="14">
        <f>IF(PasteBBM!B293="",156,PasteBBM!B293)</f>
        <v>156</v>
      </c>
      <c r="C293" t="str">
        <f>PasteBBM!I293</f>
        <v>Paul Reed</v>
      </c>
      <c r="D293" t="str">
        <f>IFERROR(REPLACE(PasteBBM!K293,FIND("/",PasteBBM!K293,1),1,","),PasteBBM!K293)</f>
        <v>C</v>
      </c>
      <c r="E293" t="str">
        <f>PasteBBM!J293</f>
        <v>DET</v>
      </c>
      <c r="F293">
        <f>PasteBBM!U293</f>
        <v>46</v>
      </c>
      <c r="G293">
        <f>PasteBBM!X293</f>
        <v>11</v>
      </c>
      <c r="H293">
        <f>PasteBBM!AE293*PasteBBM!AF293</f>
        <v>1.758262375</v>
      </c>
      <c r="I293">
        <f>PasteBBM!AE293</f>
        <v>0.527387</v>
      </c>
      <c r="J293">
        <f>PasteBBM!AG293*PasteBBM!AH293</f>
        <v>0.531304305</v>
      </c>
      <c r="K293">
        <f>PasteBBM!AG293</f>
        <v>0.722863</v>
      </c>
      <c r="L293">
        <f>PasteBBM!Z293</f>
        <v>0.203261</v>
      </c>
      <c r="M293">
        <f>PasteBBM!Y293</f>
        <v>4.251087</v>
      </c>
      <c r="N293">
        <f>PasteBBM!AA293</f>
        <v>3.240435</v>
      </c>
      <c r="O293">
        <f>PasteBBM!AB293</f>
        <v>0.820217</v>
      </c>
      <c r="P293">
        <f>PasteBBM!AC293</f>
        <v>0.632609</v>
      </c>
      <c r="Q293">
        <f>PasteBBM!AD293</f>
        <v>0.656957</v>
      </c>
      <c r="R293">
        <f>PasteBBM!AI293</f>
        <v>0.561957</v>
      </c>
      <c r="S293">
        <f>PasteBBM!AE293</f>
        <v>0.527387</v>
      </c>
      <c r="T293">
        <f>PasteBBM!AG293</f>
        <v>0.722863</v>
      </c>
      <c r="V293" s="44">
        <v>-0.41709</v>
      </c>
      <c r="W293" s="44">
        <v>-0.00658</v>
      </c>
      <c r="X293" s="44">
        <v>0.009207</v>
      </c>
      <c r="Y293" s="44">
        <v>-0.4263</v>
      </c>
      <c r="Z293" s="44">
        <v>-0.34564</v>
      </c>
      <c r="AA293" s="45"/>
      <c r="AB293" s="46" t="s">
        <v>126</v>
      </c>
      <c r="AC293" s="44">
        <v>67.0</v>
      </c>
    </row>
    <row r="294">
      <c r="A294" s="2">
        <v>293.0</v>
      </c>
      <c r="B294" s="14">
        <f>IF(PasteBBM!B294="",156,PasteBBM!B294)</f>
        <v>145.5</v>
      </c>
      <c r="C294" t="str">
        <f>PasteBBM!I294</f>
        <v>Tre Johnson</v>
      </c>
      <c r="D294" t="str">
        <f>IFERROR(REPLACE(PasteBBM!K294,FIND("/",PasteBBM!K294,1),1,","),PasteBBM!K294)</f>
        <v>SG</v>
      </c>
      <c r="E294" t="str">
        <f>PasteBBM!J294</f>
        <v>WAS</v>
      </c>
      <c r="F294">
        <f>PasteBBM!U294</f>
        <v>71</v>
      </c>
      <c r="G294">
        <f>PasteBBM!X294</f>
        <v>29</v>
      </c>
      <c r="H294">
        <f>PasteBBM!AE294*PasteBBM!AF294</f>
        <v>4.599294799</v>
      </c>
      <c r="I294">
        <f>PasteBBM!AE294</f>
        <v>0.380994</v>
      </c>
      <c r="J294">
        <f>PasteBBM!AG294*PasteBBM!AH294</f>
        <v>1.682817496</v>
      </c>
      <c r="K294">
        <f>PasteBBM!AG294</f>
        <v>0.819985</v>
      </c>
      <c r="L294">
        <f>PasteBBM!Z294</f>
        <v>1.952113</v>
      </c>
      <c r="M294">
        <f>PasteBBM!Y294</f>
        <v>12.83352</v>
      </c>
      <c r="N294">
        <f>PasteBBM!AA294</f>
        <v>2.738028</v>
      </c>
      <c r="O294">
        <f>PasteBBM!AB294</f>
        <v>2.364648</v>
      </c>
      <c r="P294">
        <f>PasteBBM!AC294</f>
        <v>0.746761</v>
      </c>
      <c r="Q294">
        <f>PasteBBM!AD294</f>
        <v>0.248873</v>
      </c>
      <c r="R294">
        <f>PasteBBM!AI294</f>
        <v>1.804648</v>
      </c>
      <c r="S294">
        <f>PasteBBM!AE294</f>
        <v>0.380994</v>
      </c>
      <c r="T294">
        <f>PasteBBM!AG294</f>
        <v>0.819985</v>
      </c>
      <c r="V294" s="44">
        <v>-0.41709</v>
      </c>
      <c r="W294" s="44">
        <v>-0.00658</v>
      </c>
      <c r="X294" s="44">
        <v>0.009207</v>
      </c>
      <c r="Y294" s="44">
        <v>-0.4263</v>
      </c>
      <c r="Z294" s="44">
        <v>-0.34564</v>
      </c>
      <c r="AA294" s="45"/>
      <c r="AB294" s="46" t="s">
        <v>126</v>
      </c>
      <c r="AC294" s="44">
        <v>67.0</v>
      </c>
    </row>
    <row r="295">
      <c r="A295" s="2">
        <v>294.0</v>
      </c>
      <c r="B295" s="14">
        <f>IF(PasteBBM!B295="",156,PasteBBM!B295)</f>
        <v>156</v>
      </c>
      <c r="C295" t="str">
        <f>PasteBBM!I295</f>
        <v>Jock Landale</v>
      </c>
      <c r="D295" t="str">
        <f>IFERROR(REPLACE(PasteBBM!K295,FIND("/",PasteBBM!K295,1),1,","),PasteBBM!K295)</f>
        <v>C</v>
      </c>
      <c r="E295" t="str">
        <f>PasteBBM!J295</f>
        <v>MEM</v>
      </c>
      <c r="F295">
        <f>PasteBBM!U295</f>
        <v>46</v>
      </c>
      <c r="G295">
        <f>PasteBBM!X295</f>
        <v>15</v>
      </c>
      <c r="H295">
        <f>PasteBBM!AE295*PasteBBM!AF295</f>
        <v>2.494565567</v>
      </c>
      <c r="I295">
        <f>PasteBBM!AE295</f>
        <v>0.542964</v>
      </c>
      <c r="J295">
        <f>PasteBBM!AG295*PasteBBM!AH295</f>
        <v>0.833478149</v>
      </c>
      <c r="K295">
        <f>PasteBBM!AG295</f>
        <v>0.756064</v>
      </c>
      <c r="L295">
        <f>PasteBBM!Z295</f>
        <v>0.297609</v>
      </c>
      <c r="M295">
        <f>PasteBBM!Y295</f>
        <v>6.120217</v>
      </c>
      <c r="N295">
        <f>PasteBBM!AA295</f>
        <v>4.265652</v>
      </c>
      <c r="O295">
        <f>PasteBBM!AB295</f>
        <v>1.19587</v>
      </c>
      <c r="P295">
        <f>PasteBBM!AC295</f>
        <v>0.35587</v>
      </c>
      <c r="Q295">
        <f>PasteBBM!AD295</f>
        <v>0.496087</v>
      </c>
      <c r="R295">
        <f>PasteBBM!AI295</f>
        <v>0.693696</v>
      </c>
      <c r="S295">
        <f>PasteBBM!AE295</f>
        <v>0.542964</v>
      </c>
      <c r="T295">
        <f>PasteBBM!AG295</f>
        <v>0.756064</v>
      </c>
      <c r="V295" s="44">
        <v>-0.41709</v>
      </c>
      <c r="W295" s="44">
        <v>-0.00658</v>
      </c>
      <c r="X295" s="44">
        <v>0.009207</v>
      </c>
      <c r="Y295" s="44">
        <v>-0.4263</v>
      </c>
      <c r="Z295" s="44">
        <v>-0.34564</v>
      </c>
      <c r="AA295" s="45"/>
      <c r="AB295" s="46" t="s">
        <v>126</v>
      </c>
      <c r="AC295" s="44">
        <v>67.0</v>
      </c>
    </row>
    <row r="296">
      <c r="A296" s="2">
        <v>295.0</v>
      </c>
      <c r="B296" s="14">
        <f>IF(PasteBBM!B296="",156,PasteBBM!B296)</f>
        <v>149.4</v>
      </c>
      <c r="C296" t="str">
        <f>PasteBBM!I296</f>
        <v>Yang Hansen</v>
      </c>
      <c r="D296" t="str">
        <f>IFERROR(REPLACE(PasteBBM!K296,FIND("/",PasteBBM!K296,1),1,","),PasteBBM!K296)</f>
        <v>C</v>
      </c>
      <c r="E296" t="str">
        <f>PasteBBM!J296</f>
        <v>POR</v>
      </c>
      <c r="F296">
        <f>PasteBBM!U296</f>
        <v>66</v>
      </c>
      <c r="G296">
        <f>PasteBBM!X296</f>
        <v>18</v>
      </c>
      <c r="H296">
        <f>PasteBBM!AE296*PasteBBM!AF296</f>
        <v>3.373788876</v>
      </c>
      <c r="I296">
        <f>PasteBBM!AE296</f>
        <v>0.518863</v>
      </c>
      <c r="J296">
        <f>PasteBBM!AG296*PasteBBM!AH296</f>
        <v>1.144545334</v>
      </c>
      <c r="K296">
        <f>PasteBBM!AG296</f>
        <v>0.677003</v>
      </c>
      <c r="L296">
        <f>PasteBBM!Z296</f>
        <v>0.172121</v>
      </c>
      <c r="M296">
        <f>PasteBBM!Y296</f>
        <v>8.064242</v>
      </c>
      <c r="N296">
        <f>PasteBBM!AA296</f>
        <v>5.622727</v>
      </c>
      <c r="O296">
        <f>PasteBBM!AB296</f>
        <v>1.721212</v>
      </c>
      <c r="P296">
        <f>PasteBBM!AC296</f>
        <v>0.458939</v>
      </c>
      <c r="Q296">
        <f>PasteBBM!AD296</f>
        <v>0.91803</v>
      </c>
      <c r="R296">
        <f>PasteBBM!AI296</f>
        <v>1.912424</v>
      </c>
      <c r="S296">
        <f>PasteBBM!AE296</f>
        <v>0.518863</v>
      </c>
      <c r="T296">
        <f>PasteBBM!AG296</f>
        <v>0.677003</v>
      </c>
      <c r="V296" s="44">
        <v>-0.41709</v>
      </c>
      <c r="W296" s="44">
        <v>-0.00658</v>
      </c>
      <c r="X296" s="44">
        <v>0.009207</v>
      </c>
      <c r="Y296" s="44">
        <v>-0.4263</v>
      </c>
      <c r="Z296" s="44">
        <v>-0.34564</v>
      </c>
      <c r="AA296" s="45"/>
      <c r="AB296" s="46" t="s">
        <v>126</v>
      </c>
      <c r="AC296" s="44">
        <v>67.0</v>
      </c>
    </row>
    <row r="297">
      <c r="A297" s="2">
        <v>296.0</v>
      </c>
      <c r="B297" s="14">
        <f>IF(PasteBBM!B297="",156,PasteBBM!B297)</f>
        <v>156</v>
      </c>
      <c r="C297" t="str">
        <f>PasteBBM!I297</f>
        <v>Nicolas Batum</v>
      </c>
      <c r="D297" t="str">
        <f>IFERROR(REPLACE(PasteBBM!K297,FIND("/",PasteBBM!K297,1),1,","),PasteBBM!K297)</f>
        <v>PF</v>
      </c>
      <c r="E297" t="str">
        <f>PasteBBM!J297</f>
        <v>LAC</v>
      </c>
      <c r="F297">
        <f>PasteBBM!U297</f>
        <v>59</v>
      </c>
      <c r="G297">
        <f>PasteBBM!X297</f>
        <v>18</v>
      </c>
      <c r="H297">
        <f>PasteBBM!AE297*PasteBBM!AF297</f>
        <v>1.307798205</v>
      </c>
      <c r="I297">
        <f>PasteBBM!AE297</f>
        <v>0.41794</v>
      </c>
      <c r="J297">
        <f>PasteBBM!AG297*PasteBBM!AH297</f>
        <v>0.1769494115</v>
      </c>
      <c r="K297">
        <f>PasteBBM!AG297</f>
        <v>0.808675</v>
      </c>
      <c r="L297">
        <f>PasteBBM!Z297</f>
        <v>1.103898</v>
      </c>
      <c r="M297">
        <f>PasteBBM!Y297</f>
        <v>3.896441</v>
      </c>
      <c r="N297">
        <f>PasteBBM!AA297</f>
        <v>2.873559</v>
      </c>
      <c r="O297">
        <f>PasteBBM!AB297</f>
        <v>1.089661</v>
      </c>
      <c r="P297">
        <f>PasteBBM!AC297</f>
        <v>0.545593</v>
      </c>
      <c r="Q297">
        <f>PasteBBM!AD297</f>
        <v>0.43661</v>
      </c>
      <c r="R297">
        <f>PasteBBM!AI297</f>
        <v>0.43661</v>
      </c>
      <c r="S297">
        <f>PasteBBM!AE297</f>
        <v>0.41794</v>
      </c>
      <c r="T297">
        <f>PasteBBM!AG297</f>
        <v>0.808675</v>
      </c>
      <c r="V297" s="44">
        <v>-0.41709</v>
      </c>
      <c r="W297" s="44">
        <v>-0.00658</v>
      </c>
      <c r="X297" s="44">
        <v>0.009207</v>
      </c>
      <c r="Y297" s="44">
        <v>-0.4263</v>
      </c>
      <c r="Z297" s="44">
        <v>-0.34564</v>
      </c>
      <c r="AA297" s="45"/>
      <c r="AB297" s="46" t="s">
        <v>126</v>
      </c>
      <c r="AC297" s="44">
        <v>67.0</v>
      </c>
    </row>
    <row r="298">
      <c r="A298" s="2">
        <v>297.0</v>
      </c>
      <c r="B298" s="14">
        <f>IF(PasteBBM!B298="",156,PasteBBM!B298)</f>
        <v>145</v>
      </c>
      <c r="C298" t="str">
        <f>PasteBBM!I298</f>
        <v>Trayce Jackson-Davis</v>
      </c>
      <c r="D298" t="str">
        <f>IFERROR(REPLACE(PasteBBM!K298,FIND("/",PasteBBM!K298,1),1,","),PasteBBM!K298)</f>
        <v>C</v>
      </c>
      <c r="E298" t="str">
        <f>PasteBBM!J298</f>
        <v>GSW</v>
      </c>
      <c r="F298">
        <f>PasteBBM!U298</f>
        <v>46</v>
      </c>
      <c r="G298">
        <f>PasteBBM!X298</f>
        <v>15</v>
      </c>
      <c r="H298">
        <f>PasteBBM!AE298*PasteBBM!AF298</f>
        <v>2.975868364</v>
      </c>
      <c r="I298">
        <f>PasteBBM!AE298</f>
        <v>0.586579</v>
      </c>
      <c r="J298">
        <f>PasteBBM!AG298*PasteBBM!AH298</f>
        <v>1.158912058</v>
      </c>
      <c r="K298">
        <f>PasteBBM!AG298</f>
        <v>0.571015</v>
      </c>
      <c r="L298">
        <f>PasteBBM!Z298</f>
        <v>0.022174</v>
      </c>
      <c r="M298">
        <f>PasteBBM!Y298</f>
        <v>7.132826</v>
      </c>
      <c r="N298">
        <f>PasteBBM!AA298</f>
        <v>5.259348</v>
      </c>
      <c r="O298">
        <f>PasteBBM!AB298</f>
        <v>1.445652</v>
      </c>
      <c r="P298">
        <f>PasteBBM!AC298</f>
        <v>0.373261</v>
      </c>
      <c r="Q298">
        <f>PasteBBM!AD298</f>
        <v>0.70913</v>
      </c>
      <c r="R298">
        <f>PasteBBM!AI298</f>
        <v>0.678696</v>
      </c>
      <c r="S298">
        <f>PasteBBM!AE298</f>
        <v>0.586579</v>
      </c>
      <c r="T298">
        <f>PasteBBM!AG298</f>
        <v>0.571015</v>
      </c>
      <c r="V298" s="44">
        <v>-0.41709</v>
      </c>
      <c r="W298" s="44">
        <v>-0.00658</v>
      </c>
      <c r="X298" s="44">
        <v>0.009207</v>
      </c>
      <c r="Y298" s="44">
        <v>-0.4263</v>
      </c>
      <c r="Z298" s="44">
        <v>-0.34564</v>
      </c>
      <c r="AA298" s="45"/>
      <c r="AB298" s="46" t="s">
        <v>126</v>
      </c>
      <c r="AC298" s="44">
        <v>67.0</v>
      </c>
    </row>
    <row r="299">
      <c r="A299" s="2">
        <v>298.0</v>
      </c>
      <c r="B299" s="14">
        <f>IF(PasteBBM!B299="",156,PasteBBM!B299)</f>
        <v>156</v>
      </c>
      <c r="C299" t="str">
        <f>PasteBBM!I299</f>
        <v>Devin Carter</v>
      </c>
      <c r="D299" t="str">
        <f>IFERROR(REPLACE(PasteBBM!K299,FIND("/",PasteBBM!K299,1),1,","),PasteBBM!K299)</f>
        <v>PG</v>
      </c>
      <c r="E299" t="str">
        <f>PasteBBM!J299</f>
        <v>SAC</v>
      </c>
      <c r="F299">
        <f>PasteBBM!U299</f>
        <v>66</v>
      </c>
      <c r="G299">
        <f>PasteBBM!X299</f>
        <v>18</v>
      </c>
      <c r="H299">
        <f>PasteBBM!AE299*PasteBBM!AF299</f>
        <v>2.29666556</v>
      </c>
      <c r="I299">
        <f>PasteBBM!AE299</f>
        <v>0.42088</v>
      </c>
      <c r="J299">
        <f>PasteBBM!AG299*PasteBBM!AH299</f>
        <v>0.7496969576</v>
      </c>
      <c r="K299">
        <f>PasteBBM!AG299</f>
        <v>0.654324</v>
      </c>
      <c r="L299">
        <f>PasteBBM!Z299</f>
        <v>0.800606</v>
      </c>
      <c r="M299">
        <f>PasteBBM!Y299</f>
        <v>6.143636</v>
      </c>
      <c r="N299">
        <f>PasteBBM!AA299</f>
        <v>2.91</v>
      </c>
      <c r="O299">
        <f>PasteBBM!AB299</f>
        <v>1.455</v>
      </c>
      <c r="P299">
        <f>PasteBBM!AC299</f>
        <v>0.982121</v>
      </c>
      <c r="Q299">
        <f>PasteBBM!AD299</f>
        <v>0.248333</v>
      </c>
      <c r="R299">
        <f>PasteBBM!AI299</f>
        <v>0.877879</v>
      </c>
      <c r="S299">
        <f>PasteBBM!AE299</f>
        <v>0.42088</v>
      </c>
      <c r="T299">
        <f>PasteBBM!AG299</f>
        <v>0.654324</v>
      </c>
      <c r="V299" s="44">
        <v>-0.41709</v>
      </c>
      <c r="W299" s="44">
        <v>-0.00658</v>
      </c>
      <c r="X299" s="44">
        <v>0.009207</v>
      </c>
      <c r="Y299" s="44">
        <v>-0.4263</v>
      </c>
      <c r="Z299" s="44">
        <v>-0.34564</v>
      </c>
      <c r="AA299" s="45"/>
      <c r="AB299" s="46" t="s">
        <v>126</v>
      </c>
      <c r="AC299" s="44">
        <v>67.0</v>
      </c>
    </row>
    <row r="300">
      <c r="A300" s="2">
        <v>299.0</v>
      </c>
      <c r="B300" s="14">
        <f>IF(PasteBBM!B300="",156,PasteBBM!B300)</f>
        <v>156</v>
      </c>
      <c r="C300" t="str">
        <f>PasteBBM!I300</f>
        <v>Justin Edwards</v>
      </c>
      <c r="D300" t="str">
        <f>IFERROR(REPLACE(PasteBBM!K300,FIND("/",PasteBBM!K300,1),1,","),PasteBBM!K300)</f>
        <v>SG,SF/PF</v>
      </c>
      <c r="E300" t="str">
        <f>PasteBBM!J300</f>
        <v>PHI</v>
      </c>
      <c r="F300">
        <f>PasteBBM!U300</f>
        <v>71</v>
      </c>
      <c r="G300">
        <f>PasteBBM!X300</f>
        <v>19</v>
      </c>
      <c r="H300">
        <f>PasteBBM!AE300*PasteBBM!AF300</f>
        <v>2.734649316</v>
      </c>
      <c r="I300">
        <f>PasteBBM!AE300</f>
        <v>0.454484</v>
      </c>
      <c r="J300">
        <f>PasteBBM!AG300*PasteBBM!AH300</f>
        <v>0.4602819632</v>
      </c>
      <c r="K300">
        <f>PasteBBM!AG300</f>
        <v>0.702947</v>
      </c>
      <c r="L300">
        <f>PasteBBM!Z300</f>
        <v>1.208592</v>
      </c>
      <c r="M300">
        <f>PasteBBM!Y300</f>
        <v>7.138169</v>
      </c>
      <c r="N300">
        <f>PasteBBM!AA300</f>
        <v>2.414648</v>
      </c>
      <c r="O300">
        <f>PasteBBM!AB300</f>
        <v>0.986338</v>
      </c>
      <c r="P300">
        <f>PasteBBM!AC300</f>
        <v>0.709437</v>
      </c>
      <c r="Q300">
        <f>PasteBBM!AD300</f>
        <v>0.287324</v>
      </c>
      <c r="R300">
        <f>PasteBBM!AI300</f>
        <v>0.857183</v>
      </c>
      <c r="S300">
        <f>PasteBBM!AE300</f>
        <v>0.454484</v>
      </c>
      <c r="T300">
        <f>PasteBBM!AG300</f>
        <v>0.702947</v>
      </c>
      <c r="V300" s="44">
        <v>-0.41709</v>
      </c>
      <c r="W300" s="44">
        <v>-0.00658</v>
      </c>
      <c r="X300" s="44">
        <v>0.009207</v>
      </c>
      <c r="Y300" s="44">
        <v>-0.4263</v>
      </c>
      <c r="Z300" s="44">
        <v>-0.34564</v>
      </c>
      <c r="AA300" s="45"/>
      <c r="AB300" s="46" t="s">
        <v>126</v>
      </c>
      <c r="AC300" s="44">
        <v>67.0</v>
      </c>
    </row>
    <row r="301">
      <c r="A301" s="2">
        <v>300.0</v>
      </c>
      <c r="B301" s="14">
        <f>IF(PasteBBM!B301="",156,PasteBBM!B301)</f>
        <v>156</v>
      </c>
      <c r="C301" t="str">
        <f>PasteBBM!I301</f>
        <v>Dominick Barlow</v>
      </c>
      <c r="D301" t="str">
        <f>IFERROR(REPLACE(PasteBBM!K301,FIND("/",PasteBBM!K301,1),1,","),PasteBBM!K301)</f>
        <v>SF</v>
      </c>
      <c r="E301" t="str">
        <f>PasteBBM!J301</f>
        <v>PHI</v>
      </c>
      <c r="F301">
        <f>PasteBBM!U301</f>
        <v>46</v>
      </c>
      <c r="G301">
        <f>PasteBBM!X301</f>
        <v>16</v>
      </c>
      <c r="H301">
        <f>PasteBBM!AE301*PasteBBM!AF301</f>
        <v>2.224346552</v>
      </c>
      <c r="I301">
        <f>PasteBBM!AE301</f>
        <v>0.575316</v>
      </c>
      <c r="J301">
        <f>PasteBBM!AG301*PasteBBM!AH301</f>
        <v>0.8241311345</v>
      </c>
      <c r="K301">
        <f>PasteBBM!AG301</f>
        <v>0.668018</v>
      </c>
      <c r="L301">
        <f>PasteBBM!Z301</f>
        <v>0.235435</v>
      </c>
      <c r="M301">
        <f>PasteBBM!Y301</f>
        <v>5.508261</v>
      </c>
      <c r="N301">
        <f>PasteBBM!AA301</f>
        <v>3.4</v>
      </c>
      <c r="O301">
        <f>PasteBBM!AB301</f>
        <v>0.866739</v>
      </c>
      <c r="P301">
        <f>PasteBBM!AC301</f>
        <v>0.399348</v>
      </c>
      <c r="Q301">
        <f>PasteBBM!AD301</f>
        <v>0.633913</v>
      </c>
      <c r="R301">
        <f>PasteBBM!AI301</f>
        <v>0.333696</v>
      </c>
      <c r="S301">
        <f>PasteBBM!AE301</f>
        <v>0.575316</v>
      </c>
      <c r="T301">
        <f>PasteBBM!AG301</f>
        <v>0.668018</v>
      </c>
      <c r="V301" s="44">
        <v>-0.41709</v>
      </c>
      <c r="W301" s="44">
        <v>-0.00658</v>
      </c>
      <c r="X301" s="44">
        <v>0.009207</v>
      </c>
      <c r="Y301" s="44">
        <v>-0.4263</v>
      </c>
      <c r="Z301" s="44">
        <v>-0.34564</v>
      </c>
      <c r="AA301" s="45"/>
      <c r="AB301" s="46" t="s">
        <v>126</v>
      </c>
      <c r="AC301" s="44">
        <v>67.0</v>
      </c>
    </row>
    <row r="302">
      <c r="A302" s="2">
        <v>301.0</v>
      </c>
      <c r="B302" s="14">
        <f>IF(PasteBBM!B302="",156,PasteBBM!B302)</f>
        <v>156</v>
      </c>
      <c r="C302" t="str">
        <f>PasteBBM!I302</f>
        <v>Khaman Maluach</v>
      </c>
      <c r="D302" t="str">
        <f>IFERROR(REPLACE(PasteBBM!K302,FIND("/",PasteBBM!K302,1),1,","),PasteBBM!K302)</f>
        <v>C</v>
      </c>
      <c r="E302" t="str">
        <f>PasteBBM!J302</f>
        <v>PHO</v>
      </c>
      <c r="F302">
        <f>PasteBBM!U302</f>
        <v>71</v>
      </c>
      <c r="G302">
        <f>PasteBBM!X302</f>
        <v>17</v>
      </c>
      <c r="H302">
        <f>PasteBBM!AE302*PasteBBM!AF302</f>
        <v>2.38394211</v>
      </c>
      <c r="I302">
        <f>PasteBBM!AE302</f>
        <v>0.586222</v>
      </c>
      <c r="J302">
        <f>PasteBBM!AG302*PasteBBM!AH302</f>
        <v>0.7963377653</v>
      </c>
      <c r="K302">
        <f>PasteBBM!AG302</f>
        <v>0.753063</v>
      </c>
      <c r="L302">
        <f>PasteBBM!Z302</f>
        <v>0.145775</v>
      </c>
      <c r="M302">
        <f>PasteBBM!Y302</f>
        <v>5.71</v>
      </c>
      <c r="N302">
        <f>PasteBBM!AA302</f>
        <v>4.908732</v>
      </c>
      <c r="O302">
        <f>PasteBBM!AB302</f>
        <v>0.490845</v>
      </c>
      <c r="P302">
        <f>PasteBBM!AC302</f>
        <v>0.280563</v>
      </c>
      <c r="Q302">
        <f>PasteBBM!AD302</f>
        <v>0.771408</v>
      </c>
      <c r="R302">
        <f>PasteBBM!AI302</f>
        <v>0.91169</v>
      </c>
      <c r="S302">
        <f>PasteBBM!AE302</f>
        <v>0.586222</v>
      </c>
      <c r="T302">
        <f>PasteBBM!AG302</f>
        <v>0.753063</v>
      </c>
      <c r="V302" s="44">
        <v>-0.41709</v>
      </c>
      <c r="W302" s="44">
        <v>-0.00658</v>
      </c>
      <c r="X302" s="44">
        <v>0.009207</v>
      </c>
      <c r="Y302" s="44">
        <v>-0.4263</v>
      </c>
      <c r="Z302" s="44">
        <v>-0.34564</v>
      </c>
      <c r="AA302" s="45"/>
      <c r="AB302" s="46" t="s">
        <v>126</v>
      </c>
      <c r="AC302" s="44">
        <v>67.0</v>
      </c>
    </row>
    <row r="303">
      <c r="A303" s="2">
        <v>302.0</v>
      </c>
      <c r="B303" s="14">
        <f>IF(PasteBBM!B303="",156,PasteBBM!B303)</f>
        <v>156</v>
      </c>
      <c r="C303" t="str">
        <f>PasteBBM!I303</f>
        <v>Marvin Bagley III</v>
      </c>
      <c r="D303" t="str">
        <f>IFERROR(REPLACE(PasteBBM!K303,FIND("/",PasteBBM!K303,1),1,","),PasteBBM!K303)</f>
        <v>PF,C</v>
      </c>
      <c r="E303" t="str">
        <f>PasteBBM!J303</f>
        <v>WAS</v>
      </c>
      <c r="F303">
        <f>PasteBBM!U303</f>
        <v>66</v>
      </c>
      <c r="G303">
        <f>PasteBBM!X303</f>
        <v>16</v>
      </c>
      <c r="H303">
        <f>PasteBBM!AE303*PasteBBM!AF303</f>
        <v>2.877270003</v>
      </c>
      <c r="I303">
        <f>PasteBBM!AE303</f>
        <v>0.54411</v>
      </c>
      <c r="J303">
        <f>PasteBBM!AG303*PasteBBM!AH303</f>
        <v>1.118181667</v>
      </c>
      <c r="K303">
        <f>PasteBBM!AG303</f>
        <v>0.703997</v>
      </c>
      <c r="L303">
        <f>PasteBBM!Z303</f>
        <v>0.25697</v>
      </c>
      <c r="M303">
        <f>PasteBBM!Y303</f>
        <v>7.129697</v>
      </c>
      <c r="N303">
        <f>PasteBBM!AA303</f>
        <v>5.04697</v>
      </c>
      <c r="O303">
        <f>PasteBBM!AB303</f>
        <v>0.722576</v>
      </c>
      <c r="P303">
        <f>PasteBBM!AC303</f>
        <v>0.37803</v>
      </c>
      <c r="Q303">
        <f>PasteBBM!AD303</f>
        <v>0.480455</v>
      </c>
      <c r="R303">
        <f>PasteBBM!AI303</f>
        <v>0.789394</v>
      </c>
      <c r="S303">
        <f>PasteBBM!AE303</f>
        <v>0.54411</v>
      </c>
      <c r="T303">
        <f>PasteBBM!AG303</f>
        <v>0.703997</v>
      </c>
      <c r="V303" s="44">
        <v>-0.41709</v>
      </c>
      <c r="W303" s="44">
        <v>-0.00658</v>
      </c>
      <c r="X303" s="44">
        <v>0.009207</v>
      </c>
      <c r="Y303" s="44">
        <v>-0.4263</v>
      </c>
      <c r="Z303" s="44">
        <v>-0.34564</v>
      </c>
      <c r="AA303" s="45"/>
      <c r="AB303" s="46" t="s">
        <v>126</v>
      </c>
      <c r="AC303" s="44">
        <v>67.0</v>
      </c>
    </row>
    <row r="304">
      <c r="A304" s="2">
        <v>303.0</v>
      </c>
      <c r="B304" s="14">
        <f>IF(PasteBBM!B304="",156,PasteBBM!B304)</f>
        <v>156</v>
      </c>
      <c r="C304" t="str">
        <f>PasteBBM!I304</f>
        <v>Thomas Bryant</v>
      </c>
      <c r="D304" t="str">
        <f>IFERROR(REPLACE(PasteBBM!K304,FIND("/",PasteBBM!K304,1),1,","),PasteBBM!K304)</f>
        <v>C</v>
      </c>
      <c r="E304" t="str">
        <f>PasteBBM!J304</f>
        <v>CLE</v>
      </c>
      <c r="F304">
        <f>PasteBBM!U304</f>
        <v>66</v>
      </c>
      <c r="G304">
        <f>PasteBBM!X304</f>
        <v>12</v>
      </c>
      <c r="H304">
        <f>PasteBBM!AE304*PasteBBM!AF304</f>
        <v>2.2228771</v>
      </c>
      <c r="I304">
        <f>PasteBBM!AE304</f>
        <v>0.543531</v>
      </c>
      <c r="J304">
        <f>PasteBBM!AG304*PasteBBM!AH304</f>
        <v>0.8256064887</v>
      </c>
      <c r="K304">
        <f>PasteBBM!AG304</f>
        <v>0.841025</v>
      </c>
      <c r="L304">
        <f>PasteBBM!Z304</f>
        <v>0.487576</v>
      </c>
      <c r="M304">
        <f>PasteBBM!Y304</f>
        <v>5.758939</v>
      </c>
      <c r="N304">
        <f>PasteBBM!AA304</f>
        <v>3.408788</v>
      </c>
      <c r="O304">
        <f>PasteBBM!AB304</f>
        <v>0.580758</v>
      </c>
      <c r="P304">
        <f>PasteBBM!AC304</f>
        <v>0.30303</v>
      </c>
      <c r="Q304">
        <f>PasteBBM!AD304</f>
        <v>0.479697</v>
      </c>
      <c r="R304">
        <f>PasteBBM!AI304</f>
        <v>0.429242</v>
      </c>
      <c r="S304">
        <f>PasteBBM!AE304</f>
        <v>0.543531</v>
      </c>
      <c r="T304">
        <f>PasteBBM!AG304</f>
        <v>0.841025</v>
      </c>
      <c r="V304" s="44">
        <v>-0.41709</v>
      </c>
      <c r="W304" s="44">
        <v>-0.00658</v>
      </c>
      <c r="X304" s="44">
        <v>0.009207</v>
      </c>
      <c r="Y304" s="44">
        <v>-0.4263</v>
      </c>
      <c r="Z304" s="44">
        <v>-0.34564</v>
      </c>
      <c r="AA304" s="45"/>
      <c r="AB304" s="46" t="s">
        <v>126</v>
      </c>
      <c r="AC304" s="44">
        <v>67.0</v>
      </c>
    </row>
    <row r="305">
      <c r="A305" s="2">
        <v>304.0</v>
      </c>
      <c r="B305" s="14">
        <f>IF(PasteBBM!B305="",156,PasteBBM!B305)</f>
        <v>156</v>
      </c>
      <c r="C305" t="str">
        <f>PasteBBM!I305</f>
        <v>Patrick Williams</v>
      </c>
      <c r="D305" t="str">
        <f>IFERROR(REPLACE(PasteBBM!K305,FIND("/",PasteBBM!K305,1),1,","),PasteBBM!K305)</f>
        <v>SF,PF</v>
      </c>
      <c r="E305" t="str">
        <f>PasteBBM!J305</f>
        <v>CHI</v>
      </c>
      <c r="F305">
        <f>PasteBBM!U305</f>
        <v>66</v>
      </c>
      <c r="G305">
        <f>PasteBBM!X305</f>
        <v>18</v>
      </c>
      <c r="H305">
        <f>PasteBBM!AE305*PasteBBM!AF305</f>
        <v>2.792577437</v>
      </c>
      <c r="I305">
        <f>PasteBBM!AE305</f>
        <v>0.448869</v>
      </c>
      <c r="J305">
        <f>PasteBBM!AG305*PasteBBM!AH305</f>
        <v>0.5984853267</v>
      </c>
      <c r="K305">
        <f>PasteBBM!AG305</f>
        <v>0.739978</v>
      </c>
      <c r="L305">
        <f>PasteBBM!Z305</f>
        <v>1.164394</v>
      </c>
      <c r="M305">
        <f>PasteBBM!Y305</f>
        <v>7.34803</v>
      </c>
      <c r="N305">
        <f>PasteBBM!AA305</f>
        <v>2.598788</v>
      </c>
      <c r="O305">
        <f>PasteBBM!AB305</f>
        <v>1.333182</v>
      </c>
      <c r="P305">
        <f>PasteBBM!AC305</f>
        <v>0.63</v>
      </c>
      <c r="Q305">
        <f>PasteBBM!AD305</f>
        <v>0.315</v>
      </c>
      <c r="R305">
        <f>PasteBBM!AI305</f>
        <v>0.951515</v>
      </c>
      <c r="S305">
        <f>PasteBBM!AE305</f>
        <v>0.448869</v>
      </c>
      <c r="T305">
        <f>PasteBBM!AG305</f>
        <v>0.739978</v>
      </c>
      <c r="V305" s="44">
        <v>-0.41709</v>
      </c>
      <c r="W305" s="44">
        <v>-0.00658</v>
      </c>
      <c r="X305" s="44">
        <v>0.009207</v>
      </c>
      <c r="Y305" s="44">
        <v>-0.4263</v>
      </c>
      <c r="Z305" s="44">
        <v>-0.34564</v>
      </c>
      <c r="AA305" s="45"/>
      <c r="AB305" s="46" t="s">
        <v>126</v>
      </c>
      <c r="AC305" s="44">
        <v>67.0</v>
      </c>
    </row>
    <row r="306">
      <c r="A306" s="2">
        <v>305.0</v>
      </c>
      <c r="B306" s="14">
        <f>IF(PasteBBM!B306="",156,PasteBBM!B306)</f>
        <v>156</v>
      </c>
      <c r="C306" t="str">
        <f>PasteBBM!I306</f>
        <v>Sandro Mamukelashvili</v>
      </c>
      <c r="D306" t="str">
        <f>IFERROR(REPLACE(PasteBBM!K306,FIND("/",PasteBBM!K306,1),1,","),PasteBBM!K306)</f>
        <v>PF</v>
      </c>
      <c r="E306" t="str">
        <f>PasteBBM!J306</f>
        <v>TOR</v>
      </c>
      <c r="F306">
        <f>PasteBBM!U306</f>
        <v>49</v>
      </c>
      <c r="G306">
        <f>PasteBBM!X306</f>
        <v>14</v>
      </c>
      <c r="H306">
        <f>PasteBBM!AE306*PasteBBM!AF306</f>
        <v>2.296940187</v>
      </c>
      <c r="I306">
        <f>PasteBBM!AE306</f>
        <v>0.490158</v>
      </c>
      <c r="J306">
        <f>PasteBBM!AG306*PasteBBM!AH306</f>
        <v>0.5832657915</v>
      </c>
      <c r="K306">
        <f>PasteBBM!AG306</f>
        <v>0.73207</v>
      </c>
      <c r="L306">
        <f>PasteBBM!Z306</f>
        <v>0.792245</v>
      </c>
      <c r="M306">
        <f>PasteBBM!Y306</f>
        <v>5.969388</v>
      </c>
      <c r="N306">
        <f>PasteBBM!AA306</f>
        <v>3.815306</v>
      </c>
      <c r="O306">
        <f>PasteBBM!AB306</f>
        <v>0.991429</v>
      </c>
      <c r="P306">
        <f>PasteBBM!AC306</f>
        <v>0.361429</v>
      </c>
      <c r="Q306">
        <f>PasteBBM!AD306</f>
        <v>0.36</v>
      </c>
      <c r="R306">
        <f>PasteBBM!AI306</f>
        <v>0.480612</v>
      </c>
      <c r="S306">
        <f>PasteBBM!AE306</f>
        <v>0.490158</v>
      </c>
      <c r="T306">
        <f>PasteBBM!AG306</f>
        <v>0.73207</v>
      </c>
      <c r="V306" s="44">
        <v>-0.41709</v>
      </c>
      <c r="W306" s="44">
        <v>-0.00658</v>
      </c>
      <c r="X306" s="44">
        <v>0.009207</v>
      </c>
      <c r="Y306" s="44">
        <v>-0.4263</v>
      </c>
      <c r="Z306" s="44">
        <v>-0.34564</v>
      </c>
      <c r="AA306" s="45"/>
      <c r="AB306" s="46" t="s">
        <v>126</v>
      </c>
      <c r="AC306" s="44">
        <v>67.0</v>
      </c>
    </row>
    <row r="307">
      <c r="A307" s="2">
        <v>306.0</v>
      </c>
      <c r="B307" s="14">
        <f>IF(PasteBBM!B307="",156,PasteBBM!B307)</f>
        <v>156</v>
      </c>
      <c r="C307" t="str">
        <f>PasteBBM!I307</f>
        <v>Simone Fontecchio</v>
      </c>
      <c r="D307" t="str">
        <f>IFERROR(REPLACE(PasteBBM!K307,FIND("/",PasteBBM!K307,1),1,","),PasteBBM!K307)</f>
        <v>SF</v>
      </c>
      <c r="E307" t="str">
        <f>PasteBBM!J307</f>
        <v>MIA</v>
      </c>
      <c r="F307">
        <f>PasteBBM!U307</f>
        <v>71</v>
      </c>
      <c r="G307">
        <f>PasteBBM!X307</f>
        <v>20</v>
      </c>
      <c r="H307">
        <f>PasteBBM!AE307*PasteBBM!AF307</f>
        <v>2.366337875</v>
      </c>
      <c r="I307">
        <f>PasteBBM!AE307</f>
        <v>0.432447</v>
      </c>
      <c r="J307">
        <f>PasteBBM!AG307*PasteBBM!AH307</f>
        <v>0.8553521811</v>
      </c>
      <c r="K307">
        <f>PasteBBM!AG307</f>
        <v>0.831007</v>
      </c>
      <c r="L307">
        <f>PasteBBM!Z307</f>
        <v>1.17831</v>
      </c>
      <c r="M307">
        <f>PasteBBM!Y307</f>
        <v>6.766338</v>
      </c>
      <c r="N307">
        <f>PasteBBM!AA307</f>
        <v>3.26662</v>
      </c>
      <c r="O307">
        <f>PasteBBM!AB307</f>
        <v>1.08493</v>
      </c>
      <c r="P307">
        <f>PasteBBM!AC307</f>
        <v>0.527746</v>
      </c>
      <c r="Q307">
        <f>PasteBBM!AD307</f>
        <v>0.204789</v>
      </c>
      <c r="R307">
        <f>PasteBBM!AI307</f>
        <v>0.819014</v>
      </c>
      <c r="S307">
        <f>PasteBBM!AE307</f>
        <v>0.432447</v>
      </c>
      <c r="T307">
        <f>PasteBBM!AG307</f>
        <v>0.831007</v>
      </c>
      <c r="V307" s="44">
        <v>-0.41709</v>
      </c>
      <c r="W307" s="44">
        <v>-0.00658</v>
      </c>
      <c r="X307" s="44">
        <v>0.009207</v>
      </c>
      <c r="Y307" s="44">
        <v>-0.4263</v>
      </c>
      <c r="Z307" s="44">
        <v>-0.34564</v>
      </c>
      <c r="AA307" s="45"/>
      <c r="AB307" s="46" t="s">
        <v>126</v>
      </c>
      <c r="AC307" s="44">
        <v>67.0</v>
      </c>
    </row>
    <row r="308">
      <c r="A308" s="2">
        <v>307.0</v>
      </c>
      <c r="B308" s="14">
        <f>IF(PasteBBM!B308="",156,PasteBBM!B308)</f>
        <v>156</v>
      </c>
      <c r="C308" t="str">
        <f>PasteBBM!I308</f>
        <v>Kyle Anderson</v>
      </c>
      <c r="D308" t="str">
        <f>IFERROR(REPLACE(PasteBBM!K308,FIND("/",PasteBBM!K308,1),1,","),PasteBBM!K308)</f>
        <v>SF,PF</v>
      </c>
      <c r="E308" t="str">
        <f>PasteBBM!J308</f>
        <v>UTA</v>
      </c>
      <c r="F308">
        <f>PasteBBM!U308</f>
        <v>43</v>
      </c>
      <c r="G308">
        <f>PasteBBM!X308</f>
        <v>14</v>
      </c>
      <c r="H308">
        <f>PasteBBM!AE308*PasteBBM!AF308</f>
        <v>2.221161619</v>
      </c>
      <c r="I308">
        <f>PasteBBM!AE308</f>
        <v>0.486328</v>
      </c>
      <c r="J308">
        <f>PasteBBM!AG308*PasteBBM!AH308</f>
        <v>0.7630233551</v>
      </c>
      <c r="K308">
        <f>PasteBBM!AG308</f>
        <v>0.760019</v>
      </c>
      <c r="L308">
        <f>PasteBBM!Z308</f>
        <v>0.205116</v>
      </c>
      <c r="M308">
        <f>PasteBBM!Y308</f>
        <v>5.410465</v>
      </c>
      <c r="N308">
        <f>PasteBBM!AA308</f>
        <v>2.703721</v>
      </c>
      <c r="O308">
        <f>PasteBBM!AB308</f>
        <v>2.403256</v>
      </c>
      <c r="P308">
        <f>PasteBBM!AC308</f>
        <v>0.480698</v>
      </c>
      <c r="Q308">
        <f>PasteBBM!AD308</f>
        <v>0.457442</v>
      </c>
      <c r="R308">
        <f>PasteBBM!AI308</f>
        <v>0.66093</v>
      </c>
      <c r="S308">
        <f>PasteBBM!AE308</f>
        <v>0.486328</v>
      </c>
      <c r="T308">
        <f>PasteBBM!AG308</f>
        <v>0.760019</v>
      </c>
      <c r="V308" s="44">
        <v>-0.41709</v>
      </c>
      <c r="W308" s="44">
        <v>-0.00658</v>
      </c>
      <c r="X308" s="44">
        <v>0.009207</v>
      </c>
      <c r="Y308" s="44">
        <v>-0.4263</v>
      </c>
      <c r="Z308" s="44">
        <v>-0.34564</v>
      </c>
      <c r="AA308" s="45"/>
      <c r="AB308" s="46" t="s">
        <v>126</v>
      </c>
      <c r="AC308" s="44">
        <v>67.0</v>
      </c>
    </row>
    <row r="309">
      <c r="A309" s="2">
        <v>308.0</v>
      </c>
      <c r="B309" s="14">
        <f>IF(PasteBBM!B309="",156,PasteBBM!B309)</f>
        <v>156</v>
      </c>
      <c r="C309" t="str">
        <f>PasteBBM!I309</f>
        <v>Dante Exum</v>
      </c>
      <c r="D309" t="str">
        <f>IFERROR(REPLACE(PasteBBM!K309,FIND("/",PasteBBM!K309,1),1,","),PasteBBM!K309)</f>
        <v>PG</v>
      </c>
      <c r="E309" t="str">
        <f>PasteBBM!J309</f>
        <v>DAL</v>
      </c>
      <c r="F309">
        <f>PasteBBM!U309</f>
        <v>50</v>
      </c>
      <c r="G309">
        <f>PasteBBM!X309</f>
        <v>20</v>
      </c>
      <c r="H309">
        <f>PasteBBM!AE309*PasteBBM!AF309</f>
        <v>2.757202431</v>
      </c>
      <c r="I309">
        <f>PasteBBM!AE309</f>
        <v>0.471365</v>
      </c>
      <c r="J309">
        <f>PasteBBM!AG309*PasteBBM!AH309</f>
        <v>0.8892</v>
      </c>
      <c r="K309">
        <f>PasteBBM!AG309</f>
        <v>0.76</v>
      </c>
      <c r="L309">
        <f>PasteBBM!Z309</f>
        <v>0.9148</v>
      </c>
      <c r="M309">
        <f>PasteBBM!Y309</f>
        <v>7.3184</v>
      </c>
      <c r="N309">
        <f>PasteBBM!AA309</f>
        <v>1.8938</v>
      </c>
      <c r="O309">
        <f>PasteBBM!AB309</f>
        <v>2.525</v>
      </c>
      <c r="P309">
        <f>PasteBBM!AC309</f>
        <v>0.5892</v>
      </c>
      <c r="Q309">
        <f>PasteBBM!AD309</f>
        <v>0.1684</v>
      </c>
      <c r="R309">
        <f>PasteBBM!AI309</f>
        <v>1.0108</v>
      </c>
      <c r="S309">
        <f>PasteBBM!AE309</f>
        <v>0.471365</v>
      </c>
      <c r="T309">
        <f>PasteBBM!AG309</f>
        <v>0.76</v>
      </c>
      <c r="V309" s="44">
        <v>-0.41709</v>
      </c>
      <c r="W309" s="44">
        <v>-0.00658</v>
      </c>
      <c r="X309" s="44">
        <v>0.009207</v>
      </c>
      <c r="Y309" s="44">
        <v>-0.4263</v>
      </c>
      <c r="Z309" s="44">
        <v>-0.34564</v>
      </c>
      <c r="AA309" s="45"/>
      <c r="AB309" s="46" t="s">
        <v>126</v>
      </c>
      <c r="AC309" s="44">
        <v>67.0</v>
      </c>
    </row>
    <row r="310">
      <c r="A310" s="2">
        <v>309.0</v>
      </c>
      <c r="B310" s="14">
        <f>IF(PasteBBM!B310="",156,PasteBBM!B310)</f>
        <v>156</v>
      </c>
      <c r="C310" t="str">
        <f>PasteBBM!I310</f>
        <v>Nick Richards</v>
      </c>
      <c r="D310" t="str">
        <f>IFERROR(REPLACE(PasteBBM!K310,FIND("/",PasteBBM!K310,1),1,","),PasteBBM!K310)</f>
        <v>C</v>
      </c>
      <c r="E310" t="str">
        <f>PasteBBM!J310</f>
        <v>PHO</v>
      </c>
      <c r="F310">
        <f>PasteBBM!U310</f>
        <v>43</v>
      </c>
      <c r="G310">
        <f>PasteBBM!X310</f>
        <v>16</v>
      </c>
      <c r="H310">
        <f>PasteBBM!AE310*PasteBBM!AF310</f>
        <v>2.526277767</v>
      </c>
      <c r="I310">
        <f>PasteBBM!AE310</f>
        <v>0.607584</v>
      </c>
      <c r="J310">
        <f>PasteBBM!AG310*PasteBBM!AH310</f>
        <v>1.206046727</v>
      </c>
      <c r="K310">
        <f>PasteBBM!AG310</f>
        <v>0.783976</v>
      </c>
      <c r="L310">
        <f>PasteBBM!Z310</f>
        <v>0.010465</v>
      </c>
      <c r="M310">
        <f>PasteBBM!Y310</f>
        <v>6.26907</v>
      </c>
      <c r="N310">
        <f>PasteBBM!AA310</f>
        <v>5.445116</v>
      </c>
      <c r="O310">
        <f>PasteBBM!AB310</f>
        <v>0.51093</v>
      </c>
      <c r="P310">
        <f>PasteBBM!AC310</f>
        <v>0.159302</v>
      </c>
      <c r="Q310">
        <f>PasteBBM!AD310</f>
        <v>0.640233</v>
      </c>
      <c r="R310">
        <f>PasteBBM!AI310</f>
        <v>1.007907</v>
      </c>
      <c r="S310">
        <f>PasteBBM!AE310</f>
        <v>0.607584</v>
      </c>
      <c r="T310">
        <f>PasteBBM!AG310</f>
        <v>0.783976</v>
      </c>
      <c r="V310" s="44">
        <v>-0.41709</v>
      </c>
      <c r="W310" s="44">
        <v>-0.00658</v>
      </c>
      <c r="X310" s="44">
        <v>0.009207</v>
      </c>
      <c r="Y310" s="44">
        <v>-0.4263</v>
      </c>
      <c r="Z310" s="44">
        <v>-0.34564</v>
      </c>
      <c r="AA310" s="45"/>
      <c r="AB310" s="46" t="s">
        <v>126</v>
      </c>
      <c r="AC310" s="44">
        <v>67.0</v>
      </c>
    </row>
    <row r="311">
      <c r="A311" s="2">
        <v>310.0</v>
      </c>
      <c r="B311" s="14">
        <f>IF(PasteBBM!B311="",156,PasteBBM!B311)</f>
        <v>156</v>
      </c>
      <c r="C311" t="str">
        <f>PasteBBM!I311</f>
        <v>Julian Strawther</v>
      </c>
      <c r="D311" t="str">
        <f>IFERROR(REPLACE(PasteBBM!K311,FIND("/",PasteBBM!K311,1),1,","),PasteBBM!K311)</f>
        <v>SG,SF</v>
      </c>
      <c r="E311" t="str">
        <f>PasteBBM!J311</f>
        <v>DEN</v>
      </c>
      <c r="F311">
        <f>PasteBBM!U311</f>
        <v>66</v>
      </c>
      <c r="G311">
        <f>PasteBBM!X311</f>
        <v>19</v>
      </c>
      <c r="H311">
        <f>PasteBBM!AE311*PasteBBM!AF311</f>
        <v>2.941969504</v>
      </c>
      <c r="I311">
        <f>PasteBBM!AE311</f>
        <v>0.43804</v>
      </c>
      <c r="J311">
        <f>PasteBBM!AG311*PasteBBM!AH311</f>
        <v>1.097575601</v>
      </c>
      <c r="K311">
        <f>PasteBBM!AG311</f>
        <v>0.817054</v>
      </c>
      <c r="L311">
        <f>PasteBBM!Z311</f>
        <v>1.470909</v>
      </c>
      <c r="M311">
        <f>PasteBBM!Y311</f>
        <v>8.452424</v>
      </c>
      <c r="N311">
        <f>PasteBBM!AA311</f>
        <v>1.958939</v>
      </c>
      <c r="O311">
        <f>PasteBBM!AB311</f>
        <v>1.180152</v>
      </c>
      <c r="P311">
        <f>PasteBBM!AC311</f>
        <v>0.476818</v>
      </c>
      <c r="Q311">
        <f>PasteBBM!AD311</f>
        <v>0.200606</v>
      </c>
      <c r="R311">
        <f>PasteBBM!AI311</f>
        <v>0.802121</v>
      </c>
      <c r="S311">
        <f>PasteBBM!AE311</f>
        <v>0.43804</v>
      </c>
      <c r="T311">
        <f>PasteBBM!AG311</f>
        <v>0.817054</v>
      </c>
      <c r="V311" s="44">
        <v>-0.41709</v>
      </c>
      <c r="W311" s="44">
        <v>-0.00658</v>
      </c>
      <c r="X311" s="44">
        <v>0.009207</v>
      </c>
      <c r="Y311" s="44">
        <v>-0.4263</v>
      </c>
      <c r="Z311" s="44">
        <v>-0.34564</v>
      </c>
      <c r="AA311" s="45"/>
      <c r="AB311" s="46" t="s">
        <v>126</v>
      </c>
      <c r="AC311" s="44">
        <v>67.0</v>
      </c>
    </row>
    <row r="312">
      <c r="A312" s="2">
        <v>311.0</v>
      </c>
      <c r="B312" s="14">
        <f>IF(PasteBBM!B312="",156,PasteBBM!B312)</f>
        <v>147.4286</v>
      </c>
      <c r="C312" t="str">
        <f>PasteBBM!I312</f>
        <v>Egor Demin</v>
      </c>
      <c r="D312" t="str">
        <f>IFERROR(REPLACE(PasteBBM!K312,FIND("/",PasteBBM!K312,1),1,","),PasteBBM!K312)</f>
        <v>PG</v>
      </c>
      <c r="E312" t="str">
        <f>PasteBBM!J312</f>
        <v>BKN</v>
      </c>
      <c r="F312">
        <f>PasteBBM!U312</f>
        <v>66</v>
      </c>
      <c r="G312">
        <f>PasteBBM!X312</f>
        <v>26</v>
      </c>
      <c r="H312">
        <f>PasteBBM!AE312*PasteBBM!AF312</f>
        <v>3.396511264</v>
      </c>
      <c r="I312">
        <f>PasteBBM!AE312</f>
        <v>0.381572</v>
      </c>
      <c r="J312">
        <f>PasteBBM!AG312*PasteBBM!AH312</f>
        <v>1.071515431</v>
      </c>
      <c r="K312">
        <f>PasteBBM!AG312</f>
        <v>0.70805</v>
      </c>
      <c r="L312">
        <f>PasteBBM!Z312</f>
        <v>1.363485</v>
      </c>
      <c r="M312">
        <f>PasteBBM!Y312</f>
        <v>9.22803</v>
      </c>
      <c r="N312">
        <f>PasteBBM!AA312</f>
        <v>3.378333</v>
      </c>
      <c r="O312">
        <f>PasteBBM!AB312</f>
        <v>5.14803</v>
      </c>
      <c r="P312">
        <f>PasteBBM!AC312</f>
        <v>0.85803</v>
      </c>
      <c r="Q312">
        <f>PasteBBM!AD312</f>
        <v>0.268182</v>
      </c>
      <c r="R312">
        <f>PasteBBM!AI312</f>
        <v>2.681212</v>
      </c>
      <c r="S312">
        <f>PasteBBM!AE312</f>
        <v>0.381572</v>
      </c>
      <c r="T312">
        <f>PasteBBM!AG312</f>
        <v>0.70805</v>
      </c>
      <c r="V312" s="44">
        <v>-0.41709</v>
      </c>
      <c r="W312" s="44">
        <v>-0.00658</v>
      </c>
      <c r="X312" s="44">
        <v>0.009207</v>
      </c>
      <c r="Y312" s="44">
        <v>-0.4263</v>
      </c>
      <c r="Z312" s="44">
        <v>-0.34564</v>
      </c>
      <c r="AA312" s="45"/>
      <c r="AB312" s="46" t="s">
        <v>126</v>
      </c>
      <c r="AC312" s="44">
        <v>67.0</v>
      </c>
    </row>
    <row r="313">
      <c r="A313" s="2">
        <v>312.0</v>
      </c>
      <c r="B313" s="14">
        <f>IF(PasteBBM!B313="",156,PasteBBM!B313)</f>
        <v>156</v>
      </c>
      <c r="C313" t="str">
        <f>PasteBBM!I313</f>
        <v>Andre Drummond</v>
      </c>
      <c r="D313" t="str">
        <f>IFERROR(REPLACE(PasteBBM!K313,FIND("/",PasteBBM!K313,1),1,","),PasteBBM!K313)</f>
        <v>C</v>
      </c>
      <c r="E313" t="str">
        <f>PasteBBM!J313</f>
        <v>PHI</v>
      </c>
      <c r="F313">
        <f>PasteBBM!U313</f>
        <v>43</v>
      </c>
      <c r="G313">
        <f>PasteBBM!X313</f>
        <v>15</v>
      </c>
      <c r="H313">
        <f>PasteBBM!AE313*PasteBBM!AF313</f>
        <v>2.244652058</v>
      </c>
      <c r="I313">
        <f>PasteBBM!AE313</f>
        <v>0.495381</v>
      </c>
      <c r="J313">
        <f>PasteBBM!AG313*PasteBBM!AH313</f>
        <v>1.077906684</v>
      </c>
      <c r="K313">
        <f>PasteBBM!AG313</f>
        <v>0.642946</v>
      </c>
      <c r="L313">
        <f>PasteBBM!Z313</f>
        <v>0.072558</v>
      </c>
      <c r="M313">
        <f>PasteBBM!Y313</f>
        <v>5.639767</v>
      </c>
      <c r="N313">
        <f>PasteBBM!AA313</f>
        <v>6.25</v>
      </c>
      <c r="O313">
        <f>PasteBBM!AB313</f>
        <v>0.519535</v>
      </c>
      <c r="P313">
        <f>PasteBBM!AC313</f>
        <v>0.656279</v>
      </c>
      <c r="Q313">
        <f>PasteBBM!AD313</f>
        <v>0.439535</v>
      </c>
      <c r="R313">
        <f>PasteBBM!AI313</f>
        <v>1.004186</v>
      </c>
      <c r="S313">
        <f>PasteBBM!AE313</f>
        <v>0.495381</v>
      </c>
      <c r="T313">
        <f>PasteBBM!AG313</f>
        <v>0.642946</v>
      </c>
      <c r="V313" s="44">
        <v>-0.41709</v>
      </c>
      <c r="W313" s="44">
        <v>-0.00658</v>
      </c>
      <c r="X313" s="44">
        <v>0.009207</v>
      </c>
      <c r="Y313" s="44">
        <v>-0.4263</v>
      </c>
      <c r="Z313" s="44">
        <v>-0.34564</v>
      </c>
      <c r="AA313" s="45"/>
      <c r="AB313" s="46" t="s">
        <v>126</v>
      </c>
      <c r="AC313" s="44">
        <v>67.0</v>
      </c>
    </row>
    <row r="314">
      <c r="A314" s="2">
        <v>313.0</v>
      </c>
      <c r="B314" s="14">
        <f>IF(PasteBBM!B314="",156,PasteBBM!B314)</f>
        <v>156</v>
      </c>
      <c r="C314" t="str">
        <f>PasteBBM!I314</f>
        <v>Corey Kispert</v>
      </c>
      <c r="D314" t="str">
        <f>IFERROR(REPLACE(PasteBBM!K314,FIND("/",PasteBBM!K314,1),1,","),PasteBBM!K314)</f>
        <v>SF,PF</v>
      </c>
      <c r="E314" t="str">
        <f>PasteBBM!J314</f>
        <v>WAS</v>
      </c>
      <c r="F314">
        <f>PasteBBM!U314</f>
        <v>58</v>
      </c>
      <c r="G314">
        <f>PasteBBM!X314</f>
        <v>21</v>
      </c>
      <c r="H314">
        <f>PasteBBM!AE314*PasteBBM!AF314</f>
        <v>2.976722267</v>
      </c>
      <c r="I314">
        <f>PasteBBM!AE314</f>
        <v>0.468508</v>
      </c>
      <c r="J314">
        <f>PasteBBM!AG314*PasteBBM!AH314</f>
        <v>1.043275881</v>
      </c>
      <c r="K314">
        <f>PasteBBM!AG314</f>
        <v>0.821031</v>
      </c>
      <c r="L314">
        <f>PasteBBM!Z314</f>
        <v>1.460172</v>
      </c>
      <c r="M314">
        <f>PasteBBM!Y314</f>
        <v>8.456897</v>
      </c>
      <c r="N314">
        <f>PasteBBM!AA314</f>
        <v>2.253103</v>
      </c>
      <c r="O314">
        <f>PasteBBM!AB314</f>
        <v>1.330172</v>
      </c>
      <c r="P314">
        <f>PasteBBM!AC314</f>
        <v>0.30569</v>
      </c>
      <c r="Q314">
        <f>PasteBBM!AD314</f>
        <v>0.183793</v>
      </c>
      <c r="R314">
        <f>PasteBBM!AI314</f>
        <v>0.824828</v>
      </c>
      <c r="S314">
        <f>PasteBBM!AE314</f>
        <v>0.468508</v>
      </c>
      <c r="T314">
        <f>PasteBBM!AG314</f>
        <v>0.821031</v>
      </c>
      <c r="V314" s="44">
        <v>-0.41709</v>
      </c>
      <c r="W314" s="44">
        <v>-0.00658</v>
      </c>
      <c r="X314" s="44">
        <v>0.009207</v>
      </c>
      <c r="Y314" s="44">
        <v>-0.4263</v>
      </c>
      <c r="Z314" s="44">
        <v>-0.34564</v>
      </c>
      <c r="AA314" s="45"/>
      <c r="AB314" s="46" t="s">
        <v>126</v>
      </c>
      <c r="AC314" s="44">
        <v>67.0</v>
      </c>
    </row>
    <row r="315">
      <c r="A315" s="2">
        <v>314.0</v>
      </c>
      <c r="B315" s="14">
        <f>IF(PasteBBM!B315="",156,PasteBBM!B315)</f>
        <v>156</v>
      </c>
      <c r="C315" t="str">
        <f>PasteBBM!I315</f>
        <v>Javonte Green</v>
      </c>
      <c r="D315" t="str">
        <f>IFERROR(REPLACE(PasteBBM!K315,FIND("/",PasteBBM!K315,1),1,","),PasteBBM!K315)</f>
        <v>SG,SF</v>
      </c>
      <c r="E315" t="str">
        <f>PasteBBM!J315</f>
        <v>DET</v>
      </c>
      <c r="F315">
        <f>PasteBBM!U315</f>
        <v>75</v>
      </c>
      <c r="G315">
        <f>PasteBBM!X315</f>
        <v>14</v>
      </c>
      <c r="H315">
        <f>PasteBBM!AE315*PasteBBM!AF315</f>
        <v>1.653066632</v>
      </c>
      <c r="I315">
        <f>PasteBBM!AE315</f>
        <v>0.492238</v>
      </c>
      <c r="J315">
        <f>PasteBBM!AG315*PasteBBM!AH315</f>
        <v>0.486933506</v>
      </c>
      <c r="K315">
        <f>PasteBBM!AG315</f>
        <v>0.725035</v>
      </c>
      <c r="L315">
        <f>PasteBBM!Z315</f>
        <v>0.477733</v>
      </c>
      <c r="M315">
        <f>PasteBBM!Y315</f>
        <v>4.2708</v>
      </c>
      <c r="N315">
        <f>PasteBBM!AA315</f>
        <v>2.828</v>
      </c>
      <c r="O315">
        <f>PasteBBM!AB315</f>
        <v>0.579467</v>
      </c>
      <c r="P315">
        <f>PasteBBM!AC315</f>
        <v>0.690667</v>
      </c>
      <c r="Q315">
        <f>PasteBBM!AD315</f>
        <v>0.265067</v>
      </c>
      <c r="R315">
        <f>PasteBBM!AI315</f>
        <v>0.387333</v>
      </c>
      <c r="S315">
        <f>PasteBBM!AE315</f>
        <v>0.492238</v>
      </c>
      <c r="T315">
        <f>PasteBBM!AG315</f>
        <v>0.725035</v>
      </c>
      <c r="V315" s="44">
        <v>-0.41709</v>
      </c>
      <c r="W315" s="44">
        <v>-0.00658</v>
      </c>
      <c r="X315" s="44">
        <v>0.009207</v>
      </c>
      <c r="Y315" s="44">
        <v>-0.4263</v>
      </c>
      <c r="Z315" s="44">
        <v>-0.34564</v>
      </c>
      <c r="AA315" s="45"/>
      <c r="AB315" s="46" t="s">
        <v>126</v>
      </c>
      <c r="AC315" s="44">
        <v>67.0</v>
      </c>
    </row>
    <row r="316">
      <c r="A316" s="2">
        <v>315.0</v>
      </c>
      <c r="B316" s="14">
        <f>IF(PasteBBM!B316="",156,PasteBBM!B316)</f>
        <v>156</v>
      </c>
      <c r="C316" t="str">
        <f>PasteBBM!I316</f>
        <v>Mason Plumlee</v>
      </c>
      <c r="D316" t="str">
        <f>IFERROR(REPLACE(PasteBBM!K316,FIND("/",PasteBBM!K316,1),1,","),PasteBBM!K316)</f>
        <v>C</v>
      </c>
      <c r="E316" t="str">
        <f>PasteBBM!J316</f>
        <v>CHA</v>
      </c>
      <c r="F316">
        <f>PasteBBM!U316</f>
        <v>54</v>
      </c>
      <c r="G316">
        <f>PasteBBM!X316</f>
        <v>15</v>
      </c>
      <c r="H316">
        <f>PasteBBM!AE316*PasteBBM!AF316</f>
        <v>1.64277851</v>
      </c>
      <c r="I316">
        <f>PasteBBM!AE316</f>
        <v>0.649082</v>
      </c>
      <c r="J316">
        <f>PasteBBM!AG316*PasteBBM!AH316</f>
        <v>1.170555296</v>
      </c>
      <c r="K316">
        <f>PasteBBM!AG316</f>
        <v>0.680043</v>
      </c>
      <c r="L316">
        <f>PasteBBM!Z316</f>
        <v>0.002593</v>
      </c>
      <c r="M316">
        <f>PasteBBM!Y316</f>
        <v>4.458704</v>
      </c>
      <c r="N316">
        <f>PasteBBM!AA316</f>
        <v>5.281296</v>
      </c>
      <c r="O316">
        <f>PasteBBM!AB316</f>
        <v>1.625</v>
      </c>
      <c r="P316">
        <f>PasteBBM!AC316</f>
        <v>0.374815</v>
      </c>
      <c r="Q316">
        <f>PasteBBM!AD316</f>
        <v>0.437407</v>
      </c>
      <c r="R316">
        <f>PasteBBM!AI316</f>
        <v>0.843704</v>
      </c>
      <c r="S316">
        <f>PasteBBM!AE316</f>
        <v>0.649082</v>
      </c>
      <c r="T316">
        <f>PasteBBM!AG316</f>
        <v>0.680043</v>
      </c>
      <c r="V316" s="44">
        <v>-0.41709</v>
      </c>
      <c r="W316" s="44">
        <v>-0.00658</v>
      </c>
      <c r="X316" s="44">
        <v>0.009207</v>
      </c>
      <c r="Y316" s="44">
        <v>-0.4263</v>
      </c>
      <c r="Z316" s="44">
        <v>-0.34564</v>
      </c>
      <c r="AA316" s="45"/>
      <c r="AB316" s="46" t="s">
        <v>126</v>
      </c>
      <c r="AC316" s="44">
        <v>67.0</v>
      </c>
    </row>
    <row r="317">
      <c r="A317" s="2">
        <v>316.0</v>
      </c>
      <c r="B317" s="14">
        <f>IF(PasteBBM!B317="",156,PasteBBM!B317)</f>
        <v>138.8627</v>
      </c>
      <c r="C317" t="str">
        <f>PasteBBM!I317</f>
        <v>Kyle Kuzma</v>
      </c>
      <c r="D317" t="str">
        <f>IFERROR(REPLACE(PasteBBM!K317,FIND("/",PasteBBM!K317,1),1,","),PasteBBM!K317)</f>
        <v>SF,PF</v>
      </c>
      <c r="E317" t="str">
        <f>PasteBBM!J317</f>
        <v>MIL</v>
      </c>
      <c r="F317">
        <f>PasteBBM!U317</f>
        <v>66</v>
      </c>
      <c r="G317">
        <f>PasteBBM!X317</f>
        <v>29</v>
      </c>
      <c r="H317">
        <f>PasteBBM!AE317*PasteBBM!AF317</f>
        <v>5.54954764</v>
      </c>
      <c r="I317">
        <f>PasteBBM!AE317</f>
        <v>0.464009</v>
      </c>
      <c r="J317">
        <f>PasteBBM!AG317*PasteBBM!AH317</f>
        <v>2.047425149</v>
      </c>
      <c r="K317">
        <f>PasteBBM!AG317</f>
        <v>0.675009</v>
      </c>
      <c r="L317">
        <f>PasteBBM!Z317</f>
        <v>1.499848</v>
      </c>
      <c r="M317">
        <f>PasteBBM!Y317</f>
        <v>14.64636</v>
      </c>
      <c r="N317">
        <f>PasteBBM!AA317</f>
        <v>4.027424</v>
      </c>
      <c r="O317">
        <f>PasteBBM!AB317</f>
        <v>2.684848</v>
      </c>
      <c r="P317">
        <f>PasteBBM!AC317</f>
        <v>0.492576</v>
      </c>
      <c r="Q317">
        <f>PasteBBM!AD317</f>
        <v>0.427121</v>
      </c>
      <c r="R317">
        <f>PasteBBM!AI317</f>
        <v>2.440909</v>
      </c>
      <c r="S317">
        <f>PasteBBM!AE317</f>
        <v>0.464009</v>
      </c>
      <c r="T317">
        <f>PasteBBM!AG317</f>
        <v>0.675009</v>
      </c>
      <c r="V317" s="44">
        <v>-0.41709</v>
      </c>
      <c r="W317" s="44">
        <v>-0.00658</v>
      </c>
      <c r="X317" s="44">
        <v>0.009207</v>
      </c>
      <c r="Y317" s="44">
        <v>-0.4263</v>
      </c>
      <c r="Z317" s="44">
        <v>-0.34564</v>
      </c>
      <c r="AA317" s="45"/>
      <c r="AB317" s="46" t="s">
        <v>126</v>
      </c>
      <c r="AC317" s="44">
        <v>67.0</v>
      </c>
    </row>
    <row r="318">
      <c r="A318" s="2">
        <v>317.0</v>
      </c>
      <c r="B318" s="14">
        <f>IF(PasteBBM!B318="",156,PasteBBM!B318)</f>
        <v>156</v>
      </c>
      <c r="C318" t="str">
        <f>PasteBBM!I318</f>
        <v>Jordan Goodwin</v>
      </c>
      <c r="D318" t="str">
        <f>IFERROR(REPLACE(PasteBBM!K318,FIND("/",PasteBBM!K318,1),1,","),PasteBBM!K318)</f>
        <v>PG</v>
      </c>
      <c r="E318" t="str">
        <f>PasteBBM!J318</f>
        <v>PHO</v>
      </c>
      <c r="F318">
        <f>PasteBBM!U318</f>
        <v>43</v>
      </c>
      <c r="G318">
        <f>PasteBBM!X318</f>
        <v>14</v>
      </c>
      <c r="H318">
        <f>PasteBBM!AE318*PasteBBM!AF318</f>
        <v>1.790696778</v>
      </c>
      <c r="I318">
        <f>PasteBBM!AE318</f>
        <v>0.42773</v>
      </c>
      <c r="J318">
        <f>PasteBBM!AG318*PasteBBM!AH318</f>
        <v>0.4395347272</v>
      </c>
      <c r="K318">
        <f>PasteBBM!AG318</f>
        <v>0.780025</v>
      </c>
      <c r="L318">
        <f>PasteBBM!Z318</f>
        <v>0.604884</v>
      </c>
      <c r="M318">
        <f>PasteBBM!Y318</f>
        <v>4.625814</v>
      </c>
      <c r="N318">
        <f>PasteBBM!AA318</f>
        <v>2.598837</v>
      </c>
      <c r="O318">
        <f>PasteBBM!AB318</f>
        <v>2.165581</v>
      </c>
      <c r="P318">
        <f>PasteBBM!AC318</f>
        <v>0.677209</v>
      </c>
      <c r="Q318">
        <f>PasteBBM!AD318</f>
        <v>0.263488</v>
      </c>
      <c r="R318">
        <f>PasteBBM!AI318</f>
        <v>0.837442</v>
      </c>
      <c r="S318">
        <f>PasteBBM!AE318</f>
        <v>0.42773</v>
      </c>
      <c r="T318">
        <f>PasteBBM!AG318</f>
        <v>0.780025</v>
      </c>
      <c r="V318" s="44">
        <v>-0.41709</v>
      </c>
      <c r="W318" s="44">
        <v>-0.00658</v>
      </c>
      <c r="X318" s="44">
        <v>0.009207</v>
      </c>
      <c r="Y318" s="44">
        <v>-0.4263</v>
      </c>
      <c r="Z318" s="44">
        <v>-0.34564</v>
      </c>
      <c r="AA318" s="45"/>
      <c r="AB318" s="46" t="s">
        <v>126</v>
      </c>
      <c r="AC318" s="44">
        <v>67.0</v>
      </c>
    </row>
    <row r="319">
      <c r="A319" s="2">
        <v>318.0</v>
      </c>
      <c r="B319" s="14">
        <f>IF(PasteBBM!B319="",156,PasteBBM!B319)</f>
        <v>156</v>
      </c>
      <c r="C319" t="str">
        <f>PasteBBM!I319</f>
        <v>Jonathan Mogbo</v>
      </c>
      <c r="D319" t="str">
        <f>IFERROR(REPLACE(PasteBBM!K319,FIND("/",PasteBBM!K319,1),1,","),PasteBBM!K319)</f>
        <v>PF,C</v>
      </c>
      <c r="E319" t="str">
        <f>PasteBBM!J319</f>
        <v>TOR</v>
      </c>
      <c r="F319">
        <f>PasteBBM!U319</f>
        <v>71</v>
      </c>
      <c r="G319">
        <f>PasteBBM!X319</f>
        <v>16</v>
      </c>
      <c r="H319">
        <f>PasteBBM!AE319*PasteBBM!AF319</f>
        <v>1.974788531</v>
      </c>
      <c r="I319">
        <f>PasteBBM!AE319</f>
        <v>0.449391</v>
      </c>
      <c r="J319">
        <f>PasteBBM!AG319*PasteBBM!AH319</f>
        <v>0.555070135</v>
      </c>
      <c r="K319">
        <f>PasteBBM!AG319</f>
        <v>0.743024</v>
      </c>
      <c r="L319">
        <f>PasteBBM!Z319</f>
        <v>0.202113</v>
      </c>
      <c r="M319">
        <f>PasteBBM!Y319</f>
        <v>4.706761</v>
      </c>
      <c r="N319">
        <f>PasteBBM!AA319</f>
        <v>3.879718</v>
      </c>
      <c r="O319">
        <f>PasteBBM!AB319</f>
        <v>1.657042</v>
      </c>
      <c r="P319">
        <f>PasteBBM!AC319</f>
        <v>0.625634</v>
      </c>
      <c r="Q319">
        <f>PasteBBM!AD319</f>
        <v>0.422394</v>
      </c>
      <c r="R319">
        <f>PasteBBM!AI319</f>
        <v>0.911831</v>
      </c>
      <c r="S319">
        <f>PasteBBM!AE319</f>
        <v>0.449391</v>
      </c>
      <c r="T319">
        <f>PasteBBM!AG319</f>
        <v>0.743024</v>
      </c>
      <c r="V319" s="44">
        <v>-0.41709</v>
      </c>
      <c r="W319" s="44">
        <v>-0.00658</v>
      </c>
      <c r="X319" s="44">
        <v>0.009207</v>
      </c>
      <c r="Y319" s="44">
        <v>-0.4263</v>
      </c>
      <c r="Z319" s="44">
        <v>-0.34564</v>
      </c>
      <c r="AA319" s="45"/>
      <c r="AB319" s="46" t="s">
        <v>126</v>
      </c>
      <c r="AC319" s="44">
        <v>67.0</v>
      </c>
    </row>
    <row r="320">
      <c r="A320" s="2">
        <v>319.0</v>
      </c>
      <c r="B320" s="14">
        <f>IF(PasteBBM!B320="",156,PasteBBM!B320)</f>
        <v>156</v>
      </c>
      <c r="C320" t="str">
        <f>PasteBBM!I320</f>
        <v>Georges Niang</v>
      </c>
      <c r="D320" t="str">
        <f>IFERROR(REPLACE(PasteBBM!K320,FIND("/",PasteBBM!K320,1),1,","),PasteBBM!K320)</f>
        <v>PF</v>
      </c>
      <c r="E320" t="str">
        <f>PasteBBM!J320</f>
        <v>UTA</v>
      </c>
      <c r="F320">
        <f>PasteBBM!U320</f>
        <v>46</v>
      </c>
      <c r="G320">
        <f>PasteBBM!X320</f>
        <v>17</v>
      </c>
      <c r="H320">
        <f>PasteBBM!AE320*PasteBBM!AF320</f>
        <v>2.983910376</v>
      </c>
      <c r="I320">
        <f>PasteBBM!AE320</f>
        <v>0.444552</v>
      </c>
      <c r="J320">
        <f>PasteBBM!AG320*PasteBBM!AH320</f>
        <v>0.5604345717</v>
      </c>
      <c r="K320">
        <f>PasteBBM!AG320</f>
        <v>0.801866</v>
      </c>
      <c r="L320">
        <f>PasteBBM!Z320</f>
        <v>1.839348</v>
      </c>
      <c r="M320">
        <f>PasteBBM!Y320</f>
        <v>8.367609</v>
      </c>
      <c r="N320">
        <f>PasteBBM!AA320</f>
        <v>2.480652</v>
      </c>
      <c r="O320">
        <f>PasteBBM!AB320</f>
        <v>1.164783</v>
      </c>
      <c r="P320">
        <f>PasteBBM!AC320</f>
        <v>0.29913</v>
      </c>
      <c r="Q320">
        <f>PasteBBM!AD320</f>
        <v>0.143696</v>
      </c>
      <c r="R320">
        <f>PasteBBM!AI320</f>
        <v>0.828261</v>
      </c>
      <c r="S320">
        <f>PasteBBM!AE320</f>
        <v>0.444552</v>
      </c>
      <c r="T320">
        <f>PasteBBM!AG320</f>
        <v>0.801866</v>
      </c>
      <c r="V320" s="44">
        <v>-0.41709</v>
      </c>
      <c r="W320" s="44">
        <v>-0.00658</v>
      </c>
      <c r="X320" s="44">
        <v>0.009207</v>
      </c>
      <c r="Y320" s="44">
        <v>-0.4263</v>
      </c>
      <c r="Z320" s="44">
        <v>-0.34564</v>
      </c>
      <c r="AA320" s="45"/>
      <c r="AB320" s="46" t="s">
        <v>126</v>
      </c>
      <c r="AC320" s="44">
        <v>67.0</v>
      </c>
    </row>
    <row r="321">
      <c r="A321" s="2">
        <v>320.0</v>
      </c>
      <c r="B321" s="14">
        <f>IF(PasteBBM!B321="",156,PasteBBM!B321)</f>
        <v>156</v>
      </c>
      <c r="C321" t="str">
        <f>PasteBBM!I321</f>
        <v>Jabari Walker</v>
      </c>
      <c r="D321" t="str">
        <f>IFERROR(REPLACE(PasteBBM!K321,FIND("/",PasteBBM!K321,1),1,","),PasteBBM!K321)</f>
        <v>SF,PF/C</v>
      </c>
      <c r="E321" t="str">
        <f>PasteBBM!J321</f>
        <v>PHI</v>
      </c>
      <c r="F321">
        <f>PasteBBM!U321</f>
        <v>46</v>
      </c>
      <c r="G321">
        <f>PasteBBM!X321</f>
        <v>16</v>
      </c>
      <c r="H321">
        <f>PasteBBM!AE321*PasteBBM!AF321</f>
        <v>2.331522401</v>
      </c>
      <c r="I321">
        <f>PasteBBM!AE321</f>
        <v>0.51429</v>
      </c>
      <c r="J321">
        <f>PasteBBM!AG321*PasteBBM!AH321</f>
        <v>1.046956463</v>
      </c>
      <c r="K321">
        <f>PasteBBM!AG321</f>
        <v>0.720958</v>
      </c>
      <c r="L321">
        <f>PasteBBM!Z321</f>
        <v>0.532609</v>
      </c>
      <c r="M321">
        <f>PasteBBM!Y321</f>
        <v>6.242609</v>
      </c>
      <c r="N321">
        <f>PasteBBM!AA321</f>
        <v>4.233261</v>
      </c>
      <c r="O321">
        <f>PasteBBM!AB321</f>
        <v>0.767826</v>
      </c>
      <c r="P321">
        <f>PasteBBM!AC321</f>
        <v>0.500217</v>
      </c>
      <c r="Q321">
        <f>PasteBBM!AD321</f>
        <v>0.133261</v>
      </c>
      <c r="R321">
        <f>PasteBBM!AI321</f>
        <v>0.633261</v>
      </c>
      <c r="S321">
        <f>PasteBBM!AE321</f>
        <v>0.51429</v>
      </c>
      <c r="T321">
        <f>PasteBBM!AG321</f>
        <v>0.720958</v>
      </c>
      <c r="V321" s="44">
        <v>-0.41709</v>
      </c>
      <c r="W321" s="44">
        <v>-0.00658</v>
      </c>
      <c r="X321" s="44">
        <v>0.009207</v>
      </c>
      <c r="Y321" s="44">
        <v>-0.4263</v>
      </c>
      <c r="Z321" s="44">
        <v>-0.34564</v>
      </c>
      <c r="AA321" s="45"/>
      <c r="AB321" s="46" t="s">
        <v>126</v>
      </c>
      <c r="AC321" s="44">
        <v>67.0</v>
      </c>
    </row>
    <row r="322">
      <c r="A322" s="2">
        <v>321.0</v>
      </c>
      <c r="B322" s="14">
        <f>IF(PasteBBM!B322="",156,PasteBBM!B322)</f>
        <v>156</v>
      </c>
      <c r="C322" t="str">
        <f>PasteBBM!I322</f>
        <v>Cedric Coward</v>
      </c>
      <c r="D322" t="str">
        <f>IFERROR(REPLACE(PasteBBM!K322,FIND("/",PasteBBM!K322,1),1,","),PasteBBM!K322)</f>
        <v>SG,SF</v>
      </c>
      <c r="E322" t="str">
        <f>PasteBBM!J322</f>
        <v>MEM</v>
      </c>
      <c r="F322">
        <f>PasteBBM!U322</f>
        <v>71</v>
      </c>
      <c r="G322">
        <f>PasteBBM!X322</f>
        <v>18</v>
      </c>
      <c r="H322">
        <f>PasteBBM!AE322*PasteBBM!AF322</f>
        <v>2.480847407</v>
      </c>
      <c r="I322">
        <f>PasteBBM!AE322</f>
        <v>0.450049</v>
      </c>
      <c r="J322">
        <f>PasteBBM!AG322*PasteBBM!AH322</f>
        <v>0.9653526065</v>
      </c>
      <c r="K322">
        <f>PasteBBM!AG322</f>
        <v>0.795959</v>
      </c>
      <c r="L322">
        <f>PasteBBM!Z322</f>
        <v>0.86493</v>
      </c>
      <c r="M322">
        <f>PasteBBM!Y322</f>
        <v>6.791972</v>
      </c>
      <c r="N322">
        <f>PasteBBM!AA322</f>
        <v>3.819437</v>
      </c>
      <c r="O322">
        <f>PasteBBM!AB322</f>
        <v>1.378169</v>
      </c>
      <c r="P322">
        <f>PasteBBM!AC322</f>
        <v>0.551268</v>
      </c>
      <c r="Q322">
        <f>PasteBBM!AD322</f>
        <v>0.393803</v>
      </c>
      <c r="R322">
        <f>PasteBBM!AI322</f>
        <v>1.456901</v>
      </c>
      <c r="S322">
        <f>PasteBBM!AE322</f>
        <v>0.450049</v>
      </c>
      <c r="T322">
        <f>PasteBBM!AG322</f>
        <v>0.795959</v>
      </c>
      <c r="V322" s="44">
        <v>-0.41709</v>
      </c>
      <c r="W322" s="44">
        <v>-0.00658</v>
      </c>
      <c r="X322" s="44">
        <v>0.009207</v>
      </c>
      <c r="Y322" s="44">
        <v>-0.4263</v>
      </c>
      <c r="Z322" s="44">
        <v>-0.34564</v>
      </c>
      <c r="AA322" s="45"/>
      <c r="AB322" s="46" t="s">
        <v>126</v>
      </c>
      <c r="AC322" s="44">
        <v>67.0</v>
      </c>
    </row>
    <row r="323">
      <c r="A323" s="2">
        <v>322.0</v>
      </c>
      <c r="B323" s="14">
        <f>IF(PasteBBM!B323="",156,PasteBBM!B323)</f>
        <v>156</v>
      </c>
      <c r="C323" t="str">
        <f>PasteBBM!I323</f>
        <v>Quenton Jackson</v>
      </c>
      <c r="D323" t="str">
        <f>IFERROR(REPLACE(PasteBBM!K323,FIND("/",PasteBBM!K323,1),1,","),PasteBBM!K323)</f>
        <v>PG</v>
      </c>
      <c r="E323" t="str">
        <f>PasteBBM!J323</f>
        <v>IND</v>
      </c>
      <c r="F323">
        <f>PasteBBM!U323</f>
        <v>28</v>
      </c>
      <c r="G323">
        <f>PasteBBM!X323</f>
        <v>14</v>
      </c>
      <c r="H323">
        <f>PasteBBM!AE323*PasteBBM!AF323</f>
        <v>2.02714407</v>
      </c>
      <c r="I323">
        <f>PasteBBM!AE323</f>
        <v>0.474741</v>
      </c>
      <c r="J323">
        <f>PasteBBM!AG323*PasteBBM!AH323</f>
        <v>1.255714231</v>
      </c>
      <c r="K323">
        <f>PasteBBM!AG323</f>
        <v>0.778048</v>
      </c>
      <c r="L323">
        <f>PasteBBM!Z323</f>
        <v>0.532143</v>
      </c>
      <c r="M323">
        <f>PasteBBM!Y323</f>
        <v>5.842143</v>
      </c>
      <c r="N323">
        <f>PasteBBM!AA323</f>
        <v>1.505</v>
      </c>
      <c r="O323">
        <f>PasteBBM!AB323</f>
        <v>2.150357</v>
      </c>
      <c r="P323">
        <f>PasteBBM!AC323</f>
        <v>0.653929</v>
      </c>
      <c r="Q323">
        <f>PasteBBM!AD323</f>
        <v>0.155714</v>
      </c>
      <c r="R323">
        <f>PasteBBM!AI323</f>
        <v>0.634643</v>
      </c>
      <c r="S323">
        <f>PasteBBM!AE323</f>
        <v>0.474741</v>
      </c>
      <c r="T323">
        <f>PasteBBM!AG323</f>
        <v>0.778048</v>
      </c>
      <c r="V323" s="44">
        <v>-0.41709</v>
      </c>
      <c r="W323" s="44">
        <v>-0.00658</v>
      </c>
      <c r="X323" s="44">
        <v>0.009207</v>
      </c>
      <c r="Y323" s="44">
        <v>-0.4263</v>
      </c>
      <c r="Z323" s="44">
        <v>-0.34564</v>
      </c>
      <c r="AA323" s="45"/>
      <c r="AB323" s="46" t="s">
        <v>126</v>
      </c>
      <c r="AC323" s="44">
        <v>67.0</v>
      </c>
    </row>
    <row r="324">
      <c r="A324" s="2">
        <v>323.0</v>
      </c>
      <c r="B324" s="14">
        <f>IF(PasteBBM!B324="",156,PasteBBM!B324)</f>
        <v>156</v>
      </c>
      <c r="C324" t="str">
        <f>PasteBBM!I324</f>
        <v>Drew Eubanks</v>
      </c>
      <c r="D324" t="str">
        <f>IFERROR(REPLACE(PasteBBM!K324,FIND("/",PasteBBM!K324,1),1,","),PasteBBM!K324)</f>
        <v>C</v>
      </c>
      <c r="E324" t="str">
        <f>PasteBBM!J324</f>
        <v>SAC</v>
      </c>
      <c r="F324">
        <f>PasteBBM!U324</f>
        <v>43</v>
      </c>
      <c r="G324">
        <f>PasteBBM!X324</f>
        <v>14</v>
      </c>
      <c r="H324">
        <f>PasteBBM!AE324*PasteBBM!AF324</f>
        <v>2.015579975</v>
      </c>
      <c r="I324">
        <f>PasteBBM!AE324</f>
        <v>0.593711</v>
      </c>
      <c r="J324">
        <f>PasteBBM!AG324*PasteBBM!AH324</f>
        <v>0.6472093463</v>
      </c>
      <c r="K324">
        <f>PasteBBM!AG324</f>
        <v>0.705987</v>
      </c>
      <c r="L324">
        <f>PasteBBM!Z324</f>
        <v>0.035349</v>
      </c>
      <c r="M324">
        <f>PasteBBM!Y324</f>
        <v>4.713721</v>
      </c>
      <c r="N324">
        <f>PasteBBM!AA324</f>
        <v>4.017442</v>
      </c>
      <c r="O324">
        <f>PasteBBM!AB324</f>
        <v>0.892093</v>
      </c>
      <c r="P324">
        <f>PasteBBM!AC324</f>
        <v>0.256047</v>
      </c>
      <c r="Q324">
        <f>PasteBBM!AD324</f>
        <v>0.733023</v>
      </c>
      <c r="R324">
        <f>PasteBBM!AI324</f>
        <v>0.676977</v>
      </c>
      <c r="S324">
        <f>PasteBBM!AE324</f>
        <v>0.593711</v>
      </c>
      <c r="T324">
        <f>PasteBBM!AG324</f>
        <v>0.705987</v>
      </c>
      <c r="V324" s="44">
        <v>-0.41709</v>
      </c>
      <c r="W324" s="44">
        <v>-0.00658</v>
      </c>
      <c r="X324" s="44">
        <v>0.009207</v>
      </c>
      <c r="Y324" s="44">
        <v>-0.4263</v>
      </c>
      <c r="Z324" s="44">
        <v>-0.34564</v>
      </c>
      <c r="AA324" s="45"/>
      <c r="AB324" s="46" t="s">
        <v>126</v>
      </c>
      <c r="AC324" s="44">
        <v>67.0</v>
      </c>
    </row>
    <row r="325">
      <c r="A325" s="2">
        <v>324.0</v>
      </c>
      <c r="B325" s="14">
        <f>IF(PasteBBM!B325="",156,PasteBBM!B325)</f>
        <v>156</v>
      </c>
      <c r="C325" t="str">
        <f>PasteBBM!I325</f>
        <v>Precious Achiuwa</v>
      </c>
      <c r="D325" t="str">
        <f>IFERROR(REPLACE(PasteBBM!K325,FIND("/",PasteBBM!K325,1),1,","),PasteBBM!K325)</f>
        <v>PF,C</v>
      </c>
      <c r="E325" t="str">
        <f>PasteBBM!J325</f>
        <v>MIA</v>
      </c>
      <c r="F325">
        <f>PasteBBM!U325</f>
        <v>43</v>
      </c>
      <c r="G325">
        <f>PasteBBM!X325</f>
        <v>15</v>
      </c>
      <c r="H325">
        <f>PasteBBM!AE325*PasteBBM!AF325</f>
        <v>2.383951937</v>
      </c>
      <c r="I325">
        <f>PasteBBM!AE325</f>
        <v>0.512012</v>
      </c>
      <c r="J325">
        <f>PasteBBM!AG325*PasteBBM!AH325</f>
        <v>0.6030230675</v>
      </c>
      <c r="K325">
        <f>PasteBBM!AG325</f>
        <v>0.61694</v>
      </c>
      <c r="L325">
        <f>PasteBBM!Z325</f>
        <v>0.096744</v>
      </c>
      <c r="M325">
        <f>PasteBBM!Y325</f>
        <v>5.467674</v>
      </c>
      <c r="N325">
        <f>PasteBBM!AA325</f>
        <v>4.287442</v>
      </c>
      <c r="O325">
        <f>PasteBBM!AB325</f>
        <v>0.704419</v>
      </c>
      <c r="P325">
        <f>PasteBBM!AC325</f>
        <v>0.49</v>
      </c>
      <c r="Q325">
        <f>PasteBBM!AD325</f>
        <v>0.520698</v>
      </c>
      <c r="R325">
        <f>PasteBBM!AI325</f>
        <v>0.58186</v>
      </c>
      <c r="S325">
        <f>PasteBBM!AE325</f>
        <v>0.512012</v>
      </c>
      <c r="T325">
        <f>PasteBBM!AG325</f>
        <v>0.61694</v>
      </c>
      <c r="V325" s="44">
        <v>-0.41709</v>
      </c>
      <c r="W325" s="44">
        <v>-0.00658</v>
      </c>
      <c r="X325" s="44">
        <v>0.009207</v>
      </c>
      <c r="Y325" s="44">
        <v>-0.4263</v>
      </c>
      <c r="Z325" s="44">
        <v>-0.34564</v>
      </c>
      <c r="AA325" s="45"/>
      <c r="AB325" s="46" t="s">
        <v>126</v>
      </c>
      <c r="AC325" s="44">
        <v>67.0</v>
      </c>
    </row>
    <row r="326">
      <c r="A326" s="2">
        <v>325.0</v>
      </c>
      <c r="B326" s="14">
        <f>IF(PasteBBM!B326="",156,PasteBBM!B326)</f>
        <v>156</v>
      </c>
      <c r="C326" t="str">
        <f>PasteBBM!I326</f>
        <v>Kyle Lowry</v>
      </c>
      <c r="D326" t="str">
        <f>IFERROR(REPLACE(PasteBBM!K326,FIND("/",PasteBBM!K326,1),1,","),PasteBBM!K326)</f>
        <v>PG</v>
      </c>
      <c r="E326" t="str">
        <f>PasteBBM!J326</f>
        <v>PHI</v>
      </c>
      <c r="F326">
        <f>PasteBBM!U326</f>
        <v>38</v>
      </c>
      <c r="G326">
        <f>PasteBBM!X326</f>
        <v>17</v>
      </c>
      <c r="H326">
        <f>PasteBBM!AE326*PasteBBM!AF326</f>
        <v>0.9710523912</v>
      </c>
      <c r="I326">
        <f>PasteBBM!AE326</f>
        <v>0.360739</v>
      </c>
      <c r="J326">
        <f>PasteBBM!AG326*PasteBBM!AH326</f>
        <v>0.4681575998</v>
      </c>
      <c r="K326">
        <f>PasteBBM!AG326</f>
        <v>0.828212</v>
      </c>
      <c r="L326">
        <f>PasteBBM!Z326</f>
        <v>0.687105</v>
      </c>
      <c r="M326">
        <f>PasteBBM!Y326</f>
        <v>3.097368</v>
      </c>
      <c r="N326">
        <f>PasteBBM!AA326</f>
        <v>1.806316</v>
      </c>
      <c r="O326">
        <f>PasteBBM!AB326</f>
        <v>2.55</v>
      </c>
      <c r="P326">
        <f>PasteBBM!AC326</f>
        <v>0.674474</v>
      </c>
      <c r="Q326">
        <f>PasteBBM!AD326</f>
        <v>0.255263</v>
      </c>
      <c r="R326">
        <f>PasteBBM!AI326</f>
        <v>0.602105</v>
      </c>
      <c r="S326">
        <f>PasteBBM!AE326</f>
        <v>0.360739</v>
      </c>
      <c r="T326">
        <f>PasteBBM!AG326</f>
        <v>0.828212</v>
      </c>
      <c r="V326" s="44">
        <v>-0.41709</v>
      </c>
      <c r="W326" s="44">
        <v>-0.00658</v>
      </c>
      <c r="X326" s="44">
        <v>0.009207</v>
      </c>
      <c r="Y326" s="44">
        <v>-0.4263</v>
      </c>
      <c r="Z326" s="44">
        <v>-0.34564</v>
      </c>
      <c r="AA326" s="45"/>
      <c r="AB326" s="46" t="s">
        <v>126</v>
      </c>
      <c r="AC326" s="44">
        <v>67.0</v>
      </c>
    </row>
    <row r="327">
      <c r="A327" s="2">
        <v>326.0</v>
      </c>
      <c r="B327" s="14">
        <f>IF(PasteBBM!B327="",156,PasteBBM!B327)</f>
        <v>156</v>
      </c>
      <c r="C327" t="str">
        <f>PasteBBM!I327</f>
        <v>Kobe Bufkin</v>
      </c>
      <c r="D327" t="str">
        <f>IFERROR(REPLACE(PasteBBM!K327,FIND("/",PasteBBM!K327,1),1,","),PasteBBM!K327)</f>
        <v>SG</v>
      </c>
      <c r="E327" t="str">
        <f>PasteBBM!J327</f>
        <v>BKN</v>
      </c>
      <c r="F327">
        <f>PasteBBM!U327</f>
        <v>66</v>
      </c>
      <c r="G327">
        <f>PasteBBM!X327</f>
        <v>17</v>
      </c>
      <c r="H327">
        <f>PasteBBM!AE327*PasteBBM!AF327</f>
        <v>2.885906529</v>
      </c>
      <c r="I327">
        <f>PasteBBM!AE327</f>
        <v>0.442562</v>
      </c>
      <c r="J327">
        <f>PasteBBM!AG327*PasteBBM!AH327</f>
        <v>1.027120403</v>
      </c>
      <c r="K327">
        <f>PasteBBM!AG327</f>
        <v>0.749972</v>
      </c>
      <c r="L327">
        <f>PasteBBM!Z327</f>
        <v>0.917576</v>
      </c>
      <c r="M327">
        <f>PasteBBM!Y327</f>
        <v>7.716515</v>
      </c>
      <c r="N327">
        <f>PasteBBM!AA327</f>
        <v>2.699848</v>
      </c>
      <c r="O327">
        <f>PasteBBM!AB327</f>
        <v>2.173939</v>
      </c>
      <c r="P327">
        <f>PasteBBM!AC327</f>
        <v>0.490909</v>
      </c>
      <c r="Q327">
        <f>PasteBBM!AD327</f>
        <v>0.289545</v>
      </c>
      <c r="R327">
        <f>PasteBBM!AI327</f>
        <v>1.051818</v>
      </c>
      <c r="S327">
        <f>PasteBBM!AE327</f>
        <v>0.442562</v>
      </c>
      <c r="T327">
        <f>PasteBBM!AG327</f>
        <v>0.749972</v>
      </c>
      <c r="V327" s="44">
        <v>-0.41709</v>
      </c>
      <c r="W327" s="44">
        <v>-0.00658</v>
      </c>
      <c r="X327" s="44">
        <v>0.009207</v>
      </c>
      <c r="Y327" s="44">
        <v>-0.4263</v>
      </c>
      <c r="Z327" s="44">
        <v>-0.34564</v>
      </c>
      <c r="AA327" s="45"/>
      <c r="AB327" s="46" t="s">
        <v>126</v>
      </c>
      <c r="AC327" s="44">
        <v>67.0</v>
      </c>
    </row>
    <row r="328">
      <c r="A328" s="2">
        <v>327.0</v>
      </c>
      <c r="B328" s="14">
        <f>IF(PasteBBM!B328="",156,PasteBBM!B328)</f>
        <v>156</v>
      </c>
      <c r="C328" t="str">
        <f>PasteBBM!I328</f>
        <v>Pelle Larsson</v>
      </c>
      <c r="D328" t="str">
        <f>IFERROR(REPLACE(PasteBBM!K328,FIND("/",PasteBBM!K328,1),1,","),PasteBBM!K328)</f>
        <v>SG,SF</v>
      </c>
      <c r="E328" t="str">
        <f>PasteBBM!J328</f>
        <v>MIA</v>
      </c>
      <c r="F328">
        <f>PasteBBM!U328</f>
        <v>71</v>
      </c>
      <c r="G328">
        <f>PasteBBM!X328</f>
        <v>18</v>
      </c>
      <c r="H328">
        <f>PasteBBM!AE328*PasteBBM!AF328</f>
        <v>2.395490498</v>
      </c>
      <c r="I328">
        <f>PasteBBM!AE328</f>
        <v>0.455807</v>
      </c>
      <c r="J328">
        <f>PasteBBM!AG328*PasteBBM!AH328</f>
        <v>1.07126816</v>
      </c>
      <c r="K328">
        <f>PasteBBM!AG328</f>
        <v>0.672027</v>
      </c>
      <c r="L328">
        <f>PasteBBM!Z328</f>
        <v>0.790845</v>
      </c>
      <c r="M328">
        <f>PasteBBM!Y328</f>
        <v>6.653099</v>
      </c>
      <c r="N328">
        <f>PasteBBM!AA328</f>
        <v>2.278451</v>
      </c>
      <c r="O328">
        <f>PasteBBM!AB328</f>
        <v>1.727183</v>
      </c>
      <c r="P328">
        <f>PasteBBM!AC328</f>
        <v>0.739718</v>
      </c>
      <c r="Q328">
        <f>PasteBBM!AD328</f>
        <v>0.146479</v>
      </c>
      <c r="R328">
        <f>PasteBBM!AI328</f>
        <v>0.69831</v>
      </c>
      <c r="S328">
        <f>PasteBBM!AE328</f>
        <v>0.455807</v>
      </c>
      <c r="T328">
        <f>PasteBBM!AG328</f>
        <v>0.672027</v>
      </c>
      <c r="V328" s="44">
        <v>-0.41709</v>
      </c>
      <c r="W328" s="44">
        <v>-0.00658</v>
      </c>
      <c r="X328" s="44">
        <v>0.009207</v>
      </c>
      <c r="Y328" s="44">
        <v>-0.4263</v>
      </c>
      <c r="Z328" s="44">
        <v>-0.34564</v>
      </c>
      <c r="AA328" s="45"/>
      <c r="AB328" s="46" t="s">
        <v>126</v>
      </c>
      <c r="AC328" s="44">
        <v>67.0</v>
      </c>
    </row>
    <row r="329">
      <c r="A329" s="2">
        <v>328.0</v>
      </c>
      <c r="B329" s="14">
        <f>IF(PasteBBM!B329="",156,PasteBBM!B329)</f>
        <v>156</v>
      </c>
      <c r="C329" t="str">
        <f>PasteBBM!I329</f>
        <v>Eric Gordon</v>
      </c>
      <c r="D329" t="str">
        <f>IFERROR(REPLACE(PasteBBM!K329,FIND("/",PasteBBM!K329,1),1,","),PasteBBM!K329)</f>
        <v>SG,SF</v>
      </c>
      <c r="E329" t="str">
        <f>PasteBBM!J329</f>
        <v>PHI</v>
      </c>
      <c r="F329">
        <f>PasteBBM!U329</f>
        <v>38</v>
      </c>
      <c r="G329">
        <f>PasteBBM!X329</f>
        <v>18</v>
      </c>
      <c r="H329">
        <f>PasteBBM!AE329*PasteBBM!AF329</f>
        <v>1.801317751</v>
      </c>
      <c r="I329">
        <f>PasteBBM!AE329</f>
        <v>0.414071</v>
      </c>
      <c r="J329">
        <f>PasteBBM!AG329*PasteBBM!AH329</f>
        <v>0.5665789879</v>
      </c>
      <c r="K329">
        <f>PasteBBM!AG329</f>
        <v>0.773904</v>
      </c>
      <c r="L329">
        <f>PasteBBM!Z329</f>
        <v>1.221053</v>
      </c>
      <c r="M329">
        <f>PasteBBM!Y329</f>
        <v>5.390263</v>
      </c>
      <c r="N329">
        <f>PasteBBM!AA329</f>
        <v>1.05</v>
      </c>
      <c r="O329">
        <f>PasteBBM!AB329</f>
        <v>1.5</v>
      </c>
      <c r="P329">
        <f>PasteBBM!AC329</f>
        <v>0.671053</v>
      </c>
      <c r="Q329">
        <f>PasteBBM!AD329</f>
        <v>0.263421</v>
      </c>
      <c r="R329">
        <f>PasteBBM!AI329</f>
        <v>0.639474</v>
      </c>
      <c r="S329">
        <f>PasteBBM!AE329</f>
        <v>0.414071</v>
      </c>
      <c r="T329">
        <f>PasteBBM!AG329</f>
        <v>0.773904</v>
      </c>
      <c r="V329" s="44">
        <v>-0.41709</v>
      </c>
      <c r="W329" s="44">
        <v>-0.00658</v>
      </c>
      <c r="X329" s="44">
        <v>0.009207</v>
      </c>
      <c r="Y329" s="44">
        <v>-0.4263</v>
      </c>
      <c r="Z329" s="44">
        <v>-0.34564</v>
      </c>
      <c r="AA329" s="45"/>
      <c r="AB329" s="46" t="s">
        <v>126</v>
      </c>
      <c r="AC329" s="44">
        <v>67.0</v>
      </c>
    </row>
    <row r="330">
      <c r="A330" s="2">
        <v>329.0</v>
      </c>
      <c r="B330" s="14">
        <f>IF(PasteBBM!B330="",156,PasteBBM!B330)</f>
        <v>156</v>
      </c>
      <c r="C330" t="str">
        <f>PasteBBM!I330</f>
        <v>Gabe Vincent</v>
      </c>
      <c r="D330" t="str">
        <f>IFERROR(REPLACE(PasteBBM!K330,FIND("/",PasteBBM!K330,1),1,","),PasteBBM!K330)</f>
        <v>PG</v>
      </c>
      <c r="E330" t="str">
        <f>PasteBBM!J330</f>
        <v>LAL</v>
      </c>
      <c r="F330">
        <f>PasteBBM!U330</f>
        <v>62</v>
      </c>
      <c r="G330">
        <f>PasteBBM!X330</f>
        <v>18</v>
      </c>
      <c r="H330">
        <f>PasteBBM!AE330*PasteBBM!AF330</f>
        <v>2.143226575</v>
      </c>
      <c r="I330">
        <f>PasteBBM!AE330</f>
        <v>0.413673</v>
      </c>
      <c r="J330">
        <f>PasteBBM!AG330*PasteBBM!AH330</f>
        <v>0.2074196481</v>
      </c>
      <c r="K330">
        <f>PasteBBM!AG330</f>
        <v>0.837785</v>
      </c>
      <c r="L330">
        <f>PasteBBM!Z330</f>
        <v>1.608387</v>
      </c>
      <c r="M330">
        <f>PasteBBM!Y330</f>
        <v>6.102258</v>
      </c>
      <c r="N330">
        <f>PasteBBM!AA330</f>
        <v>1.102581</v>
      </c>
      <c r="O330">
        <f>PasteBBM!AB330</f>
        <v>0.992258</v>
      </c>
      <c r="P330">
        <f>PasteBBM!AC330</f>
        <v>0.536774</v>
      </c>
      <c r="Q330">
        <f>PasteBBM!AD330</f>
        <v>0.149355</v>
      </c>
      <c r="R330">
        <f>PasteBBM!AI330</f>
        <v>0.367419</v>
      </c>
      <c r="S330">
        <f>PasteBBM!AE330</f>
        <v>0.413673</v>
      </c>
      <c r="T330">
        <f>PasteBBM!AG330</f>
        <v>0.837785</v>
      </c>
      <c r="V330" s="44">
        <v>-0.41709</v>
      </c>
      <c r="W330" s="44">
        <v>-0.00658</v>
      </c>
      <c r="X330" s="44">
        <v>0.009207</v>
      </c>
      <c r="Y330" s="44">
        <v>-0.4263</v>
      </c>
      <c r="Z330" s="44">
        <v>-0.34564</v>
      </c>
      <c r="AA330" s="45"/>
      <c r="AB330" s="46" t="s">
        <v>126</v>
      </c>
      <c r="AC330" s="44">
        <v>67.0</v>
      </c>
    </row>
    <row r="331">
      <c r="A331" s="2">
        <v>330.0</v>
      </c>
      <c r="B331" s="14">
        <f>IF(PasteBBM!B331="",156,PasteBBM!B331)</f>
        <v>156</v>
      </c>
      <c r="C331" t="str">
        <f>PasteBBM!I331</f>
        <v>Tim Hardaway Jr.</v>
      </c>
      <c r="D331" t="str">
        <f>IFERROR(REPLACE(PasteBBM!K331,FIND("/",PasteBBM!K331,1),1,","),PasteBBM!K331)</f>
        <v>SG,SF</v>
      </c>
      <c r="E331" t="str">
        <f>PasteBBM!J331</f>
        <v>DEN</v>
      </c>
      <c r="F331">
        <f>PasteBBM!U331</f>
        <v>71</v>
      </c>
      <c r="G331">
        <f>PasteBBM!X331</f>
        <v>19</v>
      </c>
      <c r="H331">
        <f>PasteBBM!AE331*PasteBBM!AF331</f>
        <v>2.774227885</v>
      </c>
      <c r="I331">
        <f>PasteBBM!AE331</f>
        <v>0.413022</v>
      </c>
      <c r="J331">
        <f>PasteBBM!AG331*PasteBBM!AH331</f>
        <v>1.014648205</v>
      </c>
      <c r="K331">
        <f>PasteBBM!AG331</f>
        <v>0.870995</v>
      </c>
      <c r="L331">
        <f>PasteBBM!Z331</f>
        <v>1.66507</v>
      </c>
      <c r="M331">
        <f>PasteBBM!Y331</f>
        <v>8.228169</v>
      </c>
      <c r="N331">
        <f>PasteBBM!AA331</f>
        <v>1.719155</v>
      </c>
      <c r="O331">
        <f>PasteBBM!AB331</f>
        <v>0.972254</v>
      </c>
      <c r="P331">
        <f>PasteBBM!AC331</f>
        <v>0.340704</v>
      </c>
      <c r="Q331">
        <f>PasteBBM!AD331</f>
        <v>0.082676</v>
      </c>
      <c r="R331">
        <f>PasteBBM!AI331</f>
        <v>0.411549</v>
      </c>
      <c r="S331">
        <f>PasteBBM!AE331</f>
        <v>0.413022</v>
      </c>
      <c r="T331">
        <f>PasteBBM!AG331</f>
        <v>0.870995</v>
      </c>
      <c r="V331" s="44">
        <v>-0.41709</v>
      </c>
      <c r="W331" s="44">
        <v>-0.00658</v>
      </c>
      <c r="X331" s="44">
        <v>0.009207</v>
      </c>
      <c r="Y331" s="44">
        <v>-0.4263</v>
      </c>
      <c r="Z331" s="44">
        <v>-0.34564</v>
      </c>
      <c r="AA331" s="45"/>
      <c r="AB331" s="46" t="s">
        <v>126</v>
      </c>
      <c r="AC331" s="44">
        <v>67.0</v>
      </c>
    </row>
    <row r="332">
      <c r="A332" s="2">
        <v>331.0</v>
      </c>
      <c r="B332" s="14">
        <f>IF(PasteBBM!B332="",156,PasteBBM!B332)</f>
        <v>156</v>
      </c>
      <c r="C332" t="str">
        <f>PasteBBM!I332</f>
        <v>Josh Green</v>
      </c>
      <c r="D332" t="str">
        <f>IFERROR(REPLACE(PasteBBM!K332,FIND("/",PasteBBM!K332,1),1,","),PasteBBM!K332)</f>
        <v>SG,SF</v>
      </c>
      <c r="E332" t="str">
        <f>PasteBBM!J332</f>
        <v>CHA</v>
      </c>
      <c r="F332">
        <f>PasteBBM!U332</f>
        <v>50</v>
      </c>
      <c r="G332">
        <f>PasteBBM!X332</f>
        <v>20</v>
      </c>
      <c r="H332">
        <f>PasteBBM!AE332*PasteBBM!AF332</f>
        <v>1.825398648</v>
      </c>
      <c r="I332">
        <f>PasteBBM!AE332</f>
        <v>0.43371</v>
      </c>
      <c r="J332">
        <f>PasteBBM!AG332*PasteBBM!AH332</f>
        <v>0.4890001252</v>
      </c>
      <c r="K332">
        <f>PasteBBM!AG332</f>
        <v>0.738002</v>
      </c>
      <c r="L332">
        <f>PasteBBM!Z332</f>
        <v>0.8804</v>
      </c>
      <c r="M332">
        <f>PasteBBM!Y332</f>
        <v>5.0202</v>
      </c>
      <c r="N332">
        <f>PasteBBM!AA332</f>
        <v>2.7084</v>
      </c>
      <c r="O332">
        <f>PasteBBM!AB332</f>
        <v>1.1666</v>
      </c>
      <c r="P332">
        <f>PasteBBM!AC332</f>
        <v>0.7958</v>
      </c>
      <c r="Q332">
        <f>PasteBBM!AD332</f>
        <v>0.1286</v>
      </c>
      <c r="R332">
        <f>PasteBBM!AI332</f>
        <v>0.9166</v>
      </c>
      <c r="S332">
        <f>PasteBBM!AE332</f>
        <v>0.43371</v>
      </c>
      <c r="T332">
        <f>PasteBBM!AG332</f>
        <v>0.738002</v>
      </c>
      <c r="V332" s="44">
        <v>-0.41709</v>
      </c>
      <c r="W332" s="44">
        <v>-0.00658</v>
      </c>
      <c r="X332" s="44">
        <v>0.009207</v>
      </c>
      <c r="Y332" s="44">
        <v>-0.4263</v>
      </c>
      <c r="Z332" s="44">
        <v>-0.34564</v>
      </c>
      <c r="AA332" s="45"/>
      <c r="AB332" s="46" t="s">
        <v>126</v>
      </c>
      <c r="AC332" s="44">
        <v>67.0</v>
      </c>
    </row>
    <row r="333">
      <c r="A333" s="2">
        <v>332.0</v>
      </c>
      <c r="B333" s="14">
        <f>IF(PasteBBM!B333="",156,PasteBBM!B333)</f>
        <v>156</v>
      </c>
      <c r="C333" t="str">
        <f>PasteBBM!I333</f>
        <v>Oso Ighodaro</v>
      </c>
      <c r="D333" t="str">
        <f>IFERROR(REPLACE(PasteBBM!K333,FIND("/",PasteBBM!K333,1),1,","),PasteBBM!K333)</f>
        <v>PF,C</v>
      </c>
      <c r="E333" t="str">
        <f>PasteBBM!J333</f>
        <v>PHO</v>
      </c>
      <c r="F333">
        <f>PasteBBM!U333</f>
        <v>66</v>
      </c>
      <c r="G333">
        <f>PasteBBM!X333</f>
        <v>17</v>
      </c>
      <c r="H333">
        <f>PasteBBM!AE333*PasteBBM!AF333</f>
        <v>2.225907525</v>
      </c>
      <c r="I333">
        <f>PasteBBM!AE333</f>
        <v>0.599021</v>
      </c>
      <c r="J333">
        <f>PasteBBM!AG333*PasteBBM!AH333</f>
        <v>0.5172730263</v>
      </c>
      <c r="K333">
        <f>PasteBBM!AG333</f>
        <v>0.579922</v>
      </c>
      <c r="L333">
        <f>PasteBBM!Z333</f>
        <v>0.008939</v>
      </c>
      <c r="M333">
        <f>PasteBBM!Y333</f>
        <v>4.97803</v>
      </c>
      <c r="N333">
        <f>PasteBBM!AA333</f>
        <v>3.155606</v>
      </c>
      <c r="O333">
        <f>PasteBBM!AB333</f>
        <v>1.507727</v>
      </c>
      <c r="P333">
        <f>PasteBBM!AC333</f>
        <v>0.457121</v>
      </c>
      <c r="Q333">
        <f>PasteBBM!AD333</f>
        <v>0.49</v>
      </c>
      <c r="R333">
        <f>PasteBBM!AI333</f>
        <v>0.630152</v>
      </c>
      <c r="S333">
        <f>PasteBBM!AE333</f>
        <v>0.599021</v>
      </c>
      <c r="T333">
        <f>PasteBBM!AG333</f>
        <v>0.579922</v>
      </c>
      <c r="V333" s="44">
        <v>-0.41709</v>
      </c>
      <c r="W333" s="44">
        <v>-0.00658</v>
      </c>
      <c r="X333" s="44">
        <v>0.009207</v>
      </c>
      <c r="Y333" s="44">
        <v>-0.4263</v>
      </c>
      <c r="Z333" s="44">
        <v>-0.34564</v>
      </c>
      <c r="AA333" s="45"/>
      <c r="AB333" s="46" t="s">
        <v>126</v>
      </c>
      <c r="AC333" s="44">
        <v>67.0</v>
      </c>
    </row>
    <row r="334">
      <c r="A334" s="2">
        <v>333.0</v>
      </c>
      <c r="B334" s="14">
        <f>IF(PasteBBM!B334="",156,PasteBBM!B334)</f>
        <v>156</v>
      </c>
      <c r="C334" t="str">
        <f>PasteBBM!I334</f>
        <v>Jaylen Clark</v>
      </c>
      <c r="D334" t="str">
        <f>IFERROR(REPLACE(PasteBBM!K334,FIND("/",PasteBBM!K334,1),1,","),PasteBBM!K334)</f>
        <v>SG,SF</v>
      </c>
      <c r="E334" t="str">
        <f>PasteBBM!J334</f>
        <v>MIN</v>
      </c>
      <c r="F334">
        <f>PasteBBM!U334</f>
        <v>66</v>
      </c>
      <c r="G334">
        <f>PasteBBM!X334</f>
        <v>14</v>
      </c>
      <c r="H334">
        <f>PasteBBM!AE334*PasteBBM!AF334</f>
        <v>1.481516318</v>
      </c>
      <c r="I334">
        <f>PasteBBM!AE334</f>
        <v>0.462339</v>
      </c>
      <c r="J334">
        <f>PasteBBM!AG334*PasteBBM!AH334</f>
        <v>0.7065146712</v>
      </c>
      <c r="K334">
        <f>PasteBBM!AG334</f>
        <v>0.790071</v>
      </c>
      <c r="L334">
        <f>PasteBBM!Z334</f>
        <v>0.462879</v>
      </c>
      <c r="M334">
        <f>PasteBBM!Y334</f>
        <v>4.132424</v>
      </c>
      <c r="N334">
        <f>PasteBBM!AA334</f>
        <v>1.559242</v>
      </c>
      <c r="O334">
        <f>PasteBBM!AB334</f>
        <v>0.923939</v>
      </c>
      <c r="P334">
        <f>PasteBBM!AC334</f>
        <v>0.860606</v>
      </c>
      <c r="Q334">
        <f>PasteBBM!AD334</f>
        <v>0.083939</v>
      </c>
      <c r="R334">
        <f>PasteBBM!AI334</f>
        <v>0.375303</v>
      </c>
      <c r="S334">
        <f>PasteBBM!AE334</f>
        <v>0.462339</v>
      </c>
      <c r="T334">
        <f>PasteBBM!AG334</f>
        <v>0.790071</v>
      </c>
      <c r="V334" s="44">
        <v>-0.41709</v>
      </c>
      <c r="W334" s="44">
        <v>-0.00658</v>
      </c>
      <c r="X334" s="44">
        <v>0.009207</v>
      </c>
      <c r="Y334" s="44">
        <v>-0.4263</v>
      </c>
      <c r="Z334" s="44">
        <v>-0.34564</v>
      </c>
      <c r="AA334" s="45"/>
      <c r="AB334" s="46" t="s">
        <v>126</v>
      </c>
      <c r="AC334" s="44">
        <v>67.0</v>
      </c>
    </row>
    <row r="335">
      <c r="A335" s="2">
        <v>334.0</v>
      </c>
      <c r="B335" s="14">
        <f>IF(PasteBBM!B335="",156,PasteBBM!B335)</f>
        <v>156</v>
      </c>
      <c r="C335" t="str">
        <f>PasteBBM!I335</f>
        <v>Jordan Hawkins</v>
      </c>
      <c r="D335" t="str">
        <f>IFERROR(REPLACE(PasteBBM!K335,FIND("/",PasteBBM!K335,1),1,","),PasteBBM!K335)</f>
        <v>SG</v>
      </c>
      <c r="E335" t="str">
        <f>PasteBBM!J335</f>
        <v>NOR</v>
      </c>
      <c r="F335">
        <f>PasteBBM!U335</f>
        <v>66</v>
      </c>
      <c r="G335">
        <f>PasteBBM!X335</f>
        <v>20</v>
      </c>
      <c r="H335">
        <f>PasteBBM!AE335*PasteBBM!AF335</f>
        <v>3.031362835</v>
      </c>
      <c r="I335">
        <f>PasteBBM!AE335</f>
        <v>0.391488</v>
      </c>
      <c r="J335">
        <f>PasteBBM!AG335*PasteBBM!AH335</f>
        <v>0.9712127472</v>
      </c>
      <c r="K335">
        <f>PasteBBM!AG335</f>
        <v>0.80095</v>
      </c>
      <c r="L335">
        <f>PasteBBM!Z335</f>
        <v>1.653182</v>
      </c>
      <c r="M335">
        <f>PasteBBM!Y335</f>
        <v>8.687121</v>
      </c>
      <c r="N335">
        <f>PasteBBM!AA335</f>
        <v>2.356667</v>
      </c>
      <c r="O335">
        <f>PasteBBM!AB335</f>
        <v>1.017121</v>
      </c>
      <c r="P335">
        <f>PasteBBM!AC335</f>
        <v>0.45697</v>
      </c>
      <c r="Q335">
        <f>PasteBBM!AD335</f>
        <v>0.296818</v>
      </c>
      <c r="R335">
        <f>PasteBBM!AI335</f>
        <v>0.847273</v>
      </c>
      <c r="S335">
        <f>PasteBBM!AE335</f>
        <v>0.391488</v>
      </c>
      <c r="T335">
        <f>PasteBBM!AG335</f>
        <v>0.80095</v>
      </c>
      <c r="V335" s="44">
        <v>-0.41709</v>
      </c>
      <c r="W335" s="44">
        <v>-0.00658</v>
      </c>
      <c r="X335" s="44">
        <v>0.009207</v>
      </c>
      <c r="Y335" s="44">
        <v>-0.4263</v>
      </c>
      <c r="Z335" s="44">
        <v>-0.34564</v>
      </c>
      <c r="AA335" s="45"/>
      <c r="AB335" s="46" t="s">
        <v>126</v>
      </c>
      <c r="AC335" s="44">
        <v>67.0</v>
      </c>
    </row>
    <row r="336">
      <c r="A336" s="2">
        <v>335.0</v>
      </c>
      <c r="B336" s="14">
        <f>IF(PasteBBM!B336="",156,PasteBBM!B336)</f>
        <v>156</v>
      </c>
      <c r="C336" t="str">
        <f>PasteBBM!I336</f>
        <v>Svi Mykhailiuk</v>
      </c>
      <c r="D336" t="str">
        <f>IFERROR(REPLACE(PasteBBM!K336,FIND("/",PasteBBM!K336,1),1,","),PasteBBM!K336)</f>
        <v>SF</v>
      </c>
      <c r="E336" t="str">
        <f>PasteBBM!J336</f>
        <v>UTA</v>
      </c>
      <c r="F336">
        <f>PasteBBM!U336</f>
        <v>46</v>
      </c>
      <c r="G336">
        <f>PasteBBM!X336</f>
        <v>17</v>
      </c>
      <c r="H336">
        <f>PasteBBM!AE336*PasteBBM!AF336</f>
        <v>2.780218653</v>
      </c>
      <c r="I336">
        <f>PasteBBM!AE336</f>
        <v>0.414192</v>
      </c>
      <c r="J336">
        <f>PasteBBM!AG336*PasteBBM!AH336</f>
        <v>0.6315214169</v>
      </c>
      <c r="K336">
        <f>PasteBBM!AG336</f>
        <v>0.779029</v>
      </c>
      <c r="L336">
        <f>PasteBBM!Z336</f>
        <v>1.668478</v>
      </c>
      <c r="M336">
        <f>PasteBBM!Y336</f>
        <v>7.860435</v>
      </c>
      <c r="N336">
        <f>PasteBBM!AA336</f>
        <v>2.042826</v>
      </c>
      <c r="O336">
        <f>PasteBBM!AB336</f>
        <v>1.823913</v>
      </c>
      <c r="P336">
        <f>PasteBBM!AC336</f>
        <v>0.439348</v>
      </c>
      <c r="Q336">
        <f>PasteBBM!AD336</f>
        <v>0.10913</v>
      </c>
      <c r="R336">
        <f>PasteBBM!AI336</f>
        <v>0.910217</v>
      </c>
      <c r="S336">
        <f>PasteBBM!AE336</f>
        <v>0.414192</v>
      </c>
      <c r="T336">
        <f>PasteBBM!AG336</f>
        <v>0.779029</v>
      </c>
      <c r="V336" s="44">
        <v>-0.41709</v>
      </c>
      <c r="W336" s="44">
        <v>-0.00658</v>
      </c>
      <c r="X336" s="44">
        <v>0.009207</v>
      </c>
      <c r="Y336" s="44">
        <v>-0.4263</v>
      </c>
      <c r="Z336" s="44">
        <v>-0.34564</v>
      </c>
      <c r="AA336" s="45"/>
      <c r="AB336" s="46" t="s">
        <v>126</v>
      </c>
      <c r="AC336" s="44">
        <v>67.0</v>
      </c>
    </row>
    <row r="337">
      <c r="A337" s="2">
        <v>336.0</v>
      </c>
      <c r="B337" s="14">
        <f>IF(PasteBBM!B337="",156,PasteBBM!B337)</f>
        <v>156</v>
      </c>
      <c r="C337" t="str">
        <f>PasteBBM!I337</f>
        <v>Danny Wolf</v>
      </c>
      <c r="D337" t="str">
        <f>IFERROR(REPLACE(PasteBBM!K337,FIND("/",PasteBBM!K337,1),1,","),PasteBBM!K337)</f>
        <v>SF,PF/C</v>
      </c>
      <c r="E337" t="str">
        <f>PasteBBM!J337</f>
        <v>BKN</v>
      </c>
      <c r="F337">
        <f>PasteBBM!U337</f>
        <v>71</v>
      </c>
      <c r="G337">
        <f>PasteBBM!X337</f>
        <v>18</v>
      </c>
      <c r="H337">
        <f>PasteBBM!AE337*PasteBBM!AF337</f>
        <v>2.688873139</v>
      </c>
      <c r="I337">
        <f>PasteBBM!AE337</f>
        <v>0.436266</v>
      </c>
      <c r="J337">
        <f>PasteBBM!AG337*PasteBBM!AH337</f>
        <v>0.7915490644</v>
      </c>
      <c r="K337">
        <f>PasteBBM!AG337</f>
        <v>0.675968</v>
      </c>
      <c r="L337">
        <f>PasteBBM!Z337</f>
        <v>0.74338</v>
      </c>
      <c r="M337">
        <f>PasteBBM!Y337</f>
        <v>6.912676</v>
      </c>
      <c r="N337">
        <f>PasteBBM!AA337</f>
        <v>5.011831</v>
      </c>
      <c r="O337">
        <f>PasteBBM!AB337</f>
        <v>1.707746</v>
      </c>
      <c r="P337">
        <f>PasteBBM!AC337</f>
        <v>0.445493</v>
      </c>
      <c r="Q337">
        <f>PasteBBM!AD337</f>
        <v>0.631127</v>
      </c>
      <c r="R337">
        <f>PasteBBM!AI337</f>
        <v>1.670563</v>
      </c>
      <c r="S337">
        <f>PasteBBM!AE337</f>
        <v>0.436266</v>
      </c>
      <c r="T337">
        <f>PasteBBM!AG337</f>
        <v>0.675968</v>
      </c>
      <c r="V337" s="44">
        <v>-0.41709</v>
      </c>
      <c r="W337" s="44">
        <v>-0.00658</v>
      </c>
      <c r="X337" s="44">
        <v>0.009207</v>
      </c>
      <c r="Y337" s="44">
        <v>-0.4263</v>
      </c>
      <c r="Z337" s="44">
        <v>-0.34564</v>
      </c>
      <c r="AA337" s="45"/>
      <c r="AB337" s="46" t="s">
        <v>126</v>
      </c>
      <c r="AC337" s="44">
        <v>67.0</v>
      </c>
    </row>
    <row r="338">
      <c r="A338" s="2">
        <v>337.0</v>
      </c>
      <c r="B338" s="14">
        <f>IF(PasteBBM!B338="",156,PasteBBM!B338)</f>
        <v>156</v>
      </c>
      <c r="C338" t="str">
        <f>PasteBBM!I338</f>
        <v>Tristan Vukcevic</v>
      </c>
      <c r="D338" t="str">
        <f>IFERROR(REPLACE(PasteBBM!K338,FIND("/",PasteBBM!K338,1),1,","),PasteBBM!K338)</f>
        <v>C</v>
      </c>
      <c r="E338" t="str">
        <f>PasteBBM!J338</f>
        <v>WAS</v>
      </c>
      <c r="F338">
        <f>PasteBBM!U338</f>
        <v>40</v>
      </c>
      <c r="G338">
        <f>PasteBBM!X338</f>
        <v>13</v>
      </c>
      <c r="H338">
        <f>PasteBBM!AE338*PasteBBM!AF338</f>
        <v>2.217001208</v>
      </c>
      <c r="I338">
        <f>PasteBBM!AE338</f>
        <v>0.484511</v>
      </c>
      <c r="J338">
        <f>PasteBBM!AG338*PasteBBM!AH338</f>
        <v>0.8155000635</v>
      </c>
      <c r="K338">
        <f>PasteBBM!AG338</f>
        <v>0.775006</v>
      </c>
      <c r="L338">
        <f>PasteBBM!Z338</f>
        <v>0.711</v>
      </c>
      <c r="M338">
        <f>PasteBBM!Y338</f>
        <v>5.9605</v>
      </c>
      <c r="N338">
        <f>PasteBBM!AA338</f>
        <v>3.14825</v>
      </c>
      <c r="O338">
        <f>PasteBBM!AB338</f>
        <v>0.9735</v>
      </c>
      <c r="P338">
        <f>PasteBBM!AC338</f>
        <v>0.31575</v>
      </c>
      <c r="Q338">
        <f>PasteBBM!AD338</f>
        <v>0.5555</v>
      </c>
      <c r="R338">
        <f>PasteBBM!AI338</f>
        <v>0.89275</v>
      </c>
      <c r="S338">
        <f>PasteBBM!AE338</f>
        <v>0.484511</v>
      </c>
      <c r="T338">
        <f>PasteBBM!AG338</f>
        <v>0.775006</v>
      </c>
      <c r="V338" s="44">
        <v>-0.41709</v>
      </c>
      <c r="W338" s="44">
        <v>-0.00658</v>
      </c>
      <c r="X338" s="44">
        <v>0.009207</v>
      </c>
      <c r="Y338" s="44">
        <v>-0.4263</v>
      </c>
      <c r="Z338" s="44">
        <v>-0.34564</v>
      </c>
      <c r="AA338" s="45"/>
      <c r="AB338" s="46" t="s">
        <v>126</v>
      </c>
      <c r="AC338" s="44">
        <v>67.0</v>
      </c>
    </row>
    <row r="339">
      <c r="A339" s="2">
        <v>338.0</v>
      </c>
      <c r="B339" s="14">
        <f>IF(PasteBBM!B339="",156,PasteBBM!B339)</f>
        <v>156</v>
      </c>
      <c r="C339" t="str">
        <f>PasteBBM!I339</f>
        <v>Tristan da Silva</v>
      </c>
      <c r="D339" t="str">
        <f>IFERROR(REPLACE(PasteBBM!K339,FIND("/",PasteBBM!K339,1),1,","),PasteBBM!K339)</f>
        <v>SF,PF</v>
      </c>
      <c r="E339" t="str">
        <f>PasteBBM!J339</f>
        <v>ORL</v>
      </c>
      <c r="F339">
        <f>PasteBBM!U339</f>
        <v>71</v>
      </c>
      <c r="G339">
        <f>PasteBBM!X339</f>
        <v>18</v>
      </c>
      <c r="H339">
        <f>PasteBBM!AE339*PasteBBM!AF339</f>
        <v>2.262955522</v>
      </c>
      <c r="I339">
        <f>PasteBBM!AE339</f>
        <v>0.43361</v>
      </c>
      <c r="J339">
        <f>PasteBBM!AG339*PasteBBM!AH339</f>
        <v>0.5614078698</v>
      </c>
      <c r="K339">
        <f>PasteBBM!AG339</f>
        <v>0.849893</v>
      </c>
      <c r="L339">
        <f>PasteBBM!Z339</f>
        <v>0.87662</v>
      </c>
      <c r="M339">
        <f>PasteBBM!Y339</f>
        <v>5.963944</v>
      </c>
      <c r="N339">
        <f>PasteBBM!AA339</f>
        <v>2.719437</v>
      </c>
      <c r="O339">
        <f>PasteBBM!AB339</f>
        <v>1.233099</v>
      </c>
      <c r="P339">
        <f>PasteBBM!AC339</f>
        <v>0.397887</v>
      </c>
      <c r="Q339">
        <f>PasteBBM!AD339</f>
        <v>0.222535</v>
      </c>
      <c r="R339">
        <f>PasteBBM!AI339</f>
        <v>0.551268</v>
      </c>
      <c r="S339">
        <f>PasteBBM!AE339</f>
        <v>0.43361</v>
      </c>
      <c r="T339">
        <f>PasteBBM!AG339</f>
        <v>0.849893</v>
      </c>
      <c r="V339" s="44">
        <v>-0.41709</v>
      </c>
      <c r="W339" s="44">
        <v>-0.00658</v>
      </c>
      <c r="X339" s="44">
        <v>0.009207</v>
      </c>
      <c r="Y339" s="44">
        <v>-0.4263</v>
      </c>
      <c r="Z339" s="44">
        <v>-0.34564</v>
      </c>
      <c r="AA339" s="45"/>
      <c r="AB339" s="46" t="s">
        <v>126</v>
      </c>
      <c r="AC339" s="44">
        <v>67.0</v>
      </c>
    </row>
    <row r="340">
      <c r="A340" s="2">
        <v>339.0</v>
      </c>
      <c r="B340" s="14">
        <f>IF(PasteBBM!B340="",156,PasteBBM!B340)</f>
        <v>156</v>
      </c>
      <c r="C340" t="str">
        <f>PasteBBM!I340</f>
        <v>Maxime Raynaud</v>
      </c>
      <c r="D340" t="str">
        <f>IFERROR(REPLACE(PasteBBM!K340,FIND("/",PasteBBM!K340,1),1,","),PasteBBM!K340)</f>
        <v>PF,C</v>
      </c>
      <c r="E340" t="str">
        <f>PasteBBM!J340</f>
        <v>SAC</v>
      </c>
      <c r="F340">
        <f>PasteBBM!U340</f>
        <v>46</v>
      </c>
      <c r="G340">
        <f>PasteBBM!X340</f>
        <v>15</v>
      </c>
      <c r="H340">
        <f>PasteBBM!AE340*PasteBBM!AF340</f>
        <v>2.090000846</v>
      </c>
      <c r="I340">
        <f>PasteBBM!AE340</f>
        <v>0.46893</v>
      </c>
      <c r="J340">
        <f>PasteBBM!AG340*PasteBBM!AH340</f>
        <v>0.4893479558</v>
      </c>
      <c r="K340">
        <f>PasteBBM!AG340</f>
        <v>0.732033</v>
      </c>
      <c r="L340">
        <f>PasteBBM!Z340</f>
        <v>0.538043</v>
      </c>
      <c r="M340">
        <f>PasteBBM!Y340</f>
        <v>5.207391</v>
      </c>
      <c r="N340">
        <f>PasteBBM!AA340</f>
        <v>4.243696</v>
      </c>
      <c r="O340">
        <f>PasteBBM!AB340</f>
        <v>0.818478</v>
      </c>
      <c r="P340">
        <f>PasteBBM!AC340</f>
        <v>0.333478</v>
      </c>
      <c r="Q340">
        <f>PasteBBM!AD340</f>
        <v>0.515217</v>
      </c>
      <c r="R340">
        <f>PasteBBM!AI340</f>
        <v>0.848696</v>
      </c>
      <c r="S340">
        <f>PasteBBM!AE340</f>
        <v>0.46893</v>
      </c>
      <c r="T340">
        <f>PasteBBM!AG340</f>
        <v>0.732033</v>
      </c>
      <c r="V340" s="44">
        <v>-0.41709</v>
      </c>
      <c r="W340" s="44">
        <v>-0.00658</v>
      </c>
      <c r="X340" s="44">
        <v>0.009207</v>
      </c>
      <c r="Y340" s="44">
        <v>-0.4263</v>
      </c>
      <c r="Z340" s="44">
        <v>-0.34564</v>
      </c>
      <c r="AA340" s="45"/>
      <c r="AB340" s="46" t="s">
        <v>126</v>
      </c>
      <c r="AC340" s="44">
        <v>67.0</v>
      </c>
    </row>
    <row r="341">
      <c r="A341" s="2">
        <v>340.0</v>
      </c>
      <c r="B341" s="14">
        <f>IF(PasteBBM!B341="",156,PasteBBM!B341)</f>
        <v>156</v>
      </c>
      <c r="C341" t="str">
        <f>PasteBBM!I341</f>
        <v>Julian Phillips</v>
      </c>
      <c r="D341" t="str">
        <f>IFERROR(REPLACE(PasteBBM!K341,FIND("/",PasteBBM!K341,1),1,","),PasteBBM!K341)</f>
        <v>SF</v>
      </c>
      <c r="E341" t="str">
        <f>PasteBBM!J341</f>
        <v>CHI</v>
      </c>
      <c r="F341">
        <f>PasteBBM!U341</f>
        <v>49</v>
      </c>
      <c r="G341">
        <f>PasteBBM!X341</f>
        <v>14</v>
      </c>
      <c r="H341">
        <f>PasteBBM!AE341*PasteBBM!AF341</f>
        <v>1.797754023</v>
      </c>
      <c r="I341">
        <f>PasteBBM!AE341</f>
        <v>0.4735</v>
      </c>
      <c r="J341">
        <f>PasteBBM!AG341*PasteBBM!AH341</f>
        <v>0.75653073</v>
      </c>
      <c r="K341">
        <f>PasteBBM!AG341</f>
        <v>0.830049</v>
      </c>
      <c r="L341">
        <f>PasteBBM!Z341</f>
        <v>0.660816</v>
      </c>
      <c r="M341">
        <f>PasteBBM!Y341</f>
        <v>5.012857</v>
      </c>
      <c r="N341">
        <f>PasteBBM!AA341</f>
        <v>2.082449</v>
      </c>
      <c r="O341">
        <f>PasteBBM!AB341</f>
        <v>0.493061</v>
      </c>
      <c r="P341">
        <f>PasteBBM!AC341</f>
        <v>0.49</v>
      </c>
      <c r="Q341">
        <f>PasteBBM!AD341</f>
        <v>0.275306</v>
      </c>
      <c r="R341">
        <f>PasteBBM!AI341</f>
        <v>0.336531</v>
      </c>
      <c r="S341">
        <f>PasteBBM!AE341</f>
        <v>0.4735</v>
      </c>
      <c r="T341">
        <f>PasteBBM!AG341</f>
        <v>0.830049</v>
      </c>
      <c r="V341" s="44">
        <v>-0.41709</v>
      </c>
      <c r="W341" s="44">
        <v>-0.00658</v>
      </c>
      <c r="X341" s="44">
        <v>0.009207</v>
      </c>
      <c r="Y341" s="44">
        <v>-0.4263</v>
      </c>
      <c r="Z341" s="44">
        <v>-0.34564</v>
      </c>
      <c r="AA341" s="45"/>
      <c r="AB341" s="46" t="s">
        <v>126</v>
      </c>
      <c r="AC341" s="44">
        <v>67.0</v>
      </c>
    </row>
    <row r="342">
      <c r="A342" s="2">
        <v>341.0</v>
      </c>
      <c r="B342" s="14">
        <f>IF(PasteBBM!B342="",156,PasteBBM!B342)</f>
        <v>156</v>
      </c>
      <c r="C342" t="str">
        <f>PasteBBM!I342</f>
        <v>Kenrich Williams</v>
      </c>
      <c r="D342" t="str">
        <f>IFERROR(REPLACE(PasteBBM!K342,FIND("/",PasteBBM!K342,1),1,","),PasteBBM!K342)</f>
        <v>PF</v>
      </c>
      <c r="E342" t="str">
        <f>PasteBBM!J342</f>
        <v>OKC</v>
      </c>
      <c r="F342">
        <f>PasteBBM!U342</f>
        <v>36</v>
      </c>
      <c r="G342">
        <f>PasteBBM!X342</f>
        <v>14</v>
      </c>
      <c r="H342">
        <f>PasteBBM!AE342*PasteBBM!AF342</f>
        <v>1.898333579</v>
      </c>
      <c r="I342">
        <f>PasteBBM!AE342</f>
        <v>0.490772</v>
      </c>
      <c r="J342">
        <f>PasteBBM!AG342*PasteBBM!AH342</f>
        <v>0.2419446936</v>
      </c>
      <c r="K342">
        <f>PasteBBM!AG342</f>
        <v>0.647103</v>
      </c>
      <c r="L342">
        <f>PasteBBM!Z342</f>
        <v>0.673611</v>
      </c>
      <c r="M342">
        <f>PasteBBM!Y342</f>
        <v>4.712222</v>
      </c>
      <c r="N342">
        <f>PasteBBM!AA342</f>
        <v>2.796389</v>
      </c>
      <c r="O342">
        <f>PasteBBM!AB342</f>
        <v>1.153889</v>
      </c>
      <c r="P342">
        <f>PasteBBM!AC342</f>
        <v>0.525</v>
      </c>
      <c r="Q342">
        <f>PasteBBM!AD342</f>
        <v>0.090278</v>
      </c>
      <c r="R342">
        <f>PasteBBM!AI342</f>
        <v>0.480556</v>
      </c>
      <c r="S342">
        <f>PasteBBM!AE342</f>
        <v>0.490772</v>
      </c>
      <c r="T342">
        <f>PasteBBM!AG342</f>
        <v>0.647103</v>
      </c>
      <c r="V342" s="44">
        <v>-0.41709</v>
      </c>
      <c r="W342" s="44">
        <v>-0.00658</v>
      </c>
      <c r="X342" s="44">
        <v>0.009207</v>
      </c>
      <c r="Y342" s="44">
        <v>-0.4263</v>
      </c>
      <c r="Z342" s="44">
        <v>-0.34564</v>
      </c>
      <c r="AA342" s="45"/>
      <c r="AB342" s="46" t="s">
        <v>126</v>
      </c>
      <c r="AC342" s="44">
        <v>67.0</v>
      </c>
    </row>
    <row r="343">
      <c r="A343" s="2">
        <v>342.0</v>
      </c>
      <c r="B343" s="14">
        <f>IF(PasteBBM!B343="",156,PasteBBM!B343)</f>
        <v>156</v>
      </c>
      <c r="C343" t="str">
        <f>PasteBBM!I343</f>
        <v>Joan Beringer</v>
      </c>
      <c r="D343" t="str">
        <f>IFERROR(REPLACE(PasteBBM!K343,FIND("/",PasteBBM!K343,1),1,","),PasteBBM!K343)</f>
        <v>PF,C</v>
      </c>
      <c r="E343" t="str">
        <f>PasteBBM!J343</f>
        <v>MIN</v>
      </c>
      <c r="F343">
        <f>PasteBBM!U343</f>
        <v>48</v>
      </c>
      <c r="G343">
        <f>PasteBBM!X343</f>
        <v>17</v>
      </c>
      <c r="H343">
        <f>PasteBBM!AE343*PasteBBM!AF343</f>
        <v>1.76104237</v>
      </c>
      <c r="I343">
        <f>PasteBBM!AE343</f>
        <v>0.564286</v>
      </c>
      <c r="J343">
        <f>PasteBBM!AG343*PasteBBM!AH343</f>
        <v>0.543749742</v>
      </c>
      <c r="K343">
        <f>PasteBBM!AG343</f>
        <v>0.528019</v>
      </c>
      <c r="L343">
        <f>PasteBBM!Z343</f>
        <v>0</v>
      </c>
      <c r="M343">
        <f>PasteBBM!Y343</f>
        <v>4.065833</v>
      </c>
      <c r="N343">
        <f>PasteBBM!AA343</f>
        <v>3.716667</v>
      </c>
      <c r="O343">
        <f>PasteBBM!AB343</f>
        <v>0.490833</v>
      </c>
      <c r="P343">
        <f>PasteBBM!AC343</f>
        <v>0.420833</v>
      </c>
      <c r="Q343">
        <f>PasteBBM!AD343</f>
        <v>1.016875</v>
      </c>
      <c r="R343">
        <f>PasteBBM!AI343</f>
        <v>0.73625</v>
      </c>
      <c r="S343">
        <f>PasteBBM!AE343</f>
        <v>0.564286</v>
      </c>
      <c r="T343">
        <f>PasteBBM!AG343</f>
        <v>0.528019</v>
      </c>
      <c r="V343" s="44">
        <v>-0.41709</v>
      </c>
      <c r="W343" s="44">
        <v>-0.00658</v>
      </c>
      <c r="X343" s="44">
        <v>0.009207</v>
      </c>
      <c r="Y343" s="44">
        <v>-0.4263</v>
      </c>
      <c r="Z343" s="44">
        <v>-0.34564</v>
      </c>
      <c r="AA343" s="45"/>
      <c r="AB343" s="46" t="s">
        <v>126</v>
      </c>
      <c r="AC343" s="44">
        <v>67.0</v>
      </c>
    </row>
    <row r="344">
      <c r="A344" s="2">
        <v>343.0</v>
      </c>
      <c r="B344" s="14">
        <f>IF(PasteBBM!B344="",156,PasteBBM!B344)</f>
        <v>156</v>
      </c>
      <c r="C344" t="str">
        <f>PasteBBM!I344</f>
        <v>Cam Spencer</v>
      </c>
      <c r="D344" t="str">
        <f>IFERROR(REPLACE(PasteBBM!K344,FIND("/",PasteBBM!K344,1),1,","),PasteBBM!K344)</f>
        <v>SG</v>
      </c>
      <c r="E344" t="str">
        <f>PasteBBM!J344</f>
        <v>MEM</v>
      </c>
      <c r="F344">
        <f>PasteBBM!U344</f>
        <v>16</v>
      </c>
      <c r="G344">
        <f>PasteBBM!X344</f>
        <v>11</v>
      </c>
      <c r="H344">
        <f>PasteBBM!AE344*PasteBBM!AF344</f>
        <v>1.775626277</v>
      </c>
      <c r="I344">
        <f>PasteBBM!AE344</f>
        <v>0.433807</v>
      </c>
      <c r="J344">
        <f>PasteBBM!AG344*PasteBBM!AH344</f>
        <v>0.7231251431</v>
      </c>
      <c r="K344">
        <f>PasteBBM!AG344</f>
        <v>0.883881</v>
      </c>
      <c r="L344">
        <f>PasteBBM!Z344</f>
        <v>1.005625</v>
      </c>
      <c r="M344">
        <f>PasteBBM!Y344</f>
        <v>5.28</v>
      </c>
      <c r="N344">
        <f>PasteBBM!AA344</f>
        <v>1.395</v>
      </c>
      <c r="O344">
        <f>PasteBBM!AB344</f>
        <v>1.7325</v>
      </c>
      <c r="P344">
        <f>PasteBBM!AC344</f>
        <v>0.4175</v>
      </c>
      <c r="Q344">
        <f>PasteBBM!AD344</f>
        <v>0.06375</v>
      </c>
      <c r="R344">
        <f>PasteBBM!AI344</f>
        <v>0.344375</v>
      </c>
      <c r="S344">
        <f>PasteBBM!AE344</f>
        <v>0.433807</v>
      </c>
      <c r="T344">
        <f>PasteBBM!AG344</f>
        <v>0.883881</v>
      </c>
      <c r="V344" s="44">
        <v>-0.41709</v>
      </c>
      <c r="W344" s="44">
        <v>-0.00658</v>
      </c>
      <c r="X344" s="44">
        <v>0.009207</v>
      </c>
      <c r="Y344" s="44">
        <v>-0.4263</v>
      </c>
      <c r="Z344" s="44">
        <v>-0.34564</v>
      </c>
      <c r="AA344" s="45"/>
      <c r="AB344" s="46" t="s">
        <v>126</v>
      </c>
      <c r="AC344" s="44">
        <v>67.0</v>
      </c>
    </row>
    <row r="345">
      <c r="A345" s="2">
        <v>344.0</v>
      </c>
      <c r="B345" s="14">
        <f>IF(PasteBBM!B345="",156,PasteBBM!B345)</f>
        <v>156</v>
      </c>
      <c r="C345" t="str">
        <f>PasteBBM!I345</f>
        <v>Steven Adams</v>
      </c>
      <c r="D345" t="str">
        <f>IFERROR(REPLACE(PasteBBM!K345,FIND("/",PasteBBM!K345,1),1,","),PasteBBM!K345)</f>
        <v>C</v>
      </c>
      <c r="E345" t="str">
        <f>PasteBBM!J345</f>
        <v>HOU</v>
      </c>
      <c r="F345">
        <f>PasteBBM!U345</f>
        <v>54</v>
      </c>
      <c r="G345">
        <f>PasteBBM!X345</f>
        <v>17</v>
      </c>
      <c r="H345">
        <f>PasteBBM!AE345*PasteBBM!AF345</f>
        <v>2.221853112</v>
      </c>
      <c r="I345">
        <f>PasteBBM!AE345</f>
        <v>0.554539</v>
      </c>
      <c r="J345">
        <f>PasteBBM!AG345*PasteBBM!AH345</f>
        <v>0.7546301701</v>
      </c>
      <c r="K345">
        <f>PasteBBM!AG345</f>
        <v>0.438031</v>
      </c>
      <c r="L345">
        <f>PasteBBM!Z345</f>
        <v>0.004074</v>
      </c>
      <c r="M345">
        <f>PasteBBM!Y345</f>
        <v>5.202407</v>
      </c>
      <c r="N345">
        <f>PasteBBM!AA345</f>
        <v>6.867963</v>
      </c>
      <c r="O345">
        <f>PasteBBM!AB345</f>
        <v>1.073148</v>
      </c>
      <c r="P345">
        <f>PasteBBM!AC345</f>
        <v>0.50037</v>
      </c>
      <c r="Q345">
        <f>PasteBBM!AD345</f>
        <v>0.608333</v>
      </c>
      <c r="R345">
        <f>PasteBBM!AI345</f>
        <v>0.965741</v>
      </c>
      <c r="S345">
        <f>PasteBBM!AE345</f>
        <v>0.554539</v>
      </c>
      <c r="T345">
        <f>PasteBBM!AG345</f>
        <v>0.438031</v>
      </c>
      <c r="V345" s="44">
        <v>-0.41709</v>
      </c>
      <c r="W345" s="44">
        <v>-0.00658</v>
      </c>
      <c r="X345" s="44">
        <v>0.009207</v>
      </c>
      <c r="Y345" s="44">
        <v>-0.4263</v>
      </c>
      <c r="Z345" s="44">
        <v>-0.34564</v>
      </c>
      <c r="AA345" s="45"/>
      <c r="AB345" s="46" t="s">
        <v>126</v>
      </c>
      <c r="AC345" s="44">
        <v>67.0</v>
      </c>
    </row>
    <row r="346">
      <c r="A346" s="2">
        <v>345.0</v>
      </c>
      <c r="B346" s="14">
        <f>IF(PasteBBM!B346="",156,PasteBBM!B346)</f>
        <v>156</v>
      </c>
      <c r="C346" t="str">
        <f>PasteBBM!I346</f>
        <v>Jae'Sean Tate</v>
      </c>
      <c r="D346" t="str">
        <f>IFERROR(REPLACE(PasteBBM!K346,FIND("/",PasteBBM!K346,1),1,","),PasteBBM!K346)</f>
        <v>SF</v>
      </c>
      <c r="E346" t="str">
        <f>PasteBBM!J346</f>
        <v>HOU</v>
      </c>
      <c r="F346">
        <f>PasteBBM!U346</f>
        <v>66</v>
      </c>
      <c r="G346">
        <f>PasteBBM!X346</f>
        <v>15</v>
      </c>
      <c r="H346">
        <f>PasteBBM!AE346*PasteBBM!AF346</f>
        <v>1.847573599</v>
      </c>
      <c r="I346">
        <f>PasteBBM!AE346</f>
        <v>0.468387</v>
      </c>
      <c r="J346">
        <f>PasteBBM!AG346*PasteBBM!AH346</f>
        <v>0.5396972113</v>
      </c>
      <c r="K346">
        <f>PasteBBM!AG346</f>
        <v>0.683948</v>
      </c>
      <c r="L346">
        <f>PasteBBM!Z346</f>
        <v>0.461667</v>
      </c>
      <c r="M346">
        <f>PasteBBM!Y346</f>
        <v>4.696515</v>
      </c>
      <c r="N346">
        <f>PasteBBM!AA346</f>
        <v>2.714394</v>
      </c>
      <c r="O346">
        <f>PasteBBM!AB346</f>
        <v>1.150606</v>
      </c>
      <c r="P346">
        <f>PasteBBM!AC346</f>
        <v>0.596667</v>
      </c>
      <c r="Q346">
        <f>PasteBBM!AD346</f>
        <v>0.221515</v>
      </c>
      <c r="R346">
        <f>PasteBBM!AI346</f>
        <v>0.536515</v>
      </c>
      <c r="S346">
        <f>PasteBBM!AE346</f>
        <v>0.468387</v>
      </c>
      <c r="T346">
        <f>PasteBBM!AG346</f>
        <v>0.683948</v>
      </c>
      <c r="V346" s="44">
        <v>-0.41709</v>
      </c>
      <c r="W346" s="44">
        <v>-0.00658</v>
      </c>
      <c r="X346" s="44">
        <v>0.009207</v>
      </c>
      <c r="Y346" s="44">
        <v>-0.4263</v>
      </c>
      <c r="Z346" s="44">
        <v>-0.34564</v>
      </c>
      <c r="AA346" s="45"/>
      <c r="AB346" s="46" t="s">
        <v>126</v>
      </c>
      <c r="AC346" s="44">
        <v>67.0</v>
      </c>
    </row>
    <row r="347">
      <c r="A347" s="2">
        <v>346.0</v>
      </c>
      <c r="B347" s="14">
        <f>IF(PasteBBM!B347="",156,PasteBBM!B347)</f>
        <v>156</v>
      </c>
      <c r="C347" t="str">
        <f>PasteBBM!I347</f>
        <v>Dalton Knecht</v>
      </c>
      <c r="D347" t="str">
        <f>IFERROR(REPLACE(PasteBBM!K347,FIND("/",PasteBBM!K347,1),1,","),PasteBBM!K347)</f>
        <v>SF</v>
      </c>
      <c r="E347" t="str">
        <f>PasteBBM!J347</f>
        <v>LAL</v>
      </c>
      <c r="F347">
        <f>PasteBBM!U347</f>
        <v>71</v>
      </c>
      <c r="G347">
        <f>PasteBBM!X347</f>
        <v>16</v>
      </c>
      <c r="H347">
        <f>PasteBBM!AE347*PasteBBM!AF347</f>
        <v>2.931689153</v>
      </c>
      <c r="I347">
        <f>PasteBBM!AE347</f>
        <v>0.467406</v>
      </c>
      <c r="J347">
        <f>PasteBBM!AG347*PasteBBM!AH347</f>
        <v>0.5139435753</v>
      </c>
      <c r="K347">
        <f>PasteBBM!AG347</f>
        <v>0.744998</v>
      </c>
      <c r="L347">
        <f>PasteBBM!Z347</f>
        <v>1.446901</v>
      </c>
      <c r="M347">
        <f>PasteBBM!Y347</f>
        <v>7.824225</v>
      </c>
      <c r="N347">
        <f>PasteBBM!AA347</f>
        <v>2.319296</v>
      </c>
      <c r="O347">
        <f>PasteBBM!AB347</f>
        <v>0.656479</v>
      </c>
      <c r="P347">
        <f>PasteBBM!AC347</f>
        <v>0.22507</v>
      </c>
      <c r="Q347">
        <f>PasteBBM!AD347</f>
        <v>0.098873</v>
      </c>
      <c r="R347">
        <f>PasteBBM!AI347</f>
        <v>0.428028</v>
      </c>
      <c r="S347">
        <f>PasteBBM!AE347</f>
        <v>0.467406</v>
      </c>
      <c r="T347">
        <f>PasteBBM!AG347</f>
        <v>0.744998</v>
      </c>
      <c r="V347" s="44">
        <v>-0.41709</v>
      </c>
      <c r="W347" s="44">
        <v>-0.00658</v>
      </c>
      <c r="X347" s="44">
        <v>0.009207</v>
      </c>
      <c r="Y347" s="44">
        <v>-0.4263</v>
      </c>
      <c r="Z347" s="44">
        <v>-0.34564</v>
      </c>
      <c r="AA347" s="45"/>
      <c r="AB347" s="46" t="s">
        <v>126</v>
      </c>
      <c r="AC347" s="44">
        <v>67.0</v>
      </c>
    </row>
    <row r="348">
      <c r="A348" s="2">
        <v>347.0</v>
      </c>
      <c r="B348" s="14">
        <f>IF(PasteBBM!B348="",156,PasteBBM!B348)</f>
        <v>156</v>
      </c>
      <c r="C348" t="str">
        <f>PasteBBM!I348</f>
        <v>Gary Harris</v>
      </c>
      <c r="D348" t="str">
        <f>IFERROR(REPLACE(PasteBBM!K348,FIND("/",PasteBBM!K348,1),1,","),PasteBBM!K348)</f>
        <v>SG</v>
      </c>
      <c r="E348" t="str">
        <f>PasteBBM!J348</f>
        <v>MIL</v>
      </c>
      <c r="F348">
        <f>PasteBBM!U348</f>
        <v>48</v>
      </c>
      <c r="G348">
        <f>PasteBBM!X348</f>
        <v>18</v>
      </c>
      <c r="H348">
        <f>PasteBBM!AE348*PasteBBM!AF348</f>
        <v>1.279581847</v>
      </c>
      <c r="I348">
        <f>PasteBBM!AE348</f>
        <v>0.407159</v>
      </c>
      <c r="J348">
        <f>PasteBBM!AG348*PasteBBM!AH348</f>
        <v>0.1112497935</v>
      </c>
      <c r="K348">
        <f>PasteBBM!AG348</f>
        <v>0.708223</v>
      </c>
      <c r="L348">
        <f>PasteBBM!Z348</f>
        <v>0.828333</v>
      </c>
      <c r="M348">
        <f>PasteBBM!Y348</f>
        <v>3.49875</v>
      </c>
      <c r="N348">
        <f>PasteBBM!AA348</f>
        <v>1.477083</v>
      </c>
      <c r="O348">
        <f>PasteBBM!AB348</f>
        <v>0.941042</v>
      </c>
      <c r="P348">
        <f>PasteBBM!AC348</f>
        <v>0.680208</v>
      </c>
      <c r="Q348">
        <f>PasteBBM!AD348</f>
        <v>0.265417</v>
      </c>
      <c r="R348">
        <f>PasteBBM!AI348</f>
        <v>0.417083</v>
      </c>
      <c r="S348">
        <f>PasteBBM!AE348</f>
        <v>0.407159</v>
      </c>
      <c r="T348">
        <f>PasteBBM!AG348</f>
        <v>0.708223</v>
      </c>
      <c r="V348" s="44">
        <v>-0.41709</v>
      </c>
      <c r="W348" s="44">
        <v>-0.00658</v>
      </c>
      <c r="X348" s="44">
        <v>0.009207</v>
      </c>
      <c r="Y348" s="44">
        <v>-0.4263</v>
      </c>
      <c r="Z348" s="44">
        <v>-0.34564</v>
      </c>
      <c r="AA348" s="45"/>
      <c r="AB348" s="46" t="s">
        <v>126</v>
      </c>
      <c r="AC348" s="44">
        <v>67.0</v>
      </c>
    </row>
    <row r="349">
      <c r="A349" s="2">
        <v>348.0</v>
      </c>
      <c r="B349" s="14">
        <f>IF(PasteBBM!B349="",156,PasteBBM!B349)</f>
        <v>156</v>
      </c>
      <c r="C349" t="str">
        <f>PasteBBM!I349</f>
        <v>Johnny Juzang</v>
      </c>
      <c r="D349" t="str">
        <f>IFERROR(REPLACE(PasteBBM!K349,FIND("/",PasteBBM!K349,1),1,","),PasteBBM!K349)</f>
        <v>SG,SF</v>
      </c>
      <c r="E349" t="str">
        <f>PasteBBM!J349</f>
        <v>MIN</v>
      </c>
      <c r="F349">
        <f>PasteBBM!U349</f>
        <v>49</v>
      </c>
      <c r="G349">
        <f>PasteBBM!X349</f>
        <v>15</v>
      </c>
      <c r="H349">
        <f>PasteBBM!AE349*PasteBBM!AF349</f>
        <v>2.343266098</v>
      </c>
      <c r="I349">
        <f>PasteBBM!AE349</f>
        <v>0.427938</v>
      </c>
      <c r="J349">
        <f>PasteBBM!AG349*PasteBBM!AH349</f>
        <v>0.4424491331</v>
      </c>
      <c r="K349">
        <f>PasteBBM!AG349</f>
        <v>0.808051</v>
      </c>
      <c r="L349">
        <f>PasteBBM!Z349</f>
        <v>1.323061</v>
      </c>
      <c r="M349">
        <f>PasteBBM!Y349</f>
        <v>6.452041</v>
      </c>
      <c r="N349">
        <f>PasteBBM!AA349</f>
        <v>2.072857</v>
      </c>
      <c r="O349">
        <f>PasteBBM!AB349</f>
        <v>0.773469</v>
      </c>
      <c r="P349">
        <f>PasteBBM!AC349</f>
        <v>0.402245</v>
      </c>
      <c r="Q349">
        <f>PasteBBM!AD349</f>
        <v>0.092857</v>
      </c>
      <c r="R349">
        <f>PasteBBM!AI349</f>
        <v>0.402245</v>
      </c>
      <c r="S349">
        <f>PasteBBM!AE349</f>
        <v>0.427938</v>
      </c>
      <c r="T349">
        <f>PasteBBM!AG349</f>
        <v>0.808051</v>
      </c>
      <c r="V349" s="44">
        <v>-0.41709</v>
      </c>
      <c r="W349" s="44">
        <v>-0.00658</v>
      </c>
      <c r="X349" s="44">
        <v>0.009207</v>
      </c>
      <c r="Y349" s="44">
        <v>-0.4263</v>
      </c>
      <c r="Z349" s="44">
        <v>-0.34564</v>
      </c>
      <c r="AA349" s="45"/>
      <c r="AB349" s="46" t="s">
        <v>126</v>
      </c>
      <c r="AC349" s="44">
        <v>67.0</v>
      </c>
    </row>
    <row r="350">
      <c r="A350" s="2">
        <v>349.0</v>
      </c>
      <c r="B350" s="14">
        <f>IF(PasteBBM!B350="",156,PasteBBM!B350)</f>
        <v>156</v>
      </c>
      <c r="C350" t="str">
        <f>PasteBBM!I350</f>
        <v>Terry Rozier</v>
      </c>
      <c r="D350" t="str">
        <f>IFERROR(REPLACE(PasteBBM!K350,FIND("/",PasteBBM!K350,1),1,","),PasteBBM!K350)</f>
        <v>PG</v>
      </c>
      <c r="E350" t="str">
        <f>PasteBBM!J350</f>
        <v>MIA</v>
      </c>
      <c r="F350">
        <f>PasteBBM!U350</f>
        <v>66</v>
      </c>
      <c r="G350">
        <f>PasteBBM!X350</f>
        <v>18</v>
      </c>
      <c r="H350">
        <f>PasteBBM!AE350*PasteBBM!AF350</f>
        <v>2.513330431</v>
      </c>
      <c r="I350">
        <f>PasteBBM!AE350</f>
        <v>0.407107</v>
      </c>
      <c r="J350">
        <f>PasteBBM!AG350*PasteBBM!AH350</f>
        <v>0.7557577233</v>
      </c>
      <c r="K350">
        <f>PasteBBM!AG350</f>
        <v>0.81999</v>
      </c>
      <c r="L350">
        <f>PasteBBM!Z350</f>
        <v>1.112576</v>
      </c>
      <c r="M350">
        <f>PasteBBM!Y350</f>
        <v>6.895</v>
      </c>
      <c r="N350">
        <f>PasteBBM!AA350</f>
        <v>2.572576</v>
      </c>
      <c r="O350">
        <f>PasteBBM!AB350</f>
        <v>1.681515</v>
      </c>
      <c r="P350">
        <f>PasteBBM!AC350</f>
        <v>0.423182</v>
      </c>
      <c r="Q350">
        <f>PasteBBM!AD350</f>
        <v>0.11303</v>
      </c>
      <c r="R350">
        <f>PasteBBM!AI350</f>
        <v>0.735</v>
      </c>
      <c r="S350">
        <f>PasteBBM!AE350</f>
        <v>0.407107</v>
      </c>
      <c r="T350">
        <f>PasteBBM!AG350</f>
        <v>0.81999</v>
      </c>
      <c r="V350" s="44">
        <v>-0.41709</v>
      </c>
      <c r="W350" s="44">
        <v>-0.00658</v>
      </c>
      <c r="X350" s="44">
        <v>0.009207</v>
      </c>
      <c r="Y350" s="44">
        <v>-0.4263</v>
      </c>
      <c r="Z350" s="44">
        <v>-0.34564</v>
      </c>
      <c r="AA350" s="45"/>
      <c r="AB350" s="46" t="s">
        <v>126</v>
      </c>
      <c r="AC350" s="44">
        <v>67.0</v>
      </c>
    </row>
    <row r="351">
      <c r="A351" s="2">
        <v>350.0</v>
      </c>
      <c r="B351" s="14">
        <f>IF(PasteBBM!B351="",156,PasteBBM!B351)</f>
        <v>156</v>
      </c>
      <c r="C351" t="str">
        <f>PasteBBM!I351</f>
        <v>DaRon Holmes II</v>
      </c>
      <c r="D351" t="str">
        <f>IFERROR(REPLACE(PasteBBM!K351,FIND("/",PasteBBM!K351,1),1,","),PasteBBM!K351)</f>
        <v>PF,C</v>
      </c>
      <c r="E351" t="str">
        <f>PasteBBM!J351</f>
        <v>DEN</v>
      </c>
      <c r="F351">
        <f>PasteBBM!U351</f>
        <v>33</v>
      </c>
      <c r="G351">
        <f>PasteBBM!X351</f>
        <v>14</v>
      </c>
      <c r="H351">
        <f>PasteBBM!AE351*PasteBBM!AF351</f>
        <v>2.576062091</v>
      </c>
      <c r="I351">
        <f>PasteBBM!AE351</f>
        <v>0.553559</v>
      </c>
      <c r="J351">
        <f>PasteBBM!AG351*PasteBBM!AH351</f>
        <v>1.28848418</v>
      </c>
      <c r="K351">
        <f>PasteBBM!AG351</f>
        <v>0.692057</v>
      </c>
      <c r="L351">
        <f>PasteBBM!Z351</f>
        <v>0.187576</v>
      </c>
      <c r="M351">
        <f>PasteBBM!Y351</f>
        <v>6.628182</v>
      </c>
      <c r="N351">
        <f>PasteBBM!AA351</f>
        <v>3.240303</v>
      </c>
      <c r="O351">
        <f>PasteBBM!AB351</f>
        <v>0.824848</v>
      </c>
      <c r="P351">
        <f>PasteBBM!AC351</f>
        <v>0.323939</v>
      </c>
      <c r="Q351">
        <f>PasteBBM!AD351</f>
        <v>0.677576</v>
      </c>
      <c r="R351">
        <f>PasteBBM!AI351</f>
        <v>0.883636</v>
      </c>
      <c r="S351">
        <f>PasteBBM!AE351</f>
        <v>0.553559</v>
      </c>
      <c r="T351">
        <f>PasteBBM!AG351</f>
        <v>0.692057</v>
      </c>
      <c r="V351" s="44">
        <v>-0.41709</v>
      </c>
      <c r="W351" s="44">
        <v>-0.00658</v>
      </c>
      <c r="X351" s="44">
        <v>0.009207</v>
      </c>
      <c r="Y351" s="44">
        <v>-0.4263</v>
      </c>
      <c r="Z351" s="44">
        <v>-0.34564</v>
      </c>
      <c r="AA351" s="45"/>
      <c r="AB351" s="46" t="s">
        <v>126</v>
      </c>
      <c r="AC351" s="44">
        <v>67.0</v>
      </c>
    </row>
    <row r="352">
      <c r="A352" s="2">
        <v>351.0</v>
      </c>
      <c r="B352" s="14">
        <f>IF(PasteBBM!B352="",156,PasteBBM!B352)</f>
        <v>156</v>
      </c>
      <c r="C352" t="str">
        <f>PasteBBM!I352</f>
        <v>Caleb Martin</v>
      </c>
      <c r="D352" t="str">
        <f>IFERROR(REPLACE(PasteBBM!K352,FIND("/",PasteBBM!K352,1),1,","),PasteBBM!K352)</f>
        <v>SF</v>
      </c>
      <c r="E352" t="str">
        <f>PasteBBM!J352</f>
        <v>DAL</v>
      </c>
      <c r="F352">
        <f>PasteBBM!U352</f>
        <v>59</v>
      </c>
      <c r="G352">
        <f>PasteBBM!X352</f>
        <v>17</v>
      </c>
      <c r="H352">
        <f>PasteBBM!AE352*PasteBBM!AF352</f>
        <v>1.756778818</v>
      </c>
      <c r="I352">
        <f>PasteBBM!AE352</f>
        <v>0.430762</v>
      </c>
      <c r="J352">
        <f>PasteBBM!AG352*PasteBBM!AH352</f>
        <v>0.7037293161</v>
      </c>
      <c r="K352">
        <f>PasteBBM!AG352</f>
        <v>0.73604</v>
      </c>
      <c r="L352">
        <f>PasteBBM!Z352</f>
        <v>0.545424</v>
      </c>
      <c r="M352">
        <f>PasteBBM!Y352</f>
        <v>4.762712</v>
      </c>
      <c r="N352">
        <f>PasteBBM!AA352</f>
        <v>2.468136</v>
      </c>
      <c r="O352">
        <f>PasteBBM!AB352</f>
        <v>1.359322</v>
      </c>
      <c r="P352">
        <f>PasteBBM!AC352</f>
        <v>0.605424</v>
      </c>
      <c r="Q352">
        <f>PasteBBM!AD352</f>
        <v>0.371525</v>
      </c>
      <c r="R352">
        <f>PasteBBM!AI352</f>
        <v>0.786949</v>
      </c>
      <c r="S352">
        <f>PasteBBM!AE352</f>
        <v>0.430762</v>
      </c>
      <c r="T352">
        <f>PasteBBM!AG352</f>
        <v>0.73604</v>
      </c>
      <c r="V352" s="44">
        <v>-0.41709</v>
      </c>
      <c r="W352" s="44">
        <v>-0.00658</v>
      </c>
      <c r="X352" s="44">
        <v>0.009207</v>
      </c>
      <c r="Y352" s="44">
        <v>-0.4263</v>
      </c>
      <c r="Z352" s="44">
        <v>-0.34564</v>
      </c>
      <c r="AA352" s="45"/>
      <c r="AB352" s="46" t="s">
        <v>126</v>
      </c>
      <c r="AC352" s="44">
        <v>67.0</v>
      </c>
    </row>
    <row r="353">
      <c r="A353" s="2">
        <v>352.0</v>
      </c>
      <c r="B353" s="14">
        <f>IF(PasteBBM!B353="",156,PasteBBM!B353)</f>
        <v>156</v>
      </c>
      <c r="C353" t="str">
        <f>PasteBBM!I353</f>
        <v>Brandon Williams</v>
      </c>
      <c r="D353" t="str">
        <f>IFERROR(REPLACE(PasteBBM!K353,FIND("/",PasteBBM!K353,1),1,","),PasteBBM!K353)</f>
        <v>PG</v>
      </c>
      <c r="E353" t="str">
        <f>PasteBBM!J353</f>
        <v>DAL</v>
      </c>
      <c r="F353">
        <f>PasteBBM!U353</f>
        <v>71</v>
      </c>
      <c r="G353">
        <f>PasteBBM!X353</f>
        <v>17</v>
      </c>
      <c r="H353">
        <f>PasteBBM!AE353*PasteBBM!AF353</f>
        <v>3.005214084</v>
      </c>
      <c r="I353">
        <f>PasteBBM!AE353</f>
        <v>0.424288</v>
      </c>
      <c r="J353">
        <f>PasteBBM!AG353*PasteBBM!AH353</f>
        <v>1.70211213</v>
      </c>
      <c r="K353">
        <f>PasteBBM!AG353</f>
        <v>0.750994</v>
      </c>
      <c r="L353">
        <f>PasteBBM!Z353</f>
        <v>0.78169</v>
      </c>
      <c r="M353">
        <f>PasteBBM!Y353</f>
        <v>8.494225</v>
      </c>
      <c r="N353">
        <f>PasteBBM!AA353</f>
        <v>1.93169</v>
      </c>
      <c r="O353">
        <f>PasteBBM!AB353</f>
        <v>2.611268</v>
      </c>
      <c r="P353">
        <f>PasteBBM!AC353</f>
        <v>0.679577</v>
      </c>
      <c r="Q353">
        <f>PasteBBM!AD353</f>
        <v>0.214648</v>
      </c>
      <c r="R353">
        <f>PasteBBM!AI353</f>
        <v>1.39507</v>
      </c>
      <c r="S353">
        <f>PasteBBM!AE353</f>
        <v>0.424288</v>
      </c>
      <c r="T353">
        <f>PasteBBM!AG353</f>
        <v>0.750994</v>
      </c>
      <c r="V353" s="44">
        <v>-0.41709</v>
      </c>
      <c r="W353" s="44">
        <v>-0.00658</v>
      </c>
      <c r="X353" s="44">
        <v>0.009207</v>
      </c>
      <c r="Y353" s="44">
        <v>-0.4263</v>
      </c>
      <c r="Z353" s="44">
        <v>-0.34564</v>
      </c>
      <c r="AA353" s="45"/>
      <c r="AB353" s="46" t="s">
        <v>126</v>
      </c>
      <c r="AC353" s="44">
        <v>67.0</v>
      </c>
    </row>
    <row r="354">
      <c r="A354" s="2">
        <v>353.0</v>
      </c>
      <c r="B354" s="14">
        <f>IF(PasteBBM!B354="",156,PasteBBM!B354)</f>
        <v>156</v>
      </c>
      <c r="C354" t="str">
        <f>PasteBBM!I354</f>
        <v>Nigel Hayes-Davis</v>
      </c>
      <c r="D354" t="str">
        <f>IFERROR(REPLACE(PasteBBM!K354,FIND("/",PasteBBM!K354,1),1,","),PasteBBM!K354)</f>
        <v>SF,PF</v>
      </c>
      <c r="E354" t="str">
        <f>PasteBBM!J354</f>
        <v>PHO</v>
      </c>
      <c r="F354">
        <f>PasteBBM!U354</f>
        <v>46</v>
      </c>
      <c r="G354">
        <f>PasteBBM!X354</f>
        <v>14</v>
      </c>
      <c r="H354">
        <f>PasteBBM!AE354*PasteBBM!AF354</f>
        <v>1.866955088</v>
      </c>
      <c r="I354">
        <f>PasteBBM!AE354</f>
        <v>0.425422</v>
      </c>
      <c r="J354">
        <f>PasteBBM!AG354*PasteBBM!AH354</f>
        <v>0.7417392687</v>
      </c>
      <c r="K354">
        <f>PasteBBM!AG354</f>
        <v>0.844973</v>
      </c>
      <c r="L354">
        <f>PasteBBM!Z354</f>
        <v>0.880217</v>
      </c>
      <c r="M354">
        <f>PasteBBM!Y354</f>
        <v>5.35587</v>
      </c>
      <c r="N354">
        <f>PasteBBM!AA354</f>
        <v>2.541087</v>
      </c>
      <c r="O354">
        <f>PasteBBM!AB354</f>
        <v>0.952826</v>
      </c>
      <c r="P354">
        <f>PasteBBM!AC354</f>
        <v>0.577391</v>
      </c>
      <c r="Q354">
        <f>PasteBBM!AD354</f>
        <v>0.173261</v>
      </c>
      <c r="R354">
        <f>PasteBBM!AI354</f>
        <v>0.866304</v>
      </c>
      <c r="S354">
        <f>PasteBBM!AE354</f>
        <v>0.425422</v>
      </c>
      <c r="T354">
        <f>PasteBBM!AG354</f>
        <v>0.844973</v>
      </c>
      <c r="V354" s="44">
        <v>-0.41709</v>
      </c>
      <c r="W354" s="44">
        <v>-0.00658</v>
      </c>
      <c r="X354" s="44">
        <v>0.009207</v>
      </c>
      <c r="Y354" s="44">
        <v>-0.4263</v>
      </c>
      <c r="Z354" s="44">
        <v>-0.34564</v>
      </c>
      <c r="AA354" s="45"/>
      <c r="AB354" s="46" t="s">
        <v>126</v>
      </c>
      <c r="AC354" s="44">
        <v>67.0</v>
      </c>
    </row>
    <row r="355">
      <c r="A355" s="2">
        <v>354.0</v>
      </c>
      <c r="B355" s="14">
        <f>IF(PasteBBM!B355="",156,PasteBBM!B355)</f>
        <v>156</v>
      </c>
      <c r="C355" t="str">
        <f>PasteBBM!I355</f>
        <v>John Konchar</v>
      </c>
      <c r="D355" t="str">
        <f>IFERROR(REPLACE(PasteBBM!K355,FIND("/",PasteBBM!K355,1),1,","),PasteBBM!K355)</f>
        <v>SG</v>
      </c>
      <c r="E355" t="str">
        <f>PasteBBM!J355</f>
        <v>MEM</v>
      </c>
      <c r="F355">
        <f>PasteBBM!U355</f>
        <v>34</v>
      </c>
      <c r="G355">
        <f>PasteBBM!X355</f>
        <v>11</v>
      </c>
      <c r="H355">
        <f>PasteBBM!AE355*PasteBBM!AF355</f>
        <v>0.7261767659</v>
      </c>
      <c r="I355">
        <f>PasteBBM!AE355</f>
        <v>0.431342</v>
      </c>
      <c r="J355">
        <f>PasteBBM!AG355*PasteBBM!AH355</f>
        <v>0.1452937382</v>
      </c>
      <c r="K355">
        <f>PasteBBM!AG355</f>
        <v>0.862129</v>
      </c>
      <c r="L355">
        <f>PasteBBM!Z355</f>
        <v>0.430588</v>
      </c>
      <c r="M355">
        <f>PasteBBM!Y355</f>
        <v>2.028235</v>
      </c>
      <c r="N355">
        <f>PasteBBM!AA355</f>
        <v>3.128235</v>
      </c>
      <c r="O355">
        <f>PasteBBM!AB355</f>
        <v>0.873529</v>
      </c>
      <c r="P355">
        <f>PasteBBM!AC355</f>
        <v>0.558235</v>
      </c>
      <c r="Q355">
        <f>PasteBBM!AD355</f>
        <v>0.240588</v>
      </c>
      <c r="R355">
        <f>PasteBBM!AI355</f>
        <v>0.415882</v>
      </c>
      <c r="S355">
        <f>PasteBBM!AE355</f>
        <v>0.431342</v>
      </c>
      <c r="T355">
        <f>PasteBBM!AG355</f>
        <v>0.862129</v>
      </c>
      <c r="V355" s="44">
        <v>-0.41709</v>
      </c>
      <c r="W355" s="44">
        <v>-0.00658</v>
      </c>
      <c r="X355" s="44">
        <v>0.009207</v>
      </c>
      <c r="Y355" s="44">
        <v>-0.4263</v>
      </c>
      <c r="Z355" s="44">
        <v>-0.34564</v>
      </c>
      <c r="AA355" s="45"/>
      <c r="AB355" s="46" t="s">
        <v>126</v>
      </c>
      <c r="AC355" s="44">
        <v>67.0</v>
      </c>
    </row>
    <row r="356">
      <c r="A356" s="2">
        <v>355.0</v>
      </c>
      <c r="B356" s="14">
        <f>IF(PasteBBM!B356="",156,PasteBBM!B356)</f>
        <v>156</v>
      </c>
      <c r="C356" t="str">
        <f>PasteBBM!I356</f>
        <v>N'Faly Dante</v>
      </c>
      <c r="D356" t="str">
        <f>IFERROR(REPLACE(PasteBBM!K356,FIND("/",PasteBBM!K356,1),1,","),PasteBBM!K356)</f>
        <v>C</v>
      </c>
      <c r="E356" t="str">
        <f>PasteBBM!J356</f>
        <v>ATL</v>
      </c>
      <c r="F356">
        <f>PasteBBM!U356</f>
        <v>28</v>
      </c>
      <c r="G356">
        <f>PasteBBM!X356</f>
        <v>10</v>
      </c>
      <c r="H356">
        <f>PasteBBM!AE356*PasteBBM!AF356</f>
        <v>1.832858254</v>
      </c>
      <c r="I356">
        <f>PasteBBM!AE356</f>
        <v>0.687936</v>
      </c>
      <c r="J356">
        <f>PasteBBM!AG356*PasteBBM!AH356</f>
        <v>0.4982143505</v>
      </c>
      <c r="K356">
        <f>PasteBBM!AG356</f>
        <v>0.651869</v>
      </c>
      <c r="L356">
        <f>PasteBBM!Z356</f>
        <v>0</v>
      </c>
      <c r="M356">
        <f>PasteBBM!Y356</f>
        <v>4.163929</v>
      </c>
      <c r="N356">
        <f>PasteBBM!AA356</f>
        <v>3.575</v>
      </c>
      <c r="O356">
        <f>PasteBBM!AB356</f>
        <v>0.450714</v>
      </c>
      <c r="P356">
        <f>PasteBBM!AC356</f>
        <v>0.26</v>
      </c>
      <c r="Q356">
        <f>PasteBBM!AD356</f>
        <v>0.563214</v>
      </c>
      <c r="R356">
        <f>PasteBBM!AI356</f>
        <v>0.571786</v>
      </c>
      <c r="S356">
        <f>PasteBBM!AE356</f>
        <v>0.687936</v>
      </c>
      <c r="T356">
        <f>PasteBBM!AG356</f>
        <v>0.651869</v>
      </c>
      <c r="V356" s="44">
        <v>-0.41709</v>
      </c>
      <c r="W356" s="44">
        <v>-0.00658</v>
      </c>
      <c r="X356" s="44">
        <v>0.009207</v>
      </c>
      <c r="Y356" s="44">
        <v>-0.4263</v>
      </c>
      <c r="Z356" s="44">
        <v>-0.34564</v>
      </c>
      <c r="AA356" s="45"/>
      <c r="AB356" s="46" t="s">
        <v>126</v>
      </c>
      <c r="AC356" s="44">
        <v>67.0</v>
      </c>
    </row>
    <row r="357">
      <c r="A357" s="2">
        <v>356.0</v>
      </c>
      <c r="B357" s="14">
        <f>IF(PasteBBM!B357="",156,PasteBBM!B357)</f>
        <v>156</v>
      </c>
      <c r="C357" t="str">
        <f>PasteBBM!I357</f>
        <v>G.G. Jackson</v>
      </c>
      <c r="D357" t="str">
        <f>IFERROR(REPLACE(PasteBBM!K357,FIND("/",PasteBBM!K357,1),1,","),PasteBBM!K357)</f>
        <v>PF</v>
      </c>
      <c r="E357" t="str">
        <f>PasteBBM!J357</f>
        <v>MEM</v>
      </c>
      <c r="F357">
        <f>PasteBBM!U357</f>
        <v>66</v>
      </c>
      <c r="G357">
        <f>PasteBBM!X357</f>
        <v>18</v>
      </c>
      <c r="H357">
        <f>PasteBBM!AE357*PasteBBM!AF357</f>
        <v>3.009244004</v>
      </c>
      <c r="I357">
        <f>PasteBBM!AE357</f>
        <v>0.402232</v>
      </c>
      <c r="J357">
        <f>PasteBBM!AG357*PasteBBM!AH357</f>
        <v>1.13712112</v>
      </c>
      <c r="K357">
        <f>PasteBBM!AG357</f>
        <v>0.76</v>
      </c>
      <c r="L357">
        <f>PasteBBM!Z357</f>
        <v>1.248182</v>
      </c>
      <c r="M357">
        <f>PasteBBM!Y357</f>
        <v>8.403788</v>
      </c>
      <c r="N357">
        <f>PasteBBM!AA357</f>
        <v>3.740606</v>
      </c>
      <c r="O357">
        <f>PasteBBM!AB357</f>
        <v>0.970909</v>
      </c>
      <c r="P357">
        <f>PasteBBM!AC357</f>
        <v>0.418788</v>
      </c>
      <c r="Q357">
        <f>PasteBBM!AD357</f>
        <v>0.281212</v>
      </c>
      <c r="R357">
        <f>PasteBBM!AI357</f>
        <v>1.121364</v>
      </c>
      <c r="S357">
        <f>PasteBBM!AE357</f>
        <v>0.402232</v>
      </c>
      <c r="T357">
        <f>PasteBBM!AG357</f>
        <v>0.76</v>
      </c>
      <c r="V357" s="44">
        <v>-0.41709</v>
      </c>
      <c r="W357" s="44">
        <v>-0.00658</v>
      </c>
      <c r="X357" s="44">
        <v>0.009207</v>
      </c>
      <c r="Y357" s="44">
        <v>-0.4263</v>
      </c>
      <c r="Z357" s="44">
        <v>-0.34564</v>
      </c>
      <c r="AA357" s="45"/>
      <c r="AB357" s="46" t="s">
        <v>126</v>
      </c>
      <c r="AC357" s="44">
        <v>67.0</v>
      </c>
    </row>
    <row r="358">
      <c r="A358" s="2">
        <v>357.0</v>
      </c>
      <c r="B358" s="14">
        <f>IF(PasteBBM!B358="",156,PasteBBM!B358)</f>
        <v>156</v>
      </c>
      <c r="C358" t="str">
        <f>PasteBBM!I358</f>
        <v>Nique Clifford</v>
      </c>
      <c r="D358" t="str">
        <f>IFERROR(REPLACE(PasteBBM!K358,FIND("/",PasteBBM!K358,1),1,","),PasteBBM!K358)</f>
        <v>PG,SG</v>
      </c>
      <c r="E358" t="str">
        <f>PasteBBM!J358</f>
        <v>SAC</v>
      </c>
      <c r="F358">
        <f>PasteBBM!U358</f>
        <v>71</v>
      </c>
      <c r="G358">
        <f>PasteBBM!X358</f>
        <v>18</v>
      </c>
      <c r="H358">
        <f>PasteBBM!AE358*PasteBBM!AF358</f>
        <v>2.125634126</v>
      </c>
      <c r="I358">
        <f>PasteBBM!AE358</f>
        <v>0.417425</v>
      </c>
      <c r="J358">
        <f>PasteBBM!AG358*PasteBBM!AH358</f>
        <v>0.7025351743</v>
      </c>
      <c r="K358">
        <f>PasteBBM!AG358</f>
        <v>0.726055</v>
      </c>
      <c r="L358">
        <f>PasteBBM!Z358</f>
        <v>0.832535</v>
      </c>
      <c r="M358">
        <f>PasteBBM!Y358</f>
        <v>5.786338</v>
      </c>
      <c r="N358">
        <f>PasteBBM!AA358</f>
        <v>3.52831</v>
      </c>
      <c r="O358">
        <f>PasteBBM!AB358</f>
        <v>1.600563</v>
      </c>
      <c r="P358">
        <f>PasteBBM!AC358</f>
        <v>0.545634</v>
      </c>
      <c r="Q358">
        <f>PasteBBM!AD358</f>
        <v>0.290986</v>
      </c>
      <c r="R358">
        <f>PasteBBM!AI358</f>
        <v>1.273099</v>
      </c>
      <c r="S358">
        <f>PasteBBM!AE358</f>
        <v>0.417425</v>
      </c>
      <c r="T358">
        <f>PasteBBM!AG358</f>
        <v>0.726055</v>
      </c>
      <c r="V358" s="44">
        <v>-0.41709</v>
      </c>
      <c r="W358" s="44">
        <v>-0.00658</v>
      </c>
      <c r="X358" s="44">
        <v>0.009207</v>
      </c>
      <c r="Y358" s="44">
        <v>-0.4263</v>
      </c>
      <c r="Z358" s="44">
        <v>-0.34564</v>
      </c>
      <c r="AA358" s="45"/>
      <c r="AB358" s="46" t="s">
        <v>126</v>
      </c>
      <c r="AC358" s="44">
        <v>67.0</v>
      </c>
    </row>
    <row r="359">
      <c r="A359" s="2">
        <v>358.0</v>
      </c>
      <c r="B359" s="14">
        <f>IF(PasteBBM!B359="",156,PasteBBM!B359)</f>
        <v>156</v>
      </c>
      <c r="C359" t="str">
        <f>PasteBBM!I359</f>
        <v>Oscar Tshiebwe</v>
      </c>
      <c r="D359" t="str">
        <f>IFERROR(REPLACE(PasteBBM!K359,FIND("/",PasteBBM!K359,1),1,","),PasteBBM!K359)</f>
        <v>C</v>
      </c>
      <c r="E359" t="str">
        <f>PasteBBM!J359</f>
        <v>UTA</v>
      </c>
      <c r="F359">
        <f>PasteBBM!U359</f>
        <v>43</v>
      </c>
      <c r="G359">
        <f>PasteBBM!X359</f>
        <v>10</v>
      </c>
      <c r="H359">
        <f>PasteBBM!AE359*PasteBBM!AF359</f>
        <v>1.662789961</v>
      </c>
      <c r="I359">
        <f>PasteBBM!AE359</f>
        <v>0.595833</v>
      </c>
      <c r="J359">
        <f>PasteBBM!AG359*PasteBBM!AH359</f>
        <v>0.73418579</v>
      </c>
      <c r="K359">
        <f>PasteBBM!AG359</f>
        <v>0.725914</v>
      </c>
      <c r="L359">
        <f>PasteBBM!Z359</f>
        <v>0</v>
      </c>
      <c r="M359">
        <f>PasteBBM!Y359</f>
        <v>4.059767</v>
      </c>
      <c r="N359">
        <f>PasteBBM!AA359</f>
        <v>4.056047</v>
      </c>
      <c r="O359">
        <f>PasteBBM!AB359</f>
        <v>0.367907</v>
      </c>
      <c r="P359">
        <f>PasteBBM!AC359</f>
        <v>0.419535</v>
      </c>
      <c r="Q359">
        <f>PasteBBM!AD359</f>
        <v>0.194186</v>
      </c>
      <c r="R359">
        <f>PasteBBM!AI359</f>
        <v>0.448605</v>
      </c>
      <c r="S359">
        <f>PasteBBM!AE359</f>
        <v>0.595833</v>
      </c>
      <c r="T359">
        <f>PasteBBM!AG359</f>
        <v>0.725914</v>
      </c>
      <c r="V359" s="44">
        <v>-0.41709</v>
      </c>
      <c r="W359" s="44">
        <v>-0.00658</v>
      </c>
      <c r="X359" s="44">
        <v>0.009207</v>
      </c>
      <c r="Y359" s="44">
        <v>-0.4263</v>
      </c>
      <c r="Z359" s="44">
        <v>-0.34564</v>
      </c>
      <c r="AA359" s="45"/>
      <c r="AB359" s="46" t="s">
        <v>126</v>
      </c>
      <c r="AC359" s="44">
        <v>67.0</v>
      </c>
    </row>
    <row r="360">
      <c r="A360" s="2">
        <v>359.0</v>
      </c>
      <c r="B360" s="14">
        <f>IF(PasteBBM!B360="",156,PasteBBM!B360)</f>
        <v>156</v>
      </c>
      <c r="C360" t="str">
        <f>PasteBBM!I360</f>
        <v>Dario Saric</v>
      </c>
      <c r="D360" t="str">
        <f>IFERROR(REPLACE(PasteBBM!K360,FIND("/",PasteBBM!K360,1),1,","),PasteBBM!K360)</f>
        <v>C</v>
      </c>
      <c r="E360" t="str">
        <f>PasteBBM!J360</f>
        <v>SAC</v>
      </c>
      <c r="F360">
        <f>PasteBBM!U360</f>
        <v>43</v>
      </c>
      <c r="G360">
        <f>PasteBBM!X360</f>
        <v>17</v>
      </c>
      <c r="H360">
        <f>PasteBBM!AE360*PasteBBM!AF360</f>
        <v>2.013722078</v>
      </c>
      <c r="I360">
        <f>PasteBBM!AE360</f>
        <v>0.418714</v>
      </c>
      <c r="J360">
        <f>PasteBBM!AG360*PasteBBM!AH360</f>
        <v>0.7416277251</v>
      </c>
      <c r="K360">
        <f>PasteBBM!AG360</f>
        <v>0.771035</v>
      </c>
      <c r="L360">
        <f>PasteBBM!Z360</f>
        <v>0.77186</v>
      </c>
      <c r="M360">
        <f>PasteBBM!Y360</f>
        <v>5.54093</v>
      </c>
      <c r="N360">
        <f>PasteBBM!AA360</f>
        <v>4.019535</v>
      </c>
      <c r="O360">
        <f>PasteBBM!AB360</f>
        <v>1.717674</v>
      </c>
      <c r="P360">
        <f>PasteBBM!AC360</f>
        <v>0.486977</v>
      </c>
      <c r="Q360">
        <f>PasteBBM!AD360</f>
        <v>0.102326</v>
      </c>
      <c r="R360">
        <f>PasteBBM!AI360</f>
        <v>1.195116</v>
      </c>
      <c r="S360">
        <f>PasteBBM!AE360</f>
        <v>0.418714</v>
      </c>
      <c r="T360">
        <f>PasteBBM!AG360</f>
        <v>0.771035</v>
      </c>
      <c r="V360" s="44">
        <v>-0.41709</v>
      </c>
      <c r="W360" s="44">
        <v>-0.00658</v>
      </c>
      <c r="X360" s="44">
        <v>0.009207</v>
      </c>
      <c r="Y360" s="44">
        <v>-0.4263</v>
      </c>
      <c r="Z360" s="44">
        <v>-0.34564</v>
      </c>
      <c r="AA360" s="45"/>
      <c r="AB360" s="46" t="s">
        <v>126</v>
      </c>
      <c r="AC360" s="44">
        <v>67.0</v>
      </c>
    </row>
    <row r="361">
      <c r="A361" s="2">
        <v>360.0</v>
      </c>
      <c r="B361" s="14">
        <f>IF(PasteBBM!B361="",156,PasteBBM!B361)</f>
        <v>140</v>
      </c>
      <c r="C361" t="str">
        <f>PasteBBM!I361</f>
        <v>Jared Butler</v>
      </c>
      <c r="D361" t="str">
        <f>IFERROR(REPLACE(PasteBBM!K361,FIND("/",PasteBBM!K361,1),1,","),PasteBBM!K361)</f>
        <v>PG,SG</v>
      </c>
      <c r="E361" t="str">
        <f>PasteBBM!J361</f>
        <v>PHO</v>
      </c>
      <c r="F361">
        <f>PasteBBM!U361</f>
        <v>28</v>
      </c>
      <c r="G361">
        <f>PasteBBM!X361</f>
        <v>12</v>
      </c>
      <c r="H361">
        <f>PasteBBM!AE361*PasteBBM!AF361</f>
        <v>1.964998348</v>
      </c>
      <c r="I361">
        <f>PasteBBM!AE361</f>
        <v>0.461422</v>
      </c>
      <c r="J361">
        <f>PasteBBM!AG361*PasteBBM!AH361</f>
        <v>0.573214692</v>
      </c>
      <c r="K361">
        <f>PasteBBM!AG361</f>
        <v>0.823077</v>
      </c>
      <c r="L361">
        <f>PasteBBM!Z361</f>
        <v>0.689643</v>
      </c>
      <c r="M361">
        <f>PasteBBM!Y361</f>
        <v>5.192857</v>
      </c>
      <c r="N361">
        <f>PasteBBM!AA361</f>
        <v>1.2375</v>
      </c>
      <c r="O361">
        <f>PasteBBM!AB361</f>
        <v>2.425357</v>
      </c>
      <c r="P361">
        <f>PasteBBM!AC361</f>
        <v>0.468214</v>
      </c>
      <c r="Q361">
        <f>PasteBBM!AD361</f>
        <v>0.153214</v>
      </c>
      <c r="R361">
        <f>PasteBBM!AI361</f>
        <v>0.940357</v>
      </c>
      <c r="S361">
        <f>PasteBBM!AE361</f>
        <v>0.461422</v>
      </c>
      <c r="T361">
        <f>PasteBBM!AG361</f>
        <v>0.823077</v>
      </c>
      <c r="V361" s="44">
        <v>-0.41709</v>
      </c>
      <c r="W361" s="44">
        <v>-0.00658</v>
      </c>
      <c r="X361" s="44">
        <v>0.009207</v>
      </c>
      <c r="Y361" s="44">
        <v>-0.4263</v>
      </c>
      <c r="Z361" s="44">
        <v>-0.34564</v>
      </c>
      <c r="AA361" s="45"/>
      <c r="AB361" s="46" t="s">
        <v>126</v>
      </c>
      <c r="AC361" s="44">
        <v>67.0</v>
      </c>
    </row>
    <row r="362">
      <c r="A362" s="2">
        <v>361.0</v>
      </c>
      <c r="B362" s="14">
        <f>IF(PasteBBM!B362="",156,PasteBBM!B362)</f>
        <v>156</v>
      </c>
      <c r="C362" t="str">
        <f>PasteBBM!I362</f>
        <v>Jase Richardson</v>
      </c>
      <c r="D362" t="str">
        <f>IFERROR(REPLACE(PasteBBM!K362,FIND("/",PasteBBM!K362,1),1,","),PasteBBM!K362)</f>
        <v>PG,SG</v>
      </c>
      <c r="E362" t="str">
        <f>PasteBBM!J362</f>
        <v>ORL</v>
      </c>
      <c r="F362">
        <f>PasteBBM!U362</f>
        <v>71</v>
      </c>
      <c r="G362">
        <f>PasteBBM!X362</f>
        <v>16</v>
      </c>
      <c r="H362">
        <f>PasteBBM!AE362*PasteBBM!AF362</f>
        <v>2.197748381</v>
      </c>
      <c r="I362">
        <f>PasteBBM!AE362</f>
        <v>0.457636</v>
      </c>
      <c r="J362">
        <f>PasteBBM!AG362*PasteBBM!AH362</f>
        <v>0.9067604847</v>
      </c>
      <c r="K362">
        <f>PasteBBM!AG362</f>
        <v>0.820964</v>
      </c>
      <c r="L362">
        <f>PasteBBM!Z362</f>
        <v>0.826338</v>
      </c>
      <c r="M362">
        <f>PasteBBM!Y362</f>
        <v>6.128592</v>
      </c>
      <c r="N362">
        <f>PasteBBM!AA362</f>
        <v>1.731268</v>
      </c>
      <c r="O362">
        <f>PasteBBM!AB362</f>
        <v>1.045352</v>
      </c>
      <c r="P362">
        <f>PasteBBM!AC362</f>
        <v>0.457324</v>
      </c>
      <c r="Q362">
        <f>PasteBBM!AD362</f>
        <v>0.16338</v>
      </c>
      <c r="R362">
        <f>PasteBBM!AI362</f>
        <v>0.783944</v>
      </c>
      <c r="S362">
        <f>PasteBBM!AE362</f>
        <v>0.457636</v>
      </c>
      <c r="T362">
        <f>PasteBBM!AG362</f>
        <v>0.820964</v>
      </c>
      <c r="V362" s="44">
        <v>-0.41709</v>
      </c>
      <c r="W362" s="44">
        <v>-0.00658</v>
      </c>
      <c r="X362" s="44">
        <v>0.009207</v>
      </c>
      <c r="Y362" s="44">
        <v>-0.4263</v>
      </c>
      <c r="Z362" s="44">
        <v>-0.34564</v>
      </c>
      <c r="AA362" s="45"/>
      <c r="AB362" s="46" t="s">
        <v>126</v>
      </c>
      <c r="AC362" s="44">
        <v>67.0</v>
      </c>
    </row>
    <row r="363">
      <c r="A363" s="2">
        <v>362.0</v>
      </c>
      <c r="B363" s="14">
        <f>IF(PasteBBM!B363="",156,PasteBBM!B363)</f>
        <v>156</v>
      </c>
      <c r="C363" t="str">
        <f>PasteBBM!I363</f>
        <v>Nikola Topic</v>
      </c>
      <c r="D363" t="str">
        <f>IFERROR(REPLACE(PasteBBM!K363,FIND("/",PasteBBM!K363,1),1,","),PasteBBM!K363)</f>
        <v>PG</v>
      </c>
      <c r="E363" t="str">
        <f>PasteBBM!J363</f>
        <v>OKC</v>
      </c>
      <c r="F363">
        <f>PasteBBM!U363</f>
        <v>48</v>
      </c>
      <c r="G363">
        <f>PasteBBM!X363</f>
        <v>16</v>
      </c>
      <c r="H363">
        <f>PasteBBM!AE363*PasteBBM!AF363</f>
        <v>2.253958378</v>
      </c>
      <c r="I363">
        <f>PasteBBM!AE363</f>
        <v>0.424891</v>
      </c>
      <c r="J363">
        <f>PasteBBM!AG363*PasteBBM!AH363</f>
        <v>0.8314578554</v>
      </c>
      <c r="K363">
        <f>PasteBBM!AG363</f>
        <v>0.825098</v>
      </c>
      <c r="L363">
        <f>PasteBBM!Z363</f>
        <v>0.70625</v>
      </c>
      <c r="M363">
        <f>PasteBBM!Y363</f>
        <v>6.045625</v>
      </c>
      <c r="N363">
        <f>PasteBBM!AA363</f>
        <v>1.802083</v>
      </c>
      <c r="O363">
        <f>PasteBBM!AB363</f>
        <v>3.093958</v>
      </c>
      <c r="P363">
        <f>PasteBBM!AC363</f>
        <v>0.476042</v>
      </c>
      <c r="Q363">
        <f>PasteBBM!AD363</f>
        <v>0.102083</v>
      </c>
      <c r="R363">
        <f>PasteBBM!AI363</f>
        <v>1.292083</v>
      </c>
      <c r="S363">
        <f>PasteBBM!AE363</f>
        <v>0.424891</v>
      </c>
      <c r="T363">
        <f>PasteBBM!AG363</f>
        <v>0.825098</v>
      </c>
      <c r="V363" s="44">
        <v>-0.41709</v>
      </c>
      <c r="W363" s="44">
        <v>-0.00658</v>
      </c>
      <c r="X363" s="44">
        <v>0.009207</v>
      </c>
      <c r="Y363" s="44">
        <v>-0.4263</v>
      </c>
      <c r="Z363" s="44">
        <v>-0.34564</v>
      </c>
      <c r="AA363" s="45"/>
      <c r="AB363" s="46" t="s">
        <v>126</v>
      </c>
      <c r="AC363" s="44">
        <v>67.0</v>
      </c>
    </row>
    <row r="364">
      <c r="A364" s="2">
        <v>363.0</v>
      </c>
      <c r="B364" s="14">
        <f>IF(PasteBBM!B364="",156,PasteBBM!B364)</f>
        <v>156</v>
      </c>
      <c r="C364" t="str">
        <f>PasteBBM!I364</f>
        <v>Christian Koloko</v>
      </c>
      <c r="D364" t="str">
        <f>IFERROR(REPLACE(PasteBBM!K364,FIND("/",PasteBBM!K364,1),1,","),PasteBBM!K364)</f>
        <v>C</v>
      </c>
      <c r="E364" t="str">
        <f>PasteBBM!J364</f>
        <v>LAL</v>
      </c>
      <c r="F364">
        <f>PasteBBM!U364</f>
        <v>16</v>
      </c>
      <c r="G364">
        <f>PasteBBM!X364</f>
        <v>10</v>
      </c>
      <c r="H364">
        <f>PasteBBM!AE364*PasteBBM!AF364</f>
        <v>1.266874389</v>
      </c>
      <c r="I364">
        <f>PasteBBM!AE364</f>
        <v>0.620067</v>
      </c>
      <c r="J364">
        <f>PasteBBM!AG364*PasteBBM!AH364</f>
        <v>0.3462497925</v>
      </c>
      <c r="K364">
        <f>PasteBBM!AG364</f>
        <v>0.652532</v>
      </c>
      <c r="L364">
        <f>PasteBBM!Z364</f>
        <v>0.015625</v>
      </c>
      <c r="M364">
        <f>PasteBBM!Y364</f>
        <v>2.895625</v>
      </c>
      <c r="N364">
        <f>PasteBBM!AA364</f>
        <v>2.654375</v>
      </c>
      <c r="O364">
        <f>PasteBBM!AB364</f>
        <v>0.3975</v>
      </c>
      <c r="P364">
        <f>PasteBBM!AC364</f>
        <v>0.2425</v>
      </c>
      <c r="Q364">
        <f>PasteBBM!AD364</f>
        <v>0.63625</v>
      </c>
      <c r="R364">
        <f>PasteBBM!AI364</f>
        <v>0.286875</v>
      </c>
      <c r="S364">
        <f>PasteBBM!AE364</f>
        <v>0.620067</v>
      </c>
      <c r="T364">
        <f>PasteBBM!AG364</f>
        <v>0.652532</v>
      </c>
      <c r="V364" s="44">
        <v>-0.41709</v>
      </c>
      <c r="W364" s="44">
        <v>-0.00658</v>
      </c>
      <c r="X364" s="44">
        <v>0.009207</v>
      </c>
      <c r="Y364" s="44">
        <v>-0.4263</v>
      </c>
      <c r="Z364" s="44">
        <v>-0.34564</v>
      </c>
      <c r="AA364" s="45"/>
      <c r="AB364" s="46" t="s">
        <v>126</v>
      </c>
      <c r="AC364" s="44">
        <v>67.0</v>
      </c>
    </row>
    <row r="365">
      <c r="A365" s="2">
        <v>364.0</v>
      </c>
      <c r="B365" s="14">
        <f>IF(PasteBBM!B365="",156,PasteBBM!B365)</f>
        <v>156</v>
      </c>
      <c r="C365" t="str">
        <f>PasteBBM!I365</f>
        <v>Bones Hyland</v>
      </c>
      <c r="D365" t="str">
        <f>IFERROR(REPLACE(PasteBBM!K365,FIND("/",PasteBBM!K365,1),1,","),PasteBBM!K365)</f>
        <v>PG</v>
      </c>
      <c r="E365" t="str">
        <f>PasteBBM!J365</f>
        <v>MIN</v>
      </c>
      <c r="F365">
        <f>PasteBBM!U365</f>
        <v>43</v>
      </c>
      <c r="G365">
        <f>PasteBBM!X365</f>
        <v>12</v>
      </c>
      <c r="H365">
        <f>PasteBBM!AE365*PasteBBM!AF365</f>
        <v>1.953022799</v>
      </c>
      <c r="I365">
        <f>PasteBBM!AE365</f>
        <v>0.394513</v>
      </c>
      <c r="J365">
        <f>PasteBBM!AG365*PasteBBM!AH365</f>
        <v>0.82465119</v>
      </c>
      <c r="K365">
        <f>PasteBBM!AG365</f>
        <v>0.832981</v>
      </c>
      <c r="L365">
        <f>PasteBBM!Z365</f>
        <v>1.104884</v>
      </c>
      <c r="M365">
        <f>PasteBBM!Y365</f>
        <v>5.835581</v>
      </c>
      <c r="N365">
        <f>PasteBBM!AA365</f>
        <v>1.410698</v>
      </c>
      <c r="O365">
        <f>PasteBBM!AB365</f>
        <v>1.955349</v>
      </c>
      <c r="P365">
        <f>PasteBBM!AC365</f>
        <v>0.494884</v>
      </c>
      <c r="Q365">
        <f>PasteBBM!AD365</f>
        <v>0.148605</v>
      </c>
      <c r="R365">
        <f>PasteBBM!AI365</f>
        <v>1.039535</v>
      </c>
      <c r="S365">
        <f>PasteBBM!AE365</f>
        <v>0.394513</v>
      </c>
      <c r="T365">
        <f>PasteBBM!AG365</f>
        <v>0.832981</v>
      </c>
      <c r="V365" s="44">
        <v>-0.41709</v>
      </c>
      <c r="W365" s="44">
        <v>-0.00658</v>
      </c>
      <c r="X365" s="44">
        <v>0.009207</v>
      </c>
      <c r="Y365" s="44">
        <v>-0.4263</v>
      </c>
      <c r="Z365" s="44">
        <v>-0.34564</v>
      </c>
      <c r="AA365" s="45"/>
      <c r="AB365" s="46" t="s">
        <v>126</v>
      </c>
      <c r="AC365" s="44">
        <v>67.0</v>
      </c>
    </row>
    <row r="366">
      <c r="A366" s="2">
        <v>365.0</v>
      </c>
      <c r="B366" s="14">
        <f>IF(PasteBBM!B366="",156,PasteBBM!B366)</f>
        <v>156</v>
      </c>
      <c r="C366" t="str">
        <f>PasteBBM!I366</f>
        <v>Jericho Sims</v>
      </c>
      <c r="D366" t="str">
        <f>IFERROR(REPLACE(PasteBBM!K366,FIND("/",PasteBBM!K366,1),1,","),PasteBBM!K366)</f>
        <v>C</v>
      </c>
      <c r="E366" t="str">
        <f>PasteBBM!J366</f>
        <v>MIL</v>
      </c>
      <c r="F366">
        <f>PasteBBM!U366</f>
        <v>56</v>
      </c>
      <c r="G366">
        <f>PasteBBM!X366</f>
        <v>13</v>
      </c>
      <c r="H366">
        <f>PasteBBM!AE366*PasteBBM!AF366</f>
        <v>1.14964222</v>
      </c>
      <c r="I366">
        <f>PasteBBM!AE366</f>
        <v>0.66715</v>
      </c>
      <c r="J366">
        <f>PasteBBM!AG366*PasteBBM!AH366</f>
        <v>0.1498213163</v>
      </c>
      <c r="K366">
        <f>PasteBBM!AG366</f>
        <v>0.621021</v>
      </c>
      <c r="L366">
        <f>PasteBBM!Z366</f>
        <v>0</v>
      </c>
      <c r="M366">
        <f>PasteBBM!Y366</f>
        <v>2.449107</v>
      </c>
      <c r="N366">
        <f>PasteBBM!AA366</f>
        <v>4.376607</v>
      </c>
      <c r="O366">
        <f>PasteBBM!AB366</f>
        <v>0.605714</v>
      </c>
      <c r="P366">
        <f>PasteBBM!AC366</f>
        <v>0.219286</v>
      </c>
      <c r="Q366">
        <f>PasteBBM!AD366</f>
        <v>0.437143</v>
      </c>
      <c r="R366">
        <f>PasteBBM!AI366</f>
        <v>0.656429</v>
      </c>
      <c r="S366">
        <f>PasteBBM!AE366</f>
        <v>0.66715</v>
      </c>
      <c r="T366">
        <f>PasteBBM!AG366</f>
        <v>0.621021</v>
      </c>
      <c r="V366" s="44">
        <v>-0.41709</v>
      </c>
      <c r="W366" s="44">
        <v>-0.00658</v>
      </c>
      <c r="X366" s="44">
        <v>0.009207</v>
      </c>
      <c r="Y366" s="44">
        <v>-0.4263</v>
      </c>
      <c r="Z366" s="44">
        <v>-0.34564</v>
      </c>
      <c r="AA366" s="45"/>
      <c r="AB366" s="46" t="s">
        <v>126</v>
      </c>
      <c r="AC366" s="44">
        <v>67.0</v>
      </c>
    </row>
    <row r="367">
      <c r="A367" s="2">
        <v>366.0</v>
      </c>
      <c r="B367" s="14">
        <f>IF(PasteBBM!B367="",156,PasteBBM!B367)</f>
        <v>156</v>
      </c>
      <c r="C367" t="str">
        <f>PasteBBM!I367</f>
        <v>Asa Newell</v>
      </c>
      <c r="D367" t="str">
        <f>IFERROR(REPLACE(PasteBBM!K367,FIND("/",PasteBBM!K367,1),1,","),PasteBBM!K367)</f>
        <v>SF,PF</v>
      </c>
      <c r="E367" t="str">
        <f>PasteBBM!J367</f>
        <v>ATL</v>
      </c>
      <c r="F367">
        <f>PasteBBM!U367</f>
        <v>46</v>
      </c>
      <c r="G367">
        <f>PasteBBM!X367</f>
        <v>14</v>
      </c>
      <c r="H367">
        <f>PasteBBM!AE367*PasteBBM!AF367</f>
        <v>1.901303065</v>
      </c>
      <c r="I367">
        <f>PasteBBM!AE367</f>
        <v>0.417769</v>
      </c>
      <c r="J367">
        <f>PasteBBM!AG367*PasteBBM!AH367</f>
        <v>0.8102178986</v>
      </c>
      <c r="K367">
        <f>PasteBBM!AG367</f>
        <v>0.741987</v>
      </c>
      <c r="L367">
        <f>PasteBBM!Z367</f>
        <v>0.445652</v>
      </c>
      <c r="M367">
        <f>PasteBBM!Y367</f>
        <v>5.058478</v>
      </c>
      <c r="N367">
        <f>PasteBBM!AA367</f>
        <v>3.003043</v>
      </c>
      <c r="O367">
        <f>PasteBBM!AB367</f>
        <v>0.485435</v>
      </c>
      <c r="P367">
        <f>PasteBBM!AC367</f>
        <v>0.424565</v>
      </c>
      <c r="Q367">
        <f>PasteBBM!AD367</f>
        <v>0.455</v>
      </c>
      <c r="R367">
        <f>PasteBBM!AI367</f>
        <v>0.606739</v>
      </c>
      <c r="S367">
        <f>PasteBBM!AE367</f>
        <v>0.417769</v>
      </c>
      <c r="T367">
        <f>PasteBBM!AG367</f>
        <v>0.741987</v>
      </c>
      <c r="V367" s="44">
        <v>-0.41709</v>
      </c>
      <c r="W367" s="44">
        <v>-0.00658</v>
      </c>
      <c r="X367" s="44">
        <v>0.009207</v>
      </c>
      <c r="Y367" s="44">
        <v>-0.4263</v>
      </c>
      <c r="Z367" s="44">
        <v>-0.34564</v>
      </c>
      <c r="AA367" s="45"/>
      <c r="AB367" s="46" t="s">
        <v>126</v>
      </c>
      <c r="AC367" s="44">
        <v>67.0</v>
      </c>
    </row>
    <row r="368">
      <c r="A368" s="2">
        <v>367.0</v>
      </c>
      <c r="B368" s="14">
        <f>IF(PasteBBM!B368="",156,PasteBBM!B368)</f>
        <v>156</v>
      </c>
      <c r="C368" t="str">
        <f>PasteBBM!I368</f>
        <v>Blake Wesley</v>
      </c>
      <c r="D368" t="str">
        <f>IFERROR(REPLACE(PasteBBM!K368,FIND("/",PasteBBM!K368,1),1,","),PasteBBM!K368)</f>
        <v>SG</v>
      </c>
      <c r="E368" t="str">
        <f>PasteBBM!J368</f>
        <v>POR</v>
      </c>
      <c r="F368">
        <f>PasteBBM!U368</f>
        <v>71</v>
      </c>
      <c r="G368">
        <f>PasteBBM!X368</f>
        <v>17</v>
      </c>
      <c r="H368">
        <f>PasteBBM!AE368*PasteBBM!AF368</f>
        <v>2.314930379</v>
      </c>
      <c r="I368">
        <f>PasteBBM!AE368</f>
        <v>0.444962</v>
      </c>
      <c r="J368">
        <f>PasteBBM!AG368*PasteBBM!AH368</f>
        <v>1.215351743</v>
      </c>
      <c r="K368">
        <f>PasteBBM!AG368</f>
        <v>0.648992</v>
      </c>
      <c r="L368">
        <f>PasteBBM!Z368</f>
        <v>0.540704</v>
      </c>
      <c r="M368">
        <f>PasteBBM!Y368</f>
        <v>6.385915</v>
      </c>
      <c r="N368">
        <f>PasteBBM!AA368</f>
        <v>1.770141</v>
      </c>
      <c r="O368">
        <f>PasteBBM!AB368</f>
        <v>2.384225</v>
      </c>
      <c r="P368">
        <f>PasteBBM!AC368</f>
        <v>0.726479</v>
      </c>
      <c r="Q368">
        <f>PasteBBM!AD368</f>
        <v>0.18</v>
      </c>
      <c r="R368">
        <f>PasteBBM!AI368</f>
        <v>1.083803</v>
      </c>
      <c r="S368">
        <f>PasteBBM!AE368</f>
        <v>0.444962</v>
      </c>
      <c r="T368">
        <f>PasteBBM!AG368</f>
        <v>0.648992</v>
      </c>
      <c r="V368" s="44">
        <v>-0.41709</v>
      </c>
      <c r="W368" s="44">
        <v>-0.00658</v>
      </c>
      <c r="X368" s="44">
        <v>0.009207</v>
      </c>
      <c r="Y368" s="44">
        <v>-0.4263</v>
      </c>
      <c r="Z368" s="44">
        <v>-0.34564</v>
      </c>
      <c r="AA368" s="45"/>
      <c r="AB368" s="46" t="s">
        <v>126</v>
      </c>
      <c r="AC368" s="44">
        <v>67.0</v>
      </c>
    </row>
    <row r="369">
      <c r="A369" s="2">
        <v>368.0</v>
      </c>
      <c r="B369" s="14">
        <f>IF(PasteBBM!B369="",156,PasteBBM!B369)</f>
        <v>156</v>
      </c>
      <c r="C369" t="str">
        <f>PasteBBM!I369</f>
        <v>Spencer Dinwiddie</v>
      </c>
      <c r="D369" t="str">
        <f>IFERROR(REPLACE(PasteBBM!K369,FIND("/",PasteBBM!K369,1),1,","),PasteBBM!K369)</f>
        <v>PG</v>
      </c>
      <c r="E369" t="str">
        <f>PasteBBM!J369</f>
        <v>CHA</v>
      </c>
      <c r="F369">
        <f>PasteBBM!U369</f>
        <v>43</v>
      </c>
      <c r="G369">
        <f>PasteBBM!X369</f>
        <v>16</v>
      </c>
      <c r="H369">
        <f>PasteBBM!AE369*PasteBBM!AF369</f>
        <v>2.059071009</v>
      </c>
      <c r="I369">
        <f>PasteBBM!AE369</f>
        <v>0.406408</v>
      </c>
      <c r="J369">
        <f>PasteBBM!AG369*PasteBBM!AH369</f>
        <v>1.205581377</v>
      </c>
      <c r="K369">
        <f>PasteBBM!AG369</f>
        <v>0.773039</v>
      </c>
      <c r="L369">
        <f>PasteBBM!Z369</f>
        <v>0.844186</v>
      </c>
      <c r="M369">
        <f>PasteBBM!Y369</f>
        <v>6.167907</v>
      </c>
      <c r="N369">
        <f>PasteBBM!AA369</f>
        <v>1.533256</v>
      </c>
      <c r="O369">
        <f>PasteBBM!AB369</f>
        <v>2.118605</v>
      </c>
      <c r="P369">
        <f>PasteBBM!AC369</f>
        <v>0.455116</v>
      </c>
      <c r="Q369">
        <f>PasteBBM!AD369</f>
        <v>0.141395</v>
      </c>
      <c r="R369">
        <f>PasteBBM!AI369</f>
        <v>0.805814</v>
      </c>
      <c r="S369">
        <f>PasteBBM!AE369</f>
        <v>0.406408</v>
      </c>
      <c r="T369">
        <f>PasteBBM!AG369</f>
        <v>0.773039</v>
      </c>
      <c r="V369" s="44">
        <v>-0.41709</v>
      </c>
      <c r="W369" s="44">
        <v>-0.00658</v>
      </c>
      <c r="X369" s="44">
        <v>0.009207</v>
      </c>
      <c r="Y369" s="44">
        <v>-0.4263</v>
      </c>
      <c r="Z369" s="44">
        <v>-0.34564</v>
      </c>
      <c r="AA369" s="45"/>
      <c r="AB369" s="46" t="s">
        <v>126</v>
      </c>
      <c r="AC369" s="44">
        <v>67.0</v>
      </c>
    </row>
    <row r="370">
      <c r="A370" s="2">
        <v>369.0</v>
      </c>
      <c r="B370" s="14">
        <f>IF(PasteBBM!B370="",156,PasteBBM!B370)</f>
        <v>156</v>
      </c>
      <c r="C370" t="str">
        <f>PasteBBM!I370</f>
        <v>Rob Dillingham</v>
      </c>
      <c r="D370" t="str">
        <f>IFERROR(REPLACE(PasteBBM!K370,FIND("/",PasteBBM!K370,1),1,","),PasteBBM!K370)</f>
        <v>PG</v>
      </c>
      <c r="E370" t="str">
        <f>PasteBBM!J370</f>
        <v>MIN</v>
      </c>
      <c r="F370">
        <f>PasteBBM!U370</f>
        <v>71</v>
      </c>
      <c r="G370">
        <f>PasteBBM!X370</f>
        <v>15</v>
      </c>
      <c r="H370">
        <f>PasteBBM!AE370*PasteBBM!AF370</f>
        <v>2.658589795</v>
      </c>
      <c r="I370">
        <f>PasteBBM!AE370</f>
        <v>0.447521</v>
      </c>
      <c r="J370">
        <f>PasteBBM!AG370*PasteBBM!AH370</f>
        <v>0.5153524347</v>
      </c>
      <c r="K370">
        <f>PasteBBM!AG370</f>
        <v>0.72298</v>
      </c>
      <c r="L370">
        <f>PasteBBM!Z370</f>
        <v>0.722958</v>
      </c>
      <c r="M370">
        <f>PasteBBM!Y370</f>
        <v>6.555493</v>
      </c>
      <c r="N370">
        <f>PasteBBM!AA370</f>
        <v>1.550563</v>
      </c>
      <c r="O370">
        <f>PasteBBM!AB370</f>
        <v>2.598732</v>
      </c>
      <c r="P370">
        <f>PasteBBM!AC370</f>
        <v>0.592113</v>
      </c>
      <c r="Q370">
        <f>PasteBBM!AD370</f>
        <v>0.049577</v>
      </c>
      <c r="R370">
        <f>PasteBBM!AI370</f>
        <v>1.324789</v>
      </c>
      <c r="S370">
        <f>PasteBBM!AE370</f>
        <v>0.447521</v>
      </c>
      <c r="T370">
        <f>PasteBBM!AG370</f>
        <v>0.72298</v>
      </c>
      <c r="V370" s="44">
        <v>-0.41709</v>
      </c>
      <c r="W370" s="44">
        <v>-0.00658</v>
      </c>
      <c r="X370" s="44">
        <v>0.009207</v>
      </c>
      <c r="Y370" s="44">
        <v>-0.4263</v>
      </c>
      <c r="Z370" s="44">
        <v>-0.34564</v>
      </c>
      <c r="AA370" s="45"/>
      <c r="AB370" s="46" t="s">
        <v>126</v>
      </c>
      <c r="AC370" s="44">
        <v>67.0</v>
      </c>
    </row>
    <row r="371">
      <c r="A371" s="2">
        <v>370.0</v>
      </c>
      <c r="B371" s="14">
        <f>IF(PasteBBM!B371="",156,PasteBBM!B371)</f>
        <v>156</v>
      </c>
      <c r="C371" t="str">
        <f>PasteBBM!I371</f>
        <v>Tyrese Martin</v>
      </c>
      <c r="D371" t="str">
        <f>IFERROR(REPLACE(PasteBBM!K371,FIND("/",PasteBBM!K371,1),1,","),PasteBBM!K371)</f>
        <v>SG</v>
      </c>
      <c r="E371" t="str">
        <f>PasteBBM!J371</f>
        <v>BKN</v>
      </c>
      <c r="F371">
        <f>PasteBBM!U371</f>
        <v>71</v>
      </c>
      <c r="G371">
        <f>PasteBBM!X371</f>
        <v>14</v>
      </c>
      <c r="H371">
        <f>PasteBBM!AE371*PasteBBM!AF371</f>
        <v>2.161127904</v>
      </c>
      <c r="I371">
        <f>PasteBBM!AE371</f>
        <v>0.425301</v>
      </c>
      <c r="J371">
        <f>PasteBBM!AG371*PasteBBM!AH371</f>
        <v>0.484929741</v>
      </c>
      <c r="K371">
        <f>PasteBBM!AG371</f>
        <v>0.798099</v>
      </c>
      <c r="L371">
        <f>PasteBBM!Z371</f>
        <v>1.058169</v>
      </c>
      <c r="M371">
        <f>PasteBBM!Y371</f>
        <v>5.865352</v>
      </c>
      <c r="N371">
        <f>PasteBBM!AA371</f>
        <v>2.31</v>
      </c>
      <c r="O371">
        <f>PasteBBM!AB371</f>
        <v>1.270563</v>
      </c>
      <c r="P371">
        <f>PasteBBM!AC371</f>
        <v>0.33</v>
      </c>
      <c r="Q371">
        <f>PasteBBM!AD371</f>
        <v>0.089155</v>
      </c>
      <c r="R371">
        <f>PasteBBM!AI371</f>
        <v>0.828592</v>
      </c>
      <c r="S371">
        <f>PasteBBM!AE371</f>
        <v>0.425301</v>
      </c>
      <c r="T371">
        <f>PasteBBM!AG371</f>
        <v>0.798099</v>
      </c>
      <c r="V371" s="44">
        <v>-0.41709</v>
      </c>
      <c r="W371" s="44">
        <v>-0.00658</v>
      </c>
      <c r="X371" s="44">
        <v>0.009207</v>
      </c>
      <c r="Y371" s="44">
        <v>-0.4263</v>
      </c>
      <c r="Z371" s="44">
        <v>-0.34564</v>
      </c>
      <c r="AA371" s="45"/>
      <c r="AB371" s="46" t="s">
        <v>126</v>
      </c>
      <c r="AC371" s="44">
        <v>67.0</v>
      </c>
    </row>
    <row r="372">
      <c r="A372" s="2">
        <v>371.0</v>
      </c>
      <c r="B372" s="14">
        <f>IF(PasteBBM!B372="",156,PasteBBM!B372)</f>
        <v>156</v>
      </c>
      <c r="C372" t="str">
        <f>PasteBBM!I372</f>
        <v>Cody Williams</v>
      </c>
      <c r="D372" t="str">
        <f>IFERROR(REPLACE(PasteBBM!K372,FIND("/",PasteBBM!K372,1),1,","),PasteBBM!K372)</f>
        <v>SG</v>
      </c>
      <c r="E372" t="str">
        <f>PasteBBM!J372</f>
        <v>UTA</v>
      </c>
      <c r="F372">
        <f>PasteBBM!U372</f>
        <v>71</v>
      </c>
      <c r="G372">
        <f>PasteBBM!X372</f>
        <v>20</v>
      </c>
      <c r="H372">
        <f>PasteBBM!AE372*PasteBBM!AF372</f>
        <v>2.238308686</v>
      </c>
      <c r="I372">
        <f>PasteBBM!AE372</f>
        <v>0.367309</v>
      </c>
      <c r="J372">
        <f>PasteBBM!AG372*PasteBBM!AH372</f>
        <v>0.6953518863</v>
      </c>
      <c r="K372">
        <f>PasteBBM!AG372</f>
        <v>0.724963</v>
      </c>
      <c r="L372">
        <f>PasteBBM!Z372</f>
        <v>1.134648</v>
      </c>
      <c r="M372">
        <f>PasteBBM!Y372</f>
        <v>6.30662</v>
      </c>
      <c r="N372">
        <f>PasteBBM!AA372</f>
        <v>2.145775</v>
      </c>
      <c r="O372">
        <f>PasteBBM!AB372</f>
        <v>1.416197</v>
      </c>
      <c r="P372">
        <f>PasteBBM!AC372</f>
        <v>0.42493</v>
      </c>
      <c r="Q372">
        <f>PasteBBM!AD372</f>
        <v>0.302254</v>
      </c>
      <c r="R372">
        <f>PasteBBM!AI372</f>
        <v>0.819577</v>
      </c>
      <c r="S372">
        <f>PasteBBM!AE372</f>
        <v>0.367309</v>
      </c>
      <c r="T372">
        <f>PasteBBM!AG372</f>
        <v>0.724963</v>
      </c>
      <c r="V372" s="44">
        <v>-0.41709</v>
      </c>
      <c r="W372" s="44">
        <v>-0.00658</v>
      </c>
      <c r="X372" s="44">
        <v>0.009207</v>
      </c>
      <c r="Y372" s="44">
        <v>-0.4263</v>
      </c>
      <c r="Z372" s="44">
        <v>-0.34564</v>
      </c>
      <c r="AA372" s="45"/>
      <c r="AB372" s="46" t="s">
        <v>126</v>
      </c>
      <c r="AC372" s="44">
        <v>67.0</v>
      </c>
    </row>
    <row r="373">
      <c r="A373" s="2">
        <v>372.0</v>
      </c>
      <c r="B373" s="14">
        <f>IF(PasteBBM!B373="",156,PasteBBM!B373)</f>
        <v>156</v>
      </c>
      <c r="C373" t="str">
        <f>PasteBBM!I373</f>
        <v>Amari Williams</v>
      </c>
      <c r="D373" t="str">
        <f>IFERROR(REPLACE(PasteBBM!K373,FIND("/",PasteBBM!K373,1),1,","),PasteBBM!K373)</f>
        <v>PF,C</v>
      </c>
      <c r="E373" t="str">
        <f>PasteBBM!J373</f>
        <v>BOS</v>
      </c>
      <c r="F373">
        <f>PasteBBM!U373</f>
        <v>46</v>
      </c>
      <c r="G373">
        <f>PasteBBM!X373</f>
        <v>12</v>
      </c>
      <c r="H373">
        <f>PasteBBM!AE373*PasteBBM!AF373</f>
        <v>2.018914027</v>
      </c>
      <c r="I373">
        <f>PasteBBM!AE373</f>
        <v>0.509156</v>
      </c>
      <c r="J373">
        <f>PasteBBM!AG373*PasteBBM!AH373</f>
        <v>1.028478886</v>
      </c>
      <c r="K373">
        <f>PasteBBM!AG373</f>
        <v>0.665027</v>
      </c>
      <c r="L373">
        <f>PasteBBM!Z373</f>
        <v>0.039565</v>
      </c>
      <c r="M373">
        <f>PasteBBM!Y373</f>
        <v>5.10587</v>
      </c>
      <c r="N373">
        <f>PasteBBM!AA373</f>
        <v>3.579348</v>
      </c>
      <c r="O373">
        <f>PasteBBM!AB373</f>
        <v>1.055652</v>
      </c>
      <c r="P373">
        <f>PasteBBM!AC373</f>
        <v>0.360435</v>
      </c>
      <c r="Q373">
        <f>PasteBBM!AD373</f>
        <v>0.643696</v>
      </c>
      <c r="R373">
        <f>PasteBBM!AI373</f>
        <v>1.133043</v>
      </c>
      <c r="S373">
        <f>PasteBBM!AE373</f>
        <v>0.509156</v>
      </c>
      <c r="T373">
        <f>PasteBBM!AG373</f>
        <v>0.665027</v>
      </c>
      <c r="V373" s="44">
        <v>-0.41709</v>
      </c>
      <c r="W373" s="44">
        <v>-0.00658</v>
      </c>
      <c r="X373" s="44">
        <v>0.009207</v>
      </c>
      <c r="Y373" s="44">
        <v>-0.4263</v>
      </c>
      <c r="Z373" s="44">
        <v>-0.34564</v>
      </c>
      <c r="AA373" s="45"/>
      <c r="AB373" s="46" t="s">
        <v>126</v>
      </c>
      <c r="AC373" s="44">
        <v>67.0</v>
      </c>
    </row>
    <row r="374">
      <c r="A374" s="2">
        <v>373.0</v>
      </c>
      <c r="B374" s="14">
        <f>IF(PasteBBM!B374="",156,PasteBBM!B374)</f>
        <v>156</v>
      </c>
      <c r="C374" t="str">
        <f>PasteBBM!I374</f>
        <v>Kevin Love</v>
      </c>
      <c r="D374" t="str">
        <f>IFERROR(REPLACE(PasteBBM!K374,FIND("/",PasteBBM!K374,1),1,","),PasteBBM!K374)</f>
        <v>PF</v>
      </c>
      <c r="E374" t="str">
        <f>PasteBBM!J374</f>
        <v>UTA</v>
      </c>
      <c r="F374">
        <f>PasteBBM!U374</f>
        <v>16</v>
      </c>
      <c r="G374">
        <f>PasteBBM!X374</f>
        <v>9</v>
      </c>
      <c r="H374">
        <f>PasteBBM!AE374*PasteBBM!AF374</f>
        <v>1.584999255</v>
      </c>
      <c r="I374">
        <f>PasteBBM!AE374</f>
        <v>0.383313</v>
      </c>
      <c r="J374">
        <f>PasteBBM!AG374*PasteBBM!AH374</f>
        <v>0.55062512</v>
      </c>
      <c r="K374">
        <f>PasteBBM!AG374</f>
        <v>0.783808</v>
      </c>
      <c r="L374">
        <f>PasteBBM!Z374</f>
        <v>0.921875</v>
      </c>
      <c r="M374">
        <f>PasteBBM!Y374</f>
        <v>4.6425</v>
      </c>
      <c r="N374">
        <f>PasteBBM!AA374</f>
        <v>3.360625</v>
      </c>
      <c r="O374">
        <f>PasteBBM!AB374</f>
        <v>0.830625</v>
      </c>
      <c r="P374">
        <f>PasteBBM!AC374</f>
        <v>0.24125</v>
      </c>
      <c r="Q374">
        <f>PasteBBM!AD374</f>
        <v>0.118125</v>
      </c>
      <c r="R374">
        <f>PasteBBM!AI374</f>
        <v>0.425</v>
      </c>
      <c r="S374">
        <f>PasteBBM!AE374</f>
        <v>0.383313</v>
      </c>
      <c r="T374">
        <f>PasteBBM!AG374</f>
        <v>0.783808</v>
      </c>
      <c r="V374" s="44">
        <v>-0.41709</v>
      </c>
      <c r="W374" s="44">
        <v>-0.00658</v>
      </c>
      <c r="X374" s="44">
        <v>0.009207</v>
      </c>
      <c r="Y374" s="44">
        <v>-0.4263</v>
      </c>
      <c r="Z374" s="44">
        <v>-0.34564</v>
      </c>
      <c r="AA374" s="45"/>
      <c r="AB374" s="46" t="s">
        <v>126</v>
      </c>
      <c r="AC374" s="44">
        <v>67.0</v>
      </c>
    </row>
    <row r="375">
      <c r="A375" s="2">
        <v>374.0</v>
      </c>
      <c r="B375" s="14">
        <f>IF(PasteBBM!B375="",156,PasteBBM!B375)</f>
        <v>156</v>
      </c>
      <c r="C375" t="str">
        <f>PasteBBM!I375</f>
        <v>James Wiseman</v>
      </c>
      <c r="D375" t="str">
        <f>IFERROR(REPLACE(PasteBBM!K375,FIND("/",PasteBBM!K375,1),1,","),PasteBBM!K375)</f>
        <v>C</v>
      </c>
      <c r="E375" t="str">
        <f>PasteBBM!J375</f>
        <v>IND</v>
      </c>
      <c r="F375">
        <f>PasteBBM!U375</f>
        <v>35</v>
      </c>
      <c r="G375">
        <f>PasteBBM!X375</f>
        <v>13</v>
      </c>
      <c r="H375">
        <f>PasteBBM!AE375*PasteBBM!AF375</f>
        <v>2.23628514</v>
      </c>
      <c r="I375">
        <f>PasteBBM!AE375</f>
        <v>0.563986</v>
      </c>
      <c r="J375">
        <f>PasteBBM!AG375*PasteBBM!AH375</f>
        <v>0.8845710956</v>
      </c>
      <c r="K375">
        <f>PasteBBM!AG375</f>
        <v>0.696983</v>
      </c>
      <c r="L375">
        <f>PasteBBM!Z375</f>
        <v>0.107143</v>
      </c>
      <c r="M375">
        <f>PasteBBM!Y375</f>
        <v>5.464286</v>
      </c>
      <c r="N375">
        <f>PasteBBM!AA375</f>
        <v>3.938857</v>
      </c>
      <c r="O375">
        <f>PasteBBM!AB375</f>
        <v>0.538571</v>
      </c>
      <c r="P375">
        <f>PasteBBM!AC375</f>
        <v>0.131429</v>
      </c>
      <c r="Q375">
        <f>PasteBBM!AD375</f>
        <v>0.447714</v>
      </c>
      <c r="R375">
        <f>PasteBBM!AI375</f>
        <v>0.808857</v>
      </c>
      <c r="S375">
        <f>PasteBBM!AE375</f>
        <v>0.563986</v>
      </c>
      <c r="T375">
        <f>PasteBBM!AG375</f>
        <v>0.696983</v>
      </c>
      <c r="V375" s="44">
        <v>-0.41709</v>
      </c>
      <c r="W375" s="44">
        <v>-0.00658</v>
      </c>
      <c r="X375" s="44">
        <v>0.009207</v>
      </c>
      <c r="Y375" s="44">
        <v>-0.4263</v>
      </c>
      <c r="Z375" s="44">
        <v>-0.34564</v>
      </c>
      <c r="AA375" s="45"/>
      <c r="AB375" s="46" t="s">
        <v>126</v>
      </c>
      <c r="AC375" s="44">
        <v>67.0</v>
      </c>
    </row>
    <row r="376">
      <c r="A376" s="2">
        <v>375.0</v>
      </c>
      <c r="B376" s="14">
        <f>IF(PasteBBM!B376="",156,PasteBBM!B376)</f>
        <v>156</v>
      </c>
      <c r="C376" t="str">
        <f>PasteBBM!I376</f>
        <v>Gui Santos</v>
      </c>
      <c r="D376" t="str">
        <f>IFERROR(REPLACE(PasteBBM!K376,FIND("/",PasteBBM!K376,1),1,","),PasteBBM!K376)</f>
        <v>PF</v>
      </c>
      <c r="E376" t="str">
        <f>PasteBBM!J376</f>
        <v>GSW</v>
      </c>
      <c r="F376">
        <f>PasteBBM!U376</f>
        <v>71</v>
      </c>
      <c r="G376">
        <f>PasteBBM!X376</f>
        <v>12</v>
      </c>
      <c r="H376">
        <f>PasteBBM!AE376*PasteBBM!AF376</f>
        <v>1.279155091</v>
      </c>
      <c r="I376">
        <f>PasteBBM!AE376</f>
        <v>0.4344</v>
      </c>
      <c r="J376">
        <f>PasteBBM!AG376*PasteBBM!AH376</f>
        <v>0.5533804704</v>
      </c>
      <c r="K376">
        <f>PasteBBM!AG376</f>
        <v>0.762913</v>
      </c>
      <c r="L376">
        <f>PasteBBM!Z376</f>
        <v>0.543803</v>
      </c>
      <c r="M376">
        <f>PasteBBM!Y376</f>
        <v>3.655493</v>
      </c>
      <c r="N376">
        <f>PasteBBM!AA376</f>
        <v>2.747183</v>
      </c>
      <c r="O376">
        <f>PasteBBM!AB376</f>
        <v>1.212817</v>
      </c>
      <c r="P376">
        <f>PasteBBM!AC376</f>
        <v>0.368169</v>
      </c>
      <c r="Q376">
        <f>PasteBBM!AD376</f>
        <v>0.149155</v>
      </c>
      <c r="R376">
        <f>PasteBBM!AI376</f>
        <v>0.621268</v>
      </c>
      <c r="S376">
        <f>PasteBBM!AE376</f>
        <v>0.4344</v>
      </c>
      <c r="T376">
        <f>PasteBBM!AG376</f>
        <v>0.762913</v>
      </c>
      <c r="V376" s="44">
        <v>-0.41709</v>
      </c>
      <c r="W376" s="44">
        <v>-0.00658</v>
      </c>
      <c r="X376" s="44">
        <v>0.009207</v>
      </c>
      <c r="Y376" s="44">
        <v>-0.4263</v>
      </c>
      <c r="Z376" s="44">
        <v>-0.34564</v>
      </c>
      <c r="AA376" s="45"/>
      <c r="AB376" s="46" t="s">
        <v>126</v>
      </c>
      <c r="AC376" s="44">
        <v>67.0</v>
      </c>
    </row>
    <row r="377">
      <c r="A377" s="2">
        <v>376.0</v>
      </c>
      <c r="B377" s="14">
        <f>IF(PasteBBM!B377="",156,PasteBBM!B377)</f>
        <v>156</v>
      </c>
      <c r="C377" t="str">
        <f>PasteBBM!I377</f>
        <v>Leonard Miller</v>
      </c>
      <c r="D377" t="str">
        <f>IFERROR(REPLACE(PasteBBM!K377,FIND("/",PasteBBM!K377,1),1,","),PasteBBM!K377)</f>
        <v>SF</v>
      </c>
      <c r="E377" t="str">
        <f>PasteBBM!J377</f>
        <v>MIN</v>
      </c>
      <c r="F377">
        <f>PasteBBM!U377</f>
        <v>46</v>
      </c>
      <c r="G377">
        <f>PasteBBM!X377</f>
        <v>8</v>
      </c>
      <c r="H377">
        <f>PasteBBM!AE377*PasteBBM!AF377</f>
        <v>1.65565345</v>
      </c>
      <c r="I377">
        <f>PasteBBM!AE377</f>
        <v>0.52279</v>
      </c>
      <c r="J377">
        <f>PasteBBM!AG377*PasteBBM!AH377</f>
        <v>1.242608259</v>
      </c>
      <c r="K377">
        <f>PasteBBM!AG377</f>
        <v>0.784518</v>
      </c>
      <c r="L377">
        <f>PasteBBM!Z377</f>
        <v>0.248478</v>
      </c>
      <c r="M377">
        <f>PasteBBM!Y377</f>
        <v>4.802391</v>
      </c>
      <c r="N377">
        <f>PasteBBM!AA377</f>
        <v>2.64</v>
      </c>
      <c r="O377">
        <f>PasteBBM!AB377</f>
        <v>0.313478</v>
      </c>
      <c r="P377">
        <f>PasteBBM!AC377</f>
        <v>0.247609</v>
      </c>
      <c r="Q377">
        <f>PasteBBM!AD377</f>
        <v>0.247391</v>
      </c>
      <c r="R377">
        <f>PasteBBM!AI377</f>
        <v>0.383043</v>
      </c>
      <c r="S377">
        <f>PasteBBM!AE377</f>
        <v>0.52279</v>
      </c>
      <c r="T377">
        <f>PasteBBM!AG377</f>
        <v>0.784518</v>
      </c>
      <c r="V377" s="44">
        <v>-0.41709</v>
      </c>
      <c r="W377" s="44">
        <v>-0.00658</v>
      </c>
      <c r="X377" s="44">
        <v>0.009207</v>
      </c>
      <c r="Y377" s="44">
        <v>-0.4263</v>
      </c>
      <c r="Z377" s="44">
        <v>-0.34564</v>
      </c>
      <c r="AA377" s="45"/>
      <c r="AB377" s="46" t="s">
        <v>126</v>
      </c>
      <c r="AC377" s="44">
        <v>67.0</v>
      </c>
    </row>
    <row r="378">
      <c r="A378" s="2">
        <v>377.0</v>
      </c>
      <c r="B378" s="14">
        <f>IF(PasteBBM!B378="",156,PasteBBM!B378)</f>
        <v>156</v>
      </c>
      <c r="C378" t="str">
        <f>PasteBBM!I378</f>
        <v>Orlando Robinson</v>
      </c>
      <c r="D378" t="str">
        <f>IFERROR(REPLACE(PasteBBM!K378,FIND("/",PasteBBM!K378,1),1,","),PasteBBM!K378)</f>
        <v>C</v>
      </c>
      <c r="E378" t="str">
        <f>PasteBBM!J378</f>
        <v>ORL</v>
      </c>
      <c r="F378">
        <f>PasteBBM!U378</f>
        <v>16</v>
      </c>
      <c r="G378">
        <f>PasteBBM!X378</f>
        <v>12</v>
      </c>
      <c r="H378">
        <f>PasteBBM!AE378*PasteBBM!AF378</f>
        <v>1.582498695</v>
      </c>
      <c r="I378">
        <f>PasteBBM!AE378</f>
        <v>0.485336</v>
      </c>
      <c r="J378">
        <f>PasteBBM!AG378*PasteBBM!AH378</f>
        <v>0.5700001038</v>
      </c>
      <c r="K378">
        <f>PasteBBM!AG378</f>
        <v>0.760634</v>
      </c>
      <c r="L378">
        <f>PasteBBM!Z378</f>
        <v>0.255</v>
      </c>
      <c r="M378">
        <f>PasteBBM!Y378</f>
        <v>3.99</v>
      </c>
      <c r="N378">
        <f>PasteBBM!AA378</f>
        <v>3.331875</v>
      </c>
      <c r="O378">
        <f>PasteBBM!AB378</f>
        <v>1.0325</v>
      </c>
      <c r="P378">
        <f>PasteBBM!AC378</f>
        <v>0.26125</v>
      </c>
      <c r="Q378">
        <f>PasteBBM!AD378</f>
        <v>0.274375</v>
      </c>
      <c r="R378">
        <f>PasteBBM!AI378</f>
        <v>0.69625</v>
      </c>
      <c r="S378">
        <f>PasteBBM!AE378</f>
        <v>0.485336</v>
      </c>
      <c r="T378">
        <f>PasteBBM!AG378</f>
        <v>0.760634</v>
      </c>
      <c r="V378" s="44">
        <v>-0.41709</v>
      </c>
      <c r="W378" s="44">
        <v>-0.00658</v>
      </c>
      <c r="X378" s="44">
        <v>0.009207</v>
      </c>
      <c r="Y378" s="44">
        <v>-0.4263</v>
      </c>
      <c r="Z378" s="44">
        <v>-0.34564</v>
      </c>
      <c r="AA378" s="45"/>
      <c r="AB378" s="46" t="s">
        <v>126</v>
      </c>
      <c r="AC378" s="44">
        <v>67.0</v>
      </c>
    </row>
    <row r="379">
      <c r="A379" s="2">
        <v>378.0</v>
      </c>
      <c r="B379" s="14">
        <f>IF(PasteBBM!B379="",156,PasteBBM!B379)</f>
        <v>156</v>
      </c>
      <c r="C379" t="str">
        <f>PasteBBM!I379</f>
        <v>Jeremiah Fears</v>
      </c>
      <c r="D379" t="str">
        <f>IFERROR(REPLACE(PasteBBM!K379,FIND("/",PasteBBM!K379,1),1,","),PasteBBM!K379)</f>
        <v>PG</v>
      </c>
      <c r="E379" t="str">
        <f>PasteBBM!J379</f>
        <v>NOR</v>
      </c>
      <c r="F379">
        <f>PasteBBM!U379</f>
        <v>71</v>
      </c>
      <c r="G379">
        <f>PasteBBM!X379</f>
        <v>19</v>
      </c>
      <c r="H379">
        <f>PasteBBM!AE379*PasteBBM!AF379</f>
        <v>2.870982422</v>
      </c>
      <c r="I379">
        <f>PasteBBM!AE379</f>
        <v>0.377985</v>
      </c>
      <c r="J379">
        <f>PasteBBM!AG379*PasteBBM!AH379</f>
        <v>2.148168922</v>
      </c>
      <c r="K379">
        <f>PasteBBM!AG379</f>
        <v>0.80801</v>
      </c>
      <c r="L379">
        <f>PasteBBM!Z379</f>
        <v>0.717746</v>
      </c>
      <c r="M379">
        <f>PasteBBM!Y379</f>
        <v>8.607887</v>
      </c>
      <c r="N379">
        <f>PasteBBM!AA379</f>
        <v>2.478732</v>
      </c>
      <c r="O379">
        <f>PasteBBM!AB379</f>
        <v>2.438732</v>
      </c>
      <c r="P379">
        <f>PasteBBM!AC379</f>
        <v>0.879577</v>
      </c>
      <c r="Q379">
        <f>PasteBBM!AD379</f>
        <v>0.12</v>
      </c>
      <c r="R379">
        <f>PasteBBM!AI379</f>
        <v>2.398732</v>
      </c>
      <c r="S379">
        <f>PasteBBM!AE379</f>
        <v>0.377985</v>
      </c>
      <c r="T379">
        <f>PasteBBM!AG379</f>
        <v>0.80801</v>
      </c>
      <c r="V379" s="44">
        <v>-0.41709</v>
      </c>
      <c r="W379" s="44">
        <v>-0.00658</v>
      </c>
      <c r="X379" s="44">
        <v>0.009207</v>
      </c>
      <c r="Y379" s="44">
        <v>-0.4263</v>
      </c>
      <c r="Z379" s="44">
        <v>-0.34564</v>
      </c>
      <c r="AA379" s="45"/>
      <c r="AB379" s="46" t="s">
        <v>126</v>
      </c>
      <c r="AC379" s="44">
        <v>67.0</v>
      </c>
    </row>
    <row r="380">
      <c r="A380" s="2">
        <v>379.0</v>
      </c>
      <c r="B380" s="14">
        <f>IF(PasteBBM!B380="",156,PasteBBM!B380)</f>
        <v>156</v>
      </c>
      <c r="C380" t="str">
        <f>PasteBBM!I380</f>
        <v>Keaton Wallace</v>
      </c>
      <c r="D380" t="str">
        <f>IFERROR(REPLACE(PasteBBM!K380,FIND("/",PasteBBM!K380,1),1,","),PasteBBM!K380)</f>
        <v>PG</v>
      </c>
      <c r="E380" t="str">
        <f>PasteBBM!J380</f>
        <v>ATL</v>
      </c>
      <c r="F380">
        <f>PasteBBM!U380</f>
        <v>16</v>
      </c>
      <c r="G380">
        <f>PasteBBM!X380</f>
        <v>10</v>
      </c>
      <c r="H380">
        <f>PasteBBM!AE380*PasteBBM!AF380</f>
        <v>1.388750387</v>
      </c>
      <c r="I380">
        <f>PasteBBM!AE380</f>
        <v>0.400577</v>
      </c>
      <c r="J380">
        <f>PasteBBM!AG380*PasteBBM!AH380</f>
        <v>0.2593749</v>
      </c>
      <c r="K380">
        <f>PasteBBM!AG380</f>
        <v>0.864583</v>
      </c>
      <c r="L380">
        <f>PasteBBM!Z380</f>
        <v>0.52125</v>
      </c>
      <c r="M380">
        <f>PasteBBM!Y380</f>
        <v>3.558125</v>
      </c>
      <c r="N380">
        <f>PasteBBM!AA380</f>
        <v>1.018125</v>
      </c>
      <c r="O380">
        <f>PasteBBM!AB380</f>
        <v>1.95</v>
      </c>
      <c r="P380">
        <f>PasteBBM!AC380</f>
        <v>0.52</v>
      </c>
      <c r="Q380">
        <f>PasteBBM!AD380</f>
        <v>0.154375</v>
      </c>
      <c r="R380">
        <f>PasteBBM!AI380</f>
        <v>0.693125</v>
      </c>
      <c r="S380">
        <f>PasteBBM!AE380</f>
        <v>0.400577</v>
      </c>
      <c r="T380">
        <f>PasteBBM!AG380</f>
        <v>0.864583</v>
      </c>
      <c r="V380" s="44">
        <v>-0.41709</v>
      </c>
      <c r="W380" s="44">
        <v>-0.00658</v>
      </c>
      <c r="X380" s="44">
        <v>0.009207</v>
      </c>
      <c r="Y380" s="44">
        <v>-0.4263</v>
      </c>
      <c r="Z380" s="44">
        <v>-0.34564</v>
      </c>
      <c r="AA380" s="45"/>
      <c r="AB380" s="46" t="s">
        <v>126</v>
      </c>
      <c r="AC380" s="44">
        <v>67.0</v>
      </c>
    </row>
    <row r="381">
      <c r="A381" s="2">
        <v>380.0</v>
      </c>
      <c r="B381" s="14">
        <f>IF(PasteBBM!B381="",156,PasteBBM!B381)</f>
        <v>156</v>
      </c>
      <c r="C381" t="str">
        <f>PasteBBM!I381</f>
        <v>Jordan Walsh</v>
      </c>
      <c r="D381" t="str">
        <f>IFERROR(REPLACE(PasteBBM!K381,FIND("/",PasteBBM!K381,1),1,","),PasteBBM!K381)</f>
        <v>PF</v>
      </c>
      <c r="E381" t="str">
        <f>PasteBBM!J381</f>
        <v>BOS</v>
      </c>
      <c r="F381">
        <f>PasteBBM!U381</f>
        <v>71</v>
      </c>
      <c r="G381">
        <f>PasteBBM!X381</f>
        <v>14</v>
      </c>
      <c r="H381">
        <f>PasteBBM!AE381*PasteBBM!AF381</f>
        <v>1.572254835</v>
      </c>
      <c r="I381">
        <f>PasteBBM!AE381</f>
        <v>0.381994</v>
      </c>
      <c r="J381">
        <f>PasteBBM!AG381*PasteBBM!AH381</f>
        <v>0.4040844907</v>
      </c>
      <c r="K381">
        <f>PasteBBM!AG381</f>
        <v>0.623018</v>
      </c>
      <c r="L381">
        <f>PasteBBM!Z381</f>
        <v>0.691408</v>
      </c>
      <c r="M381">
        <f>PasteBBM!Y381</f>
        <v>4.24</v>
      </c>
      <c r="N381">
        <f>PasteBBM!AA381</f>
        <v>2.853944</v>
      </c>
      <c r="O381">
        <f>PasteBBM!AB381</f>
        <v>0.678732</v>
      </c>
      <c r="P381">
        <f>PasteBBM!AC381</f>
        <v>0.510704</v>
      </c>
      <c r="Q381">
        <f>PasteBBM!AD381</f>
        <v>0.307746</v>
      </c>
      <c r="R381">
        <f>PasteBBM!AI381</f>
        <v>0.750986</v>
      </c>
      <c r="S381">
        <f>PasteBBM!AE381</f>
        <v>0.381994</v>
      </c>
      <c r="T381">
        <f>PasteBBM!AG381</f>
        <v>0.623018</v>
      </c>
      <c r="V381" s="44">
        <v>-0.41709</v>
      </c>
      <c r="W381" s="44">
        <v>-0.00658</v>
      </c>
      <c r="X381" s="44">
        <v>0.009207</v>
      </c>
      <c r="Y381" s="44">
        <v>-0.4263</v>
      </c>
      <c r="Z381" s="44">
        <v>-0.34564</v>
      </c>
      <c r="AA381" s="45"/>
      <c r="AB381" s="46" t="s">
        <v>126</v>
      </c>
      <c r="AC381" s="44">
        <v>67.0</v>
      </c>
    </row>
    <row r="382">
      <c r="A382" s="2">
        <v>381.0</v>
      </c>
      <c r="B382" s="14">
        <f>IF(PasteBBM!B382="",156,PasteBBM!B382)</f>
        <v>156</v>
      </c>
      <c r="C382" t="str">
        <f>PasteBBM!I382</f>
        <v>Duop Reath</v>
      </c>
      <c r="D382" t="str">
        <f>IFERROR(REPLACE(PasteBBM!K382,FIND("/",PasteBBM!K382,1),1,","),PasteBBM!K382)</f>
        <v>C</v>
      </c>
      <c r="E382" t="str">
        <f>PasteBBM!J382</f>
        <v>POR</v>
      </c>
      <c r="F382">
        <f>PasteBBM!U382</f>
        <v>46</v>
      </c>
      <c r="G382">
        <f>PasteBBM!X382</f>
        <v>9</v>
      </c>
      <c r="H382">
        <f>PasteBBM!AE382*PasteBBM!AF382</f>
        <v>1.636957338</v>
      </c>
      <c r="I382">
        <f>PasteBBM!AE382</f>
        <v>0.462531</v>
      </c>
      <c r="J382">
        <f>PasteBBM!AG382*PasteBBM!AH382</f>
        <v>0.35456524</v>
      </c>
      <c r="K382">
        <f>PasteBBM!AG382</f>
        <v>0.770794</v>
      </c>
      <c r="L382">
        <f>PasteBBM!Z382</f>
        <v>0.728478</v>
      </c>
      <c r="M382">
        <f>PasteBBM!Y382</f>
        <v>4.356957</v>
      </c>
      <c r="N382">
        <f>PasteBBM!AA382</f>
        <v>1.816957</v>
      </c>
      <c r="O382">
        <f>PasteBBM!AB382</f>
        <v>0.438261</v>
      </c>
      <c r="P382">
        <f>PasteBBM!AC382</f>
        <v>0.241522</v>
      </c>
      <c r="Q382">
        <f>PasteBBM!AD382</f>
        <v>0.291522</v>
      </c>
      <c r="R382">
        <f>PasteBBM!AI382</f>
        <v>0.368478</v>
      </c>
      <c r="S382">
        <f>PasteBBM!AE382</f>
        <v>0.462531</v>
      </c>
      <c r="T382">
        <f>PasteBBM!AG382</f>
        <v>0.770794</v>
      </c>
      <c r="V382" s="44">
        <v>-0.41709</v>
      </c>
      <c r="W382" s="44">
        <v>-0.00658</v>
      </c>
      <c r="X382" s="44">
        <v>0.009207</v>
      </c>
      <c r="Y382" s="44">
        <v>-0.4263</v>
      </c>
      <c r="Z382" s="44">
        <v>-0.34564</v>
      </c>
      <c r="AA382" s="45"/>
      <c r="AB382" s="46" t="s">
        <v>126</v>
      </c>
      <c r="AC382" s="44">
        <v>67.0</v>
      </c>
    </row>
    <row r="383">
      <c r="A383" s="2">
        <v>382.0</v>
      </c>
      <c r="B383" s="14">
        <f>IF(PasteBBM!B383="",156,PasteBBM!B383)</f>
        <v>156</v>
      </c>
      <c r="C383" t="str">
        <f>PasteBBM!I383</f>
        <v>Kris Murray</v>
      </c>
      <c r="D383" t="str">
        <f>IFERROR(REPLACE(PasteBBM!K383,FIND("/",PasteBBM!K383,1),1,","),PasteBBM!K383)</f>
        <v>SF</v>
      </c>
      <c r="E383" t="str">
        <f>PasteBBM!J383</f>
        <v>POR</v>
      </c>
      <c r="F383">
        <f>PasteBBM!U383</f>
        <v>71</v>
      </c>
      <c r="G383">
        <f>PasteBBM!X383</f>
        <v>15</v>
      </c>
      <c r="H383">
        <f>PasteBBM!AE383*PasteBBM!AF383</f>
        <v>1.824790809</v>
      </c>
      <c r="I383">
        <f>PasteBBM!AE383</f>
        <v>0.411825</v>
      </c>
      <c r="J383">
        <f>PasteBBM!AG383*PasteBBM!AH383</f>
        <v>0.4952111436</v>
      </c>
      <c r="K383">
        <f>PasteBBM!AG383</f>
        <v>0.605059</v>
      </c>
      <c r="L383">
        <f>PasteBBM!Z383</f>
        <v>0.52169</v>
      </c>
      <c r="M383">
        <f>PasteBBM!Y383</f>
        <v>4.666479</v>
      </c>
      <c r="N383">
        <f>PasteBBM!AA383</f>
        <v>2.709437</v>
      </c>
      <c r="O383">
        <f>PasteBBM!AB383</f>
        <v>0.913662</v>
      </c>
      <c r="P383">
        <f>PasteBBM!AC383</f>
        <v>0.50169</v>
      </c>
      <c r="Q383">
        <f>PasteBBM!AD383</f>
        <v>0.257465</v>
      </c>
      <c r="R383">
        <f>PasteBBM!AI383</f>
        <v>0.642676</v>
      </c>
      <c r="S383">
        <f>PasteBBM!AE383</f>
        <v>0.411825</v>
      </c>
      <c r="T383">
        <f>PasteBBM!AG383</f>
        <v>0.605059</v>
      </c>
      <c r="V383" s="44">
        <v>-0.41709</v>
      </c>
      <c r="W383" s="44">
        <v>-0.00658</v>
      </c>
      <c r="X383" s="44">
        <v>0.009207</v>
      </c>
      <c r="Y383" s="44">
        <v>-0.4263</v>
      </c>
      <c r="Z383" s="44">
        <v>-0.34564</v>
      </c>
      <c r="AA383" s="45"/>
      <c r="AB383" s="46" t="s">
        <v>126</v>
      </c>
      <c r="AC383" s="44">
        <v>67.0</v>
      </c>
    </row>
    <row r="384">
      <c r="A384" s="2">
        <v>383.0</v>
      </c>
      <c r="B384" s="14">
        <f>IF(PasteBBM!B384="",156,PasteBBM!B384)</f>
        <v>156</v>
      </c>
      <c r="C384" t="str">
        <f>PasteBBM!I384</f>
        <v>Adou Thiero</v>
      </c>
      <c r="D384" t="str">
        <f>IFERROR(REPLACE(PasteBBM!K384,FIND("/",PasteBBM!K384,1),1,","),PasteBBM!K384)</f>
        <v>SF,PF</v>
      </c>
      <c r="E384" t="str">
        <f>PasteBBM!J384</f>
        <v>LAL</v>
      </c>
      <c r="F384">
        <f>PasteBBM!U384</f>
        <v>71</v>
      </c>
      <c r="G384">
        <f>PasteBBM!X384</f>
        <v>12</v>
      </c>
      <c r="H384">
        <f>PasteBBM!AE384*PasteBBM!AF384</f>
        <v>1.356198238</v>
      </c>
      <c r="I384">
        <f>PasteBBM!AE384</f>
        <v>0.442937</v>
      </c>
      <c r="J384">
        <f>PasteBBM!AG384*PasteBBM!AH384</f>
        <v>0.6156341461</v>
      </c>
      <c r="K384">
        <f>PasteBBM!AG384</f>
        <v>0.71797</v>
      </c>
      <c r="L384">
        <f>PasteBBM!Z384</f>
        <v>0.226056</v>
      </c>
      <c r="M384">
        <f>PasteBBM!Y384</f>
        <v>3.554085</v>
      </c>
      <c r="N384">
        <f>PasteBBM!AA384</f>
        <v>2.229437</v>
      </c>
      <c r="O384">
        <f>PasteBBM!AB384</f>
        <v>0.710563</v>
      </c>
      <c r="P384">
        <f>PasteBBM!AC384</f>
        <v>0.49</v>
      </c>
      <c r="Q384">
        <f>PasteBBM!AD384</f>
        <v>0.293944</v>
      </c>
      <c r="R384">
        <f>PasteBBM!AI384</f>
        <v>0.514507</v>
      </c>
      <c r="S384">
        <f>PasteBBM!AE384</f>
        <v>0.442937</v>
      </c>
      <c r="T384">
        <f>PasteBBM!AG384</f>
        <v>0.71797</v>
      </c>
      <c r="V384" s="44">
        <v>-0.41709</v>
      </c>
      <c r="W384" s="44">
        <v>-0.00658</v>
      </c>
      <c r="X384" s="44">
        <v>0.009207</v>
      </c>
      <c r="Y384" s="44">
        <v>-0.4263</v>
      </c>
      <c r="Z384" s="44">
        <v>-0.34564</v>
      </c>
      <c r="AA384" s="45"/>
      <c r="AB384" s="46" t="s">
        <v>126</v>
      </c>
      <c r="AC384" s="44">
        <v>67.0</v>
      </c>
    </row>
    <row r="385">
      <c r="A385" s="2">
        <v>384.0</v>
      </c>
      <c r="B385" s="14">
        <f>IF(PasteBBM!B385="",156,PasteBBM!B385)</f>
        <v>156</v>
      </c>
      <c r="C385" t="str">
        <f>PasteBBM!I385</f>
        <v>Noa Essengue</v>
      </c>
      <c r="D385" t="str">
        <f>IFERROR(REPLACE(PasteBBM!K385,FIND("/",PasteBBM!K385,1),1,","),PasteBBM!K385)</f>
        <v>SF,PF</v>
      </c>
      <c r="E385" t="str">
        <f>PasteBBM!J385</f>
        <v>CHI</v>
      </c>
      <c r="F385">
        <f>PasteBBM!U385</f>
        <v>46</v>
      </c>
      <c r="G385">
        <f>PasteBBM!X385</f>
        <v>14</v>
      </c>
      <c r="H385">
        <f>PasteBBM!AE385*PasteBBM!AF385</f>
        <v>1.963913402</v>
      </c>
      <c r="I385">
        <f>PasteBBM!AE385</f>
        <v>0.445244</v>
      </c>
      <c r="J385">
        <f>PasteBBM!AG385*PasteBBM!AH385</f>
        <v>1.26130363</v>
      </c>
      <c r="K385">
        <f>PasteBBM!AG385</f>
        <v>0.71506</v>
      </c>
      <c r="L385">
        <f>PasteBBM!Z385</f>
        <v>0.45</v>
      </c>
      <c r="M385">
        <f>PasteBBM!Y385</f>
        <v>5.63913</v>
      </c>
      <c r="N385">
        <f>PasteBBM!AA385</f>
        <v>2.327391</v>
      </c>
      <c r="O385">
        <f>PasteBBM!AB385</f>
        <v>0.673696</v>
      </c>
      <c r="P385">
        <f>PasteBBM!AC385</f>
        <v>0.459348</v>
      </c>
      <c r="Q385">
        <f>PasteBBM!AD385</f>
        <v>0.245</v>
      </c>
      <c r="R385">
        <f>PasteBBM!AI385</f>
        <v>0.612609</v>
      </c>
      <c r="S385">
        <f>PasteBBM!AE385</f>
        <v>0.445244</v>
      </c>
      <c r="T385">
        <f>PasteBBM!AG385</f>
        <v>0.71506</v>
      </c>
      <c r="V385" s="44">
        <v>-0.41709</v>
      </c>
      <c r="W385" s="44">
        <v>-0.00658</v>
      </c>
      <c r="X385" s="44">
        <v>0.009207</v>
      </c>
      <c r="Y385" s="44">
        <v>-0.4263</v>
      </c>
      <c r="Z385" s="44">
        <v>-0.34564</v>
      </c>
      <c r="AA385" s="45"/>
      <c r="AB385" s="46" t="s">
        <v>126</v>
      </c>
      <c r="AC385" s="44">
        <v>67.0</v>
      </c>
    </row>
    <row r="386">
      <c r="A386" s="2">
        <v>385.0</v>
      </c>
      <c r="B386" s="14">
        <f>IF(PasteBBM!B386="",156,PasteBBM!B386)</f>
        <v>156</v>
      </c>
      <c r="C386" t="str">
        <f>PasteBBM!I386</f>
        <v>Carter Bryant</v>
      </c>
      <c r="D386" t="str">
        <f>IFERROR(REPLACE(PasteBBM!K386,FIND("/",PasteBBM!K386,1),1,","),PasteBBM!K386)</f>
        <v>SF,PF</v>
      </c>
      <c r="E386" t="str">
        <f>PasteBBM!J386</f>
        <v>SAS</v>
      </c>
      <c r="F386">
        <f>PasteBBM!U386</f>
        <v>46</v>
      </c>
      <c r="G386">
        <f>PasteBBM!X386</f>
        <v>12</v>
      </c>
      <c r="H386">
        <f>PasteBBM!AE386*PasteBBM!AF386</f>
        <v>0.8756522239</v>
      </c>
      <c r="I386">
        <f>PasteBBM!AE386</f>
        <v>0.354141</v>
      </c>
      <c r="J386">
        <f>PasteBBM!AG386*PasteBBM!AH386</f>
        <v>0.2628260786</v>
      </c>
      <c r="K386">
        <f>PasteBBM!AG386</f>
        <v>0.70826</v>
      </c>
      <c r="L386">
        <f>PasteBBM!Z386</f>
        <v>0.371087</v>
      </c>
      <c r="M386">
        <f>PasteBBM!Y386</f>
        <v>2.385217</v>
      </c>
      <c r="N386">
        <f>PasteBBM!AA386</f>
        <v>2.295</v>
      </c>
      <c r="O386">
        <f>PasteBBM!AB386</f>
        <v>0.51</v>
      </c>
      <c r="P386">
        <f>PasteBBM!AC386</f>
        <v>0.535435</v>
      </c>
      <c r="Q386">
        <f>PasteBBM!AD386</f>
        <v>0.51</v>
      </c>
      <c r="R386">
        <f>PasteBBM!AI386</f>
        <v>0.688478</v>
      </c>
      <c r="S386">
        <f>PasteBBM!AE386</f>
        <v>0.354141</v>
      </c>
      <c r="T386">
        <f>PasteBBM!AG386</f>
        <v>0.70826</v>
      </c>
      <c r="V386" s="44">
        <v>-0.41709</v>
      </c>
      <c r="W386" s="44">
        <v>-0.00658</v>
      </c>
      <c r="X386" s="44">
        <v>0.009207</v>
      </c>
      <c r="Y386" s="44">
        <v>-0.4263</v>
      </c>
      <c r="Z386" s="44">
        <v>-0.34564</v>
      </c>
      <c r="AA386" s="45"/>
      <c r="AB386" s="46" t="s">
        <v>126</v>
      </c>
      <c r="AC386" s="44">
        <v>67.0</v>
      </c>
    </row>
    <row r="387">
      <c r="A387" s="2">
        <v>386.0</v>
      </c>
      <c r="B387" s="14">
        <f>IF(PasteBBM!B387="",156,PasteBBM!B387)</f>
        <v>156</v>
      </c>
      <c r="C387" t="str">
        <f>PasteBBM!I387</f>
        <v>Landry Shamet</v>
      </c>
      <c r="D387" t="str">
        <f>IFERROR(REPLACE(PasteBBM!K387,FIND("/",PasteBBM!K387,1),1,","),PasteBBM!K387)</f>
        <v>SG</v>
      </c>
      <c r="E387" t="str">
        <f>PasteBBM!J387</f>
        <v>NYK</v>
      </c>
      <c r="F387">
        <f>PasteBBM!U387</f>
        <v>43</v>
      </c>
      <c r="G387">
        <f>PasteBBM!X387</f>
        <v>12</v>
      </c>
      <c r="H387">
        <f>PasteBBM!AE387*PasteBBM!AF387</f>
        <v>1.673952735</v>
      </c>
      <c r="I387">
        <f>PasteBBM!AE387</f>
        <v>0.430863</v>
      </c>
      <c r="J387">
        <f>PasteBBM!AG387*PasteBBM!AH387</f>
        <v>0.2525578674</v>
      </c>
      <c r="K387">
        <f>PasteBBM!AG387</f>
        <v>0.812266</v>
      </c>
      <c r="L387">
        <f>PasteBBM!Z387</f>
        <v>1.071628</v>
      </c>
      <c r="M387">
        <f>PasteBBM!Y387</f>
        <v>4.672093</v>
      </c>
      <c r="N387">
        <f>PasteBBM!AA387</f>
        <v>0.99</v>
      </c>
      <c r="O387">
        <f>PasteBBM!AB387</f>
        <v>0.544419</v>
      </c>
      <c r="P387">
        <f>PasteBBM!AC387</f>
        <v>0.371163</v>
      </c>
      <c r="Q387">
        <f>PasteBBM!AD387</f>
        <v>0.074186</v>
      </c>
      <c r="R387">
        <f>PasteBBM!AI387</f>
        <v>0.346512</v>
      </c>
      <c r="S387">
        <f>PasteBBM!AE387</f>
        <v>0.430863</v>
      </c>
      <c r="T387">
        <f>PasteBBM!AG387</f>
        <v>0.812266</v>
      </c>
      <c r="V387" s="44">
        <v>-0.41709</v>
      </c>
      <c r="W387" s="44">
        <v>-0.00658</v>
      </c>
      <c r="X387" s="44">
        <v>0.009207</v>
      </c>
      <c r="Y387" s="44">
        <v>-0.4263</v>
      </c>
      <c r="Z387" s="44">
        <v>-0.34564</v>
      </c>
      <c r="AA387" s="45"/>
      <c r="AB387" s="46" t="s">
        <v>126</v>
      </c>
      <c r="AC387" s="44">
        <v>67.0</v>
      </c>
    </row>
    <row r="388">
      <c r="A388" s="2">
        <v>387.0</v>
      </c>
      <c r="B388" s="14">
        <f>IF(PasteBBM!B388="",156,PasteBBM!B388)</f>
        <v>156</v>
      </c>
      <c r="C388" t="str">
        <f>PasteBBM!I388</f>
        <v>Tidjane Salaun</v>
      </c>
      <c r="D388" t="str">
        <f>IFERROR(REPLACE(PasteBBM!K388,FIND("/",PasteBBM!K388,1),1,","),PasteBBM!K388)</f>
        <v>PF</v>
      </c>
      <c r="E388" t="str">
        <f>PasteBBM!J388</f>
        <v>CHA</v>
      </c>
      <c r="F388">
        <f>PasteBBM!U388</f>
        <v>66</v>
      </c>
      <c r="G388">
        <f>PasteBBM!X388</f>
        <v>16</v>
      </c>
      <c r="H388">
        <f>PasteBBM!AE388*PasteBBM!AF388</f>
        <v>1.703028708</v>
      </c>
      <c r="I388">
        <f>PasteBBM!AE388</f>
        <v>0.389966</v>
      </c>
      <c r="J388">
        <f>PasteBBM!AG388*PasteBBM!AH388</f>
        <v>0.9719688543</v>
      </c>
      <c r="K388">
        <f>PasteBBM!AG388</f>
        <v>0.718043</v>
      </c>
      <c r="L388">
        <f>PasteBBM!Z388</f>
        <v>0.716818</v>
      </c>
      <c r="M388">
        <f>PasteBBM!Y388</f>
        <v>5.094848</v>
      </c>
      <c r="N388">
        <f>PasteBBM!AA388</f>
        <v>3.933333</v>
      </c>
      <c r="O388">
        <f>PasteBBM!AB388</f>
        <v>1.033333</v>
      </c>
      <c r="P388">
        <f>PasteBBM!AC388</f>
        <v>0.3</v>
      </c>
      <c r="Q388">
        <f>PasteBBM!AD388</f>
        <v>0.170455</v>
      </c>
      <c r="R388">
        <f>PasteBBM!AI388</f>
        <v>0.781667</v>
      </c>
      <c r="S388">
        <f>PasteBBM!AE388</f>
        <v>0.389966</v>
      </c>
      <c r="T388">
        <f>PasteBBM!AG388</f>
        <v>0.718043</v>
      </c>
      <c r="V388" s="44">
        <v>-0.41709</v>
      </c>
      <c r="W388" s="44">
        <v>-0.00658</v>
      </c>
      <c r="X388" s="44">
        <v>0.009207</v>
      </c>
      <c r="Y388" s="44">
        <v>-0.4263</v>
      </c>
      <c r="Z388" s="44">
        <v>-0.34564</v>
      </c>
      <c r="AA388" s="45"/>
      <c r="AB388" s="46" t="s">
        <v>126</v>
      </c>
      <c r="AC388" s="44">
        <v>67.0</v>
      </c>
    </row>
    <row r="389">
      <c r="A389" s="2">
        <v>388.0</v>
      </c>
      <c r="B389" s="14">
        <f>IF(PasteBBM!B389="",156,PasteBBM!B389)</f>
        <v>156</v>
      </c>
      <c r="C389" t="str">
        <f>PasteBBM!I389</f>
        <v>Branden Carlson</v>
      </c>
      <c r="D389" t="str">
        <f>IFERROR(REPLACE(PasteBBM!K389,FIND("/",PasteBBM!K389,1),1,","),PasteBBM!K389)</f>
        <v>C</v>
      </c>
      <c r="E389" t="str">
        <f>PasteBBM!J389</f>
        <v>OKC</v>
      </c>
      <c r="F389">
        <f>PasteBBM!U389</f>
        <v>46</v>
      </c>
      <c r="G389">
        <f>PasteBBM!X389</f>
        <v>8</v>
      </c>
      <c r="H389">
        <f>PasteBBM!AE389*PasteBBM!AF389</f>
        <v>1.260651926</v>
      </c>
      <c r="I389">
        <f>PasteBBM!AE389</f>
        <v>0.463438</v>
      </c>
      <c r="J389">
        <f>PasteBBM!AG389*PasteBBM!AH389</f>
        <v>0.3789130669</v>
      </c>
      <c r="K389">
        <f>PasteBBM!AG389</f>
        <v>0.76014</v>
      </c>
      <c r="L389">
        <f>PasteBBM!Z389</f>
        <v>0.646957</v>
      </c>
      <c r="M389">
        <f>PasteBBM!Y389</f>
        <v>3.547174</v>
      </c>
      <c r="N389">
        <f>PasteBBM!AA389</f>
        <v>1.53</v>
      </c>
      <c r="O389">
        <f>PasteBBM!AB389</f>
        <v>0.407826</v>
      </c>
      <c r="P389">
        <f>PasteBBM!AC389</f>
        <v>0.141522</v>
      </c>
      <c r="Q389">
        <f>PasteBBM!AD389</f>
        <v>0.543913</v>
      </c>
      <c r="R389">
        <f>PasteBBM!AI389</f>
        <v>0.323696</v>
      </c>
      <c r="S389">
        <f>PasteBBM!AE389</f>
        <v>0.463438</v>
      </c>
      <c r="T389">
        <f>PasteBBM!AG389</f>
        <v>0.76014</v>
      </c>
      <c r="V389" s="44">
        <v>-0.41709</v>
      </c>
      <c r="W389" s="44">
        <v>-0.00658</v>
      </c>
      <c r="X389" s="44">
        <v>0.009207</v>
      </c>
      <c r="Y389" s="44">
        <v>-0.4263</v>
      </c>
      <c r="Z389" s="44">
        <v>-0.34564</v>
      </c>
      <c r="AA389" s="45"/>
      <c r="AB389" s="46" t="s">
        <v>126</v>
      </c>
      <c r="AC389" s="44">
        <v>67.0</v>
      </c>
    </row>
    <row r="390">
      <c r="A390" s="2">
        <v>389.0</v>
      </c>
      <c r="B390" s="14">
        <f>IF(PasteBBM!B390="",156,PasteBBM!B390)</f>
        <v>156</v>
      </c>
      <c r="C390" t="str">
        <f>PasteBBM!I390</f>
        <v>Ben Saraf</v>
      </c>
      <c r="D390" t="str">
        <f>IFERROR(REPLACE(PasteBBM!K390,FIND("/",PasteBBM!K390,1),1,","),PasteBBM!K390)</f>
        <v>PG,SG</v>
      </c>
      <c r="E390" t="str">
        <f>PasteBBM!J390</f>
        <v>BKN</v>
      </c>
      <c r="F390">
        <f>PasteBBM!U390</f>
        <v>71</v>
      </c>
      <c r="G390">
        <f>PasteBBM!X390</f>
        <v>19</v>
      </c>
      <c r="H390">
        <f>PasteBBM!AE390*PasteBBM!AF390</f>
        <v>2.587040794</v>
      </c>
      <c r="I390">
        <f>PasteBBM!AE390</f>
        <v>0.381617</v>
      </c>
      <c r="J390">
        <f>PasteBBM!AG390*PasteBBM!AH390</f>
        <v>0.9402810484</v>
      </c>
      <c r="K390">
        <f>PasteBBM!AG390</f>
        <v>0.730016</v>
      </c>
      <c r="L390">
        <f>PasteBBM!Z390</f>
        <v>0.650423</v>
      </c>
      <c r="M390">
        <f>PasteBBM!Y390</f>
        <v>6.764789</v>
      </c>
      <c r="N390">
        <f>PasteBBM!AA390</f>
        <v>2.155352</v>
      </c>
      <c r="O390">
        <f>PasteBBM!AB390</f>
        <v>2.351268</v>
      </c>
      <c r="P390">
        <f>PasteBBM!AC390</f>
        <v>0.705352</v>
      </c>
      <c r="Q390">
        <f>PasteBBM!AD390</f>
        <v>0.156761</v>
      </c>
      <c r="R390">
        <f>PasteBBM!AI390</f>
        <v>1.567465</v>
      </c>
      <c r="S390">
        <f>PasteBBM!AE390</f>
        <v>0.381617</v>
      </c>
      <c r="T390">
        <f>PasteBBM!AG390</f>
        <v>0.730016</v>
      </c>
      <c r="V390" s="44">
        <v>-0.41709</v>
      </c>
      <c r="W390" s="44">
        <v>-0.00658</v>
      </c>
      <c r="X390" s="44">
        <v>0.009207</v>
      </c>
      <c r="Y390" s="44">
        <v>-0.4263</v>
      </c>
      <c r="Z390" s="44">
        <v>-0.34564</v>
      </c>
      <c r="AA390" s="45"/>
      <c r="AB390" s="46" t="s">
        <v>126</v>
      </c>
      <c r="AC390" s="44">
        <v>67.0</v>
      </c>
    </row>
    <row r="391">
      <c r="A391" s="2">
        <v>390.0</v>
      </c>
      <c r="B391" s="14">
        <f>IF(PasteBBM!B391="",156,PasteBBM!B391)</f>
        <v>156</v>
      </c>
      <c r="C391" t="str">
        <f>PasteBBM!I391</f>
        <v>Jevon Carter</v>
      </c>
      <c r="D391" t="str">
        <f>IFERROR(REPLACE(PasteBBM!K391,FIND("/",PasteBBM!K391,1),1,","),PasteBBM!K391)</f>
        <v>PG</v>
      </c>
      <c r="E391" t="str">
        <f>PasteBBM!J391</f>
        <v>CHI</v>
      </c>
      <c r="F391">
        <f>PasteBBM!U391</f>
        <v>16</v>
      </c>
      <c r="G391">
        <f>PasteBBM!X391</f>
        <v>10</v>
      </c>
      <c r="H391">
        <f>PasteBBM!AE391*PasteBBM!AF391</f>
        <v>1.591250394</v>
      </c>
      <c r="I391">
        <f>PasteBBM!AE391</f>
        <v>0.386989</v>
      </c>
      <c r="J391">
        <f>PasteBBM!AG391*PasteBBM!AH391</f>
        <v>0.1225</v>
      </c>
      <c r="K391">
        <f>PasteBBM!AG391</f>
        <v>0.765625</v>
      </c>
      <c r="L391">
        <f>PasteBBM!Z391</f>
        <v>0.9475</v>
      </c>
      <c r="M391">
        <f>PasteBBM!Y391</f>
        <v>4.2525</v>
      </c>
      <c r="N391">
        <f>PasteBBM!AA391</f>
        <v>1.028125</v>
      </c>
      <c r="O391">
        <f>PasteBBM!AB391</f>
        <v>1.18125</v>
      </c>
      <c r="P391">
        <f>PasteBBM!AC391</f>
        <v>0.36625</v>
      </c>
      <c r="Q391">
        <f>PasteBBM!AD391</f>
        <v>0.1325</v>
      </c>
      <c r="R391">
        <f>PasteBBM!AI391</f>
        <v>0.3525</v>
      </c>
      <c r="S391">
        <f>PasteBBM!AE391</f>
        <v>0.386989</v>
      </c>
      <c r="T391">
        <f>PasteBBM!AG391</f>
        <v>0.765625</v>
      </c>
      <c r="V391" s="44">
        <v>-0.41709</v>
      </c>
      <c r="W391" s="44">
        <v>-0.00658</v>
      </c>
      <c r="X391" s="44">
        <v>0.009207</v>
      </c>
      <c r="Y391" s="44">
        <v>-0.4263</v>
      </c>
      <c r="Z391" s="44">
        <v>-0.34564</v>
      </c>
      <c r="AA391" s="45"/>
      <c r="AB391" s="46" t="s">
        <v>126</v>
      </c>
      <c r="AC391" s="44">
        <v>67.0</v>
      </c>
    </row>
    <row r="392">
      <c r="A392" s="2">
        <v>391.0</v>
      </c>
      <c r="B392" s="14">
        <f>IF(PasteBBM!B392="",156,PasteBBM!B392)</f>
        <v>156</v>
      </c>
      <c r="C392" t="str">
        <f>PasteBBM!I392</f>
        <v>Rasheer Fleming</v>
      </c>
      <c r="D392" t="str">
        <f>IFERROR(REPLACE(PasteBBM!K392,FIND("/",PasteBBM!K392,1),1,","),PasteBBM!K392)</f>
        <v>SF,PF</v>
      </c>
      <c r="E392" t="str">
        <f>PasteBBM!J392</f>
        <v>PHO</v>
      </c>
      <c r="F392">
        <f>PasteBBM!U392</f>
        <v>46</v>
      </c>
      <c r="G392">
        <f>PasteBBM!X392</f>
        <v>10</v>
      </c>
      <c r="H392">
        <f>PasteBBM!AE392*PasteBBM!AF392</f>
        <v>1.247391753</v>
      </c>
      <c r="I392">
        <f>PasteBBM!AE392</f>
        <v>0.465407</v>
      </c>
      <c r="J392">
        <f>PasteBBM!AG392*PasteBBM!AH392</f>
        <v>0.3743477003</v>
      </c>
      <c r="K392">
        <f>PasteBBM!AG392</f>
        <v>0.698014</v>
      </c>
      <c r="L392">
        <f>PasteBBM!Z392</f>
        <v>0.405217</v>
      </c>
      <c r="M392">
        <f>PasteBBM!Y392</f>
        <v>3.274348</v>
      </c>
      <c r="N392">
        <f>PasteBBM!AA392</f>
        <v>2.268696</v>
      </c>
      <c r="O392">
        <f>PasteBBM!AB392</f>
        <v>0.371304</v>
      </c>
      <c r="P392">
        <f>PasteBBM!AC392</f>
        <v>0.309348</v>
      </c>
      <c r="Q392">
        <f>PasteBBM!AD392</f>
        <v>0.412609</v>
      </c>
      <c r="R392">
        <f>PasteBBM!AI392</f>
        <v>0.515652</v>
      </c>
      <c r="S392">
        <f>PasteBBM!AE392</f>
        <v>0.465407</v>
      </c>
      <c r="T392">
        <f>PasteBBM!AG392</f>
        <v>0.698014</v>
      </c>
      <c r="V392" s="44">
        <v>-0.41709</v>
      </c>
      <c r="W392" s="44">
        <v>-0.00658</v>
      </c>
      <c r="X392" s="44">
        <v>0.009207</v>
      </c>
      <c r="Y392" s="44">
        <v>-0.4263</v>
      </c>
      <c r="Z392" s="44">
        <v>-0.34564</v>
      </c>
      <c r="AA392" s="45"/>
      <c r="AB392" s="46" t="s">
        <v>126</v>
      </c>
      <c r="AC392" s="44">
        <v>67.0</v>
      </c>
    </row>
    <row r="393">
      <c r="A393" s="2">
        <v>392.0</v>
      </c>
      <c r="B393" s="14">
        <f>IF(PasteBBM!B393="",156,PasteBBM!B393)</f>
        <v>156</v>
      </c>
      <c r="C393" t="str">
        <f>PasteBBM!I393</f>
        <v>Dalen Terry</v>
      </c>
      <c r="D393" t="str">
        <f>IFERROR(REPLACE(PasteBBM!K393,FIND("/",PasteBBM!K393,1),1,","),PasteBBM!K393)</f>
        <v>SG,SF</v>
      </c>
      <c r="E393" t="str">
        <f>PasteBBM!J393</f>
        <v>CHI</v>
      </c>
      <c r="F393">
        <f>PasteBBM!U393</f>
        <v>46</v>
      </c>
      <c r="G393">
        <f>PasteBBM!X393</f>
        <v>11</v>
      </c>
      <c r="H393">
        <f>PasteBBM!AE393*PasteBBM!AF393</f>
        <v>1.458261153</v>
      </c>
      <c r="I393">
        <f>PasteBBM!AE393</f>
        <v>0.452235</v>
      </c>
      <c r="J393">
        <f>PasteBBM!AG393*PasteBBM!AH393</f>
        <v>0.5906518644</v>
      </c>
      <c r="K393">
        <f>PasteBBM!AG393</f>
        <v>0.697024</v>
      </c>
      <c r="L393">
        <f>PasteBBM!Z393</f>
        <v>0.419565</v>
      </c>
      <c r="M393">
        <f>PasteBBM!Y393</f>
        <v>3.926739</v>
      </c>
      <c r="N393">
        <f>PasteBBM!AA393</f>
        <v>1.54</v>
      </c>
      <c r="O393">
        <f>PasteBBM!AB393</f>
        <v>1.10413</v>
      </c>
      <c r="P393">
        <f>PasteBBM!AC393</f>
        <v>0.497609</v>
      </c>
      <c r="Q393">
        <f>PasteBBM!AD393</f>
        <v>0.144348</v>
      </c>
      <c r="R393">
        <f>PasteBBM!AI393</f>
        <v>0.581739</v>
      </c>
      <c r="S393">
        <f>PasteBBM!AE393</f>
        <v>0.452235</v>
      </c>
      <c r="T393">
        <f>PasteBBM!AG393</f>
        <v>0.697024</v>
      </c>
      <c r="V393" s="44">
        <v>-0.41709</v>
      </c>
      <c r="W393" s="44">
        <v>-0.00658</v>
      </c>
      <c r="X393" s="44">
        <v>0.009207</v>
      </c>
      <c r="Y393" s="44">
        <v>-0.4263</v>
      </c>
      <c r="Z393" s="44">
        <v>-0.34564</v>
      </c>
      <c r="AA393" s="45"/>
      <c r="AB393" s="46" t="s">
        <v>126</v>
      </c>
      <c r="AC393" s="44">
        <v>67.0</v>
      </c>
    </row>
    <row r="394">
      <c r="A394" s="2">
        <v>393.0</v>
      </c>
      <c r="B394" s="14">
        <f>IF(PasteBBM!B394="",156,PasteBBM!B394)</f>
        <v>156</v>
      </c>
      <c r="C394" t="str">
        <f>PasteBBM!I394</f>
        <v>Ariel Hukporti</v>
      </c>
      <c r="D394" t="str">
        <f>IFERROR(REPLACE(PasteBBM!K394,FIND("/",PasteBBM!K394,1),1,","),PasteBBM!K394)</f>
        <v>C</v>
      </c>
      <c r="E394" t="str">
        <f>PasteBBM!J394</f>
        <v>NYK</v>
      </c>
      <c r="F394">
        <f>PasteBBM!U394</f>
        <v>43</v>
      </c>
      <c r="G394">
        <f>PasteBBM!X394</f>
        <v>11</v>
      </c>
      <c r="H394">
        <f>PasteBBM!AE394*PasteBBM!AF394</f>
        <v>1.474417548</v>
      </c>
      <c r="I394">
        <f>PasteBBM!AE394</f>
        <v>0.67735</v>
      </c>
      <c r="J394">
        <f>PasteBBM!AG394*PasteBBM!AH394</f>
        <v>0.45627892</v>
      </c>
      <c r="K394">
        <f>PasteBBM!AG394</f>
        <v>0.600367</v>
      </c>
      <c r="L394">
        <f>PasteBBM!Z394</f>
        <v>0</v>
      </c>
      <c r="M394">
        <f>PasteBBM!Y394</f>
        <v>3.405116</v>
      </c>
      <c r="N394">
        <f>PasteBBM!AA394</f>
        <v>2.722558</v>
      </c>
      <c r="O394">
        <f>PasteBBM!AB394</f>
        <v>0.512326</v>
      </c>
      <c r="P394">
        <f>PasteBBM!AC394</f>
        <v>0.222558</v>
      </c>
      <c r="Q394">
        <f>PasteBBM!AD394</f>
        <v>0.603721</v>
      </c>
      <c r="R394">
        <f>PasteBBM!AI394</f>
        <v>0.81814</v>
      </c>
      <c r="S394">
        <f>PasteBBM!AE394</f>
        <v>0.67735</v>
      </c>
      <c r="T394">
        <f>PasteBBM!AG394</f>
        <v>0.600367</v>
      </c>
      <c r="V394" s="44">
        <v>-0.41709</v>
      </c>
      <c r="W394" s="44">
        <v>-0.00658</v>
      </c>
      <c r="X394" s="44">
        <v>0.009207</v>
      </c>
      <c r="Y394" s="44">
        <v>-0.4263</v>
      </c>
      <c r="Z394" s="44">
        <v>-0.34564</v>
      </c>
      <c r="AA394" s="45"/>
      <c r="AB394" s="46" t="s">
        <v>126</v>
      </c>
      <c r="AC394" s="44">
        <v>67.0</v>
      </c>
    </row>
    <row r="395">
      <c r="A395" s="2">
        <v>394.0</v>
      </c>
      <c r="B395" s="14">
        <f>IF(PasteBBM!B395="",156,PasteBBM!B395)</f>
        <v>156</v>
      </c>
      <c r="C395" t="str">
        <f>PasteBBM!I395</f>
        <v>Liam McNeeley</v>
      </c>
      <c r="D395" t="str">
        <f>IFERROR(REPLACE(PasteBBM!K395,FIND("/",PasteBBM!K395,1),1,","),PasteBBM!K395)</f>
        <v>SF,PF</v>
      </c>
      <c r="E395" t="str">
        <f>PasteBBM!J395</f>
        <v>CHA</v>
      </c>
      <c r="F395">
        <f>PasteBBM!U395</f>
        <v>71</v>
      </c>
      <c r="G395">
        <f>PasteBBM!X395</f>
        <v>15</v>
      </c>
      <c r="H395">
        <f>PasteBBM!AE395*PasteBBM!AF395</f>
        <v>1.782674033</v>
      </c>
      <c r="I395">
        <f>PasteBBM!AE395</f>
        <v>0.393404</v>
      </c>
      <c r="J395">
        <f>PasteBBM!AG395*PasteBBM!AH395</f>
        <v>0.8374646293</v>
      </c>
      <c r="K395">
        <f>PasteBBM!AG395</f>
        <v>0.840068</v>
      </c>
      <c r="L395">
        <f>PasteBBM!Z395</f>
        <v>0.948873</v>
      </c>
      <c r="M395">
        <f>PasteBBM!Y395</f>
        <v>5.35169</v>
      </c>
      <c r="N395">
        <f>PasteBBM!AA395</f>
        <v>2.5</v>
      </c>
      <c r="O395">
        <f>PasteBBM!AB395</f>
        <v>0.968732</v>
      </c>
      <c r="P395">
        <f>PasteBBM!AC395</f>
        <v>0.312535</v>
      </c>
      <c r="Q395">
        <f>PasteBBM!AD395</f>
        <v>0.12507</v>
      </c>
      <c r="R395">
        <f>PasteBBM!AI395</f>
        <v>0.937465</v>
      </c>
      <c r="S395">
        <f>PasteBBM!AE395</f>
        <v>0.393404</v>
      </c>
      <c r="T395">
        <f>PasteBBM!AG395</f>
        <v>0.840068</v>
      </c>
      <c r="V395" s="44">
        <v>-0.41709</v>
      </c>
      <c r="W395" s="44">
        <v>-0.00658</v>
      </c>
      <c r="X395" s="44">
        <v>0.009207</v>
      </c>
      <c r="Y395" s="44">
        <v>-0.4263</v>
      </c>
      <c r="Z395" s="44">
        <v>-0.34564</v>
      </c>
      <c r="AA395" s="45"/>
      <c r="AB395" s="46" t="s">
        <v>126</v>
      </c>
      <c r="AC395" s="44">
        <v>67.0</v>
      </c>
    </row>
    <row r="396">
      <c r="A396" s="2">
        <v>395.0</v>
      </c>
      <c r="B396" s="14">
        <f>IF(PasteBBM!B396="",156,PasteBBM!B396)</f>
        <v>156</v>
      </c>
      <c r="C396" t="str">
        <f>PasteBBM!I396</f>
        <v>Maxi Kleber</v>
      </c>
      <c r="D396" t="str">
        <f>IFERROR(REPLACE(PasteBBM!K396,FIND("/",PasteBBM!K396,1),1,","),PasteBBM!K396)</f>
        <v>PF</v>
      </c>
      <c r="E396" t="str">
        <f>PasteBBM!J396</f>
        <v>LAL</v>
      </c>
      <c r="F396">
        <f>PasteBBM!U396</f>
        <v>39</v>
      </c>
      <c r="G396">
        <f>PasteBBM!X396</f>
        <v>14</v>
      </c>
      <c r="H396">
        <f>PasteBBM!AE396*PasteBBM!AF396</f>
        <v>1.004871585</v>
      </c>
      <c r="I396">
        <f>PasteBBM!AE396</f>
        <v>0.434142</v>
      </c>
      <c r="J396">
        <f>PasteBBM!AG396*PasteBBM!AH396</f>
        <v>0.409999721</v>
      </c>
      <c r="K396">
        <f>PasteBBM!AG396</f>
        <v>0.76986</v>
      </c>
      <c r="L396">
        <f>PasteBBM!Z396</f>
        <v>0.458462</v>
      </c>
      <c r="M396">
        <f>PasteBBM!Y396</f>
        <v>2.878205</v>
      </c>
      <c r="N396">
        <f>PasteBBM!AA396</f>
        <v>1.88641</v>
      </c>
      <c r="O396">
        <f>PasteBBM!AB396</f>
        <v>0.852564</v>
      </c>
      <c r="P396">
        <f>PasteBBM!AC396</f>
        <v>0.220513</v>
      </c>
      <c r="Q396">
        <f>PasteBBM!AD396</f>
        <v>0.437949</v>
      </c>
      <c r="R396">
        <f>PasteBBM!AI396</f>
        <v>0.436667</v>
      </c>
      <c r="S396">
        <f>PasteBBM!AE396</f>
        <v>0.434142</v>
      </c>
      <c r="T396">
        <f>PasteBBM!AG396</f>
        <v>0.76986</v>
      </c>
      <c r="V396" s="44">
        <v>-0.41709</v>
      </c>
      <c r="W396" s="44">
        <v>-0.00658</v>
      </c>
      <c r="X396" s="44">
        <v>0.009207</v>
      </c>
      <c r="Y396" s="44">
        <v>-0.4263</v>
      </c>
      <c r="Z396" s="44">
        <v>-0.34564</v>
      </c>
      <c r="AA396" s="45"/>
      <c r="AB396" s="46" t="s">
        <v>126</v>
      </c>
      <c r="AC396" s="44">
        <v>67.0</v>
      </c>
    </row>
    <row r="397">
      <c r="A397" s="2">
        <v>396.0</v>
      </c>
      <c r="B397" s="14">
        <f>IF(PasteBBM!B397="",156,PasteBBM!B397)</f>
        <v>156</v>
      </c>
      <c r="C397" t="str">
        <f>PasteBBM!I397</f>
        <v>Dillon Jones</v>
      </c>
      <c r="D397" t="str">
        <f>IFERROR(REPLACE(PasteBBM!K397,FIND("/",PasteBBM!K397,1),1,","),PasteBBM!K397)</f>
        <v>SF</v>
      </c>
      <c r="E397" t="str">
        <f>PasteBBM!J397</f>
        <v>WAS</v>
      </c>
      <c r="F397">
        <f>PasteBBM!U397</f>
        <v>50</v>
      </c>
      <c r="G397">
        <f>PasteBBM!X397</f>
        <v>13</v>
      </c>
      <c r="H397">
        <f>PasteBBM!AE397*PasteBBM!AF397</f>
        <v>1.14879914</v>
      </c>
      <c r="I397">
        <f>PasteBBM!AE397</f>
        <v>0.424475</v>
      </c>
      <c r="J397">
        <f>PasteBBM!AG397*PasteBBM!AH397</f>
        <v>0.354799896</v>
      </c>
      <c r="K397">
        <f>PasteBBM!AG397</f>
        <v>0.65558</v>
      </c>
      <c r="L397">
        <f>PasteBBM!Z397</f>
        <v>0.3128</v>
      </c>
      <c r="M397">
        <f>PasteBBM!Y397</f>
        <v>2.9652</v>
      </c>
      <c r="N397">
        <f>PasteBBM!AA397</f>
        <v>2.9914</v>
      </c>
      <c r="O397">
        <f>PasteBBM!AB397</f>
        <v>1.4324</v>
      </c>
      <c r="P397">
        <f>PasteBBM!AC397</f>
        <v>0.433</v>
      </c>
      <c r="Q397">
        <f>PasteBBM!AD397</f>
        <v>0.0756</v>
      </c>
      <c r="R397">
        <f>PasteBBM!AI397</f>
        <v>0.702</v>
      </c>
      <c r="S397">
        <f>PasteBBM!AE397</f>
        <v>0.424475</v>
      </c>
      <c r="T397">
        <f>PasteBBM!AG397</f>
        <v>0.65558</v>
      </c>
      <c r="V397" s="44">
        <v>-0.41709</v>
      </c>
      <c r="W397" s="44">
        <v>-0.00658</v>
      </c>
      <c r="X397" s="44">
        <v>0.009207</v>
      </c>
      <c r="Y397" s="44">
        <v>-0.4263</v>
      </c>
      <c r="Z397" s="44">
        <v>-0.34564</v>
      </c>
      <c r="AA397" s="45"/>
      <c r="AB397" s="46" t="s">
        <v>126</v>
      </c>
      <c r="AC397" s="44">
        <v>67.0</v>
      </c>
    </row>
    <row r="398">
      <c r="A398" s="2">
        <v>397.0</v>
      </c>
      <c r="B398" s="14">
        <f>IF(PasteBBM!B398="",156,PasteBBM!B398)</f>
        <v>156</v>
      </c>
      <c r="C398" t="str">
        <f>PasteBBM!I398</f>
        <v>Sion James</v>
      </c>
      <c r="D398" t="str">
        <f>IFERROR(REPLACE(PasteBBM!K398,FIND("/",PasteBBM!K398,1),1,","),PasteBBM!K398)</f>
        <v>PG,SG</v>
      </c>
      <c r="E398" t="str">
        <f>PasteBBM!J398</f>
        <v>CHA</v>
      </c>
      <c r="F398">
        <f>PasteBBM!U398</f>
        <v>32</v>
      </c>
      <c r="G398">
        <f>PasteBBM!X398</f>
        <v>11</v>
      </c>
      <c r="H398">
        <f>PasteBBM!AE398*PasteBBM!AF398</f>
        <v>0.8734365</v>
      </c>
      <c r="I398">
        <f>PasteBBM!AE398</f>
        <v>0.41904</v>
      </c>
      <c r="J398">
        <f>PasteBBM!AG398*PasteBBM!AH398</f>
        <v>0.3903130084</v>
      </c>
      <c r="K398">
        <f>PasteBBM!AG398</f>
        <v>0.719885</v>
      </c>
      <c r="L398">
        <f>PasteBBM!Z398</f>
        <v>0.335625</v>
      </c>
      <c r="M398">
        <f>PasteBBM!Y398</f>
        <v>2.472813</v>
      </c>
      <c r="N398">
        <f>PasteBBM!AA398</f>
        <v>1.833438</v>
      </c>
      <c r="O398">
        <f>PasteBBM!AB398</f>
        <v>1.008438</v>
      </c>
      <c r="P398">
        <f>PasteBBM!AC398</f>
        <v>0.504063</v>
      </c>
      <c r="Q398">
        <f>PasteBBM!AD398</f>
        <v>0.1375</v>
      </c>
      <c r="R398">
        <f>PasteBBM!AI398</f>
        <v>0.504063</v>
      </c>
      <c r="S398">
        <f>PasteBBM!AE398</f>
        <v>0.41904</v>
      </c>
      <c r="T398">
        <f>PasteBBM!AG398</f>
        <v>0.719885</v>
      </c>
      <c r="V398" s="44">
        <v>-0.41709</v>
      </c>
      <c r="W398" s="44">
        <v>-0.00658</v>
      </c>
      <c r="X398" s="44">
        <v>0.009207</v>
      </c>
      <c r="Y398" s="44">
        <v>-0.4263</v>
      </c>
      <c r="Z398" s="44">
        <v>-0.34564</v>
      </c>
      <c r="AA398" s="45"/>
      <c r="AB398" s="46" t="s">
        <v>126</v>
      </c>
      <c r="AC398" s="44">
        <v>67.0</v>
      </c>
    </row>
    <row r="399">
      <c r="A399" s="2">
        <v>398.0</v>
      </c>
      <c r="B399" s="14">
        <f>IF(PasteBBM!B399="",156,PasteBBM!B399)</f>
        <v>156</v>
      </c>
      <c r="C399" t="str">
        <f>PasteBBM!I399</f>
        <v>Xavier Tillman</v>
      </c>
      <c r="D399" t="str">
        <f>IFERROR(REPLACE(PasteBBM!K399,FIND("/",PasteBBM!K399,1),1,","),PasteBBM!K399)</f>
        <v>C</v>
      </c>
      <c r="E399" t="str">
        <f>PasteBBM!J399</f>
        <v>BOS</v>
      </c>
      <c r="F399">
        <f>PasteBBM!U399</f>
        <v>39</v>
      </c>
      <c r="G399">
        <f>PasteBBM!X399</f>
        <v>12</v>
      </c>
      <c r="H399">
        <f>PasteBBM!AE399*PasteBBM!AF399</f>
        <v>1.436665969</v>
      </c>
      <c r="I399">
        <f>PasteBBM!AE399</f>
        <v>0.382066</v>
      </c>
      <c r="J399">
        <f>PasteBBM!AG399*PasteBBM!AH399</f>
        <v>0.5287182003</v>
      </c>
      <c r="K399">
        <f>PasteBBM!AG399</f>
        <v>0.585962</v>
      </c>
      <c r="L399">
        <f>PasteBBM!Z399</f>
        <v>0.425385</v>
      </c>
      <c r="M399">
        <f>PasteBBM!Y399</f>
        <v>3.827436</v>
      </c>
      <c r="N399">
        <f>PasteBBM!AA399</f>
        <v>2.575128</v>
      </c>
      <c r="O399">
        <f>PasteBBM!AB399</f>
        <v>0.798205</v>
      </c>
      <c r="P399">
        <f>PasteBBM!AC399</f>
        <v>0.619487</v>
      </c>
      <c r="Q399">
        <f>PasteBBM!AD399</f>
        <v>0.308974</v>
      </c>
      <c r="R399">
        <f>PasteBBM!AI399</f>
        <v>0.772564</v>
      </c>
      <c r="S399">
        <f>PasteBBM!AE399</f>
        <v>0.382066</v>
      </c>
      <c r="T399">
        <f>PasteBBM!AG399</f>
        <v>0.585962</v>
      </c>
      <c r="V399" s="44">
        <v>-0.41709</v>
      </c>
      <c r="W399" s="44">
        <v>-0.00658</v>
      </c>
      <c r="X399" s="44">
        <v>0.009207</v>
      </c>
      <c r="Y399" s="44">
        <v>-0.4263</v>
      </c>
      <c r="Z399" s="44">
        <v>-0.34564</v>
      </c>
      <c r="AA399" s="45"/>
      <c r="AB399" s="46" t="s">
        <v>126</v>
      </c>
      <c r="AC399" s="44">
        <v>67.0</v>
      </c>
    </row>
    <row r="400">
      <c r="A400" s="2">
        <v>399.0</v>
      </c>
      <c r="B400" s="14">
        <f>IF(PasteBBM!B400="",156,PasteBBM!B400)</f>
        <v>156</v>
      </c>
      <c r="C400" t="str">
        <f>PasteBBM!I400</f>
        <v>Jaden Hardy</v>
      </c>
      <c r="D400" t="str">
        <f>IFERROR(REPLACE(PasteBBM!K400,FIND("/",PasteBBM!K400,1),1,","),PasteBBM!K400)</f>
        <v>SG</v>
      </c>
      <c r="E400" t="str">
        <f>PasteBBM!J400</f>
        <v>DAL</v>
      </c>
      <c r="F400">
        <f>PasteBBM!U400</f>
        <v>43</v>
      </c>
      <c r="G400">
        <f>PasteBBM!X400</f>
        <v>15</v>
      </c>
      <c r="H400">
        <f>PasteBBM!AE400*PasteBBM!AF400</f>
        <v>2.892093375</v>
      </c>
      <c r="I400">
        <f>PasteBBM!AE400</f>
        <v>0.420334</v>
      </c>
      <c r="J400">
        <f>PasteBBM!AG400*PasteBBM!AH400</f>
        <v>0.9937210877</v>
      </c>
      <c r="K400">
        <f>PasteBBM!AG400</f>
        <v>0.759915</v>
      </c>
      <c r="L400">
        <f>PasteBBM!Z400</f>
        <v>1.235349</v>
      </c>
      <c r="M400">
        <f>PasteBBM!Y400</f>
        <v>8.013256</v>
      </c>
      <c r="N400">
        <f>PasteBBM!AA400</f>
        <v>1.388837</v>
      </c>
      <c r="O400">
        <f>PasteBBM!AB400</f>
        <v>1.357209</v>
      </c>
      <c r="P400">
        <f>PasteBBM!AC400</f>
        <v>0.410465</v>
      </c>
      <c r="Q400">
        <f>PasteBBM!AD400</f>
        <v>0.063023</v>
      </c>
      <c r="R400">
        <f>PasteBBM!AI400</f>
        <v>1.262558</v>
      </c>
      <c r="S400">
        <f>PasteBBM!AE400</f>
        <v>0.420334</v>
      </c>
      <c r="T400">
        <f>PasteBBM!AG400</f>
        <v>0.759915</v>
      </c>
      <c r="V400" s="44">
        <v>-0.41709</v>
      </c>
      <c r="W400" s="44">
        <v>-0.00658</v>
      </c>
      <c r="X400" s="44">
        <v>0.009207</v>
      </c>
      <c r="Y400" s="44">
        <v>-0.4263</v>
      </c>
      <c r="Z400" s="44">
        <v>-0.34564</v>
      </c>
      <c r="AA400" s="45"/>
      <c r="AB400" s="46" t="s">
        <v>126</v>
      </c>
      <c r="AC400" s="44">
        <v>67.0</v>
      </c>
    </row>
    <row r="401">
      <c r="A401" s="2">
        <v>400.0</v>
      </c>
      <c r="B401" s="14">
        <f>IF(PasteBBM!B401="",156,PasteBBM!B401)</f>
        <v>156</v>
      </c>
      <c r="C401" t="str">
        <f>PasteBBM!I401</f>
        <v>Kessler Edwards</v>
      </c>
      <c r="D401" t="str">
        <f>IFERROR(REPLACE(PasteBBM!K401,FIND("/",PasteBBM!K401,1),1,","),PasteBBM!K401)</f>
        <v>SF,PF</v>
      </c>
      <c r="E401" t="str">
        <f>PasteBBM!J401</f>
        <v>DEN</v>
      </c>
      <c r="F401">
        <f>PasteBBM!U401</f>
        <v>46</v>
      </c>
      <c r="G401">
        <f>PasteBBM!X401</f>
        <v>10</v>
      </c>
      <c r="H401">
        <f>PasteBBM!AE401*PasteBBM!AF401</f>
        <v>0.9489139626</v>
      </c>
      <c r="I401">
        <f>PasteBBM!AE401</f>
        <v>0.446365</v>
      </c>
      <c r="J401">
        <f>PasteBBM!AG401*PasteBBM!AH401</f>
        <v>0.1678263159</v>
      </c>
      <c r="K401">
        <f>PasteBBM!AG401</f>
        <v>0.789366</v>
      </c>
      <c r="L401">
        <f>PasteBBM!Z401</f>
        <v>0.430435</v>
      </c>
      <c r="M401">
        <f>PasteBBM!Y401</f>
        <v>2.496087</v>
      </c>
      <c r="N401">
        <f>PasteBBM!AA401</f>
        <v>1.725435</v>
      </c>
      <c r="O401">
        <f>PasteBBM!AB401</f>
        <v>0.58913</v>
      </c>
      <c r="P401">
        <f>PasteBBM!AC401</f>
        <v>0.336739</v>
      </c>
      <c r="Q401">
        <f>PasteBBM!AD401</f>
        <v>0.210435</v>
      </c>
      <c r="R401">
        <f>PasteBBM!AI401</f>
        <v>0.294565</v>
      </c>
      <c r="S401">
        <f>PasteBBM!AE401</f>
        <v>0.446365</v>
      </c>
      <c r="T401">
        <f>PasteBBM!AG401</f>
        <v>0.789366</v>
      </c>
      <c r="V401" s="44">
        <v>-0.41709</v>
      </c>
      <c r="W401" s="44">
        <v>-0.00658</v>
      </c>
      <c r="X401" s="44">
        <v>0.009207</v>
      </c>
      <c r="Y401" s="44">
        <v>-0.4263</v>
      </c>
      <c r="Z401" s="44">
        <v>-0.34564</v>
      </c>
      <c r="AA401" s="45"/>
      <c r="AB401" s="46" t="s">
        <v>126</v>
      </c>
      <c r="AC401" s="44">
        <v>67.0</v>
      </c>
    </row>
    <row r="402">
      <c r="A402" s="2">
        <v>401.0</v>
      </c>
      <c r="B402" s="14">
        <f>IF(PasteBBM!B402="",156,PasteBBM!B402)</f>
        <v>156</v>
      </c>
      <c r="C402" t="str">
        <f>PasteBBM!I402</f>
        <v>Zeke Nnaji</v>
      </c>
      <c r="D402" t="str">
        <f>IFERROR(REPLACE(PasteBBM!K402,FIND("/",PasteBBM!K402,1),1,","),PasteBBM!K402)</f>
        <v>PF,C</v>
      </c>
      <c r="E402" t="str">
        <f>PasteBBM!J402</f>
        <v>DEN</v>
      </c>
      <c r="F402">
        <f>PasteBBM!U402</f>
        <v>16</v>
      </c>
      <c r="G402">
        <f>PasteBBM!X402</f>
        <v>9</v>
      </c>
      <c r="H402">
        <f>PasteBBM!AE402*PasteBBM!AF402</f>
        <v>0.9581255656</v>
      </c>
      <c r="I402">
        <f>PasteBBM!AE402</f>
        <v>0.464405</v>
      </c>
      <c r="J402">
        <f>PasteBBM!AG402*PasteBBM!AH402</f>
        <v>0.46249974</v>
      </c>
      <c r="K402">
        <f>PasteBBM!AG402</f>
        <v>0.656028</v>
      </c>
      <c r="L402">
        <f>PasteBBM!Z402</f>
        <v>0.2725</v>
      </c>
      <c r="M402">
        <f>PasteBBM!Y402</f>
        <v>2.65125</v>
      </c>
      <c r="N402">
        <f>PasteBBM!AA402</f>
        <v>1.855625</v>
      </c>
      <c r="O402">
        <f>PasteBBM!AB402</f>
        <v>0.363125</v>
      </c>
      <c r="P402">
        <f>PasteBBM!AC402</f>
        <v>0.24625</v>
      </c>
      <c r="Q402">
        <f>PasteBBM!AD402</f>
        <v>0.515</v>
      </c>
      <c r="R402">
        <f>PasteBBM!AI402</f>
        <v>0.24625</v>
      </c>
      <c r="S402">
        <f>PasteBBM!AE402</f>
        <v>0.464405</v>
      </c>
      <c r="T402">
        <f>PasteBBM!AG402</f>
        <v>0.656028</v>
      </c>
      <c r="V402" s="44">
        <v>-0.41709</v>
      </c>
      <c r="W402" s="44">
        <v>-0.00658</v>
      </c>
      <c r="X402" s="44">
        <v>0.009207</v>
      </c>
      <c r="Y402" s="44">
        <v>-0.4263</v>
      </c>
      <c r="Z402" s="44">
        <v>-0.34564</v>
      </c>
      <c r="AA402" s="45"/>
      <c r="AB402" s="46" t="s">
        <v>126</v>
      </c>
      <c r="AC402" s="44">
        <v>67.0</v>
      </c>
    </row>
    <row r="403">
      <c r="A403" s="2">
        <v>402.0</v>
      </c>
      <c r="B403" s="14">
        <f>IF(PasteBBM!B403="",156,PasteBBM!B403)</f>
        <v>156</v>
      </c>
      <c r="C403" t="str">
        <f>PasteBBM!I403</f>
        <v>Tyrese Proctor</v>
      </c>
      <c r="D403" t="str">
        <f>IFERROR(REPLACE(PasteBBM!K403,FIND("/",PasteBBM!K403,1),1,","),PasteBBM!K403)</f>
        <v>PG,SG</v>
      </c>
      <c r="E403" t="str">
        <f>PasteBBM!J403</f>
        <v>CLE</v>
      </c>
      <c r="F403">
        <f>PasteBBM!U403</f>
        <v>46</v>
      </c>
      <c r="G403">
        <f>PasteBBM!X403</f>
        <v>16</v>
      </c>
      <c r="H403">
        <f>PasteBBM!AE403*PasteBBM!AF403</f>
        <v>1.834563098</v>
      </c>
      <c r="I403">
        <f>PasteBBM!AE403</f>
        <v>0.386383</v>
      </c>
      <c r="J403">
        <f>PasteBBM!AG403*PasteBBM!AH403</f>
        <v>0.4658694737</v>
      </c>
      <c r="K403">
        <f>PasteBBM!AG403</f>
        <v>0.754843</v>
      </c>
      <c r="L403">
        <f>PasteBBM!Z403</f>
        <v>0.936522</v>
      </c>
      <c r="M403">
        <f>PasteBBM!Y403</f>
        <v>5.071522</v>
      </c>
      <c r="N403">
        <f>PasteBBM!AA403</f>
        <v>1.616087</v>
      </c>
      <c r="O403">
        <f>PasteBBM!AB403</f>
        <v>1.851739</v>
      </c>
      <c r="P403">
        <f>PasteBBM!AC403</f>
        <v>0.370435</v>
      </c>
      <c r="Q403">
        <f>PasteBBM!AD403</f>
        <v>0.101087</v>
      </c>
      <c r="R403">
        <f>PasteBBM!AI403</f>
        <v>0.976304</v>
      </c>
      <c r="S403">
        <f>PasteBBM!AE403</f>
        <v>0.386383</v>
      </c>
      <c r="T403">
        <f>PasteBBM!AG403</f>
        <v>0.754843</v>
      </c>
      <c r="V403" s="44">
        <v>-0.41709</v>
      </c>
      <c r="W403" s="44">
        <v>-0.00658</v>
      </c>
      <c r="X403" s="44">
        <v>0.009207</v>
      </c>
      <c r="Y403" s="44">
        <v>-0.4263</v>
      </c>
      <c r="Z403" s="44">
        <v>-0.34564</v>
      </c>
      <c r="AA403" s="45"/>
      <c r="AB403" s="46" t="s">
        <v>126</v>
      </c>
      <c r="AC403" s="44">
        <v>67.0</v>
      </c>
    </row>
    <row r="404">
      <c r="A404" s="2">
        <v>403.0</v>
      </c>
      <c r="B404" s="14">
        <f>IF(PasteBBM!B404="",156,PasteBBM!B404)</f>
        <v>156</v>
      </c>
      <c r="C404" t="str">
        <f>PasteBBM!I404</f>
        <v>Lindy Waters III</v>
      </c>
      <c r="D404" t="str">
        <f>IFERROR(REPLACE(PasteBBM!K404,FIND("/",PasteBBM!K404,1),1,","),PasteBBM!K404)</f>
        <v>SG</v>
      </c>
      <c r="E404" t="str">
        <f>PasteBBM!J404</f>
        <v>SAS</v>
      </c>
      <c r="F404">
        <f>PasteBBM!U404</f>
        <v>46</v>
      </c>
      <c r="G404">
        <f>PasteBBM!X404</f>
        <v>9</v>
      </c>
      <c r="H404">
        <f>PasteBBM!AE404*PasteBBM!AF404</f>
        <v>1.106739731</v>
      </c>
      <c r="I404">
        <f>PasteBBM!AE404</f>
        <v>0.413365</v>
      </c>
      <c r="J404">
        <f>PasteBBM!AG404*PasteBBM!AH404</f>
        <v>0.09891346827</v>
      </c>
      <c r="K404">
        <f>PasteBBM!AG404</f>
        <v>0.77911</v>
      </c>
      <c r="L404">
        <f>PasteBBM!Z404</f>
        <v>0.793478</v>
      </c>
      <c r="M404">
        <f>PasteBBM!Y404</f>
        <v>3.10587</v>
      </c>
      <c r="N404">
        <f>PasteBBM!AA404</f>
        <v>1.185652</v>
      </c>
      <c r="O404">
        <f>PasteBBM!AB404</f>
        <v>0.560217</v>
      </c>
      <c r="P404">
        <f>PasteBBM!AC404</f>
        <v>0.278478</v>
      </c>
      <c r="Q404">
        <f>PasteBBM!AD404</f>
        <v>0.155435</v>
      </c>
      <c r="R404">
        <f>PasteBBM!AI404</f>
        <v>0.232826</v>
      </c>
      <c r="S404">
        <f>PasteBBM!AE404</f>
        <v>0.413365</v>
      </c>
      <c r="T404">
        <f>PasteBBM!AG404</f>
        <v>0.77911</v>
      </c>
      <c r="V404" s="44">
        <v>-0.41709</v>
      </c>
      <c r="W404" s="44">
        <v>-0.00658</v>
      </c>
      <c r="X404" s="44">
        <v>0.009207</v>
      </c>
      <c r="Y404" s="44">
        <v>-0.4263</v>
      </c>
      <c r="Z404" s="44">
        <v>-0.34564</v>
      </c>
      <c r="AA404" s="45"/>
      <c r="AB404" s="46" t="s">
        <v>126</v>
      </c>
      <c r="AC404" s="44">
        <v>67.0</v>
      </c>
    </row>
    <row r="405">
      <c r="A405" s="2">
        <v>404.0</v>
      </c>
      <c r="B405" s="14">
        <f>IF(PasteBBM!B405="",156,PasteBBM!B405)</f>
        <v>156</v>
      </c>
      <c r="C405" t="str">
        <f>PasteBBM!I405</f>
        <v>Bobi Klintman</v>
      </c>
      <c r="D405" t="str">
        <f>IFERROR(REPLACE(PasteBBM!K405,FIND("/",PasteBBM!K405,1),1,","),PasteBBM!K405)</f>
        <v>SF</v>
      </c>
      <c r="E405" t="str">
        <f>PasteBBM!J405</f>
        <v>DET</v>
      </c>
      <c r="F405">
        <f>PasteBBM!U405</f>
        <v>23</v>
      </c>
      <c r="G405">
        <f>PasteBBM!X405</f>
        <v>10</v>
      </c>
      <c r="H405">
        <f>PasteBBM!AE405*PasteBBM!AF405</f>
        <v>1.274783441</v>
      </c>
      <c r="I405">
        <f>PasteBBM!AE405</f>
        <v>0.466063</v>
      </c>
      <c r="J405">
        <f>PasteBBM!AG405*PasteBBM!AH405</f>
        <v>0.4995653009</v>
      </c>
      <c r="K405">
        <f>PasteBBM!AG405</f>
        <v>0.768048</v>
      </c>
      <c r="L405">
        <f>PasteBBM!Z405</f>
        <v>0.36913</v>
      </c>
      <c r="M405">
        <f>PasteBBM!Y405</f>
        <v>3.418261</v>
      </c>
      <c r="N405">
        <f>PasteBBM!AA405</f>
        <v>1.920435</v>
      </c>
      <c r="O405">
        <f>PasteBBM!AB405</f>
        <v>0.53087</v>
      </c>
      <c r="P405">
        <f>PasteBBM!AC405</f>
        <v>0.383478</v>
      </c>
      <c r="Q405">
        <f>PasteBBM!AD405</f>
        <v>0.171739</v>
      </c>
      <c r="R405">
        <f>PasteBBM!AI405</f>
        <v>0.588696</v>
      </c>
      <c r="S405">
        <f>PasteBBM!AE405</f>
        <v>0.466063</v>
      </c>
      <c r="T405">
        <f>PasteBBM!AG405</f>
        <v>0.768048</v>
      </c>
      <c r="V405" s="44">
        <v>-0.41709</v>
      </c>
      <c r="W405" s="44">
        <v>-0.00658</v>
      </c>
      <c r="X405" s="44">
        <v>0.009207</v>
      </c>
      <c r="Y405" s="44">
        <v>-0.4263</v>
      </c>
      <c r="Z405" s="44">
        <v>-0.34564</v>
      </c>
      <c r="AA405" s="45"/>
      <c r="AB405" s="46" t="s">
        <v>126</v>
      </c>
      <c r="AC405" s="44">
        <v>67.0</v>
      </c>
    </row>
    <row r="406">
      <c r="A406" s="2">
        <v>405.0</v>
      </c>
      <c r="B406" s="14">
        <f>IF(PasteBBM!B406="",156,PasteBBM!B406)</f>
        <v>156</v>
      </c>
      <c r="C406" t="str">
        <f>PasteBBM!I406</f>
        <v>Jackson Rowe</v>
      </c>
      <c r="D406" t="str">
        <f>IFERROR(REPLACE(PasteBBM!K406,FIND("/",PasteBBM!K406,1),1,","),PasteBBM!K406)</f>
        <v>PF</v>
      </c>
      <c r="E406" t="str">
        <f>PasteBBM!J406</f>
        <v>GSW</v>
      </c>
      <c r="F406">
        <f>PasteBBM!U406</f>
        <v>16</v>
      </c>
      <c r="G406">
        <f>PasteBBM!X406</f>
        <v>8</v>
      </c>
      <c r="H406">
        <f>PasteBBM!AE406*PasteBBM!AF406</f>
        <v>1.162499243</v>
      </c>
      <c r="I406">
        <f>PasteBBM!AE406</f>
        <v>0.446364</v>
      </c>
      <c r="J406">
        <f>PasteBBM!AG406*PasteBBM!AH406</f>
        <v>0.27312512</v>
      </c>
      <c r="K406">
        <f>PasteBBM!AG406</f>
        <v>0.748288</v>
      </c>
      <c r="L406">
        <f>PasteBBM!Z406</f>
        <v>0.475</v>
      </c>
      <c r="M406">
        <f>PasteBBM!Y406</f>
        <v>3.073125</v>
      </c>
      <c r="N406">
        <f>PasteBBM!AA406</f>
        <v>1.58625</v>
      </c>
      <c r="O406">
        <f>PasteBBM!AB406</f>
        <v>0.495</v>
      </c>
      <c r="P406">
        <f>PasteBBM!AC406</f>
        <v>0.30125</v>
      </c>
      <c r="Q406">
        <f>PasteBBM!AD406</f>
        <v>0.215</v>
      </c>
      <c r="R406">
        <f>PasteBBM!AI406</f>
        <v>0.3175</v>
      </c>
      <c r="S406">
        <f>PasteBBM!AE406</f>
        <v>0.446364</v>
      </c>
      <c r="T406">
        <f>PasteBBM!AG406</f>
        <v>0.748288</v>
      </c>
      <c r="V406" s="44">
        <v>-0.41709</v>
      </c>
      <c r="W406" s="44">
        <v>-0.00658</v>
      </c>
      <c r="X406" s="44">
        <v>0.009207</v>
      </c>
      <c r="Y406" s="44">
        <v>-0.4263</v>
      </c>
      <c r="Z406" s="44">
        <v>-0.34564</v>
      </c>
      <c r="AA406" s="45"/>
      <c r="AB406" s="46" t="s">
        <v>126</v>
      </c>
      <c r="AC406" s="44">
        <v>67.0</v>
      </c>
    </row>
    <row r="407">
      <c r="A407" s="2">
        <v>406.0</v>
      </c>
      <c r="B407" s="14">
        <f>IF(PasteBBM!B407="",156,PasteBBM!B407)</f>
        <v>156</v>
      </c>
      <c r="C407" t="str">
        <f>PasteBBM!I407</f>
        <v>Kobe Brown</v>
      </c>
      <c r="D407" t="str">
        <f>IFERROR(REPLACE(PasteBBM!K407,FIND("/",PasteBBM!K407,1),1,","),PasteBBM!K407)</f>
        <v>PF</v>
      </c>
      <c r="E407" t="str">
        <f>PasteBBM!J407</f>
        <v>LAC</v>
      </c>
      <c r="F407">
        <f>PasteBBM!U407</f>
        <v>71</v>
      </c>
      <c r="G407">
        <f>PasteBBM!X407</f>
        <v>10</v>
      </c>
      <c r="H407">
        <f>PasteBBM!AE407*PasteBBM!AF407</f>
        <v>1.509858547</v>
      </c>
      <c r="I407">
        <f>PasteBBM!AE407</f>
        <v>0.511621</v>
      </c>
      <c r="J407">
        <f>PasteBBM!AG407*PasteBBM!AH407</f>
        <v>0.2790145004</v>
      </c>
      <c r="K407">
        <f>PasteBBM!AG407</f>
        <v>0.675418</v>
      </c>
      <c r="L407">
        <f>PasteBBM!Z407</f>
        <v>0.282394</v>
      </c>
      <c r="M407">
        <f>PasteBBM!Y407</f>
        <v>3.581127</v>
      </c>
      <c r="N407">
        <f>PasteBBM!AA407</f>
        <v>2.020845</v>
      </c>
      <c r="O407">
        <f>PasteBBM!AB407</f>
        <v>0.848732</v>
      </c>
      <c r="P407">
        <f>PasteBBM!AC407</f>
        <v>0.287465</v>
      </c>
      <c r="Q407">
        <f>PasteBBM!AD407</f>
        <v>0.141408</v>
      </c>
      <c r="R407">
        <f>PasteBBM!AI407</f>
        <v>0.525352</v>
      </c>
      <c r="S407">
        <f>PasteBBM!AE407</f>
        <v>0.511621</v>
      </c>
      <c r="T407">
        <f>PasteBBM!AG407</f>
        <v>0.675418</v>
      </c>
      <c r="V407" s="44">
        <v>-0.41709</v>
      </c>
      <c r="W407" s="44">
        <v>-0.00658</v>
      </c>
      <c r="X407" s="44">
        <v>0.009207</v>
      </c>
      <c r="Y407" s="44">
        <v>-0.4263</v>
      </c>
      <c r="Z407" s="44">
        <v>-0.34564</v>
      </c>
      <c r="AA407" s="45"/>
      <c r="AB407" s="46" t="s">
        <v>126</v>
      </c>
      <c r="AC407" s="44">
        <v>67.0</v>
      </c>
    </row>
    <row r="408">
      <c r="A408" s="2">
        <v>407.0</v>
      </c>
      <c r="B408" s="14">
        <f>IF(PasteBBM!B408="",156,PasteBBM!B408)</f>
        <v>156</v>
      </c>
      <c r="C408" t="str">
        <f>PasteBBM!I408</f>
        <v>Daeqwon Plowden</v>
      </c>
      <c r="D408" t="str">
        <f>IFERROR(REPLACE(PasteBBM!K408,FIND("/",PasteBBM!K408,1),1,","),PasteBBM!K408)</f>
        <v>SG</v>
      </c>
      <c r="E408" t="str">
        <f>PasteBBM!J408</f>
        <v>SAC</v>
      </c>
      <c r="F408">
        <f>PasteBBM!U408</f>
        <v>16</v>
      </c>
      <c r="G408">
        <f>PasteBBM!X408</f>
        <v>10</v>
      </c>
      <c r="H408">
        <f>PasteBBM!AE408*PasteBBM!AF408</f>
        <v>1.454375931</v>
      </c>
      <c r="I408">
        <f>PasteBBM!AE408</f>
        <v>0.450097</v>
      </c>
      <c r="J408">
        <f>PasteBBM!AG408*PasteBBM!AH408</f>
        <v>0.31749984</v>
      </c>
      <c r="K408">
        <f>PasteBBM!AG408</f>
        <v>0.755952</v>
      </c>
      <c r="L408">
        <f>PasteBBM!Z408</f>
        <v>0.725625</v>
      </c>
      <c r="M408">
        <f>PasteBBM!Y408</f>
        <v>3.951875</v>
      </c>
      <c r="N408">
        <f>PasteBBM!AA408</f>
        <v>1.616875</v>
      </c>
      <c r="O408">
        <f>PasteBBM!AB408</f>
        <v>0.3175</v>
      </c>
      <c r="P408">
        <f>PasteBBM!AC408</f>
        <v>0.2375</v>
      </c>
      <c r="Q408">
        <f>PasteBBM!AD408</f>
        <v>0.20125</v>
      </c>
      <c r="R408">
        <f>PasteBBM!AI408</f>
        <v>0.43375</v>
      </c>
      <c r="S408">
        <f>PasteBBM!AE408</f>
        <v>0.450097</v>
      </c>
      <c r="T408">
        <f>PasteBBM!AG408</f>
        <v>0.755952</v>
      </c>
      <c r="V408" s="44">
        <v>-0.41709</v>
      </c>
      <c r="W408" s="44">
        <v>-0.00658</v>
      </c>
      <c r="X408" s="44">
        <v>0.009207</v>
      </c>
      <c r="Y408" s="44">
        <v>-0.4263</v>
      </c>
      <c r="Z408" s="44">
        <v>-0.34564</v>
      </c>
      <c r="AA408" s="45"/>
      <c r="AB408" s="46" t="s">
        <v>126</v>
      </c>
      <c r="AC408" s="44">
        <v>67.0</v>
      </c>
    </row>
    <row r="409">
      <c r="A409" s="2">
        <v>408.0</v>
      </c>
      <c r="B409" s="14">
        <f>IF(PasteBBM!B409="",156,PasteBBM!B409)</f>
        <v>156</v>
      </c>
      <c r="C409" t="str">
        <f>PasteBBM!I409</f>
        <v>Nolan Traore</v>
      </c>
      <c r="D409" t="str">
        <f>IFERROR(REPLACE(PasteBBM!K409,FIND("/",PasteBBM!K409,1),1,","),PasteBBM!K409)</f>
        <v>PG,SG</v>
      </c>
      <c r="E409" t="str">
        <f>PasteBBM!J409</f>
        <v>BKN</v>
      </c>
      <c r="F409">
        <f>PasteBBM!U409</f>
        <v>66</v>
      </c>
      <c r="G409">
        <f>PasteBBM!X409</f>
        <v>17</v>
      </c>
      <c r="H409">
        <f>PasteBBM!AE409*PasteBBM!AF409</f>
        <v>2.341057906</v>
      </c>
      <c r="I409">
        <f>PasteBBM!AE409</f>
        <v>0.390482</v>
      </c>
      <c r="J409">
        <f>PasteBBM!AG409*PasteBBM!AH409</f>
        <v>0.7154538642</v>
      </c>
      <c r="K409">
        <f>PasteBBM!AG409</f>
        <v>0.701947</v>
      </c>
      <c r="L409">
        <f>PasteBBM!Z409</f>
        <v>0.901818</v>
      </c>
      <c r="M409">
        <f>PasteBBM!Y409</f>
        <v>6.299394</v>
      </c>
      <c r="N409">
        <f>PasteBBM!AA409</f>
        <v>1.367424</v>
      </c>
      <c r="O409">
        <f>PasteBBM!AB409</f>
        <v>3.155606</v>
      </c>
      <c r="P409">
        <f>PasteBBM!AC409</f>
        <v>0.420758</v>
      </c>
      <c r="Q409">
        <f>PasteBBM!AD409</f>
        <v>0.210303</v>
      </c>
      <c r="R409">
        <f>PasteBBM!AI409</f>
        <v>1.612879</v>
      </c>
      <c r="S409">
        <f>PasteBBM!AE409</f>
        <v>0.390482</v>
      </c>
      <c r="T409">
        <f>PasteBBM!AG409</f>
        <v>0.701947</v>
      </c>
      <c r="V409" s="44">
        <v>-0.41709</v>
      </c>
      <c r="W409" s="44">
        <v>-0.00658</v>
      </c>
      <c r="X409" s="44">
        <v>0.009207</v>
      </c>
      <c r="Y409" s="44">
        <v>-0.4263</v>
      </c>
      <c r="Z409" s="44">
        <v>-0.34564</v>
      </c>
      <c r="AA409" s="45"/>
      <c r="AB409" s="46" t="s">
        <v>126</v>
      </c>
      <c r="AC409" s="44">
        <v>67.0</v>
      </c>
    </row>
    <row r="410">
      <c r="A410" s="2">
        <v>409.0</v>
      </c>
      <c r="B410" s="14">
        <f>IF(PasteBBM!B410="",156,PasteBBM!B410)</f>
        <v>156</v>
      </c>
      <c r="C410" t="str">
        <f>PasteBBM!I410</f>
        <v>Bronny James</v>
      </c>
      <c r="D410" t="str">
        <f>IFERROR(REPLACE(PasteBBM!K410,FIND("/",PasteBBM!K410,1),1,","),PasteBBM!K410)</f>
        <v>SG</v>
      </c>
      <c r="E410" t="str">
        <f>PasteBBM!J410</f>
        <v>LAL</v>
      </c>
      <c r="F410">
        <f>PasteBBM!U410</f>
        <v>46</v>
      </c>
      <c r="G410">
        <f>PasteBBM!X410</f>
        <v>11</v>
      </c>
      <c r="H410">
        <f>PasteBBM!AE410*PasteBBM!AF410</f>
        <v>1.365218011</v>
      </c>
      <c r="I410">
        <f>PasteBBM!AE410</f>
        <v>0.377631</v>
      </c>
      <c r="J410">
        <f>PasteBBM!AG410*PasteBBM!AH410</f>
        <v>0.5284780015</v>
      </c>
      <c r="K410">
        <f>PasteBBM!AG410</f>
        <v>0.750077</v>
      </c>
      <c r="L410">
        <f>PasteBBM!Z410</f>
        <v>0.556304</v>
      </c>
      <c r="M410">
        <f>PasteBBM!Y410</f>
        <v>3.815217</v>
      </c>
      <c r="N410">
        <f>PasteBBM!AA410</f>
        <v>1.122826</v>
      </c>
      <c r="O410">
        <f>PasteBBM!AB410</f>
        <v>1.20587</v>
      </c>
      <c r="P410">
        <f>PasteBBM!AC410</f>
        <v>0.49413</v>
      </c>
      <c r="Q410">
        <f>PasteBBM!AD410</f>
        <v>0.128478</v>
      </c>
      <c r="R410">
        <f>PasteBBM!AI410</f>
        <v>0.628913</v>
      </c>
      <c r="S410">
        <f>PasteBBM!AE410</f>
        <v>0.377631</v>
      </c>
      <c r="T410">
        <f>PasteBBM!AG410</f>
        <v>0.750077</v>
      </c>
      <c r="V410" s="44">
        <v>-0.41709</v>
      </c>
      <c r="W410" s="44">
        <v>-0.00658</v>
      </c>
      <c r="X410" s="44">
        <v>0.009207</v>
      </c>
      <c r="Y410" s="44">
        <v>-0.4263</v>
      </c>
      <c r="Z410" s="44">
        <v>-0.34564</v>
      </c>
      <c r="AA410" s="45"/>
      <c r="AB410" s="46" t="s">
        <v>126</v>
      </c>
      <c r="AC410" s="44">
        <v>67.0</v>
      </c>
    </row>
    <row r="411">
      <c r="A411" s="2">
        <v>410.0</v>
      </c>
      <c r="B411" s="14">
        <f>IF(PasteBBM!B411="",156,PasteBBM!B411)</f>
        <v>156</v>
      </c>
      <c r="C411" t="str">
        <f>PasteBBM!I411</f>
        <v>Hunter Tyson</v>
      </c>
      <c r="D411" t="str">
        <f>IFERROR(REPLACE(PasteBBM!K411,FIND("/",PasteBBM!K411,1),1,","),PasteBBM!K411)</f>
        <v>PF</v>
      </c>
      <c r="E411" t="str">
        <f>PasteBBM!J411</f>
        <v>DEN</v>
      </c>
      <c r="F411">
        <f>PasteBBM!U411</f>
        <v>16</v>
      </c>
      <c r="G411">
        <f>PasteBBM!X411</f>
        <v>10</v>
      </c>
      <c r="H411">
        <f>PasteBBM!AE411*PasteBBM!AF411</f>
        <v>1.429999079</v>
      </c>
      <c r="I411">
        <f>PasteBBM!AE411</f>
        <v>0.404669</v>
      </c>
      <c r="J411">
        <f>PasteBBM!AG411*PasteBBM!AH411</f>
        <v>0.4550001463</v>
      </c>
      <c r="K411">
        <f>PasteBBM!AG411</f>
        <v>0.756757</v>
      </c>
      <c r="L411">
        <f>PasteBBM!Z411</f>
        <v>0.7</v>
      </c>
      <c r="M411">
        <f>PasteBBM!Y411</f>
        <v>4.015</v>
      </c>
      <c r="N411">
        <f>PasteBBM!AA411</f>
        <v>1.974375</v>
      </c>
      <c r="O411">
        <f>PasteBBM!AB411</f>
        <v>0.466875</v>
      </c>
      <c r="P411">
        <f>PasteBBM!AC411</f>
        <v>0.26125</v>
      </c>
      <c r="Q411">
        <f>PasteBBM!AD411</f>
        <v>0.1175</v>
      </c>
      <c r="R411">
        <f>PasteBBM!AI411</f>
        <v>0.349375</v>
      </c>
      <c r="S411">
        <f>PasteBBM!AE411</f>
        <v>0.404669</v>
      </c>
      <c r="T411">
        <f>PasteBBM!AG411</f>
        <v>0.756757</v>
      </c>
      <c r="V411" s="44">
        <v>-0.41709</v>
      </c>
      <c r="W411" s="44">
        <v>-0.00658</v>
      </c>
      <c r="X411" s="44">
        <v>0.009207</v>
      </c>
      <c r="Y411" s="44">
        <v>-0.4263</v>
      </c>
      <c r="Z411" s="44">
        <v>-0.34564</v>
      </c>
      <c r="AA411" s="45"/>
      <c r="AB411" s="46" t="s">
        <v>126</v>
      </c>
      <c r="AC411" s="44">
        <v>67.0</v>
      </c>
    </row>
    <row r="412">
      <c r="A412" s="2">
        <v>411.0</v>
      </c>
      <c r="B412" s="14">
        <f>IF(PasteBBM!B412="",156,PasteBBM!B412)</f>
        <v>156</v>
      </c>
      <c r="C412" t="str">
        <f>PasteBBM!I412</f>
        <v>PJ Hall</v>
      </c>
      <c r="D412" t="str">
        <f>IFERROR(REPLACE(PasteBBM!K412,FIND("/",PasteBBM!K412,1),1,","),PasteBBM!K412)</f>
        <v>C</v>
      </c>
      <c r="E412" t="str">
        <f>PasteBBM!J412</f>
        <v>MEM</v>
      </c>
      <c r="F412">
        <f>PasteBBM!U412</f>
        <v>46</v>
      </c>
      <c r="G412">
        <f>PasteBBM!X412</f>
        <v>6</v>
      </c>
      <c r="H412">
        <f>PasteBBM!AE412*PasteBBM!AF412</f>
        <v>1.317825498</v>
      </c>
      <c r="I412">
        <f>PasteBBM!AE412</f>
        <v>0.557784</v>
      </c>
      <c r="J412">
        <f>PasteBBM!AG412*PasteBBM!AH412</f>
        <v>0.3547822691</v>
      </c>
      <c r="K412">
        <f>PasteBBM!AG412</f>
        <v>0.760839</v>
      </c>
      <c r="L412">
        <f>PasteBBM!Z412</f>
        <v>0.226087</v>
      </c>
      <c r="M412">
        <f>PasteBBM!Y412</f>
        <v>3.216522</v>
      </c>
      <c r="N412">
        <f>PasteBBM!AA412</f>
        <v>1.706304</v>
      </c>
      <c r="O412">
        <f>PasteBBM!AB412</f>
        <v>0.32087</v>
      </c>
      <c r="P412">
        <f>PasteBBM!AC412</f>
        <v>0.143696</v>
      </c>
      <c r="Q412">
        <f>PasteBBM!AD412</f>
        <v>0.315</v>
      </c>
      <c r="R412">
        <f>PasteBBM!AI412</f>
        <v>0.303478</v>
      </c>
      <c r="S412">
        <f>PasteBBM!AE412</f>
        <v>0.557784</v>
      </c>
      <c r="T412">
        <f>PasteBBM!AG412</f>
        <v>0.760839</v>
      </c>
      <c r="V412" s="44">
        <v>-0.41709</v>
      </c>
      <c r="W412" s="44">
        <v>-0.00658</v>
      </c>
      <c r="X412" s="44">
        <v>0.009207</v>
      </c>
      <c r="Y412" s="44">
        <v>-0.4263</v>
      </c>
      <c r="Z412" s="44">
        <v>-0.34564</v>
      </c>
      <c r="AA412" s="45"/>
      <c r="AB412" s="46" t="s">
        <v>126</v>
      </c>
      <c r="AC412" s="44">
        <v>67.0</v>
      </c>
    </row>
    <row r="413">
      <c r="A413" s="2">
        <v>412.0</v>
      </c>
      <c r="B413" s="14">
        <f>IF(PasteBBM!B413="",156,PasteBBM!B413)</f>
        <v>156</v>
      </c>
      <c r="C413" t="str">
        <f>PasteBBM!I413</f>
        <v>Tosan Evbuomwan</v>
      </c>
      <c r="D413" t="str">
        <f>IFERROR(REPLACE(PasteBBM!K413,FIND("/",PasteBBM!K413,1),1,","),PasteBBM!K413)</f>
        <v>SF</v>
      </c>
      <c r="E413" t="str">
        <f>PasteBBM!J413</f>
        <v>NYK</v>
      </c>
      <c r="F413">
        <f>PasteBBM!U413</f>
        <v>16</v>
      </c>
      <c r="G413">
        <f>PasteBBM!X413</f>
        <v>10</v>
      </c>
      <c r="H413">
        <f>PasteBBM!AE413*PasteBBM!AF413</f>
        <v>1.224999319</v>
      </c>
      <c r="I413">
        <f>PasteBBM!AE413</f>
        <v>0.446469</v>
      </c>
      <c r="J413">
        <f>PasteBBM!AG413*PasteBBM!AH413</f>
        <v>0.6225000525</v>
      </c>
      <c r="K413">
        <f>PasteBBM!AG413</f>
        <v>0.775701</v>
      </c>
      <c r="L413">
        <f>PasteBBM!Z413</f>
        <v>0.325625</v>
      </c>
      <c r="M413">
        <f>PasteBBM!Y413</f>
        <v>3.398125</v>
      </c>
      <c r="N413">
        <f>PasteBBM!AA413</f>
        <v>1.753125</v>
      </c>
      <c r="O413">
        <f>PasteBBM!AB413</f>
        <v>0.55</v>
      </c>
      <c r="P413">
        <f>PasteBBM!AC413</f>
        <v>0.37125</v>
      </c>
      <c r="Q413">
        <f>PasteBBM!AD413</f>
        <v>0.151875</v>
      </c>
      <c r="R413">
        <f>PasteBBM!AI413</f>
        <v>0.495625</v>
      </c>
      <c r="S413">
        <f>PasteBBM!AE413</f>
        <v>0.446469</v>
      </c>
      <c r="T413">
        <f>PasteBBM!AG413</f>
        <v>0.775701</v>
      </c>
      <c r="V413" s="44">
        <v>-0.41709</v>
      </c>
      <c r="W413" s="44">
        <v>-0.00658</v>
      </c>
      <c r="X413" s="44">
        <v>0.009207</v>
      </c>
      <c r="Y413" s="44">
        <v>-0.4263</v>
      </c>
      <c r="Z413" s="44">
        <v>-0.34564</v>
      </c>
      <c r="AA413" s="45"/>
      <c r="AB413" s="46" t="s">
        <v>126</v>
      </c>
      <c r="AC413" s="44">
        <v>67.0</v>
      </c>
    </row>
    <row r="414">
      <c r="A414" s="2">
        <v>413.0</v>
      </c>
      <c r="B414" s="14">
        <f>IF(PasteBBM!B414="",156,PasteBBM!B414)</f>
        <v>156</v>
      </c>
      <c r="C414" t="str">
        <f>PasteBBM!I414</f>
        <v>Antonio Reeves</v>
      </c>
      <c r="D414" t="str">
        <f>IFERROR(REPLACE(PasteBBM!K414,FIND("/",PasteBBM!K414,1),1,","),PasteBBM!K414)</f>
        <v>SG,SF</v>
      </c>
      <c r="E414" t="str">
        <f>PasteBBM!J414</f>
        <v>CHA</v>
      </c>
      <c r="F414">
        <f>PasteBBM!U414</f>
        <v>29</v>
      </c>
      <c r="G414">
        <f>PasteBBM!X414</f>
        <v>11</v>
      </c>
      <c r="H414">
        <f>PasteBBM!AE414*PasteBBM!AF414</f>
        <v>1.601034761</v>
      </c>
      <c r="I414">
        <f>PasteBBM!AE414</f>
        <v>0.459703</v>
      </c>
      <c r="J414">
        <f>PasteBBM!AG414*PasteBBM!AH414</f>
        <v>0.4441377942</v>
      </c>
      <c r="K414">
        <f>PasteBBM!AG414</f>
        <v>0.79703</v>
      </c>
      <c r="L414">
        <f>PasteBBM!Z414</f>
        <v>0.665517</v>
      </c>
      <c r="M414">
        <f>PasteBBM!Y414</f>
        <v>4.311724</v>
      </c>
      <c r="N414">
        <f>PasteBBM!AA414</f>
        <v>1.065172</v>
      </c>
      <c r="O414">
        <f>PasteBBM!AB414</f>
        <v>0.57931</v>
      </c>
      <c r="P414">
        <f>PasteBBM!AC414</f>
        <v>0.323448</v>
      </c>
      <c r="Q414">
        <f>PasteBBM!AD414</f>
        <v>0.072414</v>
      </c>
      <c r="R414">
        <f>PasteBBM!AI414</f>
        <v>0.508276</v>
      </c>
      <c r="S414">
        <f>PasteBBM!AE414</f>
        <v>0.459703</v>
      </c>
      <c r="T414">
        <f>PasteBBM!AG414</f>
        <v>0.79703</v>
      </c>
      <c r="V414" s="44">
        <v>-0.41709</v>
      </c>
      <c r="W414" s="44">
        <v>-0.00658</v>
      </c>
      <c r="X414" s="44">
        <v>0.009207</v>
      </c>
      <c r="Y414" s="44">
        <v>-0.4263</v>
      </c>
      <c r="Z414" s="44">
        <v>-0.34564</v>
      </c>
      <c r="AA414" s="45"/>
      <c r="AB414" s="46" t="s">
        <v>126</v>
      </c>
      <c r="AC414" s="44">
        <v>67.0</v>
      </c>
    </row>
    <row r="415">
      <c r="A415" s="2">
        <v>414.0</v>
      </c>
      <c r="B415" s="14">
        <f>IF(PasteBBM!B415="",156,PasteBBM!B415)</f>
        <v>156</v>
      </c>
      <c r="C415" t="str">
        <f>PasteBBM!I415</f>
        <v>Taelon Peter</v>
      </c>
      <c r="D415" t="str">
        <f>IFERROR(REPLACE(PasteBBM!K415,FIND("/",PasteBBM!K415,1),1,","),PasteBBM!K415)</f>
        <v>PG,SG</v>
      </c>
      <c r="E415" t="str">
        <f>PasteBBM!J415</f>
        <v>IND</v>
      </c>
      <c r="F415">
        <f>PasteBBM!U415</f>
        <v>16</v>
      </c>
      <c r="G415">
        <f>PasteBBM!X415</f>
        <v>10</v>
      </c>
      <c r="H415">
        <f>PasteBBM!AE415*PasteBBM!AF415</f>
        <v>1.187501136</v>
      </c>
      <c r="I415">
        <f>PasteBBM!AE415</f>
        <v>0.414757</v>
      </c>
      <c r="J415">
        <f>PasteBBM!AG415*PasteBBM!AH415</f>
        <v>0.390624925</v>
      </c>
      <c r="K415">
        <f>PasteBBM!AG415</f>
        <v>0.758495</v>
      </c>
      <c r="L415">
        <f>PasteBBM!Z415</f>
        <v>0.64125</v>
      </c>
      <c r="M415">
        <f>PasteBBM!Y415</f>
        <v>3.406875</v>
      </c>
      <c r="N415">
        <f>PasteBBM!AA415</f>
        <v>1.53625</v>
      </c>
      <c r="O415">
        <f>PasteBBM!AB415</f>
        <v>0.505</v>
      </c>
      <c r="P415">
        <f>PasteBBM!AC415</f>
        <v>0.315625</v>
      </c>
      <c r="Q415">
        <f>PasteBBM!AD415</f>
        <v>0.063125</v>
      </c>
      <c r="R415">
        <f>PasteBBM!AI415</f>
        <v>0.294375</v>
      </c>
      <c r="S415">
        <f>PasteBBM!AE415</f>
        <v>0.414757</v>
      </c>
      <c r="T415">
        <f>PasteBBM!AG415</f>
        <v>0.758495</v>
      </c>
      <c r="V415" s="44">
        <v>-0.41709</v>
      </c>
      <c r="W415" s="44">
        <v>-0.00658</v>
      </c>
      <c r="X415" s="44">
        <v>0.009207</v>
      </c>
      <c r="Y415" s="44">
        <v>-0.4263</v>
      </c>
      <c r="Z415" s="44">
        <v>-0.34564</v>
      </c>
      <c r="AA415" s="45"/>
      <c r="AB415" s="46" t="s">
        <v>126</v>
      </c>
      <c r="AC415" s="44">
        <v>67.0</v>
      </c>
    </row>
    <row r="416">
      <c r="A416" s="2">
        <v>415.0</v>
      </c>
      <c r="B416" s="14">
        <f>IF(PasteBBM!B416="",156,PasteBBM!B416)</f>
        <v>156</v>
      </c>
      <c r="C416" t="str">
        <f>PasteBBM!I416</f>
        <v>Nae'Qwan Tomlin</v>
      </c>
      <c r="D416" t="str">
        <f>IFERROR(REPLACE(PasteBBM!K416,FIND("/",PasteBBM!K416,1),1,","),PasteBBM!K416)</f>
        <v>PF</v>
      </c>
      <c r="E416" t="str">
        <f>PasteBBM!J416</f>
        <v>CLE</v>
      </c>
      <c r="F416">
        <f>PasteBBM!U416</f>
        <v>16</v>
      </c>
      <c r="G416">
        <f>PasteBBM!X416</f>
        <v>9</v>
      </c>
      <c r="H416">
        <f>PasteBBM!AE416*PasteBBM!AF416</f>
        <v>1.598125547</v>
      </c>
      <c r="I416">
        <f>PasteBBM!AE416</f>
        <v>0.439725</v>
      </c>
      <c r="J416">
        <f>PasteBBM!AG416*PasteBBM!AH416</f>
        <v>0.8650002463</v>
      </c>
      <c r="K416">
        <f>PasteBBM!AG416</f>
        <v>0.743287</v>
      </c>
      <c r="L416">
        <f>PasteBBM!Z416</f>
        <v>0.294375</v>
      </c>
      <c r="M416">
        <f>PasteBBM!Y416</f>
        <v>4.355625</v>
      </c>
      <c r="N416">
        <f>PasteBBM!AA416</f>
        <v>2.1775</v>
      </c>
      <c r="O416">
        <f>PasteBBM!AB416</f>
        <v>0.353125</v>
      </c>
      <c r="P416">
        <f>PasteBBM!AC416</f>
        <v>0.26</v>
      </c>
      <c r="Q416">
        <f>PasteBBM!AD416</f>
        <v>0.219375</v>
      </c>
      <c r="R416">
        <f>PasteBBM!AI416</f>
        <v>0.353125</v>
      </c>
      <c r="S416">
        <f>PasteBBM!AE416</f>
        <v>0.439725</v>
      </c>
      <c r="T416">
        <f>PasteBBM!AG416</f>
        <v>0.743287</v>
      </c>
      <c r="V416" s="44">
        <v>-0.41709</v>
      </c>
      <c r="W416" s="44">
        <v>-0.00658</v>
      </c>
      <c r="X416" s="44">
        <v>0.009207</v>
      </c>
      <c r="Y416" s="44">
        <v>-0.4263</v>
      </c>
      <c r="Z416" s="44">
        <v>-0.34564</v>
      </c>
      <c r="AA416" s="45"/>
      <c r="AB416" s="46" t="s">
        <v>126</v>
      </c>
      <c r="AC416" s="44">
        <v>67.0</v>
      </c>
    </row>
    <row r="417">
      <c r="A417" s="2">
        <v>416.0</v>
      </c>
      <c r="B417" s="14">
        <f>IF(PasteBBM!B417="",156,PasteBBM!B417)</f>
        <v>156</v>
      </c>
      <c r="C417" t="str">
        <f>PasteBBM!I417</f>
        <v>KJ Simpson</v>
      </c>
      <c r="D417" t="str">
        <f>IFERROR(REPLACE(PasteBBM!K417,FIND("/",PasteBBM!K417,1),1,","),PasteBBM!K417)</f>
        <v>PG</v>
      </c>
      <c r="E417" t="str">
        <f>PasteBBM!J417</f>
        <v>CHA</v>
      </c>
      <c r="F417">
        <f>PasteBBM!U417</f>
        <v>32</v>
      </c>
      <c r="G417">
        <f>PasteBBM!X417</f>
        <v>11</v>
      </c>
      <c r="H417">
        <f>PasteBBM!AE417*PasteBBM!AF417</f>
        <v>1.451561513</v>
      </c>
      <c r="I417">
        <f>PasteBBM!AE417</f>
        <v>0.390993</v>
      </c>
      <c r="J417">
        <f>PasteBBM!AG417*PasteBBM!AH417</f>
        <v>0.6471878213</v>
      </c>
      <c r="K417">
        <f>PasteBBM!AG417</f>
        <v>0.83006</v>
      </c>
      <c r="L417">
        <f>PasteBBM!Z417</f>
        <v>0.499063</v>
      </c>
      <c r="M417">
        <f>PasteBBM!Y417</f>
        <v>4.049375</v>
      </c>
      <c r="N417">
        <f>PasteBBM!AA417</f>
        <v>1.44375</v>
      </c>
      <c r="O417">
        <f>PasteBBM!AB417</f>
        <v>1.157813</v>
      </c>
      <c r="P417">
        <f>PasteBBM!AC417</f>
        <v>0.418125</v>
      </c>
      <c r="Q417">
        <f>PasteBBM!AD417</f>
        <v>0.0725</v>
      </c>
      <c r="R417">
        <f>PasteBBM!AI417</f>
        <v>0.710313</v>
      </c>
      <c r="S417">
        <f>PasteBBM!AE417</f>
        <v>0.390993</v>
      </c>
      <c r="T417">
        <f>PasteBBM!AG417</f>
        <v>0.83006</v>
      </c>
      <c r="V417" s="44">
        <v>-0.41709</v>
      </c>
      <c r="W417" s="44">
        <v>-0.00658</v>
      </c>
      <c r="X417" s="44">
        <v>0.009207</v>
      </c>
      <c r="Y417" s="44">
        <v>-0.4263</v>
      </c>
      <c r="Z417" s="44">
        <v>-0.34564</v>
      </c>
      <c r="AA417" s="45"/>
      <c r="AB417" s="46" t="s">
        <v>126</v>
      </c>
      <c r="AC417" s="44">
        <v>67.0</v>
      </c>
    </row>
    <row r="418">
      <c r="A418" s="2">
        <v>417.0</v>
      </c>
      <c r="B418" s="14">
        <f>IF(PasteBBM!B418="",156,PasteBBM!B418)</f>
        <v>156</v>
      </c>
      <c r="C418" t="str">
        <f>PasteBBM!I418</f>
        <v>Hugo Gonzalez</v>
      </c>
      <c r="D418" t="str">
        <f>IFERROR(REPLACE(PasteBBM!K418,FIND("/",PasteBBM!K418,1),1,","),PasteBBM!K418)</f>
        <v>SG,SF/PF</v>
      </c>
      <c r="E418" t="str">
        <f>PasteBBM!J418</f>
        <v>BOS</v>
      </c>
      <c r="F418">
        <f>PasteBBM!U418</f>
        <v>71</v>
      </c>
      <c r="G418">
        <f>PasteBBM!X418</f>
        <v>16</v>
      </c>
      <c r="H418">
        <f>PasteBBM!AE418*PasteBBM!AF418</f>
        <v>1.605913662</v>
      </c>
      <c r="I418">
        <f>PasteBBM!AE418</f>
        <v>0.368305</v>
      </c>
      <c r="J418">
        <f>PasteBBM!AG418*PasteBBM!AH418</f>
        <v>0.8752108709</v>
      </c>
      <c r="K418">
        <f>PasteBBM!AG418</f>
        <v>0.772021</v>
      </c>
      <c r="L418">
        <f>PasteBBM!Z418</f>
        <v>0.663239</v>
      </c>
      <c r="M418">
        <f>PasteBBM!Y418</f>
        <v>4.750282</v>
      </c>
      <c r="N418">
        <f>PasteBBM!AA418</f>
        <v>2.471972</v>
      </c>
      <c r="O418">
        <f>PasteBBM!AB418</f>
        <v>1.37338</v>
      </c>
      <c r="P418">
        <f>PasteBBM!AC418</f>
        <v>0.411972</v>
      </c>
      <c r="Q418">
        <f>PasteBBM!AD418</f>
        <v>0.274648</v>
      </c>
      <c r="R418">
        <f>PasteBBM!AI418</f>
        <v>1.304648</v>
      </c>
      <c r="S418">
        <f>PasteBBM!AE418</f>
        <v>0.368305</v>
      </c>
      <c r="T418">
        <f>PasteBBM!AG418</f>
        <v>0.772021</v>
      </c>
      <c r="V418" s="44">
        <v>-0.41709</v>
      </c>
      <c r="W418" s="44">
        <v>-0.00658</v>
      </c>
      <c r="X418" s="44">
        <v>0.009207</v>
      </c>
      <c r="Y418" s="44">
        <v>-0.4263</v>
      </c>
      <c r="Z418" s="44">
        <v>-0.34564</v>
      </c>
      <c r="AA418" s="45"/>
      <c r="AB418" s="46" t="s">
        <v>126</v>
      </c>
      <c r="AC418" s="44">
        <v>67.0</v>
      </c>
    </row>
    <row r="419">
      <c r="A419" s="2">
        <v>418.0</v>
      </c>
      <c r="B419" s="14">
        <f>IF(PasteBBM!B419="",156,PasteBBM!B419)</f>
        <v>156</v>
      </c>
      <c r="C419" t="str">
        <f>PasteBBM!I419</f>
        <v>Max Shulga</v>
      </c>
      <c r="D419" t="str">
        <f>IFERROR(REPLACE(PasteBBM!K419,FIND("/",PasteBBM!K419,1),1,","),PasteBBM!K419)</f>
        <v>PG,SG</v>
      </c>
      <c r="E419" t="str">
        <f>PasteBBM!J419</f>
        <v>BOS</v>
      </c>
      <c r="F419">
        <f>PasteBBM!U419</f>
        <v>46</v>
      </c>
      <c r="G419">
        <f>PasteBBM!X419</f>
        <v>10</v>
      </c>
      <c r="H419">
        <f>PasteBBM!AE419*PasteBBM!AF419</f>
        <v>1.16543364</v>
      </c>
      <c r="I419">
        <f>PasteBBM!AE419</f>
        <v>0.396406</v>
      </c>
      <c r="J419">
        <f>PasteBBM!AG419*PasteBBM!AH419</f>
        <v>0.7413043249</v>
      </c>
      <c r="K419">
        <f>PasteBBM!AG419</f>
        <v>0.788075</v>
      </c>
      <c r="L419">
        <f>PasteBBM!Z419</f>
        <v>0.72413</v>
      </c>
      <c r="M419">
        <f>PasteBBM!Y419</f>
        <v>3.796304</v>
      </c>
      <c r="N419">
        <f>PasteBBM!AA419</f>
        <v>1.201739</v>
      </c>
      <c r="O419">
        <f>PasteBBM!AB419</f>
        <v>0.94413</v>
      </c>
      <c r="P419">
        <f>PasteBBM!AC419</f>
        <v>0.321957</v>
      </c>
      <c r="Q419">
        <f>PasteBBM!AD419</f>
        <v>0.08587</v>
      </c>
      <c r="R419">
        <f>PasteBBM!AI419</f>
        <v>0.515</v>
      </c>
      <c r="S419">
        <f>PasteBBM!AE419</f>
        <v>0.396406</v>
      </c>
      <c r="T419">
        <f>PasteBBM!AG419</f>
        <v>0.788075</v>
      </c>
      <c r="V419" s="44">
        <v>-0.41709</v>
      </c>
      <c r="W419" s="44">
        <v>-0.00658</v>
      </c>
      <c r="X419" s="44">
        <v>0.009207</v>
      </c>
      <c r="Y419" s="44">
        <v>-0.4263</v>
      </c>
      <c r="Z419" s="44">
        <v>-0.34564</v>
      </c>
      <c r="AA419" s="45"/>
      <c r="AB419" s="46" t="s">
        <v>126</v>
      </c>
      <c r="AC419" s="44">
        <v>67.0</v>
      </c>
    </row>
    <row r="420">
      <c r="A420" s="2">
        <v>419.0</v>
      </c>
      <c r="B420" s="14">
        <f>IF(PasteBBM!B420="",156,PasteBBM!B420)</f>
        <v>156</v>
      </c>
      <c r="C420" t="str">
        <f>PasteBBM!I420</f>
        <v>Johni Broome</v>
      </c>
      <c r="D420" t="str">
        <f>IFERROR(REPLACE(PasteBBM!K420,FIND("/",PasteBBM!K420,1),1,","),PasteBBM!K420)</f>
        <v>SF,PF/C</v>
      </c>
      <c r="E420" t="str">
        <f>PasteBBM!J420</f>
        <v>PHI</v>
      </c>
      <c r="F420">
        <f>PasteBBM!U420</f>
        <v>16</v>
      </c>
      <c r="G420">
        <f>PasteBBM!X420</f>
        <v>9</v>
      </c>
      <c r="H420">
        <f>PasteBBM!AE420*PasteBBM!AF420</f>
        <v>1.410001307</v>
      </c>
      <c r="I420">
        <f>PasteBBM!AE420</f>
        <v>0.495063</v>
      </c>
      <c r="J420">
        <f>PasteBBM!AG420*PasteBBM!AH420</f>
        <v>0.4431247</v>
      </c>
      <c r="K420">
        <f>PasteBBM!AG420</f>
        <v>0.64808</v>
      </c>
      <c r="L420">
        <f>PasteBBM!Z420</f>
        <v>0.081875</v>
      </c>
      <c r="M420">
        <f>PasteBBM!Y420</f>
        <v>3.345</v>
      </c>
      <c r="N420">
        <f>PasteBBM!AA420</f>
        <v>2.25</v>
      </c>
      <c r="O420">
        <f>PasteBBM!AB420</f>
        <v>0.43125</v>
      </c>
      <c r="P420">
        <f>PasteBBM!AC420</f>
        <v>0.24375</v>
      </c>
      <c r="Q420">
        <f>PasteBBM!AD420</f>
        <v>0.45</v>
      </c>
      <c r="R420">
        <f>PasteBBM!AI420</f>
        <v>0.5625</v>
      </c>
      <c r="S420">
        <f>PasteBBM!AE420</f>
        <v>0.495063</v>
      </c>
      <c r="T420">
        <f>PasteBBM!AG420</f>
        <v>0.64808</v>
      </c>
      <c r="V420" s="44">
        <v>-0.41709</v>
      </c>
      <c r="W420" s="44">
        <v>-0.00658</v>
      </c>
      <c r="X420" s="44">
        <v>0.009207</v>
      </c>
      <c r="Y420" s="44">
        <v>-0.4263</v>
      </c>
      <c r="Z420" s="44">
        <v>-0.34564</v>
      </c>
      <c r="AA420" s="45"/>
      <c r="AB420" s="46" t="s">
        <v>126</v>
      </c>
      <c r="AC420" s="44">
        <v>67.0</v>
      </c>
    </row>
    <row r="421">
      <c r="A421" s="2">
        <v>420.0</v>
      </c>
      <c r="B421" s="14">
        <f>IF(PasteBBM!B421="",156,PasteBBM!B421)</f>
        <v>156</v>
      </c>
      <c r="C421" t="str">
        <f>PasteBBM!I421</f>
        <v>Kam Jones</v>
      </c>
      <c r="D421" t="str">
        <f>IFERROR(REPLACE(PasteBBM!K421,FIND("/",PasteBBM!K421,1),1,","),PasteBBM!K421)</f>
        <v>PG,SG</v>
      </c>
      <c r="E421" t="str">
        <f>PasteBBM!J421</f>
        <v>IND</v>
      </c>
      <c r="F421">
        <f>PasteBBM!U421</f>
        <v>40</v>
      </c>
      <c r="G421">
        <f>PasteBBM!X421</f>
        <v>12</v>
      </c>
      <c r="H421">
        <f>PasteBBM!AE421*PasteBBM!AF421</f>
        <v>1.678249173</v>
      </c>
      <c r="I421">
        <f>PasteBBM!AE421</f>
        <v>0.386404</v>
      </c>
      <c r="J421">
        <f>PasteBBM!AG421*PasteBBM!AH421</f>
        <v>0.2704998135</v>
      </c>
      <c r="K421">
        <f>PasteBBM!AG421</f>
        <v>0.692258</v>
      </c>
      <c r="L421">
        <f>PasteBBM!Z421</f>
        <v>0.84425</v>
      </c>
      <c r="M421">
        <f>PasteBBM!Y421</f>
        <v>4.47125</v>
      </c>
      <c r="N421">
        <f>PasteBBM!AA421</f>
        <v>1.313</v>
      </c>
      <c r="O421">
        <f>PasteBBM!AB421</f>
        <v>1.23725</v>
      </c>
      <c r="P421">
        <f>PasteBBM!AC421</f>
        <v>0.404</v>
      </c>
      <c r="Q421">
        <f>PasteBBM!AD421</f>
        <v>0.07575</v>
      </c>
      <c r="R421">
        <f>PasteBBM!AI421</f>
        <v>0.7575</v>
      </c>
      <c r="S421">
        <f>PasteBBM!AE421</f>
        <v>0.386404</v>
      </c>
      <c r="T421">
        <f>PasteBBM!AG421</f>
        <v>0.692258</v>
      </c>
      <c r="V421" s="44">
        <v>-0.41709</v>
      </c>
      <c r="W421" s="44">
        <v>-0.00658</v>
      </c>
      <c r="X421" s="44">
        <v>0.009207</v>
      </c>
      <c r="Y421" s="44">
        <v>-0.4263</v>
      </c>
      <c r="Z421" s="44">
        <v>-0.34564</v>
      </c>
      <c r="AA421" s="45"/>
      <c r="AB421" s="46" t="s">
        <v>126</v>
      </c>
      <c r="AC421" s="44">
        <v>67.0</v>
      </c>
    </row>
    <row r="422">
      <c r="A422" s="2">
        <v>421.0</v>
      </c>
      <c r="B422" s="14">
        <f>IF(PasteBBM!B422="",156,PasteBBM!B422)</f>
        <v>156</v>
      </c>
      <c r="C422" t="str">
        <f>PasteBBM!I422</f>
        <v>Jordan Miller</v>
      </c>
      <c r="D422" t="str">
        <f>IFERROR(REPLACE(PasteBBM!K422,FIND("/",PasteBBM!K422,1),1,","),PasteBBM!K422)</f>
        <v>SF</v>
      </c>
      <c r="E422" t="str">
        <f>PasteBBM!J422</f>
        <v>LAC</v>
      </c>
      <c r="F422">
        <f>PasteBBM!U422</f>
        <v>46</v>
      </c>
      <c r="G422">
        <f>PasteBBM!X422</f>
        <v>10</v>
      </c>
      <c r="H422">
        <f>PasteBBM!AE422*PasteBBM!AF422</f>
        <v>1.473912359</v>
      </c>
      <c r="I422">
        <f>PasteBBM!AE422</f>
        <v>0.450199</v>
      </c>
      <c r="J422">
        <f>PasteBBM!AG422*PasteBBM!AH422</f>
        <v>0.6408696722</v>
      </c>
      <c r="K422">
        <f>PasteBBM!AG422</f>
        <v>0.829955</v>
      </c>
      <c r="L422">
        <f>PasteBBM!Z422</f>
        <v>0.332826</v>
      </c>
      <c r="M422">
        <f>PasteBBM!Y422</f>
        <v>3.921522</v>
      </c>
      <c r="N422">
        <f>PasteBBM!AA422</f>
        <v>1.293261</v>
      </c>
      <c r="O422">
        <f>PasteBBM!AB422</f>
        <v>0.658261</v>
      </c>
      <c r="P422">
        <f>PasteBBM!AC422</f>
        <v>0.339348</v>
      </c>
      <c r="Q422">
        <f>PasteBBM!AD422</f>
        <v>0.101087</v>
      </c>
      <c r="R422">
        <f>PasteBBM!AI422</f>
        <v>0.496739</v>
      </c>
      <c r="S422">
        <f>PasteBBM!AE422</f>
        <v>0.450199</v>
      </c>
      <c r="T422">
        <f>PasteBBM!AG422</f>
        <v>0.829955</v>
      </c>
      <c r="V422" s="44">
        <v>-0.41709</v>
      </c>
      <c r="W422" s="44">
        <v>-0.00658</v>
      </c>
      <c r="X422" s="44">
        <v>0.009207</v>
      </c>
      <c r="Y422" s="44">
        <v>-0.4263</v>
      </c>
      <c r="Z422" s="44">
        <v>-0.34564</v>
      </c>
      <c r="AA422" s="45"/>
      <c r="AB422" s="46" t="s">
        <v>126</v>
      </c>
      <c r="AC422" s="44">
        <v>67.0</v>
      </c>
    </row>
    <row r="423">
      <c r="A423" s="2">
        <v>422.0</v>
      </c>
      <c r="B423" s="14">
        <f>IF(PasteBBM!B423="",156,PasteBBM!B423)</f>
        <v>156</v>
      </c>
      <c r="C423" t="str">
        <f>PasteBBM!I423</f>
        <v>Jaden Springer</v>
      </c>
      <c r="D423" t="str">
        <f>IFERROR(REPLACE(PasteBBM!K423,FIND("/",PasteBBM!K423,1),1,","),PasteBBM!K423)</f>
        <v>PG</v>
      </c>
      <c r="E423" t="str">
        <f>PasteBBM!J423</f>
        <v>NOR</v>
      </c>
      <c r="F423">
        <f>PasteBBM!U423</f>
        <v>43</v>
      </c>
      <c r="G423">
        <f>PasteBBM!X423</f>
        <v>7</v>
      </c>
      <c r="H423">
        <f>PasteBBM!AE423*PasteBBM!AF423</f>
        <v>0.6660464385</v>
      </c>
      <c r="I423">
        <f>PasteBBM!AE423</f>
        <v>0.396621</v>
      </c>
      <c r="J423">
        <f>PasteBBM!AG423*PasteBBM!AH423</f>
        <v>0.4153485104</v>
      </c>
      <c r="K423">
        <f>PasteBBM!AG423</f>
        <v>0.77316</v>
      </c>
      <c r="L423">
        <f>PasteBBM!Z423</f>
        <v>0.251163</v>
      </c>
      <c r="M423">
        <f>PasteBBM!Y423</f>
        <v>1.998605</v>
      </c>
      <c r="N423">
        <f>PasteBBM!AA423</f>
        <v>1.09</v>
      </c>
      <c r="O423">
        <f>PasteBBM!AB423</f>
        <v>0.603953</v>
      </c>
      <c r="P423">
        <f>PasteBBM!AC423</f>
        <v>0.486047</v>
      </c>
      <c r="Q423">
        <f>PasteBBM!AD423</f>
        <v>0.103023</v>
      </c>
      <c r="R423">
        <f>PasteBBM!AI423</f>
        <v>0.309302</v>
      </c>
      <c r="S423">
        <f>PasteBBM!AE423</f>
        <v>0.396621</v>
      </c>
      <c r="T423">
        <f>PasteBBM!AG423</f>
        <v>0.77316</v>
      </c>
      <c r="V423" s="44">
        <v>-0.41709</v>
      </c>
      <c r="W423" s="44">
        <v>-0.00658</v>
      </c>
      <c r="X423" s="44">
        <v>0.009207</v>
      </c>
      <c r="Y423" s="44">
        <v>-0.4263</v>
      </c>
      <c r="Z423" s="44">
        <v>-0.34564</v>
      </c>
      <c r="AA423" s="45"/>
      <c r="AB423" s="46" t="s">
        <v>126</v>
      </c>
      <c r="AC423" s="44">
        <v>67.0</v>
      </c>
    </row>
    <row r="424">
      <c r="A424" s="2">
        <v>423.0</v>
      </c>
      <c r="B424" s="14">
        <f>IF(PasteBBM!B424="",156,PasteBBM!B424)</f>
        <v>156</v>
      </c>
      <c r="C424" t="str">
        <f>PasteBBM!I424</f>
        <v>Jamal Cain</v>
      </c>
      <c r="D424" t="str">
        <f>IFERROR(REPLACE(PasteBBM!K424,FIND("/",PasteBBM!K424,1),1,","),PasteBBM!K424)</f>
        <v>SF</v>
      </c>
      <c r="E424" t="str">
        <f>PasteBBM!J424</f>
        <v>ORL</v>
      </c>
      <c r="F424">
        <f>PasteBBM!U424</f>
        <v>46</v>
      </c>
      <c r="G424">
        <f>PasteBBM!X424</f>
        <v>9</v>
      </c>
      <c r="H424">
        <f>PasteBBM!AE424*PasteBBM!AF424</f>
        <v>1.165216204</v>
      </c>
      <c r="I424">
        <f>PasteBBM!AE424</f>
        <v>0.446629</v>
      </c>
      <c r="J424">
        <f>PasteBBM!AG424*PasteBBM!AH424</f>
        <v>0.5658690831</v>
      </c>
      <c r="K424">
        <f>PasteBBM!AG424</f>
        <v>0.725878</v>
      </c>
      <c r="L424">
        <f>PasteBBM!Z424</f>
        <v>0.421957</v>
      </c>
      <c r="M424">
        <f>PasteBBM!Y424</f>
        <v>3.318261</v>
      </c>
      <c r="N424">
        <f>PasteBBM!AA424</f>
        <v>1.341304</v>
      </c>
      <c r="O424">
        <f>PasteBBM!AB424</f>
        <v>0.362609</v>
      </c>
      <c r="P424">
        <f>PasteBBM!AC424</f>
        <v>0.377826</v>
      </c>
      <c r="Q424">
        <f>PasteBBM!AD424</f>
        <v>0.13</v>
      </c>
      <c r="R424">
        <f>PasteBBM!AI424</f>
        <v>0.367391</v>
      </c>
      <c r="S424">
        <f>PasteBBM!AE424</f>
        <v>0.446629</v>
      </c>
      <c r="T424">
        <f>PasteBBM!AG424</f>
        <v>0.725878</v>
      </c>
      <c r="V424" s="44">
        <v>-0.41709</v>
      </c>
      <c r="W424" s="44">
        <v>-0.00658</v>
      </c>
      <c r="X424" s="44">
        <v>0.009207</v>
      </c>
      <c r="Y424" s="44">
        <v>-0.4263</v>
      </c>
      <c r="Z424" s="44">
        <v>-0.34564</v>
      </c>
      <c r="AA424" s="45"/>
      <c r="AB424" s="46" t="s">
        <v>126</v>
      </c>
      <c r="AC424" s="44">
        <v>67.0</v>
      </c>
    </row>
    <row r="425">
      <c r="A425" s="2">
        <v>424.0</v>
      </c>
      <c r="B425" s="14">
        <f>IF(PasteBBM!B425="",156,PasteBBM!B425)</f>
        <v>156</v>
      </c>
      <c r="C425" t="str">
        <f>PasteBBM!I425</f>
        <v>Rayan Rupert</v>
      </c>
      <c r="D425" t="str">
        <f>IFERROR(REPLACE(PasteBBM!K425,FIND("/",PasteBBM!K425,1),1,","),PasteBBM!K425)</f>
        <v>SG</v>
      </c>
      <c r="E425" t="str">
        <f>PasteBBM!J425</f>
        <v>POR</v>
      </c>
      <c r="F425">
        <f>PasteBBM!U425</f>
        <v>46</v>
      </c>
      <c r="G425">
        <f>PasteBBM!X425</f>
        <v>12</v>
      </c>
      <c r="H425">
        <f>PasteBBM!AE425*PasteBBM!AF425</f>
        <v>1.927393</v>
      </c>
      <c r="I425">
        <f>PasteBBM!AE425</f>
        <v>0.4498</v>
      </c>
      <c r="J425">
        <f>PasteBBM!AG425*PasteBBM!AH425</f>
        <v>0.5995652059</v>
      </c>
      <c r="K425">
        <f>PasteBBM!AG425</f>
        <v>0.774067</v>
      </c>
      <c r="L425">
        <f>PasteBBM!Z425</f>
        <v>0.488261</v>
      </c>
      <c r="M425">
        <f>PasteBBM!Y425</f>
        <v>4.942609</v>
      </c>
      <c r="N425">
        <f>PasteBBM!AA425</f>
        <v>1.836087</v>
      </c>
      <c r="O425">
        <f>PasteBBM!AB425</f>
        <v>0.611957</v>
      </c>
      <c r="P425">
        <f>PasteBBM!AC425</f>
        <v>0.306739</v>
      </c>
      <c r="Q425">
        <f>PasteBBM!AD425</f>
        <v>0.076304</v>
      </c>
      <c r="R425">
        <f>PasteBBM!AI425</f>
        <v>0.687609</v>
      </c>
      <c r="S425">
        <f>PasteBBM!AE425</f>
        <v>0.4498</v>
      </c>
      <c r="T425">
        <f>PasteBBM!AG425</f>
        <v>0.774067</v>
      </c>
      <c r="V425" s="44">
        <v>-0.41709</v>
      </c>
      <c r="W425" s="44">
        <v>-0.00658</v>
      </c>
      <c r="X425" s="44">
        <v>0.009207</v>
      </c>
      <c r="Y425" s="44">
        <v>-0.4263</v>
      </c>
      <c r="Z425" s="44">
        <v>-0.34564</v>
      </c>
      <c r="AA425" s="45"/>
      <c r="AB425" s="46" t="s">
        <v>126</v>
      </c>
      <c r="AC425" s="44">
        <v>67.0</v>
      </c>
    </row>
    <row r="426">
      <c r="A426" s="2">
        <v>425.0</v>
      </c>
      <c r="B426" s="14">
        <f>IF(PasteBBM!B426="",156,PasteBBM!B426)</f>
        <v>156</v>
      </c>
      <c r="C426" t="str">
        <f>PasteBBM!I426</f>
        <v>Olivier-Maxence Prosper</v>
      </c>
      <c r="D426" t="str">
        <f>IFERROR(REPLACE(PasteBBM!K426,FIND("/",PasteBBM!K426,1),1,","),PasteBBM!K426)</f>
        <v>PF</v>
      </c>
      <c r="E426" t="str">
        <f>PasteBBM!J426</f>
        <v>MEM</v>
      </c>
      <c r="F426">
        <f>PasteBBM!U426</f>
        <v>33</v>
      </c>
      <c r="G426">
        <f>PasteBBM!X426</f>
        <v>10</v>
      </c>
      <c r="H426">
        <f>PasteBBM!AE426*PasteBBM!AF426</f>
        <v>1.383333789</v>
      </c>
      <c r="I426">
        <f>PasteBBM!AE426</f>
        <v>0.451578</v>
      </c>
      <c r="J426">
        <f>PasteBBM!AG426*PasteBBM!AH426</f>
        <v>0.8403025794</v>
      </c>
      <c r="K426">
        <f>PasteBBM!AG426</f>
        <v>0.657888</v>
      </c>
      <c r="L426">
        <f>PasteBBM!Z426</f>
        <v>0.230606</v>
      </c>
      <c r="M426">
        <f>PasteBBM!Y426</f>
        <v>3.837576</v>
      </c>
      <c r="N426">
        <f>PasteBBM!AA426</f>
        <v>1.837576</v>
      </c>
      <c r="O426">
        <f>PasteBBM!AB426</f>
        <v>0.691818</v>
      </c>
      <c r="P426">
        <f>PasteBBM!AC426</f>
        <v>0.370303</v>
      </c>
      <c r="Q426">
        <f>PasteBBM!AD426</f>
        <v>0.109697</v>
      </c>
      <c r="R426">
        <f>PasteBBM!AI426</f>
        <v>0.241212</v>
      </c>
      <c r="S426">
        <f>PasteBBM!AE426</f>
        <v>0.451578</v>
      </c>
      <c r="T426">
        <f>PasteBBM!AG426</f>
        <v>0.657888</v>
      </c>
      <c r="V426" s="44">
        <v>-0.41709</v>
      </c>
      <c r="W426" s="44">
        <v>-0.00658</v>
      </c>
      <c r="X426" s="44">
        <v>0.009207</v>
      </c>
      <c r="Y426" s="44">
        <v>-0.4263</v>
      </c>
      <c r="Z426" s="44">
        <v>-0.34564</v>
      </c>
      <c r="AA426" s="45"/>
      <c r="AB426" s="46" t="s">
        <v>126</v>
      </c>
      <c r="AC426" s="44">
        <v>67.0</v>
      </c>
    </row>
    <row r="427">
      <c r="A427" s="2">
        <v>426.0</v>
      </c>
      <c r="B427" s="14">
        <f>IF(PasteBBM!B427="",156,PasteBBM!B427)</f>
        <v>156</v>
      </c>
      <c r="C427" t="str">
        <f>PasteBBM!I427</f>
        <v>Ousmane Dieng</v>
      </c>
      <c r="D427" t="str">
        <f>IFERROR(REPLACE(PasteBBM!K427,FIND("/",PasteBBM!K427,1),1,","),PasteBBM!K427)</f>
        <v>PF,C</v>
      </c>
      <c r="E427" t="str">
        <f>PasteBBM!J427</f>
        <v>OKC</v>
      </c>
      <c r="F427">
        <f>PasteBBM!U427</f>
        <v>26</v>
      </c>
      <c r="G427">
        <f>PasteBBM!X427</f>
        <v>9</v>
      </c>
      <c r="H427">
        <f>PasteBBM!AE427*PasteBBM!AF427</f>
        <v>1.25076896</v>
      </c>
      <c r="I427">
        <f>PasteBBM!AE427</f>
        <v>0.435808</v>
      </c>
      <c r="J427">
        <f>PasteBBM!AG427*PasteBBM!AH427</f>
        <v>0.2888460992</v>
      </c>
      <c r="K427">
        <f>PasteBBM!AG427</f>
        <v>0.744301</v>
      </c>
      <c r="L427">
        <f>PasteBBM!Z427</f>
        <v>0.505</v>
      </c>
      <c r="M427">
        <f>PasteBBM!Y427</f>
        <v>3.295385</v>
      </c>
      <c r="N427">
        <f>PasteBBM!AA427</f>
        <v>1.683077</v>
      </c>
      <c r="O427">
        <f>PasteBBM!AB427</f>
        <v>0.704231</v>
      </c>
      <c r="P427">
        <f>PasteBBM!AC427</f>
        <v>0.262692</v>
      </c>
      <c r="Q427">
        <f>PasteBBM!AD427</f>
        <v>0.115769</v>
      </c>
      <c r="R427">
        <f>PasteBBM!AI427</f>
        <v>0.424615</v>
      </c>
      <c r="S427">
        <f>PasteBBM!AE427</f>
        <v>0.435808</v>
      </c>
      <c r="T427">
        <f>PasteBBM!AG427</f>
        <v>0.744301</v>
      </c>
      <c r="V427" s="44">
        <v>-0.41709</v>
      </c>
      <c r="W427" s="44">
        <v>-0.00658</v>
      </c>
      <c r="X427" s="44">
        <v>0.009207</v>
      </c>
      <c r="Y427" s="44">
        <v>-0.4263</v>
      </c>
      <c r="Z427" s="44">
        <v>-0.34564</v>
      </c>
      <c r="AA427" s="45"/>
      <c r="AB427" s="46" t="s">
        <v>126</v>
      </c>
      <c r="AC427" s="44">
        <v>67.0</v>
      </c>
    </row>
    <row r="428">
      <c r="A428" s="2">
        <v>427.0</v>
      </c>
      <c r="B428" s="14">
        <f>IF(PasteBBM!B428="",156,PasteBBM!B428)</f>
        <v>156</v>
      </c>
      <c r="C428" t="str">
        <f>PasteBBM!I428</f>
        <v>A.J. Lawson</v>
      </c>
      <c r="D428" t="str">
        <f>IFERROR(REPLACE(PasteBBM!K428,FIND("/",PasteBBM!K428,1),1,","),PasteBBM!K428)</f>
        <v>SG</v>
      </c>
      <c r="E428" t="str">
        <f>PasteBBM!J428</f>
        <v>TOR</v>
      </c>
      <c r="F428">
        <f>PasteBBM!U428</f>
        <v>46</v>
      </c>
      <c r="G428">
        <f>PasteBBM!X428</f>
        <v>10</v>
      </c>
      <c r="H428">
        <f>PasteBBM!AE428*PasteBBM!AF428</f>
        <v>1.656302851</v>
      </c>
      <c r="I428">
        <f>PasteBBM!AE428</f>
        <v>0.438478</v>
      </c>
      <c r="J428">
        <f>PasteBBM!AG428*PasteBBM!AH428</f>
        <v>0.6645650291</v>
      </c>
      <c r="K428">
        <f>PasteBBM!AG428</f>
        <v>0.688979</v>
      </c>
      <c r="L428">
        <f>PasteBBM!Z428</f>
        <v>0.604348</v>
      </c>
      <c r="M428">
        <f>PasteBBM!Y428</f>
        <v>4.581522</v>
      </c>
      <c r="N428">
        <f>PasteBBM!AA428</f>
        <v>1.502174</v>
      </c>
      <c r="O428">
        <f>PasteBBM!AB428</f>
        <v>0.562174</v>
      </c>
      <c r="P428">
        <f>PasteBBM!AC428</f>
        <v>0.276087</v>
      </c>
      <c r="Q428">
        <f>PasteBBM!AD428</f>
        <v>0.107826</v>
      </c>
      <c r="R428">
        <f>PasteBBM!AI428</f>
        <v>0.345</v>
      </c>
      <c r="S428">
        <f>PasteBBM!AE428</f>
        <v>0.438478</v>
      </c>
      <c r="T428">
        <f>PasteBBM!AG428</f>
        <v>0.688979</v>
      </c>
      <c r="V428" s="44">
        <v>-0.41709</v>
      </c>
      <c r="W428" s="44">
        <v>-0.00658</v>
      </c>
      <c r="X428" s="44">
        <v>0.009207</v>
      </c>
      <c r="Y428" s="44">
        <v>-0.4263</v>
      </c>
      <c r="Z428" s="44">
        <v>-0.34564</v>
      </c>
      <c r="AA428" s="45"/>
      <c r="AB428" s="46" t="s">
        <v>126</v>
      </c>
      <c r="AC428" s="44">
        <v>67.0</v>
      </c>
    </row>
    <row r="429">
      <c r="A429" s="2">
        <v>428.0</v>
      </c>
      <c r="B429" s="14">
        <f>IF(PasteBBM!B429="",156,PasteBBM!B429)</f>
        <v>156</v>
      </c>
      <c r="C429" t="str">
        <f>PasteBBM!I429</f>
        <v>David Jones-Garcia</v>
      </c>
      <c r="D429" t="str">
        <f>IFERROR(REPLACE(PasteBBM!K429,FIND("/",PasteBBM!K429,1),1,","),PasteBBM!K429)</f>
        <v>SF,PF</v>
      </c>
      <c r="E429" t="str">
        <f>PasteBBM!J429</f>
        <v>SAS</v>
      </c>
      <c r="F429">
        <f>PasteBBM!U429</f>
        <v>16</v>
      </c>
      <c r="G429">
        <f>PasteBBM!X429</f>
        <v>9</v>
      </c>
      <c r="H429">
        <f>PasteBBM!AE429*PasteBBM!AF429</f>
        <v>1.473751228</v>
      </c>
      <c r="I429">
        <f>PasteBBM!AE429</f>
        <v>0.418605</v>
      </c>
      <c r="J429">
        <f>PasteBBM!AG429*PasteBBM!AH429</f>
        <v>0.4787501313</v>
      </c>
      <c r="K429">
        <f>PasteBBM!AG429</f>
        <v>0.75617</v>
      </c>
      <c r="L429">
        <f>PasteBBM!Z429</f>
        <v>0.563125</v>
      </c>
      <c r="M429">
        <f>PasteBBM!Y429</f>
        <v>3.989375</v>
      </c>
      <c r="N429">
        <f>PasteBBM!AA429</f>
        <v>1.33875</v>
      </c>
      <c r="O429">
        <f>PasteBBM!AB429</f>
        <v>0.45875</v>
      </c>
      <c r="P429">
        <f>PasteBBM!AC429</f>
        <v>0.3825</v>
      </c>
      <c r="Q429">
        <f>PasteBBM!AD429</f>
        <v>0.13375</v>
      </c>
      <c r="R429">
        <f>PasteBBM!AI429</f>
        <v>0.554375</v>
      </c>
      <c r="S429">
        <f>PasteBBM!AE429</f>
        <v>0.418605</v>
      </c>
      <c r="T429">
        <f>PasteBBM!AG429</f>
        <v>0.75617</v>
      </c>
      <c r="V429" s="44">
        <v>-0.41709</v>
      </c>
      <c r="W429" s="44">
        <v>-0.00658</v>
      </c>
      <c r="X429" s="44">
        <v>0.009207</v>
      </c>
      <c r="Y429" s="44">
        <v>-0.4263</v>
      </c>
      <c r="Z429" s="44">
        <v>-0.34564</v>
      </c>
      <c r="AA429" s="45"/>
      <c r="AB429" s="46" t="s">
        <v>126</v>
      </c>
      <c r="AC429" s="44">
        <v>67.0</v>
      </c>
    </row>
    <row r="430">
      <c r="A430" s="2">
        <v>429.0</v>
      </c>
      <c r="B430" s="14">
        <f>IF(PasteBBM!B430="",156,PasteBBM!B430)</f>
        <v>156</v>
      </c>
      <c r="C430" t="str">
        <f>PasteBBM!I430</f>
        <v>RayJ Dennis</v>
      </c>
      <c r="D430" t="str">
        <f>IFERROR(REPLACE(PasteBBM!K430,FIND("/",PasteBBM!K430,1),1,","),PasteBBM!K430)</f>
        <v>PG</v>
      </c>
      <c r="E430" t="str">
        <f>PasteBBM!J430</f>
        <v>IND</v>
      </c>
      <c r="F430">
        <f>PasteBBM!U430</f>
        <v>46</v>
      </c>
      <c r="G430">
        <f>PasteBBM!X430</f>
        <v>9</v>
      </c>
      <c r="H430">
        <f>PasteBBM!AE430*PasteBBM!AF430</f>
        <v>1.069129582</v>
      </c>
      <c r="I430">
        <f>PasteBBM!AE430</f>
        <v>0.371534</v>
      </c>
      <c r="J430">
        <f>PasteBBM!AG430*PasteBBM!AH430</f>
        <v>0.3302170382</v>
      </c>
      <c r="K430">
        <f>PasteBBM!AG430</f>
        <v>0.761785</v>
      </c>
      <c r="L430">
        <f>PasteBBM!Z430</f>
        <v>0.596087</v>
      </c>
      <c r="M430">
        <f>PasteBBM!Y430</f>
        <v>3.064565</v>
      </c>
      <c r="N430">
        <f>PasteBBM!AA430</f>
        <v>1.133913</v>
      </c>
      <c r="O430">
        <f>PasteBBM!AB430</f>
        <v>1.515</v>
      </c>
      <c r="P430">
        <f>PasteBBM!AC430</f>
        <v>0.337391</v>
      </c>
      <c r="Q430">
        <f>PasteBBM!AD430</f>
        <v>0.074565</v>
      </c>
      <c r="R430">
        <f>PasteBBM!AI430</f>
        <v>0.568043</v>
      </c>
      <c r="S430">
        <f>PasteBBM!AE430</f>
        <v>0.371534</v>
      </c>
      <c r="T430">
        <f>PasteBBM!AG430</f>
        <v>0.761785</v>
      </c>
      <c r="V430" s="44">
        <v>-0.41709</v>
      </c>
      <c r="W430" s="44">
        <v>-0.00658</v>
      </c>
      <c r="X430" s="44">
        <v>0.009207</v>
      </c>
      <c r="Y430" s="44">
        <v>-0.4263</v>
      </c>
      <c r="Z430" s="44">
        <v>-0.34564</v>
      </c>
      <c r="AA430" s="45"/>
      <c r="AB430" s="46" t="s">
        <v>126</v>
      </c>
      <c r="AC430" s="44">
        <v>67.0</v>
      </c>
    </row>
    <row r="431">
      <c r="A431" s="2">
        <v>430.0</v>
      </c>
      <c r="B431" s="14">
        <f>IF(PasteBBM!B431="",156,PasteBBM!B431)</f>
        <v>156</v>
      </c>
      <c r="C431" t="str">
        <f>PasteBBM!I431</f>
        <v>Bismack Biyombo</v>
      </c>
      <c r="D431" t="str">
        <f>IFERROR(REPLACE(PasteBBM!K431,FIND("/",PasteBBM!K431,1),1,","),PasteBBM!K431)</f>
        <v>C</v>
      </c>
      <c r="E431" t="str">
        <f>PasteBBM!J431</f>
        <v>SAS</v>
      </c>
      <c r="F431">
        <f>PasteBBM!U431</f>
        <v>16</v>
      </c>
      <c r="G431">
        <f>PasteBBM!X431</f>
        <v>9</v>
      </c>
      <c r="H431">
        <f>PasteBBM!AE431*PasteBBM!AF431</f>
        <v>1.013749463</v>
      </c>
      <c r="I431">
        <f>PasteBBM!AE431</f>
        <v>0.575177</v>
      </c>
      <c r="J431">
        <f>PasteBBM!AG431*PasteBBM!AH431</f>
        <v>0.2375002213</v>
      </c>
      <c r="K431">
        <f>PasteBBM!AG431</f>
        <v>0.421754</v>
      </c>
      <c r="L431">
        <f>PasteBBM!Z431</f>
        <v>0</v>
      </c>
      <c r="M431">
        <f>PasteBBM!Y431</f>
        <v>2.265</v>
      </c>
      <c r="N431">
        <f>PasteBBM!AA431</f>
        <v>2.54375</v>
      </c>
      <c r="O431">
        <f>PasteBBM!AB431</f>
        <v>0.57375</v>
      </c>
      <c r="P431">
        <f>PasteBBM!AC431</f>
        <v>0.19125</v>
      </c>
      <c r="Q431">
        <f>PasteBBM!AD431</f>
        <v>0.51625</v>
      </c>
      <c r="R431">
        <f>PasteBBM!AI431</f>
        <v>0.4975</v>
      </c>
      <c r="S431">
        <f>PasteBBM!AE431</f>
        <v>0.575177</v>
      </c>
      <c r="T431">
        <f>PasteBBM!AG431</f>
        <v>0.421754</v>
      </c>
      <c r="V431" s="44">
        <v>-0.41709</v>
      </c>
      <c r="W431" s="44">
        <v>-0.00658</v>
      </c>
      <c r="X431" s="44">
        <v>0.009207</v>
      </c>
      <c r="Y431" s="44">
        <v>-0.4263</v>
      </c>
      <c r="Z431" s="44">
        <v>-0.34564</v>
      </c>
      <c r="AA431" s="45"/>
      <c r="AB431" s="46" t="s">
        <v>126</v>
      </c>
      <c r="AC431" s="44">
        <v>67.0</v>
      </c>
    </row>
    <row r="432">
      <c r="A432" s="2">
        <v>431.0</v>
      </c>
      <c r="B432" s="14">
        <f>IF(PasteBBM!B432="",156,PasteBBM!B432)</f>
        <v>156</v>
      </c>
      <c r="C432" t="str">
        <f>PasteBBM!I432</f>
        <v>Jeff Green</v>
      </c>
      <c r="D432" t="str">
        <f>IFERROR(REPLACE(PasteBBM!K432,FIND("/",PasteBBM!K432,1),1,","),PasteBBM!K432)</f>
        <v>PF</v>
      </c>
      <c r="E432" t="str">
        <f>PasteBBM!J432</f>
        <v>HOU</v>
      </c>
      <c r="F432">
        <f>PasteBBM!U432</f>
        <v>43</v>
      </c>
      <c r="G432">
        <f>PasteBBM!X432</f>
        <v>10</v>
      </c>
      <c r="H432">
        <f>PasteBBM!AE432*PasteBBM!AF432</f>
        <v>1.369301301</v>
      </c>
      <c r="I432">
        <f>PasteBBM!AE432</f>
        <v>0.448746</v>
      </c>
      <c r="J432">
        <f>PasteBBM!AG432*PasteBBM!AH432</f>
        <v>0.4876750247</v>
      </c>
      <c r="K432">
        <f>PasteBBM!AG432</f>
        <v>0.799162</v>
      </c>
      <c r="L432">
        <f>PasteBBM!Z432</f>
        <v>0.54093</v>
      </c>
      <c r="M432">
        <f>PasteBBM!Y432</f>
        <v>3.767209</v>
      </c>
      <c r="N432">
        <f>PasteBBM!AA432</f>
        <v>1.304651</v>
      </c>
      <c r="O432">
        <f>PasteBBM!AB432</f>
        <v>0.514884</v>
      </c>
      <c r="P432">
        <f>PasteBBM!AC432</f>
        <v>0.142326</v>
      </c>
      <c r="Q432">
        <f>PasteBBM!AD432</f>
        <v>0.171628</v>
      </c>
      <c r="R432">
        <f>PasteBBM!AI432</f>
        <v>0.299302</v>
      </c>
      <c r="S432">
        <f>PasteBBM!AE432</f>
        <v>0.448746</v>
      </c>
      <c r="T432">
        <f>PasteBBM!AG432</f>
        <v>0.799162</v>
      </c>
      <c r="V432" s="44">
        <v>-0.41709</v>
      </c>
      <c r="W432" s="44">
        <v>-0.00658</v>
      </c>
      <c r="X432" s="44">
        <v>0.009207</v>
      </c>
      <c r="Y432" s="44">
        <v>-0.4263</v>
      </c>
      <c r="Z432" s="44">
        <v>-0.34564</v>
      </c>
      <c r="AA432" s="45"/>
      <c r="AB432" s="46" t="s">
        <v>126</v>
      </c>
      <c r="AC432" s="44">
        <v>67.0</v>
      </c>
    </row>
    <row r="433">
      <c r="A433" s="2">
        <v>432.0</v>
      </c>
      <c r="B433" s="14">
        <f>IF(PasteBBM!B433="",156,PasteBBM!B433)</f>
        <v>156</v>
      </c>
      <c r="C433" t="str">
        <f>PasteBBM!I433</f>
        <v>Jordan McLaughlin</v>
      </c>
      <c r="D433" t="str">
        <f>IFERROR(REPLACE(PasteBBM!K433,FIND("/",PasteBBM!K433,1),1,","),PasteBBM!K433)</f>
        <v>PG</v>
      </c>
      <c r="E433" t="str">
        <f>PasteBBM!J433</f>
        <v>SAS</v>
      </c>
      <c r="F433">
        <f>PasteBBM!U433</f>
        <v>43</v>
      </c>
      <c r="G433">
        <f>PasteBBM!X433</f>
        <v>8</v>
      </c>
      <c r="H433">
        <f>PasteBBM!AE433*PasteBBM!AF433</f>
        <v>0.6553487088</v>
      </c>
      <c r="I433">
        <f>PasteBBM!AE433</f>
        <v>0.397293</v>
      </c>
      <c r="J433">
        <f>PasteBBM!AG433*PasteBBM!AH433</f>
        <v>0.2074417985</v>
      </c>
      <c r="K433">
        <f>PasteBBM!AG433</f>
        <v>0.762393</v>
      </c>
      <c r="L433">
        <f>PasteBBM!Z433</f>
        <v>0.409535</v>
      </c>
      <c r="M433">
        <f>PasteBBM!Y433</f>
        <v>1.927674</v>
      </c>
      <c r="N433">
        <f>PasteBBM!AA433</f>
        <v>0.73093</v>
      </c>
      <c r="O433">
        <f>PasteBBM!AB433</f>
        <v>1.453488</v>
      </c>
      <c r="P433">
        <f>PasteBBM!AC433</f>
        <v>0.34</v>
      </c>
      <c r="Q433">
        <f>PasteBBM!AD433</f>
        <v>0.068605</v>
      </c>
      <c r="R433">
        <f>PasteBBM!AI433</f>
        <v>0.373953</v>
      </c>
      <c r="S433">
        <f>PasteBBM!AE433</f>
        <v>0.397293</v>
      </c>
      <c r="T433">
        <f>PasteBBM!AG433</f>
        <v>0.762393</v>
      </c>
      <c r="V433" s="44">
        <v>-0.41709</v>
      </c>
      <c r="W433" s="44">
        <v>-0.00658</v>
      </c>
      <c r="X433" s="44">
        <v>0.009207</v>
      </c>
      <c r="Y433" s="44">
        <v>-0.4263</v>
      </c>
      <c r="Z433" s="44">
        <v>-0.34564</v>
      </c>
      <c r="AA433" s="45"/>
      <c r="AB433" s="46" t="s">
        <v>126</v>
      </c>
      <c r="AC433" s="44">
        <v>67.0</v>
      </c>
    </row>
    <row r="434">
      <c r="A434" s="2">
        <v>433.0</v>
      </c>
      <c r="B434" s="14">
        <f>IF(PasteBBM!B434="",156,PasteBBM!B434)</f>
        <v>156</v>
      </c>
      <c r="C434" t="str">
        <f>PasteBBM!I434</f>
        <v>Dwight Powell</v>
      </c>
      <c r="D434" t="str">
        <f>IFERROR(REPLACE(PasteBBM!K434,FIND("/",PasteBBM!K434,1),1,","),PasteBBM!K434)</f>
        <v>C</v>
      </c>
      <c r="E434" t="str">
        <f>PasteBBM!J434</f>
        <v>DAL</v>
      </c>
      <c r="F434">
        <f>PasteBBM!U434</f>
        <v>46</v>
      </c>
      <c r="G434">
        <f>PasteBBM!X434</f>
        <v>8</v>
      </c>
      <c r="H434">
        <f>PasteBBM!AE434*PasteBBM!AF434</f>
        <v>0.6284784898</v>
      </c>
      <c r="I434">
        <f>PasteBBM!AE434</f>
        <v>0.690966</v>
      </c>
      <c r="J434">
        <f>PasteBBM!AG434*PasteBBM!AH434</f>
        <v>0.3226090905</v>
      </c>
      <c r="K434">
        <f>PasteBBM!AG434</f>
        <v>0.657219</v>
      </c>
      <c r="L434">
        <f>PasteBBM!Z434</f>
        <v>0.011087</v>
      </c>
      <c r="M434">
        <f>PasteBBM!Y434</f>
        <v>1.590652</v>
      </c>
      <c r="N434">
        <f>PasteBBM!AA434</f>
        <v>1.59913</v>
      </c>
      <c r="O434">
        <f>PasteBBM!AB434</f>
        <v>0.687826</v>
      </c>
      <c r="P434">
        <f>PasteBBM!AC434</f>
        <v>0.262826</v>
      </c>
      <c r="Q434">
        <f>PasteBBM!AD434</f>
        <v>0.221739</v>
      </c>
      <c r="R434">
        <f>PasteBBM!AI434</f>
        <v>0.306522</v>
      </c>
      <c r="S434">
        <f>PasteBBM!AE434</f>
        <v>0.690966</v>
      </c>
      <c r="T434">
        <f>PasteBBM!AG434</f>
        <v>0.657219</v>
      </c>
      <c r="V434" s="44">
        <v>-0.41709</v>
      </c>
      <c r="W434" s="44">
        <v>-0.00658</v>
      </c>
      <c r="X434" s="44">
        <v>0.009207</v>
      </c>
      <c r="Y434" s="44">
        <v>-0.4263</v>
      </c>
      <c r="Z434" s="44">
        <v>-0.34564</v>
      </c>
      <c r="AA434" s="45"/>
      <c r="AB434" s="46" t="s">
        <v>126</v>
      </c>
      <c r="AC434" s="44">
        <v>67.0</v>
      </c>
    </row>
    <row r="435">
      <c r="A435" s="2">
        <v>434.0</v>
      </c>
      <c r="B435" s="14">
        <f>IF(PasteBBM!B435="",156,PasteBBM!B435)</f>
        <v>156</v>
      </c>
      <c r="C435" t="str">
        <f>PasteBBM!I435</f>
        <v>Yanic Konan Niederhauser</v>
      </c>
      <c r="D435" t="str">
        <f>IFERROR(REPLACE(PasteBBM!K435,FIND("/",PasteBBM!K435,1),1,","),PasteBBM!K435)</f>
        <v>SF,PF/C</v>
      </c>
      <c r="E435" t="str">
        <f>PasteBBM!J435</f>
        <v>LAC</v>
      </c>
      <c r="F435">
        <f>PasteBBM!U435</f>
        <v>46</v>
      </c>
      <c r="G435">
        <f>PasteBBM!X435</f>
        <v>9</v>
      </c>
      <c r="H435">
        <f>PasteBBM!AE435*PasteBBM!AF435</f>
        <v>1.23782668</v>
      </c>
      <c r="I435">
        <f>PasteBBM!AE435</f>
        <v>0.540023</v>
      </c>
      <c r="J435">
        <f>PasteBBM!AG435*PasteBBM!AH435</f>
        <v>0.6204349853</v>
      </c>
      <c r="K435">
        <f>PasteBBM!AG435</f>
        <v>0.676945</v>
      </c>
      <c r="L435">
        <f>PasteBBM!Z435</f>
        <v>0.041304</v>
      </c>
      <c r="M435">
        <f>PasteBBM!Y435</f>
        <v>3.137391</v>
      </c>
      <c r="N435">
        <f>PasteBBM!AA435</f>
        <v>2.182609</v>
      </c>
      <c r="O435">
        <f>PasteBBM!AB435</f>
        <v>0.254565</v>
      </c>
      <c r="P435">
        <f>PasteBBM!AC435</f>
        <v>0.181957</v>
      </c>
      <c r="Q435">
        <f>PasteBBM!AD435</f>
        <v>0.581957</v>
      </c>
      <c r="R435">
        <f>PasteBBM!AI435</f>
        <v>0.727609</v>
      </c>
      <c r="S435">
        <f>PasteBBM!AE435</f>
        <v>0.540023</v>
      </c>
      <c r="T435">
        <f>PasteBBM!AG435</f>
        <v>0.676945</v>
      </c>
      <c r="V435" s="44">
        <v>-0.41709</v>
      </c>
      <c r="W435" s="44">
        <v>-0.00658</v>
      </c>
      <c r="X435" s="44">
        <v>0.009207</v>
      </c>
      <c r="Y435" s="44">
        <v>-0.4263</v>
      </c>
      <c r="Z435" s="44">
        <v>-0.34564</v>
      </c>
      <c r="AA435" s="45"/>
      <c r="AB435" s="46" t="s">
        <v>126</v>
      </c>
      <c r="AC435" s="44">
        <v>67.0</v>
      </c>
    </row>
    <row r="436">
      <c r="A436" s="2">
        <v>435.0</v>
      </c>
      <c r="B436" s="14">
        <f>IF(PasteBBM!B436="",156,PasteBBM!B436)</f>
        <v>156</v>
      </c>
      <c r="C436" t="str">
        <f>PasteBBM!I436</f>
        <v>Koby Brea</v>
      </c>
      <c r="D436" t="str">
        <f>IFERROR(REPLACE(PasteBBM!K436,FIND("/",PasteBBM!K436,1),1,","),PasteBBM!K436)</f>
        <v>PG,SG</v>
      </c>
      <c r="E436" t="str">
        <f>PasteBBM!J436</f>
        <v>PHO</v>
      </c>
      <c r="F436">
        <f>PasteBBM!U436</f>
        <v>30</v>
      </c>
      <c r="G436">
        <f>PasteBBM!X436</f>
        <v>10</v>
      </c>
      <c r="H436">
        <f>PasteBBM!AE436*PasteBBM!AF436</f>
        <v>1.112667492</v>
      </c>
      <c r="I436">
        <f>PasteBBM!AE436</f>
        <v>0.39672</v>
      </c>
      <c r="J436">
        <f>PasteBBM!AG436*PasteBBM!AH436</f>
        <v>0.1306664713</v>
      </c>
      <c r="K436">
        <f>PasteBBM!AG436</f>
        <v>0.776238</v>
      </c>
      <c r="L436">
        <f>PasteBBM!Z436</f>
        <v>0.884667</v>
      </c>
      <c r="M436">
        <f>PasteBBM!Y436</f>
        <v>3.240667</v>
      </c>
      <c r="N436">
        <f>PasteBBM!AA436</f>
        <v>1.175667</v>
      </c>
      <c r="O436">
        <f>PasteBBM!AB436</f>
        <v>0.474333</v>
      </c>
      <c r="P436">
        <f>PasteBBM!AC436</f>
        <v>0.185667</v>
      </c>
      <c r="Q436">
        <f>PasteBBM!AD436</f>
        <v>0.103</v>
      </c>
      <c r="R436">
        <f>PasteBBM!AI436</f>
        <v>0.288667</v>
      </c>
      <c r="S436">
        <f>PasteBBM!AE436</f>
        <v>0.39672</v>
      </c>
      <c r="T436">
        <f>PasteBBM!AG436</f>
        <v>0.776238</v>
      </c>
      <c r="V436" s="44">
        <v>-0.41709</v>
      </c>
      <c r="W436" s="44">
        <v>-0.00658</v>
      </c>
      <c r="X436" s="44">
        <v>0.009207</v>
      </c>
      <c r="Y436" s="44">
        <v>-0.4263</v>
      </c>
      <c r="Z436" s="44">
        <v>-0.34564</v>
      </c>
      <c r="AA436" s="45"/>
      <c r="AB436" s="46" t="s">
        <v>126</v>
      </c>
      <c r="AC436" s="44">
        <v>67.0</v>
      </c>
    </row>
    <row r="437">
      <c r="A437" s="2">
        <v>436.0</v>
      </c>
      <c r="B437" s="14">
        <f>IF(PasteBBM!B437="",156,PasteBBM!B437)</f>
        <v>156</v>
      </c>
      <c r="C437" t="str">
        <f>PasteBBM!I437</f>
        <v>Jett Howard</v>
      </c>
      <c r="D437" t="str">
        <f>IFERROR(REPLACE(PasteBBM!K437,FIND("/",PasteBBM!K437,1),1,","),PasteBBM!K437)</f>
        <v>SF</v>
      </c>
      <c r="E437" t="str">
        <f>PasteBBM!J437</f>
        <v>ORL</v>
      </c>
      <c r="F437">
        <f>PasteBBM!U437</f>
        <v>46</v>
      </c>
      <c r="G437">
        <f>PasteBBM!X437</f>
        <v>12</v>
      </c>
      <c r="H437">
        <f>PasteBBM!AE437*PasteBBM!AF437</f>
        <v>1.772174706</v>
      </c>
      <c r="I437">
        <f>PasteBBM!AE437</f>
        <v>0.410908</v>
      </c>
      <c r="J437">
        <f>PasteBBM!AG437*PasteBBM!AH437</f>
        <v>0.2632610436</v>
      </c>
      <c r="K437">
        <f>PasteBBM!AG437</f>
        <v>0.66685</v>
      </c>
      <c r="L437">
        <f>PasteBBM!Z437</f>
        <v>0.938913</v>
      </c>
      <c r="M437">
        <f>PasteBBM!Y437</f>
        <v>4.746522</v>
      </c>
      <c r="N437">
        <f>PasteBBM!AA437</f>
        <v>1.200435</v>
      </c>
      <c r="O437">
        <f>PasteBBM!AB437</f>
        <v>0.636957</v>
      </c>
      <c r="P437">
        <f>PasteBBM!AC437</f>
        <v>0.247391</v>
      </c>
      <c r="Q437">
        <f>PasteBBM!AD437</f>
        <v>0.195</v>
      </c>
      <c r="R437">
        <f>PasteBBM!AI437</f>
        <v>0.686087</v>
      </c>
      <c r="S437">
        <f>PasteBBM!AE437</f>
        <v>0.410908</v>
      </c>
      <c r="T437">
        <f>PasteBBM!AG437</f>
        <v>0.66685</v>
      </c>
      <c r="V437" s="44">
        <v>-0.41709</v>
      </c>
      <c r="W437" s="44">
        <v>-0.00658</v>
      </c>
      <c r="X437" s="44">
        <v>0.009207</v>
      </c>
      <c r="Y437" s="44">
        <v>-0.4263</v>
      </c>
      <c r="Z437" s="44">
        <v>-0.34564</v>
      </c>
      <c r="AA437" s="45"/>
      <c r="AB437" s="46" t="s">
        <v>126</v>
      </c>
      <c r="AC437" s="44">
        <v>67.0</v>
      </c>
    </row>
    <row r="438">
      <c r="A438" s="2">
        <v>437.0</v>
      </c>
      <c r="B438" s="14">
        <f>IF(PasteBBM!B438="",156,PasteBBM!B438)</f>
        <v>156</v>
      </c>
      <c r="C438" t="str">
        <f>PasteBBM!I438</f>
        <v>Tyler Kolek</v>
      </c>
      <c r="D438" t="str">
        <f>IFERROR(REPLACE(PasteBBM!K438,FIND("/",PasteBBM!K438,1),1,","),PasteBBM!K438)</f>
        <v>PG</v>
      </c>
      <c r="E438" t="str">
        <f>PasteBBM!J438</f>
        <v>NYK</v>
      </c>
      <c r="F438">
        <f>PasteBBM!U438</f>
        <v>46</v>
      </c>
      <c r="G438">
        <f>PasteBBM!X438</f>
        <v>8</v>
      </c>
      <c r="H438">
        <f>PasteBBM!AE438*PasteBBM!AF438</f>
        <v>0.736086374</v>
      </c>
      <c r="I438">
        <f>PasteBBM!AE438</f>
        <v>0.371965</v>
      </c>
      <c r="J438">
        <f>PasteBBM!AG438*PasteBBM!AH438</f>
        <v>0.3697825051</v>
      </c>
      <c r="K438">
        <f>PasteBBM!AG438</f>
        <v>0.778134</v>
      </c>
      <c r="L438">
        <f>PasteBBM!Z438</f>
        <v>0.367609</v>
      </c>
      <c r="M438">
        <f>PasteBBM!Y438</f>
        <v>2.209565</v>
      </c>
      <c r="N438">
        <f>PasteBBM!AA438</f>
        <v>0.66</v>
      </c>
      <c r="O438">
        <f>PasteBBM!AB438</f>
        <v>1.98</v>
      </c>
      <c r="P438">
        <f>PasteBBM!AC438</f>
        <v>0.31</v>
      </c>
      <c r="Q438">
        <f>PasteBBM!AD438</f>
        <v>0.075652</v>
      </c>
      <c r="R438">
        <f>PasteBBM!AI438</f>
        <v>0.445435</v>
      </c>
      <c r="S438">
        <f>PasteBBM!AE438</f>
        <v>0.371965</v>
      </c>
      <c r="T438">
        <f>PasteBBM!AG438</f>
        <v>0.778134</v>
      </c>
      <c r="V438" s="44">
        <v>-0.41709</v>
      </c>
      <c r="W438" s="44">
        <v>-0.00658</v>
      </c>
      <c r="X438" s="44">
        <v>0.009207</v>
      </c>
      <c r="Y438" s="44">
        <v>-0.4263</v>
      </c>
      <c r="Z438" s="44">
        <v>-0.34564</v>
      </c>
      <c r="AA438" s="45"/>
      <c r="AB438" s="46" t="s">
        <v>126</v>
      </c>
      <c r="AC438" s="44">
        <v>67.0</v>
      </c>
    </row>
    <row r="439">
      <c r="A439" s="2">
        <v>438.0</v>
      </c>
      <c r="B439" s="14">
        <f>IF(PasteBBM!B439="",156,PasteBBM!B439)</f>
        <v>156</v>
      </c>
      <c r="C439" t="str">
        <f>PasteBBM!I439</f>
        <v>Isaac Jones</v>
      </c>
      <c r="D439" t="str">
        <f>IFERROR(REPLACE(PasteBBM!K439,FIND("/",PasteBBM!K439,1),1,","),PasteBBM!K439)</f>
        <v>PF</v>
      </c>
      <c r="E439" t="str">
        <f>PasteBBM!J439</f>
        <v>SAC</v>
      </c>
      <c r="F439">
        <f>PasteBBM!U439</f>
        <v>16</v>
      </c>
      <c r="G439">
        <f>PasteBBM!X439</f>
        <v>7</v>
      </c>
      <c r="H439">
        <f>PasteBBM!AE439*PasteBBM!AF439</f>
        <v>1.388750924</v>
      </c>
      <c r="I439">
        <f>PasteBBM!AE439</f>
        <v>0.654107</v>
      </c>
      <c r="J439">
        <f>PasteBBM!AG439*PasteBBM!AH439</f>
        <v>0.3750001663</v>
      </c>
      <c r="K439">
        <f>PasteBBM!AG439</f>
        <v>0.679502</v>
      </c>
      <c r="L439">
        <f>PasteBBM!Z439</f>
        <v>0.094375</v>
      </c>
      <c r="M439">
        <f>PasteBBM!Y439</f>
        <v>3.246875</v>
      </c>
      <c r="N439">
        <f>PasteBBM!AA439</f>
        <v>1.365625</v>
      </c>
      <c r="O439">
        <f>PasteBBM!AB439</f>
        <v>0.3275</v>
      </c>
      <c r="P439">
        <f>PasteBBM!AC439</f>
        <v>0.13</v>
      </c>
      <c r="Q439">
        <f>PasteBBM!AD439</f>
        <v>0.240625</v>
      </c>
      <c r="R439">
        <f>PasteBBM!AI439</f>
        <v>0.336875</v>
      </c>
      <c r="S439">
        <f>PasteBBM!AE439</f>
        <v>0.654107</v>
      </c>
      <c r="T439">
        <f>PasteBBM!AG439</f>
        <v>0.679502</v>
      </c>
      <c r="V439" s="44">
        <v>-0.41709</v>
      </c>
      <c r="W439" s="44">
        <v>-0.00658</v>
      </c>
      <c r="X439" s="44">
        <v>0.009207</v>
      </c>
      <c r="Y439" s="44">
        <v>-0.4263</v>
      </c>
      <c r="Z439" s="44">
        <v>-0.34564</v>
      </c>
      <c r="AA439" s="45"/>
      <c r="AB439" s="46" t="s">
        <v>126</v>
      </c>
      <c r="AC439" s="44">
        <v>67.0</v>
      </c>
    </row>
    <row r="440">
      <c r="A440" s="2">
        <v>439.0</v>
      </c>
      <c r="B440" s="14">
        <f>IF(PasteBBM!B440="",156,PasteBBM!B440)</f>
        <v>156</v>
      </c>
      <c r="C440" t="str">
        <f>PasteBBM!I440</f>
        <v>Jamison Battle</v>
      </c>
      <c r="D440" t="str">
        <f>IFERROR(REPLACE(PasteBBM!K440,FIND("/",PasteBBM!K440,1),1,","),PasteBBM!K440)</f>
        <v>SF</v>
      </c>
      <c r="E440" t="str">
        <f>PasteBBM!J440</f>
        <v>TOR</v>
      </c>
      <c r="F440">
        <f>PasteBBM!U440</f>
        <v>46</v>
      </c>
      <c r="G440">
        <f>PasteBBM!X440</f>
        <v>9</v>
      </c>
      <c r="H440">
        <f>PasteBBM!AE440*PasteBBM!AF440</f>
        <v>1.118912758</v>
      </c>
      <c r="I440">
        <f>PasteBBM!AE440</f>
        <v>0.419752</v>
      </c>
      <c r="J440">
        <f>PasteBBM!AG440*PasteBBM!AH440</f>
        <v>0.1041305418</v>
      </c>
      <c r="K440">
        <f>PasteBBM!AG440</f>
        <v>0.888683</v>
      </c>
      <c r="L440">
        <f>PasteBBM!Z440</f>
        <v>0.79087</v>
      </c>
      <c r="M440">
        <f>PasteBBM!Y440</f>
        <v>3.132826</v>
      </c>
      <c r="N440">
        <f>PasteBBM!AA440</f>
        <v>1.371087</v>
      </c>
      <c r="O440">
        <f>PasteBBM!AB440</f>
        <v>0.37587</v>
      </c>
      <c r="P440">
        <f>PasteBBM!AC440</f>
        <v>0.143478</v>
      </c>
      <c r="Q440">
        <f>PasteBBM!AD440</f>
        <v>0.080652</v>
      </c>
      <c r="R440">
        <f>PasteBBM!AI440</f>
        <v>0.240217</v>
      </c>
      <c r="S440">
        <f>PasteBBM!AE440</f>
        <v>0.419752</v>
      </c>
      <c r="T440">
        <f>PasteBBM!AG440</f>
        <v>0.888683</v>
      </c>
      <c r="V440" s="44">
        <v>-0.41709</v>
      </c>
      <c r="W440" s="44">
        <v>-0.00658</v>
      </c>
      <c r="X440" s="44">
        <v>0.009207</v>
      </c>
      <c r="Y440" s="44">
        <v>-0.4263</v>
      </c>
      <c r="Z440" s="44">
        <v>-0.34564</v>
      </c>
      <c r="AA440" s="45"/>
      <c r="AB440" s="46" t="s">
        <v>126</v>
      </c>
      <c r="AC440" s="44">
        <v>67.0</v>
      </c>
    </row>
    <row r="441">
      <c r="A441" s="2">
        <v>440.0</v>
      </c>
      <c r="B441" s="14">
        <f>IF(PasteBBM!B441="",156,PasteBBM!B441)</f>
        <v>156</v>
      </c>
      <c r="C441" t="str">
        <f>PasteBBM!I441</f>
        <v>Malaki Branham</v>
      </c>
      <c r="D441" t="str">
        <f>IFERROR(REPLACE(PasteBBM!K441,FIND("/",PasteBBM!K441,1),1,","),PasteBBM!K441)</f>
        <v>PG,SG</v>
      </c>
      <c r="E441" t="str">
        <f>PasteBBM!J441</f>
        <v>WAS</v>
      </c>
      <c r="F441">
        <f>PasteBBM!U441</f>
        <v>16</v>
      </c>
      <c r="G441">
        <f>PasteBBM!X441</f>
        <v>11</v>
      </c>
      <c r="H441">
        <f>PasteBBM!AE441*PasteBBM!AF441</f>
        <v>1.682498925</v>
      </c>
      <c r="I441">
        <f>PasteBBM!AE441</f>
        <v>0.46302</v>
      </c>
      <c r="J441">
        <f>PasteBBM!AG441*PasteBBM!AH441</f>
        <v>0.45625002</v>
      </c>
      <c r="K441">
        <f>PasteBBM!AG441</f>
        <v>0.837156</v>
      </c>
      <c r="L441">
        <f>PasteBBM!Z441</f>
        <v>0.65125</v>
      </c>
      <c r="M441">
        <f>PasteBBM!Y441</f>
        <v>4.4725</v>
      </c>
      <c r="N441">
        <f>PasteBBM!AA441</f>
        <v>1.109375</v>
      </c>
      <c r="O441">
        <f>PasteBBM!AB441</f>
        <v>0.910625</v>
      </c>
      <c r="P441">
        <f>PasteBBM!AC441</f>
        <v>0.208125</v>
      </c>
      <c r="Q441">
        <f>PasteBBM!AD441</f>
        <v>0.0475</v>
      </c>
      <c r="R441">
        <f>PasteBBM!AI441</f>
        <v>0.69125</v>
      </c>
      <c r="S441">
        <f>PasteBBM!AE441</f>
        <v>0.46302</v>
      </c>
      <c r="T441">
        <f>PasteBBM!AG441</f>
        <v>0.837156</v>
      </c>
      <c r="V441" s="44">
        <v>-0.41709</v>
      </c>
      <c r="W441" s="44">
        <v>-0.00658</v>
      </c>
      <c r="X441" s="44">
        <v>0.009207</v>
      </c>
      <c r="Y441" s="44">
        <v>-0.4263</v>
      </c>
      <c r="Z441" s="44">
        <v>-0.34564</v>
      </c>
      <c r="AA441" s="45"/>
      <c r="AB441" s="46" t="s">
        <v>126</v>
      </c>
      <c r="AC441" s="44">
        <v>67.0</v>
      </c>
    </row>
    <row r="442">
      <c r="A442" s="2">
        <v>441.0</v>
      </c>
      <c r="B442" s="14">
        <f>IF(PasteBBM!B442="",156,PasteBBM!B442)</f>
        <v>156</v>
      </c>
      <c r="C442" t="str">
        <f>PasteBBM!I442</f>
        <v>Drake Powell</v>
      </c>
      <c r="D442" t="str">
        <f>IFERROR(REPLACE(PasteBBM!K442,FIND("/",PasteBBM!K442,1),1,","),PasteBBM!K442)</f>
        <v>PG,SG/SF/PF</v>
      </c>
      <c r="E442" t="str">
        <f>PasteBBM!J442</f>
        <v>BKN</v>
      </c>
      <c r="F442">
        <f>PasteBBM!U442</f>
        <v>43</v>
      </c>
      <c r="G442">
        <f>PasteBBM!X442</f>
        <v>11</v>
      </c>
      <c r="H442">
        <f>PasteBBM!AE442*PasteBBM!AF442</f>
        <v>0.9832558751</v>
      </c>
      <c r="I442">
        <f>PasteBBM!AE442</f>
        <v>0.393962</v>
      </c>
      <c r="J442">
        <f>PasteBBM!AG442*PasteBBM!AH442</f>
        <v>0.2702324201</v>
      </c>
      <c r="K442">
        <f>PasteBBM!AG442</f>
        <v>0.676762</v>
      </c>
      <c r="L442">
        <f>PasteBBM!Z442</f>
        <v>0.51186</v>
      </c>
      <c r="M442">
        <f>PasteBBM!Y442</f>
        <v>2.748605</v>
      </c>
      <c r="N442">
        <f>PasteBBM!AA442</f>
        <v>1.361163</v>
      </c>
      <c r="O442">
        <f>PasteBBM!AB442</f>
        <v>0.49907</v>
      </c>
      <c r="P442">
        <f>PasteBBM!AC442</f>
        <v>0.272326</v>
      </c>
      <c r="Q442">
        <f>PasteBBM!AD442</f>
        <v>0.204186</v>
      </c>
      <c r="R442">
        <f>PasteBBM!AI442</f>
        <v>0.317674</v>
      </c>
      <c r="S442">
        <f>PasteBBM!AE442</f>
        <v>0.393962</v>
      </c>
      <c r="T442">
        <f>PasteBBM!AG442</f>
        <v>0.676762</v>
      </c>
      <c r="V442" s="44">
        <v>-0.41709</v>
      </c>
      <c r="W442" s="44">
        <v>-0.00658</v>
      </c>
      <c r="X442" s="44">
        <v>0.009207</v>
      </c>
      <c r="Y442" s="44">
        <v>-0.4263</v>
      </c>
      <c r="Z442" s="44">
        <v>-0.34564</v>
      </c>
      <c r="AA442" s="45"/>
      <c r="AB442" s="46" t="s">
        <v>126</v>
      </c>
      <c r="AC442" s="44">
        <v>67.0</v>
      </c>
    </row>
    <row r="443">
      <c r="A443" s="2">
        <v>442.0</v>
      </c>
      <c r="B443" s="14">
        <f>IF(PasteBBM!B443="",156,PasteBBM!B443)</f>
        <v>156</v>
      </c>
      <c r="C443" t="str">
        <f>PasteBBM!I443</f>
        <v>Dylan Cardwell</v>
      </c>
      <c r="D443" t="str">
        <f>IFERROR(REPLACE(PasteBBM!K443,FIND("/",PasteBBM!K443,1),1,","),PasteBBM!K443)</f>
        <v>C</v>
      </c>
      <c r="E443" t="str">
        <f>PasteBBM!J443</f>
        <v>SAC</v>
      </c>
      <c r="F443">
        <f>PasteBBM!U443</f>
        <v>16</v>
      </c>
      <c r="G443">
        <f>PasteBBM!X443</f>
        <v>7</v>
      </c>
      <c r="H443">
        <f>PasteBBM!AE443*PasteBBM!AF443</f>
        <v>0.7412501213</v>
      </c>
      <c r="I443">
        <f>PasteBBM!AE443</f>
        <v>0.631523</v>
      </c>
      <c r="J443">
        <f>PasteBBM!AG443*PasteBBM!AH443</f>
        <v>0.1806251125</v>
      </c>
      <c r="K443">
        <f>PasteBBM!AG443</f>
        <v>0.54943</v>
      </c>
      <c r="L443">
        <f>PasteBBM!Z443</f>
        <v>0.005</v>
      </c>
      <c r="M443">
        <f>PasteBBM!Y443</f>
        <v>1.668125</v>
      </c>
      <c r="N443">
        <f>PasteBBM!AA443</f>
        <v>1.6975</v>
      </c>
      <c r="O443">
        <f>PasteBBM!AB443</f>
        <v>0.283125</v>
      </c>
      <c r="P443">
        <f>PasteBBM!AC443</f>
        <v>0.2125</v>
      </c>
      <c r="Q443">
        <f>PasteBBM!AD443</f>
        <v>0.43875</v>
      </c>
      <c r="R443">
        <f>PasteBBM!AI443</f>
        <v>0.39625</v>
      </c>
      <c r="S443">
        <f>PasteBBM!AE443</f>
        <v>0.631523</v>
      </c>
      <c r="T443">
        <f>PasteBBM!AG443</f>
        <v>0.54943</v>
      </c>
      <c r="V443" s="44">
        <v>-0.41709</v>
      </c>
      <c r="W443" s="44">
        <v>-0.00658</v>
      </c>
      <c r="X443" s="44">
        <v>0.009207</v>
      </c>
      <c r="Y443" s="44">
        <v>-0.4263</v>
      </c>
      <c r="Z443" s="44">
        <v>-0.34564</v>
      </c>
      <c r="AA443" s="45"/>
      <c r="AB443" s="46" t="s">
        <v>126</v>
      </c>
      <c r="AC443" s="44">
        <v>67.0</v>
      </c>
    </row>
    <row r="444">
      <c r="A444" s="2">
        <v>443.0</v>
      </c>
      <c r="B444" s="14">
        <f>IF(PasteBBM!B444="",156,PasteBBM!B444)</f>
        <v>156</v>
      </c>
      <c r="C444" t="str">
        <f>PasteBBM!I444</f>
        <v>Chaz Lanier</v>
      </c>
      <c r="D444" t="str">
        <f>IFERROR(REPLACE(PasteBBM!K444,FIND("/",PasteBBM!K444,1),1,","),PasteBBM!K444)</f>
        <v>PG,SG</v>
      </c>
      <c r="E444" t="str">
        <f>PasteBBM!J444</f>
        <v>DET</v>
      </c>
      <c r="F444">
        <f>PasteBBM!U444</f>
        <v>32</v>
      </c>
      <c r="G444">
        <f>PasteBBM!X444</f>
        <v>10</v>
      </c>
      <c r="H444">
        <f>PasteBBM!AE444*PasteBBM!AF444</f>
        <v>1.270624905</v>
      </c>
      <c r="I444">
        <f>PasteBBM!AE444</f>
        <v>0.405303</v>
      </c>
      <c r="J444">
        <f>PasteBBM!AG444*PasteBBM!AH444</f>
        <v>0.3275000075</v>
      </c>
      <c r="K444">
        <f>PasteBBM!AG444</f>
        <v>0.803681</v>
      </c>
      <c r="L444">
        <f>PasteBBM!Z444</f>
        <v>0.746563</v>
      </c>
      <c r="M444">
        <f>PasteBBM!Y444</f>
        <v>3.615313</v>
      </c>
      <c r="N444">
        <f>PasteBBM!AA444</f>
        <v>1.220313</v>
      </c>
      <c r="O444">
        <f>PasteBBM!AB444</f>
        <v>0.484063</v>
      </c>
      <c r="P444">
        <f>PasteBBM!AC444</f>
        <v>0.2525</v>
      </c>
      <c r="Q444">
        <f>PasteBBM!AD444</f>
        <v>0.084063</v>
      </c>
      <c r="R444">
        <f>PasteBBM!AI444</f>
        <v>0.462813</v>
      </c>
      <c r="S444">
        <f>PasteBBM!AE444</f>
        <v>0.405303</v>
      </c>
      <c r="T444">
        <f>PasteBBM!AG444</f>
        <v>0.803681</v>
      </c>
      <c r="V444" s="44">
        <v>-0.41709</v>
      </c>
      <c r="W444" s="44">
        <v>-0.00658</v>
      </c>
      <c r="X444" s="44">
        <v>0.009207</v>
      </c>
      <c r="Y444" s="44">
        <v>-0.4263</v>
      </c>
      <c r="Z444" s="44">
        <v>-0.34564</v>
      </c>
      <c r="AA444" s="45"/>
      <c r="AB444" s="46" t="s">
        <v>126</v>
      </c>
      <c r="AC444" s="44">
        <v>67.0</v>
      </c>
    </row>
    <row r="445">
      <c r="A445" s="2">
        <v>444.0</v>
      </c>
      <c r="B445" s="14">
        <f>IF(PasteBBM!B445="",156,PasteBBM!B445)</f>
        <v>156</v>
      </c>
      <c r="C445" t="str">
        <f>PasteBBM!I445</f>
        <v>Keshad Johnson</v>
      </c>
      <c r="D445" t="str">
        <f>IFERROR(REPLACE(PasteBBM!K445,FIND("/",PasteBBM!K445,1),1,","),PasteBBM!K445)</f>
        <v>SF</v>
      </c>
      <c r="E445" t="str">
        <f>PasteBBM!J445</f>
        <v>MIA</v>
      </c>
      <c r="F445">
        <f>PasteBBM!U445</f>
        <v>16</v>
      </c>
      <c r="G445">
        <f>PasteBBM!X445</f>
        <v>8</v>
      </c>
      <c r="H445">
        <f>PasteBBM!AE445*PasteBBM!AF445</f>
        <v>1.08062475</v>
      </c>
      <c r="I445">
        <f>PasteBBM!AE445</f>
        <v>0.5172</v>
      </c>
      <c r="J445">
        <f>PasteBBM!AG445*PasteBBM!AH445</f>
        <v>0.3768748694</v>
      </c>
      <c r="K445">
        <f>PasteBBM!AG445</f>
        <v>0.643543</v>
      </c>
      <c r="L445">
        <f>PasteBBM!Z445</f>
        <v>0.205625</v>
      </c>
      <c r="M445">
        <f>PasteBBM!Y445</f>
        <v>2.74375</v>
      </c>
      <c r="N445">
        <f>PasteBBM!AA445</f>
        <v>1.829375</v>
      </c>
      <c r="O445">
        <f>PasteBBM!AB445</f>
        <v>0.38375</v>
      </c>
      <c r="P445">
        <f>PasteBBM!AC445</f>
        <v>0.235625</v>
      </c>
      <c r="Q445">
        <f>PasteBBM!AD445</f>
        <v>0.170625</v>
      </c>
      <c r="R445">
        <f>PasteBBM!AI445</f>
        <v>0.326875</v>
      </c>
      <c r="S445">
        <f>PasteBBM!AE445</f>
        <v>0.5172</v>
      </c>
      <c r="T445">
        <f>PasteBBM!AG445</f>
        <v>0.643543</v>
      </c>
      <c r="V445" s="44">
        <v>-0.41709</v>
      </c>
      <c r="W445" s="44">
        <v>-0.00658</v>
      </c>
      <c r="X445" s="44">
        <v>0.009207</v>
      </c>
      <c r="Y445" s="44">
        <v>-0.4263</v>
      </c>
      <c r="Z445" s="44">
        <v>-0.34564</v>
      </c>
      <c r="AA445" s="45"/>
      <c r="AB445" s="46" t="s">
        <v>126</v>
      </c>
      <c r="AC445" s="44">
        <v>67.0</v>
      </c>
    </row>
    <row r="446">
      <c r="A446" s="2">
        <v>445.0</v>
      </c>
      <c r="B446" s="14">
        <f>IF(PasteBBM!B446="",156,PasteBBM!B446)</f>
        <v>156</v>
      </c>
      <c r="C446" t="str">
        <f>PasteBBM!I446</f>
        <v>A.J. Johnson</v>
      </c>
      <c r="D446" t="str">
        <f>IFERROR(REPLACE(PasteBBM!K446,FIND("/",PasteBBM!K446,1),1,","),PasteBBM!K446)</f>
        <v>PG,SG</v>
      </c>
      <c r="E446" t="str">
        <f>PasteBBM!J446</f>
        <v>WAS</v>
      </c>
      <c r="F446">
        <f>PasteBBM!U446</f>
        <v>39</v>
      </c>
      <c r="G446">
        <f>PasteBBM!X446</f>
        <v>14</v>
      </c>
      <c r="H446">
        <f>PasteBBM!AE446*PasteBBM!AF446</f>
        <v>1.761538352</v>
      </c>
      <c r="I446">
        <f>PasteBBM!AE446</f>
        <v>0.415784</v>
      </c>
      <c r="J446">
        <f>PasteBBM!AG446*PasteBBM!AH446</f>
        <v>0.5017948326</v>
      </c>
      <c r="K446">
        <f>PasteBBM!AG446</f>
        <v>0.826785</v>
      </c>
      <c r="L446">
        <f>PasteBBM!Z446</f>
        <v>0.501795</v>
      </c>
      <c r="M446">
        <f>PasteBBM!Y446</f>
        <v>4.526667</v>
      </c>
      <c r="N446">
        <f>PasteBBM!AA446</f>
        <v>1.261795</v>
      </c>
      <c r="O446">
        <f>PasteBBM!AB446</f>
        <v>1.433846</v>
      </c>
      <c r="P446">
        <f>PasteBBM!AC446</f>
        <v>0.269744</v>
      </c>
      <c r="Q446">
        <f>PasteBBM!AD446</f>
        <v>0.08</v>
      </c>
      <c r="R446">
        <f>PasteBBM!AI446</f>
        <v>0.820769</v>
      </c>
      <c r="S446">
        <f>PasteBBM!AE446</f>
        <v>0.415784</v>
      </c>
      <c r="T446">
        <f>PasteBBM!AG446</f>
        <v>0.826785</v>
      </c>
      <c r="V446" s="44">
        <v>-0.41709</v>
      </c>
      <c r="W446" s="44">
        <v>-0.00658</v>
      </c>
      <c r="X446" s="44">
        <v>0.009207</v>
      </c>
      <c r="Y446" s="44">
        <v>-0.4263</v>
      </c>
      <c r="Z446" s="44">
        <v>-0.34564</v>
      </c>
      <c r="AA446" s="45"/>
      <c r="AB446" s="46" t="s">
        <v>126</v>
      </c>
      <c r="AC446" s="44">
        <v>67.0</v>
      </c>
    </row>
    <row r="447">
      <c r="A447" s="2">
        <v>446.0</v>
      </c>
      <c r="B447" s="14">
        <f>IF(PasteBBM!B447="",156,PasteBBM!B447)</f>
        <v>156</v>
      </c>
      <c r="C447" t="str">
        <f>PasteBBM!I447</f>
        <v>Colby Jones</v>
      </c>
      <c r="D447" t="str">
        <f>IFERROR(REPLACE(PasteBBM!K447,FIND("/",PasteBBM!K447,1),1,","),PasteBBM!K447)</f>
        <v>SG</v>
      </c>
      <c r="E447" t="str">
        <f>PasteBBM!J447</f>
        <v>DET</v>
      </c>
      <c r="F447">
        <f>PasteBBM!U447</f>
        <v>16</v>
      </c>
      <c r="G447">
        <f>PasteBBM!X447</f>
        <v>8</v>
      </c>
      <c r="H447">
        <f>PasteBBM!AE447*PasteBBM!AF447</f>
        <v>0.874374255</v>
      </c>
      <c r="I447">
        <f>PasteBBM!AE447</f>
        <v>0.451873</v>
      </c>
      <c r="J447">
        <f>PasteBBM!AG447*PasteBBM!AH447</f>
        <v>0.3312498475</v>
      </c>
      <c r="K447">
        <f>PasteBBM!AG447</f>
        <v>0.633971</v>
      </c>
      <c r="L447">
        <f>PasteBBM!Z447</f>
        <v>0.23125</v>
      </c>
      <c r="M447">
        <f>PasteBBM!Y447</f>
        <v>2.31125</v>
      </c>
      <c r="N447">
        <f>PasteBBM!AA447</f>
        <v>1.245625</v>
      </c>
      <c r="O447">
        <f>PasteBBM!AB447</f>
        <v>0.623125</v>
      </c>
      <c r="P447">
        <f>PasteBBM!AC447</f>
        <v>0.37375</v>
      </c>
      <c r="Q447">
        <f>PasteBBM!AD447</f>
        <v>0.134375</v>
      </c>
      <c r="R447">
        <f>PasteBBM!AI447</f>
        <v>0.336875</v>
      </c>
      <c r="S447">
        <f>PasteBBM!AE447</f>
        <v>0.451873</v>
      </c>
      <c r="T447">
        <f>PasteBBM!AG447</f>
        <v>0.633971</v>
      </c>
      <c r="V447" s="44">
        <v>-0.41709</v>
      </c>
      <c r="W447" s="44">
        <v>-0.00658</v>
      </c>
      <c r="X447" s="44">
        <v>0.009207</v>
      </c>
      <c r="Y447" s="44">
        <v>-0.4263</v>
      </c>
      <c r="Z447" s="44">
        <v>-0.34564</v>
      </c>
      <c r="AA447" s="45"/>
      <c r="AB447" s="46" t="s">
        <v>126</v>
      </c>
      <c r="AC447" s="44">
        <v>67.0</v>
      </c>
    </row>
    <row r="448">
      <c r="A448" s="2">
        <v>447.0</v>
      </c>
      <c r="B448" s="14">
        <f>IF(PasteBBM!B448="",156,PasteBBM!B448)</f>
        <v>156</v>
      </c>
      <c r="C448" t="str">
        <f>PasteBBM!I448</f>
        <v>Vladislav Goldin</v>
      </c>
      <c r="D448" t="str">
        <f>IFERROR(REPLACE(PasteBBM!K448,FIND("/",PasteBBM!K448,1),1,","),PasteBBM!K448)</f>
        <v>C</v>
      </c>
      <c r="E448" t="str">
        <f>PasteBBM!J448</f>
        <v>MIA</v>
      </c>
      <c r="F448">
        <f>PasteBBM!U448</f>
        <v>16</v>
      </c>
      <c r="G448">
        <f>PasteBBM!X448</f>
        <v>8</v>
      </c>
      <c r="H448">
        <f>PasteBBM!AE448*PasteBBM!AF448</f>
        <v>1.143750953</v>
      </c>
      <c r="I448">
        <f>PasteBBM!AE448</f>
        <v>0.563945</v>
      </c>
      <c r="J448">
        <f>PasteBBM!AG448*PasteBBM!AH448</f>
        <v>0.4887497475</v>
      </c>
      <c r="K448">
        <f>PasteBBM!AG448</f>
        <v>0.689594</v>
      </c>
      <c r="L448">
        <f>PasteBBM!Z448</f>
        <v>0.010625</v>
      </c>
      <c r="M448">
        <f>PasteBBM!Y448</f>
        <v>2.786875</v>
      </c>
      <c r="N448">
        <f>PasteBBM!AA448</f>
        <v>1.861875</v>
      </c>
      <c r="O448">
        <f>PasteBBM!AB448</f>
        <v>0.26125</v>
      </c>
      <c r="P448">
        <f>PasteBBM!AC448</f>
        <v>0.163125</v>
      </c>
      <c r="Q448">
        <f>PasteBBM!AD448</f>
        <v>0.359375</v>
      </c>
      <c r="R448">
        <f>PasteBBM!AI448</f>
        <v>0.424375</v>
      </c>
      <c r="S448">
        <f>PasteBBM!AE448</f>
        <v>0.563945</v>
      </c>
      <c r="T448">
        <f>PasteBBM!AG448</f>
        <v>0.689594</v>
      </c>
      <c r="V448" s="44">
        <v>-0.41709</v>
      </c>
      <c r="W448" s="44">
        <v>-0.00658</v>
      </c>
      <c r="X448" s="44">
        <v>0.009207</v>
      </c>
      <c r="Y448" s="44">
        <v>-0.4263</v>
      </c>
      <c r="Z448" s="44">
        <v>-0.34564</v>
      </c>
      <c r="AA448" s="45"/>
      <c r="AB448" s="46" t="s">
        <v>126</v>
      </c>
      <c r="AC448" s="44">
        <v>67.0</v>
      </c>
    </row>
    <row r="449">
      <c r="A449" s="2">
        <v>448.0</v>
      </c>
      <c r="B449" s="14">
        <f>IF(PasteBBM!B449="",156,PasteBBM!B449)</f>
        <v>156</v>
      </c>
      <c r="C449" t="str">
        <f>PasteBBM!I449</f>
        <v>Isaiah Livers</v>
      </c>
      <c r="D449" t="str">
        <f>IFERROR(REPLACE(PasteBBM!K449,FIND("/",PasteBBM!K449,1),1,","),PasteBBM!K449)</f>
        <v>PF</v>
      </c>
      <c r="E449" t="str">
        <f>PasteBBM!J449</f>
        <v>PHO</v>
      </c>
      <c r="F449">
        <f>PasteBBM!U449</f>
        <v>16</v>
      </c>
      <c r="G449">
        <f>PasteBBM!X449</f>
        <v>9</v>
      </c>
      <c r="H449">
        <f>PasteBBM!AE449*PasteBBM!AF449</f>
        <v>0.9268749669</v>
      </c>
      <c r="I449">
        <f>PasteBBM!AE449</f>
        <v>0.430729</v>
      </c>
      <c r="J449">
        <f>PasteBBM!AG449*PasteBBM!AH449</f>
        <v>0.1999999925</v>
      </c>
      <c r="K449">
        <f>PasteBBM!AG449</f>
        <v>0.776699</v>
      </c>
      <c r="L449">
        <f>PasteBBM!Z449</f>
        <v>0.541875</v>
      </c>
      <c r="M449">
        <f>PasteBBM!Y449</f>
        <v>2.595625</v>
      </c>
      <c r="N449">
        <f>PasteBBM!AA449</f>
        <v>1.039375</v>
      </c>
      <c r="O449">
        <f>PasteBBM!AB449</f>
        <v>0.288125</v>
      </c>
      <c r="P449">
        <f>PasteBBM!AC449</f>
        <v>0.220625</v>
      </c>
      <c r="Q449">
        <f>PasteBBM!AD449</f>
        <v>0.15625</v>
      </c>
      <c r="R449">
        <f>PasteBBM!AI449</f>
        <v>0.271875</v>
      </c>
      <c r="S449">
        <f>PasteBBM!AE449</f>
        <v>0.430729</v>
      </c>
      <c r="T449">
        <f>PasteBBM!AG449</f>
        <v>0.776699</v>
      </c>
      <c r="V449" s="44">
        <v>-0.41709</v>
      </c>
      <c r="W449" s="44">
        <v>-0.00658</v>
      </c>
      <c r="X449" s="44">
        <v>0.009207</v>
      </c>
      <c r="Y449" s="44">
        <v>-0.4263</v>
      </c>
      <c r="Z449" s="44">
        <v>-0.34564</v>
      </c>
      <c r="AA449" s="45"/>
      <c r="AB449" s="46" t="s">
        <v>126</v>
      </c>
      <c r="AC449" s="44">
        <v>67.0</v>
      </c>
    </row>
    <row r="450">
      <c r="A450" s="2">
        <v>449.0</v>
      </c>
      <c r="B450" s="14">
        <f>IF(PasteBBM!B450="",156,PasteBBM!B450)</f>
        <v>156</v>
      </c>
      <c r="C450" t="str">
        <f>PasteBBM!I450</f>
        <v>EJ Harkless</v>
      </c>
      <c r="D450" t="str">
        <f>IFERROR(REPLACE(PasteBBM!K450,FIND("/",PasteBBM!K450,1),1,","),PasteBBM!K450)</f>
        <v>SG</v>
      </c>
      <c r="E450" t="str">
        <f>PasteBBM!J450</f>
        <v>UTA</v>
      </c>
      <c r="F450">
        <f>PasteBBM!U450</f>
        <v>16</v>
      </c>
      <c r="G450">
        <f>PasteBBM!X450</f>
        <v>9</v>
      </c>
      <c r="H450">
        <f>PasteBBM!AE450*PasteBBM!AF450</f>
        <v>0.9137499806</v>
      </c>
      <c r="I450">
        <f>PasteBBM!AE450</f>
        <v>0.358597</v>
      </c>
      <c r="J450">
        <f>PasteBBM!AG450*PasteBBM!AH450</f>
        <v>0.3081249425</v>
      </c>
      <c r="K450">
        <f>PasteBBM!AG450</f>
        <v>0.671662</v>
      </c>
      <c r="L450">
        <f>PasteBBM!Z450</f>
        <v>0.5525</v>
      </c>
      <c r="M450">
        <f>PasteBBM!Y450</f>
        <v>2.688125</v>
      </c>
      <c r="N450">
        <f>PasteBBM!AA450</f>
        <v>1.44125</v>
      </c>
      <c r="O450">
        <f>PasteBBM!AB450</f>
        <v>0.4825</v>
      </c>
      <c r="P450">
        <f>PasteBBM!AC450</f>
        <v>0.42375</v>
      </c>
      <c r="Q450">
        <f>PasteBBM!AD450</f>
        <v>0.07375</v>
      </c>
      <c r="R450">
        <f>PasteBBM!AI450</f>
        <v>0.4925</v>
      </c>
      <c r="S450">
        <f>PasteBBM!AE450</f>
        <v>0.358597</v>
      </c>
      <c r="T450">
        <f>PasteBBM!AG450</f>
        <v>0.671662</v>
      </c>
      <c r="V450" s="44">
        <v>-0.41709</v>
      </c>
      <c r="W450" s="44">
        <v>-0.00658</v>
      </c>
      <c r="X450" s="44">
        <v>0.009207</v>
      </c>
      <c r="Y450" s="44">
        <v>-0.4263</v>
      </c>
      <c r="Z450" s="44">
        <v>-0.34564</v>
      </c>
      <c r="AA450" s="45"/>
      <c r="AB450" s="46" t="s">
        <v>126</v>
      </c>
      <c r="AC450" s="44">
        <v>67.0</v>
      </c>
    </row>
    <row r="451">
      <c r="A451" s="2">
        <v>450.0</v>
      </c>
      <c r="B451" s="14">
        <f>IF(PasteBBM!B451="",156,PasteBBM!B451)</f>
        <v>156</v>
      </c>
      <c r="C451" t="str">
        <f>PasteBBM!I451</f>
        <v>Chris Manon</v>
      </c>
      <c r="D451" t="str">
        <f>IFERROR(REPLACE(PasteBBM!K451,FIND("/",PasteBBM!K451,1),1,","),PasteBBM!K451)</f>
        <v>PG,SG</v>
      </c>
      <c r="E451" t="str">
        <f>PasteBBM!J451</f>
        <v>LAL</v>
      </c>
      <c r="F451">
        <f>PasteBBM!U451</f>
        <v>16</v>
      </c>
      <c r="G451">
        <f>PasteBBM!X451</f>
        <v>7</v>
      </c>
      <c r="H451">
        <f>PasteBBM!AE451*PasteBBM!AF451</f>
        <v>1.064375216</v>
      </c>
      <c r="I451">
        <f>PasteBBM!AE451</f>
        <v>0.460146</v>
      </c>
      <c r="J451">
        <f>PasteBBM!AG451*PasteBBM!AH451</f>
        <v>0.4387500225</v>
      </c>
      <c r="K451">
        <f>PasteBBM!AG451</f>
        <v>0.728972</v>
      </c>
      <c r="L451">
        <f>PasteBBM!Z451</f>
        <v>0.19375</v>
      </c>
      <c r="M451">
        <f>PasteBBM!Y451</f>
        <v>2.76125</v>
      </c>
      <c r="N451">
        <f>PasteBBM!AA451</f>
        <v>1.000625</v>
      </c>
      <c r="O451">
        <f>PasteBBM!AB451</f>
        <v>0.7</v>
      </c>
      <c r="P451">
        <f>PasteBBM!AC451</f>
        <v>0.32875</v>
      </c>
      <c r="Q451">
        <f>PasteBBM!AD451</f>
        <v>0.1575</v>
      </c>
      <c r="R451">
        <f>PasteBBM!AI451</f>
        <v>0.4575</v>
      </c>
      <c r="S451">
        <f>PasteBBM!AE451</f>
        <v>0.460146</v>
      </c>
      <c r="T451">
        <f>PasteBBM!AG451</f>
        <v>0.728972</v>
      </c>
      <c r="V451" s="44">
        <v>-0.41709</v>
      </c>
      <c r="W451" s="44">
        <v>-0.00658</v>
      </c>
      <c r="X451" s="44">
        <v>0.009207</v>
      </c>
      <c r="Y451" s="44">
        <v>-0.4263</v>
      </c>
      <c r="Z451" s="44">
        <v>-0.34564</v>
      </c>
      <c r="AA451" s="45"/>
      <c r="AB451" s="46" t="s">
        <v>126</v>
      </c>
      <c r="AC451" s="44">
        <v>67.0</v>
      </c>
    </row>
    <row r="452">
      <c r="A452" s="2">
        <v>451.0</v>
      </c>
      <c r="B452" s="14">
        <f>IF(PasteBBM!B452="",156,PasteBBM!B452)</f>
        <v>156</v>
      </c>
      <c r="C452" t="str">
        <f>PasteBBM!I452</f>
        <v>Drew Peterson</v>
      </c>
      <c r="D452" t="str">
        <f>IFERROR(REPLACE(PasteBBM!K452,FIND("/",PasteBBM!K452,1),1,","),PasteBBM!K452)</f>
        <v>PF</v>
      </c>
      <c r="E452" t="str">
        <f>PasteBBM!J452</f>
        <v>CHA</v>
      </c>
      <c r="F452">
        <f>PasteBBM!U452</f>
        <v>16</v>
      </c>
      <c r="G452">
        <f>PasteBBM!X452</f>
        <v>7</v>
      </c>
      <c r="H452">
        <f>PasteBBM!AE452*PasteBBM!AF452</f>
        <v>0.7681247475</v>
      </c>
      <c r="I452">
        <f>PasteBBM!AE452</f>
        <v>0.402028</v>
      </c>
      <c r="J452">
        <f>PasteBBM!AG452*PasteBBM!AH452</f>
        <v>0.2831250825</v>
      </c>
      <c r="K452">
        <f>PasteBBM!AG452</f>
        <v>0.751244</v>
      </c>
      <c r="L452">
        <f>PasteBBM!Z452</f>
        <v>0.614375</v>
      </c>
      <c r="M452">
        <f>PasteBBM!Y452</f>
        <v>2.43375</v>
      </c>
      <c r="N452">
        <f>PasteBBM!AA452</f>
        <v>1.4875</v>
      </c>
      <c r="O452">
        <f>PasteBBM!AB452</f>
        <v>0.39375</v>
      </c>
      <c r="P452">
        <f>PasteBBM!AC452</f>
        <v>0.19125</v>
      </c>
      <c r="Q452">
        <f>PasteBBM!AD452</f>
        <v>0.08375</v>
      </c>
      <c r="R452">
        <f>PasteBBM!AI452</f>
        <v>0.291875</v>
      </c>
      <c r="S452">
        <f>PasteBBM!AE452</f>
        <v>0.402028</v>
      </c>
      <c r="T452">
        <f>PasteBBM!AG452</f>
        <v>0.751244</v>
      </c>
      <c r="V452" s="44">
        <v>-0.41709</v>
      </c>
      <c r="W452" s="44">
        <v>-0.00658</v>
      </c>
      <c r="X452" s="44">
        <v>0.009207</v>
      </c>
      <c r="Y452" s="44">
        <v>-0.4263</v>
      </c>
      <c r="Z452" s="44">
        <v>-0.34564</v>
      </c>
      <c r="AA452" s="45"/>
      <c r="AB452" s="46" t="s">
        <v>126</v>
      </c>
      <c r="AC452" s="44">
        <v>67.0</v>
      </c>
    </row>
    <row r="453">
      <c r="A453" s="2">
        <v>452.0</v>
      </c>
      <c r="B453" s="14">
        <f>IF(PasteBBM!B453="",156,PasteBBM!B453)</f>
        <v>156</v>
      </c>
      <c r="C453" t="str">
        <f>PasteBBM!I453</f>
        <v>Alijah Martin</v>
      </c>
      <c r="D453" t="str">
        <f>IFERROR(REPLACE(PasteBBM!K453,FIND("/",PasteBBM!K453,1),1,","),PasteBBM!K453)</f>
        <v>PG,SG</v>
      </c>
      <c r="E453" t="str">
        <f>PasteBBM!J453</f>
        <v>TOR</v>
      </c>
      <c r="F453">
        <f>PasteBBM!U453</f>
        <v>16</v>
      </c>
      <c r="G453">
        <f>PasteBBM!X453</f>
        <v>8</v>
      </c>
      <c r="H453">
        <f>PasteBBM!AE453*PasteBBM!AF453</f>
        <v>1.049998834</v>
      </c>
      <c r="I453">
        <f>PasteBBM!AE453</f>
        <v>0.391882</v>
      </c>
      <c r="J453">
        <f>PasteBBM!AG453*PasteBBM!AH453</f>
        <v>0.34062483</v>
      </c>
      <c r="K453">
        <f>PasteBBM!AG453</f>
        <v>0.748626</v>
      </c>
      <c r="L453">
        <f>PasteBBM!Z453</f>
        <v>0.5375</v>
      </c>
      <c r="M453">
        <f>PasteBBM!Y453</f>
        <v>2.978125</v>
      </c>
      <c r="N453">
        <f>PasteBBM!AA453</f>
        <v>1.35625</v>
      </c>
      <c r="O453">
        <f>PasteBBM!AB453</f>
        <v>0.498125</v>
      </c>
      <c r="P453">
        <f>PasteBBM!AC453</f>
        <v>0.30875</v>
      </c>
      <c r="Q453">
        <f>PasteBBM!AD453</f>
        <v>0.06875</v>
      </c>
      <c r="R453">
        <f>PasteBBM!AI453</f>
        <v>0.44625</v>
      </c>
      <c r="S453">
        <f>PasteBBM!AE453</f>
        <v>0.391882</v>
      </c>
      <c r="T453">
        <f>PasteBBM!AG453</f>
        <v>0.748626</v>
      </c>
      <c r="V453" s="44">
        <v>-0.41709</v>
      </c>
      <c r="W453" s="44">
        <v>-0.00658</v>
      </c>
      <c r="X453" s="44">
        <v>0.009207</v>
      </c>
      <c r="Y453" s="44">
        <v>-0.4263</v>
      </c>
      <c r="Z453" s="44">
        <v>-0.34564</v>
      </c>
      <c r="AA453" s="45"/>
      <c r="AB453" s="46" t="s">
        <v>126</v>
      </c>
      <c r="AC453" s="44">
        <v>67.0</v>
      </c>
    </row>
    <row r="454">
      <c r="A454" s="2">
        <v>453.0</v>
      </c>
      <c r="B454" s="14">
        <f>IF(PasteBBM!B454="",156,PasteBBM!B454)</f>
        <v>156</v>
      </c>
      <c r="C454" t="str">
        <f>PasteBBM!I454</f>
        <v>Tyson Etienne</v>
      </c>
      <c r="D454" t="str">
        <f>IFERROR(REPLACE(PasteBBM!K454,FIND("/",PasteBBM!K454,1),1,","),PasteBBM!K454)</f>
        <v>PG,SG</v>
      </c>
      <c r="E454" t="str">
        <f>PasteBBM!J454</f>
        <v>BKN</v>
      </c>
      <c r="F454">
        <f>PasteBBM!U454</f>
        <v>46</v>
      </c>
      <c r="G454">
        <f>PasteBBM!X454</f>
        <v>9</v>
      </c>
      <c r="H454">
        <f>PasteBBM!AE454*PasteBBM!AF454</f>
        <v>1.186739283</v>
      </c>
      <c r="I454">
        <f>PasteBBM!AE454</f>
        <v>0.363207</v>
      </c>
      <c r="J454">
        <f>PasteBBM!AG454*PasteBBM!AH454</f>
        <v>0.609999495</v>
      </c>
      <c r="K454">
        <f>PasteBBM!AG454</f>
        <v>0.811921</v>
      </c>
      <c r="L454">
        <f>PasteBBM!Z454</f>
        <v>0.796522</v>
      </c>
      <c r="M454">
        <f>PasteBBM!Y454</f>
        <v>3.78</v>
      </c>
      <c r="N454">
        <f>PasteBBM!AA454</f>
        <v>0.756957</v>
      </c>
      <c r="O454">
        <f>PasteBBM!AB454</f>
        <v>0.597826</v>
      </c>
      <c r="P454">
        <f>PasteBBM!AC454</f>
        <v>0.256087</v>
      </c>
      <c r="Q454">
        <f>PasteBBM!AD454</f>
        <v>0.04087</v>
      </c>
      <c r="R454">
        <f>PasteBBM!AI454</f>
        <v>0.360217</v>
      </c>
      <c r="S454">
        <f>PasteBBM!AE454</f>
        <v>0.363207</v>
      </c>
      <c r="T454">
        <f>PasteBBM!AG454</f>
        <v>0.811921</v>
      </c>
      <c r="V454" s="44">
        <v>-0.41709</v>
      </c>
      <c r="W454" s="44">
        <v>-0.00658</v>
      </c>
      <c r="X454" s="44">
        <v>0.009207</v>
      </c>
      <c r="Y454" s="44">
        <v>-0.4263</v>
      </c>
      <c r="Z454" s="44">
        <v>-0.34564</v>
      </c>
      <c r="AA454" s="45"/>
      <c r="AB454" s="46" t="s">
        <v>126</v>
      </c>
      <c r="AC454" s="44">
        <v>67.0</v>
      </c>
    </row>
    <row r="455">
      <c r="A455" s="2">
        <v>454.0</v>
      </c>
      <c r="B455" s="14">
        <f>IF(PasteBBM!B455="",156,PasteBBM!B455)</f>
        <v>156</v>
      </c>
      <c r="C455" t="str">
        <f>PasteBBM!I455</f>
        <v>Cam Christie</v>
      </c>
      <c r="D455" t="str">
        <f>IFERROR(REPLACE(PasteBBM!K455,FIND("/",PasteBBM!K455,1),1,","),PasteBBM!K455)</f>
        <v>SG</v>
      </c>
      <c r="E455" t="str">
        <f>PasteBBM!J455</f>
        <v>LAC</v>
      </c>
      <c r="F455">
        <f>PasteBBM!U455</f>
        <v>46</v>
      </c>
      <c r="G455">
        <f>PasteBBM!X455</f>
        <v>7</v>
      </c>
      <c r="H455">
        <f>PasteBBM!AE455*PasteBBM!AF455</f>
        <v>1.183479427</v>
      </c>
      <c r="I455">
        <f>PasteBBM!AE455</f>
        <v>0.435625</v>
      </c>
      <c r="J455">
        <f>PasteBBM!AG455*PasteBBM!AH455</f>
        <v>0.2891304382</v>
      </c>
      <c r="K455">
        <f>PasteBBM!AG455</f>
        <v>0.748031</v>
      </c>
      <c r="L455">
        <f>PasteBBM!Z455</f>
        <v>0.547609</v>
      </c>
      <c r="M455">
        <f>PasteBBM!Y455</f>
        <v>3.203696</v>
      </c>
      <c r="N455">
        <f>PasteBBM!AA455</f>
        <v>0.919565</v>
      </c>
      <c r="O455">
        <f>PasteBBM!AB455</f>
        <v>0.523696</v>
      </c>
      <c r="P455">
        <f>PasteBBM!AC455</f>
        <v>0.188696</v>
      </c>
      <c r="Q455">
        <f>PasteBBM!AD455</f>
        <v>0.07413</v>
      </c>
      <c r="R455">
        <f>PasteBBM!AI455</f>
        <v>0.239348</v>
      </c>
      <c r="S455">
        <f>PasteBBM!AE455</f>
        <v>0.435625</v>
      </c>
      <c r="T455">
        <f>PasteBBM!AG455</f>
        <v>0.748031</v>
      </c>
      <c r="V455" s="44">
        <v>-0.41709</v>
      </c>
      <c r="W455" s="44">
        <v>-0.00658</v>
      </c>
      <c r="X455" s="44">
        <v>0.009207</v>
      </c>
      <c r="Y455" s="44">
        <v>-0.4263</v>
      </c>
      <c r="Z455" s="44">
        <v>-0.34564</v>
      </c>
      <c r="AA455" s="45"/>
      <c r="AB455" s="46" t="s">
        <v>126</v>
      </c>
      <c r="AC455" s="44">
        <v>67.0</v>
      </c>
    </row>
    <row r="456">
      <c r="A456" s="2">
        <v>455.0</v>
      </c>
      <c r="B456" s="14">
        <f>IF(PasteBBM!B456="",156,PasteBBM!B456)</f>
        <v>156</v>
      </c>
      <c r="C456" t="str">
        <f>PasteBBM!I456</f>
        <v>Micah Peavy</v>
      </c>
      <c r="D456" t="str">
        <f>IFERROR(REPLACE(PasteBBM!K456,FIND("/",PasteBBM!K456,1),1,","),PasteBBM!K456)</f>
        <v>PG,SG/SF/PF</v>
      </c>
      <c r="E456" t="str">
        <f>PasteBBM!J456</f>
        <v>NOR</v>
      </c>
      <c r="F456">
        <f>PasteBBM!U456</f>
        <v>46</v>
      </c>
      <c r="G456">
        <f>PasteBBM!X456</f>
        <v>11</v>
      </c>
      <c r="H456">
        <f>PasteBBM!AE456*PasteBBM!AF456</f>
        <v>1.345651545</v>
      </c>
      <c r="I456">
        <f>PasteBBM!AE456</f>
        <v>0.427486</v>
      </c>
      <c r="J456">
        <f>PasteBBM!AG456*PasteBBM!AH456</f>
        <v>0.3273913187</v>
      </c>
      <c r="K456">
        <f>PasteBBM!AG456</f>
        <v>0.649978</v>
      </c>
      <c r="L456">
        <f>PasteBBM!Z456</f>
        <v>0.247391</v>
      </c>
      <c r="M456">
        <f>PasteBBM!Y456</f>
        <v>3.266087</v>
      </c>
      <c r="N456">
        <f>PasteBBM!AA456</f>
        <v>1.666522</v>
      </c>
      <c r="O456">
        <f>PasteBBM!AB456</f>
        <v>0.625</v>
      </c>
      <c r="P456">
        <f>PasteBBM!AC456</f>
        <v>0.393478</v>
      </c>
      <c r="Q456">
        <f>PasteBBM!AD456</f>
        <v>0.138913</v>
      </c>
      <c r="R456">
        <f>PasteBBM!AI456</f>
        <v>0.694348</v>
      </c>
      <c r="S456">
        <f>PasteBBM!AE456</f>
        <v>0.427486</v>
      </c>
      <c r="T456">
        <f>PasteBBM!AG456</f>
        <v>0.649978</v>
      </c>
      <c r="V456" s="44">
        <v>-0.41709</v>
      </c>
      <c r="W456" s="44">
        <v>-0.00658</v>
      </c>
      <c r="X456" s="44">
        <v>0.009207</v>
      </c>
      <c r="Y456" s="44">
        <v>-0.4263</v>
      </c>
      <c r="Z456" s="44">
        <v>-0.34564</v>
      </c>
      <c r="AA456" s="45"/>
      <c r="AB456" s="46" t="s">
        <v>126</v>
      </c>
      <c r="AC456" s="44">
        <v>67.0</v>
      </c>
    </row>
    <row r="457">
      <c r="A457" s="2">
        <v>456.0</v>
      </c>
      <c r="B457" s="14">
        <f>IF(PasteBBM!B457="",156,PasteBBM!B457)</f>
        <v>156</v>
      </c>
      <c r="C457" t="str">
        <f>PasteBBM!I457</f>
        <v>Noah Penda</v>
      </c>
      <c r="D457" t="str">
        <f>IFERROR(REPLACE(PasteBBM!K457,FIND("/",PasteBBM!K457,1),1,","),PasteBBM!K457)</f>
        <v>SF,PF</v>
      </c>
      <c r="E457" t="str">
        <f>PasteBBM!J457</f>
        <v>ORL</v>
      </c>
      <c r="F457">
        <f>PasteBBM!U457</f>
        <v>46</v>
      </c>
      <c r="G457">
        <f>PasteBBM!X457</f>
        <v>11</v>
      </c>
      <c r="H457">
        <f>PasteBBM!AE457*PasteBBM!AF457</f>
        <v>1.053477911</v>
      </c>
      <c r="I457">
        <f>PasteBBM!AE457</f>
        <v>0.394208</v>
      </c>
      <c r="J457">
        <f>PasteBBM!AG457*PasteBBM!AH457</f>
        <v>0.547174025</v>
      </c>
      <c r="K457">
        <f>PasteBBM!AG457</f>
        <v>0.706031</v>
      </c>
      <c r="L457">
        <f>PasteBBM!Z457</f>
        <v>0.358696</v>
      </c>
      <c r="M457">
        <f>PasteBBM!Y457</f>
        <v>3.012826</v>
      </c>
      <c r="N457">
        <f>PasteBBM!AA457</f>
        <v>1.81913</v>
      </c>
      <c r="O457">
        <f>PasteBBM!AB457</f>
        <v>0.808478</v>
      </c>
      <c r="P457">
        <f>PasteBBM!AC457</f>
        <v>0.404348</v>
      </c>
      <c r="Q457">
        <f>PasteBBM!AD457</f>
        <v>0.134783</v>
      </c>
      <c r="R457">
        <f>PasteBBM!AI457</f>
        <v>0.83087</v>
      </c>
      <c r="S457">
        <f>PasteBBM!AE457</f>
        <v>0.394208</v>
      </c>
      <c r="T457">
        <f>PasteBBM!AG457</f>
        <v>0.706031</v>
      </c>
      <c r="V457" s="44">
        <v>-0.41709</v>
      </c>
      <c r="W457" s="44">
        <v>-0.00658</v>
      </c>
      <c r="X457" s="44">
        <v>0.009207</v>
      </c>
      <c r="Y457" s="44">
        <v>-0.4263</v>
      </c>
      <c r="Z457" s="44">
        <v>-0.34564</v>
      </c>
      <c r="AA457" s="45"/>
      <c r="AB457" s="46" t="s">
        <v>126</v>
      </c>
      <c r="AC457" s="44">
        <v>67.0</v>
      </c>
    </row>
    <row r="458">
      <c r="A458" s="2">
        <v>457.0</v>
      </c>
      <c r="B458" s="14">
        <f>IF(PasteBBM!B458="",156,PasteBBM!B458)</f>
        <v>156</v>
      </c>
      <c r="C458" t="str">
        <f>PasteBBM!I458</f>
        <v>E.J. Liddell</v>
      </c>
      <c r="D458" t="str">
        <f>IFERROR(REPLACE(PasteBBM!K458,FIND("/",PasteBBM!K458,1),1,","),PasteBBM!K458)</f>
        <v>PF</v>
      </c>
      <c r="E458" t="str">
        <f>PasteBBM!J458</f>
        <v>BKN</v>
      </c>
      <c r="F458">
        <f>PasteBBM!U458</f>
        <v>16</v>
      </c>
      <c r="G458">
        <f>PasteBBM!X458</f>
        <v>7</v>
      </c>
      <c r="H458">
        <f>PasteBBM!AE458*PasteBBM!AF458</f>
        <v>0.8512503038</v>
      </c>
      <c r="I458">
        <f>PasteBBM!AE458</f>
        <v>0.398013</v>
      </c>
      <c r="J458">
        <f>PasteBBM!AG458*PasteBBM!AH458</f>
        <v>0.5337500919</v>
      </c>
      <c r="K458">
        <f>PasteBBM!AG458</f>
        <v>0.768677</v>
      </c>
      <c r="L458">
        <f>PasteBBM!Z458</f>
        <v>0.433125</v>
      </c>
      <c r="M458">
        <f>PasteBBM!Y458</f>
        <v>2.669375</v>
      </c>
      <c r="N458">
        <f>PasteBBM!AA458</f>
        <v>1.383125</v>
      </c>
      <c r="O458">
        <f>PasteBBM!AB458</f>
        <v>0.424375</v>
      </c>
      <c r="P458">
        <f>PasteBBM!AC458</f>
        <v>0.16875</v>
      </c>
      <c r="Q458">
        <f>PasteBBM!AD458</f>
        <v>0.201875</v>
      </c>
      <c r="R458">
        <f>PasteBBM!AI458</f>
        <v>0.28875</v>
      </c>
      <c r="S458">
        <f>PasteBBM!AE458</f>
        <v>0.398013</v>
      </c>
      <c r="T458">
        <f>PasteBBM!AG458</f>
        <v>0.768677</v>
      </c>
      <c r="V458" s="44">
        <v>-0.41709</v>
      </c>
      <c r="W458" s="44">
        <v>-0.00658</v>
      </c>
      <c r="X458" s="44">
        <v>0.009207</v>
      </c>
      <c r="Y458" s="44">
        <v>-0.4263</v>
      </c>
      <c r="Z458" s="44">
        <v>-0.34564</v>
      </c>
      <c r="AA458" s="45"/>
      <c r="AB458" s="46" t="s">
        <v>126</v>
      </c>
      <c r="AC458" s="44">
        <v>67.0</v>
      </c>
    </row>
    <row r="459">
      <c r="A459" s="2">
        <v>458.0</v>
      </c>
      <c r="B459" s="14">
        <f>IF(PasteBBM!B459="",156,PasteBBM!B459)</f>
        <v>156</v>
      </c>
      <c r="C459" t="str">
        <f>PasteBBM!I459</f>
        <v>RJ Luis</v>
      </c>
      <c r="D459" t="str">
        <f>IFERROR(REPLACE(PasteBBM!K459,FIND("/",PasteBBM!K459,1),1,","),PasteBBM!K459)</f>
        <v>SG,SF</v>
      </c>
      <c r="E459" t="str">
        <f>PasteBBM!J459</f>
        <v>BOS</v>
      </c>
      <c r="F459">
        <f>PasteBBM!U459</f>
        <v>49</v>
      </c>
      <c r="G459">
        <f>PasteBBM!X459</f>
        <v>11</v>
      </c>
      <c r="H459">
        <f>PasteBBM!AE459*PasteBBM!AF459</f>
        <v>1.531427064</v>
      </c>
      <c r="I459">
        <f>PasteBBM!AE459</f>
        <v>0.395509</v>
      </c>
      <c r="J459">
        <f>PasteBBM!AG459*PasteBBM!AH459</f>
        <v>0.5218370966</v>
      </c>
      <c r="K459">
        <f>PasteBBM!AG459</f>
        <v>0.748975</v>
      </c>
      <c r="L459">
        <f>PasteBBM!Z459</f>
        <v>0.341224</v>
      </c>
      <c r="M459">
        <f>PasteBBM!Y459</f>
        <v>3.925918</v>
      </c>
      <c r="N459">
        <f>PasteBBM!AA459</f>
        <v>1.888367</v>
      </c>
      <c r="O459">
        <f>PasteBBM!AB459</f>
        <v>0.68449</v>
      </c>
      <c r="P459">
        <f>PasteBBM!AC459</f>
        <v>0.424898</v>
      </c>
      <c r="Q459">
        <f>PasteBBM!AD459</f>
        <v>0.141633</v>
      </c>
      <c r="R459">
        <f>PasteBBM!AI459</f>
        <v>0.944082</v>
      </c>
      <c r="S459">
        <f>PasteBBM!AE459</f>
        <v>0.395509</v>
      </c>
      <c r="T459">
        <f>PasteBBM!AG459</f>
        <v>0.748975</v>
      </c>
      <c r="V459" s="44">
        <v>-0.41709</v>
      </c>
      <c r="W459" s="44">
        <v>-0.00658</v>
      </c>
      <c r="X459" s="44">
        <v>0.009207</v>
      </c>
      <c r="Y459" s="44">
        <v>-0.4263</v>
      </c>
      <c r="Z459" s="44">
        <v>-0.34564</v>
      </c>
      <c r="AA459" s="45"/>
      <c r="AB459" s="46" t="s">
        <v>126</v>
      </c>
      <c r="AC459" s="44">
        <v>67.0</v>
      </c>
    </row>
    <row r="460">
      <c r="A460" s="2">
        <v>459.0</v>
      </c>
      <c r="B460" s="14">
        <f>IF(PasteBBM!B460="",156,PasteBBM!B460)</f>
        <v>156</v>
      </c>
      <c r="C460" t="str">
        <f>PasteBBM!I460</f>
        <v>Pat Spencer</v>
      </c>
      <c r="D460" t="str">
        <f>IFERROR(REPLACE(PasteBBM!K460,FIND("/",PasteBBM!K460,1),1,","),PasteBBM!K460)</f>
        <v>PG</v>
      </c>
      <c r="E460" t="str">
        <f>PasteBBM!J460</f>
        <v>GSW</v>
      </c>
      <c r="F460">
        <f>PasteBBM!U460</f>
        <v>46</v>
      </c>
      <c r="G460">
        <f>PasteBBM!X460</f>
        <v>7</v>
      </c>
      <c r="H460">
        <f>PasteBBM!AE460*PasteBBM!AF460</f>
        <v>1.163043635</v>
      </c>
      <c r="I460">
        <f>PasteBBM!AE460</f>
        <v>0.452661</v>
      </c>
      <c r="J460">
        <f>PasteBBM!AG460*PasteBBM!AH460</f>
        <v>0.196739384</v>
      </c>
      <c r="K460">
        <f>PasteBBM!AG460</f>
        <v>0.765651</v>
      </c>
      <c r="L460">
        <f>PasteBBM!Z460</f>
        <v>0.19087</v>
      </c>
      <c r="M460">
        <f>PasteBBM!Y460</f>
        <v>2.713696</v>
      </c>
      <c r="N460">
        <f>PasteBBM!AA460</f>
        <v>1.031522</v>
      </c>
      <c r="O460">
        <f>PasteBBM!AB460</f>
        <v>1.227174</v>
      </c>
      <c r="P460">
        <f>PasteBBM!AC460</f>
        <v>0.236739</v>
      </c>
      <c r="Q460">
        <f>PasteBBM!AD460</f>
        <v>0.063043</v>
      </c>
      <c r="R460">
        <f>PasteBBM!AI460</f>
        <v>0.430652</v>
      </c>
      <c r="S460">
        <f>PasteBBM!AE460</f>
        <v>0.452661</v>
      </c>
      <c r="T460">
        <f>PasteBBM!AG460</f>
        <v>0.765651</v>
      </c>
      <c r="V460" s="44">
        <v>-0.41709</v>
      </c>
      <c r="W460" s="44">
        <v>-0.00658</v>
      </c>
      <c r="X460" s="44">
        <v>0.009207</v>
      </c>
      <c r="Y460" s="44">
        <v>-0.4263</v>
      </c>
      <c r="Z460" s="44">
        <v>-0.34564</v>
      </c>
      <c r="AA460" s="45"/>
      <c r="AB460" s="46" t="s">
        <v>126</v>
      </c>
      <c r="AC460" s="44">
        <v>67.0</v>
      </c>
    </row>
    <row r="461">
      <c r="A461" s="2">
        <v>460.0</v>
      </c>
      <c r="B461" s="14">
        <f>IF(PasteBBM!B461="",156,PasteBBM!B461)</f>
        <v>156</v>
      </c>
      <c r="C461" t="str">
        <f>PasteBBM!I461</f>
        <v>Trey Alexander</v>
      </c>
      <c r="D461" t="str">
        <f>IFERROR(REPLACE(PasteBBM!K461,FIND("/",PasteBBM!K461,1),1,","),PasteBBM!K461)</f>
        <v>SG</v>
      </c>
      <c r="E461" t="str">
        <f>PasteBBM!J461</f>
        <v>NOR</v>
      </c>
      <c r="F461">
        <f>PasteBBM!U461</f>
        <v>46</v>
      </c>
      <c r="G461">
        <f>PasteBBM!X461</f>
        <v>9</v>
      </c>
      <c r="H461">
        <f>PasteBBM!AE461*PasteBBM!AF461</f>
        <v>1.323696065</v>
      </c>
      <c r="I461">
        <f>PasteBBM!AE461</f>
        <v>0.388354</v>
      </c>
      <c r="J461">
        <f>PasteBBM!AG461*PasteBBM!AH461</f>
        <v>0.4269567002</v>
      </c>
      <c r="K461">
        <f>PasteBBM!AG461</f>
        <v>0.782782</v>
      </c>
      <c r="L461">
        <f>PasteBBM!Z461</f>
        <v>0.484348</v>
      </c>
      <c r="M461">
        <f>PasteBBM!Y461</f>
        <v>3.558696</v>
      </c>
      <c r="N461">
        <f>PasteBBM!AA461</f>
        <v>1.060435</v>
      </c>
      <c r="O461">
        <f>PasteBBM!AB461</f>
        <v>0.897391</v>
      </c>
      <c r="P461">
        <f>PasteBBM!AC461</f>
        <v>0.231522</v>
      </c>
      <c r="Q461">
        <f>PasteBBM!AD461</f>
        <v>0.091739</v>
      </c>
      <c r="R461">
        <f>PasteBBM!AI461</f>
        <v>0.426739</v>
      </c>
      <c r="S461">
        <f>PasteBBM!AE461</f>
        <v>0.388354</v>
      </c>
      <c r="T461">
        <f>PasteBBM!AG461</f>
        <v>0.782782</v>
      </c>
      <c r="V461" s="44">
        <v>-0.41709</v>
      </c>
      <c r="W461" s="44">
        <v>-0.00658</v>
      </c>
      <c r="X461" s="44">
        <v>0.009207</v>
      </c>
      <c r="Y461" s="44">
        <v>-0.4263</v>
      </c>
      <c r="Z461" s="44">
        <v>-0.34564</v>
      </c>
      <c r="AA461" s="45"/>
      <c r="AB461" s="46" t="s">
        <v>126</v>
      </c>
      <c r="AC461" s="44">
        <v>67.0</v>
      </c>
    </row>
    <row r="462">
      <c r="A462" s="2">
        <v>461.0</v>
      </c>
      <c r="B462" s="14">
        <f>IF(PasteBBM!B462="",156,PasteBBM!B462)</f>
        <v>156</v>
      </c>
      <c r="C462" t="str">
        <f>PasteBBM!I462</f>
        <v>Kevin McCullar Jr</v>
      </c>
      <c r="D462" t="str">
        <f>IFERROR(REPLACE(PasteBBM!K462,FIND("/",PasteBBM!K462,1),1,","),PasteBBM!K462)</f>
        <v>SF</v>
      </c>
      <c r="E462" t="str">
        <f>PasteBBM!J462</f>
        <v>NYK</v>
      </c>
      <c r="F462">
        <f>PasteBBM!U462</f>
        <v>16</v>
      </c>
      <c r="G462">
        <f>PasteBBM!X462</f>
        <v>7</v>
      </c>
      <c r="H462">
        <f>PasteBBM!AE462*PasteBBM!AF462</f>
        <v>0.8975003</v>
      </c>
      <c r="I462">
        <f>PasteBBM!AE462</f>
        <v>0.417442</v>
      </c>
      <c r="J462">
        <f>PasteBBM!AG462*PasteBBM!AH462</f>
        <v>0.4250000025</v>
      </c>
      <c r="K462">
        <f>PasteBBM!AG462</f>
        <v>0.756396</v>
      </c>
      <c r="L462">
        <f>PasteBBM!Z462</f>
        <v>0.250625</v>
      </c>
      <c r="M462">
        <f>PasteBBM!Y462</f>
        <v>2.470625</v>
      </c>
      <c r="N462">
        <f>PasteBBM!AA462</f>
        <v>1.199375</v>
      </c>
      <c r="O462">
        <f>PasteBBM!AB462</f>
        <v>0.5875</v>
      </c>
      <c r="P462">
        <f>PasteBBM!AC462</f>
        <v>0.273125</v>
      </c>
      <c r="Q462">
        <f>PasteBBM!AD462</f>
        <v>0.0925</v>
      </c>
      <c r="R462">
        <f>PasteBBM!AI462</f>
        <v>0.346875</v>
      </c>
      <c r="S462">
        <f>PasteBBM!AE462</f>
        <v>0.417442</v>
      </c>
      <c r="T462">
        <f>PasteBBM!AG462</f>
        <v>0.756396</v>
      </c>
      <c r="V462" s="44">
        <v>-0.41709</v>
      </c>
      <c r="W462" s="44">
        <v>-0.00658</v>
      </c>
      <c r="X462" s="44">
        <v>0.009207</v>
      </c>
      <c r="Y462" s="44">
        <v>-0.4263</v>
      </c>
      <c r="Z462" s="44">
        <v>-0.34564</v>
      </c>
      <c r="AA462" s="45"/>
      <c r="AB462" s="46" t="s">
        <v>126</v>
      </c>
      <c r="AC462" s="44">
        <v>67.0</v>
      </c>
    </row>
    <row r="463">
      <c r="A463" s="2">
        <v>462.0</v>
      </c>
      <c r="B463" s="14">
        <f>IF(PasteBBM!B463="",156,PasteBBM!B463)</f>
        <v>156</v>
      </c>
      <c r="C463" t="str">
        <f>PasteBBM!I463</f>
        <v>Will Richard</v>
      </c>
      <c r="D463" t="str">
        <f>IFERROR(REPLACE(PasteBBM!K463,FIND("/",PasteBBM!K463,1),1,","),PasteBBM!K463)</f>
        <v>PG,SG</v>
      </c>
      <c r="E463" t="str">
        <f>PasteBBM!J463</f>
        <v>GSW</v>
      </c>
      <c r="F463">
        <f>PasteBBM!U463</f>
        <v>46</v>
      </c>
      <c r="G463">
        <f>PasteBBM!X463</f>
        <v>7</v>
      </c>
      <c r="H463">
        <f>PasteBBM!AE463*PasteBBM!AF463</f>
        <v>0.8406529513</v>
      </c>
      <c r="I463">
        <f>PasteBBM!AE463</f>
        <v>0.393428</v>
      </c>
      <c r="J463">
        <f>PasteBBM!AG463*PasteBBM!AH463</f>
        <v>0.3041301537</v>
      </c>
      <c r="K463">
        <f>PasteBBM!AG463</f>
        <v>0.790842</v>
      </c>
      <c r="L463">
        <f>PasteBBM!Z463</f>
        <v>0.437609</v>
      </c>
      <c r="M463">
        <f>PasteBBM!Y463</f>
        <v>2.423043</v>
      </c>
      <c r="N463">
        <f>PasteBBM!AA463</f>
        <v>1.025</v>
      </c>
      <c r="O463">
        <f>PasteBBM!AB463</f>
        <v>0.36087</v>
      </c>
      <c r="P463">
        <f>PasteBBM!AC463</f>
        <v>0.231087</v>
      </c>
      <c r="Q463">
        <f>PasteBBM!AD463</f>
        <v>0.101087</v>
      </c>
      <c r="R463">
        <f>PasteBBM!AI463</f>
        <v>0.259783</v>
      </c>
      <c r="S463">
        <f>PasteBBM!AE463</f>
        <v>0.393428</v>
      </c>
      <c r="T463">
        <f>PasteBBM!AG463</f>
        <v>0.790842</v>
      </c>
      <c r="V463" s="44">
        <v>-0.41709</v>
      </c>
      <c r="W463" s="44">
        <v>-0.00658</v>
      </c>
      <c r="X463" s="44">
        <v>0.009207</v>
      </c>
      <c r="Y463" s="44">
        <v>-0.4263</v>
      </c>
      <c r="Z463" s="44">
        <v>-0.34564</v>
      </c>
      <c r="AA463" s="45"/>
      <c r="AB463" s="46" t="s">
        <v>126</v>
      </c>
      <c r="AC463" s="44">
        <v>67.0</v>
      </c>
    </row>
    <row r="464">
      <c r="A464" s="2">
        <v>463.0</v>
      </c>
      <c r="B464" s="14">
        <f>IF(PasteBBM!B464="",156,PasteBBM!B464)</f>
        <v>156</v>
      </c>
      <c r="C464" t="str">
        <f>PasteBBM!I464</f>
        <v>Curtis Jones</v>
      </c>
      <c r="D464" t="str">
        <f>IFERROR(REPLACE(PasteBBM!K464,FIND("/",PasteBBM!K464,1),1,","),PasteBBM!K464)</f>
        <v>SG</v>
      </c>
      <c r="E464" t="str">
        <f>PasteBBM!J464</f>
        <v>DEN</v>
      </c>
      <c r="F464">
        <f>PasteBBM!U464</f>
        <v>16</v>
      </c>
      <c r="G464">
        <f>PasteBBM!X464</f>
        <v>8</v>
      </c>
      <c r="H464">
        <f>PasteBBM!AE464*PasteBBM!AF464</f>
        <v>1.08437625</v>
      </c>
      <c r="I464">
        <f>PasteBBM!AE464</f>
        <v>0.38385</v>
      </c>
      <c r="J464">
        <f>PasteBBM!AG464*PasteBBM!AH464</f>
        <v>0.3093749613</v>
      </c>
      <c r="K464">
        <f>PasteBBM!AG464</f>
        <v>0.780757</v>
      </c>
      <c r="L464">
        <f>PasteBBM!Z464</f>
        <v>0.57625</v>
      </c>
      <c r="M464">
        <f>PasteBBM!Y464</f>
        <v>3.054375</v>
      </c>
      <c r="N464">
        <f>PasteBBM!AA464</f>
        <v>1.026875</v>
      </c>
      <c r="O464">
        <f>PasteBBM!AB464</f>
        <v>0.555625</v>
      </c>
      <c r="P464">
        <f>PasteBBM!AC464</f>
        <v>0.28625</v>
      </c>
      <c r="Q464">
        <f>PasteBBM!AD464</f>
        <v>0.050625</v>
      </c>
      <c r="R464">
        <f>PasteBBM!AI464</f>
        <v>0.47125</v>
      </c>
      <c r="S464">
        <f>PasteBBM!AE464</f>
        <v>0.38385</v>
      </c>
      <c r="T464">
        <f>PasteBBM!AG464</f>
        <v>0.780757</v>
      </c>
      <c r="V464" s="44">
        <v>-0.41709</v>
      </c>
      <c r="W464" s="44">
        <v>-0.00658</v>
      </c>
      <c r="X464" s="44">
        <v>0.009207</v>
      </c>
      <c r="Y464" s="44">
        <v>-0.4263</v>
      </c>
      <c r="Z464" s="44">
        <v>-0.34564</v>
      </c>
      <c r="AA464" s="45"/>
      <c r="AB464" s="46" t="s">
        <v>126</v>
      </c>
      <c r="AC464" s="44">
        <v>67.0</v>
      </c>
    </row>
    <row r="465">
      <c r="A465" s="2">
        <v>464.0</v>
      </c>
      <c r="B465" s="14">
        <f>IF(PasteBBM!B465="",156,PasteBBM!B465)</f>
        <v>156</v>
      </c>
      <c r="C465" t="str">
        <f>PasteBBM!I465</f>
        <v>Tyler Smith</v>
      </c>
      <c r="D465" t="str">
        <f>IFERROR(REPLACE(PasteBBM!K465,FIND("/",PasteBBM!K465,1),1,","),PasteBBM!K465)</f>
        <v>PF</v>
      </c>
      <c r="E465" t="str">
        <f>PasteBBM!J465</f>
        <v>MIL</v>
      </c>
      <c r="F465">
        <f>PasteBBM!U465</f>
        <v>16</v>
      </c>
      <c r="G465">
        <f>PasteBBM!X465</f>
        <v>6</v>
      </c>
      <c r="H465">
        <f>PasteBBM!AE465*PasteBBM!AF465</f>
        <v>0.8656256213</v>
      </c>
      <c r="I465">
        <f>PasteBBM!AE465</f>
        <v>0.440102</v>
      </c>
      <c r="J465">
        <f>PasteBBM!AG465*PasteBBM!AH465</f>
        <v>0.18312504</v>
      </c>
      <c r="K465">
        <f>PasteBBM!AG465</f>
        <v>0.734336</v>
      </c>
      <c r="L465">
        <f>PasteBBM!Z465</f>
        <v>0.300625</v>
      </c>
      <c r="M465">
        <f>PasteBBM!Y465</f>
        <v>2.215</v>
      </c>
      <c r="N465">
        <f>PasteBBM!AA465</f>
        <v>1.21375</v>
      </c>
      <c r="O465">
        <f>PasteBBM!AB465</f>
        <v>0.2525</v>
      </c>
      <c r="P465">
        <f>PasteBBM!AC465</f>
        <v>0.183125</v>
      </c>
      <c r="Q465">
        <f>PasteBBM!AD465</f>
        <v>0.214375</v>
      </c>
      <c r="R465">
        <f>PasteBBM!AI465</f>
        <v>0.29625</v>
      </c>
      <c r="S465">
        <f>PasteBBM!AE465</f>
        <v>0.440102</v>
      </c>
      <c r="T465">
        <f>PasteBBM!AG465</f>
        <v>0.734336</v>
      </c>
      <c r="V465" s="44">
        <v>-0.41709</v>
      </c>
      <c r="W465" s="44">
        <v>-0.00658</v>
      </c>
      <c r="X465" s="44">
        <v>0.009207</v>
      </c>
      <c r="Y465" s="44">
        <v>-0.4263</v>
      </c>
      <c r="Z465" s="44">
        <v>-0.34564</v>
      </c>
      <c r="AA465" s="45"/>
      <c r="AB465" s="46" t="s">
        <v>126</v>
      </c>
      <c r="AC465" s="44">
        <v>67.0</v>
      </c>
    </row>
    <row r="466">
      <c r="A466" s="2">
        <v>465.0</v>
      </c>
      <c r="B466" s="14">
        <f>IF(PasteBBM!B466="",156,PasteBBM!B466)</f>
        <v>156</v>
      </c>
      <c r="C466" t="str">
        <f>PasteBBM!I466</f>
        <v>Alex Toohey</v>
      </c>
      <c r="D466" t="str">
        <f>IFERROR(REPLACE(PasteBBM!K466,FIND("/",PasteBBM!K466,1),1,","),PasteBBM!K466)</f>
        <v>SF,PF</v>
      </c>
      <c r="E466" t="str">
        <f>PasteBBM!J466</f>
        <v>GSW</v>
      </c>
      <c r="F466">
        <f>PasteBBM!U466</f>
        <v>16</v>
      </c>
      <c r="G466">
        <f>PasteBBM!X466</f>
        <v>8</v>
      </c>
      <c r="H466">
        <f>PasteBBM!AE466*PasteBBM!AF466</f>
        <v>0.8699993556</v>
      </c>
      <c r="I466">
        <f>PasteBBM!AE466</f>
        <v>0.393109</v>
      </c>
      <c r="J466">
        <f>PasteBBM!AG466*PasteBBM!AH466</f>
        <v>0.3793751194</v>
      </c>
      <c r="K466">
        <f>PasteBBM!AG466</f>
        <v>0.714959</v>
      </c>
      <c r="L466">
        <f>PasteBBM!Z466</f>
        <v>0.2725</v>
      </c>
      <c r="M466">
        <f>PasteBBM!Y466</f>
        <v>2.391875</v>
      </c>
      <c r="N466">
        <f>PasteBBM!AA466</f>
        <v>1.270625</v>
      </c>
      <c r="O466">
        <f>PasteBBM!AB466</f>
        <v>0.39625</v>
      </c>
      <c r="P466">
        <f>PasteBBM!AC466</f>
        <v>0.280625</v>
      </c>
      <c r="Q466">
        <f>PasteBBM!AD466</f>
        <v>0.165</v>
      </c>
      <c r="R466">
        <f>PasteBBM!AI466</f>
        <v>0.34625</v>
      </c>
      <c r="S466">
        <f>PasteBBM!AE466</f>
        <v>0.393109</v>
      </c>
      <c r="T466">
        <f>PasteBBM!AG466</f>
        <v>0.714959</v>
      </c>
      <c r="V466" s="44">
        <v>-0.41709</v>
      </c>
      <c r="W466" s="44">
        <v>-0.00658</v>
      </c>
      <c r="X466" s="44">
        <v>0.009207</v>
      </c>
      <c r="Y466" s="44">
        <v>-0.4263</v>
      </c>
      <c r="Z466" s="44">
        <v>-0.34564</v>
      </c>
      <c r="AA466" s="45"/>
      <c r="AB466" s="46" t="s">
        <v>126</v>
      </c>
      <c r="AC466" s="44">
        <v>67.0</v>
      </c>
    </row>
    <row r="467">
      <c r="A467" s="2">
        <v>466.0</v>
      </c>
      <c r="B467" s="14">
        <f>IF(PasteBBM!B467="",156,PasteBBM!B467)</f>
        <v>156</v>
      </c>
      <c r="C467" t="str">
        <f>PasteBBM!I467</f>
        <v>Javon Small</v>
      </c>
      <c r="D467" t="str">
        <f>IFERROR(REPLACE(PasteBBM!K467,FIND("/",PasteBBM!K467,1),1,","),PasteBBM!K467)</f>
        <v>PG,SG</v>
      </c>
      <c r="E467" t="str">
        <f>PasteBBM!J467</f>
        <v>MEM</v>
      </c>
      <c r="F467">
        <f>PasteBBM!U467</f>
        <v>16</v>
      </c>
      <c r="G467">
        <f>PasteBBM!X467</f>
        <v>8</v>
      </c>
      <c r="H467">
        <f>PasteBBM!AE467*PasteBBM!AF467</f>
        <v>0.9831255</v>
      </c>
      <c r="I467">
        <f>PasteBBM!AE467</f>
        <v>0.374524</v>
      </c>
      <c r="J467">
        <f>PasteBBM!AG467*PasteBBM!AH467</f>
        <v>0.4743752475</v>
      </c>
      <c r="K467">
        <f>PasteBBM!AG467</f>
        <v>0.821429</v>
      </c>
      <c r="L467">
        <f>PasteBBM!Z467</f>
        <v>0.563125</v>
      </c>
      <c r="M467">
        <f>PasteBBM!Y467</f>
        <v>3.00375</v>
      </c>
      <c r="N467">
        <f>PasteBBM!AA467</f>
        <v>1.015</v>
      </c>
      <c r="O467">
        <f>PasteBBM!AB467</f>
        <v>1.1725</v>
      </c>
      <c r="P467">
        <f>PasteBBM!AC467</f>
        <v>0.245</v>
      </c>
      <c r="Q467">
        <f>PasteBBM!AD467</f>
        <v>0.07</v>
      </c>
      <c r="R467">
        <f>PasteBBM!AI467</f>
        <v>0.7</v>
      </c>
      <c r="S467">
        <f>PasteBBM!AE467</f>
        <v>0.374524</v>
      </c>
      <c r="T467">
        <f>PasteBBM!AG467</f>
        <v>0.821429</v>
      </c>
      <c r="V467" s="44">
        <v>-0.41709</v>
      </c>
      <c r="W467" s="44">
        <v>-0.00658</v>
      </c>
      <c r="X467" s="44">
        <v>0.009207</v>
      </c>
      <c r="Y467" s="44">
        <v>-0.4263</v>
      </c>
      <c r="Z467" s="44">
        <v>-0.34564</v>
      </c>
      <c r="AA467" s="45"/>
      <c r="AB467" s="46" t="s">
        <v>126</v>
      </c>
      <c r="AC467" s="44">
        <v>67.0</v>
      </c>
    </row>
    <row r="468">
      <c r="A468" s="2">
        <v>467.0</v>
      </c>
      <c r="B468" s="14">
        <f>IF(PasteBBM!B468="",156,PasteBBM!B468)</f>
        <v>156</v>
      </c>
      <c r="C468" t="str">
        <f>PasteBBM!I468</f>
        <v>Ryan Nembhard</v>
      </c>
      <c r="D468" t="str">
        <f>IFERROR(REPLACE(PasteBBM!K468,FIND("/",PasteBBM!K468,1),1,","),PasteBBM!K468)</f>
        <v>PG,SG</v>
      </c>
      <c r="E468" t="str">
        <f>PasteBBM!J468</f>
        <v>DAL</v>
      </c>
      <c r="F468">
        <f>PasteBBM!U468</f>
        <v>16</v>
      </c>
      <c r="G468">
        <f>PasteBBM!X468</f>
        <v>10</v>
      </c>
      <c r="H468">
        <f>PasteBBM!AE468*PasteBBM!AF468</f>
        <v>1.140000656</v>
      </c>
      <c r="I468">
        <f>PasteBBM!AE468</f>
        <v>0.407598</v>
      </c>
      <c r="J468">
        <f>PasteBBM!AG468*PasteBBM!AH468</f>
        <v>0.3424999425</v>
      </c>
      <c r="K468">
        <f>PasteBBM!AG468</f>
        <v>0.765363</v>
      </c>
      <c r="L468">
        <f>PasteBBM!Z468</f>
        <v>0.415625</v>
      </c>
      <c r="M468">
        <f>PasteBBM!Y468</f>
        <v>3.038125</v>
      </c>
      <c r="N468">
        <f>PasteBBM!AA468</f>
        <v>1.01</v>
      </c>
      <c r="O468">
        <f>PasteBBM!AB468</f>
        <v>1.809375</v>
      </c>
      <c r="P468">
        <f>PasteBBM!AC468</f>
        <v>0.294375</v>
      </c>
      <c r="Q468">
        <f>PasteBBM!AD468</f>
        <v>0.041875</v>
      </c>
      <c r="R468">
        <f>PasteBBM!AI468</f>
        <v>0.946875</v>
      </c>
      <c r="S468">
        <f>PasteBBM!AE468</f>
        <v>0.407598</v>
      </c>
      <c r="T468">
        <f>PasteBBM!AG468</f>
        <v>0.765363</v>
      </c>
      <c r="V468" s="44">
        <v>-0.41709</v>
      </c>
      <c r="W468" s="44">
        <v>-0.00658</v>
      </c>
      <c r="X468" s="44">
        <v>0.009207</v>
      </c>
      <c r="Y468" s="44">
        <v>-0.4263</v>
      </c>
      <c r="Z468" s="44">
        <v>-0.34564</v>
      </c>
      <c r="AA468" s="45"/>
      <c r="AB468" s="46" t="s">
        <v>126</v>
      </c>
      <c r="AC468" s="44">
        <v>67.0</v>
      </c>
    </row>
    <row r="469">
      <c r="A469" s="2">
        <v>468.0</v>
      </c>
      <c r="B469" s="14">
        <f>IF(PasteBBM!B469="",156,PasteBBM!B469)</f>
        <v>156</v>
      </c>
      <c r="C469" t="str">
        <f>PasteBBM!I469</f>
        <v>Trey Jemison</v>
      </c>
      <c r="D469" t="str">
        <f>IFERROR(REPLACE(PasteBBM!K469,FIND("/",PasteBBM!K469,1),1,","),PasteBBM!K469)</f>
        <v>C</v>
      </c>
      <c r="E469" t="str">
        <f>PasteBBM!J469</f>
        <v>NYK</v>
      </c>
      <c r="F469">
        <f>PasteBBM!U469</f>
        <v>16</v>
      </c>
      <c r="G469">
        <f>PasteBBM!X469</f>
        <v>7</v>
      </c>
      <c r="H469">
        <f>PasteBBM!AE469*PasteBBM!AF469</f>
        <v>0.8450004063</v>
      </c>
      <c r="I469">
        <f>PasteBBM!AE469</f>
        <v>0.551837</v>
      </c>
      <c r="J469">
        <f>PasteBBM!AG469*PasteBBM!AH469</f>
        <v>0.2512500725</v>
      </c>
      <c r="K469">
        <f>PasteBBM!AG469</f>
        <v>0.586006</v>
      </c>
      <c r="L469">
        <f>PasteBBM!Z469</f>
        <v>0</v>
      </c>
      <c r="M469">
        <f>PasteBBM!Y469</f>
        <v>1.94125</v>
      </c>
      <c r="N469">
        <f>PasteBBM!AA469</f>
        <v>1.746875</v>
      </c>
      <c r="O469">
        <f>PasteBBM!AB469</f>
        <v>0.3175</v>
      </c>
      <c r="P469">
        <f>PasteBBM!AC469</f>
        <v>0.15875</v>
      </c>
      <c r="Q469">
        <f>PasteBBM!AD469</f>
        <v>0.3175</v>
      </c>
      <c r="R469">
        <f>PasteBBM!AI469</f>
        <v>0.41875</v>
      </c>
      <c r="S469">
        <f>PasteBBM!AE469</f>
        <v>0.551837</v>
      </c>
      <c r="T469">
        <f>PasteBBM!AG469</f>
        <v>0.586006</v>
      </c>
      <c r="V469" s="44">
        <v>-0.41709</v>
      </c>
      <c r="W469" s="44">
        <v>-0.00658</v>
      </c>
      <c r="X469" s="44">
        <v>0.009207</v>
      </c>
      <c r="Y469" s="44">
        <v>-0.4263</v>
      </c>
      <c r="Z469" s="44">
        <v>-0.34564</v>
      </c>
      <c r="AA469" s="45"/>
      <c r="AB469" s="46" t="s">
        <v>126</v>
      </c>
      <c r="AC469" s="44">
        <v>67.0</v>
      </c>
    </row>
    <row r="470">
      <c r="A470" s="2">
        <v>469.0</v>
      </c>
      <c r="B470" s="14">
        <f>IF(PasteBBM!B470="",156,PasteBBM!B470)</f>
        <v>156</v>
      </c>
      <c r="C470" t="str">
        <f>PasteBBM!I470</f>
        <v>Enrique Freeman</v>
      </c>
      <c r="D470" t="str">
        <f>IFERROR(REPLACE(PasteBBM!K470,FIND("/",PasteBBM!K470,1),1,","),PasteBBM!K470)</f>
        <v>PF</v>
      </c>
      <c r="E470" t="str">
        <f>PasteBBM!J470</f>
        <v>MIN</v>
      </c>
      <c r="F470">
        <f>PasteBBM!U470</f>
        <v>46</v>
      </c>
      <c r="G470">
        <f>PasteBBM!X470</f>
        <v>8</v>
      </c>
      <c r="H470">
        <f>PasteBBM!AE470*PasteBBM!AF470</f>
        <v>0.8236951637</v>
      </c>
      <c r="I470">
        <f>PasteBBM!AE470</f>
        <v>0.49426</v>
      </c>
      <c r="J470">
        <f>PasteBBM!AG470*PasteBBM!AH470</f>
        <v>0.4269565151</v>
      </c>
      <c r="K470">
        <f>PasteBBM!AG470</f>
        <v>0.680527</v>
      </c>
      <c r="L470">
        <f>PasteBBM!Z470</f>
        <v>0.101304</v>
      </c>
      <c r="M470">
        <f>PasteBBM!Y470</f>
        <v>2.175652</v>
      </c>
      <c r="N470">
        <f>PasteBBM!AA470</f>
        <v>1.485</v>
      </c>
      <c r="O470">
        <f>PasteBBM!AB470</f>
        <v>0.391957</v>
      </c>
      <c r="P470">
        <f>PasteBBM!AC470</f>
        <v>0.169565</v>
      </c>
      <c r="Q470">
        <f>PasteBBM!AD470</f>
        <v>0.165</v>
      </c>
      <c r="R470">
        <f>PasteBBM!AI470</f>
        <v>0.231087</v>
      </c>
      <c r="S470">
        <f>PasteBBM!AE470</f>
        <v>0.49426</v>
      </c>
      <c r="T470">
        <f>PasteBBM!AG470</f>
        <v>0.680527</v>
      </c>
      <c r="V470" s="44">
        <v>-0.41709</v>
      </c>
      <c r="W470" s="44">
        <v>-0.00658</v>
      </c>
      <c r="X470" s="44">
        <v>0.009207</v>
      </c>
      <c r="Y470" s="44">
        <v>-0.4263</v>
      </c>
      <c r="Z470" s="44">
        <v>-0.34564</v>
      </c>
      <c r="AA470" s="45"/>
      <c r="AB470" s="46" t="s">
        <v>126</v>
      </c>
      <c r="AC470" s="44">
        <v>67.0</v>
      </c>
    </row>
    <row r="471">
      <c r="A471" s="2">
        <v>470.0</v>
      </c>
      <c r="B471" s="14">
        <f>IF(PasteBBM!B471="",156,PasteBBM!B471)</f>
        <v>156</v>
      </c>
      <c r="C471" t="str">
        <f>PasteBBM!I471</f>
        <v>Doug McDermott</v>
      </c>
      <c r="D471" t="str">
        <f>IFERROR(REPLACE(PasteBBM!K471,FIND("/",PasteBBM!K471,1),1,","),PasteBBM!K471)</f>
        <v>SF</v>
      </c>
      <c r="E471" t="str">
        <f>PasteBBM!J471</f>
        <v>SAC</v>
      </c>
      <c r="F471">
        <f>PasteBBM!U471</f>
        <v>46</v>
      </c>
      <c r="G471">
        <f>PasteBBM!X471</f>
        <v>8</v>
      </c>
      <c r="H471">
        <f>PasteBBM!AE471*PasteBBM!AF471</f>
        <v>1.053912445</v>
      </c>
      <c r="I471">
        <f>PasteBBM!AE471</f>
        <v>0.407292</v>
      </c>
      <c r="J471">
        <f>PasteBBM!AG471*PasteBBM!AH471</f>
        <v>0.05021760193</v>
      </c>
      <c r="K471">
        <f>PasteBBM!AG471</f>
        <v>0.647059</v>
      </c>
      <c r="L471">
        <f>PasteBBM!Z471</f>
        <v>0.909783</v>
      </c>
      <c r="M471">
        <f>PasteBBM!Y471</f>
        <v>3.067826</v>
      </c>
      <c r="N471">
        <f>PasteBBM!AA471</f>
        <v>0.452609</v>
      </c>
      <c r="O471">
        <f>PasteBBM!AB471</f>
        <v>0.274783</v>
      </c>
      <c r="P471">
        <f>PasteBBM!AC471</f>
        <v>0.110435</v>
      </c>
      <c r="Q471">
        <f>PasteBBM!AD471</f>
        <v>0.016304</v>
      </c>
      <c r="R471">
        <f>PasteBBM!AI471</f>
        <v>0.129348</v>
      </c>
      <c r="S471">
        <f>PasteBBM!AE471</f>
        <v>0.407292</v>
      </c>
      <c r="T471">
        <f>PasteBBM!AG471</f>
        <v>0.647059</v>
      </c>
      <c r="V471" s="44">
        <v>-0.41709</v>
      </c>
      <c r="W471" s="44">
        <v>-0.00658</v>
      </c>
      <c r="X471" s="44">
        <v>0.009207</v>
      </c>
      <c r="Y471" s="44">
        <v>-0.4263</v>
      </c>
      <c r="Z471" s="44">
        <v>-0.34564</v>
      </c>
      <c r="AA471" s="45"/>
      <c r="AB471" s="46" t="s">
        <v>126</v>
      </c>
      <c r="AC471" s="44">
        <v>67.0</v>
      </c>
    </row>
    <row r="472">
      <c r="A472" s="2">
        <v>471.0</v>
      </c>
      <c r="B472" s="14">
        <f>IF(PasteBBM!B472="",156,PasteBBM!B472)</f>
        <v>156</v>
      </c>
      <c r="C472" t="str">
        <f>PasteBBM!I472</f>
        <v>Nikola Djurisic</v>
      </c>
      <c r="D472" t="str">
        <f>IFERROR(REPLACE(PasteBBM!K472,FIND("/",PasteBBM!K472,1),1,","),PasteBBM!K472)</f>
        <v>SF,PF</v>
      </c>
      <c r="E472" t="str">
        <f>PasteBBM!J472</f>
        <v>ATL</v>
      </c>
      <c r="F472">
        <f>PasteBBM!U472</f>
        <v>16</v>
      </c>
      <c r="G472">
        <f>PasteBBM!X472</f>
        <v>10</v>
      </c>
      <c r="H472">
        <f>PasteBBM!AE472*PasteBBM!AF472</f>
        <v>1.313750104</v>
      </c>
      <c r="I472">
        <f>PasteBBM!AE472</f>
        <v>0.398559</v>
      </c>
      <c r="J472">
        <f>PasteBBM!AG472*PasteBBM!AH472</f>
        <v>0.5943752719</v>
      </c>
      <c r="K472">
        <f>PasteBBM!AG472</f>
        <v>0.751779</v>
      </c>
      <c r="L472">
        <f>PasteBBM!Z472</f>
        <v>0.50875</v>
      </c>
      <c r="M472">
        <f>PasteBBM!Y472</f>
        <v>3.730625</v>
      </c>
      <c r="N472">
        <f>PasteBBM!AA472</f>
        <v>0.975</v>
      </c>
      <c r="O472">
        <f>PasteBBM!AB472</f>
        <v>1.083125</v>
      </c>
      <c r="P472">
        <f>PasteBBM!AC472</f>
        <v>0.281875</v>
      </c>
      <c r="Q472">
        <f>PasteBBM!AD472</f>
        <v>0.108125</v>
      </c>
      <c r="R472">
        <f>PasteBBM!AI472</f>
        <v>0.78</v>
      </c>
      <c r="S472">
        <f>PasteBBM!AE472</f>
        <v>0.398559</v>
      </c>
      <c r="T472">
        <f>PasteBBM!AG472</f>
        <v>0.751779</v>
      </c>
      <c r="V472" s="44">
        <v>-0.41709</v>
      </c>
      <c r="W472" s="44">
        <v>-0.00658</v>
      </c>
      <c r="X472" s="44">
        <v>0.009207</v>
      </c>
      <c r="Y472" s="44">
        <v>-0.4263</v>
      </c>
      <c r="Z472" s="44">
        <v>-0.34564</v>
      </c>
      <c r="AA472" s="45"/>
      <c r="AB472" s="46" t="s">
        <v>126</v>
      </c>
      <c r="AC472" s="44">
        <v>67.0</v>
      </c>
    </row>
    <row r="473">
      <c r="A473" s="2">
        <v>472.0</v>
      </c>
      <c r="B473" s="14">
        <f>IF(PasteBBM!B473="",156,PasteBBM!B473)</f>
        <v>156</v>
      </c>
      <c r="C473" t="str">
        <f>PasteBBM!I473</f>
        <v>Brooks Barnhizer</v>
      </c>
      <c r="D473" t="str">
        <f>IFERROR(REPLACE(PasteBBM!K473,FIND("/",PasteBBM!K473,1),1,","),PasteBBM!K473)</f>
        <v>PG,SG</v>
      </c>
      <c r="E473" t="str">
        <f>PasteBBM!J473</f>
        <v>OKC</v>
      </c>
      <c r="F473">
        <f>PasteBBM!U473</f>
        <v>16</v>
      </c>
      <c r="G473">
        <f>PasteBBM!X473</f>
        <v>7</v>
      </c>
      <c r="H473">
        <f>PasteBBM!AE473*PasteBBM!AF473</f>
        <v>0.9168757425</v>
      </c>
      <c r="I473">
        <f>PasteBBM!AE473</f>
        <v>0.385647</v>
      </c>
      <c r="J473">
        <f>PasteBBM!AG473*PasteBBM!AH473</f>
        <v>0.3993750875</v>
      </c>
      <c r="K473">
        <f>PasteBBM!AG473</f>
        <v>0.76253</v>
      </c>
      <c r="L473">
        <f>PasteBBM!Z473</f>
        <v>0.2475</v>
      </c>
      <c r="M473">
        <f>PasteBBM!Y473</f>
        <v>2.480625</v>
      </c>
      <c r="N473">
        <f>PasteBBM!AA473</f>
        <v>1.19</v>
      </c>
      <c r="O473">
        <f>PasteBBM!AB473</f>
        <v>0.47625</v>
      </c>
      <c r="P473">
        <f>PasteBBM!AC473</f>
        <v>0.2675</v>
      </c>
      <c r="Q473">
        <f>PasteBBM!AD473</f>
        <v>0.11875</v>
      </c>
      <c r="R473">
        <f>PasteBBM!AI473</f>
        <v>0.341875</v>
      </c>
      <c r="S473">
        <f>PasteBBM!AE473</f>
        <v>0.385647</v>
      </c>
      <c r="T473">
        <f>PasteBBM!AG473</f>
        <v>0.76253</v>
      </c>
      <c r="V473" s="44">
        <v>-0.41709</v>
      </c>
      <c r="W473" s="44">
        <v>-0.00658</v>
      </c>
      <c r="X473" s="44">
        <v>0.009207</v>
      </c>
      <c r="Y473" s="44">
        <v>-0.4263</v>
      </c>
      <c r="Z473" s="44">
        <v>-0.34564</v>
      </c>
      <c r="AA473" s="45"/>
      <c r="AB473" s="46" t="s">
        <v>126</v>
      </c>
      <c r="AC473" s="44">
        <v>67.0</v>
      </c>
    </row>
    <row r="474">
      <c r="A474" s="2">
        <v>473.0</v>
      </c>
      <c r="B474" s="14">
        <f>IF(PasteBBM!B474="",156,PasteBBM!B474)</f>
        <v>156</v>
      </c>
      <c r="C474" t="str">
        <f>PasteBBM!I474</f>
        <v>Garrett Temple</v>
      </c>
      <c r="D474" t="str">
        <f>IFERROR(REPLACE(PasteBBM!K474,FIND("/",PasteBBM!K474,1),1,","),PasteBBM!K474)</f>
        <v>SG</v>
      </c>
      <c r="E474" t="str">
        <f>PasteBBM!J474</f>
        <v>TOR</v>
      </c>
      <c r="F474">
        <f>PasteBBM!U474</f>
        <v>16</v>
      </c>
      <c r="G474">
        <f>PasteBBM!X474</f>
        <v>7</v>
      </c>
      <c r="H474">
        <f>PasteBBM!AE474*PasteBBM!AF474</f>
        <v>0.5881242938</v>
      </c>
      <c r="I474">
        <f>PasteBBM!AE474</f>
        <v>0.331922</v>
      </c>
      <c r="J474">
        <f>PasteBBM!AG474*PasteBBM!AH474</f>
        <v>0.2224999631</v>
      </c>
      <c r="K474">
        <f>PasteBBM!AG474</f>
        <v>0.775599</v>
      </c>
      <c r="L474">
        <f>PasteBBM!Z474</f>
        <v>0.2675</v>
      </c>
      <c r="M474">
        <f>PasteBBM!Y474</f>
        <v>1.66625</v>
      </c>
      <c r="N474">
        <f>PasteBBM!AA474</f>
        <v>0.88625</v>
      </c>
      <c r="O474">
        <f>PasteBBM!AB474</f>
        <v>0.608125</v>
      </c>
      <c r="P474">
        <f>PasteBBM!AC474</f>
        <v>0.306875</v>
      </c>
      <c r="Q474">
        <f>PasteBBM!AD474</f>
        <v>0.106875</v>
      </c>
      <c r="R474">
        <f>PasteBBM!AI474</f>
        <v>0.27375</v>
      </c>
      <c r="S474">
        <f>PasteBBM!AE474</f>
        <v>0.331922</v>
      </c>
      <c r="T474">
        <f>PasteBBM!AG474</f>
        <v>0.775599</v>
      </c>
      <c r="V474" s="44">
        <v>-0.41709</v>
      </c>
      <c r="W474" s="44">
        <v>-0.00658</v>
      </c>
      <c r="X474" s="44">
        <v>0.009207</v>
      </c>
      <c r="Y474" s="44">
        <v>-0.4263</v>
      </c>
      <c r="Z474" s="44">
        <v>-0.34564</v>
      </c>
      <c r="AA474" s="45"/>
      <c r="AB474" s="46" t="s">
        <v>126</v>
      </c>
      <c r="AC474" s="44">
        <v>67.0</v>
      </c>
    </row>
    <row r="475">
      <c r="A475" s="2">
        <v>474.0</v>
      </c>
      <c r="B475" s="14">
        <f>IF(PasteBBM!B475="",156,PasteBBM!B475)</f>
        <v>156</v>
      </c>
      <c r="C475" t="str">
        <f>PasteBBM!I475</f>
        <v>Jamir Watkins</v>
      </c>
      <c r="D475" t="str">
        <f>IFERROR(REPLACE(PasteBBM!K475,FIND("/",PasteBBM!K475,1),1,","),PasteBBM!K475)</f>
        <v>PG,SG</v>
      </c>
      <c r="E475" t="str">
        <f>PasteBBM!J475</f>
        <v>WAS</v>
      </c>
      <c r="F475">
        <f>PasteBBM!U475</f>
        <v>16</v>
      </c>
      <c r="G475">
        <f>PasteBBM!X475</f>
        <v>7</v>
      </c>
      <c r="H475">
        <f>PasteBBM!AE475*PasteBBM!AF475</f>
        <v>0.7962496438</v>
      </c>
      <c r="I475">
        <f>PasteBBM!AE475</f>
        <v>0.376255</v>
      </c>
      <c r="J475">
        <f>PasteBBM!AG475*PasteBBM!AH475</f>
        <v>0.522500095</v>
      </c>
      <c r="K475">
        <f>PasteBBM!AG475</f>
        <v>0.747764</v>
      </c>
      <c r="L475">
        <f>PasteBBM!Z475</f>
        <v>0.226875</v>
      </c>
      <c r="M475">
        <f>PasteBBM!Y475</f>
        <v>2.341875</v>
      </c>
      <c r="N475">
        <f>PasteBBM!AA475</f>
        <v>1.261875</v>
      </c>
      <c r="O475">
        <f>PasteBBM!AB475</f>
        <v>0.450625</v>
      </c>
      <c r="P475">
        <f>PasteBBM!AC475</f>
        <v>0.315625</v>
      </c>
      <c r="Q475">
        <f>PasteBBM!AD475</f>
        <v>0.12</v>
      </c>
      <c r="R475">
        <f>PasteBBM!AI475</f>
        <v>0.435625</v>
      </c>
      <c r="S475">
        <f>PasteBBM!AE475</f>
        <v>0.376255</v>
      </c>
      <c r="T475">
        <f>PasteBBM!AG475</f>
        <v>0.747764</v>
      </c>
      <c r="V475" s="44">
        <v>-0.41709</v>
      </c>
      <c r="W475" s="44">
        <v>-0.00658</v>
      </c>
      <c r="X475" s="44">
        <v>0.009207</v>
      </c>
      <c r="Y475" s="44">
        <v>-0.4263</v>
      </c>
      <c r="Z475" s="44">
        <v>-0.34564</v>
      </c>
      <c r="AA475" s="45"/>
      <c r="AB475" s="46" t="s">
        <v>126</v>
      </c>
      <c r="AC475" s="44">
        <v>67.0</v>
      </c>
    </row>
    <row r="476">
      <c r="A476" s="2">
        <v>475.0</v>
      </c>
      <c r="B476" s="14">
        <f>IF(PasteBBM!B476="",156,PasteBBM!B476)</f>
        <v>156</v>
      </c>
      <c r="C476" t="str">
        <f>PasteBBM!I476</f>
        <v>Miles Kelly</v>
      </c>
      <c r="D476" t="str">
        <f>IFERROR(REPLACE(PasteBBM!K476,FIND("/",PasteBBM!K476,1),1,","),PasteBBM!K476)</f>
        <v>PG</v>
      </c>
      <c r="E476" t="str">
        <f>PasteBBM!J476</f>
        <v>DAL</v>
      </c>
      <c r="F476">
        <f>PasteBBM!U476</f>
        <v>16</v>
      </c>
      <c r="G476">
        <f>PasteBBM!X476</f>
        <v>8</v>
      </c>
      <c r="H476">
        <f>PasteBBM!AE476*PasteBBM!AF476</f>
        <v>1.133125394</v>
      </c>
      <c r="I476">
        <f>PasteBBM!AE476</f>
        <v>0.378497</v>
      </c>
      <c r="J476">
        <f>PasteBBM!AG476*PasteBBM!AH476</f>
        <v>0.2831249688</v>
      </c>
      <c r="K476">
        <f>PasteBBM!AG476</f>
        <v>0.787826</v>
      </c>
      <c r="L476">
        <f>PasteBBM!Z476</f>
        <v>0.62875</v>
      </c>
      <c r="M476">
        <f>PasteBBM!Y476</f>
        <v>3.178125</v>
      </c>
      <c r="N476">
        <f>PasteBBM!AA476</f>
        <v>0.993125</v>
      </c>
      <c r="O476">
        <f>PasteBBM!AB476</f>
        <v>0.386875</v>
      </c>
      <c r="P476">
        <f>PasteBBM!AC476</f>
        <v>0.21875</v>
      </c>
      <c r="Q476">
        <f>PasteBBM!AD476</f>
        <v>0.0675</v>
      </c>
      <c r="R476">
        <f>PasteBBM!AI476</f>
        <v>0.420625</v>
      </c>
      <c r="S476">
        <f>PasteBBM!AE476</f>
        <v>0.378497</v>
      </c>
      <c r="T476">
        <f>PasteBBM!AG476</f>
        <v>0.787826</v>
      </c>
      <c r="V476" s="44">
        <v>-0.41709</v>
      </c>
      <c r="W476" s="44">
        <v>-0.00658</v>
      </c>
      <c r="X476" s="44">
        <v>0.009207</v>
      </c>
      <c r="Y476" s="44">
        <v>-0.4263</v>
      </c>
      <c r="Z476" s="44">
        <v>-0.34564</v>
      </c>
      <c r="AA476" s="45"/>
      <c r="AB476" s="46" t="s">
        <v>126</v>
      </c>
      <c r="AC476" s="44">
        <v>67.0</v>
      </c>
    </row>
    <row r="477">
      <c r="A477" s="2">
        <v>476.0</v>
      </c>
      <c r="B477" s="14">
        <f>IF(PasteBBM!B477="",156,PasteBBM!B477)</f>
        <v>156</v>
      </c>
      <c r="C477" t="str">
        <f>PasteBBM!I477</f>
        <v>Kasparas Jakucionis</v>
      </c>
      <c r="D477" t="str">
        <f>IFERROR(REPLACE(PasteBBM!K477,FIND("/",PasteBBM!K477,1),1,","),PasteBBM!K477)</f>
        <v>PG,SG</v>
      </c>
      <c r="E477" t="str">
        <f>PasteBBM!J477</f>
        <v>MIA</v>
      </c>
      <c r="F477">
        <f>PasteBBM!U477</f>
        <v>28</v>
      </c>
      <c r="G477">
        <f>PasteBBM!X477</f>
        <v>10</v>
      </c>
      <c r="H477">
        <f>PasteBBM!AE477*PasteBBM!AF477</f>
        <v>1.168572034</v>
      </c>
      <c r="I477">
        <f>PasteBBM!AE477</f>
        <v>0.38667</v>
      </c>
      <c r="J477">
        <f>PasteBBM!AG477*PasteBBM!AH477</f>
        <v>0.631785556</v>
      </c>
      <c r="K477">
        <f>PasteBBM!AG477</f>
        <v>0.804091</v>
      </c>
      <c r="L477">
        <f>PasteBBM!Z477</f>
        <v>0.422143</v>
      </c>
      <c r="M477">
        <f>PasteBBM!Y477</f>
        <v>3.391071</v>
      </c>
      <c r="N477">
        <f>PasteBBM!AA477</f>
        <v>1.572143</v>
      </c>
      <c r="O477">
        <f>PasteBBM!AB477</f>
        <v>1.408929</v>
      </c>
      <c r="P477">
        <f>PasteBBM!AC477</f>
        <v>0.245</v>
      </c>
      <c r="Q477">
        <f>PasteBBM!AD477</f>
        <v>0.081786</v>
      </c>
      <c r="R477">
        <f>PasteBBM!AI477</f>
        <v>1.020714</v>
      </c>
      <c r="S477">
        <f>PasteBBM!AE477</f>
        <v>0.38667</v>
      </c>
      <c r="T477">
        <f>PasteBBM!AG477</f>
        <v>0.804091</v>
      </c>
      <c r="V477" s="44">
        <v>-0.41709</v>
      </c>
      <c r="W477" s="44">
        <v>-0.00658</v>
      </c>
      <c r="X477" s="44">
        <v>0.009207</v>
      </c>
      <c r="Y477" s="44">
        <v>-0.4263</v>
      </c>
      <c r="Z477" s="44">
        <v>-0.34564</v>
      </c>
      <c r="AA477" s="45"/>
      <c r="AB477" s="46" t="s">
        <v>126</v>
      </c>
      <c r="AC477" s="44">
        <v>67.0</v>
      </c>
    </row>
    <row r="478">
      <c r="A478" s="2">
        <v>477.0</v>
      </c>
      <c r="B478" s="14">
        <f>IF(PasteBBM!B478="",156,PasteBBM!B478)</f>
        <v>156</v>
      </c>
      <c r="C478" t="str">
        <f>PasteBBM!I478</f>
        <v>Bryce McGowens</v>
      </c>
      <c r="D478" t="str">
        <f>IFERROR(REPLACE(PasteBBM!K478,FIND("/",PasteBBM!K478,1),1,","),PasteBBM!K478)</f>
        <v>SG</v>
      </c>
      <c r="E478" t="str">
        <f>PasteBBM!J478</f>
        <v>NOR</v>
      </c>
      <c r="F478">
        <f>PasteBBM!U478</f>
        <v>46</v>
      </c>
      <c r="G478">
        <f>PasteBBM!X478</f>
        <v>8</v>
      </c>
      <c r="H478">
        <f>PasteBBM!AE478*PasteBBM!AF478</f>
        <v>1.10934865</v>
      </c>
      <c r="I478">
        <f>PasteBBM!AE478</f>
        <v>0.439346</v>
      </c>
      <c r="J478">
        <f>PasteBBM!AG478*PasteBBM!AH478</f>
        <v>0.80304393</v>
      </c>
      <c r="K478">
        <f>PasteBBM!AG478</f>
        <v>0.795093</v>
      </c>
      <c r="L478">
        <f>PasteBBM!Z478</f>
        <v>0.291522</v>
      </c>
      <c r="M478">
        <f>PasteBBM!Y478</f>
        <v>3.313261</v>
      </c>
      <c r="N478">
        <f>PasteBBM!AA478</f>
        <v>0.841739</v>
      </c>
      <c r="O478">
        <f>PasteBBM!AB478</f>
        <v>0.451739</v>
      </c>
      <c r="P478">
        <f>PasteBBM!AC478</f>
        <v>0.178478</v>
      </c>
      <c r="Q478">
        <f>PasteBBM!AD478</f>
        <v>0.08587</v>
      </c>
      <c r="R478">
        <f>PasteBBM!AI478</f>
        <v>0.359783</v>
      </c>
      <c r="S478">
        <f>PasteBBM!AE478</f>
        <v>0.439346</v>
      </c>
      <c r="T478">
        <f>PasteBBM!AG478</f>
        <v>0.795093</v>
      </c>
      <c r="V478" s="44">
        <v>-0.41709</v>
      </c>
      <c r="W478" s="44">
        <v>-0.00658</v>
      </c>
      <c r="X478" s="44">
        <v>0.009207</v>
      </c>
      <c r="Y478" s="44">
        <v>-0.4263</v>
      </c>
      <c r="Z478" s="44">
        <v>-0.34564</v>
      </c>
      <c r="AA478" s="45"/>
      <c r="AB478" s="46" t="s">
        <v>126</v>
      </c>
      <c r="AC478" s="44">
        <v>67.0</v>
      </c>
    </row>
    <row r="479">
      <c r="A479" s="2">
        <v>478.0</v>
      </c>
      <c r="B479" s="14">
        <f>IF(PasteBBM!B479="",156,PasteBBM!B479)</f>
        <v>156</v>
      </c>
      <c r="C479" t="str">
        <f>PasteBBM!I479</f>
        <v>John Tonje</v>
      </c>
      <c r="D479" t="str">
        <f>IFERROR(REPLACE(PasteBBM!K479,FIND("/",PasteBBM!K479,1),1,","),PasteBBM!K479)</f>
        <v>PG,SG</v>
      </c>
      <c r="E479" t="str">
        <f>PasteBBM!J479</f>
        <v>UTA</v>
      </c>
      <c r="F479">
        <f>PasteBBM!U479</f>
        <v>16</v>
      </c>
      <c r="G479">
        <f>PasteBBM!X479</f>
        <v>8</v>
      </c>
      <c r="H479">
        <f>PasteBBM!AE479*PasteBBM!AF479</f>
        <v>0.8868749025</v>
      </c>
      <c r="I479">
        <f>PasteBBM!AE479</f>
        <v>0.400508</v>
      </c>
      <c r="J479">
        <f>PasteBBM!AG479*PasteBBM!AH479</f>
        <v>0.5393748369</v>
      </c>
      <c r="K479">
        <f>PasteBBM!AG479</f>
        <v>0.811853</v>
      </c>
      <c r="L479">
        <f>PasteBBM!Z479</f>
        <v>0.418125</v>
      </c>
      <c r="M479">
        <f>PasteBBM!Y479</f>
        <v>2.73125</v>
      </c>
      <c r="N479">
        <f>PasteBBM!AA479</f>
        <v>1.115625</v>
      </c>
      <c r="O479">
        <f>PasteBBM!AB479</f>
        <v>0.360625</v>
      </c>
      <c r="P479">
        <f>PasteBBM!AC479</f>
        <v>0.18875</v>
      </c>
      <c r="Q479">
        <f>PasteBBM!AD479</f>
        <v>0.06875</v>
      </c>
      <c r="R479">
        <f>PasteBBM!AI479</f>
        <v>0.3775</v>
      </c>
      <c r="S479">
        <f>PasteBBM!AE479</f>
        <v>0.400508</v>
      </c>
      <c r="T479">
        <f>PasteBBM!AG479</f>
        <v>0.811853</v>
      </c>
      <c r="V479" s="44">
        <v>-0.41709</v>
      </c>
      <c r="W479" s="44">
        <v>-0.00658</v>
      </c>
      <c r="X479" s="44">
        <v>0.009207</v>
      </c>
      <c r="Y479" s="44">
        <v>-0.4263</v>
      </c>
      <c r="Z479" s="44">
        <v>-0.34564</v>
      </c>
      <c r="AA479" s="45"/>
      <c r="AB479" s="46" t="s">
        <v>126</v>
      </c>
      <c r="AC479" s="44">
        <v>67.0</v>
      </c>
    </row>
    <row r="480">
      <c r="A480" s="2">
        <v>479.0</v>
      </c>
      <c r="B480" s="14">
        <f>IF(PasteBBM!B480="",156,PasteBBM!B480)</f>
        <v>156</v>
      </c>
      <c r="C480" t="str">
        <f>PasteBBM!I480</f>
        <v>Luke Travers</v>
      </c>
      <c r="D480" t="str">
        <f>IFERROR(REPLACE(PasteBBM!K480,FIND("/",PasteBBM!K480,1),1,","),PasteBBM!K480)</f>
        <v>SG</v>
      </c>
      <c r="E480" t="str">
        <f>PasteBBM!J480</f>
        <v>CLE</v>
      </c>
      <c r="F480">
        <f>PasteBBM!U480</f>
        <v>16</v>
      </c>
      <c r="G480">
        <f>PasteBBM!X480</f>
        <v>8</v>
      </c>
      <c r="H480">
        <f>PasteBBM!AE480*PasteBBM!AF480</f>
        <v>0.8737494113</v>
      </c>
      <c r="I480">
        <f>PasteBBM!AE480</f>
        <v>0.396483</v>
      </c>
      <c r="J480">
        <f>PasteBBM!AG480*PasteBBM!AH480</f>
        <v>0.253125</v>
      </c>
      <c r="K480">
        <f>PasteBBM!AG480</f>
        <v>0.75</v>
      </c>
      <c r="L480">
        <f>PasteBBM!Z480</f>
        <v>0.23125</v>
      </c>
      <c r="M480">
        <f>PasteBBM!Y480</f>
        <v>2.231875</v>
      </c>
      <c r="N480">
        <f>PasteBBM!AA480</f>
        <v>1.75875</v>
      </c>
      <c r="O480">
        <f>PasteBBM!AB480</f>
        <v>0.72375</v>
      </c>
      <c r="P480">
        <f>PasteBBM!AC480</f>
        <v>0.2325</v>
      </c>
      <c r="Q480">
        <f>PasteBBM!AD480</f>
        <v>0.15875</v>
      </c>
      <c r="R480">
        <f>PasteBBM!AI480</f>
        <v>0.673125</v>
      </c>
      <c r="S480">
        <f>PasteBBM!AE480</f>
        <v>0.396483</v>
      </c>
      <c r="T480">
        <f>PasteBBM!AG480</f>
        <v>0.75</v>
      </c>
      <c r="V480" s="44">
        <v>-0.41709</v>
      </c>
      <c r="W480" s="44">
        <v>-0.00658</v>
      </c>
      <c r="X480" s="44">
        <v>0.009207</v>
      </c>
      <c r="Y480" s="44">
        <v>-0.4263</v>
      </c>
      <c r="Z480" s="44">
        <v>-0.34564</v>
      </c>
      <c r="AA480" s="45"/>
      <c r="AB480" s="46" t="s">
        <v>126</v>
      </c>
      <c r="AC480" s="44">
        <v>67.0</v>
      </c>
    </row>
    <row r="481">
      <c r="A481" s="2">
        <v>480.0</v>
      </c>
      <c r="B481" s="14">
        <f>IF(PasteBBM!B481="",156,PasteBBM!B481)</f>
        <v>156</v>
      </c>
      <c r="C481" t="str">
        <f>PasteBBM!I481</f>
        <v>Will Riley</v>
      </c>
      <c r="D481" t="str">
        <f>IFERROR(REPLACE(PasteBBM!K481,FIND("/",PasteBBM!K481,1),1,","),PasteBBM!K481)</f>
        <v>SF,PF</v>
      </c>
      <c r="E481" t="str">
        <f>PasteBBM!J481</f>
        <v>WAS</v>
      </c>
      <c r="F481">
        <f>PasteBBM!U481</f>
        <v>46</v>
      </c>
      <c r="G481">
        <f>PasteBBM!X481</f>
        <v>12</v>
      </c>
      <c r="H481">
        <f>PasteBBM!AE481*PasteBBM!AF481</f>
        <v>1.356304736</v>
      </c>
      <c r="I481">
        <f>PasteBBM!AE481</f>
        <v>0.387203</v>
      </c>
      <c r="J481">
        <f>PasteBBM!AG481*PasteBBM!AH481</f>
        <v>0.5339133076</v>
      </c>
      <c r="K481">
        <f>PasteBBM!AG481</f>
        <v>0.725983</v>
      </c>
      <c r="L481">
        <f>PasteBBM!Z481</f>
        <v>0.516522</v>
      </c>
      <c r="M481">
        <f>PasteBBM!Y481</f>
        <v>3.763043</v>
      </c>
      <c r="N481">
        <f>PasteBBM!AA481</f>
        <v>1.802609</v>
      </c>
      <c r="O481">
        <f>PasteBBM!AB481</f>
        <v>0.772391</v>
      </c>
      <c r="P481">
        <f>PasteBBM!AC481</f>
        <v>0.206087</v>
      </c>
      <c r="Q481">
        <f>PasteBBM!AD481</f>
        <v>0.128696</v>
      </c>
      <c r="R481">
        <f>PasteBBM!AI481</f>
        <v>0.772391</v>
      </c>
      <c r="S481">
        <f>PasteBBM!AE481</f>
        <v>0.387203</v>
      </c>
      <c r="T481">
        <f>PasteBBM!AG481</f>
        <v>0.725983</v>
      </c>
      <c r="V481" s="44">
        <v>-0.41709</v>
      </c>
      <c r="W481" s="44">
        <v>-0.00658</v>
      </c>
      <c r="X481" s="44">
        <v>0.009207</v>
      </c>
      <c r="Y481" s="44">
        <v>-0.4263</v>
      </c>
      <c r="Z481" s="44">
        <v>-0.34564</v>
      </c>
      <c r="AA481" s="45"/>
      <c r="AB481" s="46" t="s">
        <v>126</v>
      </c>
      <c r="AC481" s="44">
        <v>67.0</v>
      </c>
    </row>
    <row r="482">
      <c r="A482" s="2">
        <v>481.0</v>
      </c>
      <c r="B482" s="14">
        <f>IF(PasteBBM!B482="",156,PasteBBM!B482)</f>
        <v>156</v>
      </c>
      <c r="C482" t="str">
        <f>PasteBBM!I482</f>
        <v>Caleb Love</v>
      </c>
      <c r="D482" t="str">
        <f>IFERROR(REPLACE(PasteBBM!K482,FIND("/",PasteBBM!K482,1),1,","),PasteBBM!K482)</f>
        <v>SG</v>
      </c>
      <c r="E482" t="str">
        <f>PasteBBM!J482</f>
        <v>POR</v>
      </c>
      <c r="F482">
        <f>PasteBBM!U482</f>
        <v>16</v>
      </c>
      <c r="G482">
        <f>PasteBBM!X482</f>
        <v>8</v>
      </c>
      <c r="H482">
        <f>PasteBBM!AE482*PasteBBM!AF482</f>
        <v>1.232498768</v>
      </c>
      <c r="I482">
        <f>PasteBBM!AE482</f>
        <v>0.348348</v>
      </c>
      <c r="J482">
        <f>PasteBBM!AG482*PasteBBM!AH482</f>
        <v>0.495624805</v>
      </c>
      <c r="K482">
        <f>PasteBBM!AG482</f>
        <v>0.824324</v>
      </c>
      <c r="L482">
        <f>PasteBBM!Z482</f>
        <v>0.66625</v>
      </c>
      <c r="M482">
        <f>PasteBBM!Y482</f>
        <v>3.626875</v>
      </c>
      <c r="N482">
        <f>PasteBBM!AA482</f>
        <v>0.918125</v>
      </c>
      <c r="O482">
        <f>PasteBBM!AB482</f>
        <v>0.73125</v>
      </c>
      <c r="P482">
        <f>PasteBBM!AC482</f>
        <v>0.238125</v>
      </c>
      <c r="Q482">
        <f>PasteBBM!AD482</f>
        <v>0.068125</v>
      </c>
      <c r="R482">
        <f>PasteBBM!AI482</f>
        <v>0.595</v>
      </c>
      <c r="S482">
        <f>PasteBBM!AE482</f>
        <v>0.348348</v>
      </c>
      <c r="T482">
        <f>PasteBBM!AG482</f>
        <v>0.824324</v>
      </c>
      <c r="V482" s="44">
        <v>-0.41709</v>
      </c>
      <c r="W482" s="44">
        <v>-0.00658</v>
      </c>
      <c r="X482" s="44">
        <v>0.009207</v>
      </c>
      <c r="Y482" s="44">
        <v>-0.4263</v>
      </c>
      <c r="Z482" s="44">
        <v>-0.34564</v>
      </c>
      <c r="AA482" s="45"/>
      <c r="AB482" s="46" t="s">
        <v>126</v>
      </c>
      <c r="AC482" s="44">
        <v>67.0</v>
      </c>
    </row>
    <row r="483">
      <c r="A483" s="2">
        <v>482.0</v>
      </c>
      <c r="B483" s="14">
        <f>IF(PasteBBM!B483="",156,PasteBBM!B483)</f>
        <v>156</v>
      </c>
      <c r="C483" t="str">
        <f>PasteBBM!I483</f>
        <v>Kevon Harris</v>
      </c>
      <c r="D483" t="str">
        <f>IFERROR(REPLACE(PasteBBM!K483,FIND("/",PasteBBM!K483,1),1,","),PasteBBM!K483)</f>
        <v>SG</v>
      </c>
      <c r="E483" t="str">
        <f>PasteBBM!J483</f>
        <v>HOU</v>
      </c>
      <c r="F483">
        <f>PasteBBM!U483</f>
        <v>16</v>
      </c>
      <c r="G483">
        <f>PasteBBM!X483</f>
        <v>6</v>
      </c>
      <c r="H483">
        <f>PasteBBM!AE483*PasteBBM!AF483</f>
        <v>0.9218759281</v>
      </c>
      <c r="I483">
        <f>PasteBBM!AE483</f>
        <v>0.455951</v>
      </c>
      <c r="J483">
        <f>PasteBBM!AG483*PasteBBM!AH483</f>
        <v>0.5118750481</v>
      </c>
      <c r="K483">
        <f>PasteBBM!AG483</f>
        <v>0.745223</v>
      </c>
      <c r="L483">
        <f>PasteBBM!Z483</f>
        <v>0.303125</v>
      </c>
      <c r="M483">
        <f>PasteBBM!Y483</f>
        <v>2.65875</v>
      </c>
      <c r="N483">
        <f>PasteBBM!AA483</f>
        <v>0.968125</v>
      </c>
      <c r="O483">
        <f>PasteBBM!AB483</f>
        <v>0.340625</v>
      </c>
      <c r="P483">
        <f>PasteBBM!AC483</f>
        <v>0.19875</v>
      </c>
      <c r="Q483">
        <f>PasteBBM!AD483</f>
        <v>0.064375</v>
      </c>
      <c r="R483">
        <f>PasteBBM!AI483</f>
        <v>0.333125</v>
      </c>
      <c r="S483">
        <f>PasteBBM!AE483</f>
        <v>0.455951</v>
      </c>
      <c r="T483">
        <f>PasteBBM!AG483</f>
        <v>0.745223</v>
      </c>
      <c r="V483" s="44">
        <v>-0.41709</v>
      </c>
      <c r="W483" s="44">
        <v>-0.00658</v>
      </c>
      <c r="X483" s="44">
        <v>0.009207</v>
      </c>
      <c r="Y483" s="44">
        <v>-0.4263</v>
      </c>
      <c r="Z483" s="44">
        <v>-0.34564</v>
      </c>
      <c r="AA483" s="45"/>
      <c r="AB483" s="46" t="s">
        <v>126</v>
      </c>
      <c r="AC483" s="44">
        <v>67.0</v>
      </c>
    </row>
    <row r="484">
      <c r="A484" s="2">
        <v>483.0</v>
      </c>
      <c r="B484" s="14">
        <f>IF(PasteBBM!B484="",156,PasteBBM!B484)</f>
        <v>156</v>
      </c>
      <c r="C484" t="str">
        <f>PasteBBM!I484</f>
        <v>CJ Huntley</v>
      </c>
      <c r="D484" t="str">
        <f>IFERROR(REPLACE(PasteBBM!K484,FIND("/",PasteBBM!K484,1),1,","),PasteBBM!K484)</f>
        <v>SF,PF</v>
      </c>
      <c r="E484" t="str">
        <f>PasteBBM!J484</f>
        <v>PHO</v>
      </c>
      <c r="F484">
        <f>PasteBBM!U484</f>
        <v>16</v>
      </c>
      <c r="G484">
        <f>PasteBBM!X484</f>
        <v>7</v>
      </c>
      <c r="H484">
        <f>PasteBBM!AE484*PasteBBM!AF484</f>
        <v>0.713749225</v>
      </c>
      <c r="I484">
        <f>PasteBBM!AE484</f>
        <v>0.42596</v>
      </c>
      <c r="J484">
        <f>PasteBBM!AG484*PasteBBM!AH484</f>
        <v>0.21375013</v>
      </c>
      <c r="K484">
        <f>PasteBBM!AG484</f>
        <v>0.709544</v>
      </c>
      <c r="L484">
        <f>PasteBBM!Z484</f>
        <v>0.28125</v>
      </c>
      <c r="M484">
        <f>PasteBBM!Y484</f>
        <v>1.9225</v>
      </c>
      <c r="N484">
        <f>PasteBBM!AA484</f>
        <v>1.270625</v>
      </c>
      <c r="O484">
        <f>PasteBBM!AB484</f>
        <v>0.23125</v>
      </c>
      <c r="P484">
        <f>PasteBBM!AC484</f>
        <v>0.144375</v>
      </c>
      <c r="Q484">
        <f>PasteBBM!AD484</f>
        <v>0.13</v>
      </c>
      <c r="R484">
        <f>PasteBBM!AI484</f>
        <v>0.21625</v>
      </c>
      <c r="S484">
        <f>PasteBBM!AE484</f>
        <v>0.42596</v>
      </c>
      <c r="T484">
        <f>PasteBBM!AG484</f>
        <v>0.709544</v>
      </c>
      <c r="V484" s="44">
        <v>-0.41709</v>
      </c>
      <c r="W484" s="44">
        <v>-0.00658</v>
      </c>
      <c r="X484" s="44">
        <v>0.009207</v>
      </c>
      <c r="Y484" s="44">
        <v>-0.4263</v>
      </c>
      <c r="Z484" s="44">
        <v>-0.34564</v>
      </c>
      <c r="AA484" s="45"/>
      <c r="AB484" s="46" t="s">
        <v>126</v>
      </c>
      <c r="AC484" s="44">
        <v>67.0</v>
      </c>
    </row>
    <row r="485">
      <c r="A485" s="2">
        <v>484.0</v>
      </c>
      <c r="B485" s="14">
        <f>IF(PasteBBM!B485="",156,PasteBBM!B485)</f>
        <v>156</v>
      </c>
      <c r="C485" t="str">
        <f>PasteBBM!I485</f>
        <v>Sidy Cissoko</v>
      </c>
      <c r="D485" t="str">
        <f>IFERROR(REPLACE(PasteBBM!K485,FIND("/",PasteBBM!K485,1),1,","),PasteBBM!K485)</f>
        <v>SF</v>
      </c>
      <c r="E485" t="str">
        <f>PasteBBM!J485</f>
        <v>POR</v>
      </c>
      <c r="F485">
        <f>PasteBBM!U485</f>
        <v>16</v>
      </c>
      <c r="G485">
        <f>PasteBBM!X485</f>
        <v>7</v>
      </c>
      <c r="H485">
        <f>PasteBBM!AE485*PasteBBM!AF485</f>
        <v>0.9893760263</v>
      </c>
      <c r="I485">
        <f>PasteBBM!AE485</f>
        <v>0.461382</v>
      </c>
      <c r="J485">
        <f>PasteBBM!AG485*PasteBBM!AH485</f>
        <v>0.3312499531</v>
      </c>
      <c r="K485">
        <f>PasteBBM!AG485</f>
        <v>0.658385</v>
      </c>
      <c r="L485">
        <f>PasteBBM!Z485</f>
        <v>0.2225</v>
      </c>
      <c r="M485">
        <f>PasteBBM!Y485</f>
        <v>2.5325</v>
      </c>
      <c r="N485">
        <f>PasteBBM!AA485</f>
        <v>0.981875</v>
      </c>
      <c r="O485">
        <f>PasteBBM!AB485</f>
        <v>0.7625</v>
      </c>
      <c r="P485">
        <f>PasteBBM!AC485</f>
        <v>0.22375</v>
      </c>
      <c r="Q485">
        <f>PasteBBM!AD485</f>
        <v>0.143125</v>
      </c>
      <c r="R485">
        <f>PasteBBM!AI485</f>
        <v>0.535625</v>
      </c>
      <c r="S485">
        <f>PasteBBM!AE485</f>
        <v>0.461382</v>
      </c>
      <c r="T485">
        <f>PasteBBM!AG485</f>
        <v>0.658385</v>
      </c>
      <c r="V485" s="44">
        <v>-0.41709</v>
      </c>
      <c r="W485" s="44">
        <v>-0.00658</v>
      </c>
      <c r="X485" s="44">
        <v>0.009207</v>
      </c>
      <c r="Y485" s="44">
        <v>-0.4263</v>
      </c>
      <c r="Z485" s="44">
        <v>-0.34564</v>
      </c>
      <c r="AA485" s="45"/>
      <c r="AB485" s="46" t="s">
        <v>126</v>
      </c>
      <c r="AC485" s="44">
        <v>67.0</v>
      </c>
    </row>
    <row r="486">
      <c r="A486" s="2">
        <v>485.0</v>
      </c>
      <c r="B486" s="14">
        <f>IF(PasteBBM!B486="",156,PasteBBM!B486)</f>
        <v>156</v>
      </c>
      <c r="C486" t="str">
        <f>PasteBBM!I486</f>
        <v>Chucky Hepburn</v>
      </c>
      <c r="D486" t="str">
        <f>IFERROR(REPLACE(PasteBBM!K486,FIND("/",PasteBBM!K486,1),1,","),PasteBBM!K486)</f>
        <v>PG</v>
      </c>
      <c r="E486" t="str">
        <f>PasteBBM!J486</f>
        <v>TOR</v>
      </c>
      <c r="F486">
        <f>PasteBBM!U486</f>
        <v>16</v>
      </c>
      <c r="G486">
        <f>PasteBBM!X486</f>
        <v>7</v>
      </c>
      <c r="H486">
        <f>PasteBBM!AE486*PasteBBM!AF486</f>
        <v>0.9418743881</v>
      </c>
      <c r="I486">
        <f>PasteBBM!AE486</f>
        <v>0.426791</v>
      </c>
      <c r="J486">
        <f>PasteBBM!AG486*PasteBBM!AH486</f>
        <v>0.4362498744</v>
      </c>
      <c r="K486">
        <f>PasteBBM!AG486</f>
        <v>0.759521</v>
      </c>
      <c r="L486">
        <f>PasteBBM!Z486</f>
        <v>0.28625</v>
      </c>
      <c r="M486">
        <f>PasteBBM!Y486</f>
        <v>2.60625</v>
      </c>
      <c r="N486">
        <f>PasteBBM!AA486</f>
        <v>1.08125</v>
      </c>
      <c r="O486">
        <f>PasteBBM!AB486</f>
        <v>0.345625</v>
      </c>
      <c r="P486">
        <f>PasteBBM!AC486</f>
        <v>0.165</v>
      </c>
      <c r="Q486">
        <f>PasteBBM!AD486</f>
        <v>0.075</v>
      </c>
      <c r="R486">
        <f>PasteBBM!AI486</f>
        <v>0.300625</v>
      </c>
      <c r="S486">
        <f>PasteBBM!AE486</f>
        <v>0.426791</v>
      </c>
      <c r="T486">
        <f>PasteBBM!AG486</f>
        <v>0.759521</v>
      </c>
      <c r="V486" s="44">
        <v>-0.41709</v>
      </c>
      <c r="W486" s="44">
        <v>-0.00658</v>
      </c>
      <c r="X486" s="44">
        <v>0.009207</v>
      </c>
      <c r="Y486" s="44">
        <v>-0.4263</v>
      </c>
      <c r="Z486" s="44">
        <v>-0.34564</v>
      </c>
      <c r="AA486" s="45"/>
      <c r="AB486" s="46" t="s">
        <v>126</v>
      </c>
      <c r="AC486" s="44">
        <v>67.0</v>
      </c>
    </row>
    <row r="487">
      <c r="A487" s="2">
        <v>486.0</v>
      </c>
      <c r="B487" s="14">
        <f>IF(PasteBBM!B487="",156,PasteBBM!B487)</f>
        <v>156</v>
      </c>
      <c r="C487" t="str">
        <f>PasteBBM!I487</f>
        <v>Pacome Dadiet</v>
      </c>
      <c r="D487" t="str">
        <f>IFERROR(REPLACE(PasteBBM!K487,FIND("/",PasteBBM!K487,1),1,","),PasteBBM!K487)</f>
        <v>SG</v>
      </c>
      <c r="E487" t="str">
        <f>PasteBBM!J487</f>
        <v>NYK</v>
      </c>
      <c r="F487">
        <f>PasteBBM!U487</f>
        <v>16</v>
      </c>
      <c r="G487">
        <f>PasteBBM!X487</f>
        <v>8</v>
      </c>
      <c r="H487">
        <f>PasteBBM!AE487*PasteBBM!AF487</f>
        <v>0.7287506406</v>
      </c>
      <c r="I487">
        <f>PasteBBM!AE487</f>
        <v>0.350677</v>
      </c>
      <c r="J487">
        <f>PasteBBM!AG487*PasteBBM!AH487</f>
        <v>0.28749996</v>
      </c>
      <c r="K487">
        <f>PasteBBM!AG487</f>
        <v>0.727848</v>
      </c>
      <c r="L487">
        <f>PasteBBM!Z487</f>
        <v>0.45</v>
      </c>
      <c r="M487">
        <f>PasteBBM!Y487</f>
        <v>2.195</v>
      </c>
      <c r="N487">
        <f>PasteBBM!AA487</f>
        <v>1.120625</v>
      </c>
      <c r="O487">
        <f>PasteBBM!AB487</f>
        <v>0.335</v>
      </c>
      <c r="P487">
        <f>PasteBBM!AC487</f>
        <v>0.22875</v>
      </c>
      <c r="Q487">
        <f>PasteBBM!AD487</f>
        <v>0.078125</v>
      </c>
      <c r="R487">
        <f>PasteBBM!AI487</f>
        <v>0.339375</v>
      </c>
      <c r="S487">
        <f>PasteBBM!AE487</f>
        <v>0.350677</v>
      </c>
      <c r="T487">
        <f>PasteBBM!AG487</f>
        <v>0.727848</v>
      </c>
      <c r="V487" s="44">
        <v>-0.41709</v>
      </c>
      <c r="W487" s="44">
        <v>-0.00658</v>
      </c>
      <c r="X487" s="44">
        <v>0.009207</v>
      </c>
      <c r="Y487" s="44">
        <v>-0.4263</v>
      </c>
      <c r="Z487" s="44">
        <v>-0.34564</v>
      </c>
      <c r="AA487" s="45"/>
      <c r="AB487" s="46" t="s">
        <v>126</v>
      </c>
      <c r="AC487" s="44">
        <v>67.0</v>
      </c>
    </row>
    <row r="488">
      <c r="A488" s="2">
        <v>487.0</v>
      </c>
      <c r="B488" s="14">
        <f>IF(PasteBBM!B488="",156,PasteBBM!B488)</f>
        <v>156</v>
      </c>
      <c r="C488" t="str">
        <f>PasteBBM!I488</f>
        <v>Hunter Sallis</v>
      </c>
      <c r="D488" t="str">
        <f>IFERROR(REPLACE(PasteBBM!K488,FIND("/",PasteBBM!K488,1),1,","),PasteBBM!K488)</f>
        <v>SG</v>
      </c>
      <c r="E488" t="str">
        <f>PasteBBM!J488</f>
        <v>PHI</v>
      </c>
      <c r="F488">
        <f>PasteBBM!U488</f>
        <v>16</v>
      </c>
      <c r="G488">
        <f>PasteBBM!X488</f>
        <v>8</v>
      </c>
      <c r="H488">
        <f>PasteBBM!AE488*PasteBBM!AF488</f>
        <v>0.9393758438</v>
      </c>
      <c r="I488">
        <f>PasteBBM!AE488</f>
        <v>0.40241</v>
      </c>
      <c r="J488">
        <f>PasteBBM!AG488*PasteBBM!AH488</f>
        <v>0.32187498</v>
      </c>
      <c r="K488">
        <f>PasteBBM!AG488</f>
        <v>0.766369</v>
      </c>
      <c r="L488">
        <f>PasteBBM!Z488</f>
        <v>0.336875</v>
      </c>
      <c r="M488">
        <f>PasteBBM!Y488</f>
        <v>2.5375</v>
      </c>
      <c r="N488">
        <f>PasteBBM!AA488</f>
        <v>0.983125</v>
      </c>
      <c r="O488">
        <f>PasteBBM!AB488</f>
        <v>0.5</v>
      </c>
      <c r="P488">
        <f>PasteBBM!AC488</f>
        <v>0.233125</v>
      </c>
      <c r="Q488">
        <f>PasteBBM!AD488</f>
        <v>0.1</v>
      </c>
      <c r="R488">
        <f>PasteBBM!AI488</f>
        <v>0.5</v>
      </c>
      <c r="S488">
        <f>PasteBBM!AE488</f>
        <v>0.40241</v>
      </c>
      <c r="T488">
        <f>PasteBBM!AG488</f>
        <v>0.766369</v>
      </c>
      <c r="V488" s="44">
        <v>-0.41709</v>
      </c>
      <c r="W488" s="44">
        <v>-0.00658</v>
      </c>
      <c r="X488" s="44">
        <v>0.009207</v>
      </c>
      <c r="Y488" s="44">
        <v>-0.4263</v>
      </c>
      <c r="Z488" s="44">
        <v>-0.34564</v>
      </c>
      <c r="AA488" s="45"/>
      <c r="AB488" s="46" t="s">
        <v>126</v>
      </c>
      <c r="AC488" s="44">
        <v>67.0</v>
      </c>
    </row>
    <row r="489">
      <c r="A489" s="2">
        <v>488.0</v>
      </c>
      <c r="B489" s="14">
        <f>IF(PasteBBM!B489="",156,PasteBBM!B489)</f>
        <v>156</v>
      </c>
      <c r="C489" t="str">
        <f>PasteBBM!I489</f>
        <v>J.D. Davison</v>
      </c>
      <c r="D489" t="str">
        <f>IFERROR(REPLACE(PasteBBM!K489,FIND("/",PasteBBM!K489,1),1,","),PasteBBM!K489)</f>
        <v>PG</v>
      </c>
      <c r="E489" t="str">
        <f>PasteBBM!J489</f>
        <v>HOU</v>
      </c>
      <c r="F489">
        <f>PasteBBM!U489</f>
        <v>16</v>
      </c>
      <c r="G489">
        <f>PasteBBM!X489</f>
        <v>6</v>
      </c>
      <c r="H489">
        <f>PasteBBM!AE489*PasteBBM!AF489</f>
        <v>0.8643739444</v>
      </c>
      <c r="I489">
        <f>PasteBBM!AE489</f>
        <v>0.380049</v>
      </c>
      <c r="J489">
        <f>PasteBBM!AG489*PasteBBM!AH489</f>
        <v>0.2775001538</v>
      </c>
      <c r="K489">
        <f>PasteBBM!AG489</f>
        <v>0.718447</v>
      </c>
      <c r="L489">
        <f>PasteBBM!Z489</f>
        <v>0.394375</v>
      </c>
      <c r="M489">
        <f>PasteBBM!Y489</f>
        <v>2.400625</v>
      </c>
      <c r="N489">
        <f>PasteBBM!AA489</f>
        <v>0.88375</v>
      </c>
      <c r="O489">
        <f>PasteBBM!AB489</f>
        <v>0.995625</v>
      </c>
      <c r="P489">
        <f>PasteBBM!AC489</f>
        <v>0.20625</v>
      </c>
      <c r="Q489">
        <f>PasteBBM!AD489</f>
        <v>0.08875</v>
      </c>
      <c r="R489">
        <f>PasteBBM!AI489</f>
        <v>0.509375</v>
      </c>
      <c r="S489">
        <f>PasteBBM!AE489</f>
        <v>0.380049</v>
      </c>
      <c r="T489">
        <f>PasteBBM!AG489</f>
        <v>0.718447</v>
      </c>
      <c r="V489" s="44">
        <v>-0.41709</v>
      </c>
      <c r="W489" s="44">
        <v>-0.00658</v>
      </c>
      <c r="X489" s="44">
        <v>0.009207</v>
      </c>
      <c r="Y489" s="44">
        <v>-0.4263</v>
      </c>
      <c r="Z489" s="44">
        <v>-0.34564</v>
      </c>
      <c r="AA489" s="45"/>
      <c r="AB489" s="46" t="s">
        <v>126</v>
      </c>
      <c r="AC489" s="44">
        <v>67.0</v>
      </c>
    </row>
    <row r="490">
      <c r="A490" s="2">
        <v>489.0</v>
      </c>
      <c r="B490" s="14">
        <f>IF(PasteBBM!B490="",156,PasteBBM!B490)</f>
        <v>156</v>
      </c>
      <c r="C490" t="str">
        <f>PasteBBM!I490</f>
        <v>Thanasis Antetokounmpo</v>
      </c>
      <c r="D490" t="str">
        <f>IFERROR(REPLACE(PasteBBM!K490,FIND("/",PasteBBM!K490,1),1,","),PasteBBM!K490)</f>
        <v>SF</v>
      </c>
      <c r="E490" t="str">
        <f>PasteBBM!J490</f>
        <v>MIL</v>
      </c>
      <c r="F490">
        <f>PasteBBM!U490</f>
        <v>46</v>
      </c>
      <c r="G490">
        <f>PasteBBM!X490</f>
        <v>7</v>
      </c>
      <c r="H490">
        <f>PasteBBM!AE490*PasteBBM!AF490</f>
        <v>0.8010871752</v>
      </c>
      <c r="I490">
        <f>PasteBBM!AE490</f>
        <v>0.549017</v>
      </c>
      <c r="J490">
        <f>PasteBBM!AG490*PasteBBM!AH490</f>
        <v>0.2923914</v>
      </c>
      <c r="K490">
        <f>PasteBBM!AG490</f>
        <v>0.556936</v>
      </c>
      <c r="L490">
        <f>PasteBBM!Z490</f>
        <v>0.015217</v>
      </c>
      <c r="M490">
        <f>PasteBBM!Y490</f>
        <v>1.909783</v>
      </c>
      <c r="N490">
        <f>PasteBBM!AA490</f>
        <v>1.472826</v>
      </c>
      <c r="O490">
        <f>PasteBBM!AB490</f>
        <v>0.486087</v>
      </c>
      <c r="P490">
        <f>PasteBBM!AC490</f>
        <v>0.235652</v>
      </c>
      <c r="Q490">
        <f>PasteBBM!AD490</f>
        <v>0.147391</v>
      </c>
      <c r="R490">
        <f>PasteBBM!AI490</f>
        <v>0.471304</v>
      </c>
      <c r="S490">
        <f>PasteBBM!AE490</f>
        <v>0.549017</v>
      </c>
      <c r="T490">
        <f>PasteBBM!AG490</f>
        <v>0.556936</v>
      </c>
      <c r="V490" s="44">
        <v>-0.41709</v>
      </c>
      <c r="W490" s="44">
        <v>-0.00658</v>
      </c>
      <c r="X490" s="44">
        <v>0.009207</v>
      </c>
      <c r="Y490" s="44">
        <v>-0.4263</v>
      </c>
      <c r="Z490" s="44">
        <v>-0.34564</v>
      </c>
      <c r="AA490" s="45"/>
      <c r="AB490" s="46" t="s">
        <v>126</v>
      </c>
      <c r="AC490" s="44">
        <v>67.0</v>
      </c>
    </row>
    <row r="491">
      <c r="A491" s="2">
        <v>490.0</v>
      </c>
      <c r="B491" s="14">
        <f>IF(PasteBBM!B491="",156,PasteBBM!B491)</f>
        <v>156</v>
      </c>
      <c r="C491" t="str">
        <f>PasteBBM!I491</f>
        <v>Sharife Cooper</v>
      </c>
      <c r="D491" t="str">
        <f>IFERROR(REPLACE(PasteBBM!K491,FIND("/",PasteBBM!K491,1),1,","),PasteBBM!K491)</f>
        <v>PG</v>
      </c>
      <c r="E491" t="str">
        <f>PasteBBM!J491</f>
        <v>WAS</v>
      </c>
      <c r="F491">
        <f>PasteBBM!U491</f>
        <v>16</v>
      </c>
      <c r="G491">
        <f>PasteBBM!X491</f>
        <v>7</v>
      </c>
      <c r="H491">
        <f>PasteBBM!AE491*PasteBBM!AF491</f>
        <v>1.074374045</v>
      </c>
      <c r="I491">
        <f>PasteBBM!AE491</f>
        <v>0.391304</v>
      </c>
      <c r="J491">
        <f>PasteBBM!AG491*PasteBBM!AH491</f>
        <v>0.7043751038</v>
      </c>
      <c r="K491">
        <f>PasteBBM!AG491</f>
        <v>0.750333</v>
      </c>
      <c r="L491">
        <f>PasteBBM!Z491</f>
        <v>0.29875</v>
      </c>
      <c r="M491">
        <f>PasteBBM!Y491</f>
        <v>3.151875</v>
      </c>
      <c r="N491">
        <f>PasteBBM!AA491</f>
        <v>0.874375</v>
      </c>
      <c r="O491">
        <f>PasteBBM!AB491</f>
        <v>1.629375</v>
      </c>
      <c r="P491">
        <f>PasteBBM!AC491</f>
        <v>0.185</v>
      </c>
      <c r="Q491">
        <f>PasteBBM!AD491</f>
        <v>0.056875</v>
      </c>
      <c r="R491">
        <f>PasteBBM!AI491</f>
        <v>0.64625</v>
      </c>
      <c r="S491">
        <f>PasteBBM!AE491</f>
        <v>0.391304</v>
      </c>
      <c r="T491">
        <f>PasteBBM!AG491</f>
        <v>0.750333</v>
      </c>
      <c r="V491" s="44">
        <v>-0.41709</v>
      </c>
      <c r="W491" s="44">
        <v>-0.00658</v>
      </c>
      <c r="X491" s="44">
        <v>0.009207</v>
      </c>
      <c r="Y491" s="44">
        <v>-0.4263</v>
      </c>
      <c r="Z491" s="44">
        <v>-0.34564</v>
      </c>
      <c r="AA491" s="45"/>
      <c r="AB491" s="46" t="s">
        <v>126</v>
      </c>
      <c r="AC491" s="44">
        <v>67.0</v>
      </c>
    </row>
    <row r="492">
      <c r="A492" s="2">
        <v>491.0</v>
      </c>
      <c r="B492" s="14">
        <f>IF(PasteBBM!B492="",156,PasteBBM!B492)</f>
        <v>156</v>
      </c>
      <c r="C492" t="str">
        <f>PasteBBM!I492</f>
        <v>Spencer Jones</v>
      </c>
      <c r="D492" t="str">
        <f>IFERROR(REPLACE(PasteBBM!K492,FIND("/",PasteBBM!K492,1),1,","),PasteBBM!K492)</f>
        <v>SF</v>
      </c>
      <c r="E492" t="str">
        <f>PasteBBM!J492</f>
        <v>DEN</v>
      </c>
      <c r="F492">
        <f>PasteBBM!U492</f>
        <v>16</v>
      </c>
      <c r="G492">
        <f>PasteBBM!X492</f>
        <v>6</v>
      </c>
      <c r="H492">
        <f>PasteBBM!AE492*PasteBBM!AF492</f>
        <v>0.7356252656</v>
      </c>
      <c r="I492">
        <f>PasteBBM!AE492</f>
        <v>0.394305</v>
      </c>
      <c r="J492">
        <f>PasteBBM!AG492*PasteBBM!AH492</f>
        <v>0.16375002</v>
      </c>
      <c r="K492">
        <f>PasteBBM!AG492</f>
        <v>0.761628</v>
      </c>
      <c r="L492">
        <f>PasteBBM!Z492</f>
        <v>0.184375</v>
      </c>
      <c r="M492">
        <f>PasteBBM!Y492</f>
        <v>1.819375</v>
      </c>
      <c r="N492">
        <f>PasteBBM!AA492</f>
        <v>0.808125</v>
      </c>
      <c r="O492">
        <f>PasteBBM!AB492</f>
        <v>0.27125</v>
      </c>
      <c r="P492">
        <f>PasteBBM!AC492</f>
        <v>0.1975</v>
      </c>
      <c r="Q492">
        <f>PasteBBM!AD492</f>
        <v>0.134375</v>
      </c>
      <c r="R492">
        <f>PasteBBM!AI492</f>
        <v>0.229375</v>
      </c>
      <c r="S492">
        <f>PasteBBM!AE492</f>
        <v>0.394305</v>
      </c>
      <c r="T492">
        <f>PasteBBM!AG492</f>
        <v>0.761628</v>
      </c>
      <c r="V492" s="44">
        <v>-0.41709</v>
      </c>
      <c r="W492" s="44">
        <v>-0.00658</v>
      </c>
      <c r="X492" s="44">
        <v>0.009207</v>
      </c>
      <c r="Y492" s="44">
        <v>-0.4263</v>
      </c>
      <c r="Z492" s="44">
        <v>-0.34564</v>
      </c>
      <c r="AA492" s="45"/>
      <c r="AB492" s="46" t="s">
        <v>126</v>
      </c>
      <c r="AC492" s="44">
        <v>67.0</v>
      </c>
    </row>
    <row r="493">
      <c r="A493" s="2">
        <v>492.0</v>
      </c>
      <c r="B493" s="14">
        <f>IF(PasteBBM!B493="",156,PasteBBM!B493)</f>
        <v>156</v>
      </c>
      <c r="C493" t="str">
        <f>PasteBBM!I493</f>
        <v>Tamar Bates</v>
      </c>
      <c r="D493" t="str">
        <f>IFERROR(REPLACE(PasteBBM!K493,FIND("/",PasteBBM!K493,1),1,","),PasteBBM!K493)</f>
        <v>PG,SG</v>
      </c>
      <c r="E493" t="str">
        <f>PasteBBM!J493</f>
        <v>DEN</v>
      </c>
      <c r="F493">
        <f>PasteBBM!U493</f>
        <v>16</v>
      </c>
      <c r="G493">
        <f>PasteBBM!X493</f>
        <v>6</v>
      </c>
      <c r="H493">
        <f>PasteBBM!AE493*PasteBBM!AF493</f>
        <v>0.8299991456</v>
      </c>
      <c r="I493">
        <f>PasteBBM!AE493</f>
        <v>0.415389</v>
      </c>
      <c r="J493">
        <f>PasteBBM!AG493*PasteBBM!AH493</f>
        <v>0.2731250288</v>
      </c>
      <c r="K493">
        <f>PasteBBM!AG493</f>
        <v>0.855186</v>
      </c>
      <c r="L493">
        <f>PasteBBM!Z493</f>
        <v>0.353125</v>
      </c>
      <c r="M493">
        <f>PasteBBM!Y493</f>
        <v>2.28625</v>
      </c>
      <c r="N493">
        <f>PasteBBM!AA493</f>
        <v>0.580625</v>
      </c>
      <c r="O493">
        <f>PasteBBM!AB493</f>
        <v>0.303125</v>
      </c>
      <c r="P493">
        <f>PasteBBM!AC493</f>
        <v>0.164375</v>
      </c>
      <c r="Q493">
        <f>PasteBBM!AD493</f>
        <v>0.038125</v>
      </c>
      <c r="R493">
        <f>PasteBBM!AI493</f>
        <v>0.2525</v>
      </c>
      <c r="S493">
        <f>PasteBBM!AE493</f>
        <v>0.415389</v>
      </c>
      <c r="T493">
        <f>PasteBBM!AG493</f>
        <v>0.855186</v>
      </c>
      <c r="V493" s="44">
        <v>-0.41709</v>
      </c>
      <c r="W493" s="44">
        <v>-0.00658</v>
      </c>
      <c r="X493" s="44">
        <v>0.009207</v>
      </c>
      <c r="Y493" s="44">
        <v>-0.4263</v>
      </c>
      <c r="Z493" s="44">
        <v>-0.34564</v>
      </c>
      <c r="AA493" s="45"/>
      <c r="AB493" s="46" t="s">
        <v>126</v>
      </c>
      <c r="AC493" s="44">
        <v>67.0</v>
      </c>
    </row>
    <row r="494">
      <c r="A494" s="2">
        <v>493.0</v>
      </c>
      <c r="B494" s="14">
        <f>IF(PasteBBM!B494="",156,PasteBBM!B494)</f>
        <v>156</v>
      </c>
      <c r="C494" t="str">
        <f>PasteBBM!I494</f>
        <v>Hunter Dickinson</v>
      </c>
      <c r="D494" t="str">
        <f>IFERROR(REPLACE(PasteBBM!K494,FIND("/",PasteBBM!K494,1),1,","),PasteBBM!K494)</f>
        <v>C</v>
      </c>
      <c r="E494" t="str">
        <f>PasteBBM!J494</f>
        <v>NOR</v>
      </c>
      <c r="F494">
        <f>PasteBBM!U494</f>
        <v>16</v>
      </c>
      <c r="G494">
        <f>PasteBBM!X494</f>
        <v>5</v>
      </c>
      <c r="H494">
        <f>PasteBBM!AE494*PasteBBM!AF494</f>
        <v>0.8256241819</v>
      </c>
      <c r="I494">
        <f>PasteBBM!AE494</f>
        <v>0.489803</v>
      </c>
      <c r="J494">
        <f>PasteBBM!AG494*PasteBBM!AH494</f>
        <v>0.23312512</v>
      </c>
      <c r="K494">
        <f>PasteBBM!AG494</f>
        <v>0.728516</v>
      </c>
      <c r="L494">
        <f>PasteBBM!Z494</f>
        <v>0.06</v>
      </c>
      <c r="M494">
        <f>PasteBBM!Y494</f>
        <v>1.944375</v>
      </c>
      <c r="N494">
        <f>PasteBBM!AA494</f>
        <v>1.28375</v>
      </c>
      <c r="O494">
        <f>PasteBBM!AB494</f>
        <v>0.23125</v>
      </c>
      <c r="P494">
        <f>PasteBBM!AC494</f>
        <v>0.115625</v>
      </c>
      <c r="Q494">
        <f>PasteBBM!AD494</f>
        <v>0.1575</v>
      </c>
      <c r="R494">
        <f>PasteBBM!AI494</f>
        <v>0.315625</v>
      </c>
      <c r="S494">
        <f>PasteBBM!AE494</f>
        <v>0.489803</v>
      </c>
      <c r="T494">
        <f>PasteBBM!AG494</f>
        <v>0.728516</v>
      </c>
      <c r="V494" s="44">
        <v>-0.41709</v>
      </c>
      <c r="W494" s="44">
        <v>-0.00658</v>
      </c>
      <c r="X494" s="44">
        <v>0.009207</v>
      </c>
      <c r="Y494" s="44">
        <v>-0.4263</v>
      </c>
      <c r="Z494" s="44">
        <v>-0.34564</v>
      </c>
      <c r="AA494" s="45"/>
      <c r="AB494" s="46" t="s">
        <v>126</v>
      </c>
      <c r="AC494" s="44">
        <v>67.0</v>
      </c>
    </row>
    <row r="495">
      <c r="A495" s="2">
        <v>494.0</v>
      </c>
      <c r="B495" s="14">
        <f>IF(PasteBBM!B495="",156,PasteBBM!B495)</f>
        <v>156</v>
      </c>
      <c r="C495" t="str">
        <f>PasteBBM!I495</f>
        <v>Nick Smith Jr.</v>
      </c>
      <c r="D495" t="str">
        <f>IFERROR(REPLACE(PasteBBM!K495,FIND("/",PasteBBM!K495,1),1,","),PasteBBM!K495)</f>
        <v>SG</v>
      </c>
      <c r="E495" t="str">
        <f>PasteBBM!J495</f>
        <v>LAL</v>
      </c>
      <c r="F495">
        <f>PasteBBM!U495</f>
        <v>16</v>
      </c>
      <c r="G495">
        <f>PasteBBM!X495</f>
        <v>10</v>
      </c>
      <c r="H495">
        <f>PasteBBM!AE495*PasteBBM!AF495</f>
        <v>1.448123972</v>
      </c>
      <c r="I495">
        <f>PasteBBM!AE495</f>
        <v>0.389739</v>
      </c>
      <c r="J495">
        <f>PasteBBM!AG495*PasteBBM!AH495</f>
        <v>0.2349999038</v>
      </c>
      <c r="K495">
        <f>PasteBBM!AG495</f>
        <v>0.935323</v>
      </c>
      <c r="L495">
        <f>PasteBBM!Z495</f>
        <v>0.681875</v>
      </c>
      <c r="M495">
        <f>PasteBBM!Y495</f>
        <v>3.813125</v>
      </c>
      <c r="N495">
        <f>PasteBBM!AA495</f>
        <v>0.898125</v>
      </c>
      <c r="O495">
        <f>PasteBBM!AB495</f>
        <v>0.77875</v>
      </c>
      <c r="P495">
        <f>PasteBBM!AC495</f>
        <v>0.0925</v>
      </c>
      <c r="Q495">
        <f>PasteBBM!AD495</f>
        <v>0.043125</v>
      </c>
      <c r="R495">
        <f>PasteBBM!AI495</f>
        <v>0.621875</v>
      </c>
      <c r="S495">
        <f>PasteBBM!AE495</f>
        <v>0.389739</v>
      </c>
      <c r="T495">
        <f>PasteBBM!AG495</f>
        <v>0.935323</v>
      </c>
      <c r="V495" s="44">
        <v>-0.41709</v>
      </c>
      <c r="W495" s="44">
        <v>-0.00658</v>
      </c>
      <c r="X495" s="44">
        <v>0.009207</v>
      </c>
      <c r="Y495" s="44">
        <v>-0.4263</v>
      </c>
      <c r="Z495" s="44">
        <v>-0.34564</v>
      </c>
      <c r="AA495" s="45"/>
      <c r="AB495" s="46" t="s">
        <v>126</v>
      </c>
      <c r="AC495" s="44">
        <v>67.0</v>
      </c>
    </row>
    <row r="496">
      <c r="A496" s="2">
        <v>495.0</v>
      </c>
      <c r="B496" s="14">
        <f>IF(PasteBBM!B496="",156,PasteBBM!B496)</f>
        <v>156</v>
      </c>
      <c r="C496" t="str">
        <f>PasteBBM!I496</f>
        <v>Isaiah Stevens</v>
      </c>
      <c r="D496" t="str">
        <f>IFERROR(REPLACE(PasteBBM!K496,FIND("/",PasteBBM!K496,1),1,","),PasteBBM!K496)</f>
        <v>PG</v>
      </c>
      <c r="E496" t="str">
        <f>PasteBBM!J496</f>
        <v>SAC</v>
      </c>
      <c r="F496">
        <f>PasteBBM!U496</f>
        <v>16</v>
      </c>
      <c r="G496">
        <f>PasteBBM!X496</f>
        <v>5</v>
      </c>
      <c r="H496">
        <f>PasteBBM!AE496*PasteBBM!AF496</f>
        <v>0.6993756188</v>
      </c>
      <c r="I496">
        <f>PasteBBM!AE496</f>
        <v>0.432715</v>
      </c>
      <c r="J496">
        <f>PasteBBM!AG496*PasteBBM!AH496</f>
        <v>0.2193750925</v>
      </c>
      <c r="K496">
        <f>PasteBBM!AG496</f>
        <v>0.803204</v>
      </c>
      <c r="L496">
        <f>PasteBBM!Z496</f>
        <v>0.28875</v>
      </c>
      <c r="M496">
        <f>PasteBBM!Y496</f>
        <v>1.906875</v>
      </c>
      <c r="N496">
        <f>PasteBBM!AA496</f>
        <v>0.485</v>
      </c>
      <c r="O496">
        <f>PasteBBM!AB496</f>
        <v>0.7525</v>
      </c>
      <c r="P496">
        <f>PasteBBM!AC496</f>
        <v>0.136875</v>
      </c>
      <c r="Q496">
        <f>PasteBBM!AD496</f>
        <v>0.03</v>
      </c>
      <c r="R496">
        <f>PasteBBM!AI496</f>
        <v>0.250625</v>
      </c>
      <c r="S496">
        <f>PasteBBM!AE496</f>
        <v>0.432715</v>
      </c>
      <c r="T496">
        <f>PasteBBM!AG496</f>
        <v>0.803204</v>
      </c>
      <c r="V496" s="44">
        <v>-0.41709</v>
      </c>
      <c r="W496" s="44">
        <v>-0.00658</v>
      </c>
      <c r="X496" s="44">
        <v>0.009207</v>
      </c>
      <c r="Y496" s="44">
        <v>-0.4263</v>
      </c>
      <c r="Z496" s="44">
        <v>-0.34564</v>
      </c>
      <c r="AA496" s="45"/>
      <c r="AB496" s="46" t="s">
        <v>126</v>
      </c>
      <c r="AC496" s="44">
        <v>67.0</v>
      </c>
    </row>
    <row r="497">
      <c r="A497" s="2">
        <v>496.0</v>
      </c>
      <c r="B497" s="14">
        <f>IF(PasteBBM!B497="",156,PasteBBM!B497)</f>
        <v>156</v>
      </c>
      <c r="C497" t="str">
        <f>PasteBBM!I497</f>
        <v>Chris Livingston</v>
      </c>
      <c r="D497" t="str">
        <f>IFERROR(REPLACE(PasteBBM!K497,FIND("/",PasteBBM!K497,1),1,","),PasteBBM!K497)</f>
        <v>SF</v>
      </c>
      <c r="E497" t="str">
        <f>PasteBBM!J497</f>
        <v>MIL</v>
      </c>
      <c r="F497">
        <f>PasteBBM!U497</f>
        <v>16</v>
      </c>
      <c r="G497">
        <f>PasteBBM!X497</f>
        <v>6</v>
      </c>
      <c r="H497">
        <f>PasteBBM!AE497*PasteBBM!AF497</f>
        <v>0.7199993925</v>
      </c>
      <c r="I497">
        <f>PasteBBM!AE497</f>
        <v>0.445131</v>
      </c>
      <c r="J497">
        <f>PasteBBM!AG497*PasteBBM!AH497</f>
        <v>0.2925</v>
      </c>
      <c r="K497">
        <f>PasteBBM!AG497</f>
        <v>0.73125</v>
      </c>
      <c r="L497">
        <f>PasteBBM!Z497</f>
        <v>0.1025</v>
      </c>
      <c r="M497">
        <f>PasteBBM!Y497</f>
        <v>1.835</v>
      </c>
      <c r="N497">
        <f>PasteBBM!AA497</f>
        <v>1.515</v>
      </c>
      <c r="O497">
        <f>PasteBBM!AB497</f>
        <v>0.303125</v>
      </c>
      <c r="P497">
        <f>PasteBBM!AC497</f>
        <v>0.149375</v>
      </c>
      <c r="Q497">
        <f>PasteBBM!AD497</f>
        <v>0.055625</v>
      </c>
      <c r="R497">
        <f>PasteBBM!AI497</f>
        <v>0.290625</v>
      </c>
      <c r="S497">
        <f>PasteBBM!AE497</f>
        <v>0.445131</v>
      </c>
      <c r="T497">
        <f>PasteBBM!AG497</f>
        <v>0.73125</v>
      </c>
      <c r="V497" s="44">
        <v>-0.41709</v>
      </c>
      <c r="W497" s="44">
        <v>-0.00658</v>
      </c>
      <c r="X497" s="44">
        <v>0.009207</v>
      </c>
      <c r="Y497" s="44">
        <v>-0.4263</v>
      </c>
      <c r="Z497" s="44">
        <v>-0.34564</v>
      </c>
      <c r="AA497" s="45"/>
      <c r="AB497" s="46" t="s">
        <v>126</v>
      </c>
      <c r="AC497" s="44">
        <v>67.0</v>
      </c>
    </row>
    <row r="498">
      <c r="A498" s="2">
        <v>497.0</v>
      </c>
      <c r="B498" s="14">
        <f>IF(PasteBBM!B498="",156,PasteBBM!B498)</f>
        <v>156</v>
      </c>
      <c r="C498" t="str">
        <f>PasteBBM!I498</f>
        <v>Harrison Ingram</v>
      </c>
      <c r="D498" t="str">
        <f>IFERROR(REPLACE(PasteBBM!K498,FIND("/",PasteBBM!K498,1),1,","),PasteBBM!K498)</f>
        <v>SF</v>
      </c>
      <c r="E498" t="str">
        <f>PasteBBM!J498</f>
        <v>SAS</v>
      </c>
      <c r="F498">
        <f>PasteBBM!U498</f>
        <v>16</v>
      </c>
      <c r="G498">
        <f>PasteBBM!X498</f>
        <v>6</v>
      </c>
      <c r="H498">
        <f>PasteBBM!AE498*PasteBBM!AF498</f>
        <v>0.6218753344</v>
      </c>
      <c r="I498">
        <f>PasteBBM!AE498</f>
        <v>0.417191</v>
      </c>
      <c r="J498">
        <f>PasteBBM!AG498*PasteBBM!AH498</f>
        <v>0.1706250031</v>
      </c>
      <c r="K498">
        <f>PasteBBM!AG498</f>
        <v>0.630485</v>
      </c>
      <c r="L498">
        <f>PasteBBM!Z498</f>
        <v>0.16875</v>
      </c>
      <c r="M498">
        <f>PasteBBM!Y498</f>
        <v>1.583125</v>
      </c>
      <c r="N498">
        <f>PasteBBM!AA498</f>
        <v>1.263125</v>
      </c>
      <c r="O498">
        <f>PasteBBM!AB498</f>
        <v>0.3825</v>
      </c>
      <c r="P498">
        <f>PasteBBM!AC498</f>
        <v>0.19375</v>
      </c>
      <c r="Q498">
        <f>PasteBBM!AD498</f>
        <v>0.060625</v>
      </c>
      <c r="R498">
        <f>PasteBBM!AI498</f>
        <v>0.299375</v>
      </c>
      <c r="S498">
        <f>PasteBBM!AE498</f>
        <v>0.417191</v>
      </c>
      <c r="T498">
        <f>PasteBBM!AG498</f>
        <v>0.630485</v>
      </c>
      <c r="V498" s="44">
        <v>-0.41709</v>
      </c>
      <c r="W498" s="44">
        <v>-0.00658</v>
      </c>
      <c r="X498" s="44">
        <v>0.009207</v>
      </c>
      <c r="Y498" s="44">
        <v>-0.4263</v>
      </c>
      <c r="Z498" s="44">
        <v>-0.34564</v>
      </c>
      <c r="AA498" s="45"/>
      <c r="AB498" s="46" t="s">
        <v>126</v>
      </c>
      <c r="AC498" s="44">
        <v>67.0</v>
      </c>
    </row>
    <row r="499">
      <c r="A499" s="2">
        <v>498.0</v>
      </c>
      <c r="B499" s="14">
        <f>IF(PasteBBM!B499="",156,PasteBBM!B499)</f>
        <v>156</v>
      </c>
      <c r="C499" t="str">
        <f>PasteBBM!I499</f>
        <v>Tristen Newton</v>
      </c>
      <c r="D499" t="str">
        <f>IFERROR(REPLACE(PasteBBM!K499,FIND("/",PasteBBM!K499,1),1,","),PasteBBM!K499)</f>
        <v>SG</v>
      </c>
      <c r="E499" t="str">
        <f>PasteBBM!J499</f>
        <v>MIN</v>
      </c>
      <c r="F499">
        <f>PasteBBM!U499</f>
        <v>16</v>
      </c>
      <c r="G499">
        <f>PasteBBM!X499</f>
        <v>5</v>
      </c>
      <c r="H499">
        <f>PasteBBM!AE499*PasteBBM!AF499</f>
        <v>0.6212493</v>
      </c>
      <c r="I499">
        <f>PasteBBM!AE499</f>
        <v>0.394444</v>
      </c>
      <c r="J499">
        <f>PasteBBM!AG499*PasteBBM!AH499</f>
        <v>0.3737498875</v>
      </c>
      <c r="K499">
        <f>PasteBBM!AG499</f>
        <v>0.799465</v>
      </c>
      <c r="L499">
        <f>PasteBBM!Z499</f>
        <v>0.22875</v>
      </c>
      <c r="M499">
        <f>PasteBBM!Y499</f>
        <v>1.845</v>
      </c>
      <c r="N499">
        <f>PasteBBM!AA499</f>
        <v>0.731875</v>
      </c>
      <c r="O499">
        <f>PasteBBM!AB499</f>
        <v>0.739375</v>
      </c>
      <c r="P499">
        <f>PasteBBM!AC499</f>
        <v>0.1575</v>
      </c>
      <c r="Q499">
        <f>PasteBBM!AD499</f>
        <v>0.040625</v>
      </c>
      <c r="R499">
        <f>PasteBBM!AI499</f>
        <v>0.305625</v>
      </c>
      <c r="S499">
        <f>PasteBBM!AE499</f>
        <v>0.394444</v>
      </c>
      <c r="T499">
        <f>PasteBBM!AG499</f>
        <v>0.799465</v>
      </c>
      <c r="V499" s="44">
        <v>-0.41709</v>
      </c>
      <c r="W499" s="44">
        <v>-0.00658</v>
      </c>
      <c r="X499" s="44">
        <v>0.009207</v>
      </c>
      <c r="Y499" s="44">
        <v>-0.4263</v>
      </c>
      <c r="Z499" s="44">
        <v>-0.34564</v>
      </c>
      <c r="AA499" s="45"/>
      <c r="AB499" s="46" t="s">
        <v>126</v>
      </c>
      <c r="AC499" s="44">
        <v>67.0</v>
      </c>
    </row>
    <row r="500">
      <c r="A500" s="2">
        <v>499.0</v>
      </c>
      <c r="B500" s="14">
        <f>IF(PasteBBM!B500="",156,PasteBBM!B500)</f>
        <v>156</v>
      </c>
      <c r="C500" t="str">
        <f>PasteBBM!I500</f>
        <v>Daniss Jenkins</v>
      </c>
      <c r="D500" t="str">
        <f>IFERROR(REPLACE(PasteBBM!K500,FIND("/",PasteBBM!K500,1),1,","),PasteBBM!K500)</f>
        <v>PG</v>
      </c>
      <c r="E500" t="str">
        <f>PasteBBM!J500</f>
        <v>DET</v>
      </c>
      <c r="F500">
        <f>PasteBBM!U500</f>
        <v>16</v>
      </c>
      <c r="G500">
        <f>PasteBBM!X500</f>
        <v>5</v>
      </c>
      <c r="H500">
        <f>PasteBBM!AE500*PasteBBM!AF500</f>
        <v>0.6156249181</v>
      </c>
      <c r="I500">
        <f>PasteBBM!AE500</f>
        <v>0.385217</v>
      </c>
      <c r="J500">
        <f>PasteBBM!AG500*PasteBBM!AH500</f>
        <v>0.1699999331</v>
      </c>
      <c r="K500">
        <f>PasteBBM!AG500</f>
        <v>0.749311</v>
      </c>
      <c r="L500">
        <f>PasteBBM!Z500</f>
        <v>0.281875</v>
      </c>
      <c r="M500">
        <f>PasteBBM!Y500</f>
        <v>1.683125</v>
      </c>
      <c r="N500">
        <f>PasteBBM!AA500</f>
        <v>0.513125</v>
      </c>
      <c r="O500">
        <f>PasteBBM!AB500</f>
        <v>0.611875</v>
      </c>
      <c r="P500">
        <f>PasteBBM!AC500</f>
        <v>0.163125</v>
      </c>
      <c r="Q500">
        <f>PasteBBM!AD500</f>
        <v>0.07125</v>
      </c>
      <c r="R500">
        <f>PasteBBM!AI500</f>
        <v>0.25125</v>
      </c>
      <c r="S500">
        <f>PasteBBM!AE500</f>
        <v>0.385217</v>
      </c>
      <c r="T500">
        <f>PasteBBM!AG500</f>
        <v>0.749311</v>
      </c>
      <c r="V500" s="44">
        <v>-0.41709</v>
      </c>
      <c r="W500" s="44">
        <v>-0.00658</v>
      </c>
      <c r="X500" s="44">
        <v>0.009207</v>
      </c>
      <c r="Y500" s="44">
        <v>-0.4263</v>
      </c>
      <c r="Z500" s="44">
        <v>-0.34564</v>
      </c>
      <c r="AA500" s="45"/>
      <c r="AB500" s="46" t="s">
        <v>126</v>
      </c>
      <c r="AC500" s="44">
        <v>67.0</v>
      </c>
    </row>
    <row r="501">
      <c r="A501" s="2">
        <v>500.0</v>
      </c>
      <c r="B501" s="14">
        <f>IF(PasteBBM!B501="",156,PasteBBM!B501)</f>
        <v>156</v>
      </c>
      <c r="C501" t="str">
        <f>PasteBBM!I501</f>
        <v>Emanuel Miller</v>
      </c>
      <c r="D501" t="str">
        <f>IFERROR(REPLACE(PasteBBM!K501,FIND("/",PasteBBM!K501,1),1,","),PasteBBM!K501)</f>
        <v>PF</v>
      </c>
      <c r="E501" t="str">
        <f>PasteBBM!J501</f>
        <v>CHI</v>
      </c>
      <c r="F501">
        <f>PasteBBM!U501</f>
        <v>16</v>
      </c>
      <c r="G501">
        <f>PasteBBM!X501</f>
        <v>4</v>
      </c>
      <c r="H501">
        <f>PasteBBM!AE501*PasteBBM!AF501</f>
        <v>0.6687501438</v>
      </c>
      <c r="I501">
        <f>PasteBBM!AE501</f>
        <v>0.484163</v>
      </c>
      <c r="J501">
        <f>PasteBBM!AG501*PasteBBM!AH501</f>
        <v>0.23624985</v>
      </c>
      <c r="K501">
        <f>PasteBBM!AG501</f>
        <v>0.741176</v>
      </c>
      <c r="L501">
        <f>PasteBBM!Z501</f>
        <v>0.044375</v>
      </c>
      <c r="M501">
        <f>PasteBBM!Y501</f>
        <v>1.618125</v>
      </c>
      <c r="N501">
        <f>PasteBBM!AA501</f>
        <v>1.05</v>
      </c>
      <c r="O501">
        <f>PasteBBM!AB501</f>
        <v>0.230625</v>
      </c>
      <c r="P501">
        <f>PasteBBM!AC501</f>
        <v>0.14</v>
      </c>
      <c r="Q501">
        <f>PasteBBM!AD501</f>
        <v>0.050625</v>
      </c>
      <c r="R501">
        <f>PasteBBM!AI501</f>
        <v>0.18625</v>
      </c>
      <c r="S501">
        <f>PasteBBM!AE501</f>
        <v>0.484163</v>
      </c>
      <c r="T501">
        <f>PasteBBM!AG501</f>
        <v>0.741176</v>
      </c>
      <c r="V501" s="44">
        <v>-0.41709</v>
      </c>
      <c r="W501" s="44">
        <v>-0.00658</v>
      </c>
      <c r="X501" s="44">
        <v>0.009207</v>
      </c>
      <c r="Y501" s="44">
        <v>-0.4263</v>
      </c>
      <c r="Z501" s="44">
        <v>-0.34564</v>
      </c>
      <c r="AA501" s="45"/>
      <c r="AB501" s="46" t="s">
        <v>126</v>
      </c>
      <c r="AC501" s="44">
        <v>67.0</v>
      </c>
    </row>
    <row r="502">
      <c r="A502" s="2">
        <v>501.0</v>
      </c>
      <c r="B502" s="14">
        <f>IF(PasteBBM!B502="",156,PasteBBM!B502)</f>
        <v>156</v>
      </c>
      <c r="C502" t="str">
        <f>PasteBBM!I502</f>
        <v>Ulrich Chomche</v>
      </c>
      <c r="D502" t="str">
        <f>IFERROR(REPLACE(PasteBBM!K502,FIND("/",PasteBBM!K502,1),1,","),PasteBBM!K502)</f>
        <v>PF</v>
      </c>
      <c r="E502" t="str">
        <f>PasteBBM!J502</f>
        <v>TOR</v>
      </c>
      <c r="F502">
        <f>PasteBBM!U502</f>
        <v>9</v>
      </c>
      <c r="G502">
        <f>PasteBBM!X502</f>
        <v>4</v>
      </c>
      <c r="H502">
        <f>PasteBBM!AE502*PasteBBM!AF502</f>
        <v>0.3544444395</v>
      </c>
      <c r="I502">
        <f>PasteBBM!AE502</f>
        <v>0.418635</v>
      </c>
      <c r="J502">
        <f>PasteBBM!AG502*PasteBBM!AH502</f>
        <v>0.1088886256</v>
      </c>
      <c r="K502">
        <f>PasteBBM!AG502</f>
        <v>0.563218</v>
      </c>
      <c r="L502">
        <f>PasteBBM!Z502</f>
        <v>0.072222</v>
      </c>
      <c r="M502">
        <f>PasteBBM!Y502</f>
        <v>0.89</v>
      </c>
      <c r="N502">
        <f>PasteBBM!AA502</f>
        <v>1.217778</v>
      </c>
      <c r="O502">
        <f>PasteBBM!AB502</f>
        <v>0.232222</v>
      </c>
      <c r="P502">
        <f>PasteBBM!AC502</f>
        <v>0.147778</v>
      </c>
      <c r="Q502">
        <f>PasteBBM!AD502</f>
        <v>0.18</v>
      </c>
      <c r="R502">
        <f>PasteBBM!AI502</f>
        <v>0.257778</v>
      </c>
      <c r="S502">
        <f>PasteBBM!AE502</f>
        <v>0.418635</v>
      </c>
      <c r="T502">
        <f>PasteBBM!AG502</f>
        <v>0.563218</v>
      </c>
      <c r="V502" s="44">
        <v>-0.41709</v>
      </c>
      <c r="W502" s="44">
        <v>-0.00658</v>
      </c>
      <c r="X502" s="44">
        <v>0.009207</v>
      </c>
      <c r="Y502" s="44">
        <v>-0.4263</v>
      </c>
      <c r="Z502" s="44">
        <v>-0.34564</v>
      </c>
      <c r="AA502" s="45"/>
      <c r="AB502" s="46" t="s">
        <v>126</v>
      </c>
      <c r="AC502" s="44">
        <v>67.0</v>
      </c>
    </row>
    <row r="503">
      <c r="A503" s="2">
        <v>502.0</v>
      </c>
      <c r="B503" s="14">
        <f>IF(PasteBBM!B503="",156,PasteBBM!B503)</f>
        <v>156</v>
      </c>
      <c r="C503" t="str">
        <f>PasteBBM!I503</f>
        <v>Riley Minix</v>
      </c>
      <c r="D503" t="str">
        <f>IFERROR(REPLACE(PasteBBM!K503,FIND("/",PasteBBM!K503,1),1,","),PasteBBM!K503)</f>
        <v>SF</v>
      </c>
      <c r="E503" t="str">
        <f>PasteBBM!J503</f>
        <v>SAS</v>
      </c>
      <c r="F503">
        <f>PasteBBM!U503</f>
        <v>16</v>
      </c>
      <c r="G503">
        <f>PasteBBM!X503</f>
        <v>4</v>
      </c>
      <c r="H503">
        <f>PasteBBM!AE503*PasteBBM!AF503</f>
        <v>0.443125445</v>
      </c>
      <c r="I503">
        <f>PasteBBM!AE503</f>
        <v>0.446474</v>
      </c>
      <c r="J503">
        <f>PasteBBM!AG503*PasteBBM!AH503</f>
        <v>0.1562500406</v>
      </c>
      <c r="K503">
        <f>PasteBBM!AG503</f>
        <v>0.793651</v>
      </c>
      <c r="L503">
        <f>PasteBBM!Z503</f>
        <v>0.15375</v>
      </c>
      <c r="M503">
        <f>PasteBBM!Y503</f>
        <v>1.19625</v>
      </c>
      <c r="N503">
        <f>PasteBBM!AA503</f>
        <v>0.99625</v>
      </c>
      <c r="O503">
        <f>PasteBBM!AB503</f>
        <v>0.17</v>
      </c>
      <c r="P503">
        <f>PasteBBM!AC503</f>
        <v>0.12625</v>
      </c>
      <c r="Q503">
        <f>PasteBBM!AD503</f>
        <v>0.084375</v>
      </c>
      <c r="R503">
        <f>PasteBBM!AI503</f>
        <v>0.210625</v>
      </c>
      <c r="S503">
        <f>PasteBBM!AE503</f>
        <v>0.446474</v>
      </c>
      <c r="T503">
        <f>PasteBBM!AG503</f>
        <v>0.793651</v>
      </c>
      <c r="V503" s="44">
        <v>-0.41709</v>
      </c>
      <c r="W503" s="44">
        <v>-0.00658</v>
      </c>
      <c r="X503" s="44">
        <v>0.009207</v>
      </c>
      <c r="Y503" s="44">
        <v>-0.4263</v>
      </c>
      <c r="Z503" s="44">
        <v>-0.34564</v>
      </c>
      <c r="AA503" s="45"/>
      <c r="AB503" s="46" t="s">
        <v>126</v>
      </c>
      <c r="AC503" s="44">
        <v>67.0</v>
      </c>
    </row>
    <row r="504">
      <c r="A504" s="2">
        <v>503.0</v>
      </c>
      <c r="B504" s="14">
        <f>IF(PasteBBM!B504="",156,PasteBBM!B504)</f>
        <v>156</v>
      </c>
      <c r="C504" t="str">
        <f>PasteBBM!I504</f>
        <v>Myron Gardner</v>
      </c>
      <c r="D504" t="str">
        <f>IFERROR(REPLACE(PasteBBM!K504,FIND("/",PasteBBM!K504,1),1,","),PasteBBM!K504)</f>
        <v>SF</v>
      </c>
      <c r="E504" t="str">
        <f>PasteBBM!J504</f>
        <v>MIA</v>
      </c>
      <c r="F504">
        <f>PasteBBM!U504</f>
        <v>16</v>
      </c>
      <c r="G504">
        <f>PasteBBM!X504</f>
        <v>5</v>
      </c>
      <c r="H504">
        <f>PasteBBM!AE504*PasteBBM!AF504</f>
        <v>0.5962505706</v>
      </c>
      <c r="I504">
        <f>PasteBBM!AE504</f>
        <v>0.407867</v>
      </c>
      <c r="J504">
        <f>PasteBBM!AG504*PasteBBM!AH504</f>
        <v>0.2931251344</v>
      </c>
      <c r="K504">
        <f>PasteBBM!AG504</f>
        <v>0.743265</v>
      </c>
      <c r="L504">
        <f>PasteBBM!Z504</f>
        <v>0.186875</v>
      </c>
      <c r="M504">
        <f>PasteBBM!Y504</f>
        <v>1.6725</v>
      </c>
      <c r="N504">
        <f>PasteBBM!AA504</f>
        <v>1.1025</v>
      </c>
      <c r="O504">
        <f>PasteBBM!AB504</f>
        <v>0.408125</v>
      </c>
      <c r="P504">
        <f>PasteBBM!AC504</f>
        <v>0.153125</v>
      </c>
      <c r="Q504">
        <f>PasteBBM!AD504</f>
        <v>0.06125</v>
      </c>
      <c r="R504">
        <f>PasteBBM!AI504</f>
        <v>0.336875</v>
      </c>
      <c r="S504">
        <f>PasteBBM!AE504</f>
        <v>0.407867</v>
      </c>
      <c r="T504">
        <f>PasteBBM!AG504</f>
        <v>0.743265</v>
      </c>
      <c r="V504" s="44">
        <v>-0.41709</v>
      </c>
      <c r="W504" s="44">
        <v>-0.00658</v>
      </c>
      <c r="X504" s="44">
        <v>0.009207</v>
      </c>
      <c r="Y504" s="44">
        <v>-0.4263</v>
      </c>
      <c r="Z504" s="44">
        <v>-0.34564</v>
      </c>
      <c r="AA504" s="45"/>
      <c r="AB504" s="46" t="s">
        <v>126</v>
      </c>
      <c r="AC504" s="44">
        <v>67.0</v>
      </c>
    </row>
    <row r="505">
      <c r="A505" s="2">
        <v>504.0</v>
      </c>
      <c r="B505" s="14">
        <f>IF(PasteBBM!B505="",156,PasteBBM!B505)</f>
        <v>156</v>
      </c>
      <c r="C505" t="str">
        <f>PasteBBM!I505</f>
        <v>Isaiah Crawford</v>
      </c>
      <c r="D505" t="str">
        <f>IFERROR(REPLACE(PasteBBM!K505,FIND("/",PasteBBM!K505,1),1,","),PasteBBM!K505)</f>
        <v>SF</v>
      </c>
      <c r="E505" t="str">
        <f>PasteBBM!J505</f>
        <v>HOU</v>
      </c>
      <c r="F505">
        <f>PasteBBM!U505</f>
        <v>16</v>
      </c>
      <c r="G505">
        <f>PasteBBM!X505</f>
        <v>4</v>
      </c>
      <c r="H505">
        <f>PasteBBM!AE505*PasteBBM!AF505</f>
        <v>0.4662501525</v>
      </c>
      <c r="I505">
        <f>PasteBBM!AE505</f>
        <v>0.411246</v>
      </c>
      <c r="J505">
        <f>PasteBBM!AG505*PasteBBM!AH505</f>
        <v>0.2375001</v>
      </c>
      <c r="K505">
        <f>PasteBBM!AG505</f>
        <v>0.697248</v>
      </c>
      <c r="L505">
        <f>PasteBBM!Z505</f>
        <v>0.136875</v>
      </c>
      <c r="M505">
        <f>PasteBBM!Y505</f>
        <v>1.306875</v>
      </c>
      <c r="N505">
        <f>PasteBBM!AA505</f>
        <v>0.675625</v>
      </c>
      <c r="O505">
        <f>PasteBBM!AB505</f>
        <v>0.201875</v>
      </c>
      <c r="P505">
        <f>PasteBBM!AC505</f>
        <v>0.16375</v>
      </c>
      <c r="Q505">
        <f>PasteBBM!AD505</f>
        <v>0.12625</v>
      </c>
      <c r="R505">
        <f>PasteBBM!AI505</f>
        <v>0.168125</v>
      </c>
      <c r="S505">
        <f>PasteBBM!AE505</f>
        <v>0.411246</v>
      </c>
      <c r="T505">
        <f>PasteBBM!AG505</f>
        <v>0.697248</v>
      </c>
      <c r="V505" s="44">
        <v>-0.41709</v>
      </c>
      <c r="W505" s="44">
        <v>-0.00658</v>
      </c>
      <c r="X505" s="44">
        <v>0.009207</v>
      </c>
      <c r="Y505" s="44">
        <v>-0.4263</v>
      </c>
      <c r="Z505" s="44">
        <v>-0.34564</v>
      </c>
      <c r="AA505" s="45"/>
      <c r="AB505" s="46" t="s">
        <v>126</v>
      </c>
      <c r="AC505" s="44">
        <v>67.0</v>
      </c>
    </row>
    <row r="506">
      <c r="A506" s="2">
        <v>505.0</v>
      </c>
      <c r="B506" s="14">
        <f>IF(PasteBBM!B506="",156,PasteBBM!B506)</f>
        <v>156</v>
      </c>
      <c r="C506" t="str">
        <f>PasteBBM!I506</f>
        <v>Eli John Ndiaye</v>
      </c>
      <c r="D506" t="str">
        <f>IFERROR(REPLACE(PasteBBM!K506,FIND("/",PasteBBM!K506,1),1,","),PasteBBM!K506)</f>
        <v>PF</v>
      </c>
      <c r="E506" t="str">
        <f>PasteBBM!J506</f>
        <v>ATL</v>
      </c>
      <c r="F506">
        <f>PasteBBM!U506</f>
        <v>16</v>
      </c>
      <c r="G506">
        <f>PasteBBM!X506</f>
        <v>5</v>
      </c>
      <c r="H506">
        <f>PasteBBM!AE506*PasteBBM!AF506</f>
        <v>0.5549998506</v>
      </c>
      <c r="I506">
        <f>PasteBBM!AE506</f>
        <v>0.409783</v>
      </c>
      <c r="J506">
        <f>PasteBBM!AG506*PasteBBM!AH506</f>
        <v>0.2043749819</v>
      </c>
      <c r="K506">
        <f>PasteBBM!AG506</f>
        <v>0.580817</v>
      </c>
      <c r="L506">
        <f>PasteBBM!Z506</f>
        <v>0.203125</v>
      </c>
      <c r="M506">
        <f>PasteBBM!Y506</f>
        <v>1.5175</v>
      </c>
      <c r="N506">
        <f>PasteBBM!AA506</f>
        <v>0.920625</v>
      </c>
      <c r="O506">
        <f>PasteBBM!AB506</f>
        <v>0.184375</v>
      </c>
      <c r="P506">
        <f>PasteBBM!AC506</f>
        <v>0.151875</v>
      </c>
      <c r="Q506">
        <f>PasteBBM!AD506</f>
        <v>0.13</v>
      </c>
      <c r="R506">
        <f>PasteBBM!AI506</f>
        <v>0.173125</v>
      </c>
      <c r="S506">
        <f>PasteBBM!AE506</f>
        <v>0.409783</v>
      </c>
      <c r="T506">
        <f>PasteBBM!AG506</f>
        <v>0.580817</v>
      </c>
      <c r="V506" s="44">
        <v>-0.41709</v>
      </c>
      <c r="W506" s="44">
        <v>-0.00658</v>
      </c>
      <c r="X506" s="44">
        <v>0.009207</v>
      </c>
      <c r="Y506" s="44">
        <v>-0.4263</v>
      </c>
      <c r="Z506" s="44">
        <v>-0.34564</v>
      </c>
      <c r="AA506" s="45"/>
      <c r="AB506" s="46" t="s">
        <v>126</v>
      </c>
      <c r="AC506" s="44">
        <v>67.0</v>
      </c>
    </row>
    <row r="507">
      <c r="A507" s="2">
        <v>506.0</v>
      </c>
      <c r="B507" s="14">
        <f>IF(PasteBBM!B507="",156,PasteBBM!B507)</f>
        <v>156</v>
      </c>
      <c r="C507" t="str">
        <f>PasteBBM!I507</f>
        <v>Joe Ingles</v>
      </c>
      <c r="D507" t="str">
        <f>IFERROR(REPLACE(PasteBBM!K507,FIND("/",PasteBBM!K507,1),1,","),PasteBBM!K507)</f>
        <v>SF</v>
      </c>
      <c r="E507" t="str">
        <f>PasteBBM!J507</f>
        <v>MIN</v>
      </c>
      <c r="F507">
        <f>PasteBBM!U507</f>
        <v>16</v>
      </c>
      <c r="G507">
        <f>PasteBBM!X507</f>
        <v>6</v>
      </c>
      <c r="H507">
        <f>PasteBBM!AE507*PasteBBM!AF507</f>
        <v>0.50875</v>
      </c>
      <c r="I507">
        <f>PasteBBM!AE507</f>
        <v>0.407</v>
      </c>
      <c r="J507">
        <f>PasteBBM!AG507*PasteBBM!AH507</f>
        <v>0.04125</v>
      </c>
      <c r="K507">
        <f>PasteBBM!AG507</f>
        <v>0.825</v>
      </c>
      <c r="L507">
        <f>PasteBBM!Z507</f>
        <v>0.338125</v>
      </c>
      <c r="M507">
        <f>PasteBBM!Y507</f>
        <v>1.396875</v>
      </c>
      <c r="N507">
        <f>PasteBBM!AA507</f>
        <v>0.544375</v>
      </c>
      <c r="O507">
        <f>PasteBBM!AB507</f>
        <v>1.026875</v>
      </c>
      <c r="P507">
        <f>PasteBBM!AC507</f>
        <v>0.12375</v>
      </c>
      <c r="Q507">
        <f>PasteBBM!AD507</f>
        <v>0.025625</v>
      </c>
      <c r="R507">
        <f>PasteBBM!AI507</f>
        <v>0.445625</v>
      </c>
      <c r="S507">
        <f>PasteBBM!AE507</f>
        <v>0.407</v>
      </c>
      <c r="T507">
        <f>PasteBBM!AG507</f>
        <v>0.825</v>
      </c>
      <c r="V507" s="44">
        <v>-0.41709</v>
      </c>
      <c r="W507" s="44">
        <v>-0.00658</v>
      </c>
      <c r="X507" s="44">
        <v>0.009207</v>
      </c>
      <c r="Y507" s="44">
        <v>-0.4263</v>
      </c>
      <c r="Z507" s="44">
        <v>-0.34564</v>
      </c>
      <c r="AA507" s="45"/>
      <c r="AB507" s="46" t="s">
        <v>126</v>
      </c>
      <c r="AC507" s="44">
        <v>67.0</v>
      </c>
    </row>
    <row r="508">
      <c r="A508" s="2">
        <v>507.0</v>
      </c>
      <c r="B508" s="14">
        <f>IF(PasteBBM!B508="",156,PasteBBM!B508)</f>
        <v>156</v>
      </c>
      <c r="C508" t="str">
        <f>PasteBBM!I508</f>
        <v>Yuki Kawamura</v>
      </c>
      <c r="D508" t="str">
        <f>IFERROR(REPLACE(PasteBBM!K508,FIND("/",PasteBBM!K508,1),1,","),PasteBBM!K508)</f>
        <v>PG</v>
      </c>
      <c r="E508" t="str">
        <f>PasteBBM!J508</f>
        <v>CHI</v>
      </c>
      <c r="F508">
        <f>PasteBBM!U508</f>
        <v>16</v>
      </c>
      <c r="G508">
        <f>PasteBBM!X508</f>
        <v>4</v>
      </c>
      <c r="H508">
        <f>PasteBBM!AE508*PasteBBM!AF508</f>
        <v>0.3887505825</v>
      </c>
      <c r="I508">
        <f>PasteBBM!AE508</f>
        <v>0.331557</v>
      </c>
      <c r="J508">
        <f>PasteBBM!AG508*PasteBBM!AH508</f>
        <v>0.2856250306</v>
      </c>
      <c r="K508">
        <f>PasteBBM!AG508</f>
        <v>0.811723</v>
      </c>
      <c r="L508">
        <f>PasteBBM!Z508</f>
        <v>0.285</v>
      </c>
      <c r="M508">
        <f>PasteBBM!Y508</f>
        <v>1.348125</v>
      </c>
      <c r="N508">
        <f>PasteBBM!AA508</f>
        <v>0.49</v>
      </c>
      <c r="O508">
        <f>PasteBBM!AB508</f>
        <v>0.83125</v>
      </c>
      <c r="P508">
        <f>PasteBBM!AC508</f>
        <v>0.118125</v>
      </c>
      <c r="Q508">
        <f>PasteBBM!AD508</f>
        <v>0.030625</v>
      </c>
      <c r="R508">
        <f>PasteBBM!AI508</f>
        <v>0.2625</v>
      </c>
      <c r="S508">
        <f>PasteBBM!AE508</f>
        <v>0.331557</v>
      </c>
      <c r="T508">
        <f>PasteBBM!AG508</f>
        <v>0.811723</v>
      </c>
      <c r="V508" s="44">
        <v>-0.41709</v>
      </c>
      <c r="W508" s="44">
        <v>-0.00658</v>
      </c>
      <c r="X508" s="44">
        <v>0.009207</v>
      </c>
      <c r="Y508" s="44">
        <v>-0.4263</v>
      </c>
      <c r="Z508" s="44">
        <v>-0.34564</v>
      </c>
      <c r="AA508" s="45"/>
      <c r="AB508" s="46" t="s">
        <v>126</v>
      </c>
      <c r="AC508" s="44">
        <v>67.0</v>
      </c>
    </row>
    <row r="509">
      <c r="A509" s="2">
        <v>508.0</v>
      </c>
      <c r="B509" s="14">
        <f>IF(PasteBBM!B509="",156,PasteBBM!B509)</f>
        <v>156</v>
      </c>
      <c r="C509" t="str">
        <f>PasteBBM!I509</f>
        <v>Lachlan Olbrich</v>
      </c>
      <c r="D509" t="str">
        <f>IFERROR(REPLACE(PasteBBM!K509,FIND("/",PasteBBM!K509,1),1,","),PasteBBM!K509)</f>
        <v>PF</v>
      </c>
      <c r="E509" t="str">
        <f>PasteBBM!J509</f>
        <v>CHI</v>
      </c>
      <c r="F509">
        <f>PasteBBM!U509</f>
        <v>16</v>
      </c>
      <c r="G509">
        <f>PasteBBM!X509</f>
        <v>4</v>
      </c>
      <c r="H509">
        <f>PasteBBM!AE509*PasteBBM!AF509</f>
        <v>0.6343747975</v>
      </c>
      <c r="I509">
        <f>PasteBBM!AE509</f>
        <v>0.504473</v>
      </c>
      <c r="J509">
        <f>PasteBBM!AG509*PasteBBM!AH509</f>
        <v>0.20812494</v>
      </c>
      <c r="K509">
        <f>PasteBBM!AG509</f>
        <v>0.635496</v>
      </c>
      <c r="L509">
        <f>PasteBBM!Z509</f>
        <v>0.04375</v>
      </c>
      <c r="M509">
        <f>PasteBBM!Y509</f>
        <v>1.520625</v>
      </c>
      <c r="N509">
        <f>PasteBBM!AA509</f>
        <v>0.8925</v>
      </c>
      <c r="O509">
        <f>PasteBBM!AB509</f>
        <v>0.2625</v>
      </c>
      <c r="P509">
        <f>PasteBBM!AC509</f>
        <v>0.105</v>
      </c>
      <c r="Q509">
        <f>PasteBBM!AD509</f>
        <v>0.14875</v>
      </c>
      <c r="R509">
        <f>PasteBBM!AI509</f>
        <v>0.2625</v>
      </c>
      <c r="S509">
        <f>PasteBBM!AE509</f>
        <v>0.504473</v>
      </c>
      <c r="T509">
        <f>PasteBBM!AG509</f>
        <v>0.635496</v>
      </c>
      <c r="V509" s="44">
        <v>-0.41709</v>
      </c>
      <c r="W509" s="44">
        <v>-0.00658</v>
      </c>
      <c r="X509" s="44">
        <v>0.009207</v>
      </c>
      <c r="Y509" s="44">
        <v>-0.4263</v>
      </c>
      <c r="Z509" s="44">
        <v>-0.34564</v>
      </c>
      <c r="AA509" s="45"/>
      <c r="AB509" s="46" t="s">
        <v>126</v>
      </c>
      <c r="AC509" s="44">
        <v>67.0</v>
      </c>
    </row>
    <row r="510">
      <c r="A510" s="2">
        <v>509.0</v>
      </c>
      <c r="B510" s="14">
        <f>IF(PasteBBM!B510="",156,PasteBBM!B510)</f>
        <v>156</v>
      </c>
      <c r="C510" t="str">
        <f>PasteBBM!I510</f>
        <v>Kobe Sanders</v>
      </c>
      <c r="D510" t="str">
        <f>IFERROR(REPLACE(PasteBBM!K510,FIND("/",PasteBBM!K510,1),1,","),PasteBBM!K510)</f>
        <v>PG,SG</v>
      </c>
      <c r="E510" t="str">
        <f>PasteBBM!J510</f>
        <v>LAC</v>
      </c>
      <c r="F510">
        <f>PasteBBM!U510</f>
        <v>16</v>
      </c>
      <c r="G510">
        <f>PasteBBM!X510</f>
        <v>6</v>
      </c>
      <c r="H510">
        <f>PasteBBM!AE510*PasteBBM!AF510</f>
        <v>0.821874015</v>
      </c>
      <c r="I510">
        <f>PasteBBM!AE510</f>
        <v>0.393948</v>
      </c>
      <c r="J510">
        <f>PasteBBM!AG510*PasteBBM!AH510</f>
        <v>0.4343749156</v>
      </c>
      <c r="K510">
        <f>PasteBBM!AG510</f>
        <v>0.771365</v>
      </c>
      <c r="L510">
        <f>PasteBBM!Z510</f>
        <v>0.295</v>
      </c>
      <c r="M510">
        <f>PasteBBM!Y510</f>
        <v>2.373125</v>
      </c>
      <c r="N510">
        <f>PasteBBM!AA510</f>
        <v>0.630625</v>
      </c>
      <c r="O510">
        <f>PasteBBM!AB510</f>
        <v>0.485</v>
      </c>
      <c r="P510">
        <f>PasteBBM!AC510</f>
        <v>0.1575</v>
      </c>
      <c r="Q510">
        <f>PasteBBM!AD510</f>
        <v>0.060625</v>
      </c>
      <c r="R510">
        <f>PasteBBM!AI510</f>
        <v>0.4125</v>
      </c>
      <c r="S510">
        <f>PasteBBM!AE510</f>
        <v>0.393948</v>
      </c>
      <c r="T510">
        <f>PasteBBM!AG510</f>
        <v>0.771365</v>
      </c>
      <c r="V510" s="44">
        <v>-0.41709</v>
      </c>
      <c r="W510" s="44">
        <v>-0.00658</v>
      </c>
      <c r="X510" s="44">
        <v>0.009207</v>
      </c>
      <c r="Y510" s="44">
        <v>-0.4263</v>
      </c>
      <c r="Z510" s="44">
        <v>-0.34564</v>
      </c>
      <c r="AA510" s="45"/>
      <c r="AB510" s="46" t="s">
        <v>126</v>
      </c>
      <c r="AC510" s="44">
        <v>67.0</v>
      </c>
    </row>
    <row r="511">
      <c r="A511" s="2">
        <v>510.0</v>
      </c>
      <c r="B511" s="14">
        <f>IF(PasteBBM!B511="",156,PasteBBM!B511)</f>
        <v>156</v>
      </c>
      <c r="C511" t="str">
        <f>PasteBBM!I511</f>
        <v>Tolu Smith</v>
      </c>
      <c r="D511" t="str">
        <f>IFERROR(REPLACE(PasteBBM!K511,FIND("/",PasteBBM!K511,1),1,","),PasteBBM!K511)</f>
        <v>PF</v>
      </c>
      <c r="E511" t="str">
        <f>PasteBBM!J511</f>
        <v>DET</v>
      </c>
      <c r="F511">
        <f>PasteBBM!U511</f>
        <v>16</v>
      </c>
      <c r="G511">
        <f>PasteBBM!X511</f>
        <v>8</v>
      </c>
      <c r="H511">
        <f>PasteBBM!AE511*PasteBBM!AF511</f>
        <v>1.06937454</v>
      </c>
      <c r="I511">
        <f>PasteBBM!AE511</f>
        <v>0.440752</v>
      </c>
      <c r="J511">
        <f>PasteBBM!AG511*PasteBBM!AH511</f>
        <v>0.5781247281</v>
      </c>
      <c r="K511">
        <f>PasteBBM!AG511</f>
        <v>0.644599</v>
      </c>
      <c r="L511">
        <f>PasteBBM!Z511</f>
        <v>0.0025</v>
      </c>
      <c r="M511">
        <f>PasteBBM!Y511</f>
        <v>2.719375</v>
      </c>
      <c r="N511">
        <f>PasteBBM!AA511</f>
        <v>2.188125</v>
      </c>
      <c r="O511">
        <f>PasteBBM!AB511</f>
        <v>0.375625</v>
      </c>
      <c r="P511">
        <f>PasteBBM!AC511</f>
        <v>0.179375</v>
      </c>
      <c r="Q511">
        <f>PasteBBM!AD511</f>
        <v>0.114375</v>
      </c>
      <c r="R511">
        <f>PasteBBM!AI511</f>
        <v>0.673125</v>
      </c>
      <c r="S511">
        <f>PasteBBM!AE511</f>
        <v>0.440752</v>
      </c>
      <c r="T511">
        <f>PasteBBM!AG511</f>
        <v>0.644599</v>
      </c>
      <c r="V511" s="44">
        <v>-0.41709</v>
      </c>
      <c r="W511" s="44">
        <v>-0.00658</v>
      </c>
      <c r="X511" s="44">
        <v>0.009207</v>
      </c>
      <c r="Y511" s="44">
        <v>-0.4263</v>
      </c>
      <c r="Z511" s="44">
        <v>-0.34564</v>
      </c>
      <c r="AA511" s="45"/>
      <c r="AB511" s="46" t="s">
        <v>126</v>
      </c>
      <c r="AC511" s="44">
        <v>67.0</v>
      </c>
    </row>
    <row r="512">
      <c r="A512" s="2">
        <v>511.0</v>
      </c>
      <c r="B512" s="14">
        <f>IF(PasteBBM!B512="",156,PasteBBM!B512)</f>
        <v>156</v>
      </c>
      <c r="C512" t="str">
        <f>PasteBBM!I512</f>
        <v>Rocco Zikarsky</v>
      </c>
      <c r="D512" t="str">
        <f>IFERROR(REPLACE(PasteBBM!K512,FIND("/",PasteBBM!K512,1),1,","),PasteBBM!K512)</f>
        <v>C</v>
      </c>
      <c r="E512" t="str">
        <f>PasteBBM!J512</f>
        <v>MIN</v>
      </c>
      <c r="F512">
        <f>PasteBBM!U512</f>
        <v>16</v>
      </c>
      <c r="G512">
        <f>PasteBBM!X512</f>
        <v>3</v>
      </c>
      <c r="H512">
        <f>PasteBBM!AE512*PasteBBM!AF512</f>
        <v>0.4643753788</v>
      </c>
      <c r="I512">
        <f>PasteBBM!AE512</f>
        <v>0.532999</v>
      </c>
      <c r="J512">
        <f>PasteBBM!AG512*PasteBBM!AH512</f>
        <v>0.1481249738</v>
      </c>
      <c r="K512">
        <f>PasteBBM!AG512</f>
        <v>0.606138</v>
      </c>
      <c r="L512">
        <f>PasteBBM!Z512</f>
        <v>0.014375</v>
      </c>
      <c r="M512">
        <f>PasteBBM!Y512</f>
        <v>1.09125</v>
      </c>
      <c r="N512">
        <f>PasteBBM!AA512</f>
        <v>0.74875</v>
      </c>
      <c r="O512">
        <f>PasteBBM!AB512</f>
        <v>0.080625</v>
      </c>
      <c r="P512">
        <f>PasteBBM!AC512</f>
        <v>0.068125</v>
      </c>
      <c r="Q512">
        <f>PasteBBM!AD512</f>
        <v>0.198125</v>
      </c>
      <c r="R512">
        <f>PasteBBM!AI512</f>
        <v>0.185625</v>
      </c>
      <c r="S512">
        <f>PasteBBM!AE512</f>
        <v>0.532999</v>
      </c>
      <c r="T512">
        <f>PasteBBM!AG512</f>
        <v>0.606138</v>
      </c>
      <c r="V512" s="44">
        <v>-0.41709</v>
      </c>
      <c r="W512" s="44">
        <v>-0.00658</v>
      </c>
      <c r="X512" s="44">
        <v>0.009207</v>
      </c>
      <c r="Y512" s="44">
        <v>-0.4263</v>
      </c>
      <c r="Z512" s="44">
        <v>-0.34564</v>
      </c>
      <c r="AA512" s="45"/>
      <c r="AB512" s="46" t="s">
        <v>126</v>
      </c>
      <c r="AC512" s="44">
        <v>67.0</v>
      </c>
    </row>
    <row r="513">
      <c r="A513" s="2">
        <v>512.0</v>
      </c>
      <c r="B513" s="14">
        <f>IF(PasteBBM!B513="",156,PasteBBM!B513)</f>
        <v>156</v>
      </c>
      <c r="C513" t="str">
        <f>PasteBBM!I513</f>
        <v>Cameron Matthews</v>
      </c>
      <c r="D513" t="str">
        <f>IFERROR(REPLACE(PasteBBM!K513,FIND("/",PasteBBM!K513,1),1,","),PasteBBM!K513)</f>
        <v>SF,PF</v>
      </c>
      <c r="E513" t="str">
        <f>PasteBBM!J513</f>
        <v>HOU</v>
      </c>
      <c r="F513">
        <f>PasteBBM!U513</f>
        <v>16</v>
      </c>
      <c r="G513">
        <f>PasteBBM!X513</f>
        <v>4</v>
      </c>
      <c r="H513">
        <f>PasteBBM!AE513*PasteBBM!AF513</f>
        <v>0.357499725</v>
      </c>
      <c r="I513">
        <f>PasteBBM!AE513</f>
        <v>0.501754</v>
      </c>
      <c r="J513">
        <f>PasteBBM!AG513*PasteBBM!AH513</f>
        <v>0.11625007</v>
      </c>
      <c r="K513">
        <f>PasteBBM!AG513</f>
        <v>0.540698</v>
      </c>
      <c r="L513">
        <f>PasteBBM!Z513</f>
        <v>0.02875</v>
      </c>
      <c r="M513">
        <f>PasteBBM!Y513</f>
        <v>0.86</v>
      </c>
      <c r="N513">
        <f>PasteBBM!AA513</f>
        <v>0.673125</v>
      </c>
      <c r="O513">
        <f>PasteBBM!AB513</f>
        <v>0.2525</v>
      </c>
      <c r="P513">
        <f>PasteBBM!AC513</f>
        <v>0.19375</v>
      </c>
      <c r="Q513">
        <f>PasteBBM!AD513</f>
        <v>0.0675</v>
      </c>
      <c r="R513">
        <f>PasteBBM!AI513</f>
        <v>0.2775</v>
      </c>
      <c r="S513">
        <f>PasteBBM!AE513</f>
        <v>0.501754</v>
      </c>
      <c r="T513">
        <f>PasteBBM!AG513</f>
        <v>0.540698</v>
      </c>
      <c r="V513" s="44">
        <v>-0.41709</v>
      </c>
      <c r="W513" s="44">
        <v>-0.00658</v>
      </c>
      <c r="X513" s="44">
        <v>0.009207</v>
      </c>
      <c r="Y513" s="44">
        <v>-0.4263</v>
      </c>
      <c r="Z513" s="44">
        <v>-0.34564</v>
      </c>
      <c r="AA513" s="45"/>
      <c r="AB513" s="46" t="s">
        <v>126</v>
      </c>
      <c r="AC513" s="44">
        <v>67.0</v>
      </c>
    </row>
    <row r="514">
      <c r="A514" s="2">
        <v>513.0</v>
      </c>
      <c r="B514" s="14">
        <f>IF(PasteBBM!B514="",156,PasteBBM!B514)</f>
        <v>156</v>
      </c>
      <c r="C514" t="str">
        <f>PasteBBM!I514</f>
        <v>Jacob Toppin</v>
      </c>
      <c r="D514" t="str">
        <f>IFERROR(REPLACE(PasteBBM!K514,FIND("/",PasteBBM!K514,1),1,","),PasteBBM!K514)</f>
        <v>SF</v>
      </c>
      <c r="E514" t="str">
        <f>PasteBBM!J514</f>
        <v>ATL</v>
      </c>
      <c r="F514">
        <f>PasteBBM!U514</f>
        <v>16</v>
      </c>
      <c r="G514">
        <f>PasteBBM!X514</f>
        <v>3</v>
      </c>
      <c r="H514">
        <f>PasteBBM!AE514*PasteBBM!AF514</f>
        <v>0.374375355</v>
      </c>
      <c r="I514">
        <f>PasteBBM!AE514</f>
        <v>0.396952</v>
      </c>
      <c r="J514">
        <f>PasteBBM!AG514*PasteBBM!AH514</f>
        <v>0.106249945</v>
      </c>
      <c r="K514">
        <f>PasteBBM!AG514</f>
        <v>0.752212</v>
      </c>
      <c r="L514">
        <f>PasteBBM!Z514</f>
        <v>0.141875</v>
      </c>
      <c r="M514">
        <f>PasteBBM!Y514</f>
        <v>0.996875</v>
      </c>
      <c r="N514">
        <f>PasteBBM!AA514</f>
        <v>0.62375</v>
      </c>
      <c r="O514">
        <f>PasteBBM!AB514</f>
        <v>0.22125</v>
      </c>
      <c r="P514">
        <f>PasteBBM!AC514</f>
        <v>0.078125</v>
      </c>
      <c r="Q514">
        <f>PasteBBM!AD514</f>
        <v>0.065</v>
      </c>
      <c r="R514">
        <f>PasteBBM!AI514</f>
        <v>0.13</v>
      </c>
      <c r="S514">
        <f>PasteBBM!AE514</f>
        <v>0.396952</v>
      </c>
      <c r="T514">
        <f>PasteBBM!AG514</f>
        <v>0.752212</v>
      </c>
      <c r="V514" s="44">
        <v>-0.41709</v>
      </c>
      <c r="W514" s="44">
        <v>-0.00658</v>
      </c>
      <c r="X514" s="44">
        <v>0.009207</v>
      </c>
      <c r="Y514" s="44">
        <v>-0.4263</v>
      </c>
      <c r="Z514" s="44">
        <v>-0.34564</v>
      </c>
      <c r="AA514" s="45"/>
      <c r="AB514" s="46" t="s">
        <v>126</v>
      </c>
      <c r="AC514" s="44">
        <v>67.0</v>
      </c>
    </row>
    <row r="515">
      <c r="A515" s="2">
        <v>514.0</v>
      </c>
      <c r="B515" s="14">
        <f>IF(PasteBBM!B515="",156,PasteBBM!B515)</f>
        <v>156</v>
      </c>
      <c r="C515" t="str">
        <f>PasteBBM!I515</f>
        <v>Trentyn Flowers</v>
      </c>
      <c r="D515" t="str">
        <f>IFERROR(REPLACE(PasteBBM!K515,FIND("/",PasteBBM!K515,1),1,","),PasteBBM!K515)</f>
        <v>SF</v>
      </c>
      <c r="E515" t="str">
        <f>PasteBBM!J515</f>
        <v>LAC</v>
      </c>
      <c r="F515">
        <f>PasteBBM!U515</f>
        <v>16</v>
      </c>
      <c r="G515">
        <f>PasteBBM!X515</f>
        <v>4</v>
      </c>
      <c r="H515">
        <f>PasteBBM!AE515*PasteBBM!AF515</f>
        <v>0.6712501731</v>
      </c>
      <c r="I515">
        <f>PasteBBM!AE515</f>
        <v>0.456827</v>
      </c>
      <c r="J515">
        <f>PasteBBM!AG515*PasteBBM!AH515</f>
        <v>0.2543751813</v>
      </c>
      <c r="K515">
        <f>PasteBBM!AG515</f>
        <v>0.689831</v>
      </c>
      <c r="L515">
        <f>PasteBBM!Z515</f>
        <v>0.115</v>
      </c>
      <c r="M515">
        <f>PasteBBM!Y515</f>
        <v>1.711875</v>
      </c>
      <c r="N515">
        <f>PasteBBM!AA515</f>
        <v>0.730625</v>
      </c>
      <c r="O515">
        <f>PasteBBM!AB515</f>
        <v>0.17125</v>
      </c>
      <c r="P515">
        <f>PasteBBM!AC515</f>
        <v>0.078125</v>
      </c>
      <c r="Q515">
        <f>PasteBBM!AD515</f>
        <v>0.03125</v>
      </c>
      <c r="R515">
        <f>PasteBBM!AI515</f>
        <v>0.161875</v>
      </c>
      <c r="S515">
        <f>PasteBBM!AE515</f>
        <v>0.456827</v>
      </c>
      <c r="T515">
        <f>PasteBBM!AG515</f>
        <v>0.689831</v>
      </c>
      <c r="V515" s="44">
        <v>-0.41709</v>
      </c>
      <c r="W515" s="44">
        <v>-0.00658</v>
      </c>
      <c r="X515" s="44">
        <v>0.009207</v>
      </c>
      <c r="Y515" s="44">
        <v>-0.4263</v>
      </c>
      <c r="Z515" s="44">
        <v>-0.34564</v>
      </c>
      <c r="AA515" s="45"/>
      <c r="AB515" s="46" t="s">
        <v>126</v>
      </c>
      <c r="AC515" s="44">
        <v>67.0</v>
      </c>
    </row>
    <row r="516">
      <c r="A516" s="2">
        <v>515.0</v>
      </c>
      <c r="B516" s="14">
        <f>IF(PasteBBM!B516="",156,PasteBBM!B516)</f>
        <v>156</v>
      </c>
      <c r="C516" t="str">
        <f>PasteBBM!I516</f>
        <v>Pete Nance</v>
      </c>
      <c r="D516" t="str">
        <f>IFERROR(REPLACE(PasteBBM!K516,FIND("/",PasteBBM!K516,1),1,","),PasteBBM!K516)</f>
        <v>PF</v>
      </c>
      <c r="E516" t="str">
        <f>PasteBBM!J516</f>
        <v>MIL</v>
      </c>
      <c r="F516">
        <f>PasteBBM!U516</f>
        <v>16</v>
      </c>
      <c r="G516">
        <f>PasteBBM!X516</f>
        <v>3</v>
      </c>
      <c r="H516">
        <f>PasteBBM!AE516*PasteBBM!AF516</f>
        <v>0.31249965</v>
      </c>
      <c r="I516">
        <f>PasteBBM!AE516</f>
        <v>0.438596</v>
      </c>
      <c r="J516">
        <f>PasteBBM!AG516*PasteBBM!AH516</f>
        <v>0.06062501</v>
      </c>
      <c r="K516">
        <f>PasteBBM!AG516</f>
        <v>0.638158</v>
      </c>
      <c r="L516">
        <f>PasteBBM!Z516</f>
        <v>0.175</v>
      </c>
      <c r="M516">
        <f>PasteBBM!Y516</f>
        <v>0.860625</v>
      </c>
      <c r="N516">
        <f>PasteBBM!AA516</f>
        <v>0.545</v>
      </c>
      <c r="O516">
        <f>PasteBBM!AB516</f>
        <v>0.2025</v>
      </c>
      <c r="P516">
        <f>PasteBBM!AC516</f>
        <v>0.056875</v>
      </c>
      <c r="Q516">
        <f>PasteBBM!AD516</f>
        <v>0.0625</v>
      </c>
      <c r="R516">
        <f>PasteBBM!AI516</f>
        <v>0.124375</v>
      </c>
      <c r="S516">
        <f>PasteBBM!AE516</f>
        <v>0.438596</v>
      </c>
      <c r="T516">
        <f>PasteBBM!AG516</f>
        <v>0.638158</v>
      </c>
      <c r="V516" s="44">
        <v>-0.41709</v>
      </c>
      <c r="W516" s="44">
        <v>-0.00658</v>
      </c>
      <c r="X516" s="44">
        <v>0.009207</v>
      </c>
      <c r="Y516" s="44">
        <v>-0.4263</v>
      </c>
      <c r="Z516" s="44">
        <v>-0.34564</v>
      </c>
      <c r="AA516" s="45"/>
      <c r="AB516" s="46" t="s">
        <v>126</v>
      </c>
      <c r="AC516" s="44">
        <v>67.0</v>
      </c>
    </row>
    <row r="517">
      <c r="A517" s="2">
        <v>516.0</v>
      </c>
      <c r="B517" s="14">
        <f>IF(PasteBBM!B517="",156,PasteBBM!B517)</f>
        <v>156</v>
      </c>
      <c r="C517" t="str">
        <f>PasteBBM!I517</f>
        <v>Mark Sears</v>
      </c>
      <c r="D517" t="str">
        <f>IFERROR(REPLACE(PasteBBM!K517,FIND("/",PasteBBM!K517,1),1,","),PasteBBM!K517)</f>
        <v>PG</v>
      </c>
      <c r="E517" t="str">
        <f>PasteBBM!J517</f>
        <v>MIL</v>
      </c>
      <c r="F517">
        <f>PasteBBM!U517</f>
        <v>16</v>
      </c>
      <c r="G517">
        <f>PasteBBM!X517</f>
        <v>3</v>
      </c>
      <c r="H517">
        <f>PasteBBM!AE517*PasteBBM!AF517</f>
        <v>0.3418747463</v>
      </c>
      <c r="I517">
        <f>PasteBBM!AE517</f>
        <v>0.406389</v>
      </c>
      <c r="J517">
        <f>PasteBBM!AG517*PasteBBM!AH517</f>
        <v>0.1974999194</v>
      </c>
      <c r="K517">
        <f>PasteBBM!AG517</f>
        <v>0.812339</v>
      </c>
      <c r="L517">
        <f>PasteBBM!Z517</f>
        <v>0.17</v>
      </c>
      <c r="M517">
        <f>PasteBBM!Y517</f>
        <v>1.05125</v>
      </c>
      <c r="N517">
        <f>PasteBBM!AA517</f>
        <v>0.36625</v>
      </c>
      <c r="O517">
        <f>PasteBBM!AB517</f>
        <v>0.3725</v>
      </c>
      <c r="P517">
        <f>PasteBBM!AC517</f>
        <v>0.10125</v>
      </c>
      <c r="Q517">
        <f>PasteBBM!AD517</f>
        <v>0.01875</v>
      </c>
      <c r="R517">
        <f>PasteBBM!AI517</f>
        <v>0.2525</v>
      </c>
      <c r="S517">
        <f>PasteBBM!AE517</f>
        <v>0.406389</v>
      </c>
      <c r="T517">
        <f>PasteBBM!AG517</f>
        <v>0.812339</v>
      </c>
      <c r="V517" s="44">
        <v>-0.41709</v>
      </c>
      <c r="W517" s="44">
        <v>-0.00658</v>
      </c>
      <c r="X517" s="44">
        <v>0.009207</v>
      </c>
      <c r="Y517" s="44">
        <v>-0.4263</v>
      </c>
      <c r="Z517" s="44">
        <v>-0.34564</v>
      </c>
      <c r="AA517" s="45"/>
      <c r="AB517" s="46" t="s">
        <v>126</v>
      </c>
      <c r="AC517" s="44">
        <v>67.0</v>
      </c>
    </row>
    <row r="518">
      <c r="A518" s="2">
        <v>517.0</v>
      </c>
      <c r="B518" s="14">
        <f>IF(PasteBBM!B518="",156,PasteBBM!B518)</f>
        <v>156</v>
      </c>
      <c r="C518" t="str">
        <f>PasteBBM!I518</f>
        <v>Jamaree Bouyea</v>
      </c>
      <c r="D518" t="str">
        <f>IFERROR(REPLACE(PasteBBM!K518,FIND("/",PasteBBM!K518,1),1,","),PasteBBM!K518)</f>
        <v>PG</v>
      </c>
      <c r="E518" t="str">
        <f>PasteBBM!J518</f>
        <v>MIL</v>
      </c>
      <c r="F518">
        <f>PasteBBM!U518</f>
        <v>16</v>
      </c>
      <c r="G518">
        <f>PasteBBM!X518</f>
        <v>3</v>
      </c>
      <c r="H518">
        <f>PasteBBM!AE518*PasteBBM!AF518</f>
        <v>0.3756252619</v>
      </c>
      <c r="I518">
        <f>PasteBBM!AE518</f>
        <v>0.446177</v>
      </c>
      <c r="J518">
        <f>PasteBBM!AG518*PasteBBM!AH518</f>
        <v>0.08312496</v>
      </c>
      <c r="K518">
        <f>PasteBBM!AG518</f>
        <v>0.692708</v>
      </c>
      <c r="L518">
        <f>PasteBBM!Z518</f>
        <v>0.09625</v>
      </c>
      <c r="M518">
        <f>PasteBBM!Y518</f>
        <v>0.930625</v>
      </c>
      <c r="N518">
        <f>PasteBBM!AA518</f>
        <v>0.28375</v>
      </c>
      <c r="O518">
        <f>PasteBBM!AB518</f>
        <v>0.40375</v>
      </c>
      <c r="P518">
        <f>PasteBBM!AC518</f>
        <v>0.11125</v>
      </c>
      <c r="Q518">
        <f>PasteBBM!AD518</f>
        <v>0.048125</v>
      </c>
      <c r="R518">
        <f>PasteBBM!AI518</f>
        <v>0.2525</v>
      </c>
      <c r="S518">
        <f>PasteBBM!AE518</f>
        <v>0.446177</v>
      </c>
      <c r="T518">
        <f>PasteBBM!AG518</f>
        <v>0.692708</v>
      </c>
      <c r="V518" s="44">
        <v>-0.41709</v>
      </c>
      <c r="W518" s="44">
        <v>-0.00658</v>
      </c>
      <c r="X518" s="44">
        <v>0.009207</v>
      </c>
      <c r="Y518" s="44">
        <v>-0.4263</v>
      </c>
      <c r="Z518" s="44">
        <v>-0.34564</v>
      </c>
      <c r="AA518" s="45"/>
      <c r="AB518" s="46" t="s">
        <v>126</v>
      </c>
      <c r="AC518" s="44">
        <v>67.0</v>
      </c>
    </row>
    <row r="519">
      <c r="A519" s="2">
        <v>163.0</v>
      </c>
      <c r="B519" s="14">
        <f>IF(PasteBBM!B519="",156,PasteBBM!B519)</f>
        <v>156</v>
      </c>
      <c r="C519" t="str">
        <f>PasteBBM!I519</f>
        <v>Alex Len</v>
      </c>
      <c r="D519" t="str">
        <f>IFERROR(REPLACE(PasteBBM!K519,FIND("/",PasteBBM!K519,1),1,","),PasteBBM!K519)</f>
        <v>C</v>
      </c>
      <c r="E519" t="str">
        <f>PasteBBM!J519</f>
        <v>NYK</v>
      </c>
      <c r="F519">
        <f>PasteBBM!U519</f>
        <v>0</v>
      </c>
      <c r="G519">
        <f>PasteBBM!X519</f>
        <v>0</v>
      </c>
      <c r="H519">
        <f>PasteBBM!AE519*PasteBBM!AF519</f>
        <v>0</v>
      </c>
      <c r="I519">
        <f>PasteBBM!AE519</f>
        <v>0</v>
      </c>
      <c r="J519">
        <f>PasteBBM!AG519*PasteBBM!AH519</f>
        <v>0</v>
      </c>
      <c r="K519">
        <f>PasteBBM!AG519</f>
        <v>0</v>
      </c>
      <c r="L519">
        <f>PasteBBM!Z519</f>
        <v>0</v>
      </c>
      <c r="M519">
        <f>PasteBBM!Y519</f>
        <v>0</v>
      </c>
      <c r="N519">
        <f>PasteBBM!AA519</f>
        <v>0</v>
      </c>
      <c r="O519">
        <f>PasteBBM!AB519</f>
        <v>0</v>
      </c>
      <c r="P519">
        <f>PasteBBM!AC519</f>
        <v>0</v>
      </c>
      <c r="Q519">
        <f>PasteBBM!AD519</f>
        <v>0</v>
      </c>
      <c r="R519">
        <f>PasteBBM!AI519</f>
        <v>0</v>
      </c>
      <c r="S519">
        <f>PasteBBM!AE519</f>
        <v>0</v>
      </c>
      <c r="T519">
        <f>PasteBBM!AG519</f>
        <v>0</v>
      </c>
      <c r="V519" s="44">
        <v>-0.41709</v>
      </c>
      <c r="W519" s="44">
        <v>-0.00658</v>
      </c>
      <c r="X519" s="44">
        <v>0.009207</v>
      </c>
      <c r="Y519" s="44">
        <v>-0.4263</v>
      </c>
      <c r="Z519" s="44">
        <v>-0.34564</v>
      </c>
      <c r="AA519" s="45"/>
      <c r="AB519" s="46" t="s">
        <v>126</v>
      </c>
      <c r="AC519" s="44">
        <v>67.0</v>
      </c>
    </row>
    <row r="520">
      <c r="A520" s="2">
        <v>163.0</v>
      </c>
      <c r="B520" s="14">
        <f>IF(PasteBBM!B520="",156,PasteBBM!B520)</f>
        <v>156</v>
      </c>
      <c r="C520" t="str">
        <f>PasteBBM!I520</f>
        <v>Kadary Richmond</v>
      </c>
      <c r="D520" t="str">
        <f>IFERROR(REPLACE(PasteBBM!K520,FIND("/",PasteBBM!K520,1),1,","),PasteBBM!K520)</f>
        <v>SG</v>
      </c>
      <c r="E520" t="str">
        <f>PasteBBM!J520</f>
        <v>WAS</v>
      </c>
      <c r="F520">
        <f>PasteBBM!U520</f>
        <v>0</v>
      </c>
      <c r="G520">
        <f>PasteBBM!X520</f>
        <v>0</v>
      </c>
      <c r="H520">
        <f>PasteBBM!AE520*PasteBBM!AF520</f>
        <v>0</v>
      </c>
      <c r="I520">
        <f>PasteBBM!AE520</f>
        <v>0</v>
      </c>
      <c r="J520">
        <f>PasteBBM!AG520*PasteBBM!AH520</f>
        <v>0</v>
      </c>
      <c r="K520">
        <f>PasteBBM!AG520</f>
        <v>0</v>
      </c>
      <c r="L520">
        <f>PasteBBM!Z520</f>
        <v>0</v>
      </c>
      <c r="M520">
        <f>PasteBBM!Y520</f>
        <v>0</v>
      </c>
      <c r="N520">
        <f>PasteBBM!AA520</f>
        <v>0</v>
      </c>
      <c r="O520">
        <f>PasteBBM!AB520</f>
        <v>0</v>
      </c>
      <c r="P520">
        <f>PasteBBM!AC520</f>
        <v>0</v>
      </c>
      <c r="Q520">
        <f>PasteBBM!AD520</f>
        <v>0</v>
      </c>
      <c r="R520">
        <f>PasteBBM!AI520</f>
        <v>0</v>
      </c>
      <c r="S520">
        <f>PasteBBM!AE520</f>
        <v>0</v>
      </c>
      <c r="T520">
        <f>PasteBBM!AG520</f>
        <v>0</v>
      </c>
      <c r="V520" s="44">
        <v>-0.41709</v>
      </c>
      <c r="W520" s="44">
        <v>-0.00658</v>
      </c>
      <c r="X520" s="44">
        <v>0.009207</v>
      </c>
      <c r="Y520" s="44">
        <v>-0.4263</v>
      </c>
      <c r="Z520" s="44">
        <v>-0.34564</v>
      </c>
      <c r="AA520" s="45"/>
      <c r="AB520" s="46" t="s">
        <v>126</v>
      </c>
      <c r="AC520" s="44">
        <v>67.0</v>
      </c>
    </row>
    <row r="521">
      <c r="A521" s="2">
        <v>163.0</v>
      </c>
      <c r="B521" s="14">
        <f>IF(PasteBBM!B521="",156,PasteBBM!B521)</f>
        <v>156</v>
      </c>
      <c r="C521" t="str">
        <f>PasteBBM!I521</f>
        <v>Andre Jackson Jr.</v>
      </c>
      <c r="D521" t="str">
        <f>IFERROR(REPLACE(PasteBBM!K521,FIND("/",PasteBBM!K521,1),1,","),PasteBBM!K521)</f>
        <v>SG</v>
      </c>
      <c r="E521" t="str">
        <f>PasteBBM!J521</f>
        <v>MIL</v>
      </c>
      <c r="F521">
        <f>PasteBBM!U521</f>
        <v>0</v>
      </c>
      <c r="G521">
        <f>PasteBBM!X521</f>
        <v>0</v>
      </c>
      <c r="H521">
        <f>PasteBBM!AE521*PasteBBM!AF521</f>
        <v>0</v>
      </c>
      <c r="I521">
        <f>PasteBBM!AE521</f>
        <v>0</v>
      </c>
      <c r="J521">
        <f>PasteBBM!AG521*PasteBBM!AH521</f>
        <v>0</v>
      </c>
      <c r="K521">
        <f>PasteBBM!AG521</f>
        <v>0</v>
      </c>
      <c r="L521">
        <f>PasteBBM!Z521</f>
        <v>0</v>
      </c>
      <c r="M521">
        <f>PasteBBM!Y521</f>
        <v>0</v>
      </c>
      <c r="N521">
        <f>PasteBBM!AA521</f>
        <v>0</v>
      </c>
      <c r="O521">
        <f>PasteBBM!AB521</f>
        <v>0</v>
      </c>
      <c r="P521">
        <f>PasteBBM!AC521</f>
        <v>0</v>
      </c>
      <c r="Q521">
        <f>PasteBBM!AD521</f>
        <v>0</v>
      </c>
      <c r="R521">
        <f>PasteBBM!AI521</f>
        <v>0</v>
      </c>
      <c r="S521">
        <f>PasteBBM!AE521</f>
        <v>0</v>
      </c>
      <c r="T521">
        <f>PasteBBM!AG521</f>
        <v>0</v>
      </c>
      <c r="V521" s="44">
        <v>-0.41709</v>
      </c>
      <c r="W521" s="44">
        <v>-0.00658</v>
      </c>
      <c r="X521" s="44">
        <v>0.009207</v>
      </c>
      <c r="Y521" s="44">
        <v>-0.4263</v>
      </c>
      <c r="Z521" s="44">
        <v>-0.34564</v>
      </c>
      <c r="AA521" s="45"/>
      <c r="AB521" s="46" t="s">
        <v>126</v>
      </c>
      <c r="AC521" s="44">
        <v>67.0</v>
      </c>
    </row>
    <row r="522">
      <c r="A522" s="2">
        <v>163.0</v>
      </c>
      <c r="B522" s="14">
        <f>IF(PasteBBM!B522="",156,PasteBBM!B522)</f>
        <v>156</v>
      </c>
      <c r="C522" t="str">
        <f>PasteBBM!I522</f>
        <v>Dawson Garcia</v>
      </c>
      <c r="D522" t="str">
        <f>IFERROR(REPLACE(PasteBBM!K522,FIND("/",PasteBBM!K522,1),1,","),PasteBBM!K522)</f>
        <v>SF,PF/C</v>
      </c>
      <c r="E522" t="str">
        <f>PasteBBM!J522</f>
        <v>DET</v>
      </c>
      <c r="F522">
        <f>PasteBBM!U522</f>
        <v>0</v>
      </c>
      <c r="G522">
        <f>PasteBBM!X522</f>
        <v>0</v>
      </c>
      <c r="H522">
        <f>PasteBBM!AE522*PasteBBM!AF522</f>
        <v>0</v>
      </c>
      <c r="I522">
        <f>PasteBBM!AE522</f>
        <v>0</v>
      </c>
      <c r="J522">
        <f>PasteBBM!AG522*PasteBBM!AH522</f>
        <v>0</v>
      </c>
      <c r="K522">
        <f>PasteBBM!AG522</f>
        <v>0</v>
      </c>
      <c r="L522">
        <f>PasteBBM!Z522</f>
        <v>0</v>
      </c>
      <c r="M522">
        <f>PasteBBM!Y522</f>
        <v>0</v>
      </c>
      <c r="N522">
        <f>PasteBBM!AA522</f>
        <v>0</v>
      </c>
      <c r="O522">
        <f>PasteBBM!AB522</f>
        <v>0</v>
      </c>
      <c r="P522">
        <f>PasteBBM!AC522</f>
        <v>0</v>
      </c>
      <c r="Q522">
        <f>PasteBBM!AD522</f>
        <v>0</v>
      </c>
      <c r="R522">
        <f>PasteBBM!AI522</f>
        <v>0</v>
      </c>
      <c r="S522">
        <f>PasteBBM!AE522</f>
        <v>0</v>
      </c>
      <c r="T522">
        <f>PasteBBM!AG522</f>
        <v>0</v>
      </c>
      <c r="V522" s="44">
        <v>-0.41709</v>
      </c>
      <c r="W522" s="44">
        <v>-0.00658</v>
      </c>
      <c r="X522" s="44">
        <v>0.009207</v>
      </c>
      <c r="Y522" s="44">
        <v>-0.4263</v>
      </c>
      <c r="Z522" s="44">
        <v>-0.34564</v>
      </c>
      <c r="AA522" s="45"/>
      <c r="AB522" s="46" t="s">
        <v>126</v>
      </c>
      <c r="AC522" s="44">
        <v>67.0</v>
      </c>
    </row>
    <row r="523">
      <c r="A523" s="2">
        <v>163.0</v>
      </c>
      <c r="B523" s="14">
        <f>IF(PasteBBM!B523="",156,PasteBBM!B523)</f>
        <v>156</v>
      </c>
      <c r="C523" t="str">
        <f>PasteBBM!I523</f>
        <v>Olivier Sarr</v>
      </c>
      <c r="D523" t="str">
        <f>IFERROR(REPLACE(PasteBBM!K523,FIND("/",PasteBBM!K523,1),1,","),PasteBBM!K523)</f>
        <v>C</v>
      </c>
      <c r="E523" t="str">
        <f>PasteBBM!J523</f>
        <v>TOR</v>
      </c>
      <c r="F523">
        <f>PasteBBM!U523</f>
        <v>0</v>
      </c>
      <c r="G523">
        <f>PasteBBM!X523</f>
        <v>0</v>
      </c>
      <c r="H523">
        <f>PasteBBM!AE523*PasteBBM!AF523</f>
        <v>0</v>
      </c>
      <c r="I523">
        <f>PasteBBM!AE523</f>
        <v>0</v>
      </c>
      <c r="J523">
        <f>PasteBBM!AG523*PasteBBM!AH523</f>
        <v>0</v>
      </c>
      <c r="K523">
        <f>PasteBBM!AG523</f>
        <v>0</v>
      </c>
      <c r="L523">
        <f>PasteBBM!Z523</f>
        <v>0</v>
      </c>
      <c r="M523">
        <f>PasteBBM!Y523</f>
        <v>0</v>
      </c>
      <c r="N523">
        <f>PasteBBM!AA523</f>
        <v>0</v>
      </c>
      <c r="O523">
        <f>PasteBBM!AB523</f>
        <v>0</v>
      </c>
      <c r="P523">
        <f>PasteBBM!AC523</f>
        <v>0</v>
      </c>
      <c r="Q523">
        <f>PasteBBM!AD523</f>
        <v>0</v>
      </c>
      <c r="R523">
        <f>PasteBBM!AI523</f>
        <v>0</v>
      </c>
      <c r="S523">
        <f>PasteBBM!AE523</f>
        <v>0</v>
      </c>
      <c r="T523">
        <f>PasteBBM!AG523</f>
        <v>0</v>
      </c>
      <c r="V523" s="44">
        <v>-0.41709</v>
      </c>
      <c r="W523" s="44">
        <v>-0.00658</v>
      </c>
      <c r="X523" s="44">
        <v>0.009207</v>
      </c>
      <c r="Y523" s="44">
        <v>-0.4263</v>
      </c>
      <c r="Z523" s="44">
        <v>-0.34564</v>
      </c>
      <c r="AA523" s="45"/>
      <c r="AB523" s="46" t="s">
        <v>126</v>
      </c>
      <c r="AC523" s="44">
        <v>67.0</v>
      </c>
    </row>
    <row r="524">
      <c r="A524" s="2">
        <v>163.0</v>
      </c>
      <c r="B524" s="14">
        <f>IF(PasteBBM!B524="",156,PasteBBM!B524)</f>
        <v>156</v>
      </c>
      <c r="C524" t="str">
        <f>PasteBBM!I524</f>
        <v>Malik Williams</v>
      </c>
      <c r="D524" t="str">
        <f>IFERROR(REPLACE(PasteBBM!K524,FIND("/",PasteBBM!K524,1),1,","),PasteBBM!K524)</f>
        <v>C</v>
      </c>
      <c r="E524" t="str">
        <f>PasteBBM!J524</f>
        <v>ATL</v>
      </c>
      <c r="F524">
        <f>PasteBBM!U524</f>
        <v>0</v>
      </c>
      <c r="G524">
        <f>PasteBBM!X524</f>
        <v>0</v>
      </c>
      <c r="H524">
        <f>PasteBBM!AE524*PasteBBM!AF524</f>
        <v>0</v>
      </c>
      <c r="I524">
        <f>PasteBBM!AE524</f>
        <v>0</v>
      </c>
      <c r="J524">
        <f>PasteBBM!AG524*PasteBBM!AH524</f>
        <v>0</v>
      </c>
      <c r="K524">
        <f>PasteBBM!AG524</f>
        <v>0</v>
      </c>
      <c r="L524">
        <f>PasteBBM!Z524</f>
        <v>0</v>
      </c>
      <c r="M524">
        <f>PasteBBM!Y524</f>
        <v>0</v>
      </c>
      <c r="N524">
        <f>PasteBBM!AA524</f>
        <v>0</v>
      </c>
      <c r="O524">
        <f>PasteBBM!AB524</f>
        <v>0</v>
      </c>
      <c r="P524">
        <f>PasteBBM!AC524</f>
        <v>0</v>
      </c>
      <c r="Q524">
        <f>PasteBBM!AD524</f>
        <v>0</v>
      </c>
      <c r="R524">
        <f>PasteBBM!AI524</f>
        <v>0</v>
      </c>
      <c r="S524">
        <f>PasteBBM!AE524</f>
        <v>0</v>
      </c>
      <c r="T524">
        <f>PasteBBM!AG524</f>
        <v>0</v>
      </c>
      <c r="V524" s="44">
        <v>-0.41709</v>
      </c>
      <c r="W524" s="44">
        <v>-0.00658</v>
      </c>
      <c r="X524" s="44">
        <v>0.009207</v>
      </c>
      <c r="Y524" s="44">
        <v>-0.4263</v>
      </c>
      <c r="Z524" s="44">
        <v>-0.34564</v>
      </c>
      <c r="AA524" s="45"/>
      <c r="AB524" s="46" t="s">
        <v>126</v>
      </c>
      <c r="AC524" s="44">
        <v>67.0</v>
      </c>
    </row>
    <row r="525">
      <c r="A525" s="2">
        <v>163.0</v>
      </c>
      <c r="B525" s="14">
        <f>IF(PasteBBM!B525="",156,PasteBBM!B525)</f>
        <v>156</v>
      </c>
      <c r="C525" t="str">
        <f>PasteBBM!I525</f>
        <v>Thomas Sorber</v>
      </c>
      <c r="D525" t="str">
        <f>IFERROR(REPLACE(PasteBBM!K525,FIND("/",PasteBBM!K525,1),1,","),PasteBBM!K525)</f>
        <v>SF,PF/C</v>
      </c>
      <c r="E525" t="str">
        <f>PasteBBM!J525</f>
        <v>OKC</v>
      </c>
      <c r="F525">
        <f>PasteBBM!U525</f>
        <v>0</v>
      </c>
      <c r="G525">
        <f>PasteBBM!X525</f>
        <v>0</v>
      </c>
      <c r="H525">
        <f>PasteBBM!AE525*PasteBBM!AF525</f>
        <v>0</v>
      </c>
      <c r="I525">
        <f>PasteBBM!AE525</f>
        <v>0</v>
      </c>
      <c r="J525">
        <f>PasteBBM!AG525*PasteBBM!AH525</f>
        <v>0</v>
      </c>
      <c r="K525">
        <f>PasteBBM!AG525</f>
        <v>0</v>
      </c>
      <c r="L525">
        <f>PasteBBM!Z525</f>
        <v>0</v>
      </c>
      <c r="M525">
        <f>PasteBBM!Y525</f>
        <v>0</v>
      </c>
      <c r="N525">
        <f>PasteBBM!AA525</f>
        <v>0</v>
      </c>
      <c r="O525">
        <f>PasteBBM!AB525</f>
        <v>0</v>
      </c>
      <c r="P525">
        <f>PasteBBM!AC525</f>
        <v>0</v>
      </c>
      <c r="Q525">
        <f>PasteBBM!AD525</f>
        <v>0</v>
      </c>
      <c r="R525">
        <f>PasteBBM!AI525</f>
        <v>0</v>
      </c>
      <c r="S525">
        <f>PasteBBM!AE525</f>
        <v>0</v>
      </c>
      <c r="T525">
        <f>PasteBBM!AG525</f>
        <v>0</v>
      </c>
      <c r="V525" s="44">
        <v>-0.41709</v>
      </c>
      <c r="W525" s="44">
        <v>-0.00658</v>
      </c>
      <c r="X525" s="44">
        <v>0.009207</v>
      </c>
      <c r="Y525" s="44">
        <v>-0.4263</v>
      </c>
      <c r="Z525" s="44">
        <v>-0.34564</v>
      </c>
      <c r="AA525" s="45"/>
      <c r="AB525" s="46" t="s">
        <v>126</v>
      </c>
      <c r="AC525" s="44">
        <v>67.0</v>
      </c>
    </row>
    <row r="526">
      <c r="A526" s="2">
        <v>163.0</v>
      </c>
      <c r="B526" s="14">
        <f>IF(PasteBBM!B526="",156,PasteBBM!B526)</f>
        <v>156</v>
      </c>
      <c r="C526" t="str">
        <f>PasteBBM!I526</f>
        <v>Micah Potter</v>
      </c>
      <c r="D526" t="str">
        <f>IFERROR(REPLACE(PasteBBM!K526,FIND("/",PasteBBM!K526,1),1,","),PasteBBM!K526)</f>
        <v>PF,C</v>
      </c>
      <c r="E526" t="str">
        <f>PasteBBM!J526</f>
        <v>SAS</v>
      </c>
      <c r="F526">
        <f>PasteBBM!U526</f>
        <v>0</v>
      </c>
      <c r="G526">
        <f>PasteBBM!X526</f>
        <v>0</v>
      </c>
      <c r="H526">
        <f>PasteBBM!AE526*PasteBBM!AF526</f>
        <v>0</v>
      </c>
      <c r="I526">
        <f>PasteBBM!AE526</f>
        <v>0</v>
      </c>
      <c r="J526">
        <f>PasteBBM!AG526*PasteBBM!AH526</f>
        <v>0</v>
      </c>
      <c r="K526">
        <f>PasteBBM!AG526</f>
        <v>0</v>
      </c>
      <c r="L526">
        <f>PasteBBM!Z526</f>
        <v>0</v>
      </c>
      <c r="M526">
        <f>PasteBBM!Y526</f>
        <v>0</v>
      </c>
      <c r="N526">
        <f>PasteBBM!AA526</f>
        <v>0</v>
      </c>
      <c r="O526">
        <f>PasteBBM!AB526</f>
        <v>0</v>
      </c>
      <c r="P526">
        <f>PasteBBM!AC526</f>
        <v>0</v>
      </c>
      <c r="Q526">
        <f>PasteBBM!AD526</f>
        <v>0</v>
      </c>
      <c r="R526">
        <f>PasteBBM!AI526</f>
        <v>0</v>
      </c>
      <c r="S526">
        <f>PasteBBM!AE526</f>
        <v>0</v>
      </c>
      <c r="T526">
        <f>PasteBBM!AG526</f>
        <v>0</v>
      </c>
      <c r="V526" s="44">
        <v>-0.41709</v>
      </c>
      <c r="W526" s="44">
        <v>-0.00658</v>
      </c>
      <c r="X526" s="44">
        <v>0.009207</v>
      </c>
      <c r="Y526" s="44">
        <v>-0.4263</v>
      </c>
      <c r="Z526" s="44">
        <v>-0.34564</v>
      </c>
      <c r="AA526" s="45"/>
      <c r="AB526" s="46" t="s">
        <v>126</v>
      </c>
      <c r="AC526" s="44">
        <v>67.0</v>
      </c>
    </row>
    <row r="527">
      <c r="A527" s="2">
        <v>163.0</v>
      </c>
      <c r="B527" s="14">
        <f>IF(PasteBBM!B527="",156,PasteBBM!B527)</f>
        <v>156</v>
      </c>
      <c r="C527" t="str">
        <f>PasteBBM!I527</f>
        <v>Ron Harper Jr.</v>
      </c>
      <c r="D527" t="str">
        <f>IFERROR(REPLACE(PasteBBM!K527,FIND("/",PasteBBM!K527,1),1,","),PasteBBM!K527)</f>
        <v>SF</v>
      </c>
      <c r="E527" t="str">
        <f>PasteBBM!J527</f>
        <v>BOS</v>
      </c>
      <c r="F527">
        <f>PasteBBM!U527</f>
        <v>0</v>
      </c>
      <c r="G527">
        <f>PasteBBM!X527</f>
        <v>0</v>
      </c>
      <c r="H527">
        <f>PasteBBM!AE527*PasteBBM!AF527</f>
        <v>0</v>
      </c>
      <c r="I527">
        <f>PasteBBM!AE527</f>
        <v>0</v>
      </c>
      <c r="J527">
        <f>PasteBBM!AG527*PasteBBM!AH527</f>
        <v>0</v>
      </c>
      <c r="K527">
        <f>PasteBBM!AG527</f>
        <v>0</v>
      </c>
      <c r="L527">
        <f>PasteBBM!Z527</f>
        <v>0</v>
      </c>
      <c r="M527">
        <f>PasteBBM!Y527</f>
        <v>0</v>
      </c>
      <c r="N527">
        <f>PasteBBM!AA527</f>
        <v>0</v>
      </c>
      <c r="O527">
        <f>PasteBBM!AB527</f>
        <v>0</v>
      </c>
      <c r="P527">
        <f>PasteBBM!AC527</f>
        <v>0</v>
      </c>
      <c r="Q527">
        <f>PasteBBM!AD527</f>
        <v>0</v>
      </c>
      <c r="R527">
        <f>PasteBBM!AI527</f>
        <v>0</v>
      </c>
      <c r="S527">
        <f>PasteBBM!AE527</f>
        <v>0</v>
      </c>
      <c r="T527">
        <f>PasteBBM!AG527</f>
        <v>0</v>
      </c>
      <c r="V527" s="44">
        <v>-0.41709</v>
      </c>
      <c r="W527" s="44">
        <v>-0.00658</v>
      </c>
      <c r="X527" s="44">
        <v>0.009207</v>
      </c>
      <c r="Y527" s="44">
        <v>-0.4263</v>
      </c>
      <c r="Z527" s="44">
        <v>-0.34564</v>
      </c>
      <c r="AA527" s="45"/>
      <c r="AB527" s="46" t="s">
        <v>126</v>
      </c>
      <c r="AC527" s="44">
        <v>67.0</v>
      </c>
    </row>
    <row r="528">
      <c r="A528" s="2">
        <v>163.0</v>
      </c>
      <c r="B528" s="14">
        <f>IF(PasteBBM!B528="",156,PasteBBM!B528)</f>
        <v>156</v>
      </c>
      <c r="C528" t="str">
        <f>PasteBBM!I528</f>
        <v>Kobe Johnson</v>
      </c>
      <c r="D528" t="str">
        <f>IFERROR(REPLACE(PasteBBM!K528,FIND("/",PasteBBM!K528,1),1,","),PasteBBM!K528)</f>
        <v>SF</v>
      </c>
      <c r="E528" t="str">
        <f>PasteBBM!J528</f>
        <v>ATL</v>
      </c>
      <c r="F528">
        <f>PasteBBM!U528</f>
        <v>0</v>
      </c>
      <c r="G528">
        <f>PasteBBM!X528</f>
        <v>0</v>
      </c>
      <c r="H528">
        <f>PasteBBM!AE528*PasteBBM!AF528</f>
        <v>0</v>
      </c>
      <c r="I528">
        <f>PasteBBM!AE528</f>
        <v>0</v>
      </c>
      <c r="J528">
        <f>PasteBBM!AG528*PasteBBM!AH528</f>
        <v>0</v>
      </c>
      <c r="K528">
        <f>PasteBBM!AG528</f>
        <v>0</v>
      </c>
      <c r="L528">
        <f>PasteBBM!Z528</f>
        <v>0</v>
      </c>
      <c r="M528">
        <f>PasteBBM!Y528</f>
        <v>0</v>
      </c>
      <c r="N528">
        <f>PasteBBM!AA528</f>
        <v>0</v>
      </c>
      <c r="O528">
        <f>PasteBBM!AB528</f>
        <v>0</v>
      </c>
      <c r="P528">
        <f>PasteBBM!AC528</f>
        <v>0</v>
      </c>
      <c r="Q528">
        <f>PasteBBM!AD528</f>
        <v>0</v>
      </c>
      <c r="R528">
        <f>PasteBBM!AI528</f>
        <v>0</v>
      </c>
      <c r="S528">
        <f>PasteBBM!AE528</f>
        <v>0</v>
      </c>
      <c r="T528">
        <f>PasteBBM!AG528</f>
        <v>0</v>
      </c>
      <c r="V528" s="44">
        <v>-0.41709</v>
      </c>
      <c r="W528" s="44">
        <v>-0.00658</v>
      </c>
      <c r="X528" s="44">
        <v>0.009207</v>
      </c>
      <c r="Y528" s="44">
        <v>-0.4263</v>
      </c>
      <c r="Z528" s="44">
        <v>-0.34564</v>
      </c>
      <c r="AA528" s="45"/>
      <c r="AB528" s="46" t="s">
        <v>126</v>
      </c>
      <c r="AC528" s="44">
        <v>67.0</v>
      </c>
    </row>
    <row r="529">
      <c r="A529" s="2">
        <v>163.0</v>
      </c>
      <c r="B529" s="14">
        <f>IF(PasteBBM!B529="",156,PasteBBM!B529)</f>
        <v>156</v>
      </c>
      <c r="C529" t="str">
        <f>PasteBBM!I529</f>
        <v>Jon Elmore</v>
      </c>
      <c r="D529" t="str">
        <f>IFERROR(REPLACE(PasteBBM!K529,FIND("/",PasteBBM!K529,1),1,","),PasteBBM!K529)</f>
        <v>SG</v>
      </c>
      <c r="E529" t="str">
        <f>PasteBBM!J529</f>
        <v>SAC</v>
      </c>
      <c r="F529">
        <f>PasteBBM!U529</f>
        <v>0</v>
      </c>
      <c r="G529">
        <f>PasteBBM!X529</f>
        <v>0</v>
      </c>
      <c r="H529">
        <f>PasteBBM!AE529*PasteBBM!AF529</f>
        <v>0</v>
      </c>
      <c r="I529">
        <f>PasteBBM!AE529</f>
        <v>0</v>
      </c>
      <c r="J529">
        <f>PasteBBM!AG529*PasteBBM!AH529</f>
        <v>0</v>
      </c>
      <c r="K529">
        <f>PasteBBM!AG529</f>
        <v>0</v>
      </c>
      <c r="L529">
        <f>PasteBBM!Z529</f>
        <v>0</v>
      </c>
      <c r="M529">
        <f>PasteBBM!Y529</f>
        <v>0</v>
      </c>
      <c r="N529">
        <f>PasteBBM!AA529</f>
        <v>0</v>
      </c>
      <c r="O529">
        <f>PasteBBM!AB529</f>
        <v>0</v>
      </c>
      <c r="P529">
        <f>PasteBBM!AC529</f>
        <v>0</v>
      </c>
      <c r="Q529">
        <f>PasteBBM!AD529</f>
        <v>0</v>
      </c>
      <c r="R529">
        <f>PasteBBM!AI529</f>
        <v>0</v>
      </c>
      <c r="S529">
        <f>PasteBBM!AE529</f>
        <v>0</v>
      </c>
      <c r="T529">
        <f>PasteBBM!AG529</f>
        <v>0</v>
      </c>
      <c r="V529" s="44">
        <v>-0.41709</v>
      </c>
      <c r="W529" s="44">
        <v>-0.00658</v>
      </c>
      <c r="X529" s="44">
        <v>0.009207</v>
      </c>
      <c r="Y529" s="44">
        <v>-0.4263</v>
      </c>
      <c r="Z529" s="44">
        <v>-0.34564</v>
      </c>
      <c r="AA529" s="45"/>
      <c r="AB529" s="46" t="s">
        <v>126</v>
      </c>
      <c r="AC529" s="44">
        <v>67.0</v>
      </c>
    </row>
    <row r="530">
      <c r="A530" s="2">
        <v>163.0</v>
      </c>
      <c r="B530" s="14">
        <f>IF(PasteBBM!B530="",156,PasteBBM!B530)</f>
        <v>156</v>
      </c>
      <c r="C530" t="str">
        <f>PasteBBM!I530</f>
        <v>Dennis Smith Jr.</v>
      </c>
      <c r="D530" t="str">
        <f>IFERROR(REPLACE(PasteBBM!K530,FIND("/",PasteBBM!K530,1),1,","),PasteBBM!K530)</f>
        <v>PG</v>
      </c>
      <c r="E530" t="str">
        <f>PasteBBM!J530</f>
        <v>DAL</v>
      </c>
      <c r="F530">
        <f>PasteBBM!U530</f>
        <v>0</v>
      </c>
      <c r="G530">
        <f>PasteBBM!X530</f>
        <v>0</v>
      </c>
      <c r="H530">
        <f>PasteBBM!AE530*PasteBBM!AF530</f>
        <v>0</v>
      </c>
      <c r="I530">
        <f>PasteBBM!AE530</f>
        <v>0</v>
      </c>
      <c r="J530">
        <f>PasteBBM!AG530*PasteBBM!AH530</f>
        <v>0</v>
      </c>
      <c r="K530">
        <f>PasteBBM!AG530</f>
        <v>0</v>
      </c>
      <c r="L530">
        <f>PasteBBM!Z530</f>
        <v>0</v>
      </c>
      <c r="M530">
        <f>PasteBBM!Y530</f>
        <v>0</v>
      </c>
      <c r="N530">
        <f>PasteBBM!AA530</f>
        <v>0</v>
      </c>
      <c r="O530">
        <f>PasteBBM!AB530</f>
        <v>0</v>
      </c>
      <c r="P530">
        <f>PasteBBM!AC530</f>
        <v>0</v>
      </c>
      <c r="Q530">
        <f>PasteBBM!AD530</f>
        <v>0</v>
      </c>
      <c r="R530">
        <f>PasteBBM!AI530</f>
        <v>0</v>
      </c>
      <c r="S530">
        <f>PasteBBM!AE530</f>
        <v>0</v>
      </c>
      <c r="T530">
        <f>PasteBBM!AG530</f>
        <v>0</v>
      </c>
      <c r="V530" s="44">
        <v>-0.41709</v>
      </c>
      <c r="W530" s="44">
        <v>-0.00658</v>
      </c>
      <c r="X530" s="44">
        <v>0.009207</v>
      </c>
      <c r="Y530" s="44">
        <v>-0.4263</v>
      </c>
      <c r="Z530" s="44">
        <v>-0.34564</v>
      </c>
      <c r="AA530" s="45"/>
      <c r="AB530" s="46" t="s">
        <v>126</v>
      </c>
      <c r="AC530" s="44">
        <v>67.0</v>
      </c>
    </row>
    <row r="531">
      <c r="A531" s="2">
        <v>163.0</v>
      </c>
      <c r="B531" s="14">
        <f>IF(PasteBBM!B531="",156,PasteBBM!B531)</f>
        <v>156</v>
      </c>
      <c r="C531" t="str">
        <f>PasteBBM!I531</f>
        <v>Moussa Cisse</v>
      </c>
      <c r="D531" t="str">
        <f>IFERROR(REPLACE(PasteBBM!K531,FIND("/",PasteBBM!K531,1),1,","),PasteBBM!K531)</f>
        <v>C</v>
      </c>
      <c r="E531" t="str">
        <f>PasteBBM!J531</f>
        <v>DAL</v>
      </c>
      <c r="F531">
        <f>PasteBBM!U531</f>
        <v>0</v>
      </c>
      <c r="G531">
        <f>PasteBBM!X531</f>
        <v>0</v>
      </c>
      <c r="H531">
        <f>PasteBBM!AE531*PasteBBM!AF531</f>
        <v>0</v>
      </c>
      <c r="I531">
        <f>PasteBBM!AE531</f>
        <v>0</v>
      </c>
      <c r="J531">
        <f>PasteBBM!AG531*PasteBBM!AH531</f>
        <v>0</v>
      </c>
      <c r="K531">
        <f>PasteBBM!AG531</f>
        <v>0</v>
      </c>
      <c r="L531">
        <f>PasteBBM!Z531</f>
        <v>0</v>
      </c>
      <c r="M531">
        <f>PasteBBM!Y531</f>
        <v>0</v>
      </c>
      <c r="N531">
        <f>PasteBBM!AA531</f>
        <v>0</v>
      </c>
      <c r="O531">
        <f>PasteBBM!AB531</f>
        <v>0</v>
      </c>
      <c r="P531">
        <f>PasteBBM!AC531</f>
        <v>0</v>
      </c>
      <c r="Q531">
        <f>PasteBBM!AD531</f>
        <v>0</v>
      </c>
      <c r="R531">
        <f>PasteBBM!AI531</f>
        <v>0</v>
      </c>
      <c r="S531">
        <f>PasteBBM!AE531</f>
        <v>0</v>
      </c>
      <c r="T531">
        <f>PasteBBM!AG531</f>
        <v>0</v>
      </c>
      <c r="V531" s="44">
        <v>-0.41709</v>
      </c>
      <c r="W531" s="44">
        <v>-0.00658</v>
      </c>
      <c r="X531" s="44">
        <v>0.009207</v>
      </c>
      <c r="Y531" s="44">
        <v>-0.4263</v>
      </c>
      <c r="Z531" s="44">
        <v>-0.34564</v>
      </c>
      <c r="AA531" s="45"/>
      <c r="AB531" s="46" t="s">
        <v>126</v>
      </c>
      <c r="AC531" s="44">
        <v>67.0</v>
      </c>
    </row>
    <row r="532">
      <c r="A532" s="2">
        <v>163.0</v>
      </c>
      <c r="B532" s="14">
        <f>IF(PasteBBM!B532="",156,PasteBBM!B532)</f>
        <v>156</v>
      </c>
      <c r="C532" t="str">
        <f>PasteBBM!I532</f>
        <v>Jalen Slawson</v>
      </c>
      <c r="D532" t="str">
        <f>IFERROR(REPLACE(PasteBBM!K532,FIND("/",PasteBBM!K532,1),1,","),PasteBBM!K532)</f>
        <v>SF</v>
      </c>
      <c r="E532" t="str">
        <f>PasteBBM!J532</f>
        <v>IND</v>
      </c>
      <c r="F532">
        <f>PasteBBM!U532</f>
        <v>0</v>
      </c>
      <c r="G532">
        <f>PasteBBM!X532</f>
        <v>0</v>
      </c>
      <c r="H532">
        <f>PasteBBM!AE532*PasteBBM!AF532</f>
        <v>0</v>
      </c>
      <c r="I532">
        <f>PasteBBM!AE532</f>
        <v>0</v>
      </c>
      <c r="J532">
        <f>PasteBBM!AG532*PasteBBM!AH532</f>
        <v>0</v>
      </c>
      <c r="K532">
        <f>PasteBBM!AG532</f>
        <v>0</v>
      </c>
      <c r="L532">
        <f>PasteBBM!Z532</f>
        <v>0</v>
      </c>
      <c r="M532">
        <f>PasteBBM!Y532</f>
        <v>0</v>
      </c>
      <c r="N532">
        <f>PasteBBM!AA532</f>
        <v>0</v>
      </c>
      <c r="O532">
        <f>PasteBBM!AB532</f>
        <v>0</v>
      </c>
      <c r="P532">
        <f>PasteBBM!AC532</f>
        <v>0</v>
      </c>
      <c r="Q532">
        <f>PasteBBM!AD532</f>
        <v>0</v>
      </c>
      <c r="R532">
        <f>PasteBBM!AI532</f>
        <v>0</v>
      </c>
      <c r="S532">
        <f>PasteBBM!AE532</f>
        <v>0</v>
      </c>
      <c r="T532">
        <f>PasteBBM!AG532</f>
        <v>0</v>
      </c>
      <c r="V532" s="44">
        <v>-0.41709</v>
      </c>
      <c r="W532" s="44">
        <v>-0.00658</v>
      </c>
      <c r="X532" s="44">
        <v>0.009207</v>
      </c>
      <c r="Y532" s="44">
        <v>-0.4263</v>
      </c>
      <c r="Z532" s="44">
        <v>-0.34564</v>
      </c>
      <c r="AA532" s="45"/>
      <c r="AB532" s="46" t="s">
        <v>126</v>
      </c>
      <c r="AC532" s="44">
        <v>67.0</v>
      </c>
    </row>
    <row r="533">
      <c r="A533" s="2">
        <v>163.0</v>
      </c>
      <c r="B533" s="14">
        <f>IF(PasteBBM!B533="",156,PasteBBM!B533)</f>
        <v>156</v>
      </c>
      <c r="C533" t="str">
        <f>PasteBBM!I533</f>
        <v>Isaac Nogues</v>
      </c>
      <c r="D533" t="str">
        <f>IFERROR(REPLACE(PasteBBM!K533,FIND("/",PasteBBM!K533,1),1,","),PasteBBM!K533)</f>
        <v>SG</v>
      </c>
      <c r="E533" t="str">
        <f>PasteBBM!J533</f>
        <v>SAC</v>
      </c>
      <c r="F533">
        <f>PasteBBM!U533</f>
        <v>0</v>
      </c>
      <c r="G533">
        <f>PasteBBM!X533</f>
        <v>0</v>
      </c>
      <c r="H533">
        <f>PasteBBM!AE533*PasteBBM!AF533</f>
        <v>0</v>
      </c>
      <c r="I533">
        <f>PasteBBM!AE533</f>
        <v>0</v>
      </c>
      <c r="J533">
        <f>PasteBBM!AG533*PasteBBM!AH533</f>
        <v>0</v>
      </c>
      <c r="K533">
        <f>PasteBBM!AG533</f>
        <v>0</v>
      </c>
      <c r="L533">
        <f>PasteBBM!Z533</f>
        <v>0</v>
      </c>
      <c r="M533">
        <f>PasteBBM!Y533</f>
        <v>0</v>
      </c>
      <c r="N533">
        <f>PasteBBM!AA533</f>
        <v>0</v>
      </c>
      <c r="O533">
        <f>PasteBBM!AB533</f>
        <v>0</v>
      </c>
      <c r="P533">
        <f>PasteBBM!AC533</f>
        <v>0</v>
      </c>
      <c r="Q533">
        <f>PasteBBM!AD533</f>
        <v>0</v>
      </c>
      <c r="R533">
        <f>PasteBBM!AI533</f>
        <v>0</v>
      </c>
      <c r="S533">
        <f>PasteBBM!AE533</f>
        <v>0</v>
      </c>
      <c r="T533">
        <f>PasteBBM!AG533</f>
        <v>0</v>
      </c>
      <c r="V533" s="44">
        <v>-0.41709</v>
      </c>
      <c r="W533" s="44">
        <v>-0.00658</v>
      </c>
      <c r="X533" s="44">
        <v>0.009207</v>
      </c>
      <c r="Y533" s="44">
        <v>-0.4263</v>
      </c>
      <c r="Z533" s="44">
        <v>-0.34564</v>
      </c>
      <c r="AA533" s="45"/>
      <c r="AB533" s="46" t="s">
        <v>126</v>
      </c>
      <c r="AC533" s="44">
        <v>67.0</v>
      </c>
    </row>
    <row r="534">
      <c r="A534" s="2">
        <v>163.0</v>
      </c>
      <c r="B534" s="14">
        <f>IF(PasteBBM!B534="",156,PasteBBM!B534)</f>
        <v>138.6667</v>
      </c>
      <c r="C534" t="str">
        <f>PasteBBM!I534</f>
        <v>Amir Coffey</v>
      </c>
      <c r="D534" t="str">
        <f>IFERROR(REPLACE(PasteBBM!K534,FIND("/",PasteBBM!K534,1),1,","),PasteBBM!K534)</f>
        <v>SG,SF/PF</v>
      </c>
      <c r="E534" t="str">
        <f>PasteBBM!J534</f>
        <v>MIL</v>
      </c>
      <c r="F534">
        <f>PasteBBM!U534</f>
        <v>0</v>
      </c>
      <c r="G534">
        <f>PasteBBM!X534</f>
        <v>0</v>
      </c>
      <c r="H534">
        <f>PasteBBM!AE534*PasteBBM!AF534</f>
        <v>0</v>
      </c>
      <c r="I534">
        <f>PasteBBM!AE534</f>
        <v>0</v>
      </c>
      <c r="J534">
        <f>PasteBBM!AG534*PasteBBM!AH534</f>
        <v>0</v>
      </c>
      <c r="K534">
        <f>PasteBBM!AG534</f>
        <v>0</v>
      </c>
      <c r="L534">
        <f>PasteBBM!Z534</f>
        <v>0</v>
      </c>
      <c r="M534">
        <f>PasteBBM!Y534</f>
        <v>0</v>
      </c>
      <c r="N534">
        <f>PasteBBM!AA534</f>
        <v>0</v>
      </c>
      <c r="O534">
        <f>PasteBBM!AB534</f>
        <v>0</v>
      </c>
      <c r="P534">
        <f>PasteBBM!AC534</f>
        <v>0</v>
      </c>
      <c r="Q534">
        <f>PasteBBM!AD534</f>
        <v>0</v>
      </c>
      <c r="R534">
        <f>PasteBBM!AI534</f>
        <v>0</v>
      </c>
      <c r="S534">
        <f>PasteBBM!AE534</f>
        <v>0</v>
      </c>
      <c r="T534">
        <f>PasteBBM!AG534</f>
        <v>0</v>
      </c>
      <c r="V534" s="44">
        <v>-0.41709</v>
      </c>
      <c r="W534" s="44">
        <v>-0.00658</v>
      </c>
      <c r="X534" s="44">
        <v>0.009207</v>
      </c>
      <c r="Y534" s="44">
        <v>-0.4263</v>
      </c>
      <c r="Z534" s="44">
        <v>-0.34564</v>
      </c>
      <c r="AA534" s="45"/>
      <c r="AB534" s="46" t="s">
        <v>126</v>
      </c>
      <c r="AC534" s="44">
        <v>67.0</v>
      </c>
    </row>
    <row r="535">
      <c r="A535" s="2">
        <v>163.0</v>
      </c>
      <c r="B535" s="14">
        <f>IF(PasteBBM!B535="",156,PasteBBM!B535)</f>
        <v>156</v>
      </c>
      <c r="C535" t="str">
        <f>PasteBBM!I535</f>
        <v>Dariq Whitehead</v>
      </c>
      <c r="D535" t="str">
        <f>IFERROR(REPLACE(PasteBBM!K535,FIND("/",PasteBBM!K535,1),1,","),PasteBBM!K535)</f>
        <v>SF</v>
      </c>
      <c r="E535" t="str">
        <f>PasteBBM!J535</f>
        <v>BKN</v>
      </c>
      <c r="F535">
        <f>PasteBBM!U535</f>
        <v>0</v>
      </c>
      <c r="G535">
        <f>PasteBBM!X535</f>
        <v>0</v>
      </c>
      <c r="H535">
        <f>PasteBBM!AE535*PasteBBM!AF535</f>
        <v>0</v>
      </c>
      <c r="I535">
        <f>PasteBBM!AE535</f>
        <v>0</v>
      </c>
      <c r="J535">
        <f>PasteBBM!AG535*PasteBBM!AH535</f>
        <v>0</v>
      </c>
      <c r="K535">
        <f>PasteBBM!AG535</f>
        <v>0</v>
      </c>
      <c r="L535">
        <f>PasteBBM!Z535</f>
        <v>0</v>
      </c>
      <c r="M535">
        <f>PasteBBM!Y535</f>
        <v>0</v>
      </c>
      <c r="N535">
        <f>PasteBBM!AA535</f>
        <v>0</v>
      </c>
      <c r="O535">
        <f>PasteBBM!AB535</f>
        <v>0</v>
      </c>
      <c r="P535">
        <f>PasteBBM!AC535</f>
        <v>0</v>
      </c>
      <c r="Q535">
        <f>PasteBBM!AD535</f>
        <v>0</v>
      </c>
      <c r="R535">
        <f>PasteBBM!AI535</f>
        <v>0</v>
      </c>
      <c r="S535">
        <f>PasteBBM!AE535</f>
        <v>0</v>
      </c>
      <c r="T535">
        <f>PasteBBM!AG535</f>
        <v>0</v>
      </c>
      <c r="V535" s="44">
        <v>-0.41709</v>
      </c>
      <c r="W535" s="44">
        <v>-0.00658</v>
      </c>
      <c r="X535" s="44">
        <v>0.009207</v>
      </c>
      <c r="Y535" s="44">
        <v>-0.4263</v>
      </c>
      <c r="Z535" s="44">
        <v>-0.34564</v>
      </c>
      <c r="AA535" s="45"/>
      <c r="AB535" s="46" t="s">
        <v>126</v>
      </c>
      <c r="AC535" s="44">
        <v>67.0</v>
      </c>
    </row>
    <row r="536">
      <c r="A536" s="2">
        <v>163.0</v>
      </c>
      <c r="B536" s="14">
        <f>IF(PasteBBM!B536="",156,PasteBBM!B536)</f>
        <v>156</v>
      </c>
      <c r="C536" t="str">
        <f>PasteBBM!I536</f>
        <v>Drew Timme</v>
      </c>
      <c r="D536" t="str">
        <f>IFERROR(REPLACE(PasteBBM!K536,FIND("/",PasteBBM!K536,1),1,","),PasteBBM!K536)</f>
        <v>PF</v>
      </c>
      <c r="E536" t="str">
        <f>PasteBBM!J536</f>
        <v>BKN</v>
      </c>
      <c r="F536">
        <f>PasteBBM!U536</f>
        <v>0</v>
      </c>
      <c r="G536">
        <f>PasteBBM!X536</f>
        <v>0</v>
      </c>
      <c r="H536">
        <f>PasteBBM!AE536*PasteBBM!AF536</f>
        <v>0</v>
      </c>
      <c r="I536">
        <f>PasteBBM!AE536</f>
        <v>0</v>
      </c>
      <c r="J536">
        <f>PasteBBM!AG536*PasteBBM!AH536</f>
        <v>0</v>
      </c>
      <c r="K536">
        <f>PasteBBM!AG536</f>
        <v>0</v>
      </c>
      <c r="L536">
        <f>PasteBBM!Z536</f>
        <v>0</v>
      </c>
      <c r="M536">
        <f>PasteBBM!Y536</f>
        <v>0</v>
      </c>
      <c r="N536">
        <f>PasteBBM!AA536</f>
        <v>0</v>
      </c>
      <c r="O536">
        <f>PasteBBM!AB536</f>
        <v>0</v>
      </c>
      <c r="P536">
        <f>PasteBBM!AC536</f>
        <v>0</v>
      </c>
      <c r="Q536">
        <f>PasteBBM!AD536</f>
        <v>0</v>
      </c>
      <c r="R536">
        <f>PasteBBM!AI536</f>
        <v>0</v>
      </c>
      <c r="S536">
        <f>PasteBBM!AE536</f>
        <v>0</v>
      </c>
      <c r="T536">
        <f>PasteBBM!AG536</f>
        <v>0</v>
      </c>
      <c r="V536" s="44">
        <v>-0.41709</v>
      </c>
      <c r="W536" s="44">
        <v>-0.00658</v>
      </c>
      <c r="X536" s="44">
        <v>0.009207</v>
      </c>
      <c r="Y536" s="44">
        <v>-0.4263</v>
      </c>
      <c r="Z536" s="44">
        <v>-0.34564</v>
      </c>
      <c r="AA536" s="45"/>
      <c r="AB536" s="46" t="s">
        <v>126</v>
      </c>
      <c r="AC536" s="44">
        <v>67.0</v>
      </c>
    </row>
    <row r="537">
      <c r="A537" s="2">
        <v>163.0</v>
      </c>
      <c r="B537" s="14">
        <f>IF(PasteBBM!B537="",156,PasteBBM!B537)</f>
        <v>156</v>
      </c>
      <c r="C537" t="str">
        <f>PasteBBM!I537</f>
        <v>Christian Shumate</v>
      </c>
      <c r="D537" t="str">
        <f>IFERROR(REPLACE(PasteBBM!K537,FIND("/",PasteBBM!K537,1),1,","),PasteBBM!K537)</f>
        <v>SF,PF</v>
      </c>
      <c r="E537" t="str">
        <f>PasteBBM!J537</f>
        <v>NOR</v>
      </c>
      <c r="F537">
        <f>PasteBBM!U537</f>
        <v>0</v>
      </c>
      <c r="G537">
        <f>PasteBBM!X537</f>
        <v>0</v>
      </c>
      <c r="H537">
        <f>PasteBBM!AE537*PasteBBM!AF537</f>
        <v>0</v>
      </c>
      <c r="I537">
        <f>PasteBBM!AE537</f>
        <v>0</v>
      </c>
      <c r="J537">
        <f>PasteBBM!AG537*PasteBBM!AH537</f>
        <v>0</v>
      </c>
      <c r="K537">
        <f>PasteBBM!AG537</f>
        <v>0</v>
      </c>
      <c r="L537">
        <f>PasteBBM!Z537</f>
        <v>0</v>
      </c>
      <c r="M537">
        <f>PasteBBM!Y537</f>
        <v>0</v>
      </c>
      <c r="N537">
        <f>PasteBBM!AA537</f>
        <v>0</v>
      </c>
      <c r="O537">
        <f>PasteBBM!AB537</f>
        <v>0</v>
      </c>
      <c r="P537">
        <f>PasteBBM!AC537</f>
        <v>0</v>
      </c>
      <c r="Q537">
        <f>PasteBBM!AD537</f>
        <v>0</v>
      </c>
      <c r="R537">
        <f>PasteBBM!AI537</f>
        <v>0</v>
      </c>
      <c r="S537">
        <f>PasteBBM!AE537</f>
        <v>0</v>
      </c>
      <c r="T537">
        <f>PasteBBM!AG537</f>
        <v>0</v>
      </c>
      <c r="V537" s="44">
        <v>-0.41709</v>
      </c>
      <c r="W537" s="44">
        <v>-0.00658</v>
      </c>
      <c r="X537" s="44">
        <v>0.009207</v>
      </c>
      <c r="Y537" s="44">
        <v>-0.4263</v>
      </c>
      <c r="Z537" s="44">
        <v>-0.34564</v>
      </c>
      <c r="AA537" s="45"/>
      <c r="AB537" s="46" t="s">
        <v>126</v>
      </c>
      <c r="AC537" s="44">
        <v>67.0</v>
      </c>
    </row>
    <row r="538">
      <c r="A538" s="2">
        <v>163.0</v>
      </c>
      <c r="B538" s="14">
        <f>IF(PasteBBM!B538="",156,PasteBBM!B538)</f>
        <v>156</v>
      </c>
      <c r="C538" t="str">
        <f>PasteBBM!I538</f>
        <v>Dain Dainja</v>
      </c>
      <c r="D538" t="str">
        <f>IFERROR(REPLACE(PasteBBM!K538,FIND("/",PasteBBM!K538,1),1,","),PasteBBM!K538)</f>
        <v>SF,PF</v>
      </c>
      <c r="E538" t="str">
        <f>PasteBBM!J538</f>
        <v>MIA</v>
      </c>
      <c r="F538">
        <f>PasteBBM!U538</f>
        <v>0</v>
      </c>
      <c r="G538">
        <f>PasteBBM!X538</f>
        <v>0</v>
      </c>
      <c r="H538">
        <f>PasteBBM!AE538*PasteBBM!AF538</f>
        <v>0</v>
      </c>
      <c r="I538">
        <f>PasteBBM!AE538</f>
        <v>0</v>
      </c>
      <c r="J538">
        <f>PasteBBM!AG538*PasteBBM!AH538</f>
        <v>0</v>
      </c>
      <c r="K538">
        <f>PasteBBM!AG538</f>
        <v>0</v>
      </c>
      <c r="L538">
        <f>PasteBBM!Z538</f>
        <v>0</v>
      </c>
      <c r="M538">
        <f>PasteBBM!Y538</f>
        <v>0</v>
      </c>
      <c r="N538">
        <f>PasteBBM!AA538</f>
        <v>0</v>
      </c>
      <c r="O538">
        <f>PasteBBM!AB538</f>
        <v>0</v>
      </c>
      <c r="P538">
        <f>PasteBBM!AC538</f>
        <v>0</v>
      </c>
      <c r="Q538">
        <f>PasteBBM!AD538</f>
        <v>0</v>
      </c>
      <c r="R538">
        <f>PasteBBM!AI538</f>
        <v>0</v>
      </c>
      <c r="S538">
        <f>PasteBBM!AE538</f>
        <v>0</v>
      </c>
      <c r="T538">
        <f>PasteBBM!AG538</f>
        <v>0</v>
      </c>
      <c r="V538" s="44">
        <v>-0.41709</v>
      </c>
      <c r="W538" s="44">
        <v>-0.00658</v>
      </c>
      <c r="X538" s="44">
        <v>0.009207</v>
      </c>
      <c r="Y538" s="44">
        <v>-0.4263</v>
      </c>
      <c r="Z538" s="44">
        <v>-0.34564</v>
      </c>
      <c r="AA538" s="45"/>
      <c r="AB538" s="46" t="s">
        <v>126</v>
      </c>
      <c r="AC538" s="44">
        <v>67.0</v>
      </c>
    </row>
    <row r="539">
      <c r="A539" s="2">
        <v>163.0</v>
      </c>
      <c r="B539" s="14">
        <f>IF(PasteBBM!B539="",156,PasteBBM!B539)</f>
        <v>156</v>
      </c>
      <c r="C539" t="str">
        <f>PasteBBM!I539</f>
        <v>Patrick McCaffery</v>
      </c>
      <c r="D539" t="str">
        <f>IFERROR(REPLACE(PasteBBM!K539,FIND("/",PasteBBM!K539,1),1,","),PasteBBM!K539)</f>
        <v>SF</v>
      </c>
      <c r="E539" t="str">
        <f>PasteBBM!J539</f>
        <v>SAC</v>
      </c>
      <c r="F539">
        <f>PasteBBM!U539</f>
        <v>0</v>
      </c>
      <c r="G539">
        <f>PasteBBM!X539</f>
        <v>0</v>
      </c>
      <c r="H539">
        <f>PasteBBM!AE539*PasteBBM!AF539</f>
        <v>0</v>
      </c>
      <c r="I539">
        <f>PasteBBM!AE539</f>
        <v>0</v>
      </c>
      <c r="J539">
        <f>PasteBBM!AG539*PasteBBM!AH539</f>
        <v>0</v>
      </c>
      <c r="K539">
        <f>PasteBBM!AG539</f>
        <v>0</v>
      </c>
      <c r="L539">
        <f>PasteBBM!Z539</f>
        <v>0</v>
      </c>
      <c r="M539">
        <f>PasteBBM!Y539</f>
        <v>0</v>
      </c>
      <c r="N539">
        <f>PasteBBM!AA539</f>
        <v>0</v>
      </c>
      <c r="O539">
        <f>PasteBBM!AB539</f>
        <v>0</v>
      </c>
      <c r="P539">
        <f>PasteBBM!AC539</f>
        <v>0</v>
      </c>
      <c r="Q539">
        <f>PasteBBM!AD539</f>
        <v>0</v>
      </c>
      <c r="R539">
        <f>PasteBBM!AI539</f>
        <v>0</v>
      </c>
      <c r="S539">
        <f>PasteBBM!AE539</f>
        <v>0</v>
      </c>
      <c r="T539">
        <f>PasteBBM!AG539</f>
        <v>0</v>
      </c>
      <c r="V539" s="44">
        <v>-0.41709</v>
      </c>
      <c r="W539" s="44">
        <v>-0.00658</v>
      </c>
      <c r="X539" s="44">
        <v>0.009207</v>
      </c>
      <c r="Y539" s="44">
        <v>-0.4263</v>
      </c>
      <c r="Z539" s="44">
        <v>-0.34564</v>
      </c>
      <c r="AA539" s="45"/>
      <c r="AB539" s="46" t="s">
        <v>126</v>
      </c>
      <c r="AC539" s="44">
        <v>67.0</v>
      </c>
    </row>
    <row r="540">
      <c r="A540" s="2">
        <v>163.0</v>
      </c>
      <c r="B540" s="14">
        <f>IF(PasteBBM!B540="",156,PasteBBM!B540)</f>
        <v>156</v>
      </c>
      <c r="C540" t="str">
        <f>PasteBBM!I540</f>
        <v>L.J. Cryer</v>
      </c>
      <c r="D540" t="str">
        <f>IFERROR(REPLACE(PasteBBM!K540,FIND("/",PasteBBM!K540,1),1,","),PasteBBM!K540)</f>
        <v>PG,SG</v>
      </c>
      <c r="E540" t="str">
        <f>PasteBBM!J540</f>
        <v>GSW</v>
      </c>
      <c r="F540">
        <f>PasteBBM!U540</f>
        <v>0</v>
      </c>
      <c r="G540">
        <f>PasteBBM!X540</f>
        <v>0</v>
      </c>
      <c r="H540">
        <f>PasteBBM!AE540*PasteBBM!AF540</f>
        <v>0</v>
      </c>
      <c r="I540">
        <f>PasteBBM!AE540</f>
        <v>0</v>
      </c>
      <c r="J540">
        <f>PasteBBM!AG540*PasteBBM!AH540</f>
        <v>0</v>
      </c>
      <c r="K540">
        <f>PasteBBM!AG540</f>
        <v>0</v>
      </c>
      <c r="L540">
        <f>PasteBBM!Z540</f>
        <v>0</v>
      </c>
      <c r="M540">
        <f>PasteBBM!Y540</f>
        <v>0</v>
      </c>
      <c r="N540">
        <f>PasteBBM!AA540</f>
        <v>0</v>
      </c>
      <c r="O540">
        <f>PasteBBM!AB540</f>
        <v>0</v>
      </c>
      <c r="P540">
        <f>PasteBBM!AC540</f>
        <v>0</v>
      </c>
      <c r="Q540">
        <f>PasteBBM!AD540</f>
        <v>0</v>
      </c>
      <c r="R540">
        <f>PasteBBM!AI540</f>
        <v>0</v>
      </c>
      <c r="S540">
        <f>PasteBBM!AE540</f>
        <v>0</v>
      </c>
      <c r="T540">
        <f>PasteBBM!AG540</f>
        <v>0</v>
      </c>
      <c r="V540" s="44">
        <v>-0.41709</v>
      </c>
      <c r="W540" s="44">
        <v>-0.00658</v>
      </c>
      <c r="X540" s="44">
        <v>0.009207</v>
      </c>
      <c r="Y540" s="44">
        <v>-0.4263</v>
      </c>
      <c r="Z540" s="44">
        <v>-0.34564</v>
      </c>
      <c r="AA540" s="45"/>
      <c r="AB540" s="46" t="s">
        <v>126</v>
      </c>
      <c r="AC540" s="44">
        <v>67.0</v>
      </c>
    </row>
    <row r="541">
      <c r="A541" s="2">
        <v>163.0</v>
      </c>
      <c r="B541" s="14">
        <f>IF(PasteBBM!B541="",156,PasteBBM!B541)</f>
        <v>156</v>
      </c>
      <c r="C541" t="str">
        <f>PasteBBM!I541</f>
        <v>Lawson Lovering</v>
      </c>
      <c r="D541" t="str">
        <f>IFERROR(REPLACE(PasteBBM!K541,FIND("/",PasteBBM!K541,1),1,","),PasteBBM!K541)</f>
        <v>C</v>
      </c>
      <c r="E541" t="str">
        <f>PasteBBM!J541</f>
        <v>MEM</v>
      </c>
      <c r="F541">
        <f>PasteBBM!U541</f>
        <v>0</v>
      </c>
      <c r="G541">
        <f>PasteBBM!X541</f>
        <v>0</v>
      </c>
      <c r="H541">
        <f>PasteBBM!AE541*PasteBBM!AF541</f>
        <v>0</v>
      </c>
      <c r="I541">
        <f>PasteBBM!AE541</f>
        <v>0</v>
      </c>
      <c r="J541">
        <f>PasteBBM!AG541*PasteBBM!AH541</f>
        <v>0</v>
      </c>
      <c r="K541">
        <f>PasteBBM!AG541</f>
        <v>0</v>
      </c>
      <c r="L541">
        <f>PasteBBM!Z541</f>
        <v>0</v>
      </c>
      <c r="M541">
        <f>PasteBBM!Y541</f>
        <v>0</v>
      </c>
      <c r="N541">
        <f>PasteBBM!AA541</f>
        <v>0</v>
      </c>
      <c r="O541">
        <f>PasteBBM!AB541</f>
        <v>0</v>
      </c>
      <c r="P541">
        <f>PasteBBM!AC541</f>
        <v>0</v>
      </c>
      <c r="Q541">
        <f>PasteBBM!AD541</f>
        <v>0</v>
      </c>
      <c r="R541">
        <f>PasteBBM!AI541</f>
        <v>0</v>
      </c>
      <c r="S541">
        <f>PasteBBM!AE541</f>
        <v>0</v>
      </c>
      <c r="T541">
        <f>PasteBBM!AG541</f>
        <v>0</v>
      </c>
      <c r="V541" s="44">
        <v>-0.41709</v>
      </c>
      <c r="W541" s="44">
        <v>-0.00658</v>
      </c>
      <c r="X541" s="44">
        <v>0.009207</v>
      </c>
      <c r="Y541" s="44">
        <v>-0.4263</v>
      </c>
      <c r="Z541" s="44">
        <v>-0.34564</v>
      </c>
      <c r="AA541" s="45"/>
      <c r="AB541" s="46" t="s">
        <v>126</v>
      </c>
      <c r="AC541" s="44">
        <v>67.0</v>
      </c>
    </row>
    <row r="542">
      <c r="A542" s="2">
        <v>163.0</v>
      </c>
      <c r="B542" s="14">
        <f>IF(PasteBBM!B542="",156,PasteBBM!B542)</f>
        <v>156</v>
      </c>
      <c r="C542" t="str">
        <f>PasteBBM!I542</f>
        <v>Cam Payne</v>
      </c>
      <c r="D542" t="str">
        <f>IFERROR(REPLACE(PasteBBM!K542,FIND("/",PasteBBM!K542,1),1,","),PasteBBM!K542)</f>
        <v>PG</v>
      </c>
      <c r="E542" t="str">
        <f>PasteBBM!J542</f>
        <v>IND</v>
      </c>
      <c r="F542">
        <f>PasteBBM!U542</f>
        <v>0</v>
      </c>
      <c r="G542">
        <f>PasteBBM!X542</f>
        <v>0</v>
      </c>
      <c r="H542">
        <f>PasteBBM!AE542*PasteBBM!AF542</f>
        <v>0</v>
      </c>
      <c r="I542">
        <f>PasteBBM!AE542</f>
        <v>0</v>
      </c>
      <c r="J542">
        <f>PasteBBM!AG542*PasteBBM!AH542</f>
        <v>0</v>
      </c>
      <c r="K542">
        <f>PasteBBM!AG542</f>
        <v>0</v>
      </c>
      <c r="L542">
        <f>PasteBBM!Z542</f>
        <v>0</v>
      </c>
      <c r="M542">
        <f>PasteBBM!Y542</f>
        <v>0</v>
      </c>
      <c r="N542">
        <f>PasteBBM!AA542</f>
        <v>0</v>
      </c>
      <c r="O542">
        <f>PasteBBM!AB542</f>
        <v>0</v>
      </c>
      <c r="P542">
        <f>PasteBBM!AC542</f>
        <v>0</v>
      </c>
      <c r="Q542">
        <f>PasteBBM!AD542</f>
        <v>0</v>
      </c>
      <c r="R542">
        <f>PasteBBM!AI542</f>
        <v>0</v>
      </c>
      <c r="S542">
        <f>PasteBBM!AE542</f>
        <v>0</v>
      </c>
      <c r="T542">
        <f>PasteBBM!AG542</f>
        <v>0</v>
      </c>
      <c r="V542" s="44">
        <v>-0.41709</v>
      </c>
      <c r="W542" s="44">
        <v>-0.00658</v>
      </c>
      <c r="X542" s="44">
        <v>0.009207</v>
      </c>
      <c r="Y542" s="44">
        <v>-0.4263</v>
      </c>
      <c r="Z542" s="44">
        <v>-0.34564</v>
      </c>
      <c r="AA542" s="45"/>
      <c r="AB542" s="46" t="s">
        <v>126</v>
      </c>
      <c r="AC542" s="44">
        <v>67.0</v>
      </c>
    </row>
    <row r="543">
      <c r="A543" s="2">
        <v>163.0</v>
      </c>
      <c r="B543" s="14">
        <f>IF(PasteBBM!B543="",156,PasteBBM!B543)</f>
        <v>156</v>
      </c>
      <c r="C543" t="str">
        <f>PasteBBM!I543</f>
        <v>Terence Davis</v>
      </c>
      <c r="D543" t="str">
        <f>IFERROR(REPLACE(PasteBBM!K543,FIND("/",PasteBBM!K543,1),1,","),PasteBBM!K543)</f>
        <v>SG</v>
      </c>
      <c r="E543" t="str">
        <f>PasteBBM!J543</f>
        <v>SAC</v>
      </c>
      <c r="F543">
        <f>PasteBBM!U543</f>
        <v>0</v>
      </c>
      <c r="G543">
        <f>PasteBBM!X543</f>
        <v>0</v>
      </c>
      <c r="H543">
        <f>PasteBBM!AE543*PasteBBM!AF543</f>
        <v>0</v>
      </c>
      <c r="I543">
        <f>PasteBBM!AE543</f>
        <v>0</v>
      </c>
      <c r="J543">
        <f>PasteBBM!AG543*PasteBBM!AH543</f>
        <v>0</v>
      </c>
      <c r="K543">
        <f>PasteBBM!AG543</f>
        <v>0</v>
      </c>
      <c r="L543">
        <f>PasteBBM!Z543</f>
        <v>0</v>
      </c>
      <c r="M543">
        <f>PasteBBM!Y543</f>
        <v>0</v>
      </c>
      <c r="N543">
        <f>PasteBBM!AA543</f>
        <v>0</v>
      </c>
      <c r="O543">
        <f>PasteBBM!AB543</f>
        <v>0</v>
      </c>
      <c r="P543">
        <f>PasteBBM!AC543</f>
        <v>0</v>
      </c>
      <c r="Q543">
        <f>PasteBBM!AD543</f>
        <v>0</v>
      </c>
      <c r="R543">
        <f>PasteBBM!AI543</f>
        <v>0</v>
      </c>
      <c r="S543">
        <f>PasteBBM!AE543</f>
        <v>0</v>
      </c>
      <c r="T543">
        <f>PasteBBM!AG543</f>
        <v>0</v>
      </c>
      <c r="V543" s="44">
        <v>-0.41709</v>
      </c>
      <c r="W543" s="44">
        <v>-0.00658</v>
      </c>
      <c r="X543" s="44">
        <v>0.009207</v>
      </c>
      <c r="Y543" s="44">
        <v>-0.4263</v>
      </c>
      <c r="Z543" s="44">
        <v>-0.34564</v>
      </c>
      <c r="AA543" s="45"/>
      <c r="AB543" s="46" t="s">
        <v>126</v>
      </c>
      <c r="AC543" s="44">
        <v>67.0</v>
      </c>
    </row>
    <row r="544">
      <c r="A544" s="2">
        <v>163.0</v>
      </c>
      <c r="B544" s="14">
        <f>IF(PasteBBM!B544="",156,PasteBBM!B544)</f>
        <v>156</v>
      </c>
      <c r="C544" t="str">
        <f>PasteBBM!I544</f>
        <v>Matt Ryan</v>
      </c>
      <c r="D544" t="str">
        <f>IFERROR(REPLACE(PasteBBM!K544,FIND("/",PasteBBM!K544,1),1,","),PasteBBM!K544)</f>
        <v>SF</v>
      </c>
      <c r="E544" t="str">
        <f>PasteBBM!J544</f>
        <v>NYK</v>
      </c>
      <c r="F544">
        <f>PasteBBM!U544</f>
        <v>0</v>
      </c>
      <c r="G544">
        <f>PasteBBM!X544</f>
        <v>0</v>
      </c>
      <c r="H544">
        <f>PasteBBM!AE544*PasteBBM!AF544</f>
        <v>0</v>
      </c>
      <c r="I544">
        <f>PasteBBM!AE544</f>
        <v>0</v>
      </c>
      <c r="J544">
        <f>PasteBBM!AG544*PasteBBM!AH544</f>
        <v>0</v>
      </c>
      <c r="K544">
        <f>PasteBBM!AG544</f>
        <v>0</v>
      </c>
      <c r="L544">
        <f>PasteBBM!Z544</f>
        <v>0</v>
      </c>
      <c r="M544">
        <f>PasteBBM!Y544</f>
        <v>0</v>
      </c>
      <c r="N544">
        <f>PasteBBM!AA544</f>
        <v>0</v>
      </c>
      <c r="O544">
        <f>PasteBBM!AB544</f>
        <v>0</v>
      </c>
      <c r="P544">
        <f>PasteBBM!AC544</f>
        <v>0</v>
      </c>
      <c r="Q544">
        <f>PasteBBM!AD544</f>
        <v>0</v>
      </c>
      <c r="R544">
        <f>PasteBBM!AI544</f>
        <v>0</v>
      </c>
      <c r="S544">
        <f>PasteBBM!AE544</f>
        <v>0</v>
      </c>
      <c r="T544">
        <f>PasteBBM!AG544</f>
        <v>0</v>
      </c>
      <c r="V544" s="44">
        <v>-0.41709</v>
      </c>
      <c r="W544" s="44">
        <v>-0.00658</v>
      </c>
      <c r="X544" s="44">
        <v>0.009207</v>
      </c>
      <c r="Y544" s="44">
        <v>-0.4263</v>
      </c>
      <c r="Z544" s="44">
        <v>-0.34564</v>
      </c>
      <c r="AA544" s="45"/>
      <c r="AB544" s="46" t="s">
        <v>126</v>
      </c>
      <c r="AC544" s="44">
        <v>67.0</v>
      </c>
    </row>
    <row r="545">
      <c r="A545" s="2">
        <v>163.0</v>
      </c>
      <c r="B545" s="14">
        <f>IF(PasteBBM!B545="",156,PasteBBM!B545)</f>
        <v>156</v>
      </c>
      <c r="C545" t="str">
        <f>PasteBBM!I545</f>
        <v>Malevy Leons</v>
      </c>
      <c r="D545" t="str">
        <f>IFERROR(REPLACE(PasteBBM!K545,FIND("/",PasteBBM!K545,1),1,","),PasteBBM!K545)</f>
        <v>SF,PF</v>
      </c>
      <c r="E545" t="str">
        <f>PasteBBM!J545</f>
        <v>OKC</v>
      </c>
      <c r="F545">
        <f>PasteBBM!U545</f>
        <v>0</v>
      </c>
      <c r="G545">
        <f>PasteBBM!X545</f>
        <v>0</v>
      </c>
      <c r="H545">
        <f>PasteBBM!AE545*PasteBBM!AF545</f>
        <v>0</v>
      </c>
      <c r="I545">
        <f>PasteBBM!AE545</f>
        <v>0</v>
      </c>
      <c r="J545">
        <f>PasteBBM!AG545*PasteBBM!AH545</f>
        <v>0</v>
      </c>
      <c r="K545">
        <f>PasteBBM!AG545</f>
        <v>0</v>
      </c>
      <c r="L545">
        <f>PasteBBM!Z545</f>
        <v>0</v>
      </c>
      <c r="M545">
        <f>PasteBBM!Y545</f>
        <v>0</v>
      </c>
      <c r="N545">
        <f>PasteBBM!AA545</f>
        <v>0</v>
      </c>
      <c r="O545">
        <f>PasteBBM!AB545</f>
        <v>0</v>
      </c>
      <c r="P545">
        <f>PasteBBM!AC545</f>
        <v>0</v>
      </c>
      <c r="Q545">
        <f>PasteBBM!AD545</f>
        <v>0</v>
      </c>
      <c r="R545">
        <f>PasteBBM!AI545</f>
        <v>0</v>
      </c>
      <c r="S545">
        <f>PasteBBM!AE545</f>
        <v>0</v>
      </c>
      <c r="T545">
        <f>PasteBBM!AG545</f>
        <v>0</v>
      </c>
      <c r="V545" s="44">
        <v>-0.41709</v>
      </c>
      <c r="W545" s="44">
        <v>-0.00658</v>
      </c>
      <c r="X545" s="44">
        <v>0.009207</v>
      </c>
      <c r="Y545" s="44">
        <v>-0.4263</v>
      </c>
      <c r="Z545" s="44">
        <v>-0.34564</v>
      </c>
      <c r="AA545" s="45"/>
      <c r="AB545" s="46" t="s">
        <v>126</v>
      </c>
      <c r="AC545" s="44">
        <v>67.0</v>
      </c>
    </row>
    <row r="546">
      <c r="A546" s="2">
        <v>163.0</v>
      </c>
      <c r="B546" s="14">
        <f>IF(PasteBBM!B546="",156,PasteBBM!B546)</f>
        <v>156</v>
      </c>
      <c r="C546" t="str">
        <f>PasteBBM!I546</f>
        <v>Augustas Marciulionis</v>
      </c>
      <c r="D546" t="str">
        <f>IFERROR(REPLACE(PasteBBM!K546,FIND("/",PasteBBM!K546,1),1,","),PasteBBM!K546)</f>
        <v>PG,SG</v>
      </c>
      <c r="E546" t="str">
        <f>PasteBBM!J546</f>
        <v>LAL</v>
      </c>
      <c r="F546">
        <f>PasteBBM!U546</f>
        <v>0</v>
      </c>
      <c r="G546">
        <f>PasteBBM!X546</f>
        <v>0</v>
      </c>
      <c r="H546">
        <f>PasteBBM!AE546*PasteBBM!AF546</f>
        <v>0</v>
      </c>
      <c r="I546">
        <f>PasteBBM!AE546</f>
        <v>0</v>
      </c>
      <c r="J546">
        <f>PasteBBM!AG546*PasteBBM!AH546</f>
        <v>0</v>
      </c>
      <c r="K546">
        <f>PasteBBM!AG546</f>
        <v>0</v>
      </c>
      <c r="L546">
        <f>PasteBBM!Z546</f>
        <v>0</v>
      </c>
      <c r="M546">
        <f>PasteBBM!Y546</f>
        <v>0</v>
      </c>
      <c r="N546">
        <f>PasteBBM!AA546</f>
        <v>0</v>
      </c>
      <c r="O546">
        <f>PasteBBM!AB546</f>
        <v>0</v>
      </c>
      <c r="P546">
        <f>PasteBBM!AC546</f>
        <v>0</v>
      </c>
      <c r="Q546">
        <f>PasteBBM!AD546</f>
        <v>0</v>
      </c>
      <c r="R546">
        <f>PasteBBM!AI546</f>
        <v>0</v>
      </c>
      <c r="S546">
        <f>PasteBBM!AE546</f>
        <v>0</v>
      </c>
      <c r="T546">
        <f>PasteBBM!AG546</f>
        <v>0</v>
      </c>
      <c r="V546" s="44">
        <v>-0.41709</v>
      </c>
      <c r="W546" s="44">
        <v>-0.00658</v>
      </c>
      <c r="X546" s="44">
        <v>0.009207</v>
      </c>
      <c r="Y546" s="44">
        <v>-0.4263</v>
      </c>
      <c r="Z546" s="44">
        <v>-0.34564</v>
      </c>
      <c r="AA546" s="45"/>
      <c r="AB546" s="46" t="s">
        <v>126</v>
      </c>
      <c r="AC546" s="44">
        <v>67.0</v>
      </c>
    </row>
    <row r="547">
      <c r="A547" s="2">
        <v>163.0</v>
      </c>
      <c r="B547" s="14">
        <f>IF(PasteBBM!B547="",156,PasteBBM!B547)</f>
        <v>156</v>
      </c>
      <c r="C547" t="str">
        <f>PasteBBM!I547</f>
        <v>Lamont Butler</v>
      </c>
      <c r="D547" t="str">
        <f>IFERROR(REPLACE(PasteBBM!K547,FIND("/",PasteBBM!K547,1),1,","),PasteBBM!K547)</f>
        <v>PG</v>
      </c>
      <c r="E547" t="str">
        <f>PasteBBM!J547</f>
        <v>ATL</v>
      </c>
      <c r="F547">
        <f>PasteBBM!U547</f>
        <v>0</v>
      </c>
      <c r="G547">
        <f>PasteBBM!X547</f>
        <v>0</v>
      </c>
      <c r="H547">
        <f>PasteBBM!AE547*PasteBBM!AF547</f>
        <v>0</v>
      </c>
      <c r="I547">
        <f>PasteBBM!AE547</f>
        <v>0</v>
      </c>
      <c r="J547">
        <f>PasteBBM!AG547*PasteBBM!AH547</f>
        <v>0</v>
      </c>
      <c r="K547">
        <f>PasteBBM!AG547</f>
        <v>0</v>
      </c>
      <c r="L547">
        <f>PasteBBM!Z547</f>
        <v>0</v>
      </c>
      <c r="M547">
        <f>PasteBBM!Y547</f>
        <v>0</v>
      </c>
      <c r="N547">
        <f>PasteBBM!AA547</f>
        <v>0</v>
      </c>
      <c r="O547">
        <f>PasteBBM!AB547</f>
        <v>0</v>
      </c>
      <c r="P547">
        <f>PasteBBM!AC547</f>
        <v>0</v>
      </c>
      <c r="Q547">
        <f>PasteBBM!AD547</f>
        <v>0</v>
      </c>
      <c r="R547">
        <f>PasteBBM!AI547</f>
        <v>0</v>
      </c>
      <c r="S547">
        <f>PasteBBM!AE547</f>
        <v>0</v>
      </c>
      <c r="T547">
        <f>PasteBBM!AG547</f>
        <v>0</v>
      </c>
      <c r="V547" s="44">
        <v>-0.41709</v>
      </c>
      <c r="W547" s="44">
        <v>-0.00658</v>
      </c>
      <c r="X547" s="44">
        <v>0.009207</v>
      </c>
      <c r="Y547" s="44">
        <v>-0.4263</v>
      </c>
      <c r="Z547" s="44">
        <v>-0.34564</v>
      </c>
      <c r="AA547" s="45"/>
      <c r="AB547" s="46" t="s">
        <v>126</v>
      </c>
      <c r="AC547" s="44">
        <v>67.0</v>
      </c>
    </row>
    <row r="548">
      <c r="A548" s="2">
        <v>163.0</v>
      </c>
      <c r="B548" s="14">
        <f>IF(PasteBBM!B548="",156,PasteBBM!B548)</f>
        <v>156</v>
      </c>
      <c r="C548" t="str">
        <f>PasteBBM!I548</f>
        <v>Keon Johnson</v>
      </c>
      <c r="D548" t="str">
        <f>IFERROR(REPLACE(PasteBBM!K548,FIND("/",PasteBBM!K548,1),1,","),PasteBBM!K548)</f>
        <v>PG,SG</v>
      </c>
      <c r="E548" t="str">
        <f>PasteBBM!J548</f>
        <v>FA</v>
      </c>
      <c r="F548">
        <f>PasteBBM!U548</f>
        <v>0</v>
      </c>
      <c r="G548">
        <f>PasteBBM!X548</f>
        <v>0</v>
      </c>
      <c r="H548">
        <f>PasteBBM!AE548*PasteBBM!AF548</f>
        <v>0</v>
      </c>
      <c r="I548">
        <f>PasteBBM!AE548</f>
        <v>0</v>
      </c>
      <c r="J548">
        <f>PasteBBM!AG548*PasteBBM!AH548</f>
        <v>0</v>
      </c>
      <c r="K548">
        <f>PasteBBM!AG548</f>
        <v>0</v>
      </c>
      <c r="L548">
        <f>PasteBBM!Z548</f>
        <v>0</v>
      </c>
      <c r="M548">
        <f>PasteBBM!Y548</f>
        <v>0</v>
      </c>
      <c r="N548">
        <f>PasteBBM!AA548</f>
        <v>0</v>
      </c>
      <c r="O548">
        <f>PasteBBM!AB548</f>
        <v>0</v>
      </c>
      <c r="P548">
        <f>PasteBBM!AC548</f>
        <v>0</v>
      </c>
      <c r="Q548">
        <f>PasteBBM!AD548</f>
        <v>0</v>
      </c>
      <c r="R548">
        <f>PasteBBM!AI548</f>
        <v>0</v>
      </c>
      <c r="S548">
        <f>PasteBBM!AE548</f>
        <v>0</v>
      </c>
      <c r="T548">
        <f>PasteBBM!AG548</f>
        <v>0</v>
      </c>
      <c r="V548" s="44">
        <v>-0.41709</v>
      </c>
      <c r="W548" s="44">
        <v>-0.00658</v>
      </c>
      <c r="X548" s="44">
        <v>0.009207</v>
      </c>
      <c r="Y548" s="44">
        <v>-0.4263</v>
      </c>
      <c r="Z548" s="44">
        <v>-0.34564</v>
      </c>
      <c r="AA548" s="45"/>
      <c r="AB548" s="46" t="s">
        <v>126</v>
      </c>
      <c r="AC548" s="44">
        <v>67.0</v>
      </c>
    </row>
    <row r="549">
      <c r="A549" s="2">
        <v>163.0</v>
      </c>
      <c r="B549" s="14">
        <f>IF(PasteBBM!B549="",156,PasteBBM!B549)</f>
        <v>156</v>
      </c>
      <c r="C549" t="str">
        <f>PasteBBM!I549</f>
        <v>Eric Dixon</v>
      </c>
      <c r="D549" t="str">
        <f>IFERROR(REPLACE(PasteBBM!K549,FIND("/",PasteBBM!K549,1),1,","),PasteBBM!K549)</f>
        <v>PF</v>
      </c>
      <c r="E549" t="str">
        <f>PasteBBM!J549</f>
        <v>LAL</v>
      </c>
      <c r="F549">
        <f>PasteBBM!U549</f>
        <v>0</v>
      </c>
      <c r="G549">
        <f>PasteBBM!X549</f>
        <v>0</v>
      </c>
      <c r="H549">
        <f>PasteBBM!AE549*PasteBBM!AF549</f>
        <v>0</v>
      </c>
      <c r="I549">
        <f>PasteBBM!AE549</f>
        <v>0</v>
      </c>
      <c r="J549">
        <f>PasteBBM!AG549*PasteBBM!AH549</f>
        <v>0</v>
      </c>
      <c r="K549">
        <f>PasteBBM!AG549</f>
        <v>0</v>
      </c>
      <c r="L549">
        <f>PasteBBM!Z549</f>
        <v>0</v>
      </c>
      <c r="M549">
        <f>PasteBBM!Y549</f>
        <v>0</v>
      </c>
      <c r="N549">
        <f>PasteBBM!AA549</f>
        <v>0</v>
      </c>
      <c r="O549">
        <f>PasteBBM!AB549</f>
        <v>0</v>
      </c>
      <c r="P549">
        <f>PasteBBM!AC549</f>
        <v>0</v>
      </c>
      <c r="Q549">
        <f>PasteBBM!AD549</f>
        <v>0</v>
      </c>
      <c r="R549">
        <f>PasteBBM!AI549</f>
        <v>0</v>
      </c>
      <c r="S549">
        <f>PasteBBM!AE549</f>
        <v>0</v>
      </c>
      <c r="T549">
        <f>PasteBBM!AG549</f>
        <v>0</v>
      </c>
      <c r="V549" s="44">
        <v>-0.41709</v>
      </c>
      <c r="W549" s="44">
        <v>-0.00658</v>
      </c>
      <c r="X549" s="44">
        <v>0.009207</v>
      </c>
      <c r="Y549" s="44">
        <v>-0.4263</v>
      </c>
      <c r="Z549" s="44">
        <v>-0.34564</v>
      </c>
      <c r="AA549" s="45"/>
      <c r="AB549" s="46" t="s">
        <v>126</v>
      </c>
      <c r="AC549" s="44">
        <v>67.0</v>
      </c>
    </row>
    <row r="550">
      <c r="A550" s="2">
        <v>163.0</v>
      </c>
      <c r="B550" s="14">
        <f>IF(PasteBBM!B550="",156,PasteBBM!B550)</f>
        <v>156</v>
      </c>
      <c r="C550" t="str">
        <f>PasteBBM!I550</f>
        <v>Jaylen Sims</v>
      </c>
      <c r="D550" t="str">
        <f>IFERROR(REPLACE(PasteBBM!K550,FIND("/",PasteBBM!K550,1),1,","),PasteBBM!K550)</f>
        <v>PG,SG</v>
      </c>
      <c r="E550" t="str">
        <f>PasteBBM!J550</f>
        <v>CHA</v>
      </c>
      <c r="F550">
        <f>PasteBBM!U550</f>
        <v>0</v>
      </c>
      <c r="G550">
        <f>PasteBBM!X550</f>
        <v>0</v>
      </c>
      <c r="H550">
        <f>PasteBBM!AE550*PasteBBM!AF550</f>
        <v>0</v>
      </c>
      <c r="I550">
        <f>PasteBBM!AE550</f>
        <v>0</v>
      </c>
      <c r="J550">
        <f>PasteBBM!AG550*PasteBBM!AH550</f>
        <v>0</v>
      </c>
      <c r="K550">
        <f>PasteBBM!AG550</f>
        <v>0</v>
      </c>
      <c r="L550">
        <f>PasteBBM!Z550</f>
        <v>0</v>
      </c>
      <c r="M550">
        <f>PasteBBM!Y550</f>
        <v>0</v>
      </c>
      <c r="N550">
        <f>PasteBBM!AA550</f>
        <v>0</v>
      </c>
      <c r="O550">
        <f>PasteBBM!AB550</f>
        <v>0</v>
      </c>
      <c r="P550">
        <f>PasteBBM!AC550</f>
        <v>0</v>
      </c>
      <c r="Q550">
        <f>PasteBBM!AD550</f>
        <v>0</v>
      </c>
      <c r="R550">
        <f>PasteBBM!AI550</f>
        <v>0</v>
      </c>
      <c r="S550">
        <f>PasteBBM!AE550</f>
        <v>0</v>
      </c>
      <c r="T550">
        <f>PasteBBM!AG550</f>
        <v>0</v>
      </c>
      <c r="V550" s="44">
        <v>-0.41709</v>
      </c>
      <c r="W550" s="44">
        <v>-0.00658</v>
      </c>
      <c r="X550" s="44">
        <v>0.009207</v>
      </c>
      <c r="Y550" s="44">
        <v>-0.4263</v>
      </c>
      <c r="Z550" s="44">
        <v>-0.34564</v>
      </c>
      <c r="AA550" s="45"/>
      <c r="AB550" s="46" t="s">
        <v>126</v>
      </c>
      <c r="AC550" s="44">
        <v>67.0</v>
      </c>
    </row>
    <row r="551">
      <c r="A551" s="2">
        <v>163.0</v>
      </c>
      <c r="B551" s="14">
        <f>IF(PasteBBM!B551="",156,PasteBBM!B551)</f>
        <v>156</v>
      </c>
      <c r="C551" t="str">
        <f>PasteBBM!I551</f>
        <v>Mouhamadou Gueye</v>
      </c>
      <c r="D551" t="str">
        <f>IFERROR(REPLACE(PasteBBM!K551,FIND("/",PasteBBM!K551,1),1,","),PasteBBM!K551)</f>
        <v>PF</v>
      </c>
      <c r="E551" t="str">
        <f>PasteBBM!J551</f>
        <v>CHI</v>
      </c>
      <c r="F551">
        <f>PasteBBM!U551</f>
        <v>0</v>
      </c>
      <c r="G551">
        <f>PasteBBM!X551</f>
        <v>0</v>
      </c>
      <c r="H551">
        <f>PasteBBM!AE551*PasteBBM!AF551</f>
        <v>0</v>
      </c>
      <c r="I551">
        <f>PasteBBM!AE551</f>
        <v>0</v>
      </c>
      <c r="J551">
        <f>PasteBBM!AG551*PasteBBM!AH551</f>
        <v>0</v>
      </c>
      <c r="K551">
        <f>PasteBBM!AG551</f>
        <v>0</v>
      </c>
      <c r="L551">
        <f>PasteBBM!Z551</f>
        <v>0</v>
      </c>
      <c r="M551">
        <f>PasteBBM!Y551</f>
        <v>0</v>
      </c>
      <c r="N551">
        <f>PasteBBM!AA551</f>
        <v>0</v>
      </c>
      <c r="O551">
        <f>PasteBBM!AB551</f>
        <v>0</v>
      </c>
      <c r="P551">
        <f>PasteBBM!AC551</f>
        <v>0</v>
      </c>
      <c r="Q551">
        <f>PasteBBM!AD551</f>
        <v>0</v>
      </c>
      <c r="R551">
        <f>PasteBBM!AI551</f>
        <v>0</v>
      </c>
      <c r="S551">
        <f>PasteBBM!AE551</f>
        <v>0</v>
      </c>
      <c r="T551">
        <f>PasteBBM!AG551</f>
        <v>0</v>
      </c>
      <c r="V551" s="44">
        <v>-0.41709</v>
      </c>
      <c r="W551" s="44">
        <v>-0.00658</v>
      </c>
      <c r="X551" s="44">
        <v>0.009207</v>
      </c>
      <c r="Y551" s="44">
        <v>-0.4263</v>
      </c>
      <c r="Z551" s="44">
        <v>-0.34564</v>
      </c>
      <c r="AA551" s="45"/>
      <c r="AB551" s="46" t="s">
        <v>126</v>
      </c>
      <c r="AC551" s="44">
        <v>67.0</v>
      </c>
    </row>
    <row r="552">
      <c r="A552" s="2">
        <v>163.0</v>
      </c>
      <c r="B552" s="14">
        <f>IF(PasteBBM!B552="",156,PasteBBM!B552)</f>
        <v>156</v>
      </c>
      <c r="C552" t="str">
        <f>PasteBBM!I552</f>
        <v>Chaney Johnson</v>
      </c>
      <c r="D552" t="str">
        <f>IFERROR(REPLACE(PasteBBM!K552,FIND("/",PasteBBM!K552,1),1,","),PasteBBM!K552)</f>
        <v>SF,PF</v>
      </c>
      <c r="E552" t="str">
        <f>PasteBBM!J552</f>
        <v>CLE</v>
      </c>
      <c r="F552">
        <f>PasteBBM!U552</f>
        <v>0</v>
      </c>
      <c r="G552">
        <f>PasteBBM!X552</f>
        <v>0</v>
      </c>
      <c r="H552">
        <f>PasteBBM!AE552*PasteBBM!AF552</f>
        <v>0</v>
      </c>
      <c r="I552">
        <f>PasteBBM!AE552</f>
        <v>0</v>
      </c>
      <c r="J552">
        <f>PasteBBM!AG552*PasteBBM!AH552</f>
        <v>0</v>
      </c>
      <c r="K552">
        <f>PasteBBM!AG552</f>
        <v>0</v>
      </c>
      <c r="L552">
        <f>PasteBBM!Z552</f>
        <v>0</v>
      </c>
      <c r="M552">
        <f>PasteBBM!Y552</f>
        <v>0</v>
      </c>
      <c r="N552">
        <f>PasteBBM!AA552</f>
        <v>0</v>
      </c>
      <c r="O552">
        <f>PasteBBM!AB552</f>
        <v>0</v>
      </c>
      <c r="P552">
        <f>PasteBBM!AC552</f>
        <v>0</v>
      </c>
      <c r="Q552">
        <f>PasteBBM!AD552</f>
        <v>0</v>
      </c>
      <c r="R552">
        <f>PasteBBM!AI552</f>
        <v>0</v>
      </c>
      <c r="S552">
        <f>PasteBBM!AE552</f>
        <v>0</v>
      </c>
      <c r="T552">
        <f>PasteBBM!AG552</f>
        <v>0</v>
      </c>
      <c r="V552" s="44">
        <v>-0.41709</v>
      </c>
      <c r="W552" s="44">
        <v>-0.00658</v>
      </c>
      <c r="X552" s="44">
        <v>0.009207</v>
      </c>
      <c r="Y552" s="44">
        <v>-0.4263</v>
      </c>
      <c r="Z552" s="44">
        <v>-0.34564</v>
      </c>
      <c r="AA552" s="45"/>
      <c r="AB552" s="46" t="s">
        <v>126</v>
      </c>
      <c r="AC552" s="44">
        <v>67.0</v>
      </c>
    </row>
    <row r="553">
      <c r="A553" s="2">
        <v>163.0</v>
      </c>
      <c r="B553" s="14">
        <f>IF(PasteBBM!B553="",156,PasteBBM!B553)</f>
        <v>156</v>
      </c>
      <c r="C553" t="str">
        <f>PasteBBM!I553</f>
        <v>Anthony Gill</v>
      </c>
      <c r="D553" t="str">
        <f>IFERROR(REPLACE(PasteBBM!K553,FIND("/",PasteBBM!K553,1),1,","),PasteBBM!K553)</f>
        <v>PF</v>
      </c>
      <c r="E553" t="str">
        <f>PasteBBM!J553</f>
        <v>WAS</v>
      </c>
      <c r="F553">
        <f>PasteBBM!U553</f>
        <v>0</v>
      </c>
      <c r="G553">
        <f>PasteBBM!X553</f>
        <v>0</v>
      </c>
      <c r="H553">
        <f>PasteBBM!AE553*PasteBBM!AF553</f>
        <v>0</v>
      </c>
      <c r="I553">
        <f>PasteBBM!AE553</f>
        <v>0</v>
      </c>
      <c r="J553">
        <f>PasteBBM!AG553*PasteBBM!AH553</f>
        <v>0</v>
      </c>
      <c r="K553">
        <f>PasteBBM!AG553</f>
        <v>0</v>
      </c>
      <c r="L553">
        <f>PasteBBM!Z553</f>
        <v>0</v>
      </c>
      <c r="M553">
        <f>PasteBBM!Y553</f>
        <v>0</v>
      </c>
      <c r="N553">
        <f>PasteBBM!AA553</f>
        <v>0</v>
      </c>
      <c r="O553">
        <f>PasteBBM!AB553</f>
        <v>0</v>
      </c>
      <c r="P553">
        <f>PasteBBM!AC553</f>
        <v>0</v>
      </c>
      <c r="Q553">
        <f>PasteBBM!AD553</f>
        <v>0</v>
      </c>
      <c r="R553">
        <f>PasteBBM!AI553</f>
        <v>0</v>
      </c>
      <c r="S553">
        <f>PasteBBM!AE553</f>
        <v>0</v>
      </c>
      <c r="T553">
        <f>PasteBBM!AG553</f>
        <v>0</v>
      </c>
      <c r="V553" s="44">
        <v>-0.41709</v>
      </c>
      <c r="W553" s="44">
        <v>-0.00658</v>
      </c>
      <c r="X553" s="44">
        <v>0.009207</v>
      </c>
      <c r="Y553" s="44">
        <v>-0.4263</v>
      </c>
      <c r="Z553" s="44">
        <v>-0.34564</v>
      </c>
      <c r="AA553" s="45"/>
      <c r="AB553" s="46" t="s">
        <v>126</v>
      </c>
      <c r="AC553" s="44">
        <v>67.0</v>
      </c>
    </row>
    <row r="554">
      <c r="A554" s="2">
        <v>163.0</v>
      </c>
      <c r="B554" s="14">
        <f>IF(PasteBBM!B554="",156,PasteBBM!B554)</f>
        <v>156</v>
      </c>
      <c r="C554" t="str">
        <f>PasteBBM!I554</f>
        <v>Norchad Omier</v>
      </c>
      <c r="D554" t="str">
        <f>IFERROR(REPLACE(PasteBBM!K554,FIND("/",PasteBBM!K554,1),1,","),PasteBBM!K554)</f>
        <v>SF,PF</v>
      </c>
      <c r="E554" t="str">
        <f>PasteBBM!J554</f>
        <v>CLE</v>
      </c>
      <c r="F554">
        <f>PasteBBM!U554</f>
        <v>0</v>
      </c>
      <c r="G554">
        <f>PasteBBM!X554</f>
        <v>0</v>
      </c>
      <c r="H554">
        <f>PasteBBM!AE554*PasteBBM!AF554</f>
        <v>0</v>
      </c>
      <c r="I554">
        <f>PasteBBM!AE554</f>
        <v>0</v>
      </c>
      <c r="J554">
        <f>PasteBBM!AG554*PasteBBM!AH554</f>
        <v>0</v>
      </c>
      <c r="K554">
        <f>PasteBBM!AG554</f>
        <v>0</v>
      </c>
      <c r="L554">
        <f>PasteBBM!Z554</f>
        <v>0</v>
      </c>
      <c r="M554">
        <f>PasteBBM!Y554</f>
        <v>0</v>
      </c>
      <c r="N554">
        <f>PasteBBM!AA554</f>
        <v>0</v>
      </c>
      <c r="O554">
        <f>PasteBBM!AB554</f>
        <v>0</v>
      </c>
      <c r="P554">
        <f>PasteBBM!AC554</f>
        <v>0</v>
      </c>
      <c r="Q554">
        <f>PasteBBM!AD554</f>
        <v>0</v>
      </c>
      <c r="R554">
        <f>PasteBBM!AI554</f>
        <v>0</v>
      </c>
      <c r="S554">
        <f>PasteBBM!AE554</f>
        <v>0</v>
      </c>
      <c r="T554">
        <f>PasteBBM!AG554</f>
        <v>0</v>
      </c>
      <c r="V554" s="44">
        <v>-0.41709</v>
      </c>
      <c r="W554" s="44">
        <v>-0.00658</v>
      </c>
      <c r="X554" s="44">
        <v>0.009207</v>
      </c>
      <c r="Y554" s="44">
        <v>-0.4263</v>
      </c>
      <c r="Z554" s="44">
        <v>-0.34564</v>
      </c>
      <c r="AA554" s="45"/>
      <c r="AB554" s="46" t="s">
        <v>126</v>
      </c>
      <c r="AC554" s="44">
        <v>67.0</v>
      </c>
    </row>
    <row r="555">
      <c r="A555" s="2">
        <v>163.0</v>
      </c>
      <c r="B555" s="14">
        <f>IF(PasteBBM!B555="",156,PasteBBM!B555)</f>
        <v>156</v>
      </c>
      <c r="C555" t="str">
        <f>PasteBBM!I555</f>
        <v>Jazian Gortman</v>
      </c>
      <c r="D555" t="str">
        <f>IFERROR(REPLACE(PasteBBM!K555,FIND("/",PasteBBM!K555,1),1,","),PasteBBM!K555)</f>
        <v>PG</v>
      </c>
      <c r="E555" t="str">
        <f>PasteBBM!J555</f>
        <v>OKC</v>
      </c>
      <c r="F555">
        <f>PasteBBM!U555</f>
        <v>0</v>
      </c>
      <c r="G555">
        <f>PasteBBM!X555</f>
        <v>0</v>
      </c>
      <c r="H555">
        <f>PasteBBM!AE555*PasteBBM!AF555</f>
        <v>0</v>
      </c>
      <c r="I555">
        <f>PasteBBM!AE555</f>
        <v>0</v>
      </c>
      <c r="J555">
        <f>PasteBBM!AG555*PasteBBM!AH555</f>
        <v>0</v>
      </c>
      <c r="K555">
        <f>PasteBBM!AG555</f>
        <v>0</v>
      </c>
      <c r="L555">
        <f>PasteBBM!Z555</f>
        <v>0</v>
      </c>
      <c r="M555">
        <f>PasteBBM!Y555</f>
        <v>0</v>
      </c>
      <c r="N555">
        <f>PasteBBM!AA555</f>
        <v>0</v>
      </c>
      <c r="O555">
        <f>PasteBBM!AB555</f>
        <v>0</v>
      </c>
      <c r="P555">
        <f>PasteBBM!AC555</f>
        <v>0</v>
      </c>
      <c r="Q555">
        <f>PasteBBM!AD555</f>
        <v>0</v>
      </c>
      <c r="R555">
        <f>PasteBBM!AI555</f>
        <v>0</v>
      </c>
      <c r="S555">
        <f>PasteBBM!AE555</f>
        <v>0</v>
      </c>
      <c r="T555">
        <f>PasteBBM!AG555</f>
        <v>0</v>
      </c>
      <c r="V555" s="44">
        <v>-0.41709</v>
      </c>
      <c r="W555" s="44">
        <v>-0.00658</v>
      </c>
      <c r="X555" s="44">
        <v>0.009207</v>
      </c>
      <c r="Y555" s="44">
        <v>-0.4263</v>
      </c>
      <c r="Z555" s="44">
        <v>-0.34564</v>
      </c>
      <c r="AA555" s="45"/>
      <c r="AB555" s="46" t="s">
        <v>126</v>
      </c>
      <c r="AC555" s="44">
        <v>67.0</v>
      </c>
    </row>
    <row r="556">
      <c r="A556" s="2">
        <v>163.0</v>
      </c>
      <c r="B556" s="14">
        <f>IF(PasteBBM!B556="",156,PasteBBM!B556)</f>
        <v>156</v>
      </c>
      <c r="C556" t="str">
        <f>PasteBBM!I556</f>
        <v>Tyler Burton</v>
      </c>
      <c r="D556" t="str">
        <f>IFERROR(REPLACE(PasteBBM!K556,FIND("/",PasteBBM!K556,1),1,","),PasteBBM!K556)</f>
        <v>SF,PF</v>
      </c>
      <c r="E556" t="str">
        <f>PasteBBM!J556</f>
        <v>MEM</v>
      </c>
      <c r="F556">
        <f>PasteBBM!U556</f>
        <v>0</v>
      </c>
      <c r="G556">
        <f>PasteBBM!X556</f>
        <v>0</v>
      </c>
      <c r="H556">
        <f>PasteBBM!AE556*PasteBBM!AF556</f>
        <v>0</v>
      </c>
      <c r="I556">
        <f>PasteBBM!AE556</f>
        <v>0</v>
      </c>
      <c r="J556">
        <f>PasteBBM!AG556*PasteBBM!AH556</f>
        <v>0</v>
      </c>
      <c r="K556">
        <f>PasteBBM!AG556</f>
        <v>0</v>
      </c>
      <c r="L556">
        <f>PasteBBM!Z556</f>
        <v>0</v>
      </c>
      <c r="M556">
        <f>PasteBBM!Y556</f>
        <v>0</v>
      </c>
      <c r="N556">
        <f>PasteBBM!AA556</f>
        <v>0</v>
      </c>
      <c r="O556">
        <f>PasteBBM!AB556</f>
        <v>0</v>
      </c>
      <c r="P556">
        <f>PasteBBM!AC556</f>
        <v>0</v>
      </c>
      <c r="Q556">
        <f>PasteBBM!AD556</f>
        <v>0</v>
      </c>
      <c r="R556">
        <f>PasteBBM!AI556</f>
        <v>0</v>
      </c>
      <c r="S556">
        <f>PasteBBM!AE556</f>
        <v>0</v>
      </c>
      <c r="T556">
        <f>PasteBBM!AG556</f>
        <v>0</v>
      </c>
      <c r="V556" s="44">
        <v>-0.41709</v>
      </c>
      <c r="W556" s="44">
        <v>-0.00658</v>
      </c>
      <c r="X556" s="44">
        <v>0.009207</v>
      </c>
      <c r="Y556" s="44">
        <v>-0.4263</v>
      </c>
      <c r="Z556" s="44">
        <v>-0.34564</v>
      </c>
      <c r="AA556" s="45"/>
      <c r="AB556" s="46" t="s">
        <v>126</v>
      </c>
      <c r="AC556" s="44">
        <v>67.0</v>
      </c>
    </row>
    <row r="557">
      <c r="A557" s="2">
        <v>163.0</v>
      </c>
      <c r="B557" s="14">
        <f>IF(PasteBBM!B557="",156,PasteBBM!B557)</f>
        <v>156</v>
      </c>
      <c r="C557" t="str">
        <f>PasteBBM!I557</f>
        <v>R.J. Davis</v>
      </c>
      <c r="D557" t="str">
        <f>IFERROR(REPLACE(PasteBBM!K557,FIND("/",PasteBBM!K557,1),1,","),PasteBBM!K557)</f>
        <v>PG,SG</v>
      </c>
      <c r="E557" t="str">
        <f>PasteBBM!J557</f>
        <v>LAL</v>
      </c>
      <c r="F557">
        <f>PasteBBM!U557</f>
        <v>0</v>
      </c>
      <c r="G557">
        <f>PasteBBM!X557</f>
        <v>0</v>
      </c>
      <c r="H557">
        <f>PasteBBM!AE557*PasteBBM!AF557</f>
        <v>0</v>
      </c>
      <c r="I557">
        <f>PasteBBM!AE557</f>
        <v>0</v>
      </c>
      <c r="J557">
        <f>PasteBBM!AG557*PasteBBM!AH557</f>
        <v>0</v>
      </c>
      <c r="K557">
        <f>PasteBBM!AG557</f>
        <v>0</v>
      </c>
      <c r="L557">
        <f>PasteBBM!Z557</f>
        <v>0</v>
      </c>
      <c r="M557">
        <f>PasteBBM!Y557</f>
        <v>0</v>
      </c>
      <c r="N557">
        <f>PasteBBM!AA557</f>
        <v>0</v>
      </c>
      <c r="O557">
        <f>PasteBBM!AB557</f>
        <v>0</v>
      </c>
      <c r="P557">
        <f>PasteBBM!AC557</f>
        <v>0</v>
      </c>
      <c r="Q557">
        <f>PasteBBM!AD557</f>
        <v>0</v>
      </c>
      <c r="R557">
        <f>PasteBBM!AI557</f>
        <v>0</v>
      </c>
      <c r="S557">
        <f>PasteBBM!AE557</f>
        <v>0</v>
      </c>
      <c r="T557">
        <f>PasteBBM!AG557</f>
        <v>0</v>
      </c>
      <c r="V557" s="44">
        <v>-0.41709</v>
      </c>
      <c r="W557" s="44">
        <v>-0.00658</v>
      </c>
      <c r="X557" s="44">
        <v>0.009207</v>
      </c>
      <c r="Y557" s="44">
        <v>-0.4263</v>
      </c>
      <c r="Z557" s="44">
        <v>-0.34564</v>
      </c>
      <c r="AA557" s="45"/>
      <c r="AB557" s="46" t="s">
        <v>126</v>
      </c>
      <c r="AC557" s="44">
        <v>67.0</v>
      </c>
    </row>
    <row r="558">
      <c r="A558" s="2">
        <v>163.0</v>
      </c>
      <c r="B558" s="14">
        <f>IF(PasteBBM!B558="",156,PasteBBM!B558)</f>
        <v>156</v>
      </c>
      <c r="C558" t="str">
        <f>PasteBBM!I558</f>
        <v>Braxton Key</v>
      </c>
      <c r="D558" t="str">
        <f>IFERROR(REPLACE(PasteBBM!K558,FIND("/",PasteBBM!K558,1),1,","),PasteBBM!K558)</f>
        <v>SF</v>
      </c>
      <c r="E558" t="str">
        <f>PasteBBM!J558</f>
        <v>MEM</v>
      </c>
      <c r="F558">
        <f>PasteBBM!U558</f>
        <v>0</v>
      </c>
      <c r="G558">
        <f>PasteBBM!X558</f>
        <v>0</v>
      </c>
      <c r="H558">
        <f>PasteBBM!AE558*PasteBBM!AF558</f>
        <v>0</v>
      </c>
      <c r="I558">
        <f>PasteBBM!AE558</f>
        <v>0</v>
      </c>
      <c r="J558">
        <f>PasteBBM!AG558*PasteBBM!AH558</f>
        <v>0</v>
      </c>
      <c r="K558">
        <f>PasteBBM!AG558</f>
        <v>0</v>
      </c>
      <c r="L558">
        <f>PasteBBM!Z558</f>
        <v>0</v>
      </c>
      <c r="M558">
        <f>PasteBBM!Y558</f>
        <v>0</v>
      </c>
      <c r="N558">
        <f>PasteBBM!AA558</f>
        <v>0</v>
      </c>
      <c r="O558">
        <f>PasteBBM!AB558</f>
        <v>0</v>
      </c>
      <c r="P558">
        <f>PasteBBM!AC558</f>
        <v>0</v>
      </c>
      <c r="Q558">
        <f>PasteBBM!AD558</f>
        <v>0</v>
      </c>
      <c r="R558">
        <f>PasteBBM!AI558</f>
        <v>0</v>
      </c>
      <c r="S558">
        <f>PasteBBM!AE558</f>
        <v>0</v>
      </c>
      <c r="T558">
        <f>PasteBBM!AG558</f>
        <v>0</v>
      </c>
      <c r="V558" s="44">
        <v>-0.41709</v>
      </c>
      <c r="W558" s="44">
        <v>-0.00658</v>
      </c>
      <c r="X558" s="44">
        <v>0.009207</v>
      </c>
      <c r="Y558" s="44">
        <v>-0.4263</v>
      </c>
      <c r="Z558" s="44">
        <v>-0.34564</v>
      </c>
      <c r="AA558" s="45"/>
      <c r="AB558" s="46" t="s">
        <v>126</v>
      </c>
      <c r="AC558" s="44">
        <v>67.0</v>
      </c>
    </row>
    <row r="559">
      <c r="A559" s="2">
        <v>163.0</v>
      </c>
      <c r="B559" s="14">
        <f>IF(PasteBBM!B559="",156,PasteBBM!B559)</f>
        <v>156</v>
      </c>
      <c r="C559" t="str">
        <f>PasteBBM!I559</f>
        <v>Alex Morales</v>
      </c>
      <c r="D559" t="str">
        <f>IFERROR(REPLACE(PasteBBM!K559,FIND("/",PasteBBM!K559,1),1,","),PasteBBM!K559)</f>
        <v>PG,SG</v>
      </c>
      <c r="E559" t="str">
        <f>PasteBBM!J559</f>
        <v>ORL</v>
      </c>
      <c r="F559">
        <f>PasteBBM!U559</f>
        <v>0</v>
      </c>
      <c r="G559">
        <f>PasteBBM!X559</f>
        <v>0</v>
      </c>
      <c r="H559">
        <f>PasteBBM!AE559*PasteBBM!AF559</f>
        <v>0</v>
      </c>
      <c r="I559">
        <f>PasteBBM!AE559</f>
        <v>0</v>
      </c>
      <c r="J559">
        <f>PasteBBM!AG559*PasteBBM!AH559</f>
        <v>0</v>
      </c>
      <c r="K559">
        <f>PasteBBM!AG559</f>
        <v>0</v>
      </c>
      <c r="L559">
        <f>PasteBBM!Z559</f>
        <v>0</v>
      </c>
      <c r="M559">
        <f>PasteBBM!Y559</f>
        <v>0</v>
      </c>
      <c r="N559">
        <f>PasteBBM!AA559</f>
        <v>0</v>
      </c>
      <c r="O559">
        <f>PasteBBM!AB559</f>
        <v>0</v>
      </c>
      <c r="P559">
        <f>PasteBBM!AC559</f>
        <v>0</v>
      </c>
      <c r="Q559">
        <f>PasteBBM!AD559</f>
        <v>0</v>
      </c>
      <c r="R559">
        <f>PasteBBM!AI559</f>
        <v>0</v>
      </c>
      <c r="S559">
        <f>PasteBBM!AE559</f>
        <v>0</v>
      </c>
      <c r="T559">
        <f>PasteBBM!AG559</f>
        <v>0</v>
      </c>
      <c r="V559" s="44">
        <v>-0.41709</v>
      </c>
      <c r="W559" s="44">
        <v>-0.00658</v>
      </c>
      <c r="X559" s="44">
        <v>0.009207</v>
      </c>
      <c r="Y559" s="44">
        <v>-0.4263</v>
      </c>
      <c r="Z559" s="44">
        <v>-0.34564</v>
      </c>
      <c r="AA559" s="45"/>
      <c r="AB559" s="46" t="s">
        <v>126</v>
      </c>
      <c r="AC559" s="44">
        <v>67.0</v>
      </c>
    </row>
    <row r="560">
      <c r="A560" s="2">
        <v>163.0</v>
      </c>
      <c r="B560" s="14">
        <f>IF(PasteBBM!B560="",156,PasteBBM!B560)</f>
        <v>156</v>
      </c>
      <c r="C560" t="str">
        <f>PasteBBM!I560</f>
        <v>Jason Preston</v>
      </c>
      <c r="D560" t="str">
        <f>IFERROR(REPLACE(PasteBBM!K560,FIND("/",PasteBBM!K560,1),1,","),PasteBBM!K560)</f>
        <v>PG</v>
      </c>
      <c r="E560" t="str">
        <f>PasteBBM!J560</f>
        <v>LAC</v>
      </c>
      <c r="F560">
        <f>PasteBBM!U560</f>
        <v>0</v>
      </c>
      <c r="G560">
        <f>PasteBBM!X560</f>
        <v>0</v>
      </c>
      <c r="H560">
        <f>PasteBBM!AE560*PasteBBM!AF560</f>
        <v>0</v>
      </c>
      <c r="I560">
        <f>PasteBBM!AE560</f>
        <v>0</v>
      </c>
      <c r="J560">
        <f>PasteBBM!AG560*PasteBBM!AH560</f>
        <v>0</v>
      </c>
      <c r="K560">
        <f>PasteBBM!AG560</f>
        <v>0</v>
      </c>
      <c r="L560">
        <f>PasteBBM!Z560</f>
        <v>0</v>
      </c>
      <c r="M560">
        <f>PasteBBM!Y560</f>
        <v>0</v>
      </c>
      <c r="N560">
        <f>PasteBBM!AA560</f>
        <v>0</v>
      </c>
      <c r="O560">
        <f>PasteBBM!AB560</f>
        <v>0</v>
      </c>
      <c r="P560">
        <f>PasteBBM!AC560</f>
        <v>0</v>
      </c>
      <c r="Q560">
        <f>PasteBBM!AD560</f>
        <v>0</v>
      </c>
      <c r="R560">
        <f>PasteBBM!AI560</f>
        <v>0</v>
      </c>
      <c r="S560">
        <f>PasteBBM!AE560</f>
        <v>0</v>
      </c>
      <c r="T560">
        <f>PasteBBM!AG560</f>
        <v>0</v>
      </c>
      <c r="V560" s="44">
        <v>-0.41709</v>
      </c>
      <c r="W560" s="44">
        <v>-0.00658</v>
      </c>
      <c r="X560" s="44">
        <v>0.009207</v>
      </c>
      <c r="Y560" s="44">
        <v>-0.4263</v>
      </c>
      <c r="Z560" s="44">
        <v>-0.34564</v>
      </c>
      <c r="AA560" s="45"/>
      <c r="AB560" s="46" t="s">
        <v>126</v>
      </c>
      <c r="AC560" s="44">
        <v>67.0</v>
      </c>
    </row>
    <row r="561">
      <c r="A561" s="2">
        <v>163.0</v>
      </c>
      <c r="B561" s="14">
        <f>IF(PasteBBM!B561="",156,PasteBBM!B561)</f>
        <v>156</v>
      </c>
      <c r="C561" t="str">
        <f>PasteBBM!I561</f>
        <v>Fanbo Zeng</v>
      </c>
      <c r="D561" t="str">
        <f>IFERROR(REPLACE(PasteBBM!K561,FIND("/",PasteBBM!K561,1),1,","),PasteBBM!K561)</f>
        <v>SF,PF</v>
      </c>
      <c r="E561" t="str">
        <f>PasteBBM!J561</f>
        <v>BKN</v>
      </c>
      <c r="F561">
        <f>PasteBBM!U561</f>
        <v>0</v>
      </c>
      <c r="G561">
        <f>PasteBBM!X561</f>
        <v>0</v>
      </c>
      <c r="H561">
        <f>PasteBBM!AE561*PasteBBM!AF561</f>
        <v>0</v>
      </c>
      <c r="I561">
        <f>PasteBBM!AE561</f>
        <v>0</v>
      </c>
      <c r="J561">
        <f>PasteBBM!AG561*PasteBBM!AH561</f>
        <v>0</v>
      </c>
      <c r="K561">
        <f>PasteBBM!AG561</f>
        <v>0</v>
      </c>
      <c r="L561">
        <f>PasteBBM!Z561</f>
        <v>0</v>
      </c>
      <c r="M561">
        <f>PasteBBM!Y561</f>
        <v>0</v>
      </c>
      <c r="N561">
        <f>PasteBBM!AA561</f>
        <v>0</v>
      </c>
      <c r="O561">
        <f>PasteBBM!AB561</f>
        <v>0</v>
      </c>
      <c r="P561">
        <f>PasteBBM!AC561</f>
        <v>0</v>
      </c>
      <c r="Q561">
        <f>PasteBBM!AD561</f>
        <v>0</v>
      </c>
      <c r="R561">
        <f>PasteBBM!AI561</f>
        <v>0</v>
      </c>
      <c r="S561">
        <f>PasteBBM!AE561</f>
        <v>0</v>
      </c>
      <c r="T561">
        <f>PasteBBM!AG561</f>
        <v>0</v>
      </c>
      <c r="V561" s="44">
        <v>-0.41709</v>
      </c>
      <c r="W561" s="44">
        <v>-0.00658</v>
      </c>
      <c r="X561" s="44">
        <v>0.009207</v>
      </c>
      <c r="Y561" s="44">
        <v>-0.4263</v>
      </c>
      <c r="Z561" s="44">
        <v>-0.34564</v>
      </c>
      <c r="AA561" s="45"/>
      <c r="AB561" s="46" t="s">
        <v>126</v>
      </c>
      <c r="AC561" s="44">
        <v>67.0</v>
      </c>
    </row>
    <row r="562">
      <c r="A562" s="2">
        <v>163.0</v>
      </c>
      <c r="B562" s="14">
        <f>IF(PasteBBM!B562="",156,PasteBBM!B562)</f>
        <v>156</v>
      </c>
      <c r="C562" t="str">
        <f>PasteBBM!I562</f>
        <v>Moses Brown</v>
      </c>
      <c r="D562" t="str">
        <f>IFERROR(REPLACE(PasteBBM!K562,FIND("/",PasteBBM!K562,1),1,","),PasteBBM!K562)</f>
        <v>C</v>
      </c>
      <c r="E562" t="str">
        <f>PasteBBM!J562</f>
        <v>DEN</v>
      </c>
      <c r="F562">
        <f>PasteBBM!U562</f>
        <v>0</v>
      </c>
      <c r="G562">
        <f>PasteBBM!X562</f>
        <v>0</v>
      </c>
      <c r="H562">
        <f>PasteBBM!AE562*PasteBBM!AF562</f>
        <v>0</v>
      </c>
      <c r="I562">
        <f>PasteBBM!AE562</f>
        <v>0</v>
      </c>
      <c r="J562">
        <f>PasteBBM!AG562*PasteBBM!AH562</f>
        <v>0</v>
      </c>
      <c r="K562">
        <f>PasteBBM!AG562</f>
        <v>0</v>
      </c>
      <c r="L562">
        <f>PasteBBM!Z562</f>
        <v>0</v>
      </c>
      <c r="M562">
        <f>PasteBBM!Y562</f>
        <v>0</v>
      </c>
      <c r="N562">
        <f>PasteBBM!AA562</f>
        <v>0</v>
      </c>
      <c r="O562">
        <f>PasteBBM!AB562</f>
        <v>0</v>
      </c>
      <c r="P562">
        <f>PasteBBM!AC562</f>
        <v>0</v>
      </c>
      <c r="Q562">
        <f>PasteBBM!AD562</f>
        <v>0</v>
      </c>
      <c r="R562">
        <f>PasteBBM!AI562</f>
        <v>0</v>
      </c>
      <c r="S562">
        <f>PasteBBM!AE562</f>
        <v>0</v>
      </c>
      <c r="T562">
        <f>PasteBBM!AG562</f>
        <v>0</v>
      </c>
      <c r="V562" s="44">
        <v>-0.41709</v>
      </c>
      <c r="W562" s="44">
        <v>-0.00658</v>
      </c>
      <c r="X562" s="44">
        <v>0.009207</v>
      </c>
      <c r="Y562" s="44">
        <v>-0.4263</v>
      </c>
      <c r="Z562" s="44">
        <v>-0.34564</v>
      </c>
      <c r="AA562" s="45"/>
      <c r="AB562" s="46" t="s">
        <v>126</v>
      </c>
      <c r="AC562" s="44">
        <v>67.0</v>
      </c>
    </row>
    <row r="563">
      <c r="A563" s="2">
        <v>163.0</v>
      </c>
      <c r="B563" s="14">
        <f>IF(PasteBBM!B563="",156,PasteBBM!B563)</f>
        <v>156</v>
      </c>
      <c r="C563" t="str">
        <f>PasteBBM!I563</f>
        <v>Ethan Thompson</v>
      </c>
      <c r="D563" t="str">
        <f>IFERROR(REPLACE(PasteBBM!K563,FIND("/",PasteBBM!K563,1),1,","),PasteBBM!K563)</f>
        <v>SG</v>
      </c>
      <c r="E563" t="str">
        <f>PasteBBM!J563</f>
        <v>MIA</v>
      </c>
      <c r="F563">
        <f>PasteBBM!U563</f>
        <v>0</v>
      </c>
      <c r="G563">
        <f>PasteBBM!X563</f>
        <v>0</v>
      </c>
      <c r="H563">
        <f>PasteBBM!AE563*PasteBBM!AF563</f>
        <v>0</v>
      </c>
      <c r="I563">
        <f>PasteBBM!AE563</f>
        <v>0</v>
      </c>
      <c r="J563">
        <f>PasteBBM!AG563*PasteBBM!AH563</f>
        <v>0</v>
      </c>
      <c r="K563">
        <f>PasteBBM!AG563</f>
        <v>0</v>
      </c>
      <c r="L563">
        <f>PasteBBM!Z563</f>
        <v>0</v>
      </c>
      <c r="M563">
        <f>PasteBBM!Y563</f>
        <v>0</v>
      </c>
      <c r="N563">
        <f>PasteBBM!AA563</f>
        <v>0</v>
      </c>
      <c r="O563">
        <f>PasteBBM!AB563</f>
        <v>0</v>
      </c>
      <c r="P563">
        <f>PasteBBM!AC563</f>
        <v>0</v>
      </c>
      <c r="Q563">
        <f>PasteBBM!AD563</f>
        <v>0</v>
      </c>
      <c r="R563">
        <f>PasteBBM!AI563</f>
        <v>0</v>
      </c>
      <c r="S563">
        <f>PasteBBM!AE563</f>
        <v>0</v>
      </c>
      <c r="T563">
        <f>PasteBBM!AG563</f>
        <v>0</v>
      </c>
      <c r="V563" s="44">
        <v>-0.41709</v>
      </c>
      <c r="W563" s="44">
        <v>-0.00658</v>
      </c>
      <c r="X563" s="44">
        <v>0.009207</v>
      </c>
      <c r="Y563" s="44">
        <v>-0.4263</v>
      </c>
      <c r="Z563" s="44">
        <v>-0.34564</v>
      </c>
      <c r="AA563" s="45"/>
      <c r="AB563" s="46" t="s">
        <v>126</v>
      </c>
      <c r="AC563" s="44">
        <v>67.0</v>
      </c>
    </row>
    <row r="564">
      <c r="A564" s="2">
        <v>163.0</v>
      </c>
      <c r="B564" s="14">
        <f>IF(PasteBBM!B564="",156,PasteBBM!B564)</f>
        <v>156</v>
      </c>
      <c r="C564" t="str">
        <f>PasteBBM!I564</f>
        <v>Stanley Umude</v>
      </c>
      <c r="D564" t="str">
        <f>IFERROR(REPLACE(PasteBBM!K564,FIND("/",PasteBBM!K564,1),1,","),PasteBBM!K564)</f>
        <v>SG</v>
      </c>
      <c r="E564" t="str">
        <f>PasteBBM!J564</f>
        <v>SAS</v>
      </c>
      <c r="F564">
        <f>PasteBBM!U564</f>
        <v>0</v>
      </c>
      <c r="G564">
        <f>PasteBBM!X564</f>
        <v>0</v>
      </c>
      <c r="H564">
        <f>PasteBBM!AE564*PasteBBM!AF564</f>
        <v>0</v>
      </c>
      <c r="I564">
        <f>PasteBBM!AE564</f>
        <v>0</v>
      </c>
      <c r="J564">
        <f>PasteBBM!AG564*PasteBBM!AH564</f>
        <v>0</v>
      </c>
      <c r="K564">
        <f>PasteBBM!AG564</f>
        <v>0</v>
      </c>
      <c r="L564">
        <f>PasteBBM!Z564</f>
        <v>0</v>
      </c>
      <c r="M564">
        <f>PasteBBM!Y564</f>
        <v>0</v>
      </c>
      <c r="N564">
        <f>PasteBBM!AA564</f>
        <v>0</v>
      </c>
      <c r="O564">
        <f>PasteBBM!AB564</f>
        <v>0</v>
      </c>
      <c r="P564">
        <f>PasteBBM!AC564</f>
        <v>0</v>
      </c>
      <c r="Q564">
        <f>PasteBBM!AD564</f>
        <v>0</v>
      </c>
      <c r="R564">
        <f>PasteBBM!AI564</f>
        <v>0</v>
      </c>
      <c r="S564">
        <f>PasteBBM!AE564</f>
        <v>0</v>
      </c>
      <c r="T564">
        <f>PasteBBM!AG564</f>
        <v>0</v>
      </c>
      <c r="V564" s="44">
        <v>-0.41709</v>
      </c>
      <c r="W564" s="44">
        <v>-0.00658</v>
      </c>
      <c r="X564" s="44">
        <v>0.009207</v>
      </c>
      <c r="Y564" s="44">
        <v>-0.4263</v>
      </c>
      <c r="Z564" s="44">
        <v>-0.34564</v>
      </c>
      <c r="AA564" s="45"/>
      <c r="AB564" s="46" t="s">
        <v>126</v>
      </c>
      <c r="AC564" s="44">
        <v>67.0</v>
      </c>
    </row>
    <row r="565">
      <c r="A565" s="2">
        <v>163.0</v>
      </c>
      <c r="B565" s="14">
        <f>IF(PasteBBM!B565="",156,PasteBBM!B565)</f>
        <v>156</v>
      </c>
      <c r="C565" t="str">
        <f>PasteBBM!I565</f>
        <v>Lester Quinones</v>
      </c>
      <c r="D565" t="str">
        <f>IFERROR(REPLACE(PasteBBM!K565,FIND("/",PasteBBM!K565,1),1,","),PasteBBM!K565)</f>
        <v>SG</v>
      </c>
      <c r="E565" t="str">
        <f>PasteBBM!J565</f>
        <v>ORL</v>
      </c>
      <c r="F565">
        <f>PasteBBM!U565</f>
        <v>0</v>
      </c>
      <c r="G565">
        <f>PasteBBM!X565</f>
        <v>0</v>
      </c>
      <c r="H565">
        <f>PasteBBM!AE565*PasteBBM!AF565</f>
        <v>0</v>
      </c>
      <c r="I565">
        <f>PasteBBM!AE565</f>
        <v>0</v>
      </c>
      <c r="J565">
        <f>PasteBBM!AG565*PasteBBM!AH565</f>
        <v>0</v>
      </c>
      <c r="K565">
        <f>PasteBBM!AG565</f>
        <v>0</v>
      </c>
      <c r="L565">
        <f>PasteBBM!Z565</f>
        <v>0</v>
      </c>
      <c r="M565">
        <f>PasteBBM!Y565</f>
        <v>0</v>
      </c>
      <c r="N565">
        <f>PasteBBM!AA565</f>
        <v>0</v>
      </c>
      <c r="O565">
        <f>PasteBBM!AB565</f>
        <v>0</v>
      </c>
      <c r="P565">
        <f>PasteBBM!AC565</f>
        <v>0</v>
      </c>
      <c r="Q565">
        <f>PasteBBM!AD565</f>
        <v>0</v>
      </c>
      <c r="R565">
        <f>PasteBBM!AI565</f>
        <v>0</v>
      </c>
      <c r="S565">
        <f>PasteBBM!AE565</f>
        <v>0</v>
      </c>
      <c r="T565">
        <f>PasteBBM!AG565</f>
        <v>0</v>
      </c>
      <c r="V565" s="44">
        <v>-0.41709</v>
      </c>
      <c r="W565" s="44">
        <v>-0.00658</v>
      </c>
      <c r="X565" s="44">
        <v>0.009207</v>
      </c>
      <c r="Y565" s="44">
        <v>-0.4263</v>
      </c>
      <c r="Z565" s="44">
        <v>-0.34564</v>
      </c>
      <c r="AA565" s="45"/>
      <c r="AB565" s="46" t="s">
        <v>126</v>
      </c>
      <c r="AC565" s="44">
        <v>67.0</v>
      </c>
    </row>
    <row r="566">
      <c r="A566" s="2">
        <v>163.0</v>
      </c>
      <c r="B566" s="14">
        <f>IF(PasteBBM!B566="",156,PasteBBM!B566)</f>
        <v>156</v>
      </c>
      <c r="C566" t="str">
        <f>PasteBBM!I566</f>
        <v>Emoni Bates</v>
      </c>
      <c r="D566" t="str">
        <f>IFERROR(REPLACE(PasteBBM!K566,FIND("/",PasteBBM!K566,1),1,","),PasteBBM!K566)</f>
        <v>SF</v>
      </c>
      <c r="E566" t="str">
        <f>PasteBBM!J566</f>
        <v>PHI</v>
      </c>
      <c r="F566">
        <f>PasteBBM!U566</f>
        <v>0</v>
      </c>
      <c r="G566">
        <f>PasteBBM!X566</f>
        <v>0</v>
      </c>
      <c r="H566">
        <f>PasteBBM!AE566*PasteBBM!AF566</f>
        <v>0</v>
      </c>
      <c r="I566">
        <f>PasteBBM!AE566</f>
        <v>0</v>
      </c>
      <c r="J566">
        <f>PasteBBM!AG566*PasteBBM!AH566</f>
        <v>0</v>
      </c>
      <c r="K566">
        <f>PasteBBM!AG566</f>
        <v>0</v>
      </c>
      <c r="L566">
        <f>PasteBBM!Z566</f>
        <v>0</v>
      </c>
      <c r="M566">
        <f>PasteBBM!Y566</f>
        <v>0</v>
      </c>
      <c r="N566">
        <f>PasteBBM!AA566</f>
        <v>0</v>
      </c>
      <c r="O566">
        <f>PasteBBM!AB566</f>
        <v>0</v>
      </c>
      <c r="P566">
        <f>PasteBBM!AC566</f>
        <v>0</v>
      </c>
      <c r="Q566">
        <f>PasteBBM!AD566</f>
        <v>0</v>
      </c>
      <c r="R566">
        <f>PasteBBM!AI566</f>
        <v>0</v>
      </c>
      <c r="S566">
        <f>PasteBBM!AE566</f>
        <v>0</v>
      </c>
      <c r="T566">
        <f>PasteBBM!AG566</f>
        <v>0</v>
      </c>
      <c r="V566" s="44">
        <v>-0.41709</v>
      </c>
      <c r="W566" s="44">
        <v>-0.00658</v>
      </c>
      <c r="X566" s="44">
        <v>0.009207</v>
      </c>
      <c r="Y566" s="44">
        <v>-0.4263</v>
      </c>
      <c r="Z566" s="44">
        <v>-0.34564</v>
      </c>
      <c r="AA566" s="45"/>
      <c r="AB566" s="46" t="s">
        <v>126</v>
      </c>
      <c r="AC566" s="44">
        <v>67.0</v>
      </c>
    </row>
    <row r="567">
      <c r="A567" s="2">
        <v>163.0</v>
      </c>
      <c r="B567" s="14">
        <f>IF(PasteBBM!B567="",156,PasteBBM!B567)</f>
        <v>156</v>
      </c>
      <c r="C567" t="str">
        <f>PasteBBM!I567</f>
        <v>DaQuan Jeffries</v>
      </c>
      <c r="D567" t="str">
        <f>IFERROR(REPLACE(PasteBBM!K567,FIND("/",PasteBBM!K567,1),1,","),PasteBBM!K567)</f>
        <v>SG</v>
      </c>
      <c r="E567" t="str">
        <f>PasteBBM!J567</f>
        <v>FA</v>
      </c>
      <c r="F567">
        <f>PasteBBM!U567</f>
        <v>0</v>
      </c>
      <c r="G567">
        <f>PasteBBM!X567</f>
        <v>0</v>
      </c>
      <c r="H567">
        <f>PasteBBM!AE567*PasteBBM!AF567</f>
        <v>0</v>
      </c>
      <c r="I567">
        <f>PasteBBM!AE567</f>
        <v>0</v>
      </c>
      <c r="J567">
        <f>PasteBBM!AG567*PasteBBM!AH567</f>
        <v>0</v>
      </c>
      <c r="K567">
        <f>PasteBBM!AG567</f>
        <v>0</v>
      </c>
      <c r="L567">
        <f>PasteBBM!Z567</f>
        <v>0</v>
      </c>
      <c r="M567">
        <f>PasteBBM!Y567</f>
        <v>0</v>
      </c>
      <c r="N567">
        <f>PasteBBM!AA567</f>
        <v>0</v>
      </c>
      <c r="O567">
        <f>PasteBBM!AB567</f>
        <v>0</v>
      </c>
      <c r="P567">
        <f>PasteBBM!AC567</f>
        <v>0</v>
      </c>
      <c r="Q567">
        <f>PasteBBM!AD567</f>
        <v>0</v>
      </c>
      <c r="R567">
        <f>PasteBBM!AI567</f>
        <v>0</v>
      </c>
      <c r="S567">
        <f>PasteBBM!AE567</f>
        <v>0</v>
      </c>
      <c r="T567">
        <f>PasteBBM!AG567</f>
        <v>0</v>
      </c>
      <c r="V567" s="44">
        <v>-0.41709</v>
      </c>
      <c r="W567" s="44">
        <v>-0.00658</v>
      </c>
      <c r="X567" s="44">
        <v>0.009207</v>
      </c>
      <c r="Y567" s="44">
        <v>-0.4263</v>
      </c>
      <c r="Z567" s="44">
        <v>-0.34564</v>
      </c>
      <c r="AA567" s="45"/>
      <c r="AB567" s="46" t="s">
        <v>126</v>
      </c>
      <c r="AC567" s="44">
        <v>67.0</v>
      </c>
    </row>
    <row r="568">
      <c r="A568" s="2">
        <v>163.0</v>
      </c>
      <c r="B568" s="14">
        <f>IF(PasteBBM!B568="",156,PasteBBM!B568)</f>
        <v>156</v>
      </c>
      <c r="C568" t="str">
        <f>PasteBBM!I568</f>
        <v>Seth Curry</v>
      </c>
      <c r="D568" t="str">
        <f>IFERROR(REPLACE(PasteBBM!K568,FIND("/",PasteBBM!K568,1),1,","),PasteBBM!K568)</f>
        <v>SG</v>
      </c>
      <c r="E568" t="str">
        <f>PasteBBM!J568</f>
        <v>GSW</v>
      </c>
      <c r="F568">
        <f>PasteBBM!U568</f>
        <v>0</v>
      </c>
      <c r="G568">
        <f>PasteBBM!X568</f>
        <v>0</v>
      </c>
      <c r="H568">
        <f>PasteBBM!AE568*PasteBBM!AF568</f>
        <v>0</v>
      </c>
      <c r="I568">
        <f>PasteBBM!AE568</f>
        <v>0</v>
      </c>
      <c r="J568">
        <f>PasteBBM!AG568*PasteBBM!AH568</f>
        <v>0</v>
      </c>
      <c r="K568">
        <f>PasteBBM!AG568</f>
        <v>0</v>
      </c>
      <c r="L568">
        <f>PasteBBM!Z568</f>
        <v>0</v>
      </c>
      <c r="M568">
        <f>PasteBBM!Y568</f>
        <v>0</v>
      </c>
      <c r="N568">
        <f>PasteBBM!AA568</f>
        <v>0</v>
      </c>
      <c r="O568">
        <f>PasteBBM!AB568</f>
        <v>0</v>
      </c>
      <c r="P568">
        <f>PasteBBM!AC568</f>
        <v>0</v>
      </c>
      <c r="Q568">
        <f>PasteBBM!AD568</f>
        <v>0</v>
      </c>
      <c r="R568">
        <f>PasteBBM!AI568</f>
        <v>0</v>
      </c>
      <c r="S568">
        <f>PasteBBM!AE568</f>
        <v>0</v>
      </c>
      <c r="T568">
        <f>PasteBBM!AG568</f>
        <v>0</v>
      </c>
      <c r="V568" s="44">
        <v>-0.41709</v>
      </c>
      <c r="W568" s="44">
        <v>-0.00658</v>
      </c>
      <c r="X568" s="44">
        <v>0.009207</v>
      </c>
      <c r="Y568" s="44">
        <v>-0.4263</v>
      </c>
      <c r="Z568" s="44">
        <v>-0.34564</v>
      </c>
      <c r="AA568" s="45"/>
      <c r="AB568" s="46" t="s">
        <v>126</v>
      </c>
      <c r="AC568" s="44">
        <v>67.0</v>
      </c>
    </row>
    <row r="569">
      <c r="A569" s="2">
        <v>163.0</v>
      </c>
      <c r="B569" s="14">
        <f>IF(PasteBBM!B569="",156,PasteBBM!B569)</f>
        <v>156</v>
      </c>
      <c r="C569" t="str">
        <f>PasteBBM!I569</f>
        <v>Cormac Ryan</v>
      </c>
      <c r="D569" t="str">
        <f>IFERROR(REPLACE(PasteBBM!K569,FIND("/",PasteBBM!K569,1),1,","),PasteBBM!K569)</f>
        <v>PG,SG</v>
      </c>
      <c r="E569" t="str">
        <f>PasteBBM!J569</f>
        <v>MIL</v>
      </c>
      <c r="F569">
        <f>PasteBBM!U569</f>
        <v>0</v>
      </c>
      <c r="G569">
        <f>PasteBBM!X569</f>
        <v>0</v>
      </c>
      <c r="H569">
        <f>PasteBBM!AE569*PasteBBM!AF569</f>
        <v>0</v>
      </c>
      <c r="I569">
        <f>PasteBBM!AE569</f>
        <v>0</v>
      </c>
      <c r="J569">
        <f>PasteBBM!AG569*PasteBBM!AH569</f>
        <v>0</v>
      </c>
      <c r="K569">
        <f>PasteBBM!AG569</f>
        <v>0</v>
      </c>
      <c r="L569">
        <f>PasteBBM!Z569</f>
        <v>0</v>
      </c>
      <c r="M569">
        <f>PasteBBM!Y569</f>
        <v>0</v>
      </c>
      <c r="N569">
        <f>PasteBBM!AA569</f>
        <v>0</v>
      </c>
      <c r="O569">
        <f>PasteBBM!AB569</f>
        <v>0</v>
      </c>
      <c r="P569">
        <f>PasteBBM!AC569</f>
        <v>0</v>
      </c>
      <c r="Q569">
        <f>PasteBBM!AD569</f>
        <v>0</v>
      </c>
      <c r="R569">
        <f>PasteBBM!AI569</f>
        <v>0</v>
      </c>
      <c r="S569">
        <f>PasteBBM!AE569</f>
        <v>0</v>
      </c>
      <c r="T569">
        <f>PasteBBM!AG569</f>
        <v>0</v>
      </c>
      <c r="V569" s="44">
        <v>-0.41709</v>
      </c>
      <c r="W569" s="44">
        <v>-0.00658</v>
      </c>
      <c r="X569" s="44">
        <v>0.009207</v>
      </c>
      <c r="Y569" s="44">
        <v>-0.4263</v>
      </c>
      <c r="Z569" s="44">
        <v>-0.34564</v>
      </c>
      <c r="AA569" s="45"/>
      <c r="AB569" s="46" t="s">
        <v>126</v>
      </c>
      <c r="AC569" s="44">
        <v>67.0</v>
      </c>
    </row>
    <row r="570">
      <c r="A570" s="2">
        <v>163.0</v>
      </c>
      <c r="B570" s="14">
        <f>IF(PasteBBM!B570="",156,PasteBBM!B570)</f>
        <v>156</v>
      </c>
      <c r="C570" t="str">
        <f>PasteBBM!I570</f>
        <v>Mohamed Diawara</v>
      </c>
      <c r="D570" t="str">
        <f>IFERROR(REPLACE(PasteBBM!K570,FIND("/",PasteBBM!K570,1),1,","),PasteBBM!K570)</f>
        <v>SF,PF</v>
      </c>
      <c r="E570" t="str">
        <f>PasteBBM!J570</f>
        <v>NYK</v>
      </c>
      <c r="F570">
        <f>PasteBBM!U570</f>
        <v>0</v>
      </c>
      <c r="G570">
        <f>PasteBBM!X570</f>
        <v>0</v>
      </c>
      <c r="H570">
        <f>PasteBBM!AE570*PasteBBM!AF570</f>
        <v>0</v>
      </c>
      <c r="I570">
        <f>PasteBBM!AE570</f>
        <v>0</v>
      </c>
      <c r="J570">
        <f>PasteBBM!AG570*PasteBBM!AH570</f>
        <v>0</v>
      </c>
      <c r="K570">
        <f>PasteBBM!AG570</f>
        <v>0</v>
      </c>
      <c r="L570">
        <f>PasteBBM!Z570</f>
        <v>0</v>
      </c>
      <c r="M570">
        <f>PasteBBM!Y570</f>
        <v>0</v>
      </c>
      <c r="N570">
        <f>PasteBBM!AA570</f>
        <v>0</v>
      </c>
      <c r="O570">
        <f>PasteBBM!AB570</f>
        <v>0</v>
      </c>
      <c r="P570">
        <f>PasteBBM!AC570</f>
        <v>0</v>
      </c>
      <c r="Q570">
        <f>PasteBBM!AD570</f>
        <v>0</v>
      </c>
      <c r="R570">
        <f>PasteBBM!AI570</f>
        <v>0</v>
      </c>
      <c r="S570">
        <f>PasteBBM!AE570</f>
        <v>0</v>
      </c>
      <c r="T570">
        <f>PasteBBM!AG570</f>
        <v>0</v>
      </c>
      <c r="V570" s="44">
        <v>-0.41709</v>
      </c>
      <c r="W570" s="44">
        <v>-0.00658</v>
      </c>
      <c r="X570" s="44">
        <v>0.009207</v>
      </c>
      <c r="Y570" s="44">
        <v>-0.4263</v>
      </c>
      <c r="Z570" s="44">
        <v>-0.34564</v>
      </c>
      <c r="AA570" s="45"/>
      <c r="AB570" s="46" t="s">
        <v>126</v>
      </c>
      <c r="AC570" s="44">
        <v>67.0</v>
      </c>
    </row>
    <row r="571">
      <c r="A571" s="2">
        <v>163.0</v>
      </c>
      <c r="B571" s="14">
        <f>IF(PasteBBM!B571="",156,PasteBBM!B571)</f>
        <v>156</v>
      </c>
      <c r="C571" t="str">
        <f>PasteBBM!I571</f>
        <v>Jahmir Young</v>
      </c>
      <c r="D571" t="str">
        <f>IFERROR(REPLACE(PasteBBM!K571,FIND("/",PasteBBM!K571,1),1,","),PasteBBM!K571)</f>
        <v>PG</v>
      </c>
      <c r="E571" t="str">
        <f>PasteBBM!J571</f>
        <v>MIA</v>
      </c>
      <c r="F571">
        <f>PasteBBM!U571</f>
        <v>0</v>
      </c>
      <c r="G571">
        <f>PasteBBM!X571</f>
        <v>0</v>
      </c>
      <c r="H571">
        <f>PasteBBM!AE571*PasteBBM!AF571</f>
        <v>0</v>
      </c>
      <c r="I571">
        <f>PasteBBM!AE571</f>
        <v>0</v>
      </c>
      <c r="J571">
        <f>PasteBBM!AG571*PasteBBM!AH571</f>
        <v>0</v>
      </c>
      <c r="K571">
        <f>PasteBBM!AG571</f>
        <v>0</v>
      </c>
      <c r="L571">
        <f>PasteBBM!Z571</f>
        <v>0</v>
      </c>
      <c r="M571">
        <f>PasteBBM!Y571</f>
        <v>0</v>
      </c>
      <c r="N571">
        <f>PasteBBM!AA571</f>
        <v>0</v>
      </c>
      <c r="O571">
        <f>PasteBBM!AB571</f>
        <v>0</v>
      </c>
      <c r="P571">
        <f>PasteBBM!AC571</f>
        <v>0</v>
      </c>
      <c r="Q571">
        <f>PasteBBM!AD571</f>
        <v>0</v>
      </c>
      <c r="R571">
        <f>PasteBBM!AI571</f>
        <v>0</v>
      </c>
      <c r="S571">
        <f>PasteBBM!AE571</f>
        <v>0</v>
      </c>
      <c r="T571">
        <f>PasteBBM!AG571</f>
        <v>0</v>
      </c>
      <c r="V571" s="44">
        <v>-0.41709</v>
      </c>
      <c r="W571" s="44">
        <v>-0.00658</v>
      </c>
      <c r="X571" s="44">
        <v>0.009207</v>
      </c>
      <c r="Y571" s="44">
        <v>-0.4263</v>
      </c>
      <c r="Z571" s="44">
        <v>-0.34564</v>
      </c>
      <c r="AA571" s="45"/>
      <c r="AB571" s="46" t="s">
        <v>126</v>
      </c>
      <c r="AC571" s="44">
        <v>67.0</v>
      </c>
    </row>
    <row r="572">
      <c r="A572" s="2">
        <v>163.0</v>
      </c>
      <c r="B572" s="14">
        <f>IF(PasteBBM!B572="",156,PasteBBM!B572)</f>
        <v>130</v>
      </c>
      <c r="C572" t="str">
        <f>PasteBBM!I572</f>
        <v>Tyrese Haliburton</v>
      </c>
      <c r="D572" t="str">
        <f>IFERROR(REPLACE(PasteBBM!K572,FIND("/",PasteBBM!K572,1),1,","),PasteBBM!K572)</f>
        <v>PG,SG</v>
      </c>
      <c r="E572" t="str">
        <f>PasteBBM!J572</f>
        <v>IND</v>
      </c>
      <c r="F572">
        <f>PasteBBM!U572</f>
        <v>0</v>
      </c>
      <c r="G572">
        <f>PasteBBM!X572</f>
        <v>0</v>
      </c>
      <c r="H572">
        <f>PasteBBM!AE572*PasteBBM!AF572</f>
        <v>0</v>
      </c>
      <c r="I572">
        <f>PasteBBM!AE572</f>
        <v>0</v>
      </c>
      <c r="J572">
        <f>PasteBBM!AG572*PasteBBM!AH572</f>
        <v>0</v>
      </c>
      <c r="K572">
        <f>PasteBBM!AG572</f>
        <v>0</v>
      </c>
      <c r="L572">
        <f>PasteBBM!Z572</f>
        <v>0</v>
      </c>
      <c r="M572">
        <f>PasteBBM!Y572</f>
        <v>0</v>
      </c>
      <c r="N572">
        <f>PasteBBM!AA572</f>
        <v>0</v>
      </c>
      <c r="O572">
        <f>PasteBBM!AB572</f>
        <v>0</v>
      </c>
      <c r="P572">
        <f>PasteBBM!AC572</f>
        <v>0</v>
      </c>
      <c r="Q572">
        <f>PasteBBM!AD572</f>
        <v>0</v>
      </c>
      <c r="R572">
        <f>PasteBBM!AI572</f>
        <v>0</v>
      </c>
      <c r="S572">
        <f>PasteBBM!AE572</f>
        <v>0</v>
      </c>
      <c r="T572">
        <f>PasteBBM!AG572</f>
        <v>0</v>
      </c>
      <c r="V572" s="44">
        <v>-0.41709</v>
      </c>
      <c r="W572" s="44">
        <v>-0.00658</v>
      </c>
      <c r="X572" s="44">
        <v>0.009207</v>
      </c>
      <c r="Y572" s="44">
        <v>-0.4263</v>
      </c>
      <c r="Z572" s="44">
        <v>-0.34564</v>
      </c>
      <c r="AA572" s="45"/>
      <c r="AB572" s="46" t="s">
        <v>126</v>
      </c>
      <c r="AC572" s="44">
        <v>67.0</v>
      </c>
    </row>
    <row r="573">
      <c r="A573" s="2">
        <v>163.0</v>
      </c>
      <c r="B573" s="14">
        <f>IF(PasteBBM!B573="",156,PasteBBM!B573)</f>
        <v>156</v>
      </c>
      <c r="C573" t="str">
        <f>PasteBBM!I573</f>
        <v>Garrison Mathews</v>
      </c>
      <c r="D573" t="str">
        <f>IFERROR(REPLACE(PasteBBM!K573,FIND("/",PasteBBM!K573,1),1,","),PasteBBM!K573)</f>
        <v>SG,SF</v>
      </c>
      <c r="E573" t="str">
        <f>PasteBBM!J573</f>
        <v>NYK</v>
      </c>
      <c r="F573">
        <f>PasteBBM!U573</f>
        <v>0</v>
      </c>
      <c r="G573">
        <f>PasteBBM!X573</f>
        <v>0</v>
      </c>
      <c r="H573">
        <f>PasteBBM!AE573*PasteBBM!AF573</f>
        <v>0</v>
      </c>
      <c r="I573">
        <f>PasteBBM!AE573</f>
        <v>0</v>
      </c>
      <c r="J573">
        <f>PasteBBM!AG573*PasteBBM!AH573</f>
        <v>0</v>
      </c>
      <c r="K573">
        <f>PasteBBM!AG573</f>
        <v>0</v>
      </c>
      <c r="L573">
        <f>PasteBBM!Z573</f>
        <v>0</v>
      </c>
      <c r="M573">
        <f>PasteBBM!Y573</f>
        <v>0</v>
      </c>
      <c r="N573">
        <f>PasteBBM!AA573</f>
        <v>0</v>
      </c>
      <c r="O573">
        <f>PasteBBM!AB573</f>
        <v>0</v>
      </c>
      <c r="P573">
        <f>PasteBBM!AC573</f>
        <v>0</v>
      </c>
      <c r="Q573">
        <f>PasteBBM!AD573</f>
        <v>0</v>
      </c>
      <c r="R573">
        <f>PasteBBM!AI573</f>
        <v>0</v>
      </c>
      <c r="S573">
        <f>PasteBBM!AE573</f>
        <v>0</v>
      </c>
      <c r="T573">
        <f>PasteBBM!AG573</f>
        <v>0</v>
      </c>
      <c r="V573" s="44">
        <v>-0.41709</v>
      </c>
      <c r="W573" s="44">
        <v>-0.00658</v>
      </c>
      <c r="X573" s="44">
        <v>0.009207</v>
      </c>
      <c r="Y573" s="44">
        <v>-0.4263</v>
      </c>
      <c r="Z573" s="44">
        <v>-0.34564</v>
      </c>
      <c r="AA573" s="45"/>
      <c r="AB573" s="46" t="s">
        <v>126</v>
      </c>
      <c r="AC573" s="44">
        <v>67.0</v>
      </c>
    </row>
    <row r="574">
      <c r="A574" s="2">
        <v>163.0</v>
      </c>
      <c r="B574" s="14">
        <f>IF(PasteBBM!B574="",156,PasteBBM!B574)</f>
        <v>156</v>
      </c>
      <c r="C574" t="str">
        <f>PasteBBM!I574</f>
        <v>Brice Williams</v>
      </c>
      <c r="D574" t="str">
        <f>IFERROR(REPLACE(PasteBBM!K574,FIND("/",PasteBBM!K574,1),1,","),PasteBBM!K574)</f>
        <v>SG,SF/PF</v>
      </c>
      <c r="E574" t="str">
        <f>PasteBBM!J574</f>
        <v>DET</v>
      </c>
      <c r="F574">
        <f>PasteBBM!U574</f>
        <v>0</v>
      </c>
      <c r="G574">
        <f>PasteBBM!X574</f>
        <v>0</v>
      </c>
      <c r="H574">
        <f>PasteBBM!AE574*PasteBBM!AF574</f>
        <v>0</v>
      </c>
      <c r="I574">
        <f>PasteBBM!AE574</f>
        <v>0</v>
      </c>
      <c r="J574">
        <f>PasteBBM!AG574*PasteBBM!AH574</f>
        <v>0</v>
      </c>
      <c r="K574">
        <f>PasteBBM!AG574</f>
        <v>0</v>
      </c>
      <c r="L574">
        <f>PasteBBM!Z574</f>
        <v>0</v>
      </c>
      <c r="M574">
        <f>PasteBBM!Y574</f>
        <v>0</v>
      </c>
      <c r="N574">
        <f>PasteBBM!AA574</f>
        <v>0</v>
      </c>
      <c r="O574">
        <f>PasteBBM!AB574</f>
        <v>0</v>
      </c>
      <c r="P574">
        <f>PasteBBM!AC574</f>
        <v>0</v>
      </c>
      <c r="Q574">
        <f>PasteBBM!AD574</f>
        <v>0</v>
      </c>
      <c r="R574">
        <f>PasteBBM!AI574</f>
        <v>0</v>
      </c>
      <c r="S574">
        <f>PasteBBM!AE574</f>
        <v>0</v>
      </c>
      <c r="T574">
        <f>PasteBBM!AG574</f>
        <v>0</v>
      </c>
      <c r="V574" s="44">
        <v>-0.41709</v>
      </c>
      <c r="W574" s="44">
        <v>-0.00658</v>
      </c>
      <c r="X574" s="44">
        <v>0.009207</v>
      </c>
      <c r="Y574" s="44">
        <v>-0.4263</v>
      </c>
      <c r="Z574" s="44">
        <v>-0.34564</v>
      </c>
      <c r="AA574" s="45"/>
      <c r="AB574" s="46" t="s">
        <v>126</v>
      </c>
      <c r="AC574" s="44">
        <v>67.0</v>
      </c>
    </row>
    <row r="575">
      <c r="A575" s="2">
        <v>163.0</v>
      </c>
      <c r="B575" s="14">
        <f>IF(PasteBBM!B575="",156,PasteBBM!B575)</f>
        <v>156</v>
      </c>
      <c r="C575" t="str">
        <f>PasteBBM!I575</f>
        <v>Jalen Bridges</v>
      </c>
      <c r="D575" t="str">
        <f>IFERROR(REPLACE(PasteBBM!K575,FIND("/",PasteBBM!K575,1),1,","),PasteBBM!K575)</f>
        <v>SF</v>
      </c>
      <c r="E575" t="str">
        <f>PasteBBM!J575</f>
        <v>BOS</v>
      </c>
      <c r="F575">
        <f>PasteBBM!U575</f>
        <v>0</v>
      </c>
      <c r="G575">
        <f>PasteBBM!X575</f>
        <v>0</v>
      </c>
      <c r="H575">
        <f>PasteBBM!AE575*PasteBBM!AF575</f>
        <v>0</v>
      </c>
      <c r="I575">
        <f>PasteBBM!AE575</f>
        <v>0</v>
      </c>
      <c r="J575">
        <f>PasteBBM!AG575*PasteBBM!AH575</f>
        <v>0</v>
      </c>
      <c r="K575">
        <f>PasteBBM!AG575</f>
        <v>0</v>
      </c>
      <c r="L575">
        <f>PasteBBM!Z575</f>
        <v>0</v>
      </c>
      <c r="M575">
        <f>PasteBBM!Y575</f>
        <v>0</v>
      </c>
      <c r="N575">
        <f>PasteBBM!AA575</f>
        <v>0</v>
      </c>
      <c r="O575">
        <f>PasteBBM!AB575</f>
        <v>0</v>
      </c>
      <c r="P575">
        <f>PasteBBM!AC575</f>
        <v>0</v>
      </c>
      <c r="Q575">
        <f>PasteBBM!AD575</f>
        <v>0</v>
      </c>
      <c r="R575">
        <f>PasteBBM!AI575</f>
        <v>0</v>
      </c>
      <c r="S575">
        <f>PasteBBM!AE575</f>
        <v>0</v>
      </c>
      <c r="T575">
        <f>PasteBBM!AG575</f>
        <v>0</v>
      </c>
      <c r="V575" s="44">
        <v>-0.41709</v>
      </c>
      <c r="W575" s="44">
        <v>-0.00658</v>
      </c>
      <c r="X575" s="44">
        <v>0.009207</v>
      </c>
      <c r="Y575" s="44">
        <v>-0.4263</v>
      </c>
      <c r="Z575" s="44">
        <v>-0.34564</v>
      </c>
      <c r="AA575" s="45"/>
      <c r="AB575" s="46" t="s">
        <v>126</v>
      </c>
      <c r="AC575" s="44">
        <v>67.0</v>
      </c>
    </row>
    <row r="576">
      <c r="A576" s="2">
        <v>163.0</v>
      </c>
      <c r="B576" s="14">
        <f>IF(PasteBBM!B576="",156,PasteBBM!B576)</f>
        <v>156</v>
      </c>
      <c r="C576" t="str">
        <f>PasteBBM!I576</f>
        <v>Damian Lillard</v>
      </c>
      <c r="D576" t="str">
        <f>IFERROR(REPLACE(PasteBBM!K576,FIND("/",PasteBBM!K576,1),1,","),PasteBBM!K576)</f>
        <v>PG</v>
      </c>
      <c r="E576" t="str">
        <f>PasteBBM!J576</f>
        <v>POR</v>
      </c>
      <c r="F576">
        <f>PasteBBM!U576</f>
        <v>0</v>
      </c>
      <c r="G576">
        <f>PasteBBM!X576</f>
        <v>0</v>
      </c>
      <c r="H576">
        <f>PasteBBM!AE576*PasteBBM!AF576</f>
        <v>0</v>
      </c>
      <c r="I576">
        <f>PasteBBM!AE576</f>
        <v>0</v>
      </c>
      <c r="J576">
        <f>PasteBBM!AG576*PasteBBM!AH576</f>
        <v>0</v>
      </c>
      <c r="K576">
        <f>PasteBBM!AG576</f>
        <v>0</v>
      </c>
      <c r="L576">
        <f>PasteBBM!Z576</f>
        <v>0</v>
      </c>
      <c r="M576">
        <f>PasteBBM!Y576</f>
        <v>0</v>
      </c>
      <c r="N576">
        <f>PasteBBM!AA576</f>
        <v>0</v>
      </c>
      <c r="O576">
        <f>PasteBBM!AB576</f>
        <v>0</v>
      </c>
      <c r="P576">
        <f>PasteBBM!AC576</f>
        <v>0</v>
      </c>
      <c r="Q576">
        <f>PasteBBM!AD576</f>
        <v>0</v>
      </c>
      <c r="R576">
        <f>PasteBBM!AI576</f>
        <v>0</v>
      </c>
      <c r="S576">
        <f>PasteBBM!AE576</f>
        <v>0</v>
      </c>
      <c r="T576">
        <f>PasteBBM!AG576</f>
        <v>0</v>
      </c>
      <c r="V576" s="44">
        <v>-0.41709</v>
      </c>
      <c r="W576" s="44">
        <v>-0.00658</v>
      </c>
      <c r="X576" s="44">
        <v>0.009207</v>
      </c>
      <c r="Y576" s="44">
        <v>-0.4263</v>
      </c>
      <c r="Z576" s="44">
        <v>-0.34564</v>
      </c>
      <c r="AA576" s="45"/>
      <c r="AB576" s="46" t="s">
        <v>126</v>
      </c>
      <c r="AC576" s="44">
        <v>67.0</v>
      </c>
    </row>
    <row r="577">
      <c r="A577" s="2">
        <v>163.0</v>
      </c>
      <c r="B577" s="14">
        <f>IF(PasteBBM!B577="",156,PasteBBM!B577)</f>
        <v>156</v>
      </c>
      <c r="C577" t="str">
        <f>PasteBBM!I577</f>
        <v>Jahmai Mashack</v>
      </c>
      <c r="D577" t="str">
        <f>IFERROR(REPLACE(PasteBBM!K577,FIND("/",PasteBBM!K577,1),1,","),PasteBBM!K577)</f>
        <v>PG,SG</v>
      </c>
      <c r="E577" t="str">
        <f>PasteBBM!J577</f>
        <v>MEM</v>
      </c>
      <c r="F577">
        <f>PasteBBM!U577</f>
        <v>0</v>
      </c>
      <c r="G577">
        <f>PasteBBM!X577</f>
        <v>0</v>
      </c>
      <c r="H577">
        <f>PasteBBM!AE577*PasteBBM!AF577</f>
        <v>0</v>
      </c>
      <c r="I577">
        <f>PasteBBM!AE577</f>
        <v>0</v>
      </c>
      <c r="J577">
        <f>PasteBBM!AG577*PasteBBM!AH577</f>
        <v>0</v>
      </c>
      <c r="K577">
        <f>PasteBBM!AG577</f>
        <v>0</v>
      </c>
      <c r="L577">
        <f>PasteBBM!Z577</f>
        <v>0</v>
      </c>
      <c r="M577">
        <f>PasteBBM!Y577</f>
        <v>0</v>
      </c>
      <c r="N577">
        <f>PasteBBM!AA577</f>
        <v>0</v>
      </c>
      <c r="O577">
        <f>PasteBBM!AB577</f>
        <v>0</v>
      </c>
      <c r="P577">
        <f>PasteBBM!AC577</f>
        <v>0</v>
      </c>
      <c r="Q577">
        <f>PasteBBM!AD577</f>
        <v>0</v>
      </c>
      <c r="R577">
        <f>PasteBBM!AI577</f>
        <v>0</v>
      </c>
      <c r="S577">
        <f>PasteBBM!AE577</f>
        <v>0</v>
      </c>
      <c r="T577">
        <f>PasteBBM!AG577</f>
        <v>0</v>
      </c>
      <c r="V577" s="44">
        <v>-0.41709</v>
      </c>
      <c r="W577" s="44">
        <v>-0.00658</v>
      </c>
      <c r="X577" s="44">
        <v>0.009207</v>
      </c>
      <c r="Y577" s="44">
        <v>-0.4263</v>
      </c>
      <c r="Z577" s="44">
        <v>-0.34564</v>
      </c>
      <c r="AA577" s="45"/>
      <c r="AB577" s="46" t="s">
        <v>126</v>
      </c>
      <c r="AC577" s="44">
        <v>67.0</v>
      </c>
    </row>
    <row r="578">
      <c r="A578" s="2">
        <v>163.0</v>
      </c>
      <c r="B578" s="14">
        <f>IF(PasteBBM!B578="",156,PasteBBM!B578)</f>
        <v>156</v>
      </c>
      <c r="C578" t="str">
        <f>PasteBBM!I578</f>
        <v>Patrick Baldwin</v>
      </c>
      <c r="D578" t="str">
        <f>IFERROR(REPLACE(PasteBBM!K578,FIND("/",PasteBBM!K578,1),1,","),PasteBBM!K578)</f>
        <v>SF</v>
      </c>
      <c r="E578" t="str">
        <f>PasteBBM!J578</f>
        <v>LAC</v>
      </c>
      <c r="F578">
        <f>PasteBBM!U578</f>
        <v>0</v>
      </c>
      <c r="G578">
        <f>PasteBBM!X578</f>
        <v>0</v>
      </c>
      <c r="H578">
        <f>PasteBBM!AE578*PasteBBM!AF578</f>
        <v>0</v>
      </c>
      <c r="I578">
        <f>PasteBBM!AE578</f>
        <v>0</v>
      </c>
      <c r="J578">
        <f>PasteBBM!AG578*PasteBBM!AH578</f>
        <v>0</v>
      </c>
      <c r="K578">
        <f>PasteBBM!AG578</f>
        <v>0</v>
      </c>
      <c r="L578">
        <f>PasteBBM!Z578</f>
        <v>0</v>
      </c>
      <c r="M578">
        <f>PasteBBM!Y578</f>
        <v>0</v>
      </c>
      <c r="N578">
        <f>PasteBBM!AA578</f>
        <v>0</v>
      </c>
      <c r="O578">
        <f>PasteBBM!AB578</f>
        <v>0</v>
      </c>
      <c r="P578">
        <f>PasteBBM!AC578</f>
        <v>0</v>
      </c>
      <c r="Q578">
        <f>PasteBBM!AD578</f>
        <v>0</v>
      </c>
      <c r="R578">
        <f>PasteBBM!AI578</f>
        <v>0</v>
      </c>
      <c r="S578">
        <f>PasteBBM!AE578</f>
        <v>0</v>
      </c>
      <c r="T578">
        <f>PasteBBM!AG578</f>
        <v>0</v>
      </c>
      <c r="V578" s="44">
        <v>-0.41709</v>
      </c>
      <c r="W578" s="44">
        <v>-0.00658</v>
      </c>
      <c r="X578" s="44">
        <v>0.009207</v>
      </c>
      <c r="Y578" s="44">
        <v>-0.4263</v>
      </c>
      <c r="Z578" s="44">
        <v>-0.34564</v>
      </c>
      <c r="AA578" s="45"/>
      <c r="AB578" s="46" t="s">
        <v>126</v>
      </c>
      <c r="AC578" s="44">
        <v>67.0</v>
      </c>
    </row>
    <row r="579">
      <c r="A579" s="2">
        <v>163.0</v>
      </c>
      <c r="B579" s="14">
        <f>IF(PasteBBM!B579="",156,PasteBBM!B579)</f>
        <v>156</v>
      </c>
      <c r="C579" t="str">
        <f>PasteBBM!I579</f>
        <v>Dalano Banton</v>
      </c>
      <c r="D579" t="str">
        <f>IFERROR(REPLACE(PasteBBM!K579,FIND("/",PasteBBM!K579,1),1,","),PasteBBM!K579)</f>
        <v>PG,SG</v>
      </c>
      <c r="E579" t="str">
        <f>PasteBBM!J579</f>
        <v>DAL</v>
      </c>
      <c r="F579">
        <f>PasteBBM!U579</f>
        <v>0</v>
      </c>
      <c r="G579">
        <f>PasteBBM!X579</f>
        <v>0</v>
      </c>
      <c r="H579">
        <f>PasteBBM!AE579*PasteBBM!AF579</f>
        <v>0</v>
      </c>
      <c r="I579">
        <f>PasteBBM!AE579</f>
        <v>0</v>
      </c>
      <c r="J579">
        <f>PasteBBM!AG579*PasteBBM!AH579</f>
        <v>0</v>
      </c>
      <c r="K579">
        <f>PasteBBM!AG579</f>
        <v>0</v>
      </c>
      <c r="L579">
        <f>PasteBBM!Z579</f>
        <v>0</v>
      </c>
      <c r="M579">
        <f>PasteBBM!Y579</f>
        <v>0</v>
      </c>
      <c r="N579">
        <f>PasteBBM!AA579</f>
        <v>0</v>
      </c>
      <c r="O579">
        <f>PasteBBM!AB579</f>
        <v>0</v>
      </c>
      <c r="P579">
        <f>PasteBBM!AC579</f>
        <v>0</v>
      </c>
      <c r="Q579">
        <f>PasteBBM!AD579</f>
        <v>0</v>
      </c>
      <c r="R579">
        <f>PasteBBM!AI579</f>
        <v>0</v>
      </c>
      <c r="S579">
        <f>PasteBBM!AE579</f>
        <v>0</v>
      </c>
      <c r="T579">
        <f>PasteBBM!AG579</f>
        <v>0</v>
      </c>
      <c r="V579" s="44">
        <v>-0.41709</v>
      </c>
      <c r="W579" s="44">
        <v>-0.00658</v>
      </c>
      <c r="X579" s="44">
        <v>0.009207</v>
      </c>
      <c r="Y579" s="44">
        <v>-0.4263</v>
      </c>
      <c r="Z579" s="44">
        <v>-0.34564</v>
      </c>
      <c r="AA579" s="45"/>
      <c r="AB579" s="46" t="s">
        <v>126</v>
      </c>
      <c r="AC579" s="44">
        <v>67.0</v>
      </c>
    </row>
    <row r="580">
      <c r="A580" s="2">
        <v>163.0</v>
      </c>
      <c r="B580" s="14">
        <f>IF(PasteBBM!B580="",156,PasteBBM!B580)</f>
        <v>156</v>
      </c>
      <c r="C580" t="str">
        <f>PasteBBM!I580</f>
        <v>Colin Castleton</v>
      </c>
      <c r="D580" t="str">
        <f>IFERROR(REPLACE(PasteBBM!K580,FIND("/",PasteBBM!K580,1),1,","),PasteBBM!K580)</f>
        <v>C</v>
      </c>
      <c r="E580" t="str">
        <f>PasteBBM!J580</f>
        <v>ORL</v>
      </c>
      <c r="F580">
        <f>PasteBBM!U580</f>
        <v>0</v>
      </c>
      <c r="G580">
        <f>PasteBBM!X580</f>
        <v>0</v>
      </c>
      <c r="H580">
        <f>PasteBBM!AE580*PasteBBM!AF580</f>
        <v>0</v>
      </c>
      <c r="I580">
        <f>PasteBBM!AE580</f>
        <v>0</v>
      </c>
      <c r="J580">
        <f>PasteBBM!AG580*PasteBBM!AH580</f>
        <v>0</v>
      </c>
      <c r="K580">
        <f>PasteBBM!AG580</f>
        <v>0</v>
      </c>
      <c r="L580">
        <f>PasteBBM!Z580</f>
        <v>0</v>
      </c>
      <c r="M580">
        <f>PasteBBM!Y580</f>
        <v>0</v>
      </c>
      <c r="N580">
        <f>PasteBBM!AA580</f>
        <v>0</v>
      </c>
      <c r="O580">
        <f>PasteBBM!AB580</f>
        <v>0</v>
      </c>
      <c r="P580">
        <f>PasteBBM!AC580</f>
        <v>0</v>
      </c>
      <c r="Q580">
        <f>PasteBBM!AD580</f>
        <v>0</v>
      </c>
      <c r="R580">
        <f>PasteBBM!AI580</f>
        <v>0</v>
      </c>
      <c r="S580">
        <f>PasteBBM!AE580</f>
        <v>0</v>
      </c>
      <c r="T580">
        <f>PasteBBM!AG580</f>
        <v>0</v>
      </c>
      <c r="V580" s="44">
        <v>-0.41709</v>
      </c>
      <c r="W580" s="44">
        <v>-0.00658</v>
      </c>
      <c r="X580" s="44">
        <v>0.009207</v>
      </c>
      <c r="Y580" s="44">
        <v>-0.4263</v>
      </c>
      <c r="Z580" s="44">
        <v>-0.34564</v>
      </c>
      <c r="AA580" s="45"/>
      <c r="AB580" s="46" t="s">
        <v>126</v>
      </c>
      <c r="AC580" s="44">
        <v>67.0</v>
      </c>
    </row>
    <row r="581">
      <c r="A581" s="2">
        <v>163.0</v>
      </c>
      <c r="B581" s="14">
        <f>IF(PasteBBM!B581="",156,PasteBBM!B581)</f>
        <v>156</v>
      </c>
      <c r="C581" t="str">
        <f>PasteBBM!I581</f>
        <v>Kennedy Chandler</v>
      </c>
      <c r="D581" t="str">
        <f>IFERROR(REPLACE(PasteBBM!K581,FIND("/",PasteBBM!K581,1),1,","),PasteBBM!K581)</f>
        <v>PG</v>
      </c>
      <c r="E581" t="str">
        <f>PasteBBM!J581</f>
        <v>PHI</v>
      </c>
      <c r="F581">
        <f>PasteBBM!U581</f>
        <v>0</v>
      </c>
      <c r="G581">
        <f>PasteBBM!X581</f>
        <v>0</v>
      </c>
      <c r="H581">
        <f>PasteBBM!AE581*PasteBBM!AF581</f>
        <v>0</v>
      </c>
      <c r="I581">
        <f>PasteBBM!AE581</f>
        <v>0</v>
      </c>
      <c r="J581">
        <f>PasteBBM!AG581*PasteBBM!AH581</f>
        <v>0</v>
      </c>
      <c r="K581">
        <f>PasteBBM!AG581</f>
        <v>0</v>
      </c>
      <c r="L581">
        <f>PasteBBM!Z581</f>
        <v>0</v>
      </c>
      <c r="M581">
        <f>PasteBBM!Y581</f>
        <v>0</v>
      </c>
      <c r="N581">
        <f>PasteBBM!AA581</f>
        <v>0</v>
      </c>
      <c r="O581">
        <f>PasteBBM!AB581</f>
        <v>0</v>
      </c>
      <c r="P581">
        <f>PasteBBM!AC581</f>
        <v>0</v>
      </c>
      <c r="Q581">
        <f>PasteBBM!AD581</f>
        <v>0</v>
      </c>
      <c r="R581">
        <f>PasteBBM!AI581</f>
        <v>0</v>
      </c>
      <c r="S581">
        <f>PasteBBM!AE581</f>
        <v>0</v>
      </c>
      <c r="T581">
        <f>PasteBBM!AG581</f>
        <v>0</v>
      </c>
      <c r="V581" s="44">
        <v>-0.41709</v>
      </c>
      <c r="W581" s="44">
        <v>-0.00658</v>
      </c>
      <c r="X581" s="44">
        <v>0.009207</v>
      </c>
      <c r="Y581" s="44">
        <v>-0.4263</v>
      </c>
      <c r="Z581" s="44">
        <v>-0.34564</v>
      </c>
      <c r="AA581" s="45"/>
      <c r="AB581" s="46" t="s">
        <v>126</v>
      </c>
      <c r="AC581" s="44">
        <v>67.0</v>
      </c>
    </row>
    <row r="582">
      <c r="A582" s="2">
        <v>163.0</v>
      </c>
      <c r="B582" s="14">
        <f>IF(PasteBBM!B582="",156,PasteBBM!B582)</f>
        <v>156</v>
      </c>
      <c r="C582" t="str">
        <f>PasteBBM!I582</f>
        <v>Skal Labissiere</v>
      </c>
      <c r="D582" t="str">
        <f>IFERROR(REPLACE(PasteBBM!K582,FIND("/",PasteBBM!K582,1),1,","),PasteBBM!K582)</f>
        <v>PF,C</v>
      </c>
      <c r="E582" t="str">
        <f>PasteBBM!J582</f>
        <v>WAS</v>
      </c>
      <c r="F582">
        <f>PasteBBM!U582</f>
        <v>0</v>
      </c>
      <c r="G582">
        <f>PasteBBM!X582</f>
        <v>0</v>
      </c>
      <c r="H582">
        <f>PasteBBM!AE582*PasteBBM!AF582</f>
        <v>0</v>
      </c>
      <c r="I582">
        <f>PasteBBM!AE582</f>
        <v>0</v>
      </c>
      <c r="J582">
        <f>PasteBBM!AG582*PasteBBM!AH582</f>
        <v>0</v>
      </c>
      <c r="K582">
        <f>PasteBBM!AG582</f>
        <v>0</v>
      </c>
      <c r="L582">
        <f>PasteBBM!Z582</f>
        <v>0</v>
      </c>
      <c r="M582">
        <f>PasteBBM!Y582</f>
        <v>0</v>
      </c>
      <c r="N582">
        <f>PasteBBM!AA582</f>
        <v>0</v>
      </c>
      <c r="O582">
        <f>PasteBBM!AB582</f>
        <v>0</v>
      </c>
      <c r="P582">
        <f>PasteBBM!AC582</f>
        <v>0</v>
      </c>
      <c r="Q582">
        <f>PasteBBM!AD582</f>
        <v>0</v>
      </c>
      <c r="R582">
        <f>PasteBBM!AI582</f>
        <v>0</v>
      </c>
      <c r="S582">
        <f>PasteBBM!AE582</f>
        <v>0</v>
      </c>
      <c r="T582">
        <f>PasteBBM!AG582</f>
        <v>0</v>
      </c>
      <c r="V582" s="44">
        <v>-0.41709</v>
      </c>
      <c r="W582" s="44">
        <v>-0.00658</v>
      </c>
      <c r="X582" s="44">
        <v>0.009207</v>
      </c>
      <c r="Y582" s="44">
        <v>-0.4263</v>
      </c>
      <c r="Z582" s="44">
        <v>-0.34564</v>
      </c>
      <c r="AA582" s="45"/>
      <c r="AB582" s="46" t="s">
        <v>126</v>
      </c>
      <c r="AC582" s="44">
        <v>67.0</v>
      </c>
    </row>
    <row r="583">
      <c r="A583" s="2">
        <v>163.0</v>
      </c>
      <c r="B583" s="14">
        <f>IF(PasteBBM!B583="",156,PasteBBM!B583)</f>
        <v>156</v>
      </c>
      <c r="C583" t="str">
        <f>PasteBBM!I583</f>
        <v>Reece Beekman</v>
      </c>
      <c r="D583" t="str">
        <f>IFERROR(REPLACE(PasteBBM!K583,FIND("/",PasteBBM!K583,1),1,","),PasteBBM!K583)</f>
        <v>PG</v>
      </c>
      <c r="E583" t="str">
        <f>PasteBBM!J583</f>
        <v>ORL</v>
      </c>
      <c r="F583">
        <f>PasteBBM!U583</f>
        <v>0</v>
      </c>
      <c r="G583">
        <f>PasteBBM!X583</f>
        <v>0</v>
      </c>
      <c r="H583">
        <f>PasteBBM!AE583*PasteBBM!AF583</f>
        <v>0</v>
      </c>
      <c r="I583">
        <f>PasteBBM!AE583</f>
        <v>0</v>
      </c>
      <c r="J583">
        <f>PasteBBM!AG583*PasteBBM!AH583</f>
        <v>0</v>
      </c>
      <c r="K583">
        <f>PasteBBM!AG583</f>
        <v>0</v>
      </c>
      <c r="L583">
        <f>PasteBBM!Z583</f>
        <v>0</v>
      </c>
      <c r="M583">
        <f>PasteBBM!Y583</f>
        <v>0</v>
      </c>
      <c r="N583">
        <f>PasteBBM!AA583</f>
        <v>0</v>
      </c>
      <c r="O583">
        <f>PasteBBM!AB583</f>
        <v>0</v>
      </c>
      <c r="P583">
        <f>PasteBBM!AC583</f>
        <v>0</v>
      </c>
      <c r="Q583">
        <f>PasteBBM!AD583</f>
        <v>0</v>
      </c>
      <c r="R583">
        <f>PasteBBM!AI583</f>
        <v>0</v>
      </c>
      <c r="S583">
        <f>PasteBBM!AE583</f>
        <v>0</v>
      </c>
      <c r="T583">
        <f>PasteBBM!AG583</f>
        <v>0</v>
      </c>
      <c r="V583" s="44">
        <v>-0.41709</v>
      </c>
      <c r="W583" s="44">
        <v>-0.00658</v>
      </c>
      <c r="X583" s="44">
        <v>0.009207</v>
      </c>
      <c r="Y583" s="44">
        <v>-0.4263</v>
      </c>
      <c r="Z583" s="44">
        <v>-0.34564</v>
      </c>
      <c r="AA583" s="45"/>
      <c r="AB583" s="46" t="s">
        <v>126</v>
      </c>
      <c r="AC583" s="44">
        <v>67.0</v>
      </c>
    </row>
    <row r="584">
      <c r="A584" s="2">
        <v>163.0</v>
      </c>
      <c r="B584" s="14">
        <f>IF(PasteBBM!B584="",156,PasteBBM!B584)</f>
        <v>156</v>
      </c>
      <c r="C584" t="str">
        <f>PasteBBM!I584</f>
        <v>Arthur Kaluma</v>
      </c>
      <c r="D584" t="str">
        <f>IFERROR(REPLACE(PasteBBM!K584,FIND("/",PasteBBM!K584,1),1,","),PasteBBM!K584)</f>
        <v>SF,PF</v>
      </c>
      <c r="E584" t="str">
        <f>PasteBBM!J584</f>
        <v>LAL</v>
      </c>
      <c r="F584">
        <f>PasteBBM!U584</f>
        <v>0</v>
      </c>
      <c r="G584">
        <f>PasteBBM!X584</f>
        <v>0</v>
      </c>
      <c r="H584">
        <f>PasteBBM!AE584*PasteBBM!AF584</f>
        <v>0</v>
      </c>
      <c r="I584">
        <f>PasteBBM!AE584</f>
        <v>0</v>
      </c>
      <c r="J584">
        <f>PasteBBM!AG584*PasteBBM!AH584</f>
        <v>0</v>
      </c>
      <c r="K584">
        <f>PasteBBM!AG584</f>
        <v>0</v>
      </c>
      <c r="L584">
        <f>PasteBBM!Z584</f>
        <v>0</v>
      </c>
      <c r="M584">
        <f>PasteBBM!Y584</f>
        <v>0</v>
      </c>
      <c r="N584">
        <f>PasteBBM!AA584</f>
        <v>0</v>
      </c>
      <c r="O584">
        <f>PasteBBM!AB584</f>
        <v>0</v>
      </c>
      <c r="P584">
        <f>PasteBBM!AC584</f>
        <v>0</v>
      </c>
      <c r="Q584">
        <f>PasteBBM!AD584</f>
        <v>0</v>
      </c>
      <c r="R584">
        <f>PasteBBM!AI584</f>
        <v>0</v>
      </c>
      <c r="S584">
        <f>PasteBBM!AE584</f>
        <v>0</v>
      </c>
      <c r="T584">
        <f>PasteBBM!AG584</f>
        <v>0</v>
      </c>
      <c r="V584" s="44">
        <v>-0.41709</v>
      </c>
      <c r="W584" s="44">
        <v>-0.00658</v>
      </c>
      <c r="X584" s="44">
        <v>0.009207</v>
      </c>
      <c r="Y584" s="44">
        <v>-0.4263</v>
      </c>
      <c r="Z584" s="44">
        <v>-0.34564</v>
      </c>
      <c r="AA584" s="45"/>
      <c r="AB584" s="46" t="s">
        <v>126</v>
      </c>
      <c r="AC584" s="44">
        <v>67.0</v>
      </c>
    </row>
    <row r="585">
      <c r="A585" s="2">
        <v>163.0</v>
      </c>
      <c r="B585" s="14">
        <f>IF(PasteBBM!B585="",156,PasteBBM!B585)</f>
        <v>156</v>
      </c>
      <c r="C585" t="str">
        <f>PasteBBM!I585</f>
        <v>Chris Youngblood</v>
      </c>
      <c r="D585" t="str">
        <f>IFERROR(REPLACE(PasteBBM!K585,FIND("/",PasteBBM!K585,1),1,","),PasteBBM!K585)</f>
        <v>PG,SG</v>
      </c>
      <c r="E585" t="str">
        <f>PasteBBM!J585</f>
        <v>OKC</v>
      </c>
      <c r="F585">
        <f>PasteBBM!U585</f>
        <v>0</v>
      </c>
      <c r="G585">
        <f>PasteBBM!X585</f>
        <v>0</v>
      </c>
      <c r="H585">
        <f>PasteBBM!AE585*PasteBBM!AF585</f>
        <v>0</v>
      </c>
      <c r="I585">
        <f>PasteBBM!AE585</f>
        <v>0</v>
      </c>
      <c r="J585">
        <f>PasteBBM!AG585*PasteBBM!AH585</f>
        <v>0</v>
      </c>
      <c r="K585">
        <f>PasteBBM!AG585</f>
        <v>0</v>
      </c>
      <c r="L585">
        <f>PasteBBM!Z585</f>
        <v>0</v>
      </c>
      <c r="M585">
        <f>PasteBBM!Y585</f>
        <v>0</v>
      </c>
      <c r="N585">
        <f>PasteBBM!AA585</f>
        <v>0</v>
      </c>
      <c r="O585">
        <f>PasteBBM!AB585</f>
        <v>0</v>
      </c>
      <c r="P585">
        <f>PasteBBM!AC585</f>
        <v>0</v>
      </c>
      <c r="Q585">
        <f>PasteBBM!AD585</f>
        <v>0</v>
      </c>
      <c r="R585">
        <f>PasteBBM!AI585</f>
        <v>0</v>
      </c>
      <c r="S585">
        <f>PasteBBM!AE585</f>
        <v>0</v>
      </c>
      <c r="T585">
        <f>PasteBBM!AG585</f>
        <v>0</v>
      </c>
      <c r="V585" s="44">
        <v>-0.41709</v>
      </c>
      <c r="W585" s="44">
        <v>-0.00658</v>
      </c>
      <c r="X585" s="44">
        <v>0.009207</v>
      </c>
      <c r="Y585" s="44">
        <v>-0.4263</v>
      </c>
      <c r="Z585" s="44">
        <v>-0.34564</v>
      </c>
      <c r="AA585" s="45"/>
      <c r="AB585" s="46" t="s">
        <v>126</v>
      </c>
      <c r="AC585" s="44">
        <v>67.0</v>
      </c>
    </row>
    <row r="586">
      <c r="A586" s="2">
        <v>163.0</v>
      </c>
      <c r="B586" s="14">
        <f>IF(PasteBBM!B586="",156,PasteBBM!B586)</f>
        <v>156</v>
      </c>
      <c r="C586" t="str">
        <f>PasteBBM!I586</f>
        <v>Saliou Niang</v>
      </c>
      <c r="D586" t="str">
        <f>IFERROR(REPLACE(PasteBBM!K586,FIND("/",PasteBBM!K586,1),1,","),PasteBBM!K586)</f>
        <v>SF,PF</v>
      </c>
      <c r="E586" t="str">
        <f>PasteBBM!J586</f>
        <v>CLE</v>
      </c>
      <c r="F586">
        <f>PasteBBM!U586</f>
        <v>0</v>
      </c>
      <c r="G586">
        <f>PasteBBM!X586</f>
        <v>0</v>
      </c>
      <c r="H586">
        <f>PasteBBM!AE586*PasteBBM!AF586</f>
        <v>0</v>
      </c>
      <c r="I586">
        <f>PasteBBM!AE586</f>
        <v>0</v>
      </c>
      <c r="J586">
        <f>PasteBBM!AG586*PasteBBM!AH586</f>
        <v>0</v>
      </c>
      <c r="K586">
        <f>PasteBBM!AG586</f>
        <v>0</v>
      </c>
      <c r="L586">
        <f>PasteBBM!Z586</f>
        <v>0</v>
      </c>
      <c r="M586">
        <f>PasteBBM!Y586</f>
        <v>0</v>
      </c>
      <c r="N586">
        <f>PasteBBM!AA586</f>
        <v>0</v>
      </c>
      <c r="O586">
        <f>PasteBBM!AB586</f>
        <v>0</v>
      </c>
      <c r="P586">
        <f>PasteBBM!AC586</f>
        <v>0</v>
      </c>
      <c r="Q586">
        <f>PasteBBM!AD586</f>
        <v>0</v>
      </c>
      <c r="R586">
        <f>PasteBBM!AI586</f>
        <v>0</v>
      </c>
      <c r="S586">
        <f>PasteBBM!AE586</f>
        <v>0</v>
      </c>
      <c r="T586">
        <f>PasteBBM!AG586</f>
        <v>0</v>
      </c>
      <c r="V586" s="44">
        <v>-0.41709</v>
      </c>
      <c r="W586" s="44">
        <v>-0.00658</v>
      </c>
      <c r="X586" s="44">
        <v>0.009207</v>
      </c>
      <c r="Y586" s="44">
        <v>-0.4263</v>
      </c>
      <c r="Z586" s="44">
        <v>-0.34564</v>
      </c>
      <c r="AA586" s="45"/>
      <c r="AB586" s="46" t="s">
        <v>126</v>
      </c>
      <c r="AC586" s="44">
        <v>67.0</v>
      </c>
    </row>
    <row r="587">
      <c r="A587" s="2">
        <v>163.0</v>
      </c>
      <c r="B587" s="14">
        <f>IF(PasteBBM!B587="",156,PasteBBM!B587)</f>
        <v>156</v>
      </c>
      <c r="C587" t="str">
        <f>PasteBBM!I587</f>
        <v>Jarkel Joiner</v>
      </c>
      <c r="D587" t="str">
        <f>IFERROR(REPLACE(PasteBBM!K587,FIND("/",PasteBBM!K587,1),1,","),PasteBBM!K587)</f>
        <v>PG</v>
      </c>
      <c r="E587" t="str">
        <f>PasteBBM!J587</f>
        <v>MIA</v>
      </c>
      <c r="F587">
        <f>PasteBBM!U587</f>
        <v>0</v>
      </c>
      <c r="G587">
        <f>PasteBBM!X587</f>
        <v>0</v>
      </c>
      <c r="H587">
        <f>PasteBBM!AE587*PasteBBM!AF587</f>
        <v>0</v>
      </c>
      <c r="I587">
        <f>PasteBBM!AE587</f>
        <v>0</v>
      </c>
      <c r="J587">
        <f>PasteBBM!AG587*PasteBBM!AH587</f>
        <v>0</v>
      </c>
      <c r="K587">
        <f>PasteBBM!AG587</f>
        <v>0</v>
      </c>
      <c r="L587">
        <f>PasteBBM!Z587</f>
        <v>0</v>
      </c>
      <c r="M587">
        <f>PasteBBM!Y587</f>
        <v>0</v>
      </c>
      <c r="N587">
        <f>PasteBBM!AA587</f>
        <v>0</v>
      </c>
      <c r="O587">
        <f>PasteBBM!AB587</f>
        <v>0</v>
      </c>
      <c r="P587">
        <f>PasteBBM!AC587</f>
        <v>0</v>
      </c>
      <c r="Q587">
        <f>PasteBBM!AD587</f>
        <v>0</v>
      </c>
      <c r="R587">
        <f>PasteBBM!AI587</f>
        <v>0</v>
      </c>
      <c r="S587">
        <f>PasteBBM!AE587</f>
        <v>0</v>
      </c>
      <c r="T587">
        <f>PasteBBM!AG587</f>
        <v>0</v>
      </c>
      <c r="V587" s="44">
        <v>-0.41709</v>
      </c>
      <c r="W587" s="44">
        <v>-0.00658</v>
      </c>
      <c r="X587" s="44">
        <v>0.009207</v>
      </c>
      <c r="Y587" s="44">
        <v>-0.4263</v>
      </c>
      <c r="Z587" s="44">
        <v>-0.34564</v>
      </c>
      <c r="AA587" s="45"/>
      <c r="AB587" s="46" t="s">
        <v>126</v>
      </c>
      <c r="AC587" s="44">
        <v>67.0</v>
      </c>
    </row>
    <row r="588">
      <c r="A588" s="2">
        <v>163.0</v>
      </c>
      <c r="B588" s="14">
        <f>IF(PasteBBM!B588="",156,PasteBBM!B588)</f>
        <v>156</v>
      </c>
      <c r="C588" t="str">
        <f>PasteBBM!I588</f>
        <v>Charles Bediako</v>
      </c>
      <c r="D588" t="str">
        <f>IFERROR(REPLACE(PasteBBM!K588,FIND("/",PasteBBM!K588,1),1,","),PasteBBM!K588)</f>
        <v>C</v>
      </c>
      <c r="E588" t="str">
        <f>PasteBBM!J588</f>
        <v>DET</v>
      </c>
      <c r="F588">
        <f>PasteBBM!U588</f>
        <v>0</v>
      </c>
      <c r="G588">
        <f>PasteBBM!X588</f>
        <v>0</v>
      </c>
      <c r="H588">
        <f>PasteBBM!AE588*PasteBBM!AF588</f>
        <v>0</v>
      </c>
      <c r="I588">
        <f>PasteBBM!AE588</f>
        <v>0</v>
      </c>
      <c r="J588">
        <f>PasteBBM!AG588*PasteBBM!AH588</f>
        <v>0</v>
      </c>
      <c r="K588">
        <f>PasteBBM!AG588</f>
        <v>0</v>
      </c>
      <c r="L588">
        <f>PasteBBM!Z588</f>
        <v>0</v>
      </c>
      <c r="M588">
        <f>PasteBBM!Y588</f>
        <v>0</v>
      </c>
      <c r="N588">
        <f>PasteBBM!AA588</f>
        <v>0</v>
      </c>
      <c r="O588">
        <f>PasteBBM!AB588</f>
        <v>0</v>
      </c>
      <c r="P588">
        <f>PasteBBM!AC588</f>
        <v>0</v>
      </c>
      <c r="Q588">
        <f>PasteBBM!AD588</f>
        <v>0</v>
      </c>
      <c r="R588">
        <f>PasteBBM!AI588</f>
        <v>0</v>
      </c>
      <c r="S588">
        <f>PasteBBM!AE588</f>
        <v>0</v>
      </c>
      <c r="T588">
        <f>PasteBBM!AG588</f>
        <v>0</v>
      </c>
      <c r="V588" s="44">
        <v>-0.41709</v>
      </c>
      <c r="W588" s="44">
        <v>-0.00658</v>
      </c>
      <c r="X588" s="44">
        <v>0.009207</v>
      </c>
      <c r="Y588" s="44">
        <v>-0.4263</v>
      </c>
      <c r="Z588" s="44">
        <v>-0.34564</v>
      </c>
      <c r="AA588" s="45"/>
      <c r="AB588" s="46" t="s">
        <v>126</v>
      </c>
      <c r="AC588" s="44">
        <v>67.0</v>
      </c>
    </row>
    <row r="589">
      <c r="A589" s="2">
        <v>163.0</v>
      </c>
      <c r="B589" s="14">
        <f>IF(PasteBBM!B589="",156,PasteBBM!B589)</f>
        <v>156</v>
      </c>
      <c r="C589" t="str">
        <f>PasteBBM!I589</f>
        <v>Caleb Houstan</v>
      </c>
      <c r="D589" t="str">
        <f>IFERROR(REPLACE(PasteBBM!K589,FIND("/",PasteBBM!K589,1),1,","),PasteBBM!K589)</f>
        <v>SF</v>
      </c>
      <c r="E589" t="str">
        <f>PasteBBM!J589</f>
        <v>ATL</v>
      </c>
      <c r="F589">
        <f>PasteBBM!U589</f>
        <v>0</v>
      </c>
      <c r="G589">
        <f>PasteBBM!X589</f>
        <v>0</v>
      </c>
      <c r="H589">
        <f>PasteBBM!AE589*PasteBBM!AF589</f>
        <v>0</v>
      </c>
      <c r="I589">
        <f>PasteBBM!AE589</f>
        <v>0</v>
      </c>
      <c r="J589">
        <f>PasteBBM!AG589*PasteBBM!AH589</f>
        <v>0</v>
      </c>
      <c r="K589">
        <f>PasteBBM!AG589</f>
        <v>0</v>
      </c>
      <c r="L589">
        <f>PasteBBM!Z589</f>
        <v>0</v>
      </c>
      <c r="M589">
        <f>PasteBBM!Y589</f>
        <v>0</v>
      </c>
      <c r="N589">
        <f>PasteBBM!AA589</f>
        <v>0</v>
      </c>
      <c r="O589">
        <f>PasteBBM!AB589</f>
        <v>0</v>
      </c>
      <c r="P589">
        <f>PasteBBM!AC589</f>
        <v>0</v>
      </c>
      <c r="Q589">
        <f>PasteBBM!AD589</f>
        <v>0</v>
      </c>
      <c r="R589">
        <f>PasteBBM!AI589</f>
        <v>0</v>
      </c>
      <c r="S589">
        <f>PasteBBM!AE589</f>
        <v>0</v>
      </c>
      <c r="T589">
        <f>PasteBBM!AG589</f>
        <v>0</v>
      </c>
      <c r="V589" s="44">
        <v>-0.41709</v>
      </c>
      <c r="W589" s="44">
        <v>-0.00658</v>
      </c>
      <c r="X589" s="44">
        <v>0.009207</v>
      </c>
      <c r="Y589" s="44">
        <v>-0.4263</v>
      </c>
      <c r="Z589" s="44">
        <v>-0.34564</v>
      </c>
      <c r="AA589" s="45"/>
      <c r="AB589" s="46" t="s">
        <v>126</v>
      </c>
      <c r="AC589" s="44">
        <v>67.0</v>
      </c>
    </row>
    <row r="590">
      <c r="A590" s="2">
        <v>163.0</v>
      </c>
      <c r="B590" s="14">
        <f>IF(PasteBBM!B590="",156,PasteBBM!B590)</f>
        <v>145.7083</v>
      </c>
      <c r="C590" t="str">
        <f>PasteBBM!I590</f>
        <v>Jayson Tatum</v>
      </c>
      <c r="D590" t="str">
        <f>IFERROR(REPLACE(PasteBBM!K590,FIND("/",PasteBBM!K590,1),1,","),PasteBBM!K590)</f>
        <v>SF,PF</v>
      </c>
      <c r="E590" t="str">
        <f>PasteBBM!J590</f>
        <v>BOS</v>
      </c>
      <c r="F590">
        <f>PasteBBM!U590</f>
        <v>0</v>
      </c>
      <c r="G590">
        <f>PasteBBM!X590</f>
        <v>0</v>
      </c>
      <c r="H590">
        <f>PasteBBM!AE590*PasteBBM!AF590</f>
        <v>0</v>
      </c>
      <c r="I590">
        <f>PasteBBM!AE590</f>
        <v>0</v>
      </c>
      <c r="J590">
        <f>PasteBBM!AG590*PasteBBM!AH590</f>
        <v>0</v>
      </c>
      <c r="K590">
        <f>PasteBBM!AG590</f>
        <v>0</v>
      </c>
      <c r="L590">
        <f>PasteBBM!Z590</f>
        <v>0</v>
      </c>
      <c r="M590">
        <f>PasteBBM!Y590</f>
        <v>0</v>
      </c>
      <c r="N590">
        <f>PasteBBM!AA590</f>
        <v>0</v>
      </c>
      <c r="O590">
        <f>PasteBBM!AB590</f>
        <v>0</v>
      </c>
      <c r="P590">
        <f>PasteBBM!AC590</f>
        <v>0</v>
      </c>
      <c r="Q590">
        <f>PasteBBM!AD590</f>
        <v>0</v>
      </c>
      <c r="R590">
        <f>PasteBBM!AI590</f>
        <v>0</v>
      </c>
      <c r="S590">
        <f>PasteBBM!AE590</f>
        <v>0</v>
      </c>
      <c r="T590">
        <f>PasteBBM!AG590</f>
        <v>0</v>
      </c>
      <c r="V590" s="44">
        <v>-0.41709</v>
      </c>
      <c r="W590" s="44">
        <v>-0.00658</v>
      </c>
      <c r="X590" s="44">
        <v>0.009207</v>
      </c>
      <c r="Y590" s="44">
        <v>-0.4263</v>
      </c>
      <c r="Z590" s="44">
        <v>-0.34564</v>
      </c>
      <c r="AA590" s="45"/>
      <c r="AB590" s="46" t="s">
        <v>126</v>
      </c>
      <c r="AC590" s="44">
        <v>67.0</v>
      </c>
    </row>
    <row r="591">
      <c r="A591" s="2">
        <v>163.0</v>
      </c>
      <c r="B591" s="14">
        <f>IF(PasteBBM!B591="",156,PasteBBM!B591)</f>
        <v>156</v>
      </c>
      <c r="C591" t="str">
        <f>PasteBBM!I591</f>
        <v>Malcolm Hill</v>
      </c>
      <c r="D591" t="str">
        <f>IFERROR(REPLACE(PasteBBM!K591,FIND("/",PasteBBM!K591,1),1,","),PasteBBM!K591)</f>
        <v>SF</v>
      </c>
      <c r="E591" t="str">
        <f>PasteBBM!J591</f>
        <v>PHI</v>
      </c>
      <c r="F591">
        <f>PasteBBM!U591</f>
        <v>0</v>
      </c>
      <c r="G591">
        <f>PasteBBM!X591</f>
        <v>0</v>
      </c>
      <c r="H591">
        <f>PasteBBM!AE591*PasteBBM!AF591</f>
        <v>0</v>
      </c>
      <c r="I591">
        <f>PasteBBM!AE591</f>
        <v>0</v>
      </c>
      <c r="J591">
        <f>PasteBBM!AG591*PasteBBM!AH591</f>
        <v>0</v>
      </c>
      <c r="K591">
        <f>PasteBBM!AG591</f>
        <v>0</v>
      </c>
      <c r="L591">
        <f>PasteBBM!Z591</f>
        <v>0</v>
      </c>
      <c r="M591">
        <f>PasteBBM!Y591</f>
        <v>0</v>
      </c>
      <c r="N591">
        <f>PasteBBM!AA591</f>
        <v>0</v>
      </c>
      <c r="O591">
        <f>PasteBBM!AB591</f>
        <v>0</v>
      </c>
      <c r="P591">
        <f>PasteBBM!AC591</f>
        <v>0</v>
      </c>
      <c r="Q591">
        <f>PasteBBM!AD591</f>
        <v>0</v>
      </c>
      <c r="R591">
        <f>PasteBBM!AI591</f>
        <v>0</v>
      </c>
      <c r="S591">
        <f>PasteBBM!AE591</f>
        <v>0</v>
      </c>
      <c r="T591">
        <f>PasteBBM!AG591</f>
        <v>0</v>
      </c>
      <c r="V591" s="44">
        <v>-0.41709</v>
      </c>
      <c r="W591" s="44">
        <v>-0.00658</v>
      </c>
      <c r="X591" s="44">
        <v>0.009207</v>
      </c>
      <c r="Y591" s="44">
        <v>-0.4263</v>
      </c>
      <c r="Z591" s="44">
        <v>-0.34564</v>
      </c>
      <c r="AA591" s="45"/>
      <c r="AB591" s="46" t="s">
        <v>126</v>
      </c>
      <c r="AC591" s="44">
        <v>67.0</v>
      </c>
    </row>
    <row r="592">
      <c r="A592" s="2">
        <v>163.0</v>
      </c>
      <c r="B592" s="14">
        <f>IF(PasteBBM!B592="",156,PasteBBM!B592)</f>
        <v>156</v>
      </c>
      <c r="C592" t="str">
        <f>PasteBBM!I592</f>
        <v>Zack Austin</v>
      </c>
      <c r="D592" t="str">
        <f>IFERROR(REPLACE(PasteBBM!K592,FIND("/",PasteBBM!K592,1),1,","),PasteBBM!K592)</f>
        <v>SF,PF</v>
      </c>
      <c r="E592" t="str">
        <f>PasteBBM!J592</f>
        <v>OKC</v>
      </c>
      <c r="F592">
        <f>PasteBBM!U592</f>
        <v>0</v>
      </c>
      <c r="G592">
        <f>PasteBBM!X592</f>
        <v>0</v>
      </c>
      <c r="H592">
        <f>PasteBBM!AE592*PasteBBM!AF592</f>
        <v>0</v>
      </c>
      <c r="I592">
        <f>PasteBBM!AE592</f>
        <v>0</v>
      </c>
      <c r="J592">
        <f>PasteBBM!AG592*PasteBBM!AH592</f>
        <v>0</v>
      </c>
      <c r="K592">
        <f>PasteBBM!AG592</f>
        <v>0</v>
      </c>
      <c r="L592">
        <f>PasteBBM!Z592</f>
        <v>0</v>
      </c>
      <c r="M592">
        <f>PasteBBM!Y592</f>
        <v>0</v>
      </c>
      <c r="N592">
        <f>PasteBBM!AA592</f>
        <v>0</v>
      </c>
      <c r="O592">
        <f>PasteBBM!AB592</f>
        <v>0</v>
      </c>
      <c r="P592">
        <f>PasteBBM!AC592</f>
        <v>0</v>
      </c>
      <c r="Q592">
        <f>PasteBBM!AD592</f>
        <v>0</v>
      </c>
      <c r="R592">
        <f>PasteBBM!AI592</f>
        <v>0</v>
      </c>
      <c r="S592">
        <f>PasteBBM!AE592</f>
        <v>0</v>
      </c>
      <c r="T592">
        <f>PasteBBM!AG592</f>
        <v>0</v>
      </c>
      <c r="V592" s="44">
        <v>-0.41709</v>
      </c>
      <c r="W592" s="44">
        <v>-0.00658</v>
      </c>
      <c r="X592" s="44">
        <v>0.009207</v>
      </c>
      <c r="Y592" s="44">
        <v>-0.4263</v>
      </c>
      <c r="Z592" s="44">
        <v>-0.34564</v>
      </c>
      <c r="AA592" s="45"/>
      <c r="AB592" s="46" t="s">
        <v>126</v>
      </c>
      <c r="AC592" s="44">
        <v>67.0</v>
      </c>
    </row>
    <row r="593">
      <c r="A593" s="2">
        <v>163.0</v>
      </c>
      <c r="B593" s="14">
        <f>IF(PasteBBM!B593="",156,PasteBBM!B593)</f>
        <v>156</v>
      </c>
      <c r="C593" t="str">
        <f>PasteBBM!I593</f>
        <v>Mo Bamba</v>
      </c>
      <c r="D593" t="str">
        <f>IFERROR(REPLACE(PasteBBM!K593,FIND("/",PasteBBM!K593,1),1,","),PasteBBM!K593)</f>
        <v>C</v>
      </c>
      <c r="E593" t="str">
        <f>PasteBBM!J593</f>
        <v>UTA</v>
      </c>
      <c r="F593">
        <f>PasteBBM!U593</f>
        <v>0</v>
      </c>
      <c r="G593">
        <f>PasteBBM!X593</f>
        <v>0</v>
      </c>
      <c r="H593">
        <f>PasteBBM!AE593*PasteBBM!AF593</f>
        <v>0</v>
      </c>
      <c r="I593">
        <f>PasteBBM!AE593</f>
        <v>0</v>
      </c>
      <c r="J593">
        <f>PasteBBM!AG593*PasteBBM!AH593</f>
        <v>0</v>
      </c>
      <c r="K593">
        <f>PasteBBM!AG593</f>
        <v>0</v>
      </c>
      <c r="L593">
        <f>PasteBBM!Z593</f>
        <v>0</v>
      </c>
      <c r="M593">
        <f>PasteBBM!Y593</f>
        <v>0</v>
      </c>
      <c r="N593">
        <f>PasteBBM!AA593</f>
        <v>0</v>
      </c>
      <c r="O593">
        <f>PasteBBM!AB593</f>
        <v>0</v>
      </c>
      <c r="P593">
        <f>PasteBBM!AC593</f>
        <v>0</v>
      </c>
      <c r="Q593">
        <f>PasteBBM!AD593</f>
        <v>0</v>
      </c>
      <c r="R593">
        <f>PasteBBM!AI593</f>
        <v>0</v>
      </c>
      <c r="S593">
        <f>PasteBBM!AE593</f>
        <v>0</v>
      </c>
      <c r="T593">
        <f>PasteBBM!AG593</f>
        <v>0</v>
      </c>
      <c r="V593" s="44">
        <v>-0.41709</v>
      </c>
      <c r="W593" s="44">
        <v>-0.00658</v>
      </c>
      <c r="X593" s="44">
        <v>0.009207</v>
      </c>
      <c r="Y593" s="44">
        <v>-0.4263</v>
      </c>
      <c r="Z593" s="44">
        <v>-0.34564</v>
      </c>
      <c r="AA593" s="45"/>
      <c r="AB593" s="46" t="s">
        <v>126</v>
      </c>
      <c r="AC593" s="44">
        <v>67.0</v>
      </c>
    </row>
    <row r="594">
      <c r="A594" s="2">
        <v>163.0</v>
      </c>
      <c r="B594" s="14">
        <f>IF(PasteBBM!B594="",156,PasteBBM!B594)</f>
        <v>156</v>
      </c>
      <c r="C594" t="str">
        <f>PasteBBM!I594</f>
        <v>Kendall Brown</v>
      </c>
      <c r="D594" t="str">
        <f>IFERROR(REPLACE(PasteBBM!K594,FIND("/",PasteBBM!K594,1),1,","),PasteBBM!K594)</f>
        <v>SG</v>
      </c>
      <c r="E594" t="str">
        <f>PasteBBM!J594</f>
        <v>BOS</v>
      </c>
      <c r="F594">
        <f>PasteBBM!U594</f>
        <v>0</v>
      </c>
      <c r="G594">
        <f>PasteBBM!X594</f>
        <v>0</v>
      </c>
      <c r="H594">
        <f>PasteBBM!AE594*PasteBBM!AF594</f>
        <v>0</v>
      </c>
      <c r="I594">
        <f>PasteBBM!AE594</f>
        <v>0</v>
      </c>
      <c r="J594">
        <f>PasteBBM!AG594*PasteBBM!AH594</f>
        <v>0</v>
      </c>
      <c r="K594">
        <f>PasteBBM!AG594</f>
        <v>0</v>
      </c>
      <c r="L594">
        <f>PasteBBM!Z594</f>
        <v>0</v>
      </c>
      <c r="M594">
        <f>PasteBBM!Y594</f>
        <v>0</v>
      </c>
      <c r="N594">
        <f>PasteBBM!AA594</f>
        <v>0</v>
      </c>
      <c r="O594">
        <f>PasteBBM!AB594</f>
        <v>0</v>
      </c>
      <c r="P594">
        <f>PasteBBM!AC594</f>
        <v>0</v>
      </c>
      <c r="Q594">
        <f>PasteBBM!AD594</f>
        <v>0</v>
      </c>
      <c r="R594">
        <f>PasteBBM!AI594</f>
        <v>0</v>
      </c>
      <c r="S594">
        <f>PasteBBM!AE594</f>
        <v>0</v>
      </c>
      <c r="T594">
        <f>PasteBBM!AG594</f>
        <v>0</v>
      </c>
      <c r="V594" s="44">
        <v>-0.41709</v>
      </c>
      <c r="W594" s="44">
        <v>-0.00658</v>
      </c>
      <c r="X594" s="44">
        <v>0.009207</v>
      </c>
      <c r="Y594" s="44">
        <v>-0.4263</v>
      </c>
      <c r="Z594" s="44">
        <v>-0.34564</v>
      </c>
      <c r="AA594" s="45"/>
      <c r="AB594" s="46" t="s">
        <v>126</v>
      </c>
      <c r="AC594" s="44">
        <v>67.0</v>
      </c>
    </row>
    <row r="595">
      <c r="A595" s="2">
        <v>163.0</v>
      </c>
      <c r="B595" s="14">
        <f>IF(PasteBBM!B595="",156,PasteBBM!B595)</f>
        <v>156</v>
      </c>
      <c r="C595" t="str">
        <f>PasteBBM!I595</f>
        <v>Jalen Wilson</v>
      </c>
      <c r="D595" t="str">
        <f>IFERROR(REPLACE(PasteBBM!K595,FIND("/",PasteBBM!K595,1),1,","),PasteBBM!K595)</f>
        <v>SF,PF</v>
      </c>
      <c r="E595" t="str">
        <f>PasteBBM!J595</f>
        <v>BKN</v>
      </c>
      <c r="F595">
        <f>PasteBBM!U595</f>
        <v>0</v>
      </c>
      <c r="G595">
        <f>PasteBBM!X595</f>
        <v>0</v>
      </c>
      <c r="H595">
        <f>PasteBBM!AE595*PasteBBM!AF595</f>
        <v>0</v>
      </c>
      <c r="I595">
        <f>PasteBBM!AE595</f>
        <v>0</v>
      </c>
      <c r="J595">
        <f>PasteBBM!AG595*PasteBBM!AH595</f>
        <v>0</v>
      </c>
      <c r="K595">
        <f>PasteBBM!AG595</f>
        <v>0</v>
      </c>
      <c r="L595">
        <f>PasteBBM!Z595</f>
        <v>0</v>
      </c>
      <c r="M595">
        <f>PasteBBM!Y595</f>
        <v>0</v>
      </c>
      <c r="N595">
        <f>PasteBBM!AA595</f>
        <v>0</v>
      </c>
      <c r="O595">
        <f>PasteBBM!AB595</f>
        <v>0</v>
      </c>
      <c r="P595">
        <f>PasteBBM!AC595</f>
        <v>0</v>
      </c>
      <c r="Q595">
        <f>PasteBBM!AD595</f>
        <v>0</v>
      </c>
      <c r="R595">
        <f>PasteBBM!AI595</f>
        <v>0</v>
      </c>
      <c r="S595">
        <f>PasteBBM!AE595</f>
        <v>0</v>
      </c>
      <c r="T595">
        <f>PasteBBM!AG595</f>
        <v>0</v>
      </c>
      <c r="V595" s="44">
        <v>-0.41709</v>
      </c>
      <c r="W595" s="44">
        <v>-0.00658</v>
      </c>
      <c r="X595" s="44">
        <v>0.009207</v>
      </c>
      <c r="Y595" s="44">
        <v>-0.4263</v>
      </c>
      <c r="Z595" s="44">
        <v>-0.34564</v>
      </c>
      <c r="AA595" s="45"/>
      <c r="AB595" s="46" t="s">
        <v>126</v>
      </c>
      <c r="AC595" s="44">
        <v>67.0</v>
      </c>
    </row>
    <row r="596">
      <c r="A596" s="2">
        <v>163.0</v>
      </c>
      <c r="B596" s="14">
        <f>IF(PasteBBM!B596="",156,PasteBBM!B596)</f>
        <v>156</v>
      </c>
      <c r="C596" t="str">
        <f>PasteBBM!I596</f>
        <v>Adam Flagler</v>
      </c>
      <c r="D596" t="str">
        <f>IFERROR(REPLACE(PasteBBM!K596,FIND("/",PasteBBM!K596,1),1,","),PasteBBM!K596)</f>
        <v>SG</v>
      </c>
      <c r="E596" t="str">
        <f>PasteBBM!J596</f>
        <v>SAS</v>
      </c>
      <c r="F596">
        <f>PasteBBM!U596</f>
        <v>0</v>
      </c>
      <c r="G596">
        <f>PasteBBM!X596</f>
        <v>0</v>
      </c>
      <c r="H596">
        <f>PasteBBM!AE596*PasteBBM!AF596</f>
        <v>0</v>
      </c>
      <c r="I596">
        <f>PasteBBM!AE596</f>
        <v>0</v>
      </c>
      <c r="J596">
        <f>PasteBBM!AG596*PasteBBM!AH596</f>
        <v>0</v>
      </c>
      <c r="K596">
        <f>PasteBBM!AG596</f>
        <v>0</v>
      </c>
      <c r="L596">
        <f>PasteBBM!Z596</f>
        <v>0</v>
      </c>
      <c r="M596">
        <f>PasteBBM!Y596</f>
        <v>0</v>
      </c>
      <c r="N596">
        <f>PasteBBM!AA596</f>
        <v>0</v>
      </c>
      <c r="O596">
        <f>PasteBBM!AB596</f>
        <v>0</v>
      </c>
      <c r="P596">
        <f>PasteBBM!AC596</f>
        <v>0</v>
      </c>
      <c r="Q596">
        <f>PasteBBM!AD596</f>
        <v>0</v>
      </c>
      <c r="R596">
        <f>PasteBBM!AI596</f>
        <v>0</v>
      </c>
      <c r="S596">
        <f>PasteBBM!AE596</f>
        <v>0</v>
      </c>
      <c r="T596">
        <f>PasteBBM!AG596</f>
        <v>0</v>
      </c>
      <c r="V596" s="44">
        <v>-0.41709</v>
      </c>
      <c r="W596" s="44">
        <v>-0.00658</v>
      </c>
      <c r="X596" s="44">
        <v>0.009207</v>
      </c>
      <c r="Y596" s="44">
        <v>-0.4263</v>
      </c>
      <c r="Z596" s="44">
        <v>-0.34564</v>
      </c>
      <c r="AA596" s="45"/>
      <c r="AB596" s="46" t="s">
        <v>126</v>
      </c>
      <c r="AC596" s="44">
        <v>67.0</v>
      </c>
    </row>
    <row r="597">
      <c r="A597" s="2">
        <v>163.0</v>
      </c>
      <c r="B597" s="14">
        <f>IF(PasteBBM!B597="",156,PasteBBM!B597)</f>
        <v>156</v>
      </c>
      <c r="C597" t="str">
        <f>PasteBBM!I597</f>
        <v>Pat Connaughton</v>
      </c>
      <c r="D597" t="str">
        <f>IFERROR(REPLACE(PasteBBM!K597,FIND("/",PasteBBM!K597,1),1,","),PasteBBM!K597)</f>
        <v>SG,SF</v>
      </c>
      <c r="E597" t="str">
        <f>PasteBBM!J597</f>
        <v>CHA</v>
      </c>
      <c r="F597">
        <f>PasteBBM!U597</f>
        <v>0</v>
      </c>
      <c r="G597">
        <f>PasteBBM!X597</f>
        <v>0</v>
      </c>
      <c r="H597">
        <f>PasteBBM!AE597*PasteBBM!AF597</f>
        <v>0</v>
      </c>
      <c r="I597">
        <f>PasteBBM!AE597</f>
        <v>0</v>
      </c>
      <c r="J597">
        <f>PasteBBM!AG597*PasteBBM!AH597</f>
        <v>0</v>
      </c>
      <c r="K597">
        <f>PasteBBM!AG597</f>
        <v>0</v>
      </c>
      <c r="L597">
        <f>PasteBBM!Z597</f>
        <v>0</v>
      </c>
      <c r="M597">
        <f>PasteBBM!Y597</f>
        <v>0</v>
      </c>
      <c r="N597">
        <f>PasteBBM!AA597</f>
        <v>0</v>
      </c>
      <c r="O597">
        <f>PasteBBM!AB597</f>
        <v>0</v>
      </c>
      <c r="P597">
        <f>PasteBBM!AC597</f>
        <v>0</v>
      </c>
      <c r="Q597">
        <f>PasteBBM!AD597</f>
        <v>0</v>
      </c>
      <c r="R597">
        <f>PasteBBM!AI597</f>
        <v>0</v>
      </c>
      <c r="S597">
        <f>PasteBBM!AE597</f>
        <v>0</v>
      </c>
      <c r="T597">
        <f>PasteBBM!AG597</f>
        <v>0</v>
      </c>
      <c r="V597" s="44">
        <v>-0.41709</v>
      </c>
      <c r="W597" s="44">
        <v>-0.00658</v>
      </c>
      <c r="X597" s="44">
        <v>0.009207</v>
      </c>
      <c r="Y597" s="44">
        <v>-0.4263</v>
      </c>
      <c r="Z597" s="44">
        <v>-0.34564</v>
      </c>
      <c r="AA597" s="45"/>
      <c r="AB597" s="46" t="s">
        <v>126</v>
      </c>
      <c r="AC597" s="44">
        <v>67.0</v>
      </c>
    </row>
    <row r="598">
      <c r="A598" s="2">
        <v>163.0</v>
      </c>
      <c r="B598" s="14">
        <f>IF(PasteBBM!B598="",156,PasteBBM!B598)</f>
        <v>156</v>
      </c>
      <c r="C598" t="str">
        <f>PasteBBM!I598</f>
        <v>Jeremiah Robinson-Earl</v>
      </c>
      <c r="D598" t="str">
        <f>IFERROR(REPLACE(PasteBBM!K598,FIND("/",PasteBBM!K598,1),1,","),PasteBBM!K598)</f>
        <v>PF,C</v>
      </c>
      <c r="E598" t="str">
        <f>PasteBBM!J598</f>
        <v>DAL</v>
      </c>
      <c r="F598">
        <f>PasteBBM!U598</f>
        <v>0</v>
      </c>
      <c r="G598">
        <f>PasteBBM!X598</f>
        <v>0</v>
      </c>
      <c r="H598">
        <f>PasteBBM!AE598*PasteBBM!AF598</f>
        <v>0</v>
      </c>
      <c r="I598">
        <f>PasteBBM!AE598</f>
        <v>0</v>
      </c>
      <c r="J598">
        <f>PasteBBM!AG598*PasteBBM!AH598</f>
        <v>0</v>
      </c>
      <c r="K598">
        <f>PasteBBM!AG598</f>
        <v>0</v>
      </c>
      <c r="L598">
        <f>PasteBBM!Z598</f>
        <v>0</v>
      </c>
      <c r="M598">
        <f>PasteBBM!Y598</f>
        <v>0</v>
      </c>
      <c r="N598">
        <f>PasteBBM!AA598</f>
        <v>0</v>
      </c>
      <c r="O598">
        <f>PasteBBM!AB598</f>
        <v>0</v>
      </c>
      <c r="P598">
        <f>PasteBBM!AC598</f>
        <v>0</v>
      </c>
      <c r="Q598">
        <f>PasteBBM!AD598</f>
        <v>0</v>
      </c>
      <c r="R598">
        <f>PasteBBM!AI598</f>
        <v>0</v>
      </c>
      <c r="S598">
        <f>PasteBBM!AE598</f>
        <v>0</v>
      </c>
      <c r="T598">
        <f>PasteBBM!AG598</f>
        <v>0</v>
      </c>
      <c r="V598" s="44">
        <v>-0.41709</v>
      </c>
      <c r="W598" s="44">
        <v>-0.00658</v>
      </c>
      <c r="X598" s="44">
        <v>0.009207</v>
      </c>
      <c r="Y598" s="44">
        <v>-0.4263</v>
      </c>
      <c r="Z598" s="44">
        <v>-0.34564</v>
      </c>
      <c r="AA598" s="45"/>
      <c r="AB598" s="46" t="s">
        <v>126</v>
      </c>
      <c r="AC598" s="44">
        <v>67.0</v>
      </c>
    </row>
    <row r="599">
      <c r="A599" s="2">
        <v>163.0</v>
      </c>
      <c r="B599" s="14">
        <f>IF(PasteBBM!B599="",156,PasteBBM!B599)</f>
        <v>100</v>
      </c>
      <c r="C599" t="str">
        <f>PasteBBM!I599</f>
        <v>Fred VanVleet</v>
      </c>
      <c r="D599" t="str">
        <f>IFERROR(REPLACE(PasteBBM!K599,FIND("/",PasteBBM!K599,1),1,","),PasteBBM!K599)</f>
        <v>PG</v>
      </c>
      <c r="E599" t="str">
        <f>PasteBBM!J599</f>
        <v>HOU</v>
      </c>
      <c r="F599">
        <f>PasteBBM!U599</f>
        <v>0</v>
      </c>
      <c r="G599">
        <f>PasteBBM!X599</f>
        <v>0</v>
      </c>
      <c r="H599">
        <f>PasteBBM!AE599*PasteBBM!AF599</f>
        <v>0</v>
      </c>
      <c r="I599">
        <f>PasteBBM!AE599</f>
        <v>0</v>
      </c>
      <c r="J599">
        <f>PasteBBM!AG599*PasteBBM!AH599</f>
        <v>0</v>
      </c>
      <c r="K599">
        <f>PasteBBM!AG599</f>
        <v>0</v>
      </c>
      <c r="L599">
        <f>PasteBBM!Z599</f>
        <v>0</v>
      </c>
      <c r="M599">
        <f>PasteBBM!Y599</f>
        <v>0</v>
      </c>
      <c r="N599">
        <f>PasteBBM!AA599</f>
        <v>0</v>
      </c>
      <c r="O599">
        <f>PasteBBM!AB599</f>
        <v>0</v>
      </c>
      <c r="P599">
        <f>PasteBBM!AC599</f>
        <v>0</v>
      </c>
      <c r="Q599">
        <f>PasteBBM!AD599</f>
        <v>0</v>
      </c>
      <c r="R599">
        <f>PasteBBM!AI599</f>
        <v>0</v>
      </c>
      <c r="S599">
        <f>PasteBBM!AE599</f>
        <v>0</v>
      </c>
      <c r="T599">
        <f>PasteBBM!AG599</f>
        <v>0</v>
      </c>
      <c r="V599" s="44">
        <v>-0.41709</v>
      </c>
      <c r="W599" s="44">
        <v>-0.00658</v>
      </c>
      <c r="X599" s="44">
        <v>0.009207</v>
      </c>
      <c r="Y599" s="44">
        <v>-0.4263</v>
      </c>
      <c r="Z599" s="44">
        <v>-0.34564</v>
      </c>
      <c r="AA599" s="45"/>
      <c r="AB599" s="46" t="s">
        <v>126</v>
      </c>
      <c r="AC599" s="44">
        <v>67.0</v>
      </c>
    </row>
    <row r="600">
      <c r="A600" s="2">
        <v>163.0</v>
      </c>
      <c r="B600" s="14">
        <f>IF(PasteBBM!B600="",156,PasteBBM!B600)</f>
        <v>156</v>
      </c>
      <c r="C600" t="str">
        <f>PasteBBM!I600</f>
        <v>David Roddy</v>
      </c>
      <c r="D600" t="str">
        <f>IFERROR(REPLACE(PasteBBM!K600,FIND("/",PasteBBM!K600,1),1,","),PasteBBM!K600)</f>
        <v>PF</v>
      </c>
      <c r="E600" t="str">
        <f>PasteBBM!J600</f>
        <v>TOR</v>
      </c>
      <c r="F600">
        <f>PasteBBM!U600</f>
        <v>0</v>
      </c>
      <c r="G600">
        <f>PasteBBM!X600</f>
        <v>0</v>
      </c>
      <c r="H600">
        <f>PasteBBM!AE600*PasteBBM!AF600</f>
        <v>0</v>
      </c>
      <c r="I600">
        <f>PasteBBM!AE600</f>
        <v>0</v>
      </c>
      <c r="J600">
        <f>PasteBBM!AG600*PasteBBM!AH600</f>
        <v>0</v>
      </c>
      <c r="K600">
        <f>PasteBBM!AG600</f>
        <v>0</v>
      </c>
      <c r="L600">
        <f>PasteBBM!Z600</f>
        <v>0</v>
      </c>
      <c r="M600">
        <f>PasteBBM!Y600</f>
        <v>0</v>
      </c>
      <c r="N600">
        <f>PasteBBM!AA600</f>
        <v>0</v>
      </c>
      <c r="O600">
        <f>PasteBBM!AB600</f>
        <v>0</v>
      </c>
      <c r="P600">
        <f>PasteBBM!AC600</f>
        <v>0</v>
      </c>
      <c r="Q600">
        <f>PasteBBM!AD600</f>
        <v>0</v>
      </c>
      <c r="R600">
        <f>PasteBBM!AI600</f>
        <v>0</v>
      </c>
      <c r="S600">
        <f>PasteBBM!AE600</f>
        <v>0</v>
      </c>
      <c r="T600">
        <f>PasteBBM!AG600</f>
        <v>0</v>
      </c>
      <c r="V600" s="44">
        <v>-0.41709</v>
      </c>
      <c r="W600" s="44">
        <v>-0.00658</v>
      </c>
      <c r="X600" s="44">
        <v>0.009207</v>
      </c>
      <c r="Y600" s="44">
        <v>-0.4263</v>
      </c>
      <c r="Z600" s="44">
        <v>-0.34564</v>
      </c>
      <c r="AA600" s="45"/>
      <c r="AB600" s="46" t="s">
        <v>126</v>
      </c>
      <c r="AC600" s="44">
        <v>67.0</v>
      </c>
    </row>
    <row r="601">
      <c r="A601" s="2">
        <v>163.0</v>
      </c>
      <c r="B601" s="14">
        <f>IF(PasteBBM!B601="",156,PasteBBM!B601)</f>
        <v>156</v>
      </c>
      <c r="C601" t="str">
        <f>PasteBBM!I601</f>
        <v>Trevor Keels</v>
      </c>
      <c r="D601" t="str">
        <f>IFERROR(REPLACE(PasteBBM!K601,FIND("/",PasteBBM!K601,1),1,","),PasteBBM!K601)</f>
        <v>SG</v>
      </c>
      <c r="E601" t="str">
        <f>PasteBBM!J601</f>
        <v>MIA</v>
      </c>
      <c r="F601">
        <f>PasteBBM!U601</f>
        <v>0</v>
      </c>
      <c r="G601">
        <f>PasteBBM!X601</f>
        <v>0</v>
      </c>
      <c r="H601">
        <f>PasteBBM!AE601*PasteBBM!AF601</f>
        <v>0</v>
      </c>
      <c r="I601">
        <f>PasteBBM!AE601</f>
        <v>0</v>
      </c>
      <c r="J601">
        <f>PasteBBM!AG601*PasteBBM!AH601</f>
        <v>0</v>
      </c>
      <c r="K601">
        <f>PasteBBM!AG601</f>
        <v>0</v>
      </c>
      <c r="L601">
        <f>PasteBBM!Z601</f>
        <v>0</v>
      </c>
      <c r="M601">
        <f>PasteBBM!Y601</f>
        <v>0</v>
      </c>
      <c r="N601">
        <f>PasteBBM!AA601</f>
        <v>0</v>
      </c>
      <c r="O601">
        <f>PasteBBM!AB601</f>
        <v>0</v>
      </c>
      <c r="P601">
        <f>PasteBBM!AC601</f>
        <v>0</v>
      </c>
      <c r="Q601">
        <f>PasteBBM!AD601</f>
        <v>0</v>
      </c>
      <c r="R601">
        <f>PasteBBM!AI601</f>
        <v>0</v>
      </c>
      <c r="S601">
        <f>PasteBBM!AE601</f>
        <v>0</v>
      </c>
      <c r="T601">
        <f>PasteBBM!AG601</f>
        <v>0</v>
      </c>
      <c r="V601" s="44">
        <v>-0.41709</v>
      </c>
      <c r="W601" s="44">
        <v>-0.00658</v>
      </c>
      <c r="X601" s="44">
        <v>0.009207</v>
      </c>
      <c r="Y601" s="44">
        <v>-0.4263</v>
      </c>
      <c r="Z601" s="44">
        <v>-0.34564</v>
      </c>
      <c r="AA601" s="45"/>
      <c r="AB601" s="46" t="s">
        <v>126</v>
      </c>
      <c r="AC601" s="44">
        <v>67.0</v>
      </c>
    </row>
    <row r="602">
      <c r="A602" s="2">
        <v>163.0</v>
      </c>
      <c r="B602" s="14">
        <f>IF(PasteBBM!B602="",156,PasteBBM!B602)</f>
        <v>156</v>
      </c>
      <c r="C602" t="str">
        <f>PasteBBM!I602</f>
        <v/>
      </c>
      <c r="D602" t="str">
        <f>IFERROR(REPLACE(PasteBBM!K602,FIND("/",PasteBBM!K602,1),1,","),PasteBBM!K602)</f>
        <v/>
      </c>
      <c r="E602" t="str">
        <f>PasteBBM!J602</f>
        <v/>
      </c>
      <c r="F602" t="str">
        <f>PasteBBM!U602</f>
        <v/>
      </c>
      <c r="G602" t="str">
        <f>PasteBBM!X602</f>
        <v/>
      </c>
      <c r="H602">
        <f>PasteBBM!AE602*PasteBBM!AF602</f>
        <v>0</v>
      </c>
      <c r="I602" t="str">
        <f>PasteBBM!AE602</f>
        <v/>
      </c>
      <c r="J602">
        <f>PasteBBM!AG602*PasteBBM!AH602</f>
        <v>0</v>
      </c>
      <c r="K602" t="str">
        <f>PasteBBM!AG602</f>
        <v/>
      </c>
      <c r="L602" t="str">
        <f>PasteBBM!Z602</f>
        <v/>
      </c>
      <c r="M602" t="str">
        <f>PasteBBM!Y602</f>
        <v/>
      </c>
      <c r="N602" t="str">
        <f>PasteBBM!AA602</f>
        <v/>
      </c>
      <c r="O602" t="str">
        <f>PasteBBM!AB602</f>
        <v/>
      </c>
      <c r="P602" t="str">
        <f>PasteBBM!AC602</f>
        <v/>
      </c>
      <c r="Q602" t="str">
        <f>PasteBBM!AD602</f>
        <v/>
      </c>
      <c r="R602" t="str">
        <f>PasteBBM!AI602</f>
        <v/>
      </c>
      <c r="S602" t="str">
        <f>PasteBBM!AE602</f>
        <v/>
      </c>
      <c r="T602" t="str">
        <f>PasteBBM!AG602</f>
        <v/>
      </c>
      <c r="V602" s="44">
        <v>-0.41709</v>
      </c>
      <c r="W602" s="44">
        <v>-0.00658</v>
      </c>
      <c r="X602" s="44">
        <v>0.009207</v>
      </c>
      <c r="Y602" s="44">
        <v>-0.4263</v>
      </c>
      <c r="Z602" s="44">
        <v>-0.34564</v>
      </c>
      <c r="AA602" s="45"/>
      <c r="AB602" s="46" t="s">
        <v>126</v>
      </c>
      <c r="AC602" s="44">
        <v>67.0</v>
      </c>
    </row>
    <row r="603">
      <c r="A603" s="2">
        <v>163.0</v>
      </c>
      <c r="B603" s="14">
        <f>IF(PasteBBM!B603="",156,PasteBBM!B603)</f>
        <v>156</v>
      </c>
      <c r="C603" t="str">
        <f>PasteBBM!I603</f>
        <v/>
      </c>
      <c r="D603" t="str">
        <f>IFERROR(REPLACE(PasteBBM!K603,FIND("/",PasteBBM!K603,1),1,","),PasteBBM!K603)</f>
        <v/>
      </c>
      <c r="E603" t="str">
        <f>PasteBBM!J603</f>
        <v/>
      </c>
      <c r="F603" t="str">
        <f>PasteBBM!U603</f>
        <v/>
      </c>
      <c r="G603" t="str">
        <f>PasteBBM!X603</f>
        <v/>
      </c>
      <c r="H603">
        <f>PasteBBM!AE603*PasteBBM!AF603</f>
        <v>0</v>
      </c>
      <c r="I603" t="str">
        <f>PasteBBM!AE603</f>
        <v/>
      </c>
      <c r="J603">
        <f>PasteBBM!AG603*PasteBBM!AH603</f>
        <v>0</v>
      </c>
      <c r="K603" t="str">
        <f>PasteBBM!AG603</f>
        <v/>
      </c>
      <c r="L603" t="str">
        <f>PasteBBM!Z603</f>
        <v/>
      </c>
      <c r="M603" t="str">
        <f>PasteBBM!Y603</f>
        <v/>
      </c>
      <c r="N603" t="str">
        <f>PasteBBM!AA603</f>
        <v/>
      </c>
      <c r="O603" t="str">
        <f>PasteBBM!AB603</f>
        <v/>
      </c>
      <c r="P603" t="str">
        <f>PasteBBM!AC603</f>
        <v/>
      </c>
      <c r="Q603" t="str">
        <f>PasteBBM!AD603</f>
        <v/>
      </c>
      <c r="R603" t="str">
        <f>PasteBBM!AI603</f>
        <v/>
      </c>
      <c r="S603" t="str">
        <f>PasteBBM!AE603</f>
        <v/>
      </c>
      <c r="T603" t="str">
        <f>PasteBBM!AG603</f>
        <v/>
      </c>
      <c r="V603" s="44">
        <v>-0.41709</v>
      </c>
      <c r="W603" s="44">
        <v>-0.00658</v>
      </c>
      <c r="X603" s="44">
        <v>0.009207</v>
      </c>
      <c r="Y603" s="44">
        <v>-0.4263</v>
      </c>
      <c r="Z603" s="44">
        <v>-0.34564</v>
      </c>
      <c r="AA603" s="45"/>
      <c r="AB603" s="46" t="s">
        <v>126</v>
      </c>
      <c r="AC603" s="44">
        <v>67.0</v>
      </c>
    </row>
    <row r="604">
      <c r="A604" s="2">
        <v>163.0</v>
      </c>
      <c r="B604" s="14">
        <f>IF(PasteBBM!B604="",156,PasteBBM!B604)</f>
        <v>156</v>
      </c>
      <c r="C604" t="str">
        <f>PasteBBM!I604</f>
        <v/>
      </c>
      <c r="D604" t="str">
        <f>IFERROR(REPLACE(PasteBBM!K604,FIND("/",PasteBBM!K604,1),1,","),PasteBBM!K604)</f>
        <v/>
      </c>
      <c r="E604" t="str">
        <f>PasteBBM!J604</f>
        <v/>
      </c>
      <c r="F604" t="str">
        <f>PasteBBM!U604</f>
        <v/>
      </c>
      <c r="G604" t="str">
        <f>PasteBBM!X604</f>
        <v/>
      </c>
      <c r="H604">
        <f>PasteBBM!AE604*PasteBBM!AF604</f>
        <v>0</v>
      </c>
      <c r="I604" t="str">
        <f>PasteBBM!AE604</f>
        <v/>
      </c>
      <c r="J604">
        <f>PasteBBM!AG604*PasteBBM!AH604</f>
        <v>0</v>
      </c>
      <c r="K604" t="str">
        <f>PasteBBM!AG604</f>
        <v/>
      </c>
      <c r="L604" t="str">
        <f>PasteBBM!Z604</f>
        <v/>
      </c>
      <c r="M604" t="str">
        <f>PasteBBM!Y604</f>
        <v/>
      </c>
      <c r="N604" t="str">
        <f>PasteBBM!AA604</f>
        <v/>
      </c>
      <c r="O604" t="str">
        <f>PasteBBM!AB604</f>
        <v/>
      </c>
      <c r="P604" t="str">
        <f>PasteBBM!AC604</f>
        <v/>
      </c>
      <c r="Q604" t="str">
        <f>PasteBBM!AD604</f>
        <v/>
      </c>
      <c r="R604" t="str">
        <f>PasteBBM!AI604</f>
        <v/>
      </c>
      <c r="S604" t="str">
        <f>PasteBBM!AE604</f>
        <v/>
      </c>
      <c r="T604" t="str">
        <f>PasteBBM!AG604</f>
        <v/>
      </c>
      <c r="V604" s="44">
        <v>-0.41709</v>
      </c>
      <c r="W604" s="44">
        <v>-0.00658</v>
      </c>
      <c r="X604" s="44">
        <v>0.009207</v>
      </c>
      <c r="Y604" s="44">
        <v>-0.4263</v>
      </c>
      <c r="Z604" s="44">
        <v>-0.34564</v>
      </c>
      <c r="AA604" s="45"/>
      <c r="AB604" s="46" t="s">
        <v>126</v>
      </c>
      <c r="AC604" s="44">
        <v>67.0</v>
      </c>
    </row>
    <row r="605">
      <c r="A605" s="2">
        <v>163.0</v>
      </c>
      <c r="B605" s="14">
        <f>IF(PasteBBM!B605="",156,PasteBBM!B605)</f>
        <v>156</v>
      </c>
      <c r="C605" t="str">
        <f>PasteBBM!I605</f>
        <v/>
      </c>
      <c r="D605" t="str">
        <f>IFERROR(REPLACE(PasteBBM!K605,FIND("/",PasteBBM!K605,1),1,","),PasteBBM!K605)</f>
        <v/>
      </c>
      <c r="E605" t="str">
        <f>PasteBBM!J605</f>
        <v/>
      </c>
      <c r="F605" t="str">
        <f>PasteBBM!U605</f>
        <v/>
      </c>
      <c r="G605" t="str">
        <f>PasteBBM!X605</f>
        <v/>
      </c>
      <c r="H605">
        <f>PasteBBM!AE605*PasteBBM!AF605</f>
        <v>0</v>
      </c>
      <c r="I605" t="str">
        <f>PasteBBM!AE605</f>
        <v/>
      </c>
      <c r="J605">
        <f>PasteBBM!AG605*PasteBBM!AH605</f>
        <v>0</v>
      </c>
      <c r="K605" t="str">
        <f>PasteBBM!AG605</f>
        <v/>
      </c>
      <c r="L605" t="str">
        <f>PasteBBM!Z605</f>
        <v/>
      </c>
      <c r="M605" t="str">
        <f>PasteBBM!Y605</f>
        <v/>
      </c>
      <c r="N605" t="str">
        <f>PasteBBM!AA605</f>
        <v/>
      </c>
      <c r="O605" t="str">
        <f>PasteBBM!AB605</f>
        <v/>
      </c>
      <c r="P605" t="str">
        <f>PasteBBM!AC605</f>
        <v/>
      </c>
      <c r="Q605" t="str">
        <f>PasteBBM!AD605</f>
        <v/>
      </c>
      <c r="R605" t="str">
        <f>PasteBBM!AI605</f>
        <v/>
      </c>
      <c r="S605" t="str">
        <f>PasteBBM!AE605</f>
        <v/>
      </c>
      <c r="T605" t="str">
        <f>PasteBBM!AG605</f>
        <v/>
      </c>
      <c r="V605" s="44">
        <v>-0.41709</v>
      </c>
      <c r="W605" s="44">
        <v>-0.00658</v>
      </c>
      <c r="X605" s="44">
        <v>0.009207</v>
      </c>
      <c r="Y605" s="44">
        <v>-0.4263</v>
      </c>
      <c r="Z605" s="44">
        <v>-0.34564</v>
      </c>
      <c r="AA605" s="45"/>
      <c r="AB605" s="46" t="s">
        <v>126</v>
      </c>
      <c r="AC605" s="44">
        <v>67.0</v>
      </c>
    </row>
    <row r="606">
      <c r="A606" s="2">
        <v>163.0</v>
      </c>
      <c r="B606" s="14">
        <f>IF(PasteBBM!B606="",156,PasteBBM!B606)</f>
        <v>156</v>
      </c>
      <c r="C606" t="str">
        <f>PasteBBM!I606</f>
        <v/>
      </c>
      <c r="D606" t="str">
        <f>IFERROR(REPLACE(PasteBBM!K606,FIND("/",PasteBBM!K606,1),1,","),PasteBBM!K606)</f>
        <v/>
      </c>
      <c r="E606" t="str">
        <f>PasteBBM!J606</f>
        <v/>
      </c>
      <c r="F606" t="str">
        <f>PasteBBM!U606</f>
        <v/>
      </c>
      <c r="G606" t="str">
        <f>PasteBBM!X606</f>
        <v/>
      </c>
      <c r="H606">
        <f>PasteBBM!AE606*PasteBBM!AF606</f>
        <v>0</v>
      </c>
      <c r="I606" t="str">
        <f>PasteBBM!AE606</f>
        <v/>
      </c>
      <c r="J606">
        <f>PasteBBM!AG606*PasteBBM!AH606</f>
        <v>0</v>
      </c>
      <c r="K606" t="str">
        <f>PasteBBM!AG606</f>
        <v/>
      </c>
      <c r="L606" t="str">
        <f>PasteBBM!Z606</f>
        <v/>
      </c>
      <c r="M606" t="str">
        <f>PasteBBM!Y606</f>
        <v/>
      </c>
      <c r="N606" t="str">
        <f>PasteBBM!AA606</f>
        <v/>
      </c>
      <c r="O606" t="str">
        <f>PasteBBM!AB606</f>
        <v/>
      </c>
      <c r="P606" t="str">
        <f>PasteBBM!AC606</f>
        <v/>
      </c>
      <c r="Q606" t="str">
        <f>PasteBBM!AD606</f>
        <v/>
      </c>
      <c r="R606" t="str">
        <f>PasteBBM!AI606</f>
        <v/>
      </c>
      <c r="S606" t="str">
        <f>PasteBBM!AE606</f>
        <v/>
      </c>
      <c r="T606" t="str">
        <f>PasteBBM!AG606</f>
        <v/>
      </c>
      <c r="V606" s="44">
        <v>-0.41709</v>
      </c>
      <c r="W606" s="44">
        <v>-0.00658</v>
      </c>
      <c r="X606" s="44">
        <v>0.009207</v>
      </c>
      <c r="Y606" s="44">
        <v>-0.4263</v>
      </c>
      <c r="Z606" s="44">
        <v>-0.34564</v>
      </c>
      <c r="AA606" s="45"/>
      <c r="AB606" s="46" t="s">
        <v>126</v>
      </c>
      <c r="AC606" s="44">
        <v>67.0</v>
      </c>
    </row>
    <row r="607">
      <c r="A607" s="2">
        <v>163.0</v>
      </c>
      <c r="B607" s="14">
        <f>IF(PasteBBM!B607="",156,PasteBBM!B607)</f>
        <v>156</v>
      </c>
      <c r="C607" t="str">
        <f>PasteBBM!I607</f>
        <v/>
      </c>
      <c r="D607" t="str">
        <f>IFERROR(REPLACE(PasteBBM!K607,FIND("/",PasteBBM!K607,1),1,","),PasteBBM!K607)</f>
        <v/>
      </c>
      <c r="E607" t="str">
        <f>PasteBBM!J607</f>
        <v/>
      </c>
      <c r="F607" t="str">
        <f>PasteBBM!U607</f>
        <v/>
      </c>
      <c r="G607" t="str">
        <f>PasteBBM!X607</f>
        <v/>
      </c>
      <c r="H607">
        <f>PasteBBM!AE607*PasteBBM!AF607</f>
        <v>0</v>
      </c>
      <c r="I607" t="str">
        <f>PasteBBM!AE607</f>
        <v/>
      </c>
      <c r="J607">
        <f>PasteBBM!AG607*PasteBBM!AH607</f>
        <v>0</v>
      </c>
      <c r="K607" t="str">
        <f>PasteBBM!AG607</f>
        <v/>
      </c>
      <c r="L607" t="str">
        <f>PasteBBM!Z607</f>
        <v/>
      </c>
      <c r="M607" t="str">
        <f>PasteBBM!Y607</f>
        <v/>
      </c>
      <c r="N607" t="str">
        <f>PasteBBM!AA607</f>
        <v/>
      </c>
      <c r="O607" t="str">
        <f>PasteBBM!AB607</f>
        <v/>
      </c>
      <c r="P607" t="str">
        <f>PasteBBM!AC607</f>
        <v/>
      </c>
      <c r="Q607" t="str">
        <f>PasteBBM!AD607</f>
        <v/>
      </c>
      <c r="R607" t="str">
        <f>PasteBBM!AI607</f>
        <v/>
      </c>
      <c r="S607" t="str">
        <f>PasteBBM!AE607</f>
        <v/>
      </c>
      <c r="T607" t="str">
        <f>PasteBBM!AG607</f>
        <v/>
      </c>
      <c r="V607" s="44">
        <v>-0.41709</v>
      </c>
      <c r="W607" s="44">
        <v>-0.00658</v>
      </c>
      <c r="X607" s="44">
        <v>0.009207</v>
      </c>
      <c r="Y607" s="44">
        <v>-0.4263</v>
      </c>
      <c r="Z607" s="44">
        <v>-0.34564</v>
      </c>
      <c r="AA607" s="45"/>
      <c r="AB607" s="46" t="s">
        <v>126</v>
      </c>
      <c r="AC607" s="44">
        <v>67.0</v>
      </c>
    </row>
    <row r="608">
      <c r="A608" s="2">
        <v>163.0</v>
      </c>
      <c r="B608" s="14">
        <f>IF(PasteBBM!B608="",156,PasteBBM!B608)</f>
        <v>156</v>
      </c>
      <c r="C608" t="str">
        <f>PasteBBM!I608</f>
        <v/>
      </c>
      <c r="D608" t="str">
        <f>IFERROR(REPLACE(PasteBBM!K608,FIND("/",PasteBBM!K608,1),1,","),PasteBBM!K608)</f>
        <v/>
      </c>
      <c r="E608" t="str">
        <f>PasteBBM!J608</f>
        <v/>
      </c>
      <c r="F608" t="str">
        <f>PasteBBM!U608</f>
        <v/>
      </c>
      <c r="G608" t="str">
        <f>PasteBBM!X608</f>
        <v/>
      </c>
      <c r="H608">
        <f>PasteBBM!AE608*PasteBBM!AF608</f>
        <v>0</v>
      </c>
      <c r="I608" t="str">
        <f>PasteBBM!AE608</f>
        <v/>
      </c>
      <c r="J608">
        <f>PasteBBM!AG608*PasteBBM!AH608</f>
        <v>0</v>
      </c>
      <c r="K608" t="str">
        <f>PasteBBM!AG608</f>
        <v/>
      </c>
      <c r="L608" t="str">
        <f>PasteBBM!Z608</f>
        <v/>
      </c>
      <c r="M608" t="str">
        <f>PasteBBM!Y608</f>
        <v/>
      </c>
      <c r="N608" t="str">
        <f>PasteBBM!AA608</f>
        <v/>
      </c>
      <c r="O608" t="str">
        <f>PasteBBM!AB608</f>
        <v/>
      </c>
      <c r="P608" t="str">
        <f>PasteBBM!AC608</f>
        <v/>
      </c>
      <c r="Q608" t="str">
        <f>PasteBBM!AD608</f>
        <v/>
      </c>
      <c r="R608" t="str">
        <f>PasteBBM!AI608</f>
        <v/>
      </c>
      <c r="S608" t="str">
        <f>PasteBBM!AE608</f>
        <v/>
      </c>
      <c r="T608" t="str">
        <f>PasteBBM!AG608</f>
        <v/>
      </c>
      <c r="V608" s="44">
        <v>-0.41709</v>
      </c>
      <c r="W608" s="44">
        <v>-0.00658</v>
      </c>
      <c r="X608" s="44">
        <v>0.009207</v>
      </c>
      <c r="Y608" s="44">
        <v>-0.4263</v>
      </c>
      <c r="Z608" s="44">
        <v>-0.34564</v>
      </c>
      <c r="AA608" s="45"/>
      <c r="AB608" s="46" t="s">
        <v>126</v>
      </c>
      <c r="AC608" s="44">
        <v>67.0</v>
      </c>
    </row>
    <row r="609">
      <c r="A609" s="2">
        <v>163.0</v>
      </c>
      <c r="B609" s="14">
        <f>IF(PasteBBM!B609="",156,PasteBBM!B609)</f>
        <v>156</v>
      </c>
      <c r="C609" t="str">
        <f>PasteBBM!I609</f>
        <v/>
      </c>
      <c r="D609" t="str">
        <f>IFERROR(REPLACE(PasteBBM!K609,FIND("/",PasteBBM!K609,1),1,","),PasteBBM!K609)</f>
        <v/>
      </c>
      <c r="E609" t="str">
        <f>PasteBBM!J609</f>
        <v/>
      </c>
      <c r="F609" t="str">
        <f>PasteBBM!U609</f>
        <v/>
      </c>
      <c r="G609" t="str">
        <f>PasteBBM!X609</f>
        <v/>
      </c>
      <c r="H609">
        <f>PasteBBM!AE609*PasteBBM!AF609</f>
        <v>0</v>
      </c>
      <c r="I609" t="str">
        <f>PasteBBM!AE609</f>
        <v/>
      </c>
      <c r="J609">
        <f>PasteBBM!AG609*PasteBBM!AH609</f>
        <v>0</v>
      </c>
      <c r="K609" t="str">
        <f>PasteBBM!AG609</f>
        <v/>
      </c>
      <c r="L609" t="str">
        <f>PasteBBM!Z609</f>
        <v/>
      </c>
      <c r="M609" t="str">
        <f>PasteBBM!Y609</f>
        <v/>
      </c>
      <c r="N609" t="str">
        <f>PasteBBM!AA609</f>
        <v/>
      </c>
      <c r="O609" t="str">
        <f>PasteBBM!AB609</f>
        <v/>
      </c>
      <c r="P609" t="str">
        <f>PasteBBM!AC609</f>
        <v/>
      </c>
      <c r="Q609" t="str">
        <f>PasteBBM!AD609</f>
        <v/>
      </c>
      <c r="R609" t="str">
        <f>PasteBBM!AI609</f>
        <v/>
      </c>
      <c r="S609" t="str">
        <f>PasteBBM!AE609</f>
        <v/>
      </c>
      <c r="T609" t="str">
        <f>PasteBBM!AG609</f>
        <v/>
      </c>
      <c r="V609" s="44">
        <v>-0.41709</v>
      </c>
      <c r="W609" s="44">
        <v>-0.00658</v>
      </c>
      <c r="X609" s="44">
        <v>0.009207</v>
      </c>
      <c r="Y609" s="44">
        <v>-0.4263</v>
      </c>
      <c r="Z609" s="44">
        <v>-0.34564</v>
      </c>
      <c r="AA609" s="45"/>
      <c r="AB609" s="46" t="s">
        <v>126</v>
      </c>
      <c r="AC609" s="44">
        <v>67.0</v>
      </c>
    </row>
    <row r="610">
      <c r="A610" s="2">
        <v>163.0</v>
      </c>
      <c r="B610" s="14">
        <f>IF(PasteBBM!B610="",156,PasteBBM!B610)</f>
        <v>156</v>
      </c>
      <c r="C610" t="str">
        <f>PasteBBM!I610</f>
        <v/>
      </c>
      <c r="D610" t="str">
        <f>IFERROR(REPLACE(PasteBBM!K610,FIND("/",PasteBBM!K610,1),1,","),PasteBBM!K610)</f>
        <v/>
      </c>
      <c r="E610" t="str">
        <f>PasteBBM!J610</f>
        <v/>
      </c>
      <c r="F610" t="str">
        <f>PasteBBM!U610</f>
        <v/>
      </c>
      <c r="G610" t="str">
        <f>PasteBBM!X610</f>
        <v/>
      </c>
      <c r="H610">
        <f>PasteBBM!AE610*PasteBBM!AF610</f>
        <v>0</v>
      </c>
      <c r="I610" t="str">
        <f>PasteBBM!AE610</f>
        <v/>
      </c>
      <c r="J610">
        <f>PasteBBM!AG610*PasteBBM!AH610</f>
        <v>0</v>
      </c>
      <c r="K610" t="str">
        <f>PasteBBM!AG610</f>
        <v/>
      </c>
      <c r="L610" t="str">
        <f>PasteBBM!Z610</f>
        <v/>
      </c>
      <c r="M610" t="str">
        <f>PasteBBM!Y610</f>
        <v/>
      </c>
      <c r="N610" t="str">
        <f>PasteBBM!AA610</f>
        <v/>
      </c>
      <c r="O610" t="str">
        <f>PasteBBM!AB610</f>
        <v/>
      </c>
      <c r="P610" t="str">
        <f>PasteBBM!AC610</f>
        <v/>
      </c>
      <c r="Q610" t="str">
        <f>PasteBBM!AD610</f>
        <v/>
      </c>
      <c r="R610" t="str">
        <f>PasteBBM!AI610</f>
        <v/>
      </c>
      <c r="S610" t="str">
        <f>PasteBBM!AE610</f>
        <v/>
      </c>
      <c r="T610" t="str">
        <f>PasteBBM!AG610</f>
        <v/>
      </c>
      <c r="V610" s="44">
        <v>-0.41709</v>
      </c>
      <c r="W610" s="44">
        <v>-0.00658</v>
      </c>
      <c r="X610" s="44">
        <v>0.009207</v>
      </c>
      <c r="Y610" s="44">
        <v>-0.4263</v>
      </c>
      <c r="Z610" s="44">
        <v>-0.34564</v>
      </c>
      <c r="AA610" s="45"/>
      <c r="AB610" s="46" t="s">
        <v>126</v>
      </c>
      <c r="AC610" s="44">
        <v>67.0</v>
      </c>
    </row>
    <row r="611">
      <c r="A611" s="2">
        <v>163.0</v>
      </c>
      <c r="B611" s="14">
        <f>IF(PasteBBM!B611="",156,PasteBBM!B611)</f>
        <v>156</v>
      </c>
      <c r="C611" t="str">
        <f>PasteBBM!I611</f>
        <v/>
      </c>
      <c r="D611" t="str">
        <f>IFERROR(REPLACE(PasteBBM!K611,FIND("/",PasteBBM!K611,1),1,","),PasteBBM!K611)</f>
        <v/>
      </c>
      <c r="E611" t="str">
        <f>PasteBBM!J611</f>
        <v/>
      </c>
      <c r="F611" t="str">
        <f>PasteBBM!U611</f>
        <v/>
      </c>
      <c r="G611" t="str">
        <f>PasteBBM!X611</f>
        <v/>
      </c>
      <c r="H611">
        <f>PasteBBM!AE611*PasteBBM!AF611</f>
        <v>0</v>
      </c>
      <c r="I611" t="str">
        <f>PasteBBM!AE611</f>
        <v/>
      </c>
      <c r="J611">
        <f>PasteBBM!AG611*PasteBBM!AH611</f>
        <v>0</v>
      </c>
      <c r="K611" t="str">
        <f>PasteBBM!AG611</f>
        <v/>
      </c>
      <c r="L611" t="str">
        <f>PasteBBM!Z611</f>
        <v/>
      </c>
      <c r="M611" t="str">
        <f>PasteBBM!Y611</f>
        <v/>
      </c>
      <c r="N611" t="str">
        <f>PasteBBM!AA611</f>
        <v/>
      </c>
      <c r="O611" t="str">
        <f>PasteBBM!AB611</f>
        <v/>
      </c>
      <c r="P611" t="str">
        <f>PasteBBM!AC611</f>
        <v/>
      </c>
      <c r="Q611" t="str">
        <f>PasteBBM!AD611</f>
        <v/>
      </c>
      <c r="R611" t="str">
        <f>PasteBBM!AI611</f>
        <v/>
      </c>
      <c r="S611" t="str">
        <f>PasteBBM!AE611</f>
        <v/>
      </c>
      <c r="T611" t="str">
        <f>PasteBBM!AG611</f>
        <v/>
      </c>
      <c r="V611" s="44">
        <v>-0.41709</v>
      </c>
      <c r="W611" s="44">
        <v>-0.00658</v>
      </c>
      <c r="X611" s="44">
        <v>0.009207</v>
      </c>
      <c r="Y611" s="44">
        <v>-0.4263</v>
      </c>
      <c r="Z611" s="44">
        <v>-0.34564</v>
      </c>
      <c r="AA611" s="45"/>
      <c r="AB611" s="46" t="s">
        <v>126</v>
      </c>
      <c r="AC611" s="44">
        <v>67.0</v>
      </c>
    </row>
    <row r="612">
      <c r="A612" s="2">
        <v>163.0</v>
      </c>
      <c r="B612" s="14">
        <f>IF(PasteBBM!B612="",156,PasteBBM!B612)</f>
        <v>156</v>
      </c>
      <c r="C612" t="str">
        <f>PasteBBM!I612</f>
        <v/>
      </c>
      <c r="D612" t="str">
        <f>IFERROR(REPLACE(PasteBBM!K612,FIND("/",PasteBBM!K612,1),1,","),PasteBBM!K612)</f>
        <v/>
      </c>
      <c r="E612" t="str">
        <f>PasteBBM!J612</f>
        <v/>
      </c>
      <c r="F612" t="str">
        <f>PasteBBM!U612</f>
        <v/>
      </c>
      <c r="G612" t="str">
        <f>PasteBBM!X612</f>
        <v/>
      </c>
      <c r="H612">
        <f>PasteBBM!AE612*PasteBBM!AF612</f>
        <v>0</v>
      </c>
      <c r="I612" t="str">
        <f>PasteBBM!AE612</f>
        <v/>
      </c>
      <c r="J612">
        <f>PasteBBM!AG612*PasteBBM!AH612</f>
        <v>0</v>
      </c>
      <c r="K612" t="str">
        <f>PasteBBM!AG612</f>
        <v/>
      </c>
      <c r="L612" t="str">
        <f>PasteBBM!Z612</f>
        <v/>
      </c>
      <c r="M612" t="str">
        <f>PasteBBM!Y612</f>
        <v/>
      </c>
      <c r="N612" t="str">
        <f>PasteBBM!AA612</f>
        <v/>
      </c>
      <c r="O612" t="str">
        <f>PasteBBM!AB612</f>
        <v/>
      </c>
      <c r="P612" t="str">
        <f>PasteBBM!AC612</f>
        <v/>
      </c>
      <c r="Q612" t="str">
        <f>PasteBBM!AD612</f>
        <v/>
      </c>
      <c r="R612" t="str">
        <f>PasteBBM!AI612</f>
        <v/>
      </c>
      <c r="S612" t="str">
        <f>PasteBBM!AE612</f>
        <v/>
      </c>
      <c r="T612" t="str">
        <f>PasteBBM!AG612</f>
        <v/>
      </c>
      <c r="V612" s="44">
        <v>-0.41709</v>
      </c>
      <c r="W612" s="44">
        <v>-0.00658</v>
      </c>
      <c r="X612" s="44">
        <v>0.009207</v>
      </c>
      <c r="Y612" s="44">
        <v>-0.4263</v>
      </c>
      <c r="Z612" s="44">
        <v>-0.34564</v>
      </c>
      <c r="AA612" s="45"/>
      <c r="AB612" s="46" t="s">
        <v>126</v>
      </c>
      <c r="AC612" s="44">
        <v>67.0</v>
      </c>
    </row>
    <row r="613">
      <c r="A613" s="2">
        <v>163.0</v>
      </c>
      <c r="B613" s="14">
        <f>IF(PasteBBM!B613="",156,PasteBBM!B613)</f>
        <v>156</v>
      </c>
      <c r="C613" t="str">
        <f>PasteBBM!I613</f>
        <v/>
      </c>
      <c r="D613" t="str">
        <f>IFERROR(REPLACE(PasteBBM!K613,FIND("/",PasteBBM!K613,1),1,","),PasteBBM!K613)</f>
        <v/>
      </c>
      <c r="E613" t="str">
        <f>PasteBBM!J613</f>
        <v/>
      </c>
      <c r="F613" t="str">
        <f>PasteBBM!U613</f>
        <v/>
      </c>
      <c r="G613" t="str">
        <f>PasteBBM!X613</f>
        <v/>
      </c>
      <c r="H613">
        <f>PasteBBM!AE613*PasteBBM!AF613</f>
        <v>0</v>
      </c>
      <c r="I613" t="str">
        <f>PasteBBM!AE613</f>
        <v/>
      </c>
      <c r="J613">
        <f>PasteBBM!AG613*PasteBBM!AH613</f>
        <v>0</v>
      </c>
      <c r="K613" t="str">
        <f>PasteBBM!AG613</f>
        <v/>
      </c>
      <c r="L613" t="str">
        <f>PasteBBM!Z613</f>
        <v/>
      </c>
      <c r="M613" t="str">
        <f>PasteBBM!Y613</f>
        <v/>
      </c>
      <c r="N613" t="str">
        <f>PasteBBM!AA613</f>
        <v/>
      </c>
      <c r="O613" t="str">
        <f>PasteBBM!AB613</f>
        <v/>
      </c>
      <c r="P613" t="str">
        <f>PasteBBM!AC613</f>
        <v/>
      </c>
      <c r="Q613" t="str">
        <f>PasteBBM!AD613</f>
        <v/>
      </c>
      <c r="R613" t="str">
        <f>PasteBBM!AI613</f>
        <v/>
      </c>
      <c r="S613" t="str">
        <f>PasteBBM!AE613</f>
        <v/>
      </c>
      <c r="T613" t="str">
        <f>PasteBBM!AG613</f>
        <v/>
      </c>
      <c r="V613" s="44">
        <v>-0.41709</v>
      </c>
      <c r="W613" s="44">
        <v>-0.00658</v>
      </c>
      <c r="X613" s="44">
        <v>0.009207</v>
      </c>
      <c r="Y613" s="44">
        <v>-0.4263</v>
      </c>
      <c r="Z613" s="44">
        <v>-0.34564</v>
      </c>
      <c r="AA613" s="45"/>
      <c r="AB613" s="46" t="s">
        <v>126</v>
      </c>
      <c r="AC613" s="44">
        <v>67.0</v>
      </c>
    </row>
    <row r="614">
      <c r="A614" s="2">
        <v>163.0</v>
      </c>
      <c r="B614" s="14">
        <f>IF(PasteBBM!B614="",156,PasteBBM!B614)</f>
        <v>156</v>
      </c>
      <c r="C614" t="str">
        <f>PasteBBM!I614</f>
        <v/>
      </c>
      <c r="D614" t="str">
        <f>IFERROR(REPLACE(PasteBBM!K614,FIND("/",PasteBBM!K614,1),1,","),PasteBBM!K614)</f>
        <v/>
      </c>
      <c r="E614" t="str">
        <f>PasteBBM!J614</f>
        <v/>
      </c>
      <c r="F614" t="str">
        <f>PasteBBM!U614</f>
        <v/>
      </c>
      <c r="G614" t="str">
        <f>PasteBBM!X614</f>
        <v/>
      </c>
      <c r="H614">
        <f>PasteBBM!AE614*PasteBBM!AF614</f>
        <v>0</v>
      </c>
      <c r="I614" t="str">
        <f>PasteBBM!AE614</f>
        <v/>
      </c>
      <c r="J614">
        <f>PasteBBM!AG614*PasteBBM!AH614</f>
        <v>0</v>
      </c>
      <c r="K614" t="str">
        <f>PasteBBM!AG614</f>
        <v/>
      </c>
      <c r="L614" t="str">
        <f>PasteBBM!Z614</f>
        <v/>
      </c>
      <c r="M614" t="str">
        <f>PasteBBM!Y614</f>
        <v/>
      </c>
      <c r="N614" t="str">
        <f>PasteBBM!AA614</f>
        <v/>
      </c>
      <c r="O614" t="str">
        <f>PasteBBM!AB614</f>
        <v/>
      </c>
      <c r="P614" t="str">
        <f>PasteBBM!AC614</f>
        <v/>
      </c>
      <c r="Q614" t="str">
        <f>PasteBBM!AD614</f>
        <v/>
      </c>
      <c r="R614" t="str">
        <f>PasteBBM!AI614</f>
        <v/>
      </c>
      <c r="S614" t="str">
        <f>PasteBBM!AE614</f>
        <v/>
      </c>
      <c r="T614" t="str">
        <f>PasteBBM!AG614</f>
        <v/>
      </c>
      <c r="V614" s="44">
        <v>-0.41709</v>
      </c>
      <c r="W614" s="44">
        <v>-0.00658</v>
      </c>
      <c r="X614" s="44">
        <v>0.009207</v>
      </c>
      <c r="Y614" s="44">
        <v>-0.4263</v>
      </c>
      <c r="Z614" s="44">
        <v>-0.34564</v>
      </c>
      <c r="AA614" s="45"/>
      <c r="AB614" s="46" t="s">
        <v>126</v>
      </c>
      <c r="AC614" s="44">
        <v>67.0</v>
      </c>
    </row>
    <row r="615">
      <c r="A615" s="2">
        <v>163.0</v>
      </c>
      <c r="B615" s="14">
        <f>IF(PasteBBM!B615="",156,PasteBBM!B615)</f>
        <v>156</v>
      </c>
      <c r="C615" t="str">
        <f>PasteBBM!I615</f>
        <v/>
      </c>
      <c r="D615" t="str">
        <f>IFERROR(REPLACE(PasteBBM!K615,FIND("/",PasteBBM!K615,1),1,","),PasteBBM!K615)</f>
        <v/>
      </c>
      <c r="E615" t="str">
        <f>PasteBBM!J615</f>
        <v/>
      </c>
      <c r="F615" t="str">
        <f>PasteBBM!U615</f>
        <v/>
      </c>
      <c r="G615" t="str">
        <f>PasteBBM!X615</f>
        <v/>
      </c>
      <c r="H615">
        <f>PasteBBM!AE615*PasteBBM!AF615</f>
        <v>0</v>
      </c>
      <c r="I615" t="str">
        <f>PasteBBM!AE615</f>
        <v/>
      </c>
      <c r="J615">
        <f>PasteBBM!AG615*PasteBBM!AH615</f>
        <v>0</v>
      </c>
      <c r="K615" t="str">
        <f>PasteBBM!AG615</f>
        <v/>
      </c>
      <c r="L615" t="str">
        <f>PasteBBM!Z615</f>
        <v/>
      </c>
      <c r="M615" t="str">
        <f>PasteBBM!Y615</f>
        <v/>
      </c>
      <c r="N615" t="str">
        <f>PasteBBM!AA615</f>
        <v/>
      </c>
      <c r="O615" t="str">
        <f>PasteBBM!AB615</f>
        <v/>
      </c>
      <c r="P615" t="str">
        <f>PasteBBM!AC615</f>
        <v/>
      </c>
      <c r="Q615" t="str">
        <f>PasteBBM!AD615</f>
        <v/>
      </c>
      <c r="R615" t="str">
        <f>PasteBBM!AI615</f>
        <v/>
      </c>
      <c r="S615" t="str">
        <f>PasteBBM!AE615</f>
        <v/>
      </c>
      <c r="T615" t="str">
        <f>PasteBBM!AG615</f>
        <v/>
      </c>
      <c r="V615" s="44">
        <v>-0.41709</v>
      </c>
      <c r="W615" s="44">
        <v>-0.00658</v>
      </c>
      <c r="X615" s="44">
        <v>0.009207</v>
      </c>
      <c r="Y615" s="44">
        <v>-0.4263</v>
      </c>
      <c r="Z615" s="44">
        <v>-0.34564</v>
      </c>
      <c r="AA615" s="45"/>
      <c r="AB615" s="46" t="s">
        <v>126</v>
      </c>
      <c r="AC615" s="44">
        <v>67.0</v>
      </c>
    </row>
    <row r="616">
      <c r="A616" s="2">
        <v>163.0</v>
      </c>
      <c r="B616" s="14">
        <f>IF(PasteBBM!B616="",156,PasteBBM!B616)</f>
        <v>156</v>
      </c>
      <c r="C616" t="str">
        <f>PasteBBM!I616</f>
        <v/>
      </c>
      <c r="D616" t="str">
        <f>IFERROR(REPLACE(PasteBBM!K616,FIND("/",PasteBBM!K616,1),1,","),PasteBBM!K616)</f>
        <v/>
      </c>
      <c r="E616" t="str">
        <f>PasteBBM!J616</f>
        <v/>
      </c>
      <c r="F616" t="str">
        <f>PasteBBM!U616</f>
        <v/>
      </c>
      <c r="G616" t="str">
        <f>PasteBBM!X616</f>
        <v/>
      </c>
      <c r="H616">
        <f>PasteBBM!AE616*PasteBBM!AF616</f>
        <v>0</v>
      </c>
      <c r="I616" t="str">
        <f>PasteBBM!AE616</f>
        <v/>
      </c>
      <c r="J616">
        <f>PasteBBM!AG616*PasteBBM!AH616</f>
        <v>0</v>
      </c>
      <c r="K616" t="str">
        <f>PasteBBM!AG616</f>
        <v/>
      </c>
      <c r="L616" t="str">
        <f>PasteBBM!Z616</f>
        <v/>
      </c>
      <c r="M616" t="str">
        <f>PasteBBM!Y616</f>
        <v/>
      </c>
      <c r="N616" t="str">
        <f>PasteBBM!AA616</f>
        <v/>
      </c>
      <c r="O616" t="str">
        <f>PasteBBM!AB616</f>
        <v/>
      </c>
      <c r="P616" t="str">
        <f>PasteBBM!AC616</f>
        <v/>
      </c>
      <c r="Q616" t="str">
        <f>PasteBBM!AD616</f>
        <v/>
      </c>
      <c r="R616" t="str">
        <f>PasteBBM!AI616</f>
        <v/>
      </c>
      <c r="S616" t="str">
        <f>PasteBBM!AE616</f>
        <v/>
      </c>
      <c r="T616" t="str">
        <f>PasteBBM!AG616</f>
        <v/>
      </c>
      <c r="V616" s="44">
        <v>-0.41709</v>
      </c>
      <c r="W616" s="44">
        <v>-0.00658</v>
      </c>
      <c r="X616" s="44">
        <v>0.009207</v>
      </c>
      <c r="Y616" s="44">
        <v>-0.4263</v>
      </c>
      <c r="Z616" s="44">
        <v>-0.34564</v>
      </c>
      <c r="AA616" s="45"/>
      <c r="AB616" s="46" t="s">
        <v>126</v>
      </c>
      <c r="AC616" s="44">
        <v>67.0</v>
      </c>
    </row>
    <row r="617">
      <c r="A617" s="2">
        <v>163.0</v>
      </c>
      <c r="B617" s="14">
        <f>IF(PasteBBM!B617="",156,PasteBBM!B617)</f>
        <v>156</v>
      </c>
      <c r="C617" t="str">
        <f>PasteBBM!I617</f>
        <v/>
      </c>
      <c r="D617" t="str">
        <f>IFERROR(REPLACE(PasteBBM!K617,FIND("/",PasteBBM!K617,1),1,","),PasteBBM!K617)</f>
        <v/>
      </c>
      <c r="E617" t="str">
        <f>PasteBBM!J617</f>
        <v/>
      </c>
      <c r="F617" t="str">
        <f>PasteBBM!U617</f>
        <v/>
      </c>
      <c r="G617" t="str">
        <f>PasteBBM!X617</f>
        <v/>
      </c>
      <c r="H617">
        <f>PasteBBM!AE617*PasteBBM!AF617</f>
        <v>0</v>
      </c>
      <c r="I617" t="str">
        <f>PasteBBM!AE617</f>
        <v/>
      </c>
      <c r="J617">
        <f>PasteBBM!AG617*PasteBBM!AH617</f>
        <v>0</v>
      </c>
      <c r="K617" t="str">
        <f>PasteBBM!AG617</f>
        <v/>
      </c>
      <c r="L617" t="str">
        <f>PasteBBM!Z617</f>
        <v/>
      </c>
      <c r="M617" t="str">
        <f>PasteBBM!Y617</f>
        <v/>
      </c>
      <c r="N617" t="str">
        <f>PasteBBM!AA617</f>
        <v/>
      </c>
      <c r="O617" t="str">
        <f>PasteBBM!AB617</f>
        <v/>
      </c>
      <c r="P617" t="str">
        <f>PasteBBM!AC617</f>
        <v/>
      </c>
      <c r="Q617" t="str">
        <f>PasteBBM!AD617</f>
        <v/>
      </c>
      <c r="R617" t="str">
        <f>PasteBBM!AI617</f>
        <v/>
      </c>
      <c r="S617" t="str">
        <f>PasteBBM!AE617</f>
        <v/>
      </c>
      <c r="T617" t="str">
        <f>PasteBBM!AG617</f>
        <v/>
      </c>
      <c r="V617" s="44">
        <v>-0.41709</v>
      </c>
      <c r="W617" s="44">
        <v>-0.00658</v>
      </c>
      <c r="X617" s="44">
        <v>0.009207</v>
      </c>
      <c r="Y617" s="44">
        <v>-0.4263</v>
      </c>
      <c r="Z617" s="44">
        <v>-0.34564</v>
      </c>
      <c r="AA617" s="45"/>
      <c r="AB617" s="46" t="s">
        <v>126</v>
      </c>
      <c r="AC617" s="44">
        <v>67.0</v>
      </c>
    </row>
    <row r="618">
      <c r="A618" s="2">
        <v>163.0</v>
      </c>
      <c r="B618" s="14">
        <f>IF(PasteBBM!B618="",156,PasteBBM!B618)</f>
        <v>156</v>
      </c>
      <c r="C618" t="str">
        <f>PasteBBM!I618</f>
        <v/>
      </c>
      <c r="D618" t="str">
        <f>IFERROR(REPLACE(PasteBBM!K618,FIND("/",PasteBBM!K618,1),1,","),PasteBBM!K618)</f>
        <v/>
      </c>
      <c r="E618" t="str">
        <f>PasteBBM!J618</f>
        <v/>
      </c>
      <c r="F618" t="str">
        <f>PasteBBM!U618</f>
        <v/>
      </c>
      <c r="G618" t="str">
        <f>PasteBBM!X618</f>
        <v/>
      </c>
      <c r="H618">
        <f>PasteBBM!AE618*PasteBBM!AF618</f>
        <v>0</v>
      </c>
      <c r="I618" t="str">
        <f>PasteBBM!AE618</f>
        <v/>
      </c>
      <c r="J618">
        <f>PasteBBM!AG618*PasteBBM!AH618</f>
        <v>0</v>
      </c>
      <c r="K618" t="str">
        <f>PasteBBM!AG618</f>
        <v/>
      </c>
      <c r="L618" t="str">
        <f>PasteBBM!Z618</f>
        <v/>
      </c>
      <c r="M618" t="str">
        <f>PasteBBM!Y618</f>
        <v/>
      </c>
      <c r="N618" t="str">
        <f>PasteBBM!AA618</f>
        <v/>
      </c>
      <c r="O618" t="str">
        <f>PasteBBM!AB618</f>
        <v/>
      </c>
      <c r="P618" t="str">
        <f>PasteBBM!AC618</f>
        <v/>
      </c>
      <c r="Q618" t="str">
        <f>PasteBBM!AD618</f>
        <v/>
      </c>
      <c r="R618" t="str">
        <f>PasteBBM!AI618</f>
        <v/>
      </c>
      <c r="S618" t="str">
        <f>PasteBBM!AE618</f>
        <v/>
      </c>
      <c r="T618" t="str">
        <f>PasteBBM!AG618</f>
        <v/>
      </c>
      <c r="V618" s="44">
        <v>-0.41709</v>
      </c>
      <c r="W618" s="44">
        <v>-0.00658</v>
      </c>
      <c r="X618" s="44">
        <v>0.009207</v>
      </c>
      <c r="Y618" s="44">
        <v>-0.4263</v>
      </c>
      <c r="Z618" s="44">
        <v>-0.34564</v>
      </c>
      <c r="AA618" s="45"/>
      <c r="AB618" s="46" t="s">
        <v>126</v>
      </c>
      <c r="AC618" s="44">
        <v>67.0</v>
      </c>
    </row>
    <row r="619">
      <c r="A619" s="2">
        <v>163.0</v>
      </c>
      <c r="B619" s="14">
        <f>IF(PasteBBM!B619="",156,PasteBBM!B619)</f>
        <v>156</v>
      </c>
      <c r="C619" t="str">
        <f>PasteBBM!I619</f>
        <v/>
      </c>
      <c r="D619" t="str">
        <f>IFERROR(REPLACE(PasteBBM!K619,FIND("/",PasteBBM!K619,1),1,","),PasteBBM!K619)</f>
        <v/>
      </c>
      <c r="E619" t="str">
        <f>PasteBBM!J619</f>
        <v/>
      </c>
      <c r="F619" t="str">
        <f>PasteBBM!U619</f>
        <v/>
      </c>
      <c r="G619" t="str">
        <f>PasteBBM!X619</f>
        <v/>
      </c>
      <c r="H619">
        <f>PasteBBM!AE619*PasteBBM!AF619</f>
        <v>0</v>
      </c>
      <c r="I619" t="str">
        <f>PasteBBM!AE619</f>
        <v/>
      </c>
      <c r="J619">
        <f>PasteBBM!AG619*PasteBBM!AH619</f>
        <v>0</v>
      </c>
      <c r="K619" t="str">
        <f>PasteBBM!AG619</f>
        <v/>
      </c>
      <c r="L619" t="str">
        <f>PasteBBM!Z619</f>
        <v/>
      </c>
      <c r="M619" t="str">
        <f>PasteBBM!Y619</f>
        <v/>
      </c>
      <c r="N619" t="str">
        <f>PasteBBM!AA619</f>
        <v/>
      </c>
      <c r="O619" t="str">
        <f>PasteBBM!AB619</f>
        <v/>
      </c>
      <c r="P619" t="str">
        <f>PasteBBM!AC619</f>
        <v/>
      </c>
      <c r="Q619" t="str">
        <f>PasteBBM!AD619</f>
        <v/>
      </c>
      <c r="R619" t="str">
        <f>PasteBBM!AI619</f>
        <v/>
      </c>
      <c r="S619" t="str">
        <f>PasteBBM!AE619</f>
        <v/>
      </c>
      <c r="T619" t="str">
        <f>PasteBBM!AG619</f>
        <v/>
      </c>
      <c r="V619" s="44">
        <v>-0.41709</v>
      </c>
      <c r="W619" s="44">
        <v>-0.00658</v>
      </c>
      <c r="X619" s="44">
        <v>0.009207</v>
      </c>
      <c r="Y619" s="44">
        <v>-0.4263</v>
      </c>
      <c r="Z619" s="44">
        <v>-0.34564</v>
      </c>
      <c r="AA619" s="45"/>
      <c r="AB619" s="46" t="s">
        <v>126</v>
      </c>
      <c r="AC619" s="44">
        <v>67.0</v>
      </c>
    </row>
    <row r="620">
      <c r="A620" s="2">
        <v>163.0</v>
      </c>
      <c r="B620" s="14">
        <f>IF(PasteBBM!B620="",156,PasteBBM!B620)</f>
        <v>156</v>
      </c>
      <c r="C620" t="str">
        <f>PasteBBM!I620</f>
        <v/>
      </c>
      <c r="D620" t="str">
        <f>IFERROR(REPLACE(PasteBBM!K620,FIND("/",PasteBBM!K620,1),1,","),PasteBBM!K620)</f>
        <v/>
      </c>
      <c r="E620" t="str">
        <f>PasteBBM!J620</f>
        <v/>
      </c>
      <c r="F620" t="str">
        <f>PasteBBM!U620</f>
        <v/>
      </c>
      <c r="G620" t="str">
        <f>PasteBBM!X620</f>
        <v/>
      </c>
      <c r="H620">
        <f>PasteBBM!AE620*PasteBBM!AF620</f>
        <v>0</v>
      </c>
      <c r="I620" t="str">
        <f>PasteBBM!AE620</f>
        <v/>
      </c>
      <c r="J620">
        <f>PasteBBM!AG620*PasteBBM!AH620</f>
        <v>0</v>
      </c>
      <c r="K620" t="str">
        <f>PasteBBM!AG620</f>
        <v/>
      </c>
      <c r="L620" t="str">
        <f>PasteBBM!Z620</f>
        <v/>
      </c>
      <c r="M620" t="str">
        <f>PasteBBM!Y620</f>
        <v/>
      </c>
      <c r="N620" t="str">
        <f>PasteBBM!AA620</f>
        <v/>
      </c>
      <c r="O620" t="str">
        <f>PasteBBM!AB620</f>
        <v/>
      </c>
      <c r="P620" t="str">
        <f>PasteBBM!AC620</f>
        <v/>
      </c>
      <c r="Q620" t="str">
        <f>PasteBBM!AD620</f>
        <v/>
      </c>
      <c r="R620" t="str">
        <f>PasteBBM!AI620</f>
        <v/>
      </c>
      <c r="S620" t="str">
        <f>PasteBBM!AE620</f>
        <v/>
      </c>
      <c r="T620" t="str">
        <f>PasteBBM!AG620</f>
        <v/>
      </c>
      <c r="V620" s="44">
        <v>-0.41709</v>
      </c>
      <c r="W620" s="44">
        <v>-0.00658</v>
      </c>
      <c r="X620" s="44">
        <v>0.009207</v>
      </c>
      <c r="Y620" s="44">
        <v>-0.4263</v>
      </c>
      <c r="Z620" s="44">
        <v>-0.34564</v>
      </c>
      <c r="AA620" s="45"/>
      <c r="AB620" s="46" t="s">
        <v>126</v>
      </c>
      <c r="AC620" s="44">
        <v>67.0</v>
      </c>
    </row>
    <row r="621">
      <c r="A621" s="2">
        <v>163.0</v>
      </c>
      <c r="B621" s="14">
        <f>IF(PasteBBM!B621="",156,PasteBBM!B621)</f>
        <v>156</v>
      </c>
      <c r="C621" t="str">
        <f>PasteBBM!I621</f>
        <v/>
      </c>
      <c r="D621" t="str">
        <f>IFERROR(REPLACE(PasteBBM!K621,FIND("/",PasteBBM!K621,1),1,","),PasteBBM!K621)</f>
        <v/>
      </c>
      <c r="E621" t="str">
        <f>PasteBBM!J621</f>
        <v/>
      </c>
      <c r="F621" t="str">
        <f>PasteBBM!U621</f>
        <v/>
      </c>
      <c r="G621" t="str">
        <f>PasteBBM!X621</f>
        <v/>
      </c>
      <c r="H621">
        <f>PasteBBM!AE621*PasteBBM!AF621</f>
        <v>0</v>
      </c>
      <c r="I621" t="str">
        <f>PasteBBM!AE621</f>
        <v/>
      </c>
      <c r="J621">
        <f>PasteBBM!AG621*PasteBBM!AH621</f>
        <v>0</v>
      </c>
      <c r="K621" t="str">
        <f>PasteBBM!AG621</f>
        <v/>
      </c>
      <c r="L621" t="str">
        <f>PasteBBM!Z621</f>
        <v/>
      </c>
      <c r="M621" t="str">
        <f>PasteBBM!Y621</f>
        <v/>
      </c>
      <c r="N621" t="str">
        <f>PasteBBM!AA621</f>
        <v/>
      </c>
      <c r="O621" t="str">
        <f>PasteBBM!AB621</f>
        <v/>
      </c>
      <c r="P621" t="str">
        <f>PasteBBM!AC621</f>
        <v/>
      </c>
      <c r="Q621" t="str">
        <f>PasteBBM!AD621</f>
        <v/>
      </c>
      <c r="R621" t="str">
        <f>PasteBBM!AI621</f>
        <v/>
      </c>
      <c r="S621" t="str">
        <f>PasteBBM!AE621</f>
        <v/>
      </c>
      <c r="T621" t="str">
        <f>PasteBBM!AG621</f>
        <v/>
      </c>
      <c r="V621" s="44">
        <v>-0.41709</v>
      </c>
      <c r="W621" s="44">
        <v>-0.00658</v>
      </c>
      <c r="X621" s="44">
        <v>0.009207</v>
      </c>
      <c r="Y621" s="44">
        <v>-0.4263</v>
      </c>
      <c r="Z621" s="44">
        <v>-0.34564</v>
      </c>
      <c r="AA621" s="45"/>
      <c r="AB621" s="46" t="s">
        <v>126</v>
      </c>
      <c r="AC621" s="44">
        <v>67.0</v>
      </c>
    </row>
    <row r="622">
      <c r="A622" s="2">
        <v>163.0</v>
      </c>
      <c r="B622" s="14">
        <f>IF(PasteBBM!B622="",156,PasteBBM!B622)</f>
        <v>156</v>
      </c>
      <c r="C622" t="str">
        <f>PasteBBM!I622</f>
        <v/>
      </c>
      <c r="D622" t="str">
        <f>IFERROR(REPLACE(PasteBBM!K622,FIND("/",PasteBBM!K622,1),1,","),PasteBBM!K622)</f>
        <v/>
      </c>
      <c r="E622" t="str">
        <f>PasteBBM!J622</f>
        <v/>
      </c>
      <c r="F622" t="str">
        <f>PasteBBM!U622</f>
        <v/>
      </c>
      <c r="G622" t="str">
        <f>PasteBBM!X622</f>
        <v/>
      </c>
      <c r="H622">
        <f>PasteBBM!AE622*PasteBBM!AF622</f>
        <v>0</v>
      </c>
      <c r="I622" t="str">
        <f>PasteBBM!AE622</f>
        <v/>
      </c>
      <c r="J622">
        <f>PasteBBM!AG622*PasteBBM!AH622</f>
        <v>0</v>
      </c>
      <c r="K622" t="str">
        <f>PasteBBM!AG622</f>
        <v/>
      </c>
      <c r="L622" t="str">
        <f>PasteBBM!Z622</f>
        <v/>
      </c>
      <c r="M622" t="str">
        <f>PasteBBM!Y622</f>
        <v/>
      </c>
      <c r="N622" t="str">
        <f>PasteBBM!AA622</f>
        <v/>
      </c>
      <c r="O622" t="str">
        <f>PasteBBM!AB622</f>
        <v/>
      </c>
      <c r="P622" t="str">
        <f>PasteBBM!AC622</f>
        <v/>
      </c>
      <c r="Q622" t="str">
        <f>PasteBBM!AD622</f>
        <v/>
      </c>
      <c r="R622" t="str">
        <f>PasteBBM!AI622</f>
        <v/>
      </c>
      <c r="S622" t="str">
        <f>PasteBBM!AE622</f>
        <v/>
      </c>
      <c r="T622" t="str">
        <f>PasteBBM!AG622</f>
        <v/>
      </c>
      <c r="V622" s="44">
        <v>-0.41709</v>
      </c>
      <c r="W622" s="44">
        <v>-0.00658</v>
      </c>
      <c r="X622" s="44">
        <v>0.009207</v>
      </c>
      <c r="Y622" s="44">
        <v>-0.4263</v>
      </c>
      <c r="Z622" s="44">
        <v>-0.34564</v>
      </c>
      <c r="AA622" s="45"/>
      <c r="AB622" s="46" t="s">
        <v>126</v>
      </c>
      <c r="AC622" s="44">
        <v>67.0</v>
      </c>
    </row>
    <row r="623">
      <c r="A623" s="2">
        <v>163.0</v>
      </c>
      <c r="B623" s="14">
        <f>IF(PasteBBM!B623="",156,PasteBBM!B623)</f>
        <v>156</v>
      </c>
      <c r="C623" t="str">
        <f>PasteBBM!I623</f>
        <v/>
      </c>
      <c r="D623" t="str">
        <f>IFERROR(REPLACE(PasteBBM!K623,FIND("/",PasteBBM!K623,1),1,","),PasteBBM!K623)</f>
        <v/>
      </c>
      <c r="E623" t="str">
        <f>PasteBBM!J623</f>
        <v/>
      </c>
      <c r="F623" t="str">
        <f>PasteBBM!U623</f>
        <v/>
      </c>
      <c r="G623" t="str">
        <f>PasteBBM!X623</f>
        <v/>
      </c>
      <c r="H623">
        <f>PasteBBM!AE623*PasteBBM!AF623</f>
        <v>0</v>
      </c>
      <c r="I623" t="str">
        <f>PasteBBM!AE623</f>
        <v/>
      </c>
      <c r="J623">
        <f>PasteBBM!AG623*PasteBBM!AH623</f>
        <v>0</v>
      </c>
      <c r="K623" t="str">
        <f>PasteBBM!AG623</f>
        <v/>
      </c>
      <c r="L623" t="str">
        <f>PasteBBM!Z623</f>
        <v/>
      </c>
      <c r="M623" t="str">
        <f>PasteBBM!Y623</f>
        <v/>
      </c>
      <c r="N623" t="str">
        <f>PasteBBM!AA623</f>
        <v/>
      </c>
      <c r="O623" t="str">
        <f>PasteBBM!AB623</f>
        <v/>
      </c>
      <c r="P623" t="str">
        <f>PasteBBM!AC623</f>
        <v/>
      </c>
      <c r="Q623" t="str">
        <f>PasteBBM!AD623</f>
        <v/>
      </c>
      <c r="R623" t="str">
        <f>PasteBBM!AI623</f>
        <v/>
      </c>
      <c r="S623" t="str">
        <f>PasteBBM!AE623</f>
        <v/>
      </c>
      <c r="T623" t="str">
        <f>PasteBBM!AG623</f>
        <v/>
      </c>
      <c r="V623" s="44">
        <v>-0.41709</v>
      </c>
      <c r="W623" s="44">
        <v>-0.00658</v>
      </c>
      <c r="X623" s="44">
        <v>0.009207</v>
      </c>
      <c r="Y623" s="44">
        <v>-0.4263</v>
      </c>
      <c r="Z623" s="44">
        <v>-0.34564</v>
      </c>
      <c r="AA623" s="45"/>
      <c r="AB623" s="46" t="s">
        <v>126</v>
      </c>
      <c r="AC623" s="44">
        <v>67.0</v>
      </c>
    </row>
    <row r="624">
      <c r="A624" s="2">
        <v>163.0</v>
      </c>
      <c r="B624" s="14">
        <f>IF(PasteBBM!B624="",156,PasteBBM!B624)</f>
        <v>156</v>
      </c>
      <c r="C624" t="str">
        <f>PasteBBM!I624</f>
        <v/>
      </c>
      <c r="D624" t="str">
        <f>IFERROR(REPLACE(PasteBBM!K624,FIND("/",PasteBBM!K624,1),1,","),PasteBBM!K624)</f>
        <v/>
      </c>
      <c r="E624" t="str">
        <f>PasteBBM!J624</f>
        <v/>
      </c>
      <c r="F624" t="str">
        <f>PasteBBM!U624</f>
        <v/>
      </c>
      <c r="G624" t="str">
        <f>PasteBBM!X624</f>
        <v/>
      </c>
      <c r="H624">
        <f>PasteBBM!AE624*PasteBBM!AF624</f>
        <v>0</v>
      </c>
      <c r="I624" t="str">
        <f>PasteBBM!AE624</f>
        <v/>
      </c>
      <c r="J624">
        <f>PasteBBM!AG624*PasteBBM!AH624</f>
        <v>0</v>
      </c>
      <c r="K624" t="str">
        <f>PasteBBM!AG624</f>
        <v/>
      </c>
      <c r="L624" t="str">
        <f>PasteBBM!Z624</f>
        <v/>
      </c>
      <c r="M624" t="str">
        <f>PasteBBM!Y624</f>
        <v/>
      </c>
      <c r="N624" t="str">
        <f>PasteBBM!AA624</f>
        <v/>
      </c>
      <c r="O624" t="str">
        <f>PasteBBM!AB624</f>
        <v/>
      </c>
      <c r="P624" t="str">
        <f>PasteBBM!AC624</f>
        <v/>
      </c>
      <c r="Q624" t="str">
        <f>PasteBBM!AD624</f>
        <v/>
      </c>
      <c r="R624" t="str">
        <f>PasteBBM!AI624</f>
        <v/>
      </c>
      <c r="S624" t="str">
        <f>PasteBBM!AE624</f>
        <v/>
      </c>
      <c r="T624" t="str">
        <f>PasteBBM!AG624</f>
        <v/>
      </c>
      <c r="V624" s="44">
        <v>-0.41709</v>
      </c>
      <c r="W624" s="44">
        <v>-0.00658</v>
      </c>
      <c r="X624" s="44">
        <v>0.009207</v>
      </c>
      <c r="Y624" s="44">
        <v>-0.4263</v>
      </c>
      <c r="Z624" s="44">
        <v>-0.34564</v>
      </c>
      <c r="AA624" s="45"/>
      <c r="AB624" s="46" t="s">
        <v>126</v>
      </c>
      <c r="AC624" s="44">
        <v>67.0</v>
      </c>
    </row>
    <row r="625">
      <c r="A625" s="2">
        <v>163.0</v>
      </c>
      <c r="B625" s="14">
        <f>IF(PasteBBM!B625="",156,PasteBBM!B625)</f>
        <v>156</v>
      </c>
      <c r="C625" t="str">
        <f>PasteBBM!I625</f>
        <v/>
      </c>
      <c r="D625" t="str">
        <f>IFERROR(REPLACE(PasteBBM!K625,FIND("/",PasteBBM!K625,1),1,","),PasteBBM!K625)</f>
        <v/>
      </c>
      <c r="E625" t="str">
        <f>PasteBBM!J625</f>
        <v/>
      </c>
      <c r="F625" t="str">
        <f>PasteBBM!U625</f>
        <v/>
      </c>
      <c r="G625" t="str">
        <f>PasteBBM!X625</f>
        <v/>
      </c>
      <c r="H625">
        <f>PasteBBM!AE625*PasteBBM!AF625</f>
        <v>0</v>
      </c>
      <c r="I625" t="str">
        <f>PasteBBM!AE625</f>
        <v/>
      </c>
      <c r="J625">
        <f>PasteBBM!AG625*PasteBBM!AH625</f>
        <v>0</v>
      </c>
      <c r="K625" t="str">
        <f>PasteBBM!AG625</f>
        <v/>
      </c>
      <c r="L625" t="str">
        <f>PasteBBM!Z625</f>
        <v/>
      </c>
      <c r="M625" t="str">
        <f>PasteBBM!Y625</f>
        <v/>
      </c>
      <c r="N625" t="str">
        <f>PasteBBM!AA625</f>
        <v/>
      </c>
      <c r="O625" t="str">
        <f>PasteBBM!AB625</f>
        <v/>
      </c>
      <c r="P625" t="str">
        <f>PasteBBM!AC625</f>
        <v/>
      </c>
      <c r="Q625" t="str">
        <f>PasteBBM!AD625</f>
        <v/>
      </c>
      <c r="R625" t="str">
        <f>PasteBBM!AI625</f>
        <v/>
      </c>
      <c r="S625" t="str">
        <f>PasteBBM!AE625</f>
        <v/>
      </c>
      <c r="T625" t="str">
        <f>PasteBBM!AG625</f>
        <v/>
      </c>
      <c r="V625" s="44">
        <v>-0.41709</v>
      </c>
      <c r="W625" s="44">
        <v>-0.00658</v>
      </c>
      <c r="X625" s="44">
        <v>0.009207</v>
      </c>
      <c r="Y625" s="44">
        <v>-0.4263</v>
      </c>
      <c r="Z625" s="44">
        <v>-0.34564</v>
      </c>
      <c r="AA625" s="45"/>
      <c r="AB625" s="46" t="s">
        <v>126</v>
      </c>
      <c r="AC625" s="44">
        <v>67.0</v>
      </c>
    </row>
    <row r="626">
      <c r="A626" s="2">
        <v>163.0</v>
      </c>
      <c r="B626" s="14">
        <f>IF(PasteBBM!B626="",156,PasteBBM!B626)</f>
        <v>156</v>
      </c>
      <c r="C626" t="str">
        <f>PasteBBM!I626</f>
        <v/>
      </c>
      <c r="D626" t="str">
        <f>IFERROR(REPLACE(PasteBBM!K626,FIND("/",PasteBBM!K626,1),1,","),PasteBBM!K626)</f>
        <v/>
      </c>
      <c r="E626" t="str">
        <f>PasteBBM!J626</f>
        <v/>
      </c>
      <c r="F626" t="str">
        <f>PasteBBM!U626</f>
        <v/>
      </c>
      <c r="G626" t="str">
        <f>PasteBBM!X626</f>
        <v/>
      </c>
      <c r="H626">
        <f>PasteBBM!AE626*PasteBBM!AF626</f>
        <v>0</v>
      </c>
      <c r="I626" t="str">
        <f>PasteBBM!AE626</f>
        <v/>
      </c>
      <c r="J626">
        <f>PasteBBM!AG626*PasteBBM!AH626</f>
        <v>0</v>
      </c>
      <c r="K626" t="str">
        <f>PasteBBM!AG626</f>
        <v/>
      </c>
      <c r="L626" t="str">
        <f>PasteBBM!Z626</f>
        <v/>
      </c>
      <c r="M626" t="str">
        <f>PasteBBM!Y626</f>
        <v/>
      </c>
      <c r="N626" t="str">
        <f>PasteBBM!AA626</f>
        <v/>
      </c>
      <c r="O626" t="str">
        <f>PasteBBM!AB626</f>
        <v/>
      </c>
      <c r="P626" t="str">
        <f>PasteBBM!AC626</f>
        <v/>
      </c>
      <c r="Q626" t="str">
        <f>PasteBBM!AD626</f>
        <v/>
      </c>
      <c r="R626" t="str">
        <f>PasteBBM!AI626</f>
        <v/>
      </c>
      <c r="S626" t="str">
        <f>PasteBBM!AE626</f>
        <v/>
      </c>
      <c r="T626" t="str">
        <f>PasteBBM!AG626</f>
        <v/>
      </c>
      <c r="V626" s="44">
        <v>-0.41709</v>
      </c>
      <c r="W626" s="44">
        <v>-0.00658</v>
      </c>
      <c r="X626" s="44">
        <v>0.009207</v>
      </c>
      <c r="Y626" s="44">
        <v>-0.4263</v>
      </c>
      <c r="Z626" s="44">
        <v>-0.34564</v>
      </c>
      <c r="AA626" s="45"/>
      <c r="AB626" s="46" t="s">
        <v>126</v>
      </c>
      <c r="AC626" s="44">
        <v>67.0</v>
      </c>
    </row>
    <row r="627">
      <c r="A627" s="2">
        <v>163.0</v>
      </c>
      <c r="B627" s="14">
        <f>IF(PasteBBM!B627="",156,PasteBBM!B627)</f>
        <v>156</v>
      </c>
      <c r="C627" t="str">
        <f>PasteBBM!I627</f>
        <v/>
      </c>
      <c r="D627" t="str">
        <f>IFERROR(REPLACE(PasteBBM!K627,FIND("/",PasteBBM!K627,1),1,","),PasteBBM!K627)</f>
        <v/>
      </c>
      <c r="E627" t="str">
        <f>PasteBBM!J627</f>
        <v/>
      </c>
      <c r="F627" t="str">
        <f>PasteBBM!U627</f>
        <v/>
      </c>
      <c r="G627" t="str">
        <f>PasteBBM!X627</f>
        <v/>
      </c>
      <c r="H627">
        <f>PasteBBM!AE627*PasteBBM!AF627</f>
        <v>0</v>
      </c>
      <c r="I627" t="str">
        <f>PasteBBM!AE627</f>
        <v/>
      </c>
      <c r="J627">
        <f>PasteBBM!AG627*PasteBBM!AH627</f>
        <v>0</v>
      </c>
      <c r="K627" t="str">
        <f>PasteBBM!AG627</f>
        <v/>
      </c>
      <c r="L627" t="str">
        <f>PasteBBM!Z627</f>
        <v/>
      </c>
      <c r="M627" t="str">
        <f>PasteBBM!Y627</f>
        <v/>
      </c>
      <c r="N627" t="str">
        <f>PasteBBM!AA627</f>
        <v/>
      </c>
      <c r="O627" t="str">
        <f>PasteBBM!AB627</f>
        <v/>
      </c>
      <c r="P627" t="str">
        <f>PasteBBM!AC627</f>
        <v/>
      </c>
      <c r="Q627" t="str">
        <f>PasteBBM!AD627</f>
        <v/>
      </c>
      <c r="R627" t="str">
        <f>PasteBBM!AI627</f>
        <v/>
      </c>
      <c r="S627" t="str">
        <f>PasteBBM!AE627</f>
        <v/>
      </c>
      <c r="T627" t="str">
        <f>PasteBBM!AG627</f>
        <v/>
      </c>
      <c r="V627" s="44">
        <v>-0.41709</v>
      </c>
      <c r="W627" s="44">
        <v>-0.00658</v>
      </c>
      <c r="X627" s="44">
        <v>0.009207</v>
      </c>
      <c r="Y627" s="44">
        <v>-0.4263</v>
      </c>
      <c r="Z627" s="44">
        <v>-0.34564</v>
      </c>
      <c r="AA627" s="45"/>
      <c r="AB627" s="46" t="s">
        <v>126</v>
      </c>
      <c r="AC627" s="44">
        <v>67.0</v>
      </c>
    </row>
    <row r="628">
      <c r="A628" s="2">
        <v>163.0</v>
      </c>
      <c r="B628" s="14">
        <f>IF(PasteBBM!B628="",156,PasteBBM!B628)</f>
        <v>156</v>
      </c>
      <c r="C628" t="str">
        <f>PasteBBM!I628</f>
        <v/>
      </c>
      <c r="D628" t="str">
        <f>IFERROR(REPLACE(PasteBBM!K628,FIND("/",PasteBBM!K628,1),1,","),PasteBBM!K628)</f>
        <v/>
      </c>
      <c r="E628" t="str">
        <f>PasteBBM!J628</f>
        <v/>
      </c>
      <c r="F628" t="str">
        <f>PasteBBM!U628</f>
        <v/>
      </c>
      <c r="G628" t="str">
        <f>PasteBBM!X628</f>
        <v/>
      </c>
      <c r="H628">
        <f>PasteBBM!AE628*PasteBBM!AF628</f>
        <v>0</v>
      </c>
      <c r="I628" t="str">
        <f>PasteBBM!AE628</f>
        <v/>
      </c>
      <c r="J628">
        <f>PasteBBM!AG628*PasteBBM!AH628</f>
        <v>0</v>
      </c>
      <c r="K628" t="str">
        <f>PasteBBM!AG628</f>
        <v/>
      </c>
      <c r="L628" t="str">
        <f>PasteBBM!Z628</f>
        <v/>
      </c>
      <c r="M628" t="str">
        <f>PasteBBM!Y628</f>
        <v/>
      </c>
      <c r="N628" t="str">
        <f>PasteBBM!AA628</f>
        <v/>
      </c>
      <c r="O628" t="str">
        <f>PasteBBM!AB628</f>
        <v/>
      </c>
      <c r="P628" t="str">
        <f>PasteBBM!AC628</f>
        <v/>
      </c>
      <c r="Q628" t="str">
        <f>PasteBBM!AD628</f>
        <v/>
      </c>
      <c r="R628" t="str">
        <f>PasteBBM!AI628</f>
        <v/>
      </c>
      <c r="S628" t="str">
        <f>PasteBBM!AE628</f>
        <v/>
      </c>
      <c r="T628" t="str">
        <f>PasteBBM!AG628</f>
        <v/>
      </c>
      <c r="V628" s="44">
        <v>-0.41709</v>
      </c>
      <c r="W628" s="44">
        <v>-0.00658</v>
      </c>
      <c r="X628" s="44">
        <v>0.009207</v>
      </c>
      <c r="Y628" s="44">
        <v>-0.4263</v>
      </c>
      <c r="Z628" s="44">
        <v>-0.34564</v>
      </c>
      <c r="AA628" s="45"/>
      <c r="AB628" s="46" t="s">
        <v>126</v>
      </c>
      <c r="AC628" s="44">
        <v>67.0</v>
      </c>
    </row>
    <row r="629">
      <c r="A629" s="2">
        <v>163.0</v>
      </c>
      <c r="B629" s="14">
        <f>IF(PasteBBM!B629="",156,PasteBBM!B629)</f>
        <v>156</v>
      </c>
      <c r="C629" t="str">
        <f>PasteBBM!I629</f>
        <v/>
      </c>
      <c r="D629" t="str">
        <f>IFERROR(REPLACE(PasteBBM!K629,FIND("/",PasteBBM!K629,1),1,","),PasteBBM!K629)</f>
        <v/>
      </c>
      <c r="E629" t="str">
        <f>PasteBBM!J629</f>
        <v/>
      </c>
      <c r="F629" t="str">
        <f>PasteBBM!U629</f>
        <v/>
      </c>
      <c r="G629" t="str">
        <f>PasteBBM!X629</f>
        <v/>
      </c>
      <c r="H629">
        <f>PasteBBM!AE629*PasteBBM!AF629</f>
        <v>0</v>
      </c>
      <c r="I629" t="str">
        <f>PasteBBM!AE629</f>
        <v/>
      </c>
      <c r="J629">
        <f>PasteBBM!AG629*PasteBBM!AH629</f>
        <v>0</v>
      </c>
      <c r="K629" t="str">
        <f>PasteBBM!AG629</f>
        <v/>
      </c>
      <c r="L629" t="str">
        <f>PasteBBM!Z629</f>
        <v/>
      </c>
      <c r="M629" t="str">
        <f>PasteBBM!Y629</f>
        <v/>
      </c>
      <c r="N629" t="str">
        <f>PasteBBM!AA629</f>
        <v/>
      </c>
      <c r="O629" t="str">
        <f>PasteBBM!AB629</f>
        <v/>
      </c>
      <c r="P629" t="str">
        <f>PasteBBM!AC629</f>
        <v/>
      </c>
      <c r="Q629" t="str">
        <f>PasteBBM!AD629</f>
        <v/>
      </c>
      <c r="R629" t="str">
        <f>PasteBBM!AI629</f>
        <v/>
      </c>
      <c r="S629" t="str">
        <f>PasteBBM!AE629</f>
        <v/>
      </c>
      <c r="T629" t="str">
        <f>PasteBBM!AG629</f>
        <v/>
      </c>
      <c r="V629" s="44">
        <v>-0.41709</v>
      </c>
      <c r="W629" s="44">
        <v>-0.00658</v>
      </c>
      <c r="X629" s="44">
        <v>0.009207</v>
      </c>
      <c r="Y629" s="44">
        <v>-0.4263</v>
      </c>
      <c r="Z629" s="44">
        <v>-0.34564</v>
      </c>
      <c r="AA629" s="45"/>
      <c r="AB629" s="46" t="s">
        <v>126</v>
      </c>
      <c r="AC629" s="44">
        <v>67.0</v>
      </c>
    </row>
    <row r="630">
      <c r="A630" s="2">
        <v>163.0</v>
      </c>
      <c r="B630" s="14">
        <f>IF(PasteBBM!B630="",156,PasteBBM!B630)</f>
        <v>156</v>
      </c>
      <c r="C630" t="str">
        <f>PasteBBM!I630</f>
        <v/>
      </c>
      <c r="D630" t="str">
        <f>IFERROR(REPLACE(PasteBBM!K630,FIND("/",PasteBBM!K630,1),1,","),PasteBBM!K630)</f>
        <v/>
      </c>
      <c r="E630" t="str">
        <f>PasteBBM!J630</f>
        <v/>
      </c>
      <c r="F630" t="str">
        <f>PasteBBM!U630</f>
        <v/>
      </c>
      <c r="G630" t="str">
        <f>PasteBBM!X630</f>
        <v/>
      </c>
      <c r="H630">
        <f>PasteBBM!AE630*PasteBBM!AF630</f>
        <v>0</v>
      </c>
      <c r="I630" t="str">
        <f>PasteBBM!AE630</f>
        <v/>
      </c>
      <c r="J630">
        <f>PasteBBM!AG630*PasteBBM!AH630</f>
        <v>0</v>
      </c>
      <c r="K630" t="str">
        <f>PasteBBM!AG630</f>
        <v/>
      </c>
      <c r="L630" t="str">
        <f>PasteBBM!Z630</f>
        <v/>
      </c>
      <c r="M630" t="str">
        <f>PasteBBM!Y630</f>
        <v/>
      </c>
      <c r="N630" t="str">
        <f>PasteBBM!AA630</f>
        <v/>
      </c>
      <c r="O630" t="str">
        <f>PasteBBM!AB630</f>
        <v/>
      </c>
      <c r="P630" t="str">
        <f>PasteBBM!AC630</f>
        <v/>
      </c>
      <c r="Q630" t="str">
        <f>PasteBBM!AD630</f>
        <v/>
      </c>
      <c r="R630" t="str">
        <f>PasteBBM!AI630</f>
        <v/>
      </c>
      <c r="S630" t="str">
        <f>PasteBBM!AE630</f>
        <v/>
      </c>
      <c r="T630" t="str">
        <f>PasteBBM!AG630</f>
        <v/>
      </c>
      <c r="V630" s="44">
        <v>-0.41709</v>
      </c>
      <c r="W630" s="44">
        <v>-0.00658</v>
      </c>
      <c r="X630" s="44">
        <v>0.009207</v>
      </c>
      <c r="Y630" s="44">
        <v>-0.4263</v>
      </c>
      <c r="Z630" s="44">
        <v>-0.34564</v>
      </c>
      <c r="AA630" s="45"/>
      <c r="AB630" s="46" t="s">
        <v>126</v>
      </c>
      <c r="AC630" s="44">
        <v>67.0</v>
      </c>
    </row>
    <row r="631">
      <c r="A631" s="2">
        <v>163.0</v>
      </c>
      <c r="B631" s="14">
        <f>IF(PasteBBM!B631="",156,PasteBBM!B631)</f>
        <v>156</v>
      </c>
      <c r="C631" t="str">
        <f>PasteBBM!I631</f>
        <v/>
      </c>
      <c r="D631" t="str">
        <f>IFERROR(REPLACE(PasteBBM!K631,FIND("/",PasteBBM!K631,1),1,","),PasteBBM!K631)</f>
        <v/>
      </c>
      <c r="E631" t="str">
        <f>PasteBBM!J631</f>
        <v/>
      </c>
      <c r="F631" t="str">
        <f>PasteBBM!U631</f>
        <v/>
      </c>
      <c r="G631" t="str">
        <f>PasteBBM!X631</f>
        <v/>
      </c>
      <c r="H631">
        <f>PasteBBM!AE631*PasteBBM!AF631</f>
        <v>0</v>
      </c>
      <c r="I631" t="str">
        <f>PasteBBM!AE631</f>
        <v/>
      </c>
      <c r="J631">
        <f>PasteBBM!AG631*PasteBBM!AH631</f>
        <v>0</v>
      </c>
      <c r="K631" t="str">
        <f>PasteBBM!AG631</f>
        <v/>
      </c>
      <c r="L631" t="str">
        <f>PasteBBM!Z631</f>
        <v/>
      </c>
      <c r="M631" t="str">
        <f>PasteBBM!Y631</f>
        <v/>
      </c>
      <c r="N631" t="str">
        <f>PasteBBM!AA631</f>
        <v/>
      </c>
      <c r="O631" t="str">
        <f>PasteBBM!AB631</f>
        <v/>
      </c>
      <c r="P631" t="str">
        <f>PasteBBM!AC631</f>
        <v/>
      </c>
      <c r="Q631" t="str">
        <f>PasteBBM!AD631</f>
        <v/>
      </c>
      <c r="R631" t="str">
        <f>PasteBBM!AI631</f>
        <v/>
      </c>
      <c r="S631" t="str">
        <f>PasteBBM!AE631</f>
        <v/>
      </c>
      <c r="T631" t="str">
        <f>PasteBBM!AG631</f>
        <v/>
      </c>
      <c r="V631" s="44">
        <v>-0.41709</v>
      </c>
      <c r="W631" s="44">
        <v>-0.00658</v>
      </c>
      <c r="X631" s="44">
        <v>0.009207</v>
      </c>
      <c r="Y631" s="44">
        <v>-0.4263</v>
      </c>
      <c r="Z631" s="44">
        <v>-0.34564</v>
      </c>
      <c r="AA631" s="45"/>
      <c r="AB631" s="46" t="s">
        <v>126</v>
      </c>
      <c r="AC631" s="44">
        <v>67.0</v>
      </c>
    </row>
    <row r="632">
      <c r="A632" s="2">
        <v>163.0</v>
      </c>
      <c r="B632" s="14">
        <f>IF(PasteBBM!B632="",156,PasteBBM!B632)</f>
        <v>156</v>
      </c>
      <c r="C632" t="str">
        <f>PasteBBM!I632</f>
        <v/>
      </c>
      <c r="D632" t="str">
        <f>IFERROR(REPLACE(PasteBBM!K632,FIND("/",PasteBBM!K632,1),1,","),PasteBBM!K632)</f>
        <v/>
      </c>
      <c r="E632" t="str">
        <f>PasteBBM!J632</f>
        <v/>
      </c>
      <c r="F632" t="str">
        <f>PasteBBM!U632</f>
        <v/>
      </c>
      <c r="G632" t="str">
        <f>PasteBBM!X632</f>
        <v/>
      </c>
      <c r="H632">
        <f>PasteBBM!AE632*PasteBBM!AF632</f>
        <v>0</v>
      </c>
      <c r="I632" t="str">
        <f>PasteBBM!AE632</f>
        <v/>
      </c>
      <c r="J632">
        <f>PasteBBM!AG632*PasteBBM!AH632</f>
        <v>0</v>
      </c>
      <c r="K632" t="str">
        <f>PasteBBM!AG632</f>
        <v/>
      </c>
      <c r="L632" t="str">
        <f>PasteBBM!Z632</f>
        <v/>
      </c>
      <c r="M632" t="str">
        <f>PasteBBM!Y632</f>
        <v/>
      </c>
      <c r="N632" t="str">
        <f>PasteBBM!AA632</f>
        <v/>
      </c>
      <c r="O632" t="str">
        <f>PasteBBM!AB632</f>
        <v/>
      </c>
      <c r="P632" t="str">
        <f>PasteBBM!AC632</f>
        <v/>
      </c>
      <c r="Q632" t="str">
        <f>PasteBBM!AD632</f>
        <v/>
      </c>
      <c r="R632" t="str">
        <f>PasteBBM!AI632</f>
        <v/>
      </c>
      <c r="S632" t="str">
        <f>PasteBBM!AE632</f>
        <v/>
      </c>
      <c r="T632" t="str">
        <f>PasteBBM!AG632</f>
        <v/>
      </c>
      <c r="V632" s="44">
        <v>-0.41709</v>
      </c>
      <c r="W632" s="44">
        <v>-0.00658</v>
      </c>
      <c r="X632" s="44">
        <v>0.009207</v>
      </c>
      <c r="Y632" s="44">
        <v>-0.4263</v>
      </c>
      <c r="Z632" s="44">
        <v>-0.34564</v>
      </c>
      <c r="AA632" s="45"/>
      <c r="AB632" s="46" t="s">
        <v>126</v>
      </c>
      <c r="AC632" s="44">
        <v>67.0</v>
      </c>
    </row>
    <row r="633">
      <c r="A633" s="2">
        <v>163.0</v>
      </c>
      <c r="B633" s="14">
        <f>IF(PasteBBM!B633="",156,PasteBBM!B633)</f>
        <v>156</v>
      </c>
      <c r="C633" t="str">
        <f>PasteBBM!I633</f>
        <v/>
      </c>
      <c r="D633" t="str">
        <f>IFERROR(REPLACE(PasteBBM!K633,FIND("/",PasteBBM!K633,1),1,","),PasteBBM!K633)</f>
        <v/>
      </c>
      <c r="E633" t="str">
        <f>PasteBBM!J633</f>
        <v/>
      </c>
      <c r="F633" t="str">
        <f>PasteBBM!U633</f>
        <v/>
      </c>
      <c r="G633" t="str">
        <f>PasteBBM!X633</f>
        <v/>
      </c>
      <c r="H633">
        <f>PasteBBM!AE633*PasteBBM!AF633</f>
        <v>0</v>
      </c>
      <c r="I633" t="str">
        <f>PasteBBM!AE633</f>
        <v/>
      </c>
      <c r="J633">
        <f>PasteBBM!AG633*PasteBBM!AH633</f>
        <v>0</v>
      </c>
      <c r="K633" t="str">
        <f>PasteBBM!AG633</f>
        <v/>
      </c>
      <c r="L633" t="str">
        <f>PasteBBM!Z633</f>
        <v/>
      </c>
      <c r="M633" t="str">
        <f>PasteBBM!Y633</f>
        <v/>
      </c>
      <c r="N633" t="str">
        <f>PasteBBM!AA633</f>
        <v/>
      </c>
      <c r="O633" t="str">
        <f>PasteBBM!AB633</f>
        <v/>
      </c>
      <c r="P633" t="str">
        <f>PasteBBM!AC633</f>
        <v/>
      </c>
      <c r="Q633" t="str">
        <f>PasteBBM!AD633</f>
        <v/>
      </c>
      <c r="R633" t="str">
        <f>PasteBBM!AI633</f>
        <v/>
      </c>
      <c r="S633" t="str">
        <f>PasteBBM!AE633</f>
        <v/>
      </c>
      <c r="T633" t="str">
        <f>PasteBBM!AG633</f>
        <v/>
      </c>
      <c r="V633" s="44">
        <v>-0.41709</v>
      </c>
      <c r="W633" s="44">
        <v>-0.00658</v>
      </c>
      <c r="X633" s="44">
        <v>0.009207</v>
      </c>
      <c r="Y633" s="44">
        <v>-0.4263</v>
      </c>
      <c r="Z633" s="44">
        <v>-0.34564</v>
      </c>
      <c r="AA633" s="45"/>
      <c r="AB633" s="46" t="s">
        <v>126</v>
      </c>
      <c r="AC633" s="44">
        <v>67.0</v>
      </c>
    </row>
    <row r="634">
      <c r="A634" s="2">
        <v>163.0</v>
      </c>
      <c r="B634" s="14">
        <f>IF(PasteBBM!B634="",156,PasteBBM!B634)</f>
        <v>156</v>
      </c>
      <c r="C634" t="str">
        <f>PasteBBM!I634</f>
        <v/>
      </c>
      <c r="D634" t="str">
        <f>IFERROR(REPLACE(PasteBBM!K634,FIND("/",PasteBBM!K634,1),1,","),PasteBBM!K634)</f>
        <v/>
      </c>
      <c r="E634" t="str">
        <f>PasteBBM!J634</f>
        <v/>
      </c>
      <c r="F634" t="str">
        <f>PasteBBM!U634</f>
        <v/>
      </c>
      <c r="G634" t="str">
        <f>PasteBBM!X634</f>
        <v/>
      </c>
      <c r="H634">
        <f>PasteBBM!AE634*PasteBBM!AF634</f>
        <v>0</v>
      </c>
      <c r="I634" t="str">
        <f>PasteBBM!AE634</f>
        <v/>
      </c>
      <c r="J634">
        <f>PasteBBM!AG634*PasteBBM!AH634</f>
        <v>0</v>
      </c>
      <c r="K634" t="str">
        <f>PasteBBM!AG634</f>
        <v/>
      </c>
      <c r="L634" t="str">
        <f>PasteBBM!Z634</f>
        <v/>
      </c>
      <c r="M634" t="str">
        <f>PasteBBM!Y634</f>
        <v/>
      </c>
      <c r="N634" t="str">
        <f>PasteBBM!AA634</f>
        <v/>
      </c>
      <c r="O634" t="str">
        <f>PasteBBM!AB634</f>
        <v/>
      </c>
      <c r="P634" t="str">
        <f>PasteBBM!AC634</f>
        <v/>
      </c>
      <c r="Q634" t="str">
        <f>PasteBBM!AD634</f>
        <v/>
      </c>
      <c r="R634" t="str">
        <f>PasteBBM!AI634</f>
        <v/>
      </c>
      <c r="S634" t="str">
        <f>PasteBBM!AE634</f>
        <v/>
      </c>
      <c r="T634" t="str">
        <f>PasteBBM!AG634</f>
        <v/>
      </c>
      <c r="V634" s="44">
        <v>-0.41709</v>
      </c>
      <c r="W634" s="44">
        <v>-0.00658</v>
      </c>
      <c r="X634" s="44">
        <v>0.009207</v>
      </c>
      <c r="Y634" s="44">
        <v>-0.4263</v>
      </c>
      <c r="Z634" s="44">
        <v>-0.34564</v>
      </c>
      <c r="AA634" s="45"/>
      <c r="AB634" s="46" t="s">
        <v>126</v>
      </c>
      <c r="AC634" s="44">
        <v>67.0</v>
      </c>
    </row>
    <row r="635">
      <c r="A635" s="2">
        <v>163.0</v>
      </c>
      <c r="B635" s="14">
        <f>IF(PasteBBM!B635="",156,PasteBBM!B635)</f>
        <v>156</v>
      </c>
      <c r="C635" t="str">
        <f>PasteBBM!I635</f>
        <v/>
      </c>
      <c r="D635" t="str">
        <f>IFERROR(REPLACE(PasteBBM!K635,FIND("/",PasteBBM!K635,1),1,","),PasteBBM!K635)</f>
        <v/>
      </c>
      <c r="E635" t="str">
        <f>PasteBBM!J635</f>
        <v/>
      </c>
      <c r="F635" t="str">
        <f>PasteBBM!U635</f>
        <v/>
      </c>
      <c r="G635" t="str">
        <f>PasteBBM!X635</f>
        <v/>
      </c>
      <c r="H635">
        <f>PasteBBM!AE635*PasteBBM!AF635</f>
        <v>0</v>
      </c>
      <c r="I635" t="str">
        <f>PasteBBM!AE635</f>
        <v/>
      </c>
      <c r="J635">
        <f>PasteBBM!AG635*PasteBBM!AH635</f>
        <v>0</v>
      </c>
      <c r="K635" t="str">
        <f>PasteBBM!AG635</f>
        <v/>
      </c>
      <c r="L635" t="str">
        <f>PasteBBM!Z635</f>
        <v/>
      </c>
      <c r="M635" t="str">
        <f>PasteBBM!Y635</f>
        <v/>
      </c>
      <c r="N635" t="str">
        <f>PasteBBM!AA635</f>
        <v/>
      </c>
      <c r="O635" t="str">
        <f>PasteBBM!AB635</f>
        <v/>
      </c>
      <c r="P635" t="str">
        <f>PasteBBM!AC635</f>
        <v/>
      </c>
      <c r="Q635" t="str">
        <f>PasteBBM!AD635</f>
        <v/>
      </c>
      <c r="R635" t="str">
        <f>PasteBBM!AI635</f>
        <v/>
      </c>
      <c r="S635" t="str">
        <f>PasteBBM!AE635</f>
        <v/>
      </c>
      <c r="T635" t="str">
        <f>PasteBBM!AG635</f>
        <v/>
      </c>
      <c r="V635" s="44">
        <v>-0.41709</v>
      </c>
      <c r="W635" s="44">
        <v>-0.00658</v>
      </c>
      <c r="X635" s="44">
        <v>0.009207</v>
      </c>
      <c r="Y635" s="44">
        <v>-0.4263</v>
      </c>
      <c r="Z635" s="44">
        <v>-0.34564</v>
      </c>
      <c r="AA635" s="45"/>
      <c r="AB635" s="46" t="s">
        <v>126</v>
      </c>
      <c r="AC635" s="44">
        <v>67.0</v>
      </c>
    </row>
    <row r="636">
      <c r="A636" s="2">
        <v>163.0</v>
      </c>
      <c r="B636" s="14">
        <f>IF(PasteBBM!B636="",156,PasteBBM!B636)</f>
        <v>156</v>
      </c>
      <c r="C636" t="str">
        <f>PasteBBM!I636</f>
        <v/>
      </c>
      <c r="D636" t="str">
        <f>IFERROR(REPLACE(PasteBBM!K636,FIND("/",PasteBBM!K636,1),1,","),PasteBBM!K636)</f>
        <v/>
      </c>
      <c r="E636" t="str">
        <f>PasteBBM!J636</f>
        <v/>
      </c>
      <c r="F636" t="str">
        <f>PasteBBM!U636</f>
        <v/>
      </c>
      <c r="G636" t="str">
        <f>PasteBBM!X636</f>
        <v/>
      </c>
      <c r="H636">
        <f>PasteBBM!AE636*PasteBBM!AF636</f>
        <v>0</v>
      </c>
      <c r="I636" t="str">
        <f>PasteBBM!AE636</f>
        <v/>
      </c>
      <c r="J636">
        <f>PasteBBM!AG636*PasteBBM!AH636</f>
        <v>0</v>
      </c>
      <c r="K636" t="str">
        <f>PasteBBM!AG636</f>
        <v/>
      </c>
      <c r="L636" t="str">
        <f>PasteBBM!Z636</f>
        <v/>
      </c>
      <c r="M636" t="str">
        <f>PasteBBM!Y636</f>
        <v/>
      </c>
      <c r="N636" t="str">
        <f>PasteBBM!AA636</f>
        <v/>
      </c>
      <c r="O636" t="str">
        <f>PasteBBM!AB636</f>
        <v/>
      </c>
      <c r="P636" t="str">
        <f>PasteBBM!AC636</f>
        <v/>
      </c>
      <c r="Q636" t="str">
        <f>PasteBBM!AD636</f>
        <v/>
      </c>
      <c r="R636" t="str">
        <f>PasteBBM!AI636</f>
        <v/>
      </c>
      <c r="S636" t="str">
        <f>PasteBBM!AE636</f>
        <v/>
      </c>
      <c r="T636" t="str">
        <f>PasteBBM!AG636</f>
        <v/>
      </c>
      <c r="V636" s="44">
        <v>-0.41709</v>
      </c>
      <c r="W636" s="44">
        <v>-0.00658</v>
      </c>
      <c r="X636" s="44">
        <v>0.009207</v>
      </c>
      <c r="Y636" s="44">
        <v>-0.4263</v>
      </c>
      <c r="Z636" s="44">
        <v>-0.34564</v>
      </c>
      <c r="AA636" s="45"/>
      <c r="AB636" s="46" t="s">
        <v>126</v>
      </c>
      <c r="AC636" s="44">
        <v>67.0</v>
      </c>
    </row>
    <row r="637">
      <c r="A637" s="2">
        <v>163.0</v>
      </c>
      <c r="B637" s="14">
        <f>IF(PasteBBM!B637="",156,PasteBBM!B637)</f>
        <v>156</v>
      </c>
      <c r="C637" t="str">
        <f>PasteBBM!I637</f>
        <v/>
      </c>
      <c r="D637" t="str">
        <f>IFERROR(REPLACE(PasteBBM!K637,FIND("/",PasteBBM!K637,1),1,","),PasteBBM!K637)</f>
        <v/>
      </c>
      <c r="E637" t="str">
        <f>PasteBBM!J637</f>
        <v/>
      </c>
      <c r="F637" t="str">
        <f>PasteBBM!U637</f>
        <v/>
      </c>
      <c r="G637" t="str">
        <f>PasteBBM!X637</f>
        <v/>
      </c>
      <c r="H637">
        <f>PasteBBM!AE637*PasteBBM!AF637</f>
        <v>0</v>
      </c>
      <c r="I637" t="str">
        <f>PasteBBM!AE637</f>
        <v/>
      </c>
      <c r="J637">
        <f>PasteBBM!AG637*PasteBBM!AH637</f>
        <v>0</v>
      </c>
      <c r="K637" t="str">
        <f>PasteBBM!AG637</f>
        <v/>
      </c>
      <c r="L637" t="str">
        <f>PasteBBM!Z637</f>
        <v/>
      </c>
      <c r="M637" t="str">
        <f>PasteBBM!Y637</f>
        <v/>
      </c>
      <c r="N637" t="str">
        <f>PasteBBM!AA637</f>
        <v/>
      </c>
      <c r="O637" t="str">
        <f>PasteBBM!AB637</f>
        <v/>
      </c>
      <c r="P637" t="str">
        <f>PasteBBM!AC637</f>
        <v/>
      </c>
      <c r="Q637" t="str">
        <f>PasteBBM!AD637</f>
        <v/>
      </c>
      <c r="R637" t="str">
        <f>PasteBBM!AI637</f>
        <v/>
      </c>
      <c r="S637" t="str">
        <f>PasteBBM!AE637</f>
        <v/>
      </c>
      <c r="T637" t="str">
        <f>PasteBBM!AG637</f>
        <v/>
      </c>
      <c r="V637" s="44">
        <v>-0.41709</v>
      </c>
      <c r="W637" s="44">
        <v>-0.00658</v>
      </c>
      <c r="X637" s="44">
        <v>0.009207</v>
      </c>
      <c r="Y637" s="44">
        <v>-0.4263</v>
      </c>
      <c r="Z637" s="44">
        <v>-0.34564</v>
      </c>
      <c r="AA637" s="45"/>
      <c r="AB637" s="46" t="s">
        <v>126</v>
      </c>
      <c r="AC637" s="44">
        <v>67.0</v>
      </c>
    </row>
    <row r="638">
      <c r="A638" s="2">
        <v>163.0</v>
      </c>
      <c r="B638" s="14">
        <f>IF(PasteBBM!B638="",156,PasteBBM!B638)</f>
        <v>156</v>
      </c>
      <c r="C638" t="str">
        <f>PasteBBM!I638</f>
        <v/>
      </c>
      <c r="D638" t="str">
        <f>IFERROR(REPLACE(PasteBBM!K638,FIND("/",PasteBBM!K638,1),1,","),PasteBBM!K638)</f>
        <v/>
      </c>
      <c r="E638" t="str">
        <f>PasteBBM!J638</f>
        <v/>
      </c>
      <c r="F638" t="str">
        <f>PasteBBM!U638</f>
        <v/>
      </c>
      <c r="G638" t="str">
        <f>PasteBBM!X638</f>
        <v/>
      </c>
      <c r="H638">
        <f>PasteBBM!AE638*PasteBBM!AF638</f>
        <v>0</v>
      </c>
      <c r="I638" t="str">
        <f>PasteBBM!AE638</f>
        <v/>
      </c>
      <c r="J638">
        <f>PasteBBM!AG638*PasteBBM!AH638</f>
        <v>0</v>
      </c>
      <c r="K638" t="str">
        <f>PasteBBM!AG638</f>
        <v/>
      </c>
      <c r="L638" t="str">
        <f>PasteBBM!Z638</f>
        <v/>
      </c>
      <c r="M638" t="str">
        <f>PasteBBM!Y638</f>
        <v/>
      </c>
      <c r="N638" t="str">
        <f>PasteBBM!AA638</f>
        <v/>
      </c>
      <c r="O638" t="str">
        <f>PasteBBM!AB638</f>
        <v/>
      </c>
      <c r="P638" t="str">
        <f>PasteBBM!AC638</f>
        <v/>
      </c>
      <c r="Q638" t="str">
        <f>PasteBBM!AD638</f>
        <v/>
      </c>
      <c r="R638" t="str">
        <f>PasteBBM!AI638</f>
        <v/>
      </c>
      <c r="S638" t="str">
        <f>PasteBBM!AE638</f>
        <v/>
      </c>
      <c r="T638" t="str">
        <f>PasteBBM!AG638</f>
        <v/>
      </c>
      <c r="V638" s="44">
        <v>-0.41709</v>
      </c>
      <c r="W638" s="44">
        <v>-0.00658</v>
      </c>
      <c r="X638" s="44">
        <v>0.009207</v>
      </c>
      <c r="Y638" s="44">
        <v>-0.4263</v>
      </c>
      <c r="Z638" s="44">
        <v>-0.34564</v>
      </c>
      <c r="AA638" s="45"/>
      <c r="AB638" s="46" t="s">
        <v>126</v>
      </c>
      <c r="AC638" s="44">
        <v>67.0</v>
      </c>
    </row>
    <row r="639">
      <c r="A639" s="2">
        <v>163.0</v>
      </c>
      <c r="B639" s="14">
        <f>IF(PasteBBM!B639="",156,PasteBBM!B639)</f>
        <v>156</v>
      </c>
      <c r="C639" t="str">
        <f>PasteBBM!I639</f>
        <v/>
      </c>
      <c r="D639" t="str">
        <f>IFERROR(REPLACE(PasteBBM!K639,FIND("/",PasteBBM!K639,1),1,","),PasteBBM!K639)</f>
        <v/>
      </c>
      <c r="E639" t="str">
        <f>PasteBBM!J639</f>
        <v/>
      </c>
      <c r="F639" t="str">
        <f>PasteBBM!U639</f>
        <v/>
      </c>
      <c r="G639" t="str">
        <f>PasteBBM!X639</f>
        <v/>
      </c>
      <c r="H639">
        <f>PasteBBM!AE639*PasteBBM!AF639</f>
        <v>0</v>
      </c>
      <c r="I639" t="str">
        <f>PasteBBM!AE639</f>
        <v/>
      </c>
      <c r="J639">
        <f>PasteBBM!AG639*PasteBBM!AH639</f>
        <v>0</v>
      </c>
      <c r="K639" t="str">
        <f>PasteBBM!AG639</f>
        <v/>
      </c>
      <c r="L639" t="str">
        <f>PasteBBM!Z639</f>
        <v/>
      </c>
      <c r="M639" t="str">
        <f>PasteBBM!Y639</f>
        <v/>
      </c>
      <c r="N639" t="str">
        <f>PasteBBM!AA639</f>
        <v/>
      </c>
      <c r="O639" t="str">
        <f>PasteBBM!AB639</f>
        <v/>
      </c>
      <c r="P639" t="str">
        <f>PasteBBM!AC639</f>
        <v/>
      </c>
      <c r="Q639" t="str">
        <f>PasteBBM!AD639</f>
        <v/>
      </c>
      <c r="R639" t="str">
        <f>PasteBBM!AI639</f>
        <v/>
      </c>
      <c r="S639" t="str">
        <f>PasteBBM!AE639</f>
        <v/>
      </c>
      <c r="T639" t="str">
        <f>PasteBBM!AG639</f>
        <v/>
      </c>
      <c r="V639" s="44">
        <v>-0.41709</v>
      </c>
      <c r="W639" s="44">
        <v>-0.00658</v>
      </c>
      <c r="X639" s="44">
        <v>0.009207</v>
      </c>
      <c r="Y639" s="44">
        <v>-0.4263</v>
      </c>
      <c r="Z639" s="44">
        <v>-0.34564</v>
      </c>
      <c r="AA639" s="45"/>
      <c r="AB639" s="46" t="s">
        <v>126</v>
      </c>
      <c r="AC639" s="44">
        <v>67.0</v>
      </c>
    </row>
    <row r="640">
      <c r="A640" s="2">
        <v>163.0</v>
      </c>
      <c r="B640" s="14">
        <f>IF(PasteBBM!B640="",156,PasteBBM!B640)</f>
        <v>156</v>
      </c>
      <c r="C640" t="str">
        <f>PasteBBM!I640</f>
        <v/>
      </c>
      <c r="D640" t="str">
        <f>IFERROR(REPLACE(PasteBBM!K640,FIND("/",PasteBBM!K640,1),1,","),PasteBBM!K640)</f>
        <v/>
      </c>
      <c r="E640" t="str">
        <f>PasteBBM!J640</f>
        <v/>
      </c>
      <c r="F640" t="str">
        <f>PasteBBM!U640</f>
        <v/>
      </c>
      <c r="G640" t="str">
        <f>PasteBBM!X640</f>
        <v/>
      </c>
      <c r="H640">
        <f>PasteBBM!AE640*PasteBBM!AF640</f>
        <v>0</v>
      </c>
      <c r="I640" t="str">
        <f>PasteBBM!AE640</f>
        <v/>
      </c>
      <c r="J640">
        <f>PasteBBM!AG640*PasteBBM!AH640</f>
        <v>0</v>
      </c>
      <c r="K640" t="str">
        <f>PasteBBM!AG640</f>
        <v/>
      </c>
      <c r="L640" t="str">
        <f>PasteBBM!Z640</f>
        <v/>
      </c>
      <c r="M640" t="str">
        <f>PasteBBM!Y640</f>
        <v/>
      </c>
      <c r="N640" t="str">
        <f>PasteBBM!AA640</f>
        <v/>
      </c>
      <c r="O640" t="str">
        <f>PasteBBM!AB640</f>
        <v/>
      </c>
      <c r="P640" t="str">
        <f>PasteBBM!AC640</f>
        <v/>
      </c>
      <c r="Q640" t="str">
        <f>PasteBBM!AD640</f>
        <v/>
      </c>
      <c r="R640" t="str">
        <f>PasteBBM!AI640</f>
        <v/>
      </c>
      <c r="S640" t="str">
        <f>PasteBBM!AE640</f>
        <v/>
      </c>
      <c r="T640" t="str">
        <f>PasteBBM!AG640</f>
        <v/>
      </c>
      <c r="V640" s="44">
        <v>-0.41709</v>
      </c>
      <c r="W640" s="44">
        <v>-0.00658</v>
      </c>
      <c r="X640" s="44">
        <v>0.009207</v>
      </c>
      <c r="Y640" s="44">
        <v>-0.4263</v>
      </c>
      <c r="Z640" s="44">
        <v>-0.34564</v>
      </c>
      <c r="AA640" s="45"/>
      <c r="AB640" s="46" t="s">
        <v>126</v>
      </c>
      <c r="AC640" s="44">
        <v>67.0</v>
      </c>
    </row>
    <row r="641">
      <c r="A641" s="2">
        <v>163.0</v>
      </c>
      <c r="B641" s="14">
        <f>IF(PasteBBM!B641="",156,PasteBBM!B641)</f>
        <v>156</v>
      </c>
      <c r="C641" t="str">
        <f>PasteBBM!I641</f>
        <v/>
      </c>
      <c r="D641" t="str">
        <f>IFERROR(REPLACE(PasteBBM!K641,FIND("/",PasteBBM!K641,1),1,","),PasteBBM!K641)</f>
        <v/>
      </c>
      <c r="E641" t="str">
        <f>PasteBBM!J641</f>
        <v/>
      </c>
      <c r="F641" t="str">
        <f>PasteBBM!U641</f>
        <v/>
      </c>
      <c r="G641" t="str">
        <f>PasteBBM!X641</f>
        <v/>
      </c>
      <c r="H641">
        <f>PasteBBM!AE641*PasteBBM!AF641</f>
        <v>0</v>
      </c>
      <c r="I641" t="str">
        <f>PasteBBM!AE641</f>
        <v/>
      </c>
      <c r="J641">
        <f>PasteBBM!AG641*PasteBBM!AH641</f>
        <v>0</v>
      </c>
      <c r="K641" t="str">
        <f>PasteBBM!AG641</f>
        <v/>
      </c>
      <c r="L641" t="str">
        <f>PasteBBM!Z641</f>
        <v/>
      </c>
      <c r="M641" t="str">
        <f>PasteBBM!Y641</f>
        <v/>
      </c>
      <c r="N641" t="str">
        <f>PasteBBM!AA641</f>
        <v/>
      </c>
      <c r="O641" t="str">
        <f>PasteBBM!AB641</f>
        <v/>
      </c>
      <c r="P641" t="str">
        <f>PasteBBM!AC641</f>
        <v/>
      </c>
      <c r="Q641" t="str">
        <f>PasteBBM!AD641</f>
        <v/>
      </c>
      <c r="R641" t="str">
        <f>PasteBBM!AI641</f>
        <v/>
      </c>
      <c r="S641" t="str">
        <f>PasteBBM!AE641</f>
        <v/>
      </c>
      <c r="T641" t="str">
        <f>PasteBBM!AG641</f>
        <v/>
      </c>
      <c r="V641" s="44">
        <v>-0.41709</v>
      </c>
      <c r="W641" s="44">
        <v>-0.00658</v>
      </c>
      <c r="X641" s="44">
        <v>0.009207</v>
      </c>
      <c r="Y641" s="44">
        <v>-0.4263</v>
      </c>
      <c r="Z641" s="44">
        <v>-0.34564</v>
      </c>
      <c r="AA641" s="45"/>
      <c r="AB641" s="46" t="s">
        <v>126</v>
      </c>
      <c r="AC641" s="44">
        <v>67.0</v>
      </c>
    </row>
    <row r="642">
      <c r="A642" s="2">
        <v>163.0</v>
      </c>
      <c r="B642" s="14">
        <f>IF(PasteBBM!B642="",156,PasteBBM!B642)</f>
        <v>156</v>
      </c>
      <c r="C642" t="str">
        <f>PasteBBM!I642</f>
        <v/>
      </c>
      <c r="D642" t="str">
        <f>IFERROR(REPLACE(PasteBBM!K642,FIND("/",PasteBBM!K642,1),1,","),PasteBBM!K642)</f>
        <v/>
      </c>
      <c r="E642" t="str">
        <f>PasteBBM!J642</f>
        <v/>
      </c>
      <c r="F642" t="str">
        <f>PasteBBM!U642</f>
        <v/>
      </c>
      <c r="G642" t="str">
        <f>PasteBBM!X642</f>
        <v/>
      </c>
      <c r="H642">
        <f>PasteBBM!AE642*PasteBBM!AF642</f>
        <v>0</v>
      </c>
      <c r="I642" t="str">
        <f>PasteBBM!AE642</f>
        <v/>
      </c>
      <c r="J642">
        <f>PasteBBM!AG642*PasteBBM!AH642</f>
        <v>0</v>
      </c>
      <c r="K642" t="str">
        <f>PasteBBM!AG642</f>
        <v/>
      </c>
      <c r="L642" t="str">
        <f>PasteBBM!Z642</f>
        <v/>
      </c>
      <c r="M642" t="str">
        <f>PasteBBM!Y642</f>
        <v/>
      </c>
      <c r="N642" t="str">
        <f>PasteBBM!AA642</f>
        <v/>
      </c>
      <c r="O642" t="str">
        <f>PasteBBM!AB642</f>
        <v/>
      </c>
      <c r="P642" t="str">
        <f>PasteBBM!AC642</f>
        <v/>
      </c>
      <c r="Q642" t="str">
        <f>PasteBBM!AD642</f>
        <v/>
      </c>
      <c r="R642" t="str">
        <f>PasteBBM!AI642</f>
        <v/>
      </c>
      <c r="S642" t="str">
        <f>PasteBBM!AE642</f>
        <v/>
      </c>
      <c r="T642" t="str">
        <f>PasteBBM!AG642</f>
        <v/>
      </c>
      <c r="V642" s="44">
        <v>-0.41709</v>
      </c>
      <c r="W642" s="44">
        <v>-0.00658</v>
      </c>
      <c r="X642" s="44">
        <v>0.009207</v>
      </c>
      <c r="Y642" s="44">
        <v>-0.4263</v>
      </c>
      <c r="Z642" s="44">
        <v>-0.34564</v>
      </c>
      <c r="AA642" s="45"/>
      <c r="AB642" s="46" t="s">
        <v>126</v>
      </c>
      <c r="AC642" s="44">
        <v>67.0</v>
      </c>
    </row>
    <row r="643">
      <c r="A643" s="2">
        <v>163.0</v>
      </c>
      <c r="B643" s="14">
        <f>IF(PasteBBM!B643="",156,PasteBBM!B643)</f>
        <v>156</v>
      </c>
      <c r="C643" t="str">
        <f>PasteBBM!I643</f>
        <v/>
      </c>
      <c r="D643" t="str">
        <f>IFERROR(REPLACE(PasteBBM!K643,FIND("/",PasteBBM!K643,1),1,","),PasteBBM!K643)</f>
        <v/>
      </c>
      <c r="E643" t="str">
        <f>PasteBBM!J643</f>
        <v/>
      </c>
      <c r="F643" t="str">
        <f>PasteBBM!U643</f>
        <v/>
      </c>
      <c r="G643" t="str">
        <f>PasteBBM!X643</f>
        <v/>
      </c>
      <c r="H643">
        <f>PasteBBM!AE643*PasteBBM!AF643</f>
        <v>0</v>
      </c>
      <c r="I643" t="str">
        <f>PasteBBM!AE643</f>
        <v/>
      </c>
      <c r="J643">
        <f>PasteBBM!AG643*PasteBBM!AH643</f>
        <v>0</v>
      </c>
      <c r="K643" t="str">
        <f>PasteBBM!AG643</f>
        <v/>
      </c>
      <c r="L643" t="str">
        <f>PasteBBM!Z643</f>
        <v/>
      </c>
      <c r="M643" t="str">
        <f>PasteBBM!Y643</f>
        <v/>
      </c>
      <c r="N643" t="str">
        <f>PasteBBM!AA643</f>
        <v/>
      </c>
      <c r="O643" t="str">
        <f>PasteBBM!AB643</f>
        <v/>
      </c>
      <c r="P643" t="str">
        <f>PasteBBM!AC643</f>
        <v/>
      </c>
      <c r="Q643" t="str">
        <f>PasteBBM!AD643</f>
        <v/>
      </c>
      <c r="R643" t="str">
        <f>PasteBBM!AI643</f>
        <v/>
      </c>
      <c r="S643" t="str">
        <f>PasteBBM!AE643</f>
        <v/>
      </c>
      <c r="T643" t="str">
        <f>PasteBBM!AG643</f>
        <v/>
      </c>
      <c r="V643" s="44">
        <v>-0.41709</v>
      </c>
      <c r="W643" s="44">
        <v>-0.00658</v>
      </c>
      <c r="X643" s="44">
        <v>0.009207</v>
      </c>
      <c r="Y643" s="44">
        <v>-0.4263</v>
      </c>
      <c r="Z643" s="44">
        <v>-0.34564</v>
      </c>
      <c r="AA643" s="45"/>
      <c r="AB643" s="46" t="s">
        <v>126</v>
      </c>
      <c r="AC643" s="44">
        <v>67.0</v>
      </c>
    </row>
    <row r="644">
      <c r="A644" s="2">
        <v>163.0</v>
      </c>
      <c r="B644" s="14">
        <f>IF(PasteBBM!B644="",156,PasteBBM!B644)</f>
        <v>156</v>
      </c>
      <c r="C644" t="str">
        <f>PasteBBM!I644</f>
        <v/>
      </c>
      <c r="D644" t="str">
        <f>IFERROR(REPLACE(PasteBBM!K644,FIND("/",PasteBBM!K644,1),1,","),PasteBBM!K644)</f>
        <v/>
      </c>
      <c r="E644" t="str">
        <f>PasteBBM!J644</f>
        <v/>
      </c>
      <c r="F644" t="str">
        <f>PasteBBM!U644</f>
        <v/>
      </c>
      <c r="G644" t="str">
        <f>PasteBBM!X644</f>
        <v/>
      </c>
      <c r="H644">
        <f>PasteBBM!AE644*PasteBBM!AF644</f>
        <v>0</v>
      </c>
      <c r="I644" t="str">
        <f>PasteBBM!AE644</f>
        <v/>
      </c>
      <c r="J644">
        <f>PasteBBM!AG644*PasteBBM!AH644</f>
        <v>0</v>
      </c>
      <c r="K644" t="str">
        <f>PasteBBM!AG644</f>
        <v/>
      </c>
      <c r="L644" t="str">
        <f>PasteBBM!Z644</f>
        <v/>
      </c>
      <c r="M644" t="str">
        <f>PasteBBM!Y644</f>
        <v/>
      </c>
      <c r="N644" t="str">
        <f>PasteBBM!AA644</f>
        <v/>
      </c>
      <c r="O644" t="str">
        <f>PasteBBM!AB644</f>
        <v/>
      </c>
      <c r="P644" t="str">
        <f>PasteBBM!AC644</f>
        <v/>
      </c>
      <c r="Q644" t="str">
        <f>PasteBBM!AD644</f>
        <v/>
      </c>
      <c r="R644" t="str">
        <f>PasteBBM!AI644</f>
        <v/>
      </c>
      <c r="S644" t="str">
        <f>PasteBBM!AE644</f>
        <v/>
      </c>
      <c r="T644" t="str">
        <f>PasteBBM!AG644</f>
        <v/>
      </c>
      <c r="V644" s="44">
        <v>-0.41709</v>
      </c>
      <c r="W644" s="44">
        <v>-0.00658</v>
      </c>
      <c r="X644" s="44">
        <v>0.009207</v>
      </c>
      <c r="Y644" s="44">
        <v>-0.4263</v>
      </c>
      <c r="Z644" s="44">
        <v>-0.34564</v>
      </c>
      <c r="AA644" s="45"/>
      <c r="AB644" s="46" t="s">
        <v>126</v>
      </c>
      <c r="AC644" s="44">
        <v>67.0</v>
      </c>
    </row>
    <row r="645">
      <c r="A645" s="2">
        <v>163.0</v>
      </c>
      <c r="B645" s="14">
        <f>IF(PasteBBM!B645="",156,PasteBBM!B645)</f>
        <v>156</v>
      </c>
      <c r="C645" t="str">
        <f>PasteBBM!I645</f>
        <v/>
      </c>
      <c r="D645" t="str">
        <f>IFERROR(REPLACE(PasteBBM!K645,FIND("/",PasteBBM!K645,1),1,","),PasteBBM!K645)</f>
        <v/>
      </c>
      <c r="E645" t="str">
        <f>PasteBBM!J645</f>
        <v/>
      </c>
      <c r="F645" t="str">
        <f>PasteBBM!U645</f>
        <v/>
      </c>
      <c r="G645" t="str">
        <f>PasteBBM!X645</f>
        <v/>
      </c>
      <c r="H645">
        <f>PasteBBM!AE645*PasteBBM!AF645</f>
        <v>0</v>
      </c>
      <c r="I645" t="str">
        <f>PasteBBM!AE645</f>
        <v/>
      </c>
      <c r="J645">
        <f>PasteBBM!AG645*PasteBBM!AH645</f>
        <v>0</v>
      </c>
      <c r="K645" t="str">
        <f>PasteBBM!AG645</f>
        <v/>
      </c>
      <c r="L645" t="str">
        <f>PasteBBM!Z645</f>
        <v/>
      </c>
      <c r="M645" t="str">
        <f>PasteBBM!Y645</f>
        <v/>
      </c>
      <c r="N645" t="str">
        <f>PasteBBM!AA645</f>
        <v/>
      </c>
      <c r="O645" t="str">
        <f>PasteBBM!AB645</f>
        <v/>
      </c>
      <c r="P645" t="str">
        <f>PasteBBM!AC645</f>
        <v/>
      </c>
      <c r="Q645" t="str">
        <f>PasteBBM!AD645</f>
        <v/>
      </c>
      <c r="R645" t="str">
        <f>PasteBBM!AI645</f>
        <v/>
      </c>
      <c r="S645" t="str">
        <f>PasteBBM!AE645</f>
        <v/>
      </c>
      <c r="T645" t="str">
        <f>PasteBBM!AG645</f>
        <v/>
      </c>
      <c r="V645" s="44">
        <v>-0.41709</v>
      </c>
      <c r="W645" s="44">
        <v>-0.00658</v>
      </c>
      <c r="X645" s="44">
        <v>0.009207</v>
      </c>
      <c r="Y645" s="44">
        <v>-0.4263</v>
      </c>
      <c r="Z645" s="44">
        <v>-0.34564</v>
      </c>
      <c r="AA645" s="45"/>
      <c r="AB645" s="46" t="s">
        <v>126</v>
      </c>
      <c r="AC645" s="44">
        <v>67.0</v>
      </c>
    </row>
    <row r="646">
      <c r="A646" s="2">
        <v>163.0</v>
      </c>
      <c r="B646" s="14">
        <f>IF(PasteBBM!B646="",156,PasteBBM!B646)</f>
        <v>156</v>
      </c>
      <c r="C646" t="str">
        <f>PasteBBM!I646</f>
        <v/>
      </c>
      <c r="D646" t="str">
        <f>IFERROR(REPLACE(PasteBBM!K646,FIND("/",PasteBBM!K646,1),1,","),PasteBBM!K646)</f>
        <v/>
      </c>
      <c r="E646" t="str">
        <f>PasteBBM!J646</f>
        <v/>
      </c>
      <c r="F646" t="str">
        <f>PasteBBM!U646</f>
        <v/>
      </c>
      <c r="G646" t="str">
        <f>PasteBBM!X646</f>
        <v/>
      </c>
      <c r="H646">
        <f>PasteBBM!AE646*PasteBBM!AF646</f>
        <v>0</v>
      </c>
      <c r="I646" t="str">
        <f>PasteBBM!AE646</f>
        <v/>
      </c>
      <c r="J646">
        <f>PasteBBM!AG646*PasteBBM!AH646</f>
        <v>0</v>
      </c>
      <c r="K646" t="str">
        <f>PasteBBM!AG646</f>
        <v/>
      </c>
      <c r="L646" t="str">
        <f>PasteBBM!Z646</f>
        <v/>
      </c>
      <c r="M646" t="str">
        <f>PasteBBM!Y646</f>
        <v/>
      </c>
      <c r="N646" t="str">
        <f>PasteBBM!AA646</f>
        <v/>
      </c>
      <c r="O646" t="str">
        <f>PasteBBM!AB646</f>
        <v/>
      </c>
      <c r="P646" t="str">
        <f>PasteBBM!AC646</f>
        <v/>
      </c>
      <c r="Q646" t="str">
        <f>PasteBBM!AD646</f>
        <v/>
      </c>
      <c r="R646" t="str">
        <f>PasteBBM!AI646</f>
        <v/>
      </c>
      <c r="S646" t="str">
        <f>PasteBBM!AE646</f>
        <v/>
      </c>
      <c r="T646" t="str">
        <f>PasteBBM!AG646</f>
        <v/>
      </c>
      <c r="V646" s="44">
        <v>-0.41709</v>
      </c>
      <c r="W646" s="44">
        <v>-0.00658</v>
      </c>
      <c r="X646" s="44">
        <v>0.009207</v>
      </c>
      <c r="Y646" s="44">
        <v>-0.4263</v>
      </c>
      <c r="Z646" s="44">
        <v>-0.34564</v>
      </c>
      <c r="AA646" s="45"/>
      <c r="AB646" s="46" t="s">
        <v>126</v>
      </c>
      <c r="AC646" s="44">
        <v>67.0</v>
      </c>
    </row>
    <row r="647">
      <c r="A647" s="2">
        <v>163.0</v>
      </c>
      <c r="B647" s="14">
        <f>IF(PasteBBM!B647="",156,PasteBBM!B647)</f>
        <v>156</v>
      </c>
      <c r="C647" t="str">
        <f>PasteBBM!I647</f>
        <v/>
      </c>
      <c r="D647" t="str">
        <f>IFERROR(REPLACE(PasteBBM!K647,FIND("/",PasteBBM!K647,1),1,","),PasteBBM!K647)</f>
        <v/>
      </c>
      <c r="E647" t="str">
        <f>PasteBBM!J647</f>
        <v/>
      </c>
      <c r="F647" t="str">
        <f>PasteBBM!U647</f>
        <v/>
      </c>
      <c r="G647" t="str">
        <f>PasteBBM!X647</f>
        <v/>
      </c>
      <c r="H647">
        <f>PasteBBM!AE647*PasteBBM!AF647</f>
        <v>0</v>
      </c>
      <c r="I647" t="str">
        <f>PasteBBM!AE647</f>
        <v/>
      </c>
      <c r="J647">
        <f>PasteBBM!AG647*PasteBBM!AH647</f>
        <v>0</v>
      </c>
      <c r="K647" t="str">
        <f>PasteBBM!AG647</f>
        <v/>
      </c>
      <c r="L647" t="str">
        <f>PasteBBM!Z647</f>
        <v/>
      </c>
      <c r="M647" t="str">
        <f>PasteBBM!Y647</f>
        <v/>
      </c>
      <c r="N647" t="str">
        <f>PasteBBM!AA647</f>
        <v/>
      </c>
      <c r="O647" t="str">
        <f>PasteBBM!AB647</f>
        <v/>
      </c>
      <c r="P647" t="str">
        <f>PasteBBM!AC647</f>
        <v/>
      </c>
      <c r="Q647" t="str">
        <f>PasteBBM!AD647</f>
        <v/>
      </c>
      <c r="R647" t="str">
        <f>PasteBBM!AI647</f>
        <v/>
      </c>
      <c r="S647" t="str">
        <f>PasteBBM!AE647</f>
        <v/>
      </c>
      <c r="T647" t="str">
        <f>PasteBBM!AG647</f>
        <v/>
      </c>
      <c r="V647" s="44">
        <v>-0.41709</v>
      </c>
      <c r="W647" s="44">
        <v>-0.00658</v>
      </c>
      <c r="X647" s="44">
        <v>0.009207</v>
      </c>
      <c r="Y647" s="44">
        <v>-0.4263</v>
      </c>
      <c r="Z647" s="44">
        <v>-0.34564</v>
      </c>
      <c r="AA647" s="45"/>
      <c r="AB647" s="46" t="s">
        <v>126</v>
      </c>
      <c r="AC647" s="44">
        <v>67.0</v>
      </c>
    </row>
    <row r="648">
      <c r="A648" s="2">
        <v>163.0</v>
      </c>
      <c r="B648" s="14">
        <f>IF(PasteBBM!B648="",156,PasteBBM!B648)</f>
        <v>156</v>
      </c>
      <c r="C648" t="str">
        <f>PasteBBM!I648</f>
        <v/>
      </c>
      <c r="D648" t="str">
        <f>IFERROR(REPLACE(PasteBBM!K648,FIND("/",PasteBBM!K648,1),1,","),PasteBBM!K648)</f>
        <v/>
      </c>
      <c r="E648" t="str">
        <f>PasteBBM!J648</f>
        <v/>
      </c>
      <c r="F648" t="str">
        <f>PasteBBM!U648</f>
        <v/>
      </c>
      <c r="G648" t="str">
        <f>PasteBBM!X648</f>
        <v/>
      </c>
      <c r="H648">
        <f>PasteBBM!AE648*PasteBBM!AF648</f>
        <v>0</v>
      </c>
      <c r="I648" t="str">
        <f>PasteBBM!AE648</f>
        <v/>
      </c>
      <c r="J648">
        <f>PasteBBM!AG648*PasteBBM!AH648</f>
        <v>0</v>
      </c>
      <c r="K648" t="str">
        <f>PasteBBM!AG648</f>
        <v/>
      </c>
      <c r="L648" t="str">
        <f>PasteBBM!Z648</f>
        <v/>
      </c>
      <c r="M648" t="str">
        <f>PasteBBM!Y648</f>
        <v/>
      </c>
      <c r="N648" t="str">
        <f>PasteBBM!AA648</f>
        <v/>
      </c>
      <c r="O648" t="str">
        <f>PasteBBM!AB648</f>
        <v/>
      </c>
      <c r="P648" t="str">
        <f>PasteBBM!AC648</f>
        <v/>
      </c>
      <c r="Q648" t="str">
        <f>PasteBBM!AD648</f>
        <v/>
      </c>
      <c r="R648" t="str">
        <f>PasteBBM!AI648</f>
        <v/>
      </c>
      <c r="S648" t="str">
        <f>PasteBBM!AE648</f>
        <v/>
      </c>
      <c r="T648" t="str">
        <f>PasteBBM!AG648</f>
        <v/>
      </c>
      <c r="V648" s="44">
        <v>-0.41709</v>
      </c>
      <c r="W648" s="44">
        <v>-0.00658</v>
      </c>
      <c r="X648" s="44">
        <v>0.009207</v>
      </c>
      <c r="Y648" s="44">
        <v>-0.4263</v>
      </c>
      <c r="Z648" s="44">
        <v>-0.34564</v>
      </c>
      <c r="AA648" s="45"/>
      <c r="AB648" s="46" t="s">
        <v>126</v>
      </c>
      <c r="AC648" s="44">
        <v>67.0</v>
      </c>
    </row>
    <row r="649">
      <c r="A649" s="2">
        <v>163.0</v>
      </c>
      <c r="B649" s="14">
        <f>IF(PasteBBM!B649="",156,PasteBBM!B649)</f>
        <v>156</v>
      </c>
      <c r="C649" t="str">
        <f>PasteBBM!I649</f>
        <v/>
      </c>
      <c r="D649" t="str">
        <f>IFERROR(REPLACE(PasteBBM!K649,FIND("/",PasteBBM!K649,1),1,","),PasteBBM!K649)</f>
        <v/>
      </c>
      <c r="E649" t="str">
        <f>PasteBBM!J649</f>
        <v/>
      </c>
      <c r="F649" t="str">
        <f>PasteBBM!U649</f>
        <v/>
      </c>
      <c r="G649" t="str">
        <f>PasteBBM!X649</f>
        <v/>
      </c>
      <c r="H649">
        <f>PasteBBM!AE649*PasteBBM!AF649</f>
        <v>0</v>
      </c>
      <c r="I649" t="str">
        <f>PasteBBM!AE649</f>
        <v/>
      </c>
      <c r="J649">
        <f>PasteBBM!AG649*PasteBBM!AH649</f>
        <v>0</v>
      </c>
      <c r="K649" t="str">
        <f>PasteBBM!AG649</f>
        <v/>
      </c>
      <c r="L649" t="str">
        <f>PasteBBM!Z649</f>
        <v/>
      </c>
      <c r="M649" t="str">
        <f>PasteBBM!Y649</f>
        <v/>
      </c>
      <c r="N649" t="str">
        <f>PasteBBM!AA649</f>
        <v/>
      </c>
      <c r="O649" t="str">
        <f>PasteBBM!AB649</f>
        <v/>
      </c>
      <c r="P649" t="str">
        <f>PasteBBM!AC649</f>
        <v/>
      </c>
      <c r="Q649" t="str">
        <f>PasteBBM!AD649</f>
        <v/>
      </c>
      <c r="R649" t="str">
        <f>PasteBBM!AI649</f>
        <v/>
      </c>
      <c r="S649" t="str">
        <f>PasteBBM!AE649</f>
        <v/>
      </c>
      <c r="T649" t="str">
        <f>PasteBBM!AG649</f>
        <v/>
      </c>
      <c r="V649" s="44">
        <v>-0.41709</v>
      </c>
      <c r="W649" s="44">
        <v>-0.00658</v>
      </c>
      <c r="X649" s="44">
        <v>0.009207</v>
      </c>
      <c r="Y649" s="44">
        <v>-0.4263</v>
      </c>
      <c r="Z649" s="44">
        <v>-0.34564</v>
      </c>
      <c r="AA649" s="45"/>
      <c r="AB649" s="46" t="s">
        <v>126</v>
      </c>
      <c r="AC649" s="44">
        <v>67.0</v>
      </c>
    </row>
    <row r="650">
      <c r="A650" s="2">
        <v>163.0</v>
      </c>
      <c r="B650" s="14">
        <f>IF(PasteBBM!B650="",156,PasteBBM!B650)</f>
        <v>156</v>
      </c>
      <c r="C650" t="str">
        <f>PasteBBM!I650</f>
        <v/>
      </c>
      <c r="D650" t="str">
        <f>IFERROR(REPLACE(PasteBBM!K650,FIND("/",PasteBBM!K650,1),1,","),PasteBBM!K650)</f>
        <v/>
      </c>
      <c r="E650" t="str">
        <f>PasteBBM!J650</f>
        <v/>
      </c>
      <c r="F650" t="str">
        <f>PasteBBM!U650</f>
        <v/>
      </c>
      <c r="G650" t="str">
        <f>PasteBBM!X650</f>
        <v/>
      </c>
      <c r="H650">
        <f>PasteBBM!AE650*PasteBBM!AF650</f>
        <v>0</v>
      </c>
      <c r="I650" t="str">
        <f>PasteBBM!AE650</f>
        <v/>
      </c>
      <c r="J650">
        <f>PasteBBM!AG650*PasteBBM!AH650</f>
        <v>0</v>
      </c>
      <c r="K650" t="str">
        <f>PasteBBM!AG650</f>
        <v/>
      </c>
      <c r="L650" t="str">
        <f>PasteBBM!Z650</f>
        <v/>
      </c>
      <c r="M650" t="str">
        <f>PasteBBM!Y650</f>
        <v/>
      </c>
      <c r="N650" t="str">
        <f>PasteBBM!AA650</f>
        <v/>
      </c>
      <c r="O650" t="str">
        <f>PasteBBM!AB650</f>
        <v/>
      </c>
      <c r="P650" t="str">
        <f>PasteBBM!AC650</f>
        <v/>
      </c>
      <c r="Q650" t="str">
        <f>PasteBBM!AD650</f>
        <v/>
      </c>
      <c r="R650" t="str">
        <f>PasteBBM!AI650</f>
        <v/>
      </c>
      <c r="S650" t="str">
        <f>PasteBBM!AE650</f>
        <v/>
      </c>
      <c r="T650" t="str">
        <f>PasteBBM!AG650</f>
        <v/>
      </c>
      <c r="V650" s="44">
        <v>-0.41709</v>
      </c>
      <c r="W650" s="44">
        <v>-0.00658</v>
      </c>
      <c r="X650" s="44">
        <v>0.009207</v>
      </c>
      <c r="Y650" s="44">
        <v>-0.4263</v>
      </c>
      <c r="Z650" s="44">
        <v>-0.34564</v>
      </c>
      <c r="AA650" s="45"/>
      <c r="AB650" s="46" t="s">
        <v>126</v>
      </c>
      <c r="AC650" s="44">
        <v>67.0</v>
      </c>
    </row>
    <row r="651">
      <c r="A651" s="2">
        <v>163.0</v>
      </c>
      <c r="B651" s="14">
        <f>IF(PasteBBM!B651="",156,PasteBBM!B651)</f>
        <v>156</v>
      </c>
      <c r="C651" t="str">
        <f>PasteBBM!I651</f>
        <v/>
      </c>
      <c r="D651" t="str">
        <f>IFERROR(REPLACE(PasteBBM!K651,FIND("/",PasteBBM!K651,1),1,","),PasteBBM!K651)</f>
        <v/>
      </c>
      <c r="E651" t="str">
        <f>PasteBBM!J651</f>
        <v/>
      </c>
      <c r="F651" t="str">
        <f>PasteBBM!U651</f>
        <v/>
      </c>
      <c r="G651" t="str">
        <f>PasteBBM!X651</f>
        <v/>
      </c>
      <c r="H651">
        <f>PasteBBM!AE651*PasteBBM!AF651</f>
        <v>0</v>
      </c>
      <c r="I651" t="str">
        <f>PasteBBM!AE651</f>
        <v/>
      </c>
      <c r="J651">
        <f>PasteBBM!AG651*PasteBBM!AH651</f>
        <v>0</v>
      </c>
      <c r="K651" t="str">
        <f>PasteBBM!AG651</f>
        <v/>
      </c>
      <c r="L651" t="str">
        <f>PasteBBM!Z651</f>
        <v/>
      </c>
      <c r="M651" t="str">
        <f>PasteBBM!Y651</f>
        <v/>
      </c>
      <c r="N651" t="str">
        <f>PasteBBM!AA651</f>
        <v/>
      </c>
      <c r="O651" t="str">
        <f>PasteBBM!AB651</f>
        <v/>
      </c>
      <c r="P651" t="str">
        <f>PasteBBM!AC651</f>
        <v/>
      </c>
      <c r="Q651" t="str">
        <f>PasteBBM!AD651</f>
        <v/>
      </c>
      <c r="R651" t="str">
        <f>PasteBBM!AI651</f>
        <v/>
      </c>
      <c r="S651" t="str">
        <f>PasteBBM!AE651</f>
        <v/>
      </c>
      <c r="T651" t="str">
        <f>PasteBBM!AG651</f>
        <v/>
      </c>
      <c r="V651" s="44">
        <v>-0.41709</v>
      </c>
      <c r="W651" s="44">
        <v>-0.00658</v>
      </c>
      <c r="X651" s="44">
        <v>0.009207</v>
      </c>
      <c r="Y651" s="44">
        <v>-0.4263</v>
      </c>
      <c r="Z651" s="44">
        <v>-0.34564</v>
      </c>
      <c r="AA651" s="45"/>
      <c r="AB651" s="46" t="s">
        <v>126</v>
      </c>
      <c r="AC651" s="44">
        <v>67.0</v>
      </c>
    </row>
    <row r="652">
      <c r="A652" s="2">
        <v>163.0</v>
      </c>
      <c r="B652" s="14">
        <f>IF(PasteBBM!B652="",156,PasteBBM!B652)</f>
        <v>156</v>
      </c>
      <c r="C652" t="str">
        <f>PasteBBM!I652</f>
        <v/>
      </c>
      <c r="D652" t="str">
        <f>IFERROR(REPLACE(PasteBBM!K652,FIND("/",PasteBBM!K652,1),1,","),PasteBBM!K652)</f>
        <v/>
      </c>
      <c r="E652" t="str">
        <f>PasteBBM!J652</f>
        <v/>
      </c>
      <c r="F652" t="str">
        <f>PasteBBM!U652</f>
        <v/>
      </c>
      <c r="G652" t="str">
        <f>PasteBBM!X652</f>
        <v/>
      </c>
      <c r="H652">
        <f>PasteBBM!AE652*PasteBBM!AF652</f>
        <v>0</v>
      </c>
      <c r="I652" t="str">
        <f>PasteBBM!AE652</f>
        <v/>
      </c>
      <c r="J652">
        <f>PasteBBM!AG652*PasteBBM!AH652</f>
        <v>0</v>
      </c>
      <c r="K652" t="str">
        <f>PasteBBM!AG652</f>
        <v/>
      </c>
      <c r="L652" t="str">
        <f>PasteBBM!Z652</f>
        <v/>
      </c>
      <c r="M652" t="str">
        <f>PasteBBM!Y652</f>
        <v/>
      </c>
      <c r="N652" t="str">
        <f>PasteBBM!AA652</f>
        <v/>
      </c>
      <c r="O652" t="str">
        <f>PasteBBM!AB652</f>
        <v/>
      </c>
      <c r="P652" t="str">
        <f>PasteBBM!AC652</f>
        <v/>
      </c>
      <c r="Q652" t="str">
        <f>PasteBBM!AD652</f>
        <v/>
      </c>
      <c r="R652" t="str">
        <f>PasteBBM!AI652</f>
        <v/>
      </c>
      <c r="S652" t="str">
        <f>PasteBBM!AE652</f>
        <v/>
      </c>
      <c r="T652" t="str">
        <f>PasteBBM!AG652</f>
        <v/>
      </c>
      <c r="V652" s="44">
        <v>-0.41709</v>
      </c>
      <c r="W652" s="44">
        <v>-0.00658</v>
      </c>
      <c r="X652" s="44">
        <v>0.009207</v>
      </c>
      <c r="Y652" s="44">
        <v>-0.4263</v>
      </c>
      <c r="Z652" s="44">
        <v>-0.34564</v>
      </c>
      <c r="AA652" s="45"/>
      <c r="AB652" s="46" t="s">
        <v>126</v>
      </c>
      <c r="AC652" s="44">
        <v>67.0</v>
      </c>
    </row>
    <row r="653">
      <c r="A653" s="2">
        <v>163.0</v>
      </c>
      <c r="B653" s="14">
        <f>IF(PasteBBM!B653="",156,PasteBBM!B653)</f>
        <v>156</v>
      </c>
      <c r="C653" t="str">
        <f>PasteBBM!I653</f>
        <v/>
      </c>
      <c r="D653" t="str">
        <f>IFERROR(REPLACE(PasteBBM!K653,FIND("/",PasteBBM!K653,1),1,","),PasteBBM!K653)</f>
        <v/>
      </c>
      <c r="E653" t="str">
        <f>PasteBBM!J653</f>
        <v/>
      </c>
      <c r="F653" t="str">
        <f>PasteBBM!U653</f>
        <v/>
      </c>
      <c r="G653" t="str">
        <f>PasteBBM!X653</f>
        <v/>
      </c>
      <c r="H653">
        <f>PasteBBM!AE653*PasteBBM!AF653</f>
        <v>0</v>
      </c>
      <c r="I653" t="str">
        <f>PasteBBM!AE653</f>
        <v/>
      </c>
      <c r="J653">
        <f>PasteBBM!AG653*PasteBBM!AH653</f>
        <v>0</v>
      </c>
      <c r="K653" t="str">
        <f>PasteBBM!AG653</f>
        <v/>
      </c>
      <c r="L653" t="str">
        <f>PasteBBM!Z653</f>
        <v/>
      </c>
      <c r="M653" t="str">
        <f>PasteBBM!Y653</f>
        <v/>
      </c>
      <c r="N653" t="str">
        <f>PasteBBM!AA653</f>
        <v/>
      </c>
      <c r="O653" t="str">
        <f>PasteBBM!AB653</f>
        <v/>
      </c>
      <c r="P653" t="str">
        <f>PasteBBM!AC653</f>
        <v/>
      </c>
      <c r="Q653" t="str">
        <f>PasteBBM!AD653</f>
        <v/>
      </c>
      <c r="R653" t="str">
        <f>PasteBBM!AI653</f>
        <v/>
      </c>
      <c r="S653" t="str">
        <f>PasteBBM!AE653</f>
        <v/>
      </c>
      <c r="T653" t="str">
        <f>PasteBBM!AG653</f>
        <v/>
      </c>
      <c r="V653" s="44">
        <v>-0.41709</v>
      </c>
      <c r="W653" s="44">
        <v>-0.00658</v>
      </c>
      <c r="X653" s="44">
        <v>0.009207</v>
      </c>
      <c r="Y653" s="44">
        <v>-0.4263</v>
      </c>
      <c r="Z653" s="44">
        <v>-0.34564</v>
      </c>
      <c r="AA653" s="45"/>
      <c r="AB653" s="46" t="s">
        <v>126</v>
      </c>
      <c r="AC653" s="44">
        <v>67.0</v>
      </c>
    </row>
    <row r="654">
      <c r="A654" s="2">
        <v>163.0</v>
      </c>
      <c r="B654" s="14">
        <f>IF(PasteBBM!B654="",156,PasteBBM!B654)</f>
        <v>156</v>
      </c>
      <c r="C654" t="str">
        <f>PasteBBM!I654</f>
        <v/>
      </c>
      <c r="D654" t="str">
        <f>IFERROR(REPLACE(PasteBBM!K654,FIND("/",PasteBBM!K654,1),1,","),PasteBBM!K654)</f>
        <v/>
      </c>
      <c r="E654" t="str">
        <f>PasteBBM!J654</f>
        <v/>
      </c>
      <c r="F654" t="str">
        <f>PasteBBM!U654</f>
        <v/>
      </c>
      <c r="G654" t="str">
        <f>PasteBBM!X654</f>
        <v/>
      </c>
      <c r="H654">
        <f>PasteBBM!AE654*PasteBBM!AF654</f>
        <v>0</v>
      </c>
      <c r="I654" t="str">
        <f>PasteBBM!AE654</f>
        <v/>
      </c>
      <c r="J654">
        <f>PasteBBM!AG654*PasteBBM!AH654</f>
        <v>0</v>
      </c>
      <c r="K654" t="str">
        <f>PasteBBM!AG654</f>
        <v/>
      </c>
      <c r="L654" t="str">
        <f>PasteBBM!Z654</f>
        <v/>
      </c>
      <c r="M654" t="str">
        <f>PasteBBM!Y654</f>
        <v/>
      </c>
      <c r="N654" t="str">
        <f>PasteBBM!AA654</f>
        <v/>
      </c>
      <c r="O654" t="str">
        <f>PasteBBM!AB654</f>
        <v/>
      </c>
      <c r="P654" t="str">
        <f>PasteBBM!AC654</f>
        <v/>
      </c>
      <c r="Q654" t="str">
        <f>PasteBBM!AD654</f>
        <v/>
      </c>
      <c r="R654" t="str">
        <f>PasteBBM!AI654</f>
        <v/>
      </c>
      <c r="S654" t="str">
        <f>PasteBBM!AE654</f>
        <v/>
      </c>
      <c r="T654" t="str">
        <f>PasteBBM!AG654</f>
        <v/>
      </c>
      <c r="V654" s="44">
        <v>-0.41709</v>
      </c>
      <c r="W654" s="44">
        <v>-0.00658</v>
      </c>
      <c r="X654" s="44">
        <v>0.009207</v>
      </c>
      <c r="Y654" s="44">
        <v>-0.4263</v>
      </c>
      <c r="Z654" s="44">
        <v>-0.34564</v>
      </c>
      <c r="AA654" s="45"/>
      <c r="AB654" s="46" t="s">
        <v>126</v>
      </c>
      <c r="AC654" s="44">
        <v>67.0</v>
      </c>
    </row>
    <row r="655">
      <c r="A655" s="2">
        <v>163.0</v>
      </c>
      <c r="B655" s="14">
        <f>IF(PasteBBM!B655="",156,PasteBBM!B655)</f>
        <v>156</v>
      </c>
      <c r="C655" t="str">
        <f>PasteBBM!I655</f>
        <v/>
      </c>
      <c r="D655" t="str">
        <f>IFERROR(REPLACE(PasteBBM!K655,FIND("/",PasteBBM!K655,1),1,","),PasteBBM!K655)</f>
        <v/>
      </c>
      <c r="E655" t="str">
        <f>PasteBBM!J655</f>
        <v/>
      </c>
      <c r="F655" t="str">
        <f>PasteBBM!U655</f>
        <v/>
      </c>
      <c r="G655" t="str">
        <f>PasteBBM!X655</f>
        <v/>
      </c>
      <c r="H655">
        <f>PasteBBM!AE655*PasteBBM!AF655</f>
        <v>0</v>
      </c>
      <c r="I655" t="str">
        <f>PasteBBM!AE655</f>
        <v/>
      </c>
      <c r="J655">
        <f>PasteBBM!AG655*PasteBBM!AH655</f>
        <v>0</v>
      </c>
      <c r="K655" t="str">
        <f>PasteBBM!AG655</f>
        <v/>
      </c>
      <c r="L655" t="str">
        <f>PasteBBM!Z655</f>
        <v/>
      </c>
      <c r="M655" t="str">
        <f>PasteBBM!Y655</f>
        <v/>
      </c>
      <c r="N655" t="str">
        <f>PasteBBM!AA655</f>
        <v/>
      </c>
      <c r="O655" t="str">
        <f>PasteBBM!AB655</f>
        <v/>
      </c>
      <c r="P655" t="str">
        <f>PasteBBM!AC655</f>
        <v/>
      </c>
      <c r="Q655" t="str">
        <f>PasteBBM!AD655</f>
        <v/>
      </c>
      <c r="R655" t="str">
        <f>PasteBBM!AI655</f>
        <v/>
      </c>
      <c r="S655" t="str">
        <f>PasteBBM!AE655</f>
        <v/>
      </c>
      <c r="T655" t="str">
        <f>PasteBBM!AG655</f>
        <v/>
      </c>
      <c r="V655" s="44">
        <v>-0.41709</v>
      </c>
      <c r="W655" s="44">
        <v>-0.00658</v>
      </c>
      <c r="X655" s="44">
        <v>0.009207</v>
      </c>
      <c r="Y655" s="44">
        <v>-0.4263</v>
      </c>
      <c r="Z655" s="44">
        <v>-0.34564</v>
      </c>
      <c r="AA655" s="45"/>
      <c r="AB655" s="46" t="s">
        <v>126</v>
      </c>
      <c r="AC655" s="44">
        <v>67.0</v>
      </c>
    </row>
    <row r="656">
      <c r="A656" s="2">
        <v>163.0</v>
      </c>
      <c r="B656" s="14">
        <f>IF(PasteBBM!B656="",156,PasteBBM!B656)</f>
        <v>156</v>
      </c>
      <c r="C656" t="str">
        <f>PasteBBM!I656</f>
        <v/>
      </c>
      <c r="D656" t="str">
        <f>IFERROR(REPLACE(PasteBBM!K656,FIND("/",PasteBBM!K656,1),1,","),PasteBBM!K656)</f>
        <v/>
      </c>
      <c r="E656" t="str">
        <f>PasteBBM!J656</f>
        <v/>
      </c>
      <c r="F656" t="str">
        <f>PasteBBM!U656</f>
        <v/>
      </c>
      <c r="G656" t="str">
        <f>PasteBBM!X656</f>
        <v/>
      </c>
      <c r="H656">
        <f>PasteBBM!AE656*PasteBBM!AF656</f>
        <v>0</v>
      </c>
      <c r="I656" t="str">
        <f>PasteBBM!AE656</f>
        <v/>
      </c>
      <c r="J656">
        <f>PasteBBM!AG656*PasteBBM!AH656</f>
        <v>0</v>
      </c>
      <c r="K656" t="str">
        <f>PasteBBM!AG656</f>
        <v/>
      </c>
      <c r="L656" t="str">
        <f>PasteBBM!Z656</f>
        <v/>
      </c>
      <c r="M656" t="str">
        <f>PasteBBM!Y656</f>
        <v/>
      </c>
      <c r="N656" t="str">
        <f>PasteBBM!AA656</f>
        <v/>
      </c>
      <c r="O656" t="str">
        <f>PasteBBM!AB656</f>
        <v/>
      </c>
      <c r="P656" t="str">
        <f>PasteBBM!AC656</f>
        <v/>
      </c>
      <c r="Q656" t="str">
        <f>PasteBBM!AD656</f>
        <v/>
      </c>
      <c r="R656" t="str">
        <f>PasteBBM!AI656</f>
        <v/>
      </c>
      <c r="S656" t="str">
        <f>PasteBBM!AE656</f>
        <v/>
      </c>
      <c r="T656" t="str">
        <f>PasteBBM!AG656</f>
        <v/>
      </c>
      <c r="V656" s="44">
        <v>-0.41709</v>
      </c>
      <c r="W656" s="44">
        <v>-0.00658</v>
      </c>
      <c r="X656" s="44">
        <v>0.009207</v>
      </c>
      <c r="Y656" s="44">
        <v>-0.4263</v>
      </c>
      <c r="Z656" s="44">
        <v>-0.34564</v>
      </c>
      <c r="AA656" s="45"/>
      <c r="AB656" s="46" t="s">
        <v>126</v>
      </c>
      <c r="AC656" s="44">
        <v>67.0</v>
      </c>
    </row>
    <row r="657">
      <c r="A657" s="2">
        <v>163.0</v>
      </c>
      <c r="B657" s="14">
        <f>IF(PasteBBM!B657="",156,PasteBBM!B657)</f>
        <v>156</v>
      </c>
      <c r="C657" t="str">
        <f>PasteBBM!I657</f>
        <v/>
      </c>
      <c r="D657" t="str">
        <f>IFERROR(REPLACE(PasteBBM!K657,FIND("/",PasteBBM!K657,1),1,","),PasteBBM!K657)</f>
        <v/>
      </c>
      <c r="E657" t="str">
        <f>PasteBBM!J657</f>
        <v/>
      </c>
      <c r="F657" t="str">
        <f>PasteBBM!U657</f>
        <v/>
      </c>
      <c r="G657" t="str">
        <f>PasteBBM!X657</f>
        <v/>
      </c>
      <c r="H657">
        <f>PasteBBM!AE657*PasteBBM!AF657</f>
        <v>0</v>
      </c>
      <c r="I657" t="str">
        <f>PasteBBM!AE657</f>
        <v/>
      </c>
      <c r="J657">
        <f>PasteBBM!AG657*PasteBBM!AH657</f>
        <v>0</v>
      </c>
      <c r="K657" t="str">
        <f>PasteBBM!AG657</f>
        <v/>
      </c>
      <c r="L657" t="str">
        <f>PasteBBM!Z657</f>
        <v/>
      </c>
      <c r="M657" t="str">
        <f>PasteBBM!Y657</f>
        <v/>
      </c>
      <c r="N657" t="str">
        <f>PasteBBM!AA657</f>
        <v/>
      </c>
      <c r="O657" t="str">
        <f>PasteBBM!AB657</f>
        <v/>
      </c>
      <c r="P657" t="str">
        <f>PasteBBM!AC657</f>
        <v/>
      </c>
      <c r="Q657" t="str">
        <f>PasteBBM!AD657</f>
        <v/>
      </c>
      <c r="R657" t="str">
        <f>PasteBBM!AI657</f>
        <v/>
      </c>
      <c r="S657" t="str">
        <f>PasteBBM!AE657</f>
        <v/>
      </c>
      <c r="T657" t="str">
        <f>PasteBBM!AG657</f>
        <v/>
      </c>
      <c r="V657" s="44">
        <v>-0.41709</v>
      </c>
      <c r="W657" s="44">
        <v>-0.00658</v>
      </c>
      <c r="X657" s="44">
        <v>0.009207</v>
      </c>
      <c r="Y657" s="44">
        <v>-0.4263</v>
      </c>
      <c r="Z657" s="44">
        <v>-0.34564</v>
      </c>
      <c r="AA657" s="45"/>
      <c r="AB657" s="46" t="s">
        <v>126</v>
      </c>
      <c r="AC657" s="44">
        <v>67.0</v>
      </c>
    </row>
    <row r="658">
      <c r="A658" s="2">
        <v>163.0</v>
      </c>
      <c r="B658" s="14">
        <f>IF(PasteBBM!B658="",156,PasteBBM!B658)</f>
        <v>156</v>
      </c>
      <c r="C658" t="str">
        <f>PasteBBM!I658</f>
        <v/>
      </c>
      <c r="D658" t="str">
        <f>IFERROR(REPLACE(PasteBBM!K658,FIND("/",PasteBBM!K658,1),1,","),PasteBBM!K658)</f>
        <v/>
      </c>
      <c r="E658" t="str">
        <f>PasteBBM!J658</f>
        <v/>
      </c>
      <c r="F658" t="str">
        <f>PasteBBM!U658</f>
        <v/>
      </c>
      <c r="G658" t="str">
        <f>PasteBBM!X658</f>
        <v/>
      </c>
      <c r="H658">
        <f>PasteBBM!AE658*PasteBBM!AF658</f>
        <v>0</v>
      </c>
      <c r="I658" t="str">
        <f>PasteBBM!AE658</f>
        <v/>
      </c>
      <c r="J658">
        <f>PasteBBM!AG658*PasteBBM!AH658</f>
        <v>0</v>
      </c>
      <c r="K658" t="str">
        <f>PasteBBM!AG658</f>
        <v/>
      </c>
      <c r="L658" t="str">
        <f>PasteBBM!Z658</f>
        <v/>
      </c>
      <c r="M658" t="str">
        <f>PasteBBM!Y658</f>
        <v/>
      </c>
      <c r="N658" t="str">
        <f>PasteBBM!AA658</f>
        <v/>
      </c>
      <c r="O658" t="str">
        <f>PasteBBM!AB658</f>
        <v/>
      </c>
      <c r="P658" t="str">
        <f>PasteBBM!AC658</f>
        <v/>
      </c>
      <c r="Q658" t="str">
        <f>PasteBBM!AD658</f>
        <v/>
      </c>
      <c r="R658" t="str">
        <f>PasteBBM!AI658</f>
        <v/>
      </c>
      <c r="S658" t="str">
        <f>PasteBBM!AE658</f>
        <v/>
      </c>
      <c r="T658" t="str">
        <f>PasteBBM!AG658</f>
        <v/>
      </c>
      <c r="V658" s="44">
        <v>-0.41709</v>
      </c>
      <c r="W658" s="44">
        <v>-0.00658</v>
      </c>
      <c r="X658" s="44">
        <v>0.009207</v>
      </c>
      <c r="Y658" s="44">
        <v>-0.4263</v>
      </c>
      <c r="Z658" s="44">
        <v>-0.34564</v>
      </c>
      <c r="AA658" s="45"/>
      <c r="AB658" s="46" t="s">
        <v>126</v>
      </c>
      <c r="AC658" s="44">
        <v>67.0</v>
      </c>
    </row>
    <row r="659">
      <c r="A659" s="2">
        <v>163.0</v>
      </c>
      <c r="B659" s="14">
        <f>IF(PasteBBM!B659="",156,PasteBBM!B659)</f>
        <v>156</v>
      </c>
      <c r="C659" t="str">
        <f>PasteBBM!I659</f>
        <v/>
      </c>
      <c r="D659" t="str">
        <f>IFERROR(REPLACE(PasteBBM!K659,FIND("/",PasteBBM!K659,1),1,","),PasteBBM!K659)</f>
        <v/>
      </c>
      <c r="E659" t="str">
        <f>PasteBBM!J659</f>
        <v/>
      </c>
      <c r="F659" t="str">
        <f>PasteBBM!U659</f>
        <v/>
      </c>
      <c r="G659" t="str">
        <f>PasteBBM!X659</f>
        <v/>
      </c>
      <c r="H659">
        <f>PasteBBM!AE659*PasteBBM!AF659</f>
        <v>0</v>
      </c>
      <c r="I659" t="str">
        <f>PasteBBM!AE659</f>
        <v/>
      </c>
      <c r="J659">
        <f>PasteBBM!AG659*PasteBBM!AH659</f>
        <v>0</v>
      </c>
      <c r="K659" t="str">
        <f>PasteBBM!AG659</f>
        <v/>
      </c>
      <c r="L659" t="str">
        <f>PasteBBM!Z659</f>
        <v/>
      </c>
      <c r="M659" t="str">
        <f>PasteBBM!Y659</f>
        <v/>
      </c>
      <c r="N659" t="str">
        <f>PasteBBM!AA659</f>
        <v/>
      </c>
      <c r="O659" t="str">
        <f>PasteBBM!AB659</f>
        <v/>
      </c>
      <c r="P659" t="str">
        <f>PasteBBM!AC659</f>
        <v/>
      </c>
      <c r="Q659" t="str">
        <f>PasteBBM!AD659</f>
        <v/>
      </c>
      <c r="R659" t="str">
        <f>PasteBBM!AI659</f>
        <v/>
      </c>
      <c r="S659" t="str">
        <f>PasteBBM!AE659</f>
        <v/>
      </c>
      <c r="T659" t="str">
        <f>PasteBBM!AG659</f>
        <v/>
      </c>
      <c r="V659" s="44">
        <v>-0.41709</v>
      </c>
      <c r="W659" s="44">
        <v>-0.00658</v>
      </c>
      <c r="X659" s="44">
        <v>0.009207</v>
      </c>
      <c r="Y659" s="44">
        <v>-0.4263</v>
      </c>
      <c r="Z659" s="44">
        <v>-0.34564</v>
      </c>
      <c r="AA659" s="45"/>
      <c r="AB659" s="46" t="s">
        <v>126</v>
      </c>
      <c r="AC659" s="44">
        <v>67.0</v>
      </c>
    </row>
    <row r="660">
      <c r="A660" s="2">
        <v>163.0</v>
      </c>
      <c r="B660" s="14">
        <f>IF(PasteBBM!B660="",156,PasteBBM!B660)</f>
        <v>156</v>
      </c>
      <c r="C660" t="str">
        <f>PasteBBM!I660</f>
        <v/>
      </c>
      <c r="D660" t="str">
        <f>IFERROR(REPLACE(PasteBBM!K660,FIND("/",PasteBBM!K660,1),1,","),PasteBBM!K660)</f>
        <v/>
      </c>
      <c r="E660" t="str">
        <f>PasteBBM!J660</f>
        <v/>
      </c>
      <c r="F660" t="str">
        <f>PasteBBM!U660</f>
        <v/>
      </c>
      <c r="G660" t="str">
        <f>PasteBBM!X660</f>
        <v/>
      </c>
      <c r="H660">
        <f>PasteBBM!AE660*PasteBBM!AF660</f>
        <v>0</v>
      </c>
      <c r="I660" t="str">
        <f>PasteBBM!AE660</f>
        <v/>
      </c>
      <c r="J660">
        <f>PasteBBM!AG660*PasteBBM!AH660</f>
        <v>0</v>
      </c>
      <c r="K660" t="str">
        <f>PasteBBM!AG660</f>
        <v/>
      </c>
      <c r="L660" t="str">
        <f>PasteBBM!Z660</f>
        <v/>
      </c>
      <c r="M660" t="str">
        <f>PasteBBM!Y660</f>
        <v/>
      </c>
      <c r="N660" t="str">
        <f>PasteBBM!AA660</f>
        <v/>
      </c>
      <c r="O660" t="str">
        <f>PasteBBM!AB660</f>
        <v/>
      </c>
      <c r="P660" t="str">
        <f>PasteBBM!AC660</f>
        <v/>
      </c>
      <c r="Q660" t="str">
        <f>PasteBBM!AD660</f>
        <v/>
      </c>
      <c r="R660" t="str">
        <f>PasteBBM!AI660</f>
        <v/>
      </c>
      <c r="S660" t="str">
        <f>PasteBBM!AE660</f>
        <v/>
      </c>
      <c r="T660" t="str">
        <f>PasteBBM!AG660</f>
        <v/>
      </c>
      <c r="V660" s="44">
        <v>-0.41709</v>
      </c>
      <c r="W660" s="44">
        <v>-0.00658</v>
      </c>
      <c r="X660" s="44">
        <v>0.009207</v>
      </c>
      <c r="Y660" s="44">
        <v>-0.4263</v>
      </c>
      <c r="Z660" s="44">
        <v>-0.34564</v>
      </c>
      <c r="AA660" s="45"/>
      <c r="AB660" s="46" t="s">
        <v>126</v>
      </c>
      <c r="AC660" s="44">
        <v>67.0</v>
      </c>
    </row>
    <row r="661">
      <c r="A661" s="2">
        <v>163.0</v>
      </c>
      <c r="B661" s="14">
        <f>IF(PasteBBM!B661="",156,PasteBBM!B661)</f>
        <v>156</v>
      </c>
      <c r="C661" t="str">
        <f>PasteBBM!I661</f>
        <v/>
      </c>
      <c r="D661" t="str">
        <f>IFERROR(REPLACE(PasteBBM!K661,FIND("/",PasteBBM!K661,1),1,","),PasteBBM!K661)</f>
        <v/>
      </c>
      <c r="E661" t="str">
        <f>PasteBBM!J661</f>
        <v/>
      </c>
      <c r="F661" t="str">
        <f>PasteBBM!U661</f>
        <v/>
      </c>
      <c r="G661" t="str">
        <f>PasteBBM!X661</f>
        <v/>
      </c>
      <c r="H661">
        <f>PasteBBM!AE661*PasteBBM!AF661</f>
        <v>0</v>
      </c>
      <c r="I661" t="str">
        <f>PasteBBM!AE661</f>
        <v/>
      </c>
      <c r="J661">
        <f>PasteBBM!AG661*PasteBBM!AH661</f>
        <v>0</v>
      </c>
      <c r="K661" t="str">
        <f>PasteBBM!AG661</f>
        <v/>
      </c>
      <c r="L661" t="str">
        <f>PasteBBM!Z661</f>
        <v/>
      </c>
      <c r="M661" t="str">
        <f>PasteBBM!Y661</f>
        <v/>
      </c>
      <c r="N661" t="str">
        <f>PasteBBM!AA661</f>
        <v/>
      </c>
      <c r="O661" t="str">
        <f>PasteBBM!AB661</f>
        <v/>
      </c>
      <c r="P661" t="str">
        <f>PasteBBM!AC661</f>
        <v/>
      </c>
      <c r="Q661" t="str">
        <f>PasteBBM!AD661</f>
        <v/>
      </c>
      <c r="R661" t="str">
        <f>PasteBBM!AI661</f>
        <v/>
      </c>
      <c r="S661" t="str">
        <f>PasteBBM!AE661</f>
        <v/>
      </c>
      <c r="T661" t="str">
        <f>PasteBBM!AG661</f>
        <v/>
      </c>
      <c r="V661" s="44">
        <v>-0.41709</v>
      </c>
      <c r="W661" s="44">
        <v>-0.00658</v>
      </c>
      <c r="X661" s="44">
        <v>0.009207</v>
      </c>
      <c r="Y661" s="44">
        <v>-0.4263</v>
      </c>
      <c r="Z661" s="44">
        <v>-0.34564</v>
      </c>
      <c r="AA661" s="45"/>
      <c r="AB661" s="46" t="s">
        <v>126</v>
      </c>
      <c r="AC661" s="44">
        <v>67.0</v>
      </c>
    </row>
    <row r="662">
      <c r="A662" s="2">
        <v>163.0</v>
      </c>
      <c r="B662" s="14">
        <f>IF(PasteBBM!B662="",156,PasteBBM!B662)</f>
        <v>156</v>
      </c>
      <c r="C662" t="str">
        <f>PasteBBM!I662</f>
        <v/>
      </c>
      <c r="D662" t="str">
        <f>IFERROR(REPLACE(PasteBBM!K662,FIND("/",PasteBBM!K662,1),1,","),PasteBBM!K662)</f>
        <v/>
      </c>
      <c r="E662" t="str">
        <f>PasteBBM!J662</f>
        <v/>
      </c>
      <c r="F662" t="str">
        <f>PasteBBM!U662</f>
        <v/>
      </c>
      <c r="G662" t="str">
        <f>PasteBBM!X662</f>
        <v/>
      </c>
      <c r="H662">
        <f>PasteBBM!AE662*PasteBBM!AF662</f>
        <v>0</v>
      </c>
      <c r="I662" t="str">
        <f>PasteBBM!AE662</f>
        <v/>
      </c>
      <c r="J662">
        <f>PasteBBM!AG662*PasteBBM!AH662</f>
        <v>0</v>
      </c>
      <c r="K662" t="str">
        <f>PasteBBM!AG662</f>
        <v/>
      </c>
      <c r="L662" t="str">
        <f>PasteBBM!Z662</f>
        <v/>
      </c>
      <c r="M662" t="str">
        <f>PasteBBM!Y662</f>
        <v/>
      </c>
      <c r="N662" t="str">
        <f>PasteBBM!AA662</f>
        <v/>
      </c>
      <c r="O662" t="str">
        <f>PasteBBM!AB662</f>
        <v/>
      </c>
      <c r="P662" t="str">
        <f>PasteBBM!AC662</f>
        <v/>
      </c>
      <c r="Q662" t="str">
        <f>PasteBBM!AD662</f>
        <v/>
      </c>
      <c r="R662" t="str">
        <f>PasteBBM!AI662</f>
        <v/>
      </c>
      <c r="S662" t="str">
        <f>PasteBBM!AE662</f>
        <v/>
      </c>
      <c r="T662" t="str">
        <f>PasteBBM!AG662</f>
        <v/>
      </c>
      <c r="V662" s="44">
        <v>-0.41709</v>
      </c>
      <c r="W662" s="44">
        <v>-0.00658</v>
      </c>
      <c r="X662" s="44">
        <v>0.009207</v>
      </c>
      <c r="Y662" s="44">
        <v>-0.4263</v>
      </c>
      <c r="Z662" s="44">
        <v>-0.34564</v>
      </c>
      <c r="AA662" s="45"/>
      <c r="AB662" s="46" t="s">
        <v>126</v>
      </c>
      <c r="AC662" s="44">
        <v>67.0</v>
      </c>
    </row>
    <row r="663">
      <c r="A663" s="2">
        <v>163.0</v>
      </c>
      <c r="B663" s="14">
        <f>IF(PasteBBM!B663="",156,PasteBBM!B663)</f>
        <v>156</v>
      </c>
      <c r="C663" t="str">
        <f>PasteBBM!I663</f>
        <v/>
      </c>
      <c r="D663" t="str">
        <f>IFERROR(REPLACE(PasteBBM!K663,FIND("/",PasteBBM!K663,1),1,","),PasteBBM!K663)</f>
        <v/>
      </c>
      <c r="E663" t="str">
        <f>PasteBBM!J663</f>
        <v/>
      </c>
      <c r="F663" t="str">
        <f>PasteBBM!U663</f>
        <v/>
      </c>
      <c r="G663" t="str">
        <f>PasteBBM!X663</f>
        <v/>
      </c>
      <c r="H663">
        <f>PasteBBM!AE663*PasteBBM!AF663</f>
        <v>0</v>
      </c>
      <c r="I663" t="str">
        <f>PasteBBM!AE663</f>
        <v/>
      </c>
      <c r="J663">
        <f>PasteBBM!AG663*PasteBBM!AH663</f>
        <v>0</v>
      </c>
      <c r="K663" t="str">
        <f>PasteBBM!AG663</f>
        <v/>
      </c>
      <c r="L663" t="str">
        <f>PasteBBM!Z663</f>
        <v/>
      </c>
      <c r="M663" t="str">
        <f>PasteBBM!Y663</f>
        <v/>
      </c>
      <c r="N663" t="str">
        <f>PasteBBM!AA663</f>
        <v/>
      </c>
      <c r="O663" t="str">
        <f>PasteBBM!AB663</f>
        <v/>
      </c>
      <c r="P663" t="str">
        <f>PasteBBM!AC663</f>
        <v/>
      </c>
      <c r="Q663" t="str">
        <f>PasteBBM!AD663</f>
        <v/>
      </c>
      <c r="R663" t="str">
        <f>PasteBBM!AI663</f>
        <v/>
      </c>
      <c r="S663" t="str">
        <f>PasteBBM!AE663</f>
        <v/>
      </c>
      <c r="T663" t="str">
        <f>PasteBBM!AG663</f>
        <v/>
      </c>
      <c r="V663" s="44">
        <v>-0.41709</v>
      </c>
      <c r="W663" s="44">
        <v>-0.00658</v>
      </c>
      <c r="X663" s="44">
        <v>0.009207</v>
      </c>
      <c r="Y663" s="44">
        <v>-0.4263</v>
      </c>
      <c r="Z663" s="44">
        <v>-0.34564</v>
      </c>
      <c r="AA663" s="45"/>
      <c r="AB663" s="46" t="s">
        <v>126</v>
      </c>
      <c r="AC663" s="44">
        <v>67.0</v>
      </c>
    </row>
    <row r="664">
      <c r="A664" s="2">
        <v>163.0</v>
      </c>
      <c r="B664" s="14">
        <f>IF(PasteBBM!B664="",156,PasteBBM!B664)</f>
        <v>156</v>
      </c>
      <c r="C664" t="str">
        <f>PasteBBM!I664</f>
        <v/>
      </c>
      <c r="D664" t="str">
        <f>IFERROR(REPLACE(PasteBBM!K664,FIND("/",PasteBBM!K664,1),1,","),PasteBBM!K664)</f>
        <v/>
      </c>
      <c r="E664" t="str">
        <f>PasteBBM!J664</f>
        <v/>
      </c>
      <c r="F664" t="str">
        <f>PasteBBM!U664</f>
        <v/>
      </c>
      <c r="G664" t="str">
        <f>PasteBBM!X664</f>
        <v/>
      </c>
      <c r="H664">
        <f>PasteBBM!AE664*PasteBBM!AF664</f>
        <v>0</v>
      </c>
      <c r="I664" t="str">
        <f>PasteBBM!AE664</f>
        <v/>
      </c>
      <c r="J664">
        <f>PasteBBM!AG664*PasteBBM!AH664</f>
        <v>0</v>
      </c>
      <c r="K664" t="str">
        <f>PasteBBM!AG664</f>
        <v/>
      </c>
      <c r="L664" t="str">
        <f>PasteBBM!Z664</f>
        <v/>
      </c>
      <c r="M664" t="str">
        <f>PasteBBM!Y664</f>
        <v/>
      </c>
      <c r="N664" t="str">
        <f>PasteBBM!AA664</f>
        <v/>
      </c>
      <c r="O664" t="str">
        <f>PasteBBM!AB664</f>
        <v/>
      </c>
      <c r="P664" t="str">
        <f>PasteBBM!AC664</f>
        <v/>
      </c>
      <c r="Q664" t="str">
        <f>PasteBBM!AD664</f>
        <v/>
      </c>
      <c r="R664" t="str">
        <f>PasteBBM!AI664</f>
        <v/>
      </c>
      <c r="S664" t="str">
        <f>PasteBBM!AE664</f>
        <v/>
      </c>
      <c r="T664" t="str">
        <f>PasteBBM!AG664</f>
        <v/>
      </c>
      <c r="V664" s="44">
        <v>-0.41709</v>
      </c>
      <c r="W664" s="44">
        <v>-0.00658</v>
      </c>
      <c r="X664" s="44">
        <v>0.009207</v>
      </c>
      <c r="Y664" s="44">
        <v>-0.4263</v>
      </c>
      <c r="Z664" s="44">
        <v>-0.34564</v>
      </c>
      <c r="AA664" s="45"/>
      <c r="AB664" s="46" t="s">
        <v>126</v>
      </c>
      <c r="AC664" s="44">
        <v>67.0</v>
      </c>
    </row>
    <row r="665">
      <c r="A665" s="2">
        <v>163.0</v>
      </c>
      <c r="B665" s="14">
        <f>IF(PasteBBM!B665="",156,PasteBBM!B665)</f>
        <v>156</v>
      </c>
      <c r="C665" t="str">
        <f>PasteBBM!I665</f>
        <v/>
      </c>
      <c r="D665" t="str">
        <f>IFERROR(REPLACE(PasteBBM!K665,FIND("/",PasteBBM!K665,1),1,","),PasteBBM!K665)</f>
        <v/>
      </c>
      <c r="E665" t="str">
        <f>PasteBBM!J665</f>
        <v/>
      </c>
      <c r="F665" t="str">
        <f>PasteBBM!U665</f>
        <v/>
      </c>
      <c r="G665" t="str">
        <f>PasteBBM!X665</f>
        <v/>
      </c>
      <c r="H665">
        <f>PasteBBM!AE665*PasteBBM!AF665</f>
        <v>0</v>
      </c>
      <c r="I665" t="str">
        <f>PasteBBM!AE665</f>
        <v/>
      </c>
      <c r="J665">
        <f>PasteBBM!AG665*PasteBBM!AH665</f>
        <v>0</v>
      </c>
      <c r="K665" t="str">
        <f>PasteBBM!AG665</f>
        <v/>
      </c>
      <c r="L665" t="str">
        <f>PasteBBM!Z665</f>
        <v/>
      </c>
      <c r="M665" t="str">
        <f>PasteBBM!Y665</f>
        <v/>
      </c>
      <c r="N665" t="str">
        <f>PasteBBM!AA665</f>
        <v/>
      </c>
      <c r="O665" t="str">
        <f>PasteBBM!AB665</f>
        <v/>
      </c>
      <c r="P665" t="str">
        <f>PasteBBM!AC665</f>
        <v/>
      </c>
      <c r="Q665" t="str">
        <f>PasteBBM!AD665</f>
        <v/>
      </c>
      <c r="R665" t="str">
        <f>PasteBBM!AI665</f>
        <v/>
      </c>
      <c r="S665" t="str">
        <f>PasteBBM!AE665</f>
        <v/>
      </c>
      <c r="T665" t="str">
        <f>PasteBBM!AG665</f>
        <v/>
      </c>
      <c r="V665" s="44">
        <v>-0.41709</v>
      </c>
      <c r="W665" s="44">
        <v>-0.00658</v>
      </c>
      <c r="X665" s="44">
        <v>0.009207</v>
      </c>
      <c r="Y665" s="44">
        <v>-0.4263</v>
      </c>
      <c r="Z665" s="44">
        <v>-0.34564</v>
      </c>
      <c r="AA665" s="45"/>
      <c r="AB665" s="46" t="s">
        <v>126</v>
      </c>
      <c r="AC665" s="44">
        <v>67.0</v>
      </c>
    </row>
    <row r="666">
      <c r="A666" s="2">
        <v>163.0</v>
      </c>
      <c r="B666" s="14">
        <f>IF(PasteBBM!B666="",156,PasteBBM!B666)</f>
        <v>156</v>
      </c>
      <c r="C666" t="str">
        <f>PasteBBM!I666</f>
        <v/>
      </c>
      <c r="D666" t="str">
        <f>IFERROR(REPLACE(PasteBBM!K666,FIND("/",PasteBBM!K666,1),1,","),PasteBBM!K666)</f>
        <v/>
      </c>
      <c r="E666" t="str">
        <f>PasteBBM!J666</f>
        <v/>
      </c>
      <c r="F666" t="str">
        <f>PasteBBM!U666</f>
        <v/>
      </c>
      <c r="G666" t="str">
        <f>PasteBBM!X666</f>
        <v/>
      </c>
      <c r="H666">
        <f>PasteBBM!AE666*PasteBBM!AF666</f>
        <v>0</v>
      </c>
      <c r="I666" t="str">
        <f>PasteBBM!AE666</f>
        <v/>
      </c>
      <c r="J666">
        <f>PasteBBM!AG666*PasteBBM!AH666</f>
        <v>0</v>
      </c>
      <c r="K666" t="str">
        <f>PasteBBM!AG666</f>
        <v/>
      </c>
      <c r="L666" t="str">
        <f>PasteBBM!Z666</f>
        <v/>
      </c>
      <c r="M666" t="str">
        <f>PasteBBM!Y666</f>
        <v/>
      </c>
      <c r="N666" t="str">
        <f>PasteBBM!AA666</f>
        <v/>
      </c>
      <c r="O666" t="str">
        <f>PasteBBM!AB666</f>
        <v/>
      </c>
      <c r="P666" t="str">
        <f>PasteBBM!AC666</f>
        <v/>
      </c>
      <c r="Q666" t="str">
        <f>PasteBBM!AD666</f>
        <v/>
      </c>
      <c r="R666" t="str">
        <f>PasteBBM!AI666</f>
        <v/>
      </c>
      <c r="S666" t="str">
        <f>PasteBBM!AE666</f>
        <v/>
      </c>
      <c r="T666" t="str">
        <f>PasteBBM!AG666</f>
        <v/>
      </c>
      <c r="V666" s="44">
        <v>-0.41709</v>
      </c>
      <c r="W666" s="44">
        <v>-0.00658</v>
      </c>
      <c r="X666" s="44">
        <v>0.009207</v>
      </c>
      <c r="Y666" s="44">
        <v>-0.4263</v>
      </c>
      <c r="Z666" s="44">
        <v>-0.34564</v>
      </c>
      <c r="AA666" s="45"/>
      <c r="AB666" s="46" t="s">
        <v>126</v>
      </c>
      <c r="AC666" s="44">
        <v>67.0</v>
      </c>
    </row>
    <row r="667">
      <c r="A667" s="2">
        <v>163.0</v>
      </c>
      <c r="B667" s="14">
        <f>IF(PasteBBM!B667="",156,PasteBBM!B667)</f>
        <v>156</v>
      </c>
      <c r="C667" t="str">
        <f>PasteBBM!I667</f>
        <v/>
      </c>
      <c r="D667" t="str">
        <f>IFERROR(REPLACE(PasteBBM!K667,FIND("/",PasteBBM!K667,1),1,","),PasteBBM!K667)</f>
        <v/>
      </c>
      <c r="E667" t="str">
        <f>PasteBBM!J667</f>
        <v/>
      </c>
      <c r="F667" t="str">
        <f>PasteBBM!U667</f>
        <v/>
      </c>
      <c r="G667" t="str">
        <f>PasteBBM!X667</f>
        <v/>
      </c>
      <c r="H667">
        <f>PasteBBM!AE667*PasteBBM!AF667</f>
        <v>0</v>
      </c>
      <c r="I667" t="str">
        <f>PasteBBM!AE667</f>
        <v/>
      </c>
      <c r="J667">
        <f>PasteBBM!AG667*PasteBBM!AH667</f>
        <v>0</v>
      </c>
      <c r="K667" t="str">
        <f>PasteBBM!AG667</f>
        <v/>
      </c>
      <c r="L667" t="str">
        <f>PasteBBM!Z667</f>
        <v/>
      </c>
      <c r="M667" t="str">
        <f>PasteBBM!Y667</f>
        <v/>
      </c>
      <c r="N667" t="str">
        <f>PasteBBM!AA667</f>
        <v/>
      </c>
      <c r="O667" t="str">
        <f>PasteBBM!AB667</f>
        <v/>
      </c>
      <c r="P667" t="str">
        <f>PasteBBM!AC667</f>
        <v/>
      </c>
      <c r="Q667" t="str">
        <f>PasteBBM!AD667</f>
        <v/>
      </c>
      <c r="R667" t="str">
        <f>PasteBBM!AI667</f>
        <v/>
      </c>
      <c r="S667" t="str">
        <f>PasteBBM!AE667</f>
        <v/>
      </c>
      <c r="T667" t="str">
        <f>PasteBBM!AG667</f>
        <v/>
      </c>
      <c r="V667" s="44">
        <v>-0.41709</v>
      </c>
      <c r="W667" s="44">
        <v>-0.00658</v>
      </c>
      <c r="X667" s="44">
        <v>0.009207</v>
      </c>
      <c r="Y667" s="44">
        <v>-0.4263</v>
      </c>
      <c r="Z667" s="44">
        <v>-0.34564</v>
      </c>
      <c r="AA667" s="45"/>
      <c r="AB667" s="46" t="s">
        <v>126</v>
      </c>
      <c r="AC667" s="44">
        <v>67.0</v>
      </c>
    </row>
    <row r="668">
      <c r="A668" s="2">
        <v>163.0</v>
      </c>
      <c r="B668" s="14">
        <f>IF(PasteBBM!B668="",156,PasteBBM!B668)</f>
        <v>156</v>
      </c>
      <c r="C668" t="str">
        <f>PasteBBM!I668</f>
        <v/>
      </c>
      <c r="D668" t="str">
        <f>IFERROR(REPLACE(PasteBBM!K668,FIND("/",PasteBBM!K668,1),1,","),PasteBBM!K668)</f>
        <v/>
      </c>
      <c r="E668" t="str">
        <f>PasteBBM!J668</f>
        <v/>
      </c>
      <c r="F668" t="str">
        <f>PasteBBM!U668</f>
        <v/>
      </c>
      <c r="G668" t="str">
        <f>PasteBBM!X668</f>
        <v/>
      </c>
      <c r="H668">
        <f>PasteBBM!AE668*PasteBBM!AF668</f>
        <v>0</v>
      </c>
      <c r="I668" t="str">
        <f>PasteBBM!AE668</f>
        <v/>
      </c>
      <c r="J668">
        <f>PasteBBM!AG668*PasteBBM!AH668</f>
        <v>0</v>
      </c>
      <c r="K668" t="str">
        <f>PasteBBM!AG668</f>
        <v/>
      </c>
      <c r="L668" t="str">
        <f>PasteBBM!Z668</f>
        <v/>
      </c>
      <c r="M668" t="str">
        <f>PasteBBM!Y668</f>
        <v/>
      </c>
      <c r="N668" t="str">
        <f>PasteBBM!AA668</f>
        <v/>
      </c>
      <c r="O668" t="str">
        <f>PasteBBM!AB668</f>
        <v/>
      </c>
      <c r="P668" t="str">
        <f>PasteBBM!AC668</f>
        <v/>
      </c>
      <c r="Q668" t="str">
        <f>PasteBBM!AD668</f>
        <v/>
      </c>
      <c r="R668" t="str">
        <f>PasteBBM!AI668</f>
        <v/>
      </c>
      <c r="S668" t="str">
        <f>PasteBBM!AE668</f>
        <v/>
      </c>
      <c r="T668" t="str">
        <f>PasteBBM!AG668</f>
        <v/>
      </c>
      <c r="V668" s="44">
        <v>-0.41709</v>
      </c>
      <c r="W668" s="44">
        <v>-0.00658</v>
      </c>
      <c r="X668" s="44">
        <v>0.009207</v>
      </c>
      <c r="Y668" s="44">
        <v>-0.4263</v>
      </c>
      <c r="Z668" s="44">
        <v>-0.34564</v>
      </c>
      <c r="AA668" s="45"/>
      <c r="AB668" s="46" t="s">
        <v>126</v>
      </c>
      <c r="AC668" s="44">
        <v>67.0</v>
      </c>
    </row>
    <row r="669">
      <c r="A669" s="2">
        <v>163.0</v>
      </c>
      <c r="B669" s="14">
        <f>IF(PasteBBM!B669="",156,PasteBBM!B669)</f>
        <v>156</v>
      </c>
      <c r="C669" t="str">
        <f>PasteBBM!I669</f>
        <v/>
      </c>
      <c r="D669" t="str">
        <f>IFERROR(REPLACE(PasteBBM!K669,FIND("/",PasteBBM!K669,1),1,","),PasteBBM!K669)</f>
        <v/>
      </c>
      <c r="E669" t="str">
        <f>PasteBBM!J669</f>
        <v/>
      </c>
      <c r="F669" t="str">
        <f>PasteBBM!U669</f>
        <v/>
      </c>
      <c r="G669" t="str">
        <f>PasteBBM!X669</f>
        <v/>
      </c>
      <c r="H669">
        <f>PasteBBM!AE669*PasteBBM!AF669</f>
        <v>0</v>
      </c>
      <c r="I669" t="str">
        <f>PasteBBM!AE669</f>
        <v/>
      </c>
      <c r="J669">
        <f>PasteBBM!AG669*PasteBBM!AH669</f>
        <v>0</v>
      </c>
      <c r="K669" t="str">
        <f>PasteBBM!AG669</f>
        <v/>
      </c>
      <c r="L669" t="str">
        <f>PasteBBM!Z669</f>
        <v/>
      </c>
      <c r="M669" t="str">
        <f>PasteBBM!Y669</f>
        <v/>
      </c>
      <c r="N669" t="str">
        <f>PasteBBM!AA669</f>
        <v/>
      </c>
      <c r="O669" t="str">
        <f>PasteBBM!AB669</f>
        <v/>
      </c>
      <c r="P669" t="str">
        <f>PasteBBM!AC669</f>
        <v/>
      </c>
      <c r="Q669" t="str">
        <f>PasteBBM!AD669</f>
        <v/>
      </c>
      <c r="R669" t="str">
        <f>PasteBBM!AI669</f>
        <v/>
      </c>
      <c r="S669" t="str">
        <f>PasteBBM!AE669</f>
        <v/>
      </c>
      <c r="T669" t="str">
        <f>PasteBBM!AG669</f>
        <v/>
      </c>
      <c r="V669" s="44">
        <v>-0.41709</v>
      </c>
      <c r="W669" s="44">
        <v>-0.00658</v>
      </c>
      <c r="X669" s="44">
        <v>0.009207</v>
      </c>
      <c r="Y669" s="44">
        <v>-0.4263</v>
      </c>
      <c r="Z669" s="44">
        <v>-0.34564</v>
      </c>
      <c r="AA669" s="45"/>
      <c r="AB669" s="46" t="s">
        <v>126</v>
      </c>
      <c r="AC669" s="44">
        <v>67.0</v>
      </c>
    </row>
    <row r="670">
      <c r="A670" s="2">
        <v>163.0</v>
      </c>
      <c r="B670" s="14">
        <f>IF(PasteBBM!B670="",156,PasteBBM!B670)</f>
        <v>156</v>
      </c>
      <c r="C670" t="str">
        <f>PasteBBM!I670</f>
        <v/>
      </c>
      <c r="D670" t="str">
        <f>IFERROR(REPLACE(PasteBBM!K670,FIND("/",PasteBBM!K670,1),1,","),PasteBBM!K670)</f>
        <v/>
      </c>
      <c r="E670" t="str">
        <f>PasteBBM!J670</f>
        <v/>
      </c>
      <c r="F670" t="str">
        <f>PasteBBM!U670</f>
        <v/>
      </c>
      <c r="G670" t="str">
        <f>PasteBBM!X670</f>
        <v/>
      </c>
      <c r="H670">
        <f>PasteBBM!AE670*PasteBBM!AF670</f>
        <v>0</v>
      </c>
      <c r="I670" t="str">
        <f>PasteBBM!AE670</f>
        <v/>
      </c>
      <c r="J670">
        <f>PasteBBM!AG670*PasteBBM!AH670</f>
        <v>0</v>
      </c>
      <c r="K670" t="str">
        <f>PasteBBM!AG670</f>
        <v/>
      </c>
      <c r="L670" t="str">
        <f>PasteBBM!Z670</f>
        <v/>
      </c>
      <c r="M670" t="str">
        <f>PasteBBM!Y670</f>
        <v/>
      </c>
      <c r="N670" t="str">
        <f>PasteBBM!AA670</f>
        <v/>
      </c>
      <c r="O670" t="str">
        <f>PasteBBM!AB670</f>
        <v/>
      </c>
      <c r="P670" t="str">
        <f>PasteBBM!AC670</f>
        <v/>
      </c>
      <c r="Q670" t="str">
        <f>PasteBBM!AD670</f>
        <v/>
      </c>
      <c r="R670" t="str">
        <f>PasteBBM!AI670</f>
        <v/>
      </c>
      <c r="S670" t="str">
        <f>PasteBBM!AE670</f>
        <v/>
      </c>
      <c r="T670" t="str">
        <f>PasteBBM!AG670</f>
        <v/>
      </c>
      <c r="V670" s="44">
        <v>-0.41709</v>
      </c>
      <c r="W670" s="44">
        <v>-0.00658</v>
      </c>
      <c r="X670" s="44">
        <v>0.009207</v>
      </c>
      <c r="Y670" s="44">
        <v>-0.4263</v>
      </c>
      <c r="Z670" s="44">
        <v>-0.34564</v>
      </c>
      <c r="AA670" s="45"/>
      <c r="AB670" s="46" t="s">
        <v>126</v>
      </c>
      <c r="AC670" s="44">
        <v>67.0</v>
      </c>
    </row>
    <row r="671">
      <c r="A671" s="2">
        <v>163.0</v>
      </c>
      <c r="B671" s="14">
        <f>IF(PasteBBM!B671="",156,PasteBBM!B671)</f>
        <v>156</v>
      </c>
      <c r="C671" t="str">
        <f>PasteBBM!I671</f>
        <v/>
      </c>
      <c r="D671" t="str">
        <f>IFERROR(REPLACE(PasteBBM!K671,FIND("/",PasteBBM!K671,1),1,","),PasteBBM!K671)</f>
        <v/>
      </c>
      <c r="E671" t="str">
        <f>PasteBBM!J671</f>
        <v/>
      </c>
      <c r="F671" t="str">
        <f>PasteBBM!U671</f>
        <v/>
      </c>
      <c r="G671" t="str">
        <f>PasteBBM!X671</f>
        <v/>
      </c>
      <c r="H671">
        <f>PasteBBM!AE671*PasteBBM!AF671</f>
        <v>0</v>
      </c>
      <c r="I671" t="str">
        <f>PasteBBM!AE671</f>
        <v/>
      </c>
      <c r="J671">
        <f>PasteBBM!AG671*PasteBBM!AH671</f>
        <v>0</v>
      </c>
      <c r="K671" t="str">
        <f>PasteBBM!AG671</f>
        <v/>
      </c>
      <c r="L671" t="str">
        <f>PasteBBM!Z671</f>
        <v/>
      </c>
      <c r="M671" t="str">
        <f>PasteBBM!Y671</f>
        <v/>
      </c>
      <c r="N671" t="str">
        <f>PasteBBM!AA671</f>
        <v/>
      </c>
      <c r="O671" t="str">
        <f>PasteBBM!AB671</f>
        <v/>
      </c>
      <c r="P671" t="str">
        <f>PasteBBM!AC671</f>
        <v/>
      </c>
      <c r="Q671" t="str">
        <f>PasteBBM!AD671</f>
        <v/>
      </c>
      <c r="R671" t="str">
        <f>PasteBBM!AI671</f>
        <v/>
      </c>
      <c r="S671" t="str">
        <f>PasteBBM!AE671</f>
        <v/>
      </c>
      <c r="T671" t="str">
        <f>PasteBBM!AG671</f>
        <v/>
      </c>
      <c r="V671" s="44">
        <v>-0.41709</v>
      </c>
      <c r="W671" s="44">
        <v>-0.00658</v>
      </c>
      <c r="X671" s="44">
        <v>0.009207</v>
      </c>
      <c r="Y671" s="44">
        <v>-0.4263</v>
      </c>
      <c r="Z671" s="44">
        <v>-0.34564</v>
      </c>
      <c r="AA671" s="45"/>
      <c r="AB671" s="46" t="s">
        <v>126</v>
      </c>
      <c r="AC671" s="44">
        <v>67.0</v>
      </c>
    </row>
    <row r="672">
      <c r="A672" s="2">
        <v>163.0</v>
      </c>
      <c r="B672" s="14">
        <f>IF(PasteBBM!B672="",156,PasteBBM!B672)</f>
        <v>156</v>
      </c>
      <c r="C672" t="str">
        <f>PasteBBM!I672</f>
        <v/>
      </c>
      <c r="D672" t="str">
        <f>IFERROR(REPLACE(PasteBBM!K672,FIND("/",PasteBBM!K672,1),1,","),PasteBBM!K672)</f>
        <v/>
      </c>
      <c r="E672" t="str">
        <f>PasteBBM!J672</f>
        <v/>
      </c>
      <c r="F672" t="str">
        <f>PasteBBM!U672</f>
        <v/>
      </c>
      <c r="G672" t="str">
        <f>PasteBBM!X672</f>
        <v/>
      </c>
      <c r="H672">
        <f>PasteBBM!AE672*PasteBBM!AF672</f>
        <v>0</v>
      </c>
      <c r="I672" t="str">
        <f>PasteBBM!AE672</f>
        <v/>
      </c>
      <c r="J672">
        <f>PasteBBM!AG672*PasteBBM!AH672</f>
        <v>0</v>
      </c>
      <c r="K672" t="str">
        <f>PasteBBM!AG672</f>
        <v/>
      </c>
      <c r="L672" t="str">
        <f>PasteBBM!Z672</f>
        <v/>
      </c>
      <c r="M672" t="str">
        <f>PasteBBM!Y672</f>
        <v/>
      </c>
      <c r="N672" t="str">
        <f>PasteBBM!AA672</f>
        <v/>
      </c>
      <c r="O672" t="str">
        <f>PasteBBM!AB672</f>
        <v/>
      </c>
      <c r="P672" t="str">
        <f>PasteBBM!AC672</f>
        <v/>
      </c>
      <c r="Q672" t="str">
        <f>PasteBBM!AD672</f>
        <v/>
      </c>
      <c r="R672" t="str">
        <f>PasteBBM!AI672</f>
        <v/>
      </c>
      <c r="S672" t="str">
        <f>PasteBBM!AE672</f>
        <v/>
      </c>
      <c r="T672" t="str">
        <f>PasteBBM!AG672</f>
        <v/>
      </c>
      <c r="V672" s="44">
        <v>-0.41709</v>
      </c>
      <c r="W672" s="44">
        <v>-0.00658</v>
      </c>
      <c r="X672" s="44">
        <v>0.009207</v>
      </c>
      <c r="Y672" s="44">
        <v>-0.4263</v>
      </c>
      <c r="Z672" s="44">
        <v>-0.34564</v>
      </c>
      <c r="AA672" s="45"/>
      <c r="AB672" s="46" t="s">
        <v>126</v>
      </c>
      <c r="AC672" s="44">
        <v>67.0</v>
      </c>
    </row>
    <row r="673">
      <c r="A673" s="2">
        <v>163.0</v>
      </c>
      <c r="B673" s="14">
        <f>IF(PasteBBM!B673="",156,PasteBBM!B673)</f>
        <v>156</v>
      </c>
      <c r="C673" t="str">
        <f>PasteBBM!I673</f>
        <v/>
      </c>
      <c r="D673" t="str">
        <f>IFERROR(REPLACE(PasteBBM!K673,FIND("/",PasteBBM!K673,1),1,","),PasteBBM!K673)</f>
        <v/>
      </c>
      <c r="E673" t="str">
        <f>PasteBBM!J673</f>
        <v/>
      </c>
      <c r="F673" t="str">
        <f>PasteBBM!U673</f>
        <v/>
      </c>
      <c r="G673" t="str">
        <f>PasteBBM!X673</f>
        <v/>
      </c>
      <c r="H673">
        <f>PasteBBM!AE673*PasteBBM!AF673</f>
        <v>0</v>
      </c>
      <c r="I673" t="str">
        <f>PasteBBM!AE673</f>
        <v/>
      </c>
      <c r="J673">
        <f>PasteBBM!AG673*PasteBBM!AH673</f>
        <v>0</v>
      </c>
      <c r="K673" t="str">
        <f>PasteBBM!AG673</f>
        <v/>
      </c>
      <c r="L673" t="str">
        <f>PasteBBM!Z673</f>
        <v/>
      </c>
      <c r="M673" t="str">
        <f>PasteBBM!Y673</f>
        <v/>
      </c>
      <c r="N673" t="str">
        <f>PasteBBM!AA673</f>
        <v/>
      </c>
      <c r="O673" t="str">
        <f>PasteBBM!AB673</f>
        <v/>
      </c>
      <c r="P673" t="str">
        <f>PasteBBM!AC673</f>
        <v/>
      </c>
      <c r="Q673" t="str">
        <f>PasteBBM!AD673</f>
        <v/>
      </c>
      <c r="R673" t="str">
        <f>PasteBBM!AI673</f>
        <v/>
      </c>
      <c r="S673" t="str">
        <f>PasteBBM!AE673</f>
        <v/>
      </c>
      <c r="T673" t="str">
        <f>PasteBBM!AG673</f>
        <v/>
      </c>
      <c r="V673" s="44">
        <v>-0.41709</v>
      </c>
      <c r="W673" s="44">
        <v>-0.00658</v>
      </c>
      <c r="X673" s="44">
        <v>0.009207</v>
      </c>
      <c r="Y673" s="44">
        <v>-0.4263</v>
      </c>
      <c r="Z673" s="44">
        <v>-0.34564</v>
      </c>
      <c r="AA673" s="45"/>
      <c r="AB673" s="46" t="s">
        <v>126</v>
      </c>
      <c r="AC673" s="44">
        <v>67.0</v>
      </c>
    </row>
    <row r="674">
      <c r="A674" s="2">
        <v>163.0</v>
      </c>
      <c r="B674" s="14">
        <f>IF(PasteBBM!B674="",156,PasteBBM!B674)</f>
        <v>156</v>
      </c>
      <c r="C674" t="str">
        <f>PasteBBM!I674</f>
        <v/>
      </c>
      <c r="D674" t="str">
        <f>IFERROR(REPLACE(PasteBBM!K674,FIND("/",PasteBBM!K674,1),1,","),PasteBBM!K674)</f>
        <v/>
      </c>
      <c r="E674" t="str">
        <f>PasteBBM!J674</f>
        <v/>
      </c>
      <c r="F674" t="str">
        <f>PasteBBM!U674</f>
        <v/>
      </c>
      <c r="G674" t="str">
        <f>PasteBBM!X674</f>
        <v/>
      </c>
      <c r="H674">
        <f>PasteBBM!AE674*PasteBBM!AF674</f>
        <v>0</v>
      </c>
      <c r="I674" t="str">
        <f>PasteBBM!AE674</f>
        <v/>
      </c>
      <c r="J674">
        <f>PasteBBM!AG674*PasteBBM!AH674</f>
        <v>0</v>
      </c>
      <c r="K674" t="str">
        <f>PasteBBM!AG674</f>
        <v/>
      </c>
      <c r="L674" t="str">
        <f>PasteBBM!Z674</f>
        <v/>
      </c>
      <c r="M674" t="str">
        <f>PasteBBM!Y674</f>
        <v/>
      </c>
      <c r="N674" t="str">
        <f>PasteBBM!AA674</f>
        <v/>
      </c>
      <c r="O674" t="str">
        <f>PasteBBM!AB674</f>
        <v/>
      </c>
      <c r="P674" t="str">
        <f>PasteBBM!AC674</f>
        <v/>
      </c>
      <c r="Q674" t="str">
        <f>PasteBBM!AD674</f>
        <v/>
      </c>
      <c r="R674" t="str">
        <f>PasteBBM!AI674</f>
        <v/>
      </c>
      <c r="S674" t="str">
        <f>PasteBBM!AE674</f>
        <v/>
      </c>
      <c r="T674" t="str">
        <f>PasteBBM!AG674</f>
        <v/>
      </c>
      <c r="V674" s="44">
        <v>-0.41709</v>
      </c>
      <c r="W674" s="44">
        <v>-0.00658</v>
      </c>
      <c r="X674" s="44">
        <v>0.009207</v>
      </c>
      <c r="Y674" s="44">
        <v>-0.4263</v>
      </c>
      <c r="Z674" s="44">
        <v>-0.34564</v>
      </c>
      <c r="AA674" s="45"/>
      <c r="AB674" s="46" t="s">
        <v>126</v>
      </c>
      <c r="AC674" s="44">
        <v>67.0</v>
      </c>
    </row>
    <row r="675">
      <c r="A675" s="2">
        <v>163.0</v>
      </c>
      <c r="B675" s="14">
        <f>IF(PasteBBM!B675="",156,PasteBBM!B675)</f>
        <v>156</v>
      </c>
      <c r="C675" t="str">
        <f>PasteBBM!I675</f>
        <v/>
      </c>
      <c r="D675" t="str">
        <f>IFERROR(REPLACE(PasteBBM!K675,FIND("/",PasteBBM!K675,1),1,","),PasteBBM!K675)</f>
        <v/>
      </c>
      <c r="E675" t="str">
        <f>PasteBBM!J675</f>
        <v/>
      </c>
      <c r="F675" t="str">
        <f>PasteBBM!U675</f>
        <v/>
      </c>
      <c r="G675" t="str">
        <f>PasteBBM!X675</f>
        <v/>
      </c>
      <c r="H675">
        <f>PasteBBM!AE675*PasteBBM!AF675</f>
        <v>0</v>
      </c>
      <c r="I675" t="str">
        <f>PasteBBM!AE675</f>
        <v/>
      </c>
      <c r="J675">
        <f>PasteBBM!AG675*PasteBBM!AH675</f>
        <v>0</v>
      </c>
      <c r="K675" t="str">
        <f>PasteBBM!AG675</f>
        <v/>
      </c>
      <c r="L675" t="str">
        <f>PasteBBM!Z675</f>
        <v/>
      </c>
      <c r="M675" t="str">
        <f>PasteBBM!Y675</f>
        <v/>
      </c>
      <c r="N675" t="str">
        <f>PasteBBM!AA675</f>
        <v/>
      </c>
      <c r="O675" t="str">
        <f>PasteBBM!AB675</f>
        <v/>
      </c>
      <c r="P675" t="str">
        <f>PasteBBM!AC675</f>
        <v/>
      </c>
      <c r="Q675" t="str">
        <f>PasteBBM!AD675</f>
        <v/>
      </c>
      <c r="R675" t="str">
        <f>PasteBBM!AI675</f>
        <v/>
      </c>
      <c r="S675" t="str">
        <f>PasteBBM!AE675</f>
        <v/>
      </c>
      <c r="T675" t="str">
        <f>PasteBBM!AG675</f>
        <v/>
      </c>
      <c r="V675" s="44">
        <v>-0.41709</v>
      </c>
      <c r="W675" s="44">
        <v>-0.00658</v>
      </c>
      <c r="X675" s="44">
        <v>0.009207</v>
      </c>
      <c r="Y675" s="44">
        <v>-0.4263</v>
      </c>
      <c r="Z675" s="44">
        <v>-0.34564</v>
      </c>
      <c r="AA675" s="45"/>
      <c r="AB675" s="46" t="s">
        <v>126</v>
      </c>
      <c r="AC675" s="44">
        <v>67.0</v>
      </c>
    </row>
    <row r="676">
      <c r="A676" s="2">
        <v>163.0</v>
      </c>
      <c r="B676" s="14">
        <f>IF(PasteBBM!B676="",156,PasteBBM!B676)</f>
        <v>156</v>
      </c>
      <c r="C676" t="str">
        <f>PasteBBM!I676</f>
        <v/>
      </c>
      <c r="D676" t="str">
        <f>IFERROR(REPLACE(PasteBBM!K676,FIND("/",PasteBBM!K676,1),1,","),PasteBBM!K676)</f>
        <v/>
      </c>
      <c r="E676" t="str">
        <f>PasteBBM!J676</f>
        <v/>
      </c>
      <c r="F676" t="str">
        <f>PasteBBM!U676</f>
        <v/>
      </c>
      <c r="G676" t="str">
        <f>PasteBBM!X676</f>
        <v/>
      </c>
      <c r="H676">
        <f>PasteBBM!AE676*PasteBBM!AF676</f>
        <v>0</v>
      </c>
      <c r="I676" t="str">
        <f>PasteBBM!AE676</f>
        <v/>
      </c>
      <c r="J676">
        <f>PasteBBM!AG676*PasteBBM!AH676</f>
        <v>0</v>
      </c>
      <c r="K676" t="str">
        <f>PasteBBM!AG676</f>
        <v/>
      </c>
      <c r="L676" t="str">
        <f>PasteBBM!Z676</f>
        <v/>
      </c>
      <c r="M676" t="str">
        <f>PasteBBM!Y676</f>
        <v/>
      </c>
      <c r="N676" t="str">
        <f>PasteBBM!AA676</f>
        <v/>
      </c>
      <c r="O676" t="str">
        <f>PasteBBM!AB676</f>
        <v/>
      </c>
      <c r="P676" t="str">
        <f>PasteBBM!AC676</f>
        <v/>
      </c>
      <c r="Q676" t="str">
        <f>PasteBBM!AD676</f>
        <v/>
      </c>
      <c r="R676" t="str">
        <f>PasteBBM!AI676</f>
        <v/>
      </c>
      <c r="S676" t="str">
        <f>PasteBBM!AE676</f>
        <v/>
      </c>
      <c r="T676" t="str">
        <f>PasteBBM!AG676</f>
        <v/>
      </c>
      <c r="V676" s="44">
        <v>-0.41709</v>
      </c>
      <c r="W676" s="44">
        <v>-0.00658</v>
      </c>
      <c r="X676" s="44">
        <v>0.009207</v>
      </c>
      <c r="Y676" s="44">
        <v>-0.4263</v>
      </c>
      <c r="Z676" s="44">
        <v>-0.34564</v>
      </c>
      <c r="AA676" s="45"/>
      <c r="AB676" s="46" t="s">
        <v>126</v>
      </c>
      <c r="AC676" s="44">
        <v>67.0</v>
      </c>
    </row>
    <row r="677">
      <c r="A677" s="2">
        <v>163.0</v>
      </c>
      <c r="B677" s="14">
        <f>IF(PasteBBM!B677="",156,PasteBBM!B677)</f>
        <v>156</v>
      </c>
      <c r="C677" t="str">
        <f>PasteBBM!I677</f>
        <v/>
      </c>
      <c r="D677" t="str">
        <f>IFERROR(REPLACE(PasteBBM!K677,FIND("/",PasteBBM!K677,1),1,","),PasteBBM!K677)</f>
        <v/>
      </c>
      <c r="E677" t="str">
        <f>PasteBBM!J677</f>
        <v/>
      </c>
      <c r="F677" t="str">
        <f>PasteBBM!U677</f>
        <v/>
      </c>
      <c r="G677" t="str">
        <f>PasteBBM!X677</f>
        <v/>
      </c>
      <c r="H677">
        <f>PasteBBM!AE677*PasteBBM!AF677</f>
        <v>0</v>
      </c>
      <c r="I677" t="str">
        <f>PasteBBM!AE677</f>
        <v/>
      </c>
      <c r="J677">
        <f>PasteBBM!AG677*PasteBBM!AH677</f>
        <v>0</v>
      </c>
      <c r="K677" t="str">
        <f>PasteBBM!AG677</f>
        <v/>
      </c>
      <c r="L677" t="str">
        <f>PasteBBM!Z677</f>
        <v/>
      </c>
      <c r="M677" t="str">
        <f>PasteBBM!Y677</f>
        <v/>
      </c>
      <c r="N677" t="str">
        <f>PasteBBM!AA677</f>
        <v/>
      </c>
      <c r="O677" t="str">
        <f>PasteBBM!AB677</f>
        <v/>
      </c>
      <c r="P677" t="str">
        <f>PasteBBM!AC677</f>
        <v/>
      </c>
      <c r="Q677" t="str">
        <f>PasteBBM!AD677</f>
        <v/>
      </c>
      <c r="R677" t="str">
        <f>PasteBBM!AI677</f>
        <v/>
      </c>
      <c r="S677" t="str">
        <f>PasteBBM!AE677</f>
        <v/>
      </c>
      <c r="T677" t="str">
        <f>PasteBBM!AG677</f>
        <v/>
      </c>
      <c r="V677" s="44">
        <v>-0.41709</v>
      </c>
      <c r="W677" s="44">
        <v>-0.00658</v>
      </c>
      <c r="X677" s="44">
        <v>0.009207</v>
      </c>
      <c r="Y677" s="44">
        <v>-0.4263</v>
      </c>
      <c r="Z677" s="44">
        <v>-0.34564</v>
      </c>
      <c r="AA677" s="45"/>
      <c r="AB677" s="46" t="s">
        <v>126</v>
      </c>
      <c r="AC677" s="44">
        <v>67.0</v>
      </c>
    </row>
    <row r="678">
      <c r="A678" s="2">
        <v>163.0</v>
      </c>
      <c r="B678" s="14">
        <f>IF(PasteBBM!B678="",156,PasteBBM!B678)</f>
        <v>156</v>
      </c>
      <c r="C678" t="str">
        <f>PasteBBM!I678</f>
        <v/>
      </c>
      <c r="D678" t="str">
        <f>IFERROR(REPLACE(PasteBBM!K678,FIND("/",PasteBBM!K678,1),1,","),PasteBBM!K678)</f>
        <v/>
      </c>
      <c r="E678" t="str">
        <f>PasteBBM!J678</f>
        <v/>
      </c>
      <c r="F678" t="str">
        <f>PasteBBM!U678</f>
        <v/>
      </c>
      <c r="G678" t="str">
        <f>PasteBBM!X678</f>
        <v/>
      </c>
      <c r="H678">
        <f>PasteBBM!AE678*PasteBBM!AF678</f>
        <v>0</v>
      </c>
      <c r="I678" t="str">
        <f>PasteBBM!AE678</f>
        <v/>
      </c>
      <c r="J678">
        <f>PasteBBM!AG678*PasteBBM!AH678</f>
        <v>0</v>
      </c>
      <c r="K678" t="str">
        <f>PasteBBM!AG678</f>
        <v/>
      </c>
      <c r="L678" t="str">
        <f>PasteBBM!Z678</f>
        <v/>
      </c>
      <c r="M678" t="str">
        <f>PasteBBM!Y678</f>
        <v/>
      </c>
      <c r="N678" t="str">
        <f>PasteBBM!AA678</f>
        <v/>
      </c>
      <c r="O678" t="str">
        <f>PasteBBM!AB678</f>
        <v/>
      </c>
      <c r="P678" t="str">
        <f>PasteBBM!AC678</f>
        <v/>
      </c>
      <c r="Q678" t="str">
        <f>PasteBBM!AD678</f>
        <v/>
      </c>
      <c r="R678" t="str">
        <f>PasteBBM!AI678</f>
        <v/>
      </c>
      <c r="S678" t="str">
        <f>PasteBBM!AE678</f>
        <v/>
      </c>
      <c r="T678" t="str">
        <f>PasteBBM!AG678</f>
        <v/>
      </c>
      <c r="V678" s="44">
        <v>-0.41709</v>
      </c>
      <c r="W678" s="44">
        <v>-0.00658</v>
      </c>
      <c r="X678" s="44">
        <v>0.009207</v>
      </c>
      <c r="Y678" s="44">
        <v>-0.4263</v>
      </c>
      <c r="Z678" s="44">
        <v>-0.34564</v>
      </c>
      <c r="AA678" s="45"/>
      <c r="AB678" s="46" t="s">
        <v>126</v>
      </c>
      <c r="AC678" s="44">
        <v>67.0</v>
      </c>
    </row>
    <row r="679">
      <c r="A679" s="2">
        <v>163.0</v>
      </c>
      <c r="B679" s="14">
        <f>IF(PasteBBM!B679="",156,PasteBBM!B679)</f>
        <v>156</v>
      </c>
      <c r="C679" t="str">
        <f>PasteBBM!I679</f>
        <v/>
      </c>
      <c r="D679" t="str">
        <f>IFERROR(REPLACE(PasteBBM!K679,FIND("/",PasteBBM!K679,1),1,","),PasteBBM!K679)</f>
        <v/>
      </c>
      <c r="E679" t="str">
        <f>PasteBBM!J679</f>
        <v/>
      </c>
      <c r="F679" t="str">
        <f>PasteBBM!U679</f>
        <v/>
      </c>
      <c r="G679" t="str">
        <f>PasteBBM!X679</f>
        <v/>
      </c>
      <c r="H679">
        <f>PasteBBM!AE679*PasteBBM!AF679</f>
        <v>0</v>
      </c>
      <c r="I679" t="str">
        <f>PasteBBM!AE679</f>
        <v/>
      </c>
      <c r="J679">
        <f>PasteBBM!AG679*PasteBBM!AH679</f>
        <v>0</v>
      </c>
      <c r="K679" t="str">
        <f>PasteBBM!AG679</f>
        <v/>
      </c>
      <c r="L679" t="str">
        <f>PasteBBM!Z679</f>
        <v/>
      </c>
      <c r="M679" t="str">
        <f>PasteBBM!Y679</f>
        <v/>
      </c>
      <c r="N679" t="str">
        <f>PasteBBM!AA679</f>
        <v/>
      </c>
      <c r="O679" t="str">
        <f>PasteBBM!AB679</f>
        <v/>
      </c>
      <c r="P679" t="str">
        <f>PasteBBM!AC679</f>
        <v/>
      </c>
      <c r="Q679" t="str">
        <f>PasteBBM!AD679</f>
        <v/>
      </c>
      <c r="R679" t="str">
        <f>PasteBBM!AI679</f>
        <v/>
      </c>
      <c r="S679" t="str">
        <f>PasteBBM!AE679</f>
        <v/>
      </c>
      <c r="T679" t="str">
        <f>PasteBBM!AG679</f>
        <v/>
      </c>
      <c r="V679" s="44">
        <v>-0.41709</v>
      </c>
      <c r="W679" s="44">
        <v>-0.00658</v>
      </c>
      <c r="X679" s="44">
        <v>0.009207</v>
      </c>
      <c r="Y679" s="44">
        <v>-0.4263</v>
      </c>
      <c r="Z679" s="44">
        <v>-0.34564</v>
      </c>
      <c r="AA679" s="45"/>
      <c r="AB679" s="46" t="s">
        <v>126</v>
      </c>
      <c r="AC679" s="44">
        <v>67.0</v>
      </c>
    </row>
    <row r="680">
      <c r="A680" s="2">
        <v>163.0</v>
      </c>
      <c r="B680" s="14">
        <f>IF(PasteBBM!B680="",156,PasteBBM!B680)</f>
        <v>156</v>
      </c>
      <c r="C680" t="str">
        <f>PasteBBM!I680</f>
        <v/>
      </c>
      <c r="D680" t="str">
        <f>IFERROR(REPLACE(PasteBBM!K680,FIND("/",PasteBBM!K680,1),1,","),PasteBBM!K680)</f>
        <v/>
      </c>
      <c r="E680" t="str">
        <f>PasteBBM!J680</f>
        <v/>
      </c>
      <c r="F680" t="str">
        <f>PasteBBM!U680</f>
        <v/>
      </c>
      <c r="G680" t="str">
        <f>PasteBBM!X680</f>
        <v/>
      </c>
      <c r="H680">
        <f>PasteBBM!AE680*PasteBBM!AF680</f>
        <v>0</v>
      </c>
      <c r="I680" t="str">
        <f>PasteBBM!AE680</f>
        <v/>
      </c>
      <c r="J680">
        <f>PasteBBM!AG680*PasteBBM!AH680</f>
        <v>0</v>
      </c>
      <c r="K680" t="str">
        <f>PasteBBM!AG680</f>
        <v/>
      </c>
      <c r="L680" t="str">
        <f>PasteBBM!Z680</f>
        <v/>
      </c>
      <c r="M680" t="str">
        <f>PasteBBM!Y680</f>
        <v/>
      </c>
      <c r="N680" t="str">
        <f>PasteBBM!AA680</f>
        <v/>
      </c>
      <c r="O680" t="str">
        <f>PasteBBM!AB680</f>
        <v/>
      </c>
      <c r="P680" t="str">
        <f>PasteBBM!AC680</f>
        <v/>
      </c>
      <c r="Q680" t="str">
        <f>PasteBBM!AD680</f>
        <v/>
      </c>
      <c r="R680" t="str">
        <f>PasteBBM!AI680</f>
        <v/>
      </c>
      <c r="S680" t="str">
        <f>PasteBBM!AE680</f>
        <v/>
      </c>
      <c r="T680" t="str">
        <f>PasteBBM!AG680</f>
        <v/>
      </c>
      <c r="V680" s="44">
        <v>-0.41709</v>
      </c>
      <c r="W680" s="44">
        <v>-0.00658</v>
      </c>
      <c r="X680" s="44">
        <v>0.009207</v>
      </c>
      <c r="Y680" s="44">
        <v>-0.4263</v>
      </c>
      <c r="Z680" s="44">
        <v>-0.34564</v>
      </c>
      <c r="AA680" s="45"/>
      <c r="AB680" s="46" t="s">
        <v>126</v>
      </c>
      <c r="AC680" s="44">
        <v>67.0</v>
      </c>
    </row>
    <row r="681">
      <c r="A681" s="2">
        <v>163.0</v>
      </c>
      <c r="B681" s="14">
        <f>IF(PasteBBM!B681="",156,PasteBBM!B681)</f>
        <v>156</v>
      </c>
      <c r="C681" t="str">
        <f>PasteBBM!I681</f>
        <v/>
      </c>
      <c r="D681" t="str">
        <f>IFERROR(REPLACE(PasteBBM!K681,FIND("/",PasteBBM!K681,1),1,","),PasteBBM!K681)</f>
        <v/>
      </c>
      <c r="E681" t="str">
        <f>PasteBBM!J681</f>
        <v/>
      </c>
      <c r="F681" t="str">
        <f>PasteBBM!U681</f>
        <v/>
      </c>
      <c r="G681" t="str">
        <f>PasteBBM!X681</f>
        <v/>
      </c>
      <c r="H681">
        <f>PasteBBM!AE681*PasteBBM!AF681</f>
        <v>0</v>
      </c>
      <c r="I681" t="str">
        <f>PasteBBM!AE681</f>
        <v/>
      </c>
      <c r="J681">
        <f>PasteBBM!AG681*PasteBBM!AH681</f>
        <v>0</v>
      </c>
      <c r="K681" t="str">
        <f>PasteBBM!AG681</f>
        <v/>
      </c>
      <c r="L681" t="str">
        <f>PasteBBM!Z681</f>
        <v/>
      </c>
      <c r="M681" t="str">
        <f>PasteBBM!Y681</f>
        <v/>
      </c>
      <c r="N681" t="str">
        <f>PasteBBM!AA681</f>
        <v/>
      </c>
      <c r="O681" t="str">
        <f>PasteBBM!AB681</f>
        <v/>
      </c>
      <c r="P681" t="str">
        <f>PasteBBM!AC681</f>
        <v/>
      </c>
      <c r="Q681" t="str">
        <f>PasteBBM!AD681</f>
        <v/>
      </c>
      <c r="R681" t="str">
        <f>PasteBBM!AI681</f>
        <v/>
      </c>
      <c r="S681" t="str">
        <f>PasteBBM!AE681</f>
        <v/>
      </c>
      <c r="T681" t="str">
        <f>PasteBBM!AG681</f>
        <v/>
      </c>
      <c r="V681" s="44">
        <v>-0.41709</v>
      </c>
      <c r="W681" s="44">
        <v>-0.00658</v>
      </c>
      <c r="X681" s="44">
        <v>0.009207</v>
      </c>
      <c r="Y681" s="44">
        <v>-0.4263</v>
      </c>
      <c r="Z681" s="44">
        <v>-0.34564</v>
      </c>
      <c r="AA681" s="45"/>
      <c r="AB681" s="46" t="s">
        <v>126</v>
      </c>
      <c r="AC681" s="44">
        <v>67.0</v>
      </c>
    </row>
    <row r="682">
      <c r="A682" s="2">
        <v>163.0</v>
      </c>
      <c r="B682" s="14">
        <f>IF(PasteBBM!B682="",156,PasteBBM!B682)</f>
        <v>156</v>
      </c>
      <c r="C682" t="str">
        <f>PasteBBM!I682</f>
        <v/>
      </c>
      <c r="D682" t="str">
        <f>IFERROR(REPLACE(PasteBBM!K682,FIND("/",PasteBBM!K682,1),1,","),PasteBBM!K682)</f>
        <v/>
      </c>
      <c r="E682" t="str">
        <f>PasteBBM!J682</f>
        <v/>
      </c>
      <c r="F682" t="str">
        <f>PasteBBM!U682</f>
        <v/>
      </c>
      <c r="G682" t="str">
        <f>PasteBBM!X682</f>
        <v/>
      </c>
      <c r="H682">
        <f>PasteBBM!AE682*PasteBBM!AF682</f>
        <v>0</v>
      </c>
      <c r="I682" t="str">
        <f>PasteBBM!AE682</f>
        <v/>
      </c>
      <c r="J682">
        <f>PasteBBM!AG682*PasteBBM!AH682</f>
        <v>0</v>
      </c>
      <c r="K682" t="str">
        <f>PasteBBM!AG682</f>
        <v/>
      </c>
      <c r="L682" t="str">
        <f>PasteBBM!Z682</f>
        <v/>
      </c>
      <c r="M682" t="str">
        <f>PasteBBM!Y682</f>
        <v/>
      </c>
      <c r="N682" t="str">
        <f>PasteBBM!AA682</f>
        <v/>
      </c>
      <c r="O682" t="str">
        <f>PasteBBM!AB682</f>
        <v/>
      </c>
      <c r="P682" t="str">
        <f>PasteBBM!AC682</f>
        <v/>
      </c>
      <c r="Q682" t="str">
        <f>PasteBBM!AD682</f>
        <v/>
      </c>
      <c r="R682" t="str">
        <f>PasteBBM!AI682</f>
        <v/>
      </c>
      <c r="S682" t="str">
        <f>PasteBBM!AE682</f>
        <v/>
      </c>
      <c r="T682" t="str">
        <f>PasteBBM!AG682</f>
        <v/>
      </c>
      <c r="V682" s="44">
        <v>-0.41709</v>
      </c>
      <c r="W682" s="44">
        <v>-0.00658</v>
      </c>
      <c r="X682" s="44">
        <v>0.009207</v>
      </c>
      <c r="Y682" s="44">
        <v>-0.4263</v>
      </c>
      <c r="Z682" s="44">
        <v>-0.34564</v>
      </c>
      <c r="AA682" s="45"/>
      <c r="AB682" s="46" t="s">
        <v>126</v>
      </c>
      <c r="AC682" s="44">
        <v>67.0</v>
      </c>
    </row>
    <row r="683">
      <c r="A683" s="2">
        <v>163.0</v>
      </c>
      <c r="B683" s="14">
        <f>IF(PasteBBM!B683="",156,PasteBBM!B683)</f>
        <v>156</v>
      </c>
      <c r="C683" t="str">
        <f>PasteBBM!I683</f>
        <v/>
      </c>
      <c r="D683" t="str">
        <f>IFERROR(REPLACE(PasteBBM!K683,FIND("/",PasteBBM!K683,1),1,","),PasteBBM!K683)</f>
        <v/>
      </c>
      <c r="E683" t="str">
        <f>PasteBBM!J683</f>
        <v/>
      </c>
      <c r="F683" t="str">
        <f>PasteBBM!U683</f>
        <v/>
      </c>
      <c r="G683" t="str">
        <f>PasteBBM!X683</f>
        <v/>
      </c>
      <c r="H683">
        <f>PasteBBM!AE683*PasteBBM!AF683</f>
        <v>0</v>
      </c>
      <c r="I683" t="str">
        <f>PasteBBM!AE683</f>
        <v/>
      </c>
      <c r="J683">
        <f>PasteBBM!AG683*PasteBBM!AH683</f>
        <v>0</v>
      </c>
      <c r="K683" t="str">
        <f>PasteBBM!AG683</f>
        <v/>
      </c>
      <c r="L683" t="str">
        <f>PasteBBM!Z683</f>
        <v/>
      </c>
      <c r="M683" t="str">
        <f>PasteBBM!Y683</f>
        <v/>
      </c>
      <c r="N683" t="str">
        <f>PasteBBM!AA683</f>
        <v/>
      </c>
      <c r="O683" t="str">
        <f>PasteBBM!AB683</f>
        <v/>
      </c>
      <c r="P683" t="str">
        <f>PasteBBM!AC683</f>
        <v/>
      </c>
      <c r="Q683" t="str">
        <f>PasteBBM!AD683</f>
        <v/>
      </c>
      <c r="R683" t="str">
        <f>PasteBBM!AI683</f>
        <v/>
      </c>
      <c r="S683" t="str">
        <f>PasteBBM!AE683</f>
        <v/>
      </c>
      <c r="T683" t="str">
        <f>PasteBBM!AG683</f>
        <v/>
      </c>
      <c r="V683" s="44">
        <v>-0.41709</v>
      </c>
      <c r="W683" s="44">
        <v>-0.00658</v>
      </c>
      <c r="X683" s="44">
        <v>0.009207</v>
      </c>
      <c r="Y683" s="44">
        <v>-0.4263</v>
      </c>
      <c r="Z683" s="44">
        <v>-0.34564</v>
      </c>
      <c r="AA683" s="45"/>
      <c r="AB683" s="46" t="s">
        <v>126</v>
      </c>
      <c r="AC683" s="44">
        <v>67.0</v>
      </c>
    </row>
    <row r="684">
      <c r="A684" s="2">
        <v>163.0</v>
      </c>
      <c r="B684" s="14">
        <f>IF(PasteBBM!B684="",156,PasteBBM!B684)</f>
        <v>156</v>
      </c>
      <c r="C684" t="str">
        <f>PasteBBM!I684</f>
        <v/>
      </c>
      <c r="D684" t="str">
        <f>IFERROR(REPLACE(PasteBBM!K684,FIND("/",PasteBBM!K684,1),1,","),PasteBBM!K684)</f>
        <v/>
      </c>
      <c r="E684" t="str">
        <f>PasteBBM!J684</f>
        <v/>
      </c>
      <c r="F684" t="str">
        <f>PasteBBM!U684</f>
        <v/>
      </c>
      <c r="G684" t="str">
        <f>PasteBBM!X684</f>
        <v/>
      </c>
      <c r="H684">
        <f>PasteBBM!AE684*PasteBBM!AF684</f>
        <v>0</v>
      </c>
      <c r="I684" t="str">
        <f>PasteBBM!AE684</f>
        <v/>
      </c>
      <c r="J684">
        <f>PasteBBM!AG684*PasteBBM!AH684</f>
        <v>0</v>
      </c>
      <c r="K684" t="str">
        <f>PasteBBM!AG684</f>
        <v/>
      </c>
      <c r="L684" t="str">
        <f>PasteBBM!Z684</f>
        <v/>
      </c>
      <c r="M684" t="str">
        <f>PasteBBM!Y684</f>
        <v/>
      </c>
      <c r="N684" t="str">
        <f>PasteBBM!AA684</f>
        <v/>
      </c>
      <c r="O684" t="str">
        <f>PasteBBM!AB684</f>
        <v/>
      </c>
      <c r="P684" t="str">
        <f>PasteBBM!AC684</f>
        <v/>
      </c>
      <c r="Q684" t="str">
        <f>PasteBBM!AD684</f>
        <v/>
      </c>
      <c r="R684" t="str">
        <f>PasteBBM!AI684</f>
        <v/>
      </c>
      <c r="S684" t="str">
        <f>PasteBBM!AE684</f>
        <v/>
      </c>
      <c r="T684" t="str">
        <f>PasteBBM!AG684</f>
        <v/>
      </c>
      <c r="V684" s="44">
        <v>-0.41709</v>
      </c>
      <c r="W684" s="44">
        <v>-0.00658</v>
      </c>
      <c r="X684" s="44">
        <v>0.009207</v>
      </c>
      <c r="Y684" s="44">
        <v>-0.4263</v>
      </c>
      <c r="Z684" s="44">
        <v>-0.34564</v>
      </c>
      <c r="AA684" s="45"/>
      <c r="AB684" s="46" t="s">
        <v>126</v>
      </c>
      <c r="AC684" s="44">
        <v>67.0</v>
      </c>
    </row>
    <row r="685">
      <c r="A685" s="2">
        <v>163.0</v>
      </c>
      <c r="B685" s="14">
        <f>IF(PasteBBM!B685="",156,PasteBBM!B685)</f>
        <v>156</v>
      </c>
      <c r="C685" t="str">
        <f>PasteBBM!I685</f>
        <v/>
      </c>
      <c r="D685" t="str">
        <f>IFERROR(REPLACE(PasteBBM!K685,FIND("/",PasteBBM!K685,1),1,","),PasteBBM!K685)</f>
        <v/>
      </c>
      <c r="E685" t="str">
        <f>PasteBBM!J685</f>
        <v/>
      </c>
      <c r="F685" t="str">
        <f>PasteBBM!U685</f>
        <v/>
      </c>
      <c r="G685" t="str">
        <f>PasteBBM!X685</f>
        <v/>
      </c>
      <c r="H685">
        <f>PasteBBM!AE685*PasteBBM!AF685</f>
        <v>0</v>
      </c>
      <c r="I685" t="str">
        <f>PasteBBM!AE685</f>
        <v/>
      </c>
      <c r="J685">
        <f>PasteBBM!AG685*PasteBBM!AH685</f>
        <v>0</v>
      </c>
      <c r="K685" t="str">
        <f>PasteBBM!AG685</f>
        <v/>
      </c>
      <c r="L685" t="str">
        <f>PasteBBM!Z685</f>
        <v/>
      </c>
      <c r="M685" t="str">
        <f>PasteBBM!Y685</f>
        <v/>
      </c>
      <c r="N685" t="str">
        <f>PasteBBM!AA685</f>
        <v/>
      </c>
      <c r="O685" t="str">
        <f>PasteBBM!AB685</f>
        <v/>
      </c>
      <c r="P685" t="str">
        <f>PasteBBM!AC685</f>
        <v/>
      </c>
      <c r="Q685" t="str">
        <f>PasteBBM!AD685</f>
        <v/>
      </c>
      <c r="R685" t="str">
        <f>PasteBBM!AI685</f>
        <v/>
      </c>
      <c r="S685" t="str">
        <f>PasteBBM!AE685</f>
        <v/>
      </c>
      <c r="T685" t="str">
        <f>PasteBBM!AG685</f>
        <v/>
      </c>
      <c r="V685" s="44">
        <v>-0.41709</v>
      </c>
      <c r="W685" s="44">
        <v>-0.00658</v>
      </c>
      <c r="X685" s="44">
        <v>0.009207</v>
      </c>
      <c r="Y685" s="44">
        <v>-0.4263</v>
      </c>
      <c r="Z685" s="44">
        <v>-0.34564</v>
      </c>
      <c r="AA685" s="45"/>
      <c r="AB685" s="46" t="s">
        <v>126</v>
      </c>
      <c r="AC685" s="44">
        <v>67.0</v>
      </c>
    </row>
    <row r="686">
      <c r="A686" s="2">
        <v>163.0</v>
      </c>
      <c r="B686" s="14">
        <f>IF(PasteBBM!B686="",156,PasteBBM!B686)</f>
        <v>156</v>
      </c>
      <c r="C686" t="str">
        <f>PasteBBM!I686</f>
        <v/>
      </c>
      <c r="D686" t="str">
        <f>IFERROR(REPLACE(PasteBBM!K686,FIND("/",PasteBBM!K686,1),1,","),PasteBBM!K686)</f>
        <v/>
      </c>
      <c r="E686" t="str">
        <f>PasteBBM!J686</f>
        <v/>
      </c>
      <c r="F686" t="str">
        <f>PasteBBM!U686</f>
        <v/>
      </c>
      <c r="G686" t="str">
        <f>PasteBBM!X686</f>
        <v/>
      </c>
      <c r="H686">
        <f>PasteBBM!AE686*PasteBBM!AF686</f>
        <v>0</v>
      </c>
      <c r="I686" t="str">
        <f>PasteBBM!AE686</f>
        <v/>
      </c>
      <c r="J686">
        <f>PasteBBM!AG686*PasteBBM!AH686</f>
        <v>0</v>
      </c>
      <c r="K686" t="str">
        <f>PasteBBM!AG686</f>
        <v/>
      </c>
      <c r="L686" t="str">
        <f>PasteBBM!Z686</f>
        <v/>
      </c>
      <c r="M686" t="str">
        <f>PasteBBM!Y686</f>
        <v/>
      </c>
      <c r="N686" t="str">
        <f>PasteBBM!AA686</f>
        <v/>
      </c>
      <c r="O686" t="str">
        <f>PasteBBM!AB686</f>
        <v/>
      </c>
      <c r="P686" t="str">
        <f>PasteBBM!AC686</f>
        <v/>
      </c>
      <c r="Q686" t="str">
        <f>PasteBBM!AD686</f>
        <v/>
      </c>
      <c r="R686" t="str">
        <f>PasteBBM!AI686</f>
        <v/>
      </c>
      <c r="S686" t="str">
        <f>PasteBBM!AE686</f>
        <v/>
      </c>
      <c r="T686" t="str">
        <f>PasteBBM!AG686</f>
        <v/>
      </c>
      <c r="V686" s="44">
        <v>-0.41709</v>
      </c>
      <c r="W686" s="44">
        <v>-0.00658</v>
      </c>
      <c r="X686" s="44">
        <v>0.009207</v>
      </c>
      <c r="Y686" s="44">
        <v>-0.4263</v>
      </c>
      <c r="Z686" s="44">
        <v>-0.34564</v>
      </c>
      <c r="AA686" s="45"/>
      <c r="AB686" s="46" t="s">
        <v>126</v>
      </c>
      <c r="AC686" s="44">
        <v>67.0</v>
      </c>
    </row>
    <row r="687">
      <c r="A687" s="2">
        <v>163.0</v>
      </c>
      <c r="B687" s="14">
        <f>IF(PasteBBM!B687="",156,PasteBBM!B687)</f>
        <v>156</v>
      </c>
      <c r="C687" t="str">
        <f>PasteBBM!I687</f>
        <v/>
      </c>
      <c r="D687" t="str">
        <f>IFERROR(REPLACE(PasteBBM!K687,FIND("/",PasteBBM!K687,1),1,","),PasteBBM!K687)</f>
        <v/>
      </c>
      <c r="E687" t="str">
        <f>PasteBBM!J687</f>
        <v/>
      </c>
      <c r="F687" t="str">
        <f>PasteBBM!U687</f>
        <v/>
      </c>
      <c r="G687" t="str">
        <f>PasteBBM!X687</f>
        <v/>
      </c>
      <c r="H687">
        <f>PasteBBM!AE687*PasteBBM!AF687</f>
        <v>0</v>
      </c>
      <c r="I687" t="str">
        <f>PasteBBM!AE687</f>
        <v/>
      </c>
      <c r="J687">
        <f>PasteBBM!AG687*PasteBBM!AH687</f>
        <v>0</v>
      </c>
      <c r="K687" t="str">
        <f>PasteBBM!AG687</f>
        <v/>
      </c>
      <c r="L687" t="str">
        <f>PasteBBM!Z687</f>
        <v/>
      </c>
      <c r="M687" t="str">
        <f>PasteBBM!Y687</f>
        <v/>
      </c>
      <c r="N687" t="str">
        <f>PasteBBM!AA687</f>
        <v/>
      </c>
      <c r="O687" t="str">
        <f>PasteBBM!AB687</f>
        <v/>
      </c>
      <c r="P687" t="str">
        <f>PasteBBM!AC687</f>
        <v/>
      </c>
      <c r="Q687" t="str">
        <f>PasteBBM!AD687</f>
        <v/>
      </c>
      <c r="R687" t="str">
        <f>PasteBBM!AI687</f>
        <v/>
      </c>
      <c r="S687" t="str">
        <f>PasteBBM!AE687</f>
        <v/>
      </c>
      <c r="T687" t="str">
        <f>PasteBBM!AG687</f>
        <v/>
      </c>
      <c r="V687" s="44">
        <v>-0.41709</v>
      </c>
      <c r="W687" s="44">
        <v>-0.00658</v>
      </c>
      <c r="X687" s="44">
        <v>0.009207</v>
      </c>
      <c r="Y687" s="44">
        <v>-0.4263</v>
      </c>
      <c r="Z687" s="44">
        <v>-0.34564</v>
      </c>
      <c r="AA687" s="45"/>
      <c r="AB687" s="46" t="s">
        <v>126</v>
      </c>
      <c r="AC687" s="44">
        <v>67.0</v>
      </c>
    </row>
    <row r="688">
      <c r="A688" s="2">
        <v>163.0</v>
      </c>
      <c r="B688" s="14">
        <f>IF(PasteBBM!B688="",156,PasteBBM!B688)</f>
        <v>156</v>
      </c>
      <c r="C688" t="str">
        <f>PasteBBM!I688</f>
        <v/>
      </c>
      <c r="D688" t="str">
        <f>IFERROR(REPLACE(PasteBBM!K688,FIND("/",PasteBBM!K688,1),1,","),PasteBBM!K688)</f>
        <v/>
      </c>
      <c r="E688" t="str">
        <f>PasteBBM!J688</f>
        <v/>
      </c>
      <c r="F688" t="str">
        <f>PasteBBM!U688</f>
        <v/>
      </c>
      <c r="G688" t="str">
        <f>PasteBBM!X688</f>
        <v/>
      </c>
      <c r="H688">
        <f>PasteBBM!AE688*PasteBBM!AF688</f>
        <v>0</v>
      </c>
      <c r="I688" t="str">
        <f>PasteBBM!AE688</f>
        <v/>
      </c>
      <c r="J688">
        <f>PasteBBM!AG688*PasteBBM!AH688</f>
        <v>0</v>
      </c>
      <c r="K688" t="str">
        <f>PasteBBM!AG688</f>
        <v/>
      </c>
      <c r="L688" t="str">
        <f>PasteBBM!Z688</f>
        <v/>
      </c>
      <c r="M688" t="str">
        <f>PasteBBM!Y688</f>
        <v/>
      </c>
      <c r="N688" t="str">
        <f>PasteBBM!AA688</f>
        <v/>
      </c>
      <c r="O688" t="str">
        <f>PasteBBM!AB688</f>
        <v/>
      </c>
      <c r="P688" t="str">
        <f>PasteBBM!AC688</f>
        <v/>
      </c>
      <c r="Q688" t="str">
        <f>PasteBBM!AD688</f>
        <v/>
      </c>
      <c r="R688" t="str">
        <f>PasteBBM!AI688</f>
        <v/>
      </c>
      <c r="S688" t="str">
        <f>PasteBBM!AE688</f>
        <v/>
      </c>
      <c r="T688" t="str">
        <f>PasteBBM!AG688</f>
        <v/>
      </c>
      <c r="V688" s="44">
        <v>-0.41709</v>
      </c>
      <c r="W688" s="44">
        <v>-0.00658</v>
      </c>
      <c r="X688" s="44">
        <v>0.009207</v>
      </c>
      <c r="Y688" s="44">
        <v>-0.4263</v>
      </c>
      <c r="Z688" s="44">
        <v>-0.34564</v>
      </c>
      <c r="AA688" s="45"/>
      <c r="AB688" s="46" t="s">
        <v>126</v>
      </c>
      <c r="AC688" s="44">
        <v>67.0</v>
      </c>
    </row>
    <row r="689">
      <c r="A689" s="2">
        <v>163.0</v>
      </c>
      <c r="B689" s="14">
        <f>IF(PasteBBM!B689="",156,PasteBBM!B689)</f>
        <v>156</v>
      </c>
      <c r="C689" t="str">
        <f>PasteBBM!I689</f>
        <v/>
      </c>
      <c r="D689" t="str">
        <f>IFERROR(REPLACE(PasteBBM!K689,FIND("/",PasteBBM!K689,1),1,","),PasteBBM!K689)</f>
        <v/>
      </c>
      <c r="E689" t="str">
        <f>PasteBBM!J689</f>
        <v/>
      </c>
      <c r="F689" t="str">
        <f>PasteBBM!U689</f>
        <v/>
      </c>
      <c r="G689" t="str">
        <f>PasteBBM!X689</f>
        <v/>
      </c>
      <c r="H689">
        <f>PasteBBM!AE689*PasteBBM!AF689</f>
        <v>0</v>
      </c>
      <c r="I689" t="str">
        <f>PasteBBM!AE689</f>
        <v/>
      </c>
      <c r="J689">
        <f>PasteBBM!AG689*PasteBBM!AH689</f>
        <v>0</v>
      </c>
      <c r="K689" t="str">
        <f>PasteBBM!AG689</f>
        <v/>
      </c>
      <c r="L689" t="str">
        <f>PasteBBM!Z689</f>
        <v/>
      </c>
      <c r="M689" t="str">
        <f>PasteBBM!Y689</f>
        <v/>
      </c>
      <c r="N689" t="str">
        <f>PasteBBM!AA689</f>
        <v/>
      </c>
      <c r="O689" t="str">
        <f>PasteBBM!AB689</f>
        <v/>
      </c>
      <c r="P689" t="str">
        <f>PasteBBM!AC689</f>
        <v/>
      </c>
      <c r="Q689" t="str">
        <f>PasteBBM!AD689</f>
        <v/>
      </c>
      <c r="R689" t="str">
        <f>PasteBBM!AI689</f>
        <v/>
      </c>
      <c r="S689" t="str">
        <f>PasteBBM!AE689</f>
        <v/>
      </c>
      <c r="T689" t="str">
        <f>PasteBBM!AG689</f>
        <v/>
      </c>
      <c r="V689" s="44">
        <v>-0.41709</v>
      </c>
      <c r="W689" s="44">
        <v>-0.00658</v>
      </c>
      <c r="X689" s="44">
        <v>0.009207</v>
      </c>
      <c r="Y689" s="44">
        <v>-0.4263</v>
      </c>
      <c r="Z689" s="44">
        <v>-0.34564</v>
      </c>
      <c r="AA689" s="45"/>
      <c r="AB689" s="46" t="s">
        <v>126</v>
      </c>
      <c r="AC689" s="44">
        <v>67.0</v>
      </c>
    </row>
    <row r="690">
      <c r="A690" s="2">
        <v>163.0</v>
      </c>
      <c r="B690" s="14">
        <f>IF(PasteBBM!B690="",156,PasteBBM!B690)</f>
        <v>156</v>
      </c>
      <c r="C690" t="str">
        <f>PasteBBM!I690</f>
        <v/>
      </c>
      <c r="D690" t="str">
        <f>IFERROR(REPLACE(PasteBBM!K690,FIND("/",PasteBBM!K690,1),1,","),PasteBBM!K690)</f>
        <v/>
      </c>
      <c r="E690" t="str">
        <f>PasteBBM!J690</f>
        <v/>
      </c>
      <c r="F690" t="str">
        <f>PasteBBM!U690</f>
        <v/>
      </c>
      <c r="G690" t="str">
        <f>PasteBBM!X690</f>
        <v/>
      </c>
      <c r="H690">
        <f>PasteBBM!AE690*PasteBBM!AF690</f>
        <v>0</v>
      </c>
      <c r="I690" t="str">
        <f>PasteBBM!AE690</f>
        <v/>
      </c>
      <c r="J690">
        <f>PasteBBM!AG690*PasteBBM!AH690</f>
        <v>0</v>
      </c>
      <c r="K690" t="str">
        <f>PasteBBM!AG690</f>
        <v/>
      </c>
      <c r="L690" t="str">
        <f>PasteBBM!Z690</f>
        <v/>
      </c>
      <c r="M690" t="str">
        <f>PasteBBM!Y690</f>
        <v/>
      </c>
      <c r="N690" t="str">
        <f>PasteBBM!AA690</f>
        <v/>
      </c>
      <c r="O690" t="str">
        <f>PasteBBM!AB690</f>
        <v/>
      </c>
      <c r="P690" t="str">
        <f>PasteBBM!AC690</f>
        <v/>
      </c>
      <c r="Q690" t="str">
        <f>PasteBBM!AD690</f>
        <v/>
      </c>
      <c r="R690" t="str">
        <f>PasteBBM!AI690</f>
        <v/>
      </c>
      <c r="S690" t="str">
        <f>PasteBBM!AE690</f>
        <v/>
      </c>
      <c r="T690" t="str">
        <f>PasteBBM!AG690</f>
        <v/>
      </c>
      <c r="V690" s="44">
        <v>-0.41709</v>
      </c>
      <c r="W690" s="44">
        <v>-0.00658</v>
      </c>
      <c r="X690" s="44">
        <v>0.009207</v>
      </c>
      <c r="Y690" s="44">
        <v>-0.4263</v>
      </c>
      <c r="Z690" s="44">
        <v>-0.34564</v>
      </c>
      <c r="AA690" s="45"/>
      <c r="AB690" s="46" t="s">
        <v>126</v>
      </c>
      <c r="AC690" s="44">
        <v>67.0</v>
      </c>
    </row>
    <row r="691">
      <c r="A691" s="2">
        <v>163.0</v>
      </c>
      <c r="B691" s="14">
        <f>IF(PasteBBM!B691="",156,PasteBBM!B691)</f>
        <v>156</v>
      </c>
      <c r="C691" t="str">
        <f>PasteBBM!I691</f>
        <v/>
      </c>
      <c r="D691" t="str">
        <f>IFERROR(REPLACE(PasteBBM!K691,FIND("/",PasteBBM!K691,1),1,","),PasteBBM!K691)</f>
        <v/>
      </c>
      <c r="E691" t="str">
        <f>PasteBBM!J691</f>
        <v/>
      </c>
      <c r="F691" t="str">
        <f>PasteBBM!U691</f>
        <v/>
      </c>
      <c r="G691" t="str">
        <f>PasteBBM!X691</f>
        <v/>
      </c>
      <c r="H691">
        <f>PasteBBM!AE691*PasteBBM!AF691</f>
        <v>0</v>
      </c>
      <c r="I691" t="str">
        <f>PasteBBM!AE691</f>
        <v/>
      </c>
      <c r="J691">
        <f>PasteBBM!AG691*PasteBBM!AH691</f>
        <v>0</v>
      </c>
      <c r="K691" t="str">
        <f>PasteBBM!AG691</f>
        <v/>
      </c>
      <c r="L691" t="str">
        <f>PasteBBM!Z691</f>
        <v/>
      </c>
      <c r="M691" t="str">
        <f>PasteBBM!Y691</f>
        <v/>
      </c>
      <c r="N691" t="str">
        <f>PasteBBM!AA691</f>
        <v/>
      </c>
      <c r="O691" t="str">
        <f>PasteBBM!AB691</f>
        <v/>
      </c>
      <c r="P691" t="str">
        <f>PasteBBM!AC691</f>
        <v/>
      </c>
      <c r="Q691" t="str">
        <f>PasteBBM!AD691</f>
        <v/>
      </c>
      <c r="R691" t="str">
        <f>PasteBBM!AI691</f>
        <v/>
      </c>
      <c r="S691" t="str">
        <f>PasteBBM!AE691</f>
        <v/>
      </c>
      <c r="T691" t="str">
        <f>PasteBBM!AG691</f>
        <v/>
      </c>
      <c r="V691" s="44">
        <v>-0.41709</v>
      </c>
      <c r="W691" s="44">
        <v>-0.00658</v>
      </c>
      <c r="X691" s="44">
        <v>0.009207</v>
      </c>
      <c r="Y691" s="44">
        <v>-0.4263</v>
      </c>
      <c r="Z691" s="44">
        <v>-0.34564</v>
      </c>
      <c r="AA691" s="45"/>
      <c r="AB691" s="46" t="s">
        <v>126</v>
      </c>
      <c r="AC691" s="44">
        <v>67.0</v>
      </c>
    </row>
    <row r="692">
      <c r="A692" s="2">
        <v>163.0</v>
      </c>
      <c r="B692" s="14">
        <f>IF(PasteBBM!B692="",156,PasteBBM!B692)</f>
        <v>156</v>
      </c>
      <c r="C692" t="str">
        <f>PasteBBM!I692</f>
        <v/>
      </c>
      <c r="D692" t="str">
        <f>IFERROR(REPLACE(PasteBBM!K692,FIND("/",PasteBBM!K692,1),1,","),PasteBBM!K692)</f>
        <v/>
      </c>
      <c r="E692" t="str">
        <f>PasteBBM!J692</f>
        <v/>
      </c>
      <c r="F692" t="str">
        <f>PasteBBM!U692</f>
        <v/>
      </c>
      <c r="G692" t="str">
        <f>PasteBBM!X692</f>
        <v/>
      </c>
      <c r="H692">
        <f>PasteBBM!AE692*PasteBBM!AF692</f>
        <v>0</v>
      </c>
      <c r="I692" t="str">
        <f>PasteBBM!AE692</f>
        <v/>
      </c>
      <c r="J692">
        <f>PasteBBM!AG692*PasteBBM!AH692</f>
        <v>0</v>
      </c>
      <c r="K692" t="str">
        <f>PasteBBM!AG692</f>
        <v/>
      </c>
      <c r="L692" t="str">
        <f>PasteBBM!Z692</f>
        <v/>
      </c>
      <c r="M692" t="str">
        <f>PasteBBM!Y692</f>
        <v/>
      </c>
      <c r="N692" t="str">
        <f>PasteBBM!AA692</f>
        <v/>
      </c>
      <c r="O692" t="str">
        <f>PasteBBM!AB692</f>
        <v/>
      </c>
      <c r="P692" t="str">
        <f>PasteBBM!AC692</f>
        <v/>
      </c>
      <c r="Q692" t="str">
        <f>PasteBBM!AD692</f>
        <v/>
      </c>
      <c r="R692" t="str">
        <f>PasteBBM!AI692</f>
        <v/>
      </c>
      <c r="S692" t="str">
        <f>PasteBBM!AE692</f>
        <v/>
      </c>
      <c r="T692" t="str">
        <f>PasteBBM!AG692</f>
        <v/>
      </c>
      <c r="V692" s="44">
        <v>-0.41709</v>
      </c>
      <c r="W692" s="44">
        <v>-0.00658</v>
      </c>
      <c r="X692" s="44">
        <v>0.009207</v>
      </c>
      <c r="Y692" s="44">
        <v>-0.4263</v>
      </c>
      <c r="Z692" s="44">
        <v>-0.34564</v>
      </c>
      <c r="AA692" s="45"/>
      <c r="AB692" s="46" t="s">
        <v>126</v>
      </c>
      <c r="AC692" s="44">
        <v>67.0</v>
      </c>
    </row>
    <row r="693">
      <c r="A693" s="2">
        <v>163.0</v>
      </c>
      <c r="B693" s="14">
        <f>IF(PasteBBM!B693="",156,PasteBBM!B693)</f>
        <v>156</v>
      </c>
      <c r="C693" t="str">
        <f>PasteBBM!I693</f>
        <v/>
      </c>
      <c r="D693" t="str">
        <f>IFERROR(REPLACE(PasteBBM!K693,FIND("/",PasteBBM!K693,1),1,","),PasteBBM!K693)</f>
        <v/>
      </c>
      <c r="E693" t="str">
        <f>PasteBBM!J693</f>
        <v/>
      </c>
      <c r="F693" t="str">
        <f>PasteBBM!U693</f>
        <v/>
      </c>
      <c r="G693" t="str">
        <f>PasteBBM!X693</f>
        <v/>
      </c>
      <c r="H693">
        <f>PasteBBM!AE693*PasteBBM!AF693</f>
        <v>0</v>
      </c>
      <c r="I693" t="str">
        <f>PasteBBM!AE693</f>
        <v/>
      </c>
      <c r="J693">
        <f>PasteBBM!AG693*PasteBBM!AH693</f>
        <v>0</v>
      </c>
      <c r="K693" t="str">
        <f>PasteBBM!AG693</f>
        <v/>
      </c>
      <c r="L693" t="str">
        <f>PasteBBM!Z693</f>
        <v/>
      </c>
      <c r="M693" t="str">
        <f>PasteBBM!Y693</f>
        <v/>
      </c>
      <c r="N693" t="str">
        <f>PasteBBM!AA693</f>
        <v/>
      </c>
      <c r="O693" t="str">
        <f>PasteBBM!AB693</f>
        <v/>
      </c>
      <c r="P693" t="str">
        <f>PasteBBM!AC693</f>
        <v/>
      </c>
      <c r="Q693" t="str">
        <f>PasteBBM!AD693</f>
        <v/>
      </c>
      <c r="R693" t="str">
        <f>PasteBBM!AI693</f>
        <v/>
      </c>
      <c r="S693" t="str">
        <f>PasteBBM!AE693</f>
        <v/>
      </c>
      <c r="T693" t="str">
        <f>PasteBBM!AG693</f>
        <v/>
      </c>
      <c r="V693" s="44">
        <v>-0.41709</v>
      </c>
      <c r="W693" s="44">
        <v>-0.00658</v>
      </c>
      <c r="X693" s="44">
        <v>0.009207</v>
      </c>
      <c r="Y693" s="44">
        <v>-0.4263</v>
      </c>
      <c r="Z693" s="44">
        <v>-0.34564</v>
      </c>
      <c r="AA693" s="45"/>
      <c r="AB693" s="46" t="s">
        <v>126</v>
      </c>
      <c r="AC693" s="44">
        <v>67.0</v>
      </c>
    </row>
    <row r="694">
      <c r="A694" s="2">
        <v>163.0</v>
      </c>
      <c r="B694" s="14">
        <f>IF(PasteBBM!B694="",156,PasteBBM!B694)</f>
        <v>156</v>
      </c>
      <c r="C694" t="str">
        <f>PasteBBM!I694</f>
        <v/>
      </c>
      <c r="D694" t="str">
        <f>IFERROR(REPLACE(PasteBBM!K694,FIND("/",PasteBBM!K694,1),1,","),PasteBBM!K694)</f>
        <v/>
      </c>
      <c r="E694" t="str">
        <f>PasteBBM!J694</f>
        <v/>
      </c>
      <c r="F694" t="str">
        <f>PasteBBM!U694</f>
        <v/>
      </c>
      <c r="G694" t="str">
        <f>PasteBBM!X694</f>
        <v/>
      </c>
      <c r="H694">
        <f>PasteBBM!AE694*PasteBBM!AF694</f>
        <v>0</v>
      </c>
      <c r="I694" t="str">
        <f>PasteBBM!AE694</f>
        <v/>
      </c>
      <c r="J694">
        <f>PasteBBM!AG694*PasteBBM!AH694</f>
        <v>0</v>
      </c>
      <c r="K694" t="str">
        <f>PasteBBM!AG694</f>
        <v/>
      </c>
      <c r="L694" t="str">
        <f>PasteBBM!Z694</f>
        <v/>
      </c>
      <c r="M694" t="str">
        <f>PasteBBM!Y694</f>
        <v/>
      </c>
      <c r="N694" t="str">
        <f>PasteBBM!AA694</f>
        <v/>
      </c>
      <c r="O694" t="str">
        <f>PasteBBM!AB694</f>
        <v/>
      </c>
      <c r="P694" t="str">
        <f>PasteBBM!AC694</f>
        <v/>
      </c>
      <c r="Q694" t="str">
        <f>PasteBBM!AD694</f>
        <v/>
      </c>
      <c r="R694" t="str">
        <f>PasteBBM!AI694</f>
        <v/>
      </c>
      <c r="S694" t="str">
        <f>PasteBBM!AE694</f>
        <v/>
      </c>
      <c r="T694" t="str">
        <f>PasteBBM!AG694</f>
        <v/>
      </c>
      <c r="V694" s="44">
        <v>-0.41709</v>
      </c>
      <c r="W694" s="44">
        <v>-0.00658</v>
      </c>
      <c r="X694" s="44">
        <v>0.009207</v>
      </c>
      <c r="Y694" s="44">
        <v>-0.4263</v>
      </c>
      <c r="Z694" s="44">
        <v>-0.34564</v>
      </c>
      <c r="AA694" s="45"/>
      <c r="AB694" s="46" t="s">
        <v>126</v>
      </c>
      <c r="AC694" s="44">
        <v>67.0</v>
      </c>
    </row>
    <row r="695">
      <c r="A695" s="2">
        <v>163.0</v>
      </c>
      <c r="B695" s="14">
        <f>IF(PasteBBM!B695="",156,PasteBBM!B695)</f>
        <v>156</v>
      </c>
      <c r="C695" t="str">
        <f>PasteBBM!I695</f>
        <v/>
      </c>
      <c r="D695" t="str">
        <f>IFERROR(REPLACE(PasteBBM!K695,FIND("/",PasteBBM!K695,1),1,","),PasteBBM!K695)</f>
        <v/>
      </c>
      <c r="E695" t="str">
        <f>PasteBBM!J695</f>
        <v/>
      </c>
      <c r="F695" t="str">
        <f>PasteBBM!U695</f>
        <v/>
      </c>
      <c r="G695" t="str">
        <f>PasteBBM!X695</f>
        <v/>
      </c>
      <c r="H695">
        <f>PasteBBM!AE695*PasteBBM!AF695</f>
        <v>0</v>
      </c>
      <c r="I695" t="str">
        <f>PasteBBM!AE695</f>
        <v/>
      </c>
      <c r="J695">
        <f>PasteBBM!AG695*PasteBBM!AH695</f>
        <v>0</v>
      </c>
      <c r="K695" t="str">
        <f>PasteBBM!AG695</f>
        <v/>
      </c>
      <c r="L695" t="str">
        <f>PasteBBM!Z695</f>
        <v/>
      </c>
      <c r="M695" t="str">
        <f>PasteBBM!Y695</f>
        <v/>
      </c>
      <c r="N695" t="str">
        <f>PasteBBM!AA695</f>
        <v/>
      </c>
      <c r="O695" t="str">
        <f>PasteBBM!AB695</f>
        <v/>
      </c>
      <c r="P695" t="str">
        <f>PasteBBM!AC695</f>
        <v/>
      </c>
      <c r="Q695" t="str">
        <f>PasteBBM!AD695</f>
        <v/>
      </c>
      <c r="R695" t="str">
        <f>PasteBBM!AI695</f>
        <v/>
      </c>
      <c r="S695" t="str">
        <f>PasteBBM!AE695</f>
        <v/>
      </c>
      <c r="T695" t="str">
        <f>PasteBBM!AG695</f>
        <v/>
      </c>
      <c r="V695" s="44">
        <v>-0.41709</v>
      </c>
      <c r="W695" s="44">
        <v>-0.00658</v>
      </c>
      <c r="X695" s="44">
        <v>0.009207</v>
      </c>
      <c r="Y695" s="44">
        <v>-0.4263</v>
      </c>
      <c r="Z695" s="44">
        <v>-0.34564</v>
      </c>
      <c r="AA695" s="45"/>
      <c r="AB695" s="46" t="s">
        <v>126</v>
      </c>
      <c r="AC695" s="44">
        <v>67.0</v>
      </c>
    </row>
    <row r="696">
      <c r="A696" s="2">
        <v>163.0</v>
      </c>
      <c r="B696" s="14">
        <f>IF(PasteBBM!B696="",156,PasteBBM!B696)</f>
        <v>156</v>
      </c>
      <c r="C696" t="str">
        <f>PasteBBM!I696</f>
        <v/>
      </c>
      <c r="D696" t="str">
        <f>IFERROR(REPLACE(PasteBBM!K696,FIND("/",PasteBBM!K696,1),1,","),PasteBBM!K696)</f>
        <v/>
      </c>
      <c r="E696" t="str">
        <f>PasteBBM!J696</f>
        <v/>
      </c>
      <c r="F696" t="str">
        <f>PasteBBM!U696</f>
        <v/>
      </c>
      <c r="G696" t="str">
        <f>PasteBBM!X696</f>
        <v/>
      </c>
      <c r="H696">
        <f>PasteBBM!AE696*PasteBBM!AF696</f>
        <v>0</v>
      </c>
      <c r="I696" t="str">
        <f>PasteBBM!AE696</f>
        <v/>
      </c>
      <c r="J696">
        <f>PasteBBM!AG696*PasteBBM!AH696</f>
        <v>0</v>
      </c>
      <c r="K696" t="str">
        <f>PasteBBM!AG696</f>
        <v/>
      </c>
      <c r="L696" t="str">
        <f>PasteBBM!Z696</f>
        <v/>
      </c>
      <c r="M696" t="str">
        <f>PasteBBM!Y696</f>
        <v/>
      </c>
      <c r="N696" t="str">
        <f>PasteBBM!AA696</f>
        <v/>
      </c>
      <c r="O696" t="str">
        <f>PasteBBM!AB696</f>
        <v/>
      </c>
      <c r="P696" t="str">
        <f>PasteBBM!AC696</f>
        <v/>
      </c>
      <c r="Q696" t="str">
        <f>PasteBBM!AD696</f>
        <v/>
      </c>
      <c r="R696" t="str">
        <f>PasteBBM!AI696</f>
        <v/>
      </c>
      <c r="S696" t="str">
        <f>PasteBBM!AE696</f>
        <v/>
      </c>
      <c r="T696" t="str">
        <f>PasteBBM!AG696</f>
        <v/>
      </c>
      <c r="V696" s="44">
        <v>-0.41709</v>
      </c>
      <c r="W696" s="44">
        <v>-0.00658</v>
      </c>
      <c r="X696" s="44">
        <v>0.009207</v>
      </c>
      <c r="Y696" s="44">
        <v>-0.4263</v>
      </c>
      <c r="Z696" s="44">
        <v>-0.34564</v>
      </c>
      <c r="AA696" s="45"/>
      <c r="AB696" s="46" t="s">
        <v>126</v>
      </c>
      <c r="AC696" s="44">
        <v>67.0</v>
      </c>
    </row>
    <row r="697">
      <c r="A697" s="2">
        <v>163.0</v>
      </c>
      <c r="B697" s="14">
        <f>IF(PasteBBM!B697="",156,PasteBBM!B697)</f>
        <v>156</v>
      </c>
      <c r="C697" t="str">
        <f>PasteBBM!I697</f>
        <v/>
      </c>
      <c r="D697" t="str">
        <f>IFERROR(REPLACE(PasteBBM!K697,FIND("/",PasteBBM!K697,1),1,","),PasteBBM!K697)</f>
        <v/>
      </c>
      <c r="E697" t="str">
        <f>PasteBBM!J697</f>
        <v/>
      </c>
      <c r="F697" t="str">
        <f>PasteBBM!U697</f>
        <v/>
      </c>
      <c r="G697" t="str">
        <f>PasteBBM!X697</f>
        <v/>
      </c>
      <c r="H697">
        <f>PasteBBM!AE697*PasteBBM!AF697</f>
        <v>0</v>
      </c>
      <c r="I697" t="str">
        <f>PasteBBM!AE697</f>
        <v/>
      </c>
      <c r="J697">
        <f>PasteBBM!AG697*PasteBBM!AH697</f>
        <v>0</v>
      </c>
      <c r="K697" t="str">
        <f>PasteBBM!AG697</f>
        <v/>
      </c>
      <c r="L697" t="str">
        <f>PasteBBM!Z697</f>
        <v/>
      </c>
      <c r="M697" t="str">
        <f>PasteBBM!Y697</f>
        <v/>
      </c>
      <c r="N697" t="str">
        <f>PasteBBM!AA697</f>
        <v/>
      </c>
      <c r="O697" t="str">
        <f>PasteBBM!AB697</f>
        <v/>
      </c>
      <c r="P697" t="str">
        <f>PasteBBM!AC697</f>
        <v/>
      </c>
      <c r="Q697" t="str">
        <f>PasteBBM!AD697</f>
        <v/>
      </c>
      <c r="R697" t="str">
        <f>PasteBBM!AI697</f>
        <v/>
      </c>
      <c r="S697" t="str">
        <f>PasteBBM!AE697</f>
        <v/>
      </c>
      <c r="T697" t="str">
        <f>PasteBBM!AG697</f>
        <v/>
      </c>
      <c r="V697" s="44">
        <v>-0.41709</v>
      </c>
      <c r="W697" s="44">
        <v>-0.00658</v>
      </c>
      <c r="X697" s="44">
        <v>0.009207</v>
      </c>
      <c r="Y697" s="44">
        <v>-0.4263</v>
      </c>
      <c r="Z697" s="44">
        <v>-0.34564</v>
      </c>
      <c r="AA697" s="45"/>
      <c r="AB697" s="46" t="s">
        <v>126</v>
      </c>
      <c r="AC697" s="44">
        <v>67.0</v>
      </c>
    </row>
    <row r="698">
      <c r="A698" s="2">
        <v>163.0</v>
      </c>
      <c r="B698" s="14">
        <f>IF(PasteBBM!B698="",156,PasteBBM!B698)</f>
        <v>156</v>
      </c>
      <c r="C698" t="str">
        <f>PasteBBM!I698</f>
        <v/>
      </c>
      <c r="D698" t="str">
        <f>IFERROR(REPLACE(PasteBBM!K698,FIND("/",PasteBBM!K698,1),1,","),PasteBBM!K698)</f>
        <v/>
      </c>
      <c r="E698" t="str">
        <f>PasteBBM!J698</f>
        <v/>
      </c>
      <c r="F698" t="str">
        <f>PasteBBM!U698</f>
        <v/>
      </c>
      <c r="G698" t="str">
        <f>PasteBBM!X698</f>
        <v/>
      </c>
      <c r="H698">
        <f>PasteBBM!AE698*PasteBBM!AF698</f>
        <v>0</v>
      </c>
      <c r="I698" t="str">
        <f>PasteBBM!AE698</f>
        <v/>
      </c>
      <c r="J698">
        <f>PasteBBM!AG698*PasteBBM!AH698</f>
        <v>0</v>
      </c>
      <c r="K698" t="str">
        <f>PasteBBM!AG698</f>
        <v/>
      </c>
      <c r="L698" t="str">
        <f>PasteBBM!Z698</f>
        <v/>
      </c>
      <c r="M698" t="str">
        <f>PasteBBM!Y698</f>
        <v/>
      </c>
      <c r="N698" t="str">
        <f>PasteBBM!AA698</f>
        <v/>
      </c>
      <c r="O698" t="str">
        <f>PasteBBM!AB698</f>
        <v/>
      </c>
      <c r="P698" t="str">
        <f>PasteBBM!AC698</f>
        <v/>
      </c>
      <c r="Q698" t="str">
        <f>PasteBBM!AD698</f>
        <v/>
      </c>
      <c r="R698" t="str">
        <f>PasteBBM!AI698</f>
        <v/>
      </c>
      <c r="S698" t="str">
        <f>PasteBBM!AE698</f>
        <v/>
      </c>
      <c r="T698" t="str">
        <f>PasteBBM!AG698</f>
        <v/>
      </c>
      <c r="V698" s="44">
        <v>-0.41709</v>
      </c>
      <c r="W698" s="44">
        <v>-0.00658</v>
      </c>
      <c r="X698" s="44">
        <v>0.009207</v>
      </c>
      <c r="Y698" s="44">
        <v>-0.4263</v>
      </c>
      <c r="Z698" s="44">
        <v>-0.34564</v>
      </c>
      <c r="AA698" s="45"/>
      <c r="AB698" s="46" t="s">
        <v>126</v>
      </c>
      <c r="AC698" s="44">
        <v>67.0</v>
      </c>
    </row>
    <row r="699">
      <c r="A699" s="2">
        <v>163.0</v>
      </c>
      <c r="B699" s="14">
        <f>IF(PasteBBM!B699="",156,PasteBBM!B699)</f>
        <v>156</v>
      </c>
      <c r="C699" t="str">
        <f>PasteBBM!I699</f>
        <v/>
      </c>
      <c r="D699" t="str">
        <f>IFERROR(REPLACE(PasteBBM!K699,FIND("/",PasteBBM!K699,1),1,","),PasteBBM!K699)</f>
        <v/>
      </c>
      <c r="E699" t="str">
        <f>PasteBBM!J699</f>
        <v/>
      </c>
      <c r="F699" t="str">
        <f>PasteBBM!U699</f>
        <v/>
      </c>
      <c r="G699" t="str">
        <f>PasteBBM!X699</f>
        <v/>
      </c>
      <c r="H699">
        <f>PasteBBM!AE699*PasteBBM!AF699</f>
        <v>0</v>
      </c>
      <c r="I699" t="str">
        <f>PasteBBM!AE699</f>
        <v/>
      </c>
      <c r="J699">
        <f>PasteBBM!AG699*PasteBBM!AH699</f>
        <v>0</v>
      </c>
      <c r="K699" t="str">
        <f>PasteBBM!AG699</f>
        <v/>
      </c>
      <c r="L699" t="str">
        <f>PasteBBM!Z699</f>
        <v/>
      </c>
      <c r="M699" t="str">
        <f>PasteBBM!Y699</f>
        <v/>
      </c>
      <c r="N699" t="str">
        <f>PasteBBM!AA699</f>
        <v/>
      </c>
      <c r="O699" t="str">
        <f>PasteBBM!AB699</f>
        <v/>
      </c>
      <c r="P699" t="str">
        <f>PasteBBM!AC699</f>
        <v/>
      </c>
      <c r="Q699" t="str">
        <f>PasteBBM!AD699</f>
        <v/>
      </c>
      <c r="R699" t="str">
        <f>PasteBBM!AI699</f>
        <v/>
      </c>
      <c r="S699" t="str">
        <f>PasteBBM!AE699</f>
        <v/>
      </c>
      <c r="T699" t="str">
        <f>PasteBBM!AG699</f>
        <v/>
      </c>
      <c r="V699" s="44">
        <v>-0.41709</v>
      </c>
      <c r="W699" s="44">
        <v>-0.00658</v>
      </c>
      <c r="X699" s="44">
        <v>0.009207</v>
      </c>
      <c r="Y699" s="44">
        <v>-0.4263</v>
      </c>
      <c r="Z699" s="44">
        <v>-0.34564</v>
      </c>
      <c r="AA699" s="45"/>
      <c r="AB699" s="46" t="s">
        <v>126</v>
      </c>
      <c r="AC699" s="44">
        <v>67.0</v>
      </c>
    </row>
    <row r="700">
      <c r="A700" s="2">
        <v>163.0</v>
      </c>
      <c r="B700" s="14">
        <f>IF(PasteBBM!B700="",156,PasteBBM!B700)</f>
        <v>156</v>
      </c>
      <c r="C700" t="str">
        <f>PasteBBM!I700</f>
        <v/>
      </c>
      <c r="D700" t="str">
        <f>IFERROR(REPLACE(PasteBBM!K700,FIND("/",PasteBBM!K700,1),1,","),PasteBBM!K700)</f>
        <v/>
      </c>
      <c r="E700" t="str">
        <f>PasteBBM!J700</f>
        <v/>
      </c>
      <c r="F700" t="str">
        <f>PasteBBM!U700</f>
        <v/>
      </c>
      <c r="G700" t="str">
        <f>PasteBBM!X700</f>
        <v/>
      </c>
      <c r="H700">
        <f>PasteBBM!AE700*PasteBBM!AF700</f>
        <v>0</v>
      </c>
      <c r="I700" t="str">
        <f>PasteBBM!AE700</f>
        <v/>
      </c>
      <c r="J700">
        <f>PasteBBM!AG700*PasteBBM!AH700</f>
        <v>0</v>
      </c>
      <c r="K700" t="str">
        <f>PasteBBM!AG700</f>
        <v/>
      </c>
      <c r="L700" t="str">
        <f>PasteBBM!Z700</f>
        <v/>
      </c>
      <c r="M700" t="str">
        <f>PasteBBM!Y700</f>
        <v/>
      </c>
      <c r="N700" t="str">
        <f>PasteBBM!AA700</f>
        <v/>
      </c>
      <c r="O700" t="str">
        <f>PasteBBM!AB700</f>
        <v/>
      </c>
      <c r="P700" t="str">
        <f>PasteBBM!AC700</f>
        <v/>
      </c>
      <c r="Q700" t="str">
        <f>PasteBBM!AD700</f>
        <v/>
      </c>
      <c r="R700" t="str">
        <f>PasteBBM!AI700</f>
        <v/>
      </c>
      <c r="S700" t="str">
        <f>PasteBBM!AE700</f>
        <v/>
      </c>
      <c r="T700" t="str">
        <f>PasteBBM!AG700</f>
        <v/>
      </c>
      <c r="V700" s="44">
        <v>-0.41709</v>
      </c>
      <c r="W700" s="44">
        <v>-0.00658</v>
      </c>
      <c r="X700" s="44">
        <v>0.009207</v>
      </c>
      <c r="Y700" s="44">
        <v>-0.4263</v>
      </c>
      <c r="Z700" s="44">
        <v>-0.34564</v>
      </c>
      <c r="AA700" s="45"/>
      <c r="AB700" s="46" t="s">
        <v>126</v>
      </c>
      <c r="AC700" s="44">
        <v>67.0</v>
      </c>
    </row>
    <row r="701">
      <c r="A701" s="2">
        <v>163.0</v>
      </c>
      <c r="B701" s="14">
        <f>IF(PasteBBM!B701="",156,PasteBBM!B701)</f>
        <v>156</v>
      </c>
      <c r="C701" t="str">
        <f>PasteBBM!I701</f>
        <v/>
      </c>
      <c r="D701" t="str">
        <f>IFERROR(REPLACE(PasteBBM!K701,FIND("/",PasteBBM!K701,1),1,","),PasteBBM!K701)</f>
        <v/>
      </c>
      <c r="E701" t="str">
        <f>PasteBBM!J701</f>
        <v/>
      </c>
      <c r="F701" t="str">
        <f>PasteBBM!U701</f>
        <v/>
      </c>
      <c r="G701" t="str">
        <f>PasteBBM!X701</f>
        <v/>
      </c>
      <c r="H701">
        <f>PasteBBM!AE701*PasteBBM!AF701</f>
        <v>0</v>
      </c>
      <c r="I701" t="str">
        <f>PasteBBM!AE701</f>
        <v/>
      </c>
      <c r="J701">
        <f>PasteBBM!AG701*PasteBBM!AH701</f>
        <v>0</v>
      </c>
      <c r="K701" t="str">
        <f>PasteBBM!AG701</f>
        <v/>
      </c>
      <c r="L701" t="str">
        <f>PasteBBM!Z701</f>
        <v/>
      </c>
      <c r="M701" t="str">
        <f>PasteBBM!Y701</f>
        <v/>
      </c>
      <c r="N701" t="str">
        <f>PasteBBM!AA701</f>
        <v/>
      </c>
      <c r="O701" t="str">
        <f>PasteBBM!AB701</f>
        <v/>
      </c>
      <c r="P701" t="str">
        <f>PasteBBM!AC701</f>
        <v/>
      </c>
      <c r="Q701" t="str">
        <f>PasteBBM!AD701</f>
        <v/>
      </c>
      <c r="R701" t="str">
        <f>PasteBBM!AI701</f>
        <v/>
      </c>
      <c r="S701" t="str">
        <f>PasteBBM!AE701</f>
        <v/>
      </c>
      <c r="T701" t="str">
        <f>PasteBBM!AG701</f>
        <v/>
      </c>
      <c r="V701" s="44">
        <v>-0.41709</v>
      </c>
      <c r="W701" s="44">
        <v>-0.00658</v>
      </c>
      <c r="X701" s="44">
        <v>0.009207</v>
      </c>
      <c r="Y701" s="44">
        <v>-0.4263</v>
      </c>
      <c r="Z701" s="44">
        <v>-0.34564</v>
      </c>
      <c r="AA701" s="45"/>
      <c r="AB701" s="46" t="s">
        <v>126</v>
      </c>
      <c r="AC701" s="44">
        <v>67.0</v>
      </c>
    </row>
    <row r="702">
      <c r="A702" s="2">
        <v>163.0</v>
      </c>
      <c r="B702" s="14">
        <f>IF(PasteBBM!B702="",156,PasteBBM!B702)</f>
        <v>156</v>
      </c>
      <c r="C702" t="str">
        <f>PasteBBM!I702</f>
        <v/>
      </c>
      <c r="D702" t="str">
        <f>IFERROR(REPLACE(PasteBBM!K702,FIND("/",PasteBBM!K702,1),1,","),PasteBBM!K702)</f>
        <v/>
      </c>
      <c r="E702" t="str">
        <f>PasteBBM!J702</f>
        <v/>
      </c>
      <c r="F702" t="str">
        <f>PasteBBM!U702</f>
        <v/>
      </c>
      <c r="G702" t="str">
        <f>PasteBBM!X702</f>
        <v/>
      </c>
      <c r="H702">
        <f>PasteBBM!AE702*PasteBBM!AF702</f>
        <v>0</v>
      </c>
      <c r="I702" t="str">
        <f>PasteBBM!AE702</f>
        <v/>
      </c>
      <c r="J702">
        <f>PasteBBM!AG702*PasteBBM!AH702</f>
        <v>0</v>
      </c>
      <c r="K702" t="str">
        <f>PasteBBM!AG702</f>
        <v/>
      </c>
      <c r="L702" t="str">
        <f>PasteBBM!Z702</f>
        <v/>
      </c>
      <c r="M702" t="str">
        <f>PasteBBM!Y702</f>
        <v/>
      </c>
      <c r="N702" t="str">
        <f>PasteBBM!AA702</f>
        <v/>
      </c>
      <c r="O702" t="str">
        <f>PasteBBM!AB702</f>
        <v/>
      </c>
      <c r="P702" t="str">
        <f>PasteBBM!AC702</f>
        <v/>
      </c>
      <c r="Q702" t="str">
        <f>PasteBBM!AD702</f>
        <v/>
      </c>
      <c r="R702" t="str">
        <f>PasteBBM!AI702</f>
        <v/>
      </c>
      <c r="S702" t="str">
        <f>PasteBBM!AE702</f>
        <v/>
      </c>
      <c r="T702" t="str">
        <f>PasteBBM!AG702</f>
        <v/>
      </c>
      <c r="V702" s="44">
        <v>-0.41709</v>
      </c>
      <c r="W702" s="44">
        <v>-0.00658</v>
      </c>
      <c r="X702" s="44">
        <v>0.009207</v>
      </c>
      <c r="Y702" s="44">
        <v>-0.4263</v>
      </c>
      <c r="Z702" s="44">
        <v>-0.34564</v>
      </c>
      <c r="AA702" s="45"/>
      <c r="AB702" s="46" t="s">
        <v>126</v>
      </c>
      <c r="AC702" s="44">
        <v>67.0</v>
      </c>
    </row>
    <row r="703">
      <c r="A703" s="2">
        <v>163.0</v>
      </c>
      <c r="B703" s="14">
        <f>IF(PasteBBM!B703="",156,PasteBBM!B703)</f>
        <v>156</v>
      </c>
      <c r="C703" t="str">
        <f>PasteBBM!I703</f>
        <v/>
      </c>
      <c r="D703" t="str">
        <f>IFERROR(REPLACE(PasteBBM!K703,FIND("/",PasteBBM!K703,1),1,","),PasteBBM!K703)</f>
        <v/>
      </c>
      <c r="E703" t="str">
        <f>PasteBBM!J703</f>
        <v/>
      </c>
      <c r="F703" t="str">
        <f>PasteBBM!U703</f>
        <v/>
      </c>
      <c r="G703" t="str">
        <f>PasteBBM!X703</f>
        <v/>
      </c>
      <c r="H703">
        <f>PasteBBM!AE703*PasteBBM!AF703</f>
        <v>0</v>
      </c>
      <c r="I703" t="str">
        <f>PasteBBM!AE703</f>
        <v/>
      </c>
      <c r="J703">
        <f>PasteBBM!AG703*PasteBBM!AH703</f>
        <v>0</v>
      </c>
      <c r="K703" t="str">
        <f>PasteBBM!AG703</f>
        <v/>
      </c>
      <c r="L703" t="str">
        <f>PasteBBM!Z703</f>
        <v/>
      </c>
      <c r="M703" t="str">
        <f>PasteBBM!Y703</f>
        <v/>
      </c>
      <c r="N703" t="str">
        <f>PasteBBM!AA703</f>
        <v/>
      </c>
      <c r="O703" t="str">
        <f>PasteBBM!AB703</f>
        <v/>
      </c>
      <c r="P703" t="str">
        <f>PasteBBM!AC703</f>
        <v/>
      </c>
      <c r="Q703" t="str">
        <f>PasteBBM!AD703</f>
        <v/>
      </c>
      <c r="R703" t="str">
        <f>PasteBBM!AI703</f>
        <v/>
      </c>
      <c r="S703" t="str">
        <f>PasteBBM!AE703</f>
        <v/>
      </c>
      <c r="T703" t="str">
        <f>PasteBBM!AG703</f>
        <v/>
      </c>
      <c r="V703" s="44">
        <v>-0.41709</v>
      </c>
      <c r="W703" s="44">
        <v>-0.00658</v>
      </c>
      <c r="X703" s="44">
        <v>0.009207</v>
      </c>
      <c r="Y703" s="44">
        <v>-0.4263</v>
      </c>
      <c r="Z703" s="44">
        <v>-0.34564</v>
      </c>
      <c r="AA703" s="45"/>
      <c r="AB703" s="46" t="s">
        <v>126</v>
      </c>
      <c r="AC703" s="44">
        <v>67.0</v>
      </c>
    </row>
    <row r="704">
      <c r="A704" s="2">
        <v>163.0</v>
      </c>
      <c r="B704" s="14">
        <f>IF(PasteBBM!B704="",156,PasteBBM!B704)</f>
        <v>156</v>
      </c>
      <c r="C704" t="str">
        <f>PasteBBM!I704</f>
        <v/>
      </c>
      <c r="D704" t="str">
        <f>IFERROR(REPLACE(PasteBBM!K704,FIND("/",PasteBBM!K704,1),1,","),PasteBBM!K704)</f>
        <v/>
      </c>
      <c r="E704" t="str">
        <f>PasteBBM!J704</f>
        <v/>
      </c>
      <c r="F704" t="str">
        <f>PasteBBM!U704</f>
        <v/>
      </c>
      <c r="G704" t="str">
        <f>PasteBBM!X704</f>
        <v/>
      </c>
      <c r="H704">
        <f>PasteBBM!AE704*PasteBBM!AF704</f>
        <v>0</v>
      </c>
      <c r="I704" t="str">
        <f>PasteBBM!AE704</f>
        <v/>
      </c>
      <c r="J704">
        <f>PasteBBM!AG704*PasteBBM!AH704</f>
        <v>0</v>
      </c>
      <c r="K704" t="str">
        <f>PasteBBM!AG704</f>
        <v/>
      </c>
      <c r="L704" t="str">
        <f>PasteBBM!Z704</f>
        <v/>
      </c>
      <c r="M704" t="str">
        <f>PasteBBM!Y704</f>
        <v/>
      </c>
      <c r="N704" t="str">
        <f>PasteBBM!AA704</f>
        <v/>
      </c>
      <c r="O704" t="str">
        <f>PasteBBM!AB704</f>
        <v/>
      </c>
      <c r="P704" t="str">
        <f>PasteBBM!AC704</f>
        <v/>
      </c>
      <c r="Q704" t="str">
        <f>PasteBBM!AD704</f>
        <v/>
      </c>
      <c r="R704" t="str">
        <f>PasteBBM!AI704</f>
        <v/>
      </c>
      <c r="S704" t="str">
        <f>PasteBBM!AE704</f>
        <v/>
      </c>
      <c r="T704" t="str">
        <f>PasteBBM!AG704</f>
        <v/>
      </c>
      <c r="V704" s="44">
        <v>-0.41709</v>
      </c>
      <c r="W704" s="44">
        <v>-0.00658</v>
      </c>
      <c r="X704" s="44">
        <v>0.009207</v>
      </c>
      <c r="Y704" s="44">
        <v>-0.4263</v>
      </c>
      <c r="Z704" s="44">
        <v>-0.34564</v>
      </c>
      <c r="AA704" s="45"/>
      <c r="AB704" s="46" t="s">
        <v>126</v>
      </c>
      <c r="AC704" s="44">
        <v>67.0</v>
      </c>
    </row>
    <row r="705">
      <c r="A705" s="2">
        <v>163.0</v>
      </c>
      <c r="B705" s="14">
        <f>IF(PasteBBM!B705="",156,PasteBBM!B705)</f>
        <v>156</v>
      </c>
      <c r="C705" t="str">
        <f>PasteBBM!I705</f>
        <v/>
      </c>
      <c r="D705" t="str">
        <f>IFERROR(REPLACE(PasteBBM!K705,FIND("/",PasteBBM!K705,1),1,","),PasteBBM!K705)</f>
        <v/>
      </c>
      <c r="E705" t="str">
        <f>PasteBBM!J705</f>
        <v/>
      </c>
      <c r="F705" t="str">
        <f>PasteBBM!U705</f>
        <v/>
      </c>
      <c r="G705" t="str">
        <f>PasteBBM!X705</f>
        <v/>
      </c>
      <c r="H705">
        <f>PasteBBM!AE705*PasteBBM!AF705</f>
        <v>0</v>
      </c>
      <c r="I705" t="str">
        <f>PasteBBM!AE705</f>
        <v/>
      </c>
      <c r="J705">
        <f>PasteBBM!AG705*PasteBBM!AH705</f>
        <v>0</v>
      </c>
      <c r="K705" t="str">
        <f>PasteBBM!AG705</f>
        <v/>
      </c>
      <c r="L705" t="str">
        <f>PasteBBM!Z705</f>
        <v/>
      </c>
      <c r="M705" t="str">
        <f>PasteBBM!Y705</f>
        <v/>
      </c>
      <c r="N705" t="str">
        <f>PasteBBM!AA705</f>
        <v/>
      </c>
      <c r="O705" t="str">
        <f>PasteBBM!AB705</f>
        <v/>
      </c>
      <c r="P705" t="str">
        <f>PasteBBM!AC705</f>
        <v/>
      </c>
      <c r="Q705" t="str">
        <f>PasteBBM!AD705</f>
        <v/>
      </c>
      <c r="R705" t="str">
        <f>PasteBBM!AI705</f>
        <v/>
      </c>
      <c r="S705" t="str">
        <f>PasteBBM!AE705</f>
        <v/>
      </c>
      <c r="T705" t="str">
        <f>PasteBBM!AG705</f>
        <v/>
      </c>
      <c r="V705" s="44">
        <v>-0.41709</v>
      </c>
      <c r="W705" s="44">
        <v>-0.00658</v>
      </c>
      <c r="X705" s="44">
        <v>0.009207</v>
      </c>
      <c r="Y705" s="44">
        <v>-0.4263</v>
      </c>
      <c r="Z705" s="44">
        <v>-0.34564</v>
      </c>
      <c r="AA705" s="45"/>
      <c r="AB705" s="46" t="s">
        <v>126</v>
      </c>
      <c r="AC705" s="44">
        <v>67.0</v>
      </c>
    </row>
    <row r="706">
      <c r="A706" s="2">
        <v>163.0</v>
      </c>
      <c r="B706" s="14">
        <f>IF(PasteBBM!B706="",156,PasteBBM!B706)</f>
        <v>156</v>
      </c>
      <c r="C706" t="str">
        <f>PasteBBM!I706</f>
        <v/>
      </c>
      <c r="D706" t="str">
        <f>IFERROR(REPLACE(PasteBBM!K706,FIND("/",PasteBBM!K706,1),1,","),PasteBBM!K706)</f>
        <v/>
      </c>
      <c r="E706" t="str">
        <f>PasteBBM!J706</f>
        <v/>
      </c>
      <c r="F706" t="str">
        <f>PasteBBM!U706</f>
        <v/>
      </c>
      <c r="G706" t="str">
        <f>PasteBBM!X706</f>
        <v/>
      </c>
      <c r="H706">
        <f>PasteBBM!AE706*PasteBBM!AF706</f>
        <v>0</v>
      </c>
      <c r="I706" t="str">
        <f>PasteBBM!AE706</f>
        <v/>
      </c>
      <c r="J706">
        <f>PasteBBM!AG706*PasteBBM!AH706</f>
        <v>0</v>
      </c>
      <c r="K706" t="str">
        <f>PasteBBM!AG706</f>
        <v/>
      </c>
      <c r="L706" t="str">
        <f>PasteBBM!Z706</f>
        <v/>
      </c>
      <c r="M706" t="str">
        <f>PasteBBM!Y706</f>
        <v/>
      </c>
      <c r="N706" t="str">
        <f>PasteBBM!AA706</f>
        <v/>
      </c>
      <c r="O706" t="str">
        <f>PasteBBM!AB706</f>
        <v/>
      </c>
      <c r="P706" t="str">
        <f>PasteBBM!AC706</f>
        <v/>
      </c>
      <c r="Q706" t="str">
        <f>PasteBBM!AD706</f>
        <v/>
      </c>
      <c r="R706" t="str">
        <f>PasteBBM!AI706</f>
        <v/>
      </c>
      <c r="S706" t="str">
        <f>PasteBBM!AE706</f>
        <v/>
      </c>
      <c r="T706" t="str">
        <f>PasteBBM!AG706</f>
        <v/>
      </c>
      <c r="V706" s="44">
        <v>-0.41709</v>
      </c>
      <c r="W706" s="44">
        <v>-0.00658</v>
      </c>
      <c r="X706" s="44">
        <v>0.009207</v>
      </c>
      <c r="Y706" s="44">
        <v>-0.4263</v>
      </c>
      <c r="Z706" s="44">
        <v>-0.34564</v>
      </c>
      <c r="AA706" s="45"/>
      <c r="AB706" s="46" t="s">
        <v>126</v>
      </c>
      <c r="AC706" s="44">
        <v>67.0</v>
      </c>
    </row>
    <row r="707">
      <c r="A707" s="2">
        <v>163.0</v>
      </c>
      <c r="B707" s="14">
        <f>IF(PasteBBM!B707="",156,PasteBBM!B707)</f>
        <v>156</v>
      </c>
      <c r="C707" t="str">
        <f>PasteBBM!I707</f>
        <v/>
      </c>
      <c r="D707" t="str">
        <f>IFERROR(REPLACE(PasteBBM!K707,FIND("/",PasteBBM!K707,1),1,","),PasteBBM!K707)</f>
        <v/>
      </c>
      <c r="E707" t="str">
        <f>PasteBBM!J707</f>
        <v/>
      </c>
      <c r="F707" t="str">
        <f>PasteBBM!U707</f>
        <v/>
      </c>
      <c r="G707" t="str">
        <f>PasteBBM!X707</f>
        <v/>
      </c>
      <c r="H707">
        <f>PasteBBM!AE707*PasteBBM!AF707</f>
        <v>0</v>
      </c>
      <c r="I707" t="str">
        <f>PasteBBM!AE707</f>
        <v/>
      </c>
      <c r="J707">
        <f>PasteBBM!AG707*PasteBBM!AH707</f>
        <v>0</v>
      </c>
      <c r="K707" t="str">
        <f>PasteBBM!AG707</f>
        <v/>
      </c>
      <c r="L707" t="str">
        <f>PasteBBM!Z707</f>
        <v/>
      </c>
      <c r="M707" t="str">
        <f>PasteBBM!Y707</f>
        <v/>
      </c>
      <c r="N707" t="str">
        <f>PasteBBM!AA707</f>
        <v/>
      </c>
      <c r="O707" t="str">
        <f>PasteBBM!AB707</f>
        <v/>
      </c>
      <c r="P707" t="str">
        <f>PasteBBM!AC707</f>
        <v/>
      </c>
      <c r="Q707" t="str">
        <f>PasteBBM!AD707</f>
        <v/>
      </c>
      <c r="R707" t="str">
        <f>PasteBBM!AI707</f>
        <v/>
      </c>
      <c r="S707" t="str">
        <f>PasteBBM!AE707</f>
        <v/>
      </c>
      <c r="T707" t="str">
        <f>PasteBBM!AG707</f>
        <v/>
      </c>
      <c r="V707" s="44">
        <v>-0.41709</v>
      </c>
      <c r="W707" s="44">
        <v>-0.00658</v>
      </c>
      <c r="X707" s="44">
        <v>0.009207</v>
      </c>
      <c r="Y707" s="44">
        <v>-0.4263</v>
      </c>
      <c r="Z707" s="44">
        <v>-0.34564</v>
      </c>
      <c r="AA707" s="45"/>
      <c r="AB707" s="46" t="s">
        <v>126</v>
      </c>
      <c r="AC707" s="44">
        <v>67.0</v>
      </c>
    </row>
    <row r="708">
      <c r="A708" s="2">
        <v>163.0</v>
      </c>
      <c r="B708" s="14">
        <f>IF(PasteBBM!B708="",156,PasteBBM!B708)</f>
        <v>156</v>
      </c>
      <c r="C708" t="str">
        <f>PasteBBM!I708</f>
        <v/>
      </c>
      <c r="D708" t="str">
        <f>IFERROR(REPLACE(PasteBBM!K708,FIND("/",PasteBBM!K708,1),1,","),PasteBBM!K708)</f>
        <v/>
      </c>
      <c r="E708" t="str">
        <f>PasteBBM!J708</f>
        <v/>
      </c>
      <c r="F708" t="str">
        <f>PasteBBM!U708</f>
        <v/>
      </c>
      <c r="G708" t="str">
        <f>PasteBBM!X708</f>
        <v/>
      </c>
      <c r="H708">
        <f>PasteBBM!AE708*PasteBBM!AF708</f>
        <v>0</v>
      </c>
      <c r="I708" t="str">
        <f>PasteBBM!AE708</f>
        <v/>
      </c>
      <c r="J708">
        <f>PasteBBM!AG708*PasteBBM!AH708</f>
        <v>0</v>
      </c>
      <c r="K708" t="str">
        <f>PasteBBM!AG708</f>
        <v/>
      </c>
      <c r="L708" t="str">
        <f>PasteBBM!Z708</f>
        <v/>
      </c>
      <c r="M708" t="str">
        <f>PasteBBM!Y708</f>
        <v/>
      </c>
      <c r="N708" t="str">
        <f>PasteBBM!AA708</f>
        <v/>
      </c>
      <c r="O708" t="str">
        <f>PasteBBM!AB708</f>
        <v/>
      </c>
      <c r="P708" t="str">
        <f>PasteBBM!AC708</f>
        <v/>
      </c>
      <c r="Q708" t="str">
        <f>PasteBBM!AD708</f>
        <v/>
      </c>
      <c r="R708" t="str">
        <f>PasteBBM!AI708</f>
        <v/>
      </c>
      <c r="S708" t="str">
        <f>PasteBBM!AE708</f>
        <v/>
      </c>
      <c r="T708" t="str">
        <f>PasteBBM!AG708</f>
        <v/>
      </c>
      <c r="V708" s="44">
        <v>-0.41709</v>
      </c>
      <c r="W708" s="44">
        <v>-0.00658</v>
      </c>
      <c r="X708" s="44">
        <v>0.009207</v>
      </c>
      <c r="Y708" s="44">
        <v>-0.4263</v>
      </c>
      <c r="Z708" s="44">
        <v>-0.34564</v>
      </c>
      <c r="AA708" s="45"/>
      <c r="AB708" s="46" t="s">
        <v>126</v>
      </c>
      <c r="AC708" s="44">
        <v>67.0</v>
      </c>
    </row>
    <row r="709">
      <c r="A709" s="2">
        <v>163.0</v>
      </c>
      <c r="B709" s="14">
        <f>IF(PasteBBM!B709="",156,PasteBBM!B709)</f>
        <v>156</v>
      </c>
      <c r="C709" t="str">
        <f>PasteBBM!I709</f>
        <v/>
      </c>
      <c r="D709" t="str">
        <f>IFERROR(REPLACE(PasteBBM!K709,FIND("/",PasteBBM!K709,1),1,","),PasteBBM!K709)</f>
        <v/>
      </c>
      <c r="E709" t="str">
        <f>PasteBBM!J709</f>
        <v/>
      </c>
      <c r="F709" t="str">
        <f>PasteBBM!U709</f>
        <v/>
      </c>
      <c r="G709" t="str">
        <f>PasteBBM!X709</f>
        <v/>
      </c>
      <c r="H709">
        <f>PasteBBM!AE709*PasteBBM!AF709</f>
        <v>0</v>
      </c>
      <c r="I709" t="str">
        <f>PasteBBM!AE709</f>
        <v/>
      </c>
      <c r="J709">
        <f>PasteBBM!AG709*PasteBBM!AH709</f>
        <v>0</v>
      </c>
      <c r="K709" t="str">
        <f>PasteBBM!AG709</f>
        <v/>
      </c>
      <c r="L709" t="str">
        <f>PasteBBM!Z709</f>
        <v/>
      </c>
      <c r="M709" t="str">
        <f>PasteBBM!Y709</f>
        <v/>
      </c>
      <c r="N709" t="str">
        <f>PasteBBM!AA709</f>
        <v/>
      </c>
      <c r="O709" t="str">
        <f>PasteBBM!AB709</f>
        <v/>
      </c>
      <c r="P709" t="str">
        <f>PasteBBM!AC709</f>
        <v/>
      </c>
      <c r="Q709" t="str">
        <f>PasteBBM!AD709</f>
        <v/>
      </c>
      <c r="R709" t="str">
        <f>PasteBBM!AI709</f>
        <v/>
      </c>
      <c r="S709" t="str">
        <f>PasteBBM!AE709</f>
        <v/>
      </c>
      <c r="T709" t="str">
        <f>PasteBBM!AG709</f>
        <v/>
      </c>
      <c r="V709" s="44">
        <v>-0.41709</v>
      </c>
      <c r="W709" s="44">
        <v>-0.00658</v>
      </c>
      <c r="X709" s="44">
        <v>0.009207</v>
      </c>
      <c r="Y709" s="44">
        <v>-0.4263</v>
      </c>
      <c r="Z709" s="44">
        <v>-0.34564</v>
      </c>
      <c r="AA709" s="45"/>
      <c r="AB709" s="46" t="s">
        <v>126</v>
      </c>
      <c r="AC709" s="44">
        <v>67.0</v>
      </c>
    </row>
    <row r="710">
      <c r="A710" s="2">
        <v>163.0</v>
      </c>
      <c r="B710" s="14">
        <f>IF(PasteBBM!B710="",156,PasteBBM!B710)</f>
        <v>156</v>
      </c>
      <c r="C710" t="str">
        <f>PasteBBM!I710</f>
        <v/>
      </c>
      <c r="D710" t="str">
        <f>IFERROR(REPLACE(PasteBBM!K710,FIND("/",PasteBBM!K710,1),1,","),PasteBBM!K710)</f>
        <v/>
      </c>
      <c r="E710" t="str">
        <f>PasteBBM!J710</f>
        <v/>
      </c>
      <c r="F710" t="str">
        <f>PasteBBM!U710</f>
        <v/>
      </c>
      <c r="G710" t="str">
        <f>PasteBBM!X710</f>
        <v/>
      </c>
      <c r="H710">
        <f>PasteBBM!AE710*PasteBBM!AF710</f>
        <v>0</v>
      </c>
      <c r="I710" t="str">
        <f>PasteBBM!AE710</f>
        <v/>
      </c>
      <c r="J710">
        <f>PasteBBM!AG710*PasteBBM!AH710</f>
        <v>0</v>
      </c>
      <c r="K710" t="str">
        <f>PasteBBM!AG710</f>
        <v/>
      </c>
      <c r="L710" t="str">
        <f>PasteBBM!Z710</f>
        <v/>
      </c>
      <c r="M710" t="str">
        <f>PasteBBM!Y710</f>
        <v/>
      </c>
      <c r="N710" t="str">
        <f>PasteBBM!AA710</f>
        <v/>
      </c>
      <c r="O710" t="str">
        <f>PasteBBM!AB710</f>
        <v/>
      </c>
      <c r="P710" t="str">
        <f>PasteBBM!AC710</f>
        <v/>
      </c>
      <c r="Q710" t="str">
        <f>PasteBBM!AD710</f>
        <v/>
      </c>
      <c r="R710" t="str">
        <f>PasteBBM!AI710</f>
        <v/>
      </c>
      <c r="S710" t="str">
        <f>PasteBBM!AE710</f>
        <v/>
      </c>
      <c r="T710" t="str">
        <f>PasteBBM!AG710</f>
        <v/>
      </c>
      <c r="V710" s="44">
        <v>-0.41709</v>
      </c>
      <c r="W710" s="44">
        <v>-0.00658</v>
      </c>
      <c r="X710" s="44">
        <v>0.009207</v>
      </c>
      <c r="Y710" s="44">
        <v>-0.4263</v>
      </c>
      <c r="Z710" s="44">
        <v>-0.34564</v>
      </c>
      <c r="AA710" s="45"/>
      <c r="AB710" s="46" t="s">
        <v>126</v>
      </c>
      <c r="AC710" s="44">
        <v>67.0</v>
      </c>
    </row>
    <row r="711">
      <c r="A711" s="2">
        <v>163.0</v>
      </c>
      <c r="B711" s="14">
        <f>IF(PasteBBM!B711="",156,PasteBBM!B711)</f>
        <v>156</v>
      </c>
      <c r="C711" t="str">
        <f>PasteBBM!I711</f>
        <v/>
      </c>
      <c r="D711" t="str">
        <f>IFERROR(REPLACE(PasteBBM!K711,FIND("/",PasteBBM!K711,1),1,","),PasteBBM!K711)</f>
        <v/>
      </c>
      <c r="E711" t="str">
        <f>PasteBBM!J711</f>
        <v/>
      </c>
      <c r="F711" t="str">
        <f>PasteBBM!U711</f>
        <v/>
      </c>
      <c r="G711" t="str">
        <f>PasteBBM!X711</f>
        <v/>
      </c>
      <c r="H711">
        <f>PasteBBM!AE711*PasteBBM!AF711</f>
        <v>0</v>
      </c>
      <c r="I711" t="str">
        <f>PasteBBM!AE711</f>
        <v/>
      </c>
      <c r="J711">
        <f>PasteBBM!AG711*PasteBBM!AH711</f>
        <v>0</v>
      </c>
      <c r="K711" t="str">
        <f>PasteBBM!AG711</f>
        <v/>
      </c>
      <c r="L711" t="str">
        <f>PasteBBM!Z711</f>
        <v/>
      </c>
      <c r="M711" t="str">
        <f>PasteBBM!Y711</f>
        <v/>
      </c>
      <c r="N711" t="str">
        <f>PasteBBM!AA711</f>
        <v/>
      </c>
      <c r="O711" t="str">
        <f>PasteBBM!AB711</f>
        <v/>
      </c>
      <c r="P711" t="str">
        <f>PasteBBM!AC711</f>
        <v/>
      </c>
      <c r="Q711" t="str">
        <f>PasteBBM!AD711</f>
        <v/>
      </c>
      <c r="R711" t="str">
        <f>PasteBBM!AI711</f>
        <v/>
      </c>
      <c r="S711" t="str">
        <f>PasteBBM!AE711</f>
        <v/>
      </c>
      <c r="T711" t="str">
        <f>PasteBBM!AG711</f>
        <v/>
      </c>
      <c r="V711" s="44">
        <v>-0.41709</v>
      </c>
      <c r="W711" s="44">
        <v>-0.00658</v>
      </c>
      <c r="X711" s="44">
        <v>0.009207</v>
      </c>
      <c r="Y711" s="44">
        <v>-0.4263</v>
      </c>
      <c r="Z711" s="44">
        <v>-0.34564</v>
      </c>
      <c r="AA711" s="45"/>
      <c r="AB711" s="46" t="s">
        <v>126</v>
      </c>
      <c r="AC711" s="44">
        <v>67.0</v>
      </c>
    </row>
    <row r="712">
      <c r="A712" s="2">
        <v>163.0</v>
      </c>
      <c r="B712" s="14">
        <f>IF(PasteBBM!B712="",156,PasteBBM!B712)</f>
        <v>156</v>
      </c>
      <c r="C712" t="str">
        <f>PasteBBM!I712</f>
        <v/>
      </c>
      <c r="D712" t="str">
        <f>IFERROR(REPLACE(PasteBBM!K712,FIND("/",PasteBBM!K712,1),1,","),PasteBBM!K712)</f>
        <v/>
      </c>
      <c r="E712" t="str">
        <f>PasteBBM!J712</f>
        <v/>
      </c>
      <c r="F712" t="str">
        <f>PasteBBM!U712</f>
        <v/>
      </c>
      <c r="G712" t="str">
        <f>PasteBBM!X712</f>
        <v/>
      </c>
      <c r="H712">
        <f>PasteBBM!AE712*PasteBBM!AF712</f>
        <v>0</v>
      </c>
      <c r="I712" t="str">
        <f>PasteBBM!AE712</f>
        <v/>
      </c>
      <c r="J712">
        <f>PasteBBM!AG712*PasteBBM!AH712</f>
        <v>0</v>
      </c>
      <c r="K712" t="str">
        <f>PasteBBM!AG712</f>
        <v/>
      </c>
      <c r="L712" t="str">
        <f>PasteBBM!Z712</f>
        <v/>
      </c>
      <c r="M712" t="str">
        <f>PasteBBM!Y712</f>
        <v/>
      </c>
      <c r="N712" t="str">
        <f>PasteBBM!AA712</f>
        <v/>
      </c>
      <c r="O712" t="str">
        <f>PasteBBM!AB712</f>
        <v/>
      </c>
      <c r="P712" t="str">
        <f>PasteBBM!AC712</f>
        <v/>
      </c>
      <c r="Q712" t="str">
        <f>PasteBBM!AD712</f>
        <v/>
      </c>
      <c r="R712" t="str">
        <f>PasteBBM!AI712</f>
        <v/>
      </c>
      <c r="S712" t="str">
        <f>PasteBBM!AE712</f>
        <v/>
      </c>
      <c r="T712" t="str">
        <f>PasteBBM!AG712</f>
        <v/>
      </c>
      <c r="V712" s="44">
        <v>-0.41709</v>
      </c>
      <c r="W712" s="44">
        <v>-0.00658</v>
      </c>
      <c r="X712" s="44">
        <v>0.009207</v>
      </c>
      <c r="Y712" s="44">
        <v>-0.4263</v>
      </c>
      <c r="Z712" s="44">
        <v>-0.34564</v>
      </c>
      <c r="AA712" s="45"/>
      <c r="AB712" s="46" t="s">
        <v>126</v>
      </c>
      <c r="AC712" s="44">
        <v>67.0</v>
      </c>
    </row>
    <row r="713">
      <c r="A713" s="2">
        <v>163.0</v>
      </c>
      <c r="B713" s="14">
        <f>IF(PasteBBM!B713="",156,PasteBBM!B713)</f>
        <v>156</v>
      </c>
      <c r="C713" t="str">
        <f>PasteBBM!I713</f>
        <v/>
      </c>
      <c r="D713" t="str">
        <f>IFERROR(REPLACE(PasteBBM!K713,FIND("/",PasteBBM!K713,1),1,","),PasteBBM!K713)</f>
        <v/>
      </c>
      <c r="E713" t="str">
        <f>PasteBBM!J713</f>
        <v/>
      </c>
      <c r="F713" t="str">
        <f>PasteBBM!U713</f>
        <v/>
      </c>
      <c r="G713" t="str">
        <f>PasteBBM!X713</f>
        <v/>
      </c>
      <c r="H713">
        <f>PasteBBM!AE713*PasteBBM!AF713</f>
        <v>0</v>
      </c>
      <c r="I713" t="str">
        <f>PasteBBM!AE713</f>
        <v/>
      </c>
      <c r="J713">
        <f>PasteBBM!AG713*PasteBBM!AH713</f>
        <v>0</v>
      </c>
      <c r="K713" t="str">
        <f>PasteBBM!AG713</f>
        <v/>
      </c>
      <c r="L713" t="str">
        <f>PasteBBM!Z713</f>
        <v/>
      </c>
      <c r="M713" t="str">
        <f>PasteBBM!Y713</f>
        <v/>
      </c>
      <c r="N713" t="str">
        <f>PasteBBM!AA713</f>
        <v/>
      </c>
      <c r="O713" t="str">
        <f>PasteBBM!AB713</f>
        <v/>
      </c>
      <c r="P713" t="str">
        <f>PasteBBM!AC713</f>
        <v/>
      </c>
      <c r="Q713" t="str">
        <f>PasteBBM!AD713</f>
        <v/>
      </c>
      <c r="R713" t="str">
        <f>PasteBBM!AI713</f>
        <v/>
      </c>
      <c r="S713" t="str">
        <f>PasteBBM!AE713</f>
        <v/>
      </c>
      <c r="T713" t="str">
        <f>PasteBBM!AG713</f>
        <v/>
      </c>
      <c r="V713" s="44">
        <v>-0.41709</v>
      </c>
      <c r="W713" s="44">
        <v>-0.00658</v>
      </c>
      <c r="X713" s="44">
        <v>0.009207</v>
      </c>
      <c r="Y713" s="44">
        <v>-0.4263</v>
      </c>
      <c r="Z713" s="44">
        <v>-0.34564</v>
      </c>
      <c r="AA713" s="45"/>
      <c r="AB713" s="46" t="s">
        <v>126</v>
      </c>
      <c r="AC713" s="44">
        <v>67.0</v>
      </c>
    </row>
    <row r="714">
      <c r="A714" s="2">
        <v>163.0</v>
      </c>
      <c r="B714" s="14">
        <f>IF(PasteBBM!B714="",156,PasteBBM!B714)</f>
        <v>156</v>
      </c>
      <c r="C714" t="str">
        <f>PasteBBM!I714</f>
        <v/>
      </c>
      <c r="D714" t="str">
        <f>IFERROR(REPLACE(PasteBBM!K714,FIND("/",PasteBBM!K714,1),1,","),PasteBBM!K714)</f>
        <v/>
      </c>
      <c r="E714" t="str">
        <f>PasteBBM!J714</f>
        <v/>
      </c>
      <c r="F714" t="str">
        <f>PasteBBM!U714</f>
        <v/>
      </c>
      <c r="G714" t="str">
        <f>PasteBBM!X714</f>
        <v/>
      </c>
      <c r="H714">
        <f>PasteBBM!AE714*PasteBBM!AF714</f>
        <v>0</v>
      </c>
      <c r="I714" t="str">
        <f>PasteBBM!AE714</f>
        <v/>
      </c>
      <c r="J714">
        <f>PasteBBM!AG714*PasteBBM!AH714</f>
        <v>0</v>
      </c>
      <c r="K714" t="str">
        <f>PasteBBM!AG714</f>
        <v/>
      </c>
      <c r="L714" t="str">
        <f>PasteBBM!Z714</f>
        <v/>
      </c>
      <c r="M714" t="str">
        <f>PasteBBM!Y714</f>
        <v/>
      </c>
      <c r="N714" t="str">
        <f>PasteBBM!AA714</f>
        <v/>
      </c>
      <c r="O714" t="str">
        <f>PasteBBM!AB714</f>
        <v/>
      </c>
      <c r="P714" t="str">
        <f>PasteBBM!AC714</f>
        <v/>
      </c>
      <c r="Q714" t="str">
        <f>PasteBBM!AD714</f>
        <v/>
      </c>
      <c r="R714" t="str">
        <f>PasteBBM!AI714</f>
        <v/>
      </c>
      <c r="S714" t="str">
        <f>PasteBBM!AE714</f>
        <v/>
      </c>
      <c r="T714" t="str">
        <f>PasteBBM!AG714</f>
        <v/>
      </c>
      <c r="V714" s="44">
        <v>-0.41709</v>
      </c>
      <c r="W714" s="44">
        <v>-0.00658</v>
      </c>
      <c r="X714" s="44">
        <v>0.009207</v>
      </c>
      <c r="Y714" s="44">
        <v>-0.4263</v>
      </c>
      <c r="Z714" s="44">
        <v>-0.34564</v>
      </c>
      <c r="AA714" s="45"/>
      <c r="AB714" s="46" t="s">
        <v>126</v>
      </c>
      <c r="AC714" s="44">
        <v>67.0</v>
      </c>
    </row>
    <row r="715">
      <c r="A715" s="2">
        <v>163.0</v>
      </c>
      <c r="B715" s="14">
        <f>IF(PasteBBM!B715="",156,PasteBBM!B715)</f>
        <v>156</v>
      </c>
      <c r="C715" t="str">
        <f>PasteBBM!I715</f>
        <v/>
      </c>
      <c r="D715" t="str">
        <f>IFERROR(REPLACE(PasteBBM!K715,FIND("/",PasteBBM!K715,1),1,","),PasteBBM!K715)</f>
        <v/>
      </c>
      <c r="E715" t="str">
        <f>PasteBBM!J715</f>
        <v/>
      </c>
      <c r="F715" t="str">
        <f>PasteBBM!U715</f>
        <v/>
      </c>
      <c r="G715" t="str">
        <f>PasteBBM!X715</f>
        <v/>
      </c>
      <c r="H715">
        <f>PasteBBM!AE715*PasteBBM!AF715</f>
        <v>0</v>
      </c>
      <c r="I715" t="str">
        <f>PasteBBM!AE715</f>
        <v/>
      </c>
      <c r="J715">
        <f>PasteBBM!AG715*PasteBBM!AH715</f>
        <v>0</v>
      </c>
      <c r="K715" t="str">
        <f>PasteBBM!AG715</f>
        <v/>
      </c>
      <c r="L715" t="str">
        <f>PasteBBM!Z715</f>
        <v/>
      </c>
      <c r="M715" t="str">
        <f>PasteBBM!Y715</f>
        <v/>
      </c>
      <c r="N715" t="str">
        <f>PasteBBM!AA715</f>
        <v/>
      </c>
      <c r="O715" t="str">
        <f>PasteBBM!AB715</f>
        <v/>
      </c>
      <c r="P715" t="str">
        <f>PasteBBM!AC715</f>
        <v/>
      </c>
      <c r="Q715" t="str">
        <f>PasteBBM!AD715</f>
        <v/>
      </c>
      <c r="R715" t="str">
        <f>PasteBBM!AI715</f>
        <v/>
      </c>
      <c r="S715" t="str">
        <f>PasteBBM!AE715</f>
        <v/>
      </c>
      <c r="T715" t="str">
        <f>PasteBBM!AG715</f>
        <v/>
      </c>
      <c r="V715" s="44">
        <v>-0.41709</v>
      </c>
      <c r="W715" s="44">
        <v>-0.00658</v>
      </c>
      <c r="X715" s="44">
        <v>0.009207</v>
      </c>
      <c r="Y715" s="44">
        <v>-0.4263</v>
      </c>
      <c r="Z715" s="44">
        <v>-0.34564</v>
      </c>
      <c r="AA715" s="45"/>
      <c r="AB715" s="46" t="s">
        <v>126</v>
      </c>
      <c r="AC715" s="44">
        <v>67.0</v>
      </c>
    </row>
    <row r="716">
      <c r="A716" s="2">
        <v>163.0</v>
      </c>
      <c r="B716" s="14">
        <f>IF(PasteBBM!B716="",156,PasteBBM!B716)</f>
        <v>156</v>
      </c>
      <c r="C716" t="str">
        <f>PasteBBM!I716</f>
        <v/>
      </c>
      <c r="D716" t="str">
        <f>IFERROR(REPLACE(PasteBBM!K716,FIND("/",PasteBBM!K716,1),1,","),PasteBBM!K716)</f>
        <v/>
      </c>
      <c r="E716" t="str">
        <f>PasteBBM!J716</f>
        <v/>
      </c>
      <c r="F716" t="str">
        <f>PasteBBM!U716</f>
        <v/>
      </c>
      <c r="G716" t="str">
        <f>PasteBBM!X716</f>
        <v/>
      </c>
      <c r="H716">
        <f>PasteBBM!AE716*PasteBBM!AF716</f>
        <v>0</v>
      </c>
      <c r="I716" t="str">
        <f>PasteBBM!AE716</f>
        <v/>
      </c>
      <c r="J716">
        <f>PasteBBM!AG716*PasteBBM!AH716</f>
        <v>0</v>
      </c>
      <c r="K716" t="str">
        <f>PasteBBM!AG716</f>
        <v/>
      </c>
      <c r="L716" t="str">
        <f>PasteBBM!Z716</f>
        <v/>
      </c>
      <c r="M716" t="str">
        <f>PasteBBM!Y716</f>
        <v/>
      </c>
      <c r="N716" t="str">
        <f>PasteBBM!AA716</f>
        <v/>
      </c>
      <c r="O716" t="str">
        <f>PasteBBM!AB716</f>
        <v/>
      </c>
      <c r="P716" t="str">
        <f>PasteBBM!AC716</f>
        <v/>
      </c>
      <c r="Q716" t="str">
        <f>PasteBBM!AD716</f>
        <v/>
      </c>
      <c r="R716" t="str">
        <f>PasteBBM!AI716</f>
        <v/>
      </c>
      <c r="S716" t="str">
        <f>PasteBBM!AE716</f>
        <v/>
      </c>
      <c r="T716" t="str">
        <f>PasteBBM!AG716</f>
        <v/>
      </c>
      <c r="V716" s="44">
        <v>-0.41709</v>
      </c>
      <c r="W716" s="44">
        <v>-0.00658</v>
      </c>
      <c r="X716" s="44">
        <v>0.009207</v>
      </c>
      <c r="Y716" s="44">
        <v>-0.4263</v>
      </c>
      <c r="Z716" s="44">
        <v>-0.34564</v>
      </c>
      <c r="AA716" s="45"/>
      <c r="AB716" s="46" t="s">
        <v>126</v>
      </c>
      <c r="AC716" s="44">
        <v>67.0</v>
      </c>
    </row>
    <row r="717">
      <c r="A717" s="2">
        <v>163.0</v>
      </c>
      <c r="B717" s="14">
        <f>IF(PasteBBM!B717="",156,PasteBBM!B717)</f>
        <v>156</v>
      </c>
      <c r="C717" t="str">
        <f>PasteBBM!I717</f>
        <v/>
      </c>
      <c r="D717" t="str">
        <f>IFERROR(REPLACE(PasteBBM!K717,FIND("/",PasteBBM!K717,1),1,","),PasteBBM!K717)</f>
        <v/>
      </c>
      <c r="E717" t="str">
        <f>PasteBBM!J717</f>
        <v/>
      </c>
      <c r="F717" t="str">
        <f>PasteBBM!U717</f>
        <v/>
      </c>
      <c r="G717" t="str">
        <f>PasteBBM!X717</f>
        <v/>
      </c>
      <c r="H717">
        <f>PasteBBM!AE717*PasteBBM!AF717</f>
        <v>0</v>
      </c>
      <c r="I717" t="str">
        <f>PasteBBM!AE717</f>
        <v/>
      </c>
      <c r="J717">
        <f>PasteBBM!AG717*PasteBBM!AH717</f>
        <v>0</v>
      </c>
      <c r="K717" t="str">
        <f>PasteBBM!AG717</f>
        <v/>
      </c>
      <c r="L717" t="str">
        <f>PasteBBM!Z717</f>
        <v/>
      </c>
      <c r="M717" t="str">
        <f>PasteBBM!Y717</f>
        <v/>
      </c>
      <c r="N717" t="str">
        <f>PasteBBM!AA717</f>
        <v/>
      </c>
      <c r="O717" t="str">
        <f>PasteBBM!AB717</f>
        <v/>
      </c>
      <c r="P717" t="str">
        <f>PasteBBM!AC717</f>
        <v/>
      </c>
      <c r="Q717" t="str">
        <f>PasteBBM!AD717</f>
        <v/>
      </c>
      <c r="R717" t="str">
        <f>PasteBBM!AI717</f>
        <v/>
      </c>
      <c r="S717" t="str">
        <f>PasteBBM!AE717</f>
        <v/>
      </c>
      <c r="T717" t="str">
        <f>PasteBBM!AG717</f>
        <v/>
      </c>
      <c r="V717" s="44">
        <v>-0.41709</v>
      </c>
      <c r="W717" s="44">
        <v>-0.00658</v>
      </c>
      <c r="X717" s="44">
        <v>0.009207</v>
      </c>
      <c r="Y717" s="44">
        <v>-0.4263</v>
      </c>
      <c r="Z717" s="44">
        <v>-0.34564</v>
      </c>
      <c r="AA717" s="45"/>
      <c r="AB717" s="46" t="s">
        <v>126</v>
      </c>
      <c r="AC717" s="44">
        <v>67.0</v>
      </c>
    </row>
    <row r="718">
      <c r="A718" s="2">
        <v>163.0</v>
      </c>
      <c r="B718" s="14">
        <f>IF(PasteBBM!B718="",156,PasteBBM!B718)</f>
        <v>156</v>
      </c>
      <c r="C718" t="str">
        <f>PasteBBM!I718</f>
        <v/>
      </c>
      <c r="D718" t="str">
        <f>IFERROR(REPLACE(PasteBBM!K718,FIND("/",PasteBBM!K718,1),1,","),PasteBBM!K718)</f>
        <v/>
      </c>
      <c r="E718" t="str">
        <f>PasteBBM!J718</f>
        <v/>
      </c>
      <c r="F718" t="str">
        <f>PasteBBM!U718</f>
        <v/>
      </c>
      <c r="G718" t="str">
        <f>PasteBBM!X718</f>
        <v/>
      </c>
      <c r="H718">
        <f>PasteBBM!AE718*PasteBBM!AF718</f>
        <v>0</v>
      </c>
      <c r="I718" t="str">
        <f>PasteBBM!AE718</f>
        <v/>
      </c>
      <c r="J718">
        <f>PasteBBM!AG718*PasteBBM!AH718</f>
        <v>0</v>
      </c>
      <c r="K718" t="str">
        <f>PasteBBM!AG718</f>
        <v/>
      </c>
      <c r="L718" t="str">
        <f>PasteBBM!Z718</f>
        <v/>
      </c>
      <c r="M718" t="str">
        <f>PasteBBM!Y718</f>
        <v/>
      </c>
      <c r="N718" t="str">
        <f>PasteBBM!AA718</f>
        <v/>
      </c>
      <c r="O718" t="str">
        <f>PasteBBM!AB718</f>
        <v/>
      </c>
      <c r="P718" t="str">
        <f>PasteBBM!AC718</f>
        <v/>
      </c>
      <c r="Q718" t="str">
        <f>PasteBBM!AD718</f>
        <v/>
      </c>
      <c r="R718" t="str">
        <f>PasteBBM!AI718</f>
        <v/>
      </c>
      <c r="S718" t="str">
        <f>PasteBBM!AE718</f>
        <v/>
      </c>
      <c r="T718" t="str">
        <f>PasteBBM!AG718</f>
        <v/>
      </c>
      <c r="V718" s="44">
        <v>-0.41709</v>
      </c>
      <c r="W718" s="44">
        <v>-0.00658</v>
      </c>
      <c r="X718" s="44">
        <v>0.009207</v>
      </c>
      <c r="Y718" s="44">
        <v>-0.4263</v>
      </c>
      <c r="Z718" s="44">
        <v>-0.34564</v>
      </c>
      <c r="AA718" s="45"/>
      <c r="AB718" s="46" t="s">
        <v>126</v>
      </c>
      <c r="AC718" s="44">
        <v>67.0</v>
      </c>
    </row>
    <row r="719">
      <c r="A719" s="2">
        <v>163.0</v>
      </c>
      <c r="B719" s="14">
        <f>IF(PasteBBM!B719="",156,PasteBBM!B719)</f>
        <v>156</v>
      </c>
      <c r="C719" t="str">
        <f>PasteBBM!I719</f>
        <v/>
      </c>
      <c r="D719" t="str">
        <f>IFERROR(REPLACE(PasteBBM!K719,FIND("/",PasteBBM!K719,1),1,","),PasteBBM!K719)</f>
        <v/>
      </c>
      <c r="E719" t="str">
        <f>PasteBBM!J719</f>
        <v/>
      </c>
      <c r="F719" t="str">
        <f>PasteBBM!U719</f>
        <v/>
      </c>
      <c r="G719" t="str">
        <f>PasteBBM!X719</f>
        <v/>
      </c>
      <c r="H719">
        <f>PasteBBM!AE719*PasteBBM!AF719</f>
        <v>0</v>
      </c>
      <c r="I719" t="str">
        <f>PasteBBM!AE719</f>
        <v/>
      </c>
      <c r="J719">
        <f>PasteBBM!AG719*PasteBBM!AH719</f>
        <v>0</v>
      </c>
      <c r="K719" t="str">
        <f>PasteBBM!AG719</f>
        <v/>
      </c>
      <c r="L719" t="str">
        <f>PasteBBM!Z719</f>
        <v/>
      </c>
      <c r="M719" t="str">
        <f>PasteBBM!Y719</f>
        <v/>
      </c>
      <c r="N719" t="str">
        <f>PasteBBM!AA719</f>
        <v/>
      </c>
      <c r="O719" t="str">
        <f>PasteBBM!AB719</f>
        <v/>
      </c>
      <c r="P719" t="str">
        <f>PasteBBM!AC719</f>
        <v/>
      </c>
      <c r="Q719" t="str">
        <f>PasteBBM!AD719</f>
        <v/>
      </c>
      <c r="R719" t="str">
        <f>PasteBBM!AI719</f>
        <v/>
      </c>
      <c r="S719" t="str">
        <f>PasteBBM!AE719</f>
        <v/>
      </c>
      <c r="T719" t="str">
        <f>PasteBBM!AG719</f>
        <v/>
      </c>
      <c r="V719" s="44">
        <v>-0.41709</v>
      </c>
      <c r="W719" s="44">
        <v>-0.00658</v>
      </c>
      <c r="X719" s="44">
        <v>0.009207</v>
      </c>
      <c r="Y719" s="44">
        <v>-0.4263</v>
      </c>
      <c r="Z719" s="44">
        <v>-0.34564</v>
      </c>
      <c r="AA719" s="45"/>
      <c r="AB719" s="46" t="s">
        <v>126</v>
      </c>
      <c r="AC719" s="44">
        <v>67.0</v>
      </c>
    </row>
    <row r="720">
      <c r="A720" s="2">
        <v>163.0</v>
      </c>
      <c r="B720" s="14">
        <f>IF(PasteBBM!B720="",156,PasteBBM!B720)</f>
        <v>156</v>
      </c>
      <c r="C720" t="str">
        <f>PasteBBM!I720</f>
        <v/>
      </c>
      <c r="D720" t="str">
        <f>IFERROR(REPLACE(PasteBBM!K720,FIND("/",PasteBBM!K720,1),1,","),PasteBBM!K720)</f>
        <v/>
      </c>
      <c r="E720" t="str">
        <f>PasteBBM!J720</f>
        <v/>
      </c>
      <c r="F720" t="str">
        <f>PasteBBM!U720</f>
        <v/>
      </c>
      <c r="G720" t="str">
        <f>PasteBBM!X720</f>
        <v/>
      </c>
      <c r="H720">
        <f>PasteBBM!AE720*PasteBBM!AF720</f>
        <v>0</v>
      </c>
      <c r="I720" t="str">
        <f>PasteBBM!AE720</f>
        <v/>
      </c>
      <c r="J720">
        <f>PasteBBM!AG720*PasteBBM!AH720</f>
        <v>0</v>
      </c>
      <c r="K720" t="str">
        <f>PasteBBM!AG720</f>
        <v/>
      </c>
      <c r="L720" t="str">
        <f>PasteBBM!Z720</f>
        <v/>
      </c>
      <c r="M720" t="str">
        <f>PasteBBM!Y720</f>
        <v/>
      </c>
      <c r="N720" t="str">
        <f>PasteBBM!AA720</f>
        <v/>
      </c>
      <c r="O720" t="str">
        <f>PasteBBM!AB720</f>
        <v/>
      </c>
      <c r="P720" t="str">
        <f>PasteBBM!AC720</f>
        <v/>
      </c>
      <c r="Q720" t="str">
        <f>PasteBBM!AD720</f>
        <v/>
      </c>
      <c r="R720" t="str">
        <f>PasteBBM!AI720</f>
        <v/>
      </c>
      <c r="S720" t="str">
        <f>PasteBBM!AE720</f>
        <v/>
      </c>
      <c r="T720" t="str">
        <f>PasteBBM!AG720</f>
        <v/>
      </c>
      <c r="V720" s="44">
        <v>-0.41709</v>
      </c>
      <c r="W720" s="44">
        <v>-0.00658</v>
      </c>
      <c r="X720" s="44">
        <v>0.009207</v>
      </c>
      <c r="Y720" s="44">
        <v>-0.4263</v>
      </c>
      <c r="Z720" s="44">
        <v>-0.34564</v>
      </c>
      <c r="AA720" s="45"/>
      <c r="AB720" s="46" t="s">
        <v>126</v>
      </c>
      <c r="AC720" s="44">
        <v>67.0</v>
      </c>
    </row>
    <row r="721">
      <c r="A721" s="2">
        <v>163.0</v>
      </c>
      <c r="B721" s="14">
        <f>IF(PasteBBM!B721="",156,PasteBBM!B721)</f>
        <v>156</v>
      </c>
      <c r="C721" t="str">
        <f>PasteBBM!I721</f>
        <v/>
      </c>
      <c r="D721" t="str">
        <f>IFERROR(REPLACE(PasteBBM!K721,FIND("/",PasteBBM!K721,1),1,","),PasteBBM!K721)</f>
        <v/>
      </c>
      <c r="E721" t="str">
        <f>PasteBBM!J721</f>
        <v/>
      </c>
      <c r="F721" t="str">
        <f>PasteBBM!U721</f>
        <v/>
      </c>
      <c r="G721" t="str">
        <f>PasteBBM!X721</f>
        <v/>
      </c>
      <c r="H721">
        <f>PasteBBM!AE721*PasteBBM!AF721</f>
        <v>0</v>
      </c>
      <c r="I721" t="str">
        <f>PasteBBM!AE721</f>
        <v/>
      </c>
      <c r="J721">
        <f>PasteBBM!AG721*PasteBBM!AH721</f>
        <v>0</v>
      </c>
      <c r="K721" t="str">
        <f>PasteBBM!AG721</f>
        <v/>
      </c>
      <c r="L721" t="str">
        <f>PasteBBM!Z721</f>
        <v/>
      </c>
      <c r="M721" t="str">
        <f>PasteBBM!Y721</f>
        <v/>
      </c>
      <c r="N721" t="str">
        <f>PasteBBM!AA721</f>
        <v/>
      </c>
      <c r="O721" t="str">
        <f>PasteBBM!AB721</f>
        <v/>
      </c>
      <c r="P721" t="str">
        <f>PasteBBM!AC721</f>
        <v/>
      </c>
      <c r="Q721" t="str">
        <f>PasteBBM!AD721</f>
        <v/>
      </c>
      <c r="R721" t="str">
        <f>PasteBBM!AI721</f>
        <v/>
      </c>
      <c r="S721" t="str">
        <f>PasteBBM!AE721</f>
        <v/>
      </c>
      <c r="T721" t="str">
        <f>PasteBBM!AG721</f>
        <v/>
      </c>
      <c r="V721" s="44">
        <v>-0.41709</v>
      </c>
      <c r="W721" s="44">
        <v>-0.00658</v>
      </c>
      <c r="X721" s="44">
        <v>0.009207</v>
      </c>
      <c r="Y721" s="44">
        <v>-0.4263</v>
      </c>
      <c r="Z721" s="44">
        <v>-0.34564</v>
      </c>
      <c r="AA721" s="45"/>
      <c r="AB721" s="46" t="s">
        <v>126</v>
      </c>
      <c r="AC721" s="44">
        <v>67.0</v>
      </c>
    </row>
    <row r="722">
      <c r="A722" s="2">
        <v>163.0</v>
      </c>
      <c r="B722" s="14">
        <f>IF(PasteBBM!B722="",156,PasteBBM!B722)</f>
        <v>156</v>
      </c>
      <c r="C722" t="str">
        <f>PasteBBM!I722</f>
        <v/>
      </c>
      <c r="D722" t="str">
        <f>IFERROR(REPLACE(PasteBBM!K722,FIND("/",PasteBBM!K722,1),1,","),PasteBBM!K722)</f>
        <v/>
      </c>
      <c r="E722" t="str">
        <f>PasteBBM!J722</f>
        <v/>
      </c>
      <c r="F722" t="str">
        <f>PasteBBM!U722</f>
        <v/>
      </c>
      <c r="G722" t="str">
        <f>PasteBBM!X722</f>
        <v/>
      </c>
      <c r="H722">
        <f>PasteBBM!AE722*PasteBBM!AF722</f>
        <v>0</v>
      </c>
      <c r="I722" t="str">
        <f>PasteBBM!AE722</f>
        <v/>
      </c>
      <c r="J722">
        <f>PasteBBM!AG722*PasteBBM!AH722</f>
        <v>0</v>
      </c>
      <c r="K722" t="str">
        <f>PasteBBM!AG722</f>
        <v/>
      </c>
      <c r="L722" t="str">
        <f>PasteBBM!Z722</f>
        <v/>
      </c>
      <c r="M722" t="str">
        <f>PasteBBM!Y722</f>
        <v/>
      </c>
      <c r="N722" t="str">
        <f>PasteBBM!AA722</f>
        <v/>
      </c>
      <c r="O722" t="str">
        <f>PasteBBM!AB722</f>
        <v/>
      </c>
      <c r="P722" t="str">
        <f>PasteBBM!AC722</f>
        <v/>
      </c>
      <c r="Q722" t="str">
        <f>PasteBBM!AD722</f>
        <v/>
      </c>
      <c r="R722" t="str">
        <f>PasteBBM!AI722</f>
        <v/>
      </c>
      <c r="S722" t="str">
        <f>PasteBBM!AE722</f>
        <v/>
      </c>
      <c r="T722" t="str">
        <f>PasteBBM!AG722</f>
        <v/>
      </c>
      <c r="V722" s="44">
        <v>-0.41709</v>
      </c>
      <c r="W722" s="44">
        <v>-0.00658</v>
      </c>
      <c r="X722" s="44">
        <v>0.009207</v>
      </c>
      <c r="Y722" s="44">
        <v>-0.4263</v>
      </c>
      <c r="Z722" s="44">
        <v>-0.34564</v>
      </c>
      <c r="AA722" s="45"/>
      <c r="AB722" s="46" t="s">
        <v>126</v>
      </c>
      <c r="AC722" s="44">
        <v>67.0</v>
      </c>
    </row>
    <row r="723">
      <c r="A723" s="2">
        <v>163.0</v>
      </c>
      <c r="B723" s="14">
        <f>IF(PasteBBM!B723="",156,PasteBBM!B723)</f>
        <v>156</v>
      </c>
      <c r="C723" t="str">
        <f>PasteBBM!I723</f>
        <v/>
      </c>
      <c r="D723" t="str">
        <f>IFERROR(REPLACE(PasteBBM!K723,FIND("/",PasteBBM!K723,1),1,","),PasteBBM!K723)</f>
        <v/>
      </c>
      <c r="E723" t="str">
        <f>PasteBBM!J723</f>
        <v/>
      </c>
      <c r="F723" t="str">
        <f>PasteBBM!U723</f>
        <v/>
      </c>
      <c r="G723" t="str">
        <f>PasteBBM!X723</f>
        <v/>
      </c>
      <c r="H723">
        <f>PasteBBM!AE723*PasteBBM!AF723</f>
        <v>0</v>
      </c>
      <c r="I723" t="str">
        <f>PasteBBM!AE723</f>
        <v/>
      </c>
      <c r="J723">
        <f>PasteBBM!AG723*PasteBBM!AH723</f>
        <v>0</v>
      </c>
      <c r="K723" t="str">
        <f>PasteBBM!AG723</f>
        <v/>
      </c>
      <c r="L723" t="str">
        <f>PasteBBM!Z723</f>
        <v/>
      </c>
      <c r="M723" t="str">
        <f>PasteBBM!Y723</f>
        <v/>
      </c>
      <c r="N723" t="str">
        <f>PasteBBM!AA723</f>
        <v/>
      </c>
      <c r="O723" t="str">
        <f>PasteBBM!AB723</f>
        <v/>
      </c>
      <c r="P723" t="str">
        <f>PasteBBM!AC723</f>
        <v/>
      </c>
      <c r="Q723" t="str">
        <f>PasteBBM!AD723</f>
        <v/>
      </c>
      <c r="R723" t="str">
        <f>PasteBBM!AI723</f>
        <v/>
      </c>
      <c r="S723" t="str">
        <f>PasteBBM!AE723</f>
        <v/>
      </c>
      <c r="T723" t="str">
        <f>PasteBBM!AG723</f>
        <v/>
      </c>
      <c r="V723" s="44">
        <v>-0.41709</v>
      </c>
      <c r="W723" s="44">
        <v>-0.00658</v>
      </c>
      <c r="X723" s="44">
        <v>0.009207</v>
      </c>
      <c r="Y723" s="44">
        <v>-0.4263</v>
      </c>
      <c r="Z723" s="44">
        <v>-0.34564</v>
      </c>
      <c r="AA723" s="45"/>
      <c r="AB723" s="46" t="s">
        <v>126</v>
      </c>
      <c r="AC723" s="44">
        <v>67.0</v>
      </c>
    </row>
    <row r="724">
      <c r="A724" s="2">
        <v>163.0</v>
      </c>
      <c r="B724" s="14">
        <f>IF(PasteBBM!B724="",156,PasteBBM!B724)</f>
        <v>156</v>
      </c>
      <c r="C724" t="str">
        <f>PasteBBM!I724</f>
        <v/>
      </c>
      <c r="D724" t="str">
        <f>IFERROR(REPLACE(PasteBBM!K724,FIND("/",PasteBBM!K724,1),1,","),PasteBBM!K724)</f>
        <v/>
      </c>
      <c r="E724" t="str">
        <f>PasteBBM!J724</f>
        <v/>
      </c>
      <c r="F724" t="str">
        <f>PasteBBM!U724</f>
        <v/>
      </c>
      <c r="G724" t="str">
        <f>PasteBBM!X724</f>
        <v/>
      </c>
      <c r="H724">
        <f>PasteBBM!AE724*PasteBBM!AF724</f>
        <v>0</v>
      </c>
      <c r="I724" t="str">
        <f>PasteBBM!AE724</f>
        <v/>
      </c>
      <c r="J724">
        <f>PasteBBM!AG724*PasteBBM!AH724</f>
        <v>0</v>
      </c>
      <c r="K724" t="str">
        <f>PasteBBM!AG724</f>
        <v/>
      </c>
      <c r="L724" t="str">
        <f>PasteBBM!Z724</f>
        <v/>
      </c>
      <c r="M724" t="str">
        <f>PasteBBM!Y724</f>
        <v/>
      </c>
      <c r="N724" t="str">
        <f>PasteBBM!AA724</f>
        <v/>
      </c>
      <c r="O724" t="str">
        <f>PasteBBM!AB724</f>
        <v/>
      </c>
      <c r="P724" t="str">
        <f>PasteBBM!AC724</f>
        <v/>
      </c>
      <c r="Q724" t="str">
        <f>PasteBBM!AD724</f>
        <v/>
      </c>
      <c r="R724" t="str">
        <f>PasteBBM!AI724</f>
        <v/>
      </c>
      <c r="S724" t="str">
        <f>PasteBBM!AE724</f>
        <v/>
      </c>
      <c r="T724" t="str">
        <f>PasteBBM!AG724</f>
        <v/>
      </c>
      <c r="V724" s="44">
        <v>-0.41709</v>
      </c>
      <c r="W724" s="44">
        <v>-0.00658</v>
      </c>
      <c r="X724" s="44">
        <v>0.009207</v>
      </c>
      <c r="Y724" s="44">
        <v>-0.4263</v>
      </c>
      <c r="Z724" s="44">
        <v>-0.34564</v>
      </c>
      <c r="AA724" s="45"/>
      <c r="AB724" s="46" t="s">
        <v>126</v>
      </c>
      <c r="AC724" s="44">
        <v>67.0</v>
      </c>
    </row>
    <row r="725">
      <c r="A725" s="2">
        <v>163.0</v>
      </c>
      <c r="B725" s="14">
        <f>IF(PasteBBM!B725="",156,PasteBBM!B725)</f>
        <v>156</v>
      </c>
      <c r="C725" t="str">
        <f>PasteBBM!I725</f>
        <v/>
      </c>
      <c r="D725" t="str">
        <f>IFERROR(REPLACE(PasteBBM!K725,FIND("/",PasteBBM!K725,1),1,","),PasteBBM!K725)</f>
        <v/>
      </c>
      <c r="E725" t="str">
        <f>PasteBBM!J725</f>
        <v/>
      </c>
      <c r="F725" t="str">
        <f>PasteBBM!U725</f>
        <v/>
      </c>
      <c r="G725" t="str">
        <f>PasteBBM!X725</f>
        <v/>
      </c>
      <c r="H725">
        <f>PasteBBM!AE725*PasteBBM!AF725</f>
        <v>0</v>
      </c>
      <c r="I725" t="str">
        <f>PasteBBM!AE725</f>
        <v/>
      </c>
      <c r="J725">
        <f>PasteBBM!AG725*PasteBBM!AH725</f>
        <v>0</v>
      </c>
      <c r="K725" t="str">
        <f>PasteBBM!AG725</f>
        <v/>
      </c>
      <c r="L725" t="str">
        <f>PasteBBM!Z725</f>
        <v/>
      </c>
      <c r="M725" t="str">
        <f>PasteBBM!Y725</f>
        <v/>
      </c>
      <c r="N725" t="str">
        <f>PasteBBM!AA725</f>
        <v/>
      </c>
      <c r="O725" t="str">
        <f>PasteBBM!AB725</f>
        <v/>
      </c>
      <c r="P725" t="str">
        <f>PasteBBM!AC725</f>
        <v/>
      </c>
      <c r="Q725" t="str">
        <f>PasteBBM!AD725</f>
        <v/>
      </c>
      <c r="R725" t="str">
        <f>PasteBBM!AI725</f>
        <v/>
      </c>
      <c r="S725" t="str">
        <f>PasteBBM!AE725</f>
        <v/>
      </c>
      <c r="T725" t="str">
        <f>PasteBBM!AG725</f>
        <v/>
      </c>
      <c r="V725" s="44">
        <v>-0.41709</v>
      </c>
      <c r="W725" s="44">
        <v>-0.00658</v>
      </c>
      <c r="X725" s="44">
        <v>0.009207</v>
      </c>
      <c r="Y725" s="44">
        <v>-0.4263</v>
      </c>
      <c r="Z725" s="44">
        <v>-0.34564</v>
      </c>
      <c r="AA725" s="45"/>
      <c r="AB725" s="46" t="s">
        <v>126</v>
      </c>
      <c r="AC725" s="44">
        <v>67.0</v>
      </c>
    </row>
    <row r="726">
      <c r="A726" s="2">
        <v>163.0</v>
      </c>
      <c r="B726" s="14">
        <f>IF(PasteBBM!B726="",156,PasteBBM!B726)</f>
        <v>156</v>
      </c>
      <c r="C726" t="str">
        <f>PasteBBM!I726</f>
        <v/>
      </c>
      <c r="D726" t="str">
        <f>IFERROR(REPLACE(PasteBBM!K726,FIND("/",PasteBBM!K726,1),1,","),PasteBBM!K726)</f>
        <v/>
      </c>
      <c r="E726" t="str">
        <f>PasteBBM!J726</f>
        <v/>
      </c>
      <c r="F726" t="str">
        <f>PasteBBM!U726</f>
        <v/>
      </c>
      <c r="G726" t="str">
        <f>PasteBBM!X726</f>
        <v/>
      </c>
      <c r="H726">
        <f>PasteBBM!AE726*PasteBBM!AF726</f>
        <v>0</v>
      </c>
      <c r="I726" t="str">
        <f>PasteBBM!AE726</f>
        <v/>
      </c>
      <c r="J726">
        <f>PasteBBM!AG726*PasteBBM!AH726</f>
        <v>0</v>
      </c>
      <c r="K726" t="str">
        <f>PasteBBM!AG726</f>
        <v/>
      </c>
      <c r="L726" t="str">
        <f>PasteBBM!Z726</f>
        <v/>
      </c>
      <c r="M726" t="str">
        <f>PasteBBM!Y726</f>
        <v/>
      </c>
      <c r="N726" t="str">
        <f>PasteBBM!AA726</f>
        <v/>
      </c>
      <c r="O726" t="str">
        <f>PasteBBM!AB726</f>
        <v/>
      </c>
      <c r="P726" t="str">
        <f>PasteBBM!AC726</f>
        <v/>
      </c>
      <c r="Q726" t="str">
        <f>PasteBBM!AD726</f>
        <v/>
      </c>
      <c r="R726" t="str">
        <f>PasteBBM!AI726</f>
        <v/>
      </c>
      <c r="S726" t="str">
        <f>PasteBBM!AE726</f>
        <v/>
      </c>
      <c r="T726" t="str">
        <f>PasteBBM!AG726</f>
        <v/>
      </c>
      <c r="V726" s="44">
        <v>-0.41709</v>
      </c>
      <c r="W726" s="44">
        <v>-0.00658</v>
      </c>
      <c r="X726" s="44">
        <v>0.009207</v>
      </c>
      <c r="Y726" s="44">
        <v>-0.4263</v>
      </c>
      <c r="Z726" s="44">
        <v>-0.34564</v>
      </c>
      <c r="AA726" s="45"/>
      <c r="AB726" s="46" t="s">
        <v>126</v>
      </c>
      <c r="AC726" s="44">
        <v>67.0</v>
      </c>
    </row>
    <row r="727">
      <c r="A727" s="2">
        <v>163.0</v>
      </c>
      <c r="B727" s="14">
        <f>IF(PasteBBM!B727="",156,PasteBBM!B727)</f>
        <v>156</v>
      </c>
      <c r="C727" t="str">
        <f>PasteBBM!I727</f>
        <v/>
      </c>
      <c r="D727" t="str">
        <f>IFERROR(REPLACE(PasteBBM!K727,FIND("/",PasteBBM!K727,1),1,","),PasteBBM!K727)</f>
        <v/>
      </c>
      <c r="E727" t="str">
        <f>PasteBBM!J727</f>
        <v/>
      </c>
      <c r="F727" t="str">
        <f>PasteBBM!U727</f>
        <v/>
      </c>
      <c r="G727" t="str">
        <f>PasteBBM!X727</f>
        <v/>
      </c>
      <c r="H727">
        <f>PasteBBM!AE727*PasteBBM!AF727</f>
        <v>0</v>
      </c>
      <c r="I727" t="str">
        <f>PasteBBM!AE727</f>
        <v/>
      </c>
      <c r="J727">
        <f>PasteBBM!AG727*PasteBBM!AH727</f>
        <v>0</v>
      </c>
      <c r="K727" t="str">
        <f>PasteBBM!AG727</f>
        <v/>
      </c>
      <c r="L727" t="str">
        <f>PasteBBM!Z727</f>
        <v/>
      </c>
      <c r="M727" t="str">
        <f>PasteBBM!Y727</f>
        <v/>
      </c>
      <c r="N727" t="str">
        <f>PasteBBM!AA727</f>
        <v/>
      </c>
      <c r="O727" t="str">
        <f>PasteBBM!AB727</f>
        <v/>
      </c>
      <c r="P727" t="str">
        <f>PasteBBM!AC727</f>
        <v/>
      </c>
      <c r="Q727" t="str">
        <f>PasteBBM!AD727</f>
        <v/>
      </c>
      <c r="R727" t="str">
        <f>PasteBBM!AI727</f>
        <v/>
      </c>
      <c r="S727" t="str">
        <f>PasteBBM!AE727</f>
        <v/>
      </c>
      <c r="T727" t="str">
        <f>PasteBBM!AG727</f>
        <v/>
      </c>
      <c r="V727" s="44">
        <v>-0.41709</v>
      </c>
      <c r="W727" s="44">
        <v>-0.00658</v>
      </c>
      <c r="X727" s="44">
        <v>0.009207</v>
      </c>
      <c r="Y727" s="44">
        <v>-0.4263</v>
      </c>
      <c r="Z727" s="44">
        <v>-0.34564</v>
      </c>
      <c r="AA727" s="45"/>
      <c r="AB727" s="46" t="s">
        <v>126</v>
      </c>
      <c r="AC727" s="44">
        <v>67.0</v>
      </c>
    </row>
    <row r="728">
      <c r="A728" s="2">
        <v>163.0</v>
      </c>
      <c r="B728" s="14">
        <f>IF(PasteBBM!B728="",156,PasteBBM!B728)</f>
        <v>156</v>
      </c>
      <c r="C728" t="str">
        <f>PasteBBM!I728</f>
        <v/>
      </c>
      <c r="D728" t="str">
        <f>IFERROR(REPLACE(PasteBBM!K728,FIND("/",PasteBBM!K728,1),1,","),PasteBBM!K728)</f>
        <v/>
      </c>
      <c r="E728" t="str">
        <f>PasteBBM!J728</f>
        <v/>
      </c>
      <c r="F728" t="str">
        <f>PasteBBM!U728</f>
        <v/>
      </c>
      <c r="G728" t="str">
        <f>PasteBBM!X728</f>
        <v/>
      </c>
      <c r="H728">
        <f>PasteBBM!AE728*PasteBBM!AF728</f>
        <v>0</v>
      </c>
      <c r="I728" t="str">
        <f>PasteBBM!AE728</f>
        <v/>
      </c>
      <c r="J728">
        <f>PasteBBM!AG728*PasteBBM!AH728</f>
        <v>0</v>
      </c>
      <c r="K728" t="str">
        <f>PasteBBM!AG728</f>
        <v/>
      </c>
      <c r="L728" t="str">
        <f>PasteBBM!Z728</f>
        <v/>
      </c>
      <c r="M728" t="str">
        <f>PasteBBM!Y728</f>
        <v/>
      </c>
      <c r="N728" t="str">
        <f>PasteBBM!AA728</f>
        <v/>
      </c>
      <c r="O728" t="str">
        <f>PasteBBM!AB728</f>
        <v/>
      </c>
      <c r="P728" t="str">
        <f>PasteBBM!AC728</f>
        <v/>
      </c>
      <c r="Q728" t="str">
        <f>PasteBBM!AD728</f>
        <v/>
      </c>
      <c r="R728" t="str">
        <f>PasteBBM!AI728</f>
        <v/>
      </c>
      <c r="S728" t="str">
        <f>PasteBBM!AE728</f>
        <v/>
      </c>
      <c r="T728" t="str">
        <f>PasteBBM!AG728</f>
        <v/>
      </c>
      <c r="V728" s="44">
        <v>-0.41709</v>
      </c>
      <c r="W728" s="44">
        <v>-0.00658</v>
      </c>
      <c r="X728" s="44">
        <v>0.009207</v>
      </c>
      <c r="Y728" s="44">
        <v>-0.4263</v>
      </c>
      <c r="Z728" s="44">
        <v>-0.34564</v>
      </c>
      <c r="AA728" s="45"/>
      <c r="AB728" s="46" t="s">
        <v>126</v>
      </c>
      <c r="AC728" s="44">
        <v>67.0</v>
      </c>
    </row>
    <row r="729">
      <c r="A729" s="2">
        <v>163.0</v>
      </c>
      <c r="B729" s="14">
        <f>IF(PasteBBM!B729="",156,PasteBBM!B729)</f>
        <v>156</v>
      </c>
      <c r="C729" t="str">
        <f>PasteBBM!I729</f>
        <v/>
      </c>
      <c r="D729" t="str">
        <f>IFERROR(REPLACE(PasteBBM!K729,FIND("/",PasteBBM!K729,1),1,","),PasteBBM!K729)</f>
        <v/>
      </c>
      <c r="E729" t="str">
        <f>PasteBBM!J729</f>
        <v/>
      </c>
      <c r="F729" t="str">
        <f>PasteBBM!U729</f>
        <v/>
      </c>
      <c r="G729" t="str">
        <f>PasteBBM!X729</f>
        <v/>
      </c>
      <c r="H729">
        <f>PasteBBM!AE729*PasteBBM!AF729</f>
        <v>0</v>
      </c>
      <c r="I729" t="str">
        <f>PasteBBM!AE729</f>
        <v/>
      </c>
      <c r="J729">
        <f>PasteBBM!AG729*PasteBBM!AH729</f>
        <v>0</v>
      </c>
      <c r="K729" t="str">
        <f>PasteBBM!AG729</f>
        <v/>
      </c>
      <c r="L729" t="str">
        <f>PasteBBM!Z729</f>
        <v/>
      </c>
      <c r="M729" t="str">
        <f>PasteBBM!Y729</f>
        <v/>
      </c>
      <c r="N729" t="str">
        <f>PasteBBM!AA729</f>
        <v/>
      </c>
      <c r="O729" t="str">
        <f>PasteBBM!AB729</f>
        <v/>
      </c>
      <c r="P729" t="str">
        <f>PasteBBM!AC729</f>
        <v/>
      </c>
      <c r="Q729" t="str">
        <f>PasteBBM!AD729</f>
        <v/>
      </c>
      <c r="R729" t="str">
        <f>PasteBBM!AI729</f>
        <v/>
      </c>
      <c r="S729" t="str">
        <f>PasteBBM!AE729</f>
        <v/>
      </c>
      <c r="T729" t="str">
        <f>PasteBBM!AG729</f>
        <v/>
      </c>
      <c r="V729" s="44">
        <v>-0.41709</v>
      </c>
      <c r="W729" s="44">
        <v>-0.00658</v>
      </c>
      <c r="X729" s="44">
        <v>0.009207</v>
      </c>
      <c r="Y729" s="44">
        <v>-0.4263</v>
      </c>
      <c r="Z729" s="44">
        <v>-0.34564</v>
      </c>
      <c r="AA729" s="45"/>
      <c r="AB729" s="46" t="s">
        <v>126</v>
      </c>
      <c r="AC729" s="44">
        <v>67.0</v>
      </c>
    </row>
    <row r="730">
      <c r="A730" s="2">
        <v>163.0</v>
      </c>
      <c r="B730" s="14">
        <f>IF(PasteBBM!B730="",156,PasteBBM!B730)</f>
        <v>156</v>
      </c>
      <c r="C730" t="str">
        <f>PasteBBM!I730</f>
        <v/>
      </c>
      <c r="D730" t="str">
        <f>IFERROR(REPLACE(PasteBBM!K730,FIND("/",PasteBBM!K730,1),1,","),PasteBBM!K730)</f>
        <v/>
      </c>
      <c r="E730" t="str">
        <f>PasteBBM!J730</f>
        <v/>
      </c>
      <c r="F730" t="str">
        <f>PasteBBM!U730</f>
        <v/>
      </c>
      <c r="G730" t="str">
        <f>PasteBBM!X730</f>
        <v/>
      </c>
      <c r="H730">
        <f>PasteBBM!AE730*PasteBBM!AF730</f>
        <v>0</v>
      </c>
      <c r="I730" t="str">
        <f>PasteBBM!AE730</f>
        <v/>
      </c>
      <c r="J730">
        <f>PasteBBM!AG730*PasteBBM!AH730</f>
        <v>0</v>
      </c>
      <c r="K730" t="str">
        <f>PasteBBM!AG730</f>
        <v/>
      </c>
      <c r="L730" t="str">
        <f>PasteBBM!Z730</f>
        <v/>
      </c>
      <c r="M730" t="str">
        <f>PasteBBM!Y730</f>
        <v/>
      </c>
      <c r="N730" t="str">
        <f>PasteBBM!AA730</f>
        <v/>
      </c>
      <c r="O730" t="str">
        <f>PasteBBM!AB730</f>
        <v/>
      </c>
      <c r="P730" t="str">
        <f>PasteBBM!AC730</f>
        <v/>
      </c>
      <c r="Q730" t="str">
        <f>PasteBBM!AD730</f>
        <v/>
      </c>
      <c r="R730" t="str">
        <f>PasteBBM!AI730</f>
        <v/>
      </c>
      <c r="S730" t="str">
        <f>PasteBBM!AE730</f>
        <v/>
      </c>
      <c r="T730" t="str">
        <f>PasteBBM!AG730</f>
        <v/>
      </c>
      <c r="V730" s="44">
        <v>-0.41709</v>
      </c>
      <c r="W730" s="44">
        <v>-0.00658</v>
      </c>
      <c r="X730" s="44">
        <v>0.009207</v>
      </c>
      <c r="Y730" s="44">
        <v>-0.4263</v>
      </c>
      <c r="Z730" s="44">
        <v>-0.34564</v>
      </c>
      <c r="AA730" s="45"/>
      <c r="AB730" s="46" t="s">
        <v>126</v>
      </c>
      <c r="AC730" s="44">
        <v>67.0</v>
      </c>
    </row>
    <row r="731">
      <c r="A731" s="2">
        <v>163.0</v>
      </c>
      <c r="B731" s="14">
        <f>IF(PasteBBM!B731="",156,PasteBBM!B731)</f>
        <v>156</v>
      </c>
      <c r="C731" t="str">
        <f>PasteBBM!I731</f>
        <v/>
      </c>
      <c r="D731" t="str">
        <f>IFERROR(REPLACE(PasteBBM!K731,FIND("/",PasteBBM!K731,1),1,","),PasteBBM!K731)</f>
        <v/>
      </c>
      <c r="E731" t="str">
        <f>PasteBBM!J731</f>
        <v/>
      </c>
      <c r="F731" t="str">
        <f>PasteBBM!U731</f>
        <v/>
      </c>
      <c r="G731" t="str">
        <f>PasteBBM!X731</f>
        <v/>
      </c>
      <c r="H731">
        <f>PasteBBM!AE731*PasteBBM!AF731</f>
        <v>0</v>
      </c>
      <c r="I731" t="str">
        <f>PasteBBM!AE731</f>
        <v/>
      </c>
      <c r="J731">
        <f>PasteBBM!AG731*PasteBBM!AH731</f>
        <v>0</v>
      </c>
      <c r="K731" t="str">
        <f>PasteBBM!AG731</f>
        <v/>
      </c>
      <c r="L731" t="str">
        <f>PasteBBM!Z731</f>
        <v/>
      </c>
      <c r="M731" t="str">
        <f>PasteBBM!Y731</f>
        <v/>
      </c>
      <c r="N731" t="str">
        <f>PasteBBM!AA731</f>
        <v/>
      </c>
      <c r="O731" t="str">
        <f>PasteBBM!AB731</f>
        <v/>
      </c>
      <c r="P731" t="str">
        <f>PasteBBM!AC731</f>
        <v/>
      </c>
      <c r="Q731" t="str">
        <f>PasteBBM!AD731</f>
        <v/>
      </c>
      <c r="R731" t="str">
        <f>PasteBBM!AI731</f>
        <v/>
      </c>
      <c r="S731" t="str">
        <f>PasteBBM!AE731</f>
        <v/>
      </c>
      <c r="T731" t="str">
        <f>PasteBBM!AG731</f>
        <v/>
      </c>
      <c r="V731" s="44">
        <v>-0.41709</v>
      </c>
      <c r="W731" s="44">
        <v>-0.00658</v>
      </c>
      <c r="X731" s="44">
        <v>0.009207</v>
      </c>
      <c r="Y731" s="44">
        <v>-0.4263</v>
      </c>
      <c r="Z731" s="44">
        <v>-0.34564</v>
      </c>
      <c r="AA731" s="45"/>
      <c r="AB731" s="46" t="s">
        <v>126</v>
      </c>
      <c r="AC731" s="44">
        <v>67.0</v>
      </c>
    </row>
    <row r="732">
      <c r="A732" s="2">
        <v>163.0</v>
      </c>
      <c r="B732" s="14">
        <f>IF(PasteBBM!B732="",156,PasteBBM!B732)</f>
        <v>156</v>
      </c>
      <c r="C732" t="str">
        <f>PasteBBM!I732</f>
        <v/>
      </c>
      <c r="D732" t="str">
        <f>IFERROR(REPLACE(PasteBBM!K732,FIND("/",PasteBBM!K732,1),1,","),PasteBBM!K732)</f>
        <v/>
      </c>
      <c r="E732" t="str">
        <f>PasteBBM!J732</f>
        <v/>
      </c>
      <c r="F732" t="str">
        <f>PasteBBM!U732</f>
        <v/>
      </c>
      <c r="G732" t="str">
        <f>PasteBBM!X732</f>
        <v/>
      </c>
      <c r="H732">
        <f>PasteBBM!AE732*PasteBBM!AF732</f>
        <v>0</v>
      </c>
      <c r="I732" t="str">
        <f>PasteBBM!AE732</f>
        <v/>
      </c>
      <c r="J732">
        <f>PasteBBM!AG732*PasteBBM!AH732</f>
        <v>0</v>
      </c>
      <c r="K732" t="str">
        <f>PasteBBM!AG732</f>
        <v/>
      </c>
      <c r="L732" t="str">
        <f>PasteBBM!Z732</f>
        <v/>
      </c>
      <c r="M732" t="str">
        <f>PasteBBM!Y732</f>
        <v/>
      </c>
      <c r="N732" t="str">
        <f>PasteBBM!AA732</f>
        <v/>
      </c>
      <c r="O732" t="str">
        <f>PasteBBM!AB732</f>
        <v/>
      </c>
      <c r="P732" t="str">
        <f>PasteBBM!AC732</f>
        <v/>
      </c>
      <c r="Q732" t="str">
        <f>PasteBBM!AD732</f>
        <v/>
      </c>
      <c r="R732" t="str">
        <f>PasteBBM!AI732</f>
        <v/>
      </c>
      <c r="S732" t="str">
        <f>PasteBBM!AE732</f>
        <v/>
      </c>
      <c r="T732" t="str">
        <f>PasteBBM!AG732</f>
        <v/>
      </c>
      <c r="V732" s="44">
        <v>-0.41709</v>
      </c>
      <c r="W732" s="44">
        <v>-0.00658</v>
      </c>
      <c r="X732" s="44">
        <v>0.009207</v>
      </c>
      <c r="Y732" s="44">
        <v>-0.4263</v>
      </c>
      <c r="Z732" s="44">
        <v>-0.34564</v>
      </c>
      <c r="AA732" s="45"/>
      <c r="AB732" s="46" t="s">
        <v>126</v>
      </c>
      <c r="AC732" s="44">
        <v>67.0</v>
      </c>
    </row>
    <row r="733">
      <c r="A733" s="2">
        <v>163.0</v>
      </c>
      <c r="B733" s="14">
        <f>IF(PasteBBM!B733="",156,PasteBBM!B733)</f>
        <v>156</v>
      </c>
      <c r="C733" t="str">
        <f>PasteBBM!I733</f>
        <v/>
      </c>
      <c r="D733" t="str">
        <f>IFERROR(REPLACE(PasteBBM!K733,FIND("/",PasteBBM!K733,1),1,","),PasteBBM!K733)</f>
        <v/>
      </c>
      <c r="E733" t="str">
        <f>PasteBBM!J733</f>
        <v/>
      </c>
      <c r="F733" t="str">
        <f>PasteBBM!U733</f>
        <v/>
      </c>
      <c r="G733" t="str">
        <f>PasteBBM!X733</f>
        <v/>
      </c>
      <c r="H733">
        <f>PasteBBM!AE733*PasteBBM!AF733</f>
        <v>0</v>
      </c>
      <c r="I733" t="str">
        <f>PasteBBM!AE733</f>
        <v/>
      </c>
      <c r="J733">
        <f>PasteBBM!AG733*PasteBBM!AH733</f>
        <v>0</v>
      </c>
      <c r="K733" t="str">
        <f>PasteBBM!AG733</f>
        <v/>
      </c>
      <c r="L733" t="str">
        <f>PasteBBM!Z733</f>
        <v/>
      </c>
      <c r="M733" t="str">
        <f>PasteBBM!Y733</f>
        <v/>
      </c>
      <c r="N733" t="str">
        <f>PasteBBM!AA733</f>
        <v/>
      </c>
      <c r="O733" t="str">
        <f>PasteBBM!AB733</f>
        <v/>
      </c>
      <c r="P733" t="str">
        <f>PasteBBM!AC733</f>
        <v/>
      </c>
      <c r="Q733" t="str">
        <f>PasteBBM!AD733</f>
        <v/>
      </c>
      <c r="R733" t="str">
        <f>PasteBBM!AI733</f>
        <v/>
      </c>
      <c r="S733" t="str">
        <f>PasteBBM!AE733</f>
        <v/>
      </c>
      <c r="T733" t="str">
        <f>PasteBBM!AG733</f>
        <v/>
      </c>
      <c r="V733" s="44">
        <v>-0.41709</v>
      </c>
      <c r="W733" s="44">
        <v>-0.00658</v>
      </c>
      <c r="X733" s="44">
        <v>0.009207</v>
      </c>
      <c r="Y733" s="44">
        <v>-0.4263</v>
      </c>
      <c r="Z733" s="44">
        <v>-0.34564</v>
      </c>
      <c r="AA733" s="45"/>
      <c r="AB733" s="46" t="s">
        <v>126</v>
      </c>
      <c r="AC733" s="44">
        <v>67.0</v>
      </c>
    </row>
    <row r="734">
      <c r="A734" s="2">
        <v>163.0</v>
      </c>
      <c r="B734" s="14">
        <f>IF(PasteBBM!B734="",156,PasteBBM!B734)</f>
        <v>156</v>
      </c>
      <c r="C734" t="str">
        <f>PasteBBM!I734</f>
        <v/>
      </c>
      <c r="D734" t="str">
        <f>IFERROR(REPLACE(PasteBBM!K734,FIND("/",PasteBBM!K734,1),1,","),PasteBBM!K734)</f>
        <v/>
      </c>
      <c r="E734" t="str">
        <f>PasteBBM!J734</f>
        <v/>
      </c>
      <c r="F734" t="str">
        <f>PasteBBM!U734</f>
        <v/>
      </c>
      <c r="G734" t="str">
        <f>PasteBBM!X734</f>
        <v/>
      </c>
      <c r="H734">
        <f>PasteBBM!AE734*PasteBBM!AF734</f>
        <v>0</v>
      </c>
      <c r="I734" t="str">
        <f>PasteBBM!AE734</f>
        <v/>
      </c>
      <c r="J734">
        <f>PasteBBM!AG734*PasteBBM!AH734</f>
        <v>0</v>
      </c>
      <c r="K734" t="str">
        <f>PasteBBM!AG734</f>
        <v/>
      </c>
      <c r="L734" t="str">
        <f>PasteBBM!Z734</f>
        <v/>
      </c>
      <c r="M734" t="str">
        <f>PasteBBM!Y734</f>
        <v/>
      </c>
      <c r="N734" t="str">
        <f>PasteBBM!AA734</f>
        <v/>
      </c>
      <c r="O734" t="str">
        <f>PasteBBM!AB734</f>
        <v/>
      </c>
      <c r="P734" t="str">
        <f>PasteBBM!AC734</f>
        <v/>
      </c>
      <c r="Q734" t="str">
        <f>PasteBBM!AD734</f>
        <v/>
      </c>
      <c r="R734" t="str">
        <f>PasteBBM!AI734</f>
        <v/>
      </c>
      <c r="S734" t="str">
        <f>PasteBBM!AE734</f>
        <v/>
      </c>
      <c r="T734" t="str">
        <f>PasteBBM!AG734</f>
        <v/>
      </c>
      <c r="V734" s="44">
        <v>-0.41709</v>
      </c>
      <c r="W734" s="44">
        <v>-0.00658</v>
      </c>
      <c r="X734" s="44">
        <v>0.009207</v>
      </c>
      <c r="Y734" s="44">
        <v>-0.4263</v>
      </c>
      <c r="Z734" s="44">
        <v>-0.34564</v>
      </c>
      <c r="AA734" s="45"/>
      <c r="AB734" s="46" t="s">
        <v>126</v>
      </c>
      <c r="AC734" s="44">
        <v>67.0</v>
      </c>
    </row>
    <row r="735">
      <c r="A735" s="2">
        <v>163.0</v>
      </c>
      <c r="B735" s="14">
        <f>IF(PasteBBM!B735="",156,PasteBBM!B735)</f>
        <v>156</v>
      </c>
      <c r="C735" t="str">
        <f>PasteBBM!I735</f>
        <v/>
      </c>
      <c r="D735" t="str">
        <f>IFERROR(REPLACE(PasteBBM!K735,FIND("/",PasteBBM!K735,1),1,","),PasteBBM!K735)</f>
        <v/>
      </c>
      <c r="E735" t="str">
        <f>PasteBBM!J735</f>
        <v/>
      </c>
      <c r="F735" t="str">
        <f>PasteBBM!U735</f>
        <v/>
      </c>
      <c r="G735" t="str">
        <f>PasteBBM!X735</f>
        <v/>
      </c>
      <c r="H735">
        <f>PasteBBM!AE735*PasteBBM!AF735</f>
        <v>0</v>
      </c>
      <c r="I735" t="str">
        <f>PasteBBM!AE735</f>
        <v/>
      </c>
      <c r="J735">
        <f>PasteBBM!AG735*PasteBBM!AH735</f>
        <v>0</v>
      </c>
      <c r="K735" t="str">
        <f>PasteBBM!AG735</f>
        <v/>
      </c>
      <c r="L735" t="str">
        <f>PasteBBM!Z735</f>
        <v/>
      </c>
      <c r="M735" t="str">
        <f>PasteBBM!Y735</f>
        <v/>
      </c>
      <c r="N735" t="str">
        <f>PasteBBM!AA735</f>
        <v/>
      </c>
      <c r="O735" t="str">
        <f>PasteBBM!AB735</f>
        <v/>
      </c>
      <c r="P735" t="str">
        <f>PasteBBM!AC735</f>
        <v/>
      </c>
      <c r="Q735" t="str">
        <f>PasteBBM!AD735</f>
        <v/>
      </c>
      <c r="R735" t="str">
        <f>PasteBBM!AI735</f>
        <v/>
      </c>
      <c r="S735" t="str">
        <f>PasteBBM!AE735</f>
        <v/>
      </c>
      <c r="T735" t="str">
        <f>PasteBBM!AG735</f>
        <v/>
      </c>
      <c r="V735" s="44">
        <v>-0.41709</v>
      </c>
      <c r="W735" s="44">
        <v>-0.00658</v>
      </c>
      <c r="X735" s="44">
        <v>0.009207</v>
      </c>
      <c r="Y735" s="44">
        <v>-0.4263</v>
      </c>
      <c r="Z735" s="44">
        <v>-0.34564</v>
      </c>
      <c r="AA735" s="45"/>
      <c r="AB735" s="46" t="s">
        <v>126</v>
      </c>
      <c r="AC735" s="44">
        <v>67.0</v>
      </c>
    </row>
    <row r="736">
      <c r="A736" s="2">
        <v>163.0</v>
      </c>
      <c r="B736" s="14">
        <f>IF(PasteBBM!B736="",156,PasteBBM!B736)</f>
        <v>156</v>
      </c>
      <c r="C736" t="str">
        <f>PasteBBM!I736</f>
        <v/>
      </c>
      <c r="D736" t="str">
        <f>IFERROR(REPLACE(PasteBBM!K736,FIND("/",PasteBBM!K736,1),1,","),PasteBBM!K736)</f>
        <v/>
      </c>
      <c r="E736" t="str">
        <f>PasteBBM!J736</f>
        <v/>
      </c>
      <c r="F736" t="str">
        <f>PasteBBM!U736</f>
        <v/>
      </c>
      <c r="G736" t="str">
        <f>PasteBBM!X736</f>
        <v/>
      </c>
      <c r="H736">
        <f>PasteBBM!AE736*PasteBBM!AF736</f>
        <v>0</v>
      </c>
      <c r="I736" t="str">
        <f>PasteBBM!AE736</f>
        <v/>
      </c>
      <c r="J736">
        <f>PasteBBM!AG736*PasteBBM!AH736</f>
        <v>0</v>
      </c>
      <c r="K736" t="str">
        <f>PasteBBM!AG736</f>
        <v/>
      </c>
      <c r="L736" t="str">
        <f>PasteBBM!Z736</f>
        <v/>
      </c>
      <c r="M736" t="str">
        <f>PasteBBM!Y736</f>
        <v/>
      </c>
      <c r="N736" t="str">
        <f>PasteBBM!AA736</f>
        <v/>
      </c>
      <c r="O736" t="str">
        <f>PasteBBM!AB736</f>
        <v/>
      </c>
      <c r="P736" t="str">
        <f>PasteBBM!AC736</f>
        <v/>
      </c>
      <c r="Q736" t="str">
        <f>PasteBBM!AD736</f>
        <v/>
      </c>
      <c r="R736" t="str">
        <f>PasteBBM!AI736</f>
        <v/>
      </c>
      <c r="S736" t="str">
        <f>PasteBBM!AE736</f>
        <v/>
      </c>
      <c r="T736" t="str">
        <f>PasteBBM!AG736</f>
        <v/>
      </c>
      <c r="V736" s="44">
        <v>-0.41709</v>
      </c>
      <c r="W736" s="44">
        <v>-0.00658</v>
      </c>
      <c r="X736" s="44">
        <v>0.009207</v>
      </c>
      <c r="Y736" s="44">
        <v>-0.4263</v>
      </c>
      <c r="Z736" s="44">
        <v>-0.34564</v>
      </c>
      <c r="AA736" s="45"/>
      <c r="AB736" s="46" t="s">
        <v>126</v>
      </c>
      <c r="AC736" s="44">
        <v>67.0</v>
      </c>
    </row>
    <row r="737">
      <c r="A737" s="2">
        <v>163.0</v>
      </c>
      <c r="B737" s="14">
        <f>IF(PasteBBM!B737="",156,PasteBBM!B737)</f>
        <v>156</v>
      </c>
      <c r="C737" t="str">
        <f>PasteBBM!I737</f>
        <v/>
      </c>
      <c r="D737" t="str">
        <f>IFERROR(REPLACE(PasteBBM!K737,FIND("/",PasteBBM!K737,1),1,","),PasteBBM!K737)</f>
        <v/>
      </c>
      <c r="E737" t="str">
        <f>PasteBBM!J737</f>
        <v/>
      </c>
      <c r="F737" t="str">
        <f>PasteBBM!U737</f>
        <v/>
      </c>
      <c r="G737" t="str">
        <f>PasteBBM!X737</f>
        <v/>
      </c>
      <c r="H737">
        <f>PasteBBM!AE737*PasteBBM!AF737</f>
        <v>0</v>
      </c>
      <c r="I737" t="str">
        <f>PasteBBM!AE737</f>
        <v/>
      </c>
      <c r="J737">
        <f>PasteBBM!AG737*PasteBBM!AH737</f>
        <v>0</v>
      </c>
      <c r="K737" t="str">
        <f>PasteBBM!AG737</f>
        <v/>
      </c>
      <c r="L737" t="str">
        <f>PasteBBM!Z737</f>
        <v/>
      </c>
      <c r="M737" t="str">
        <f>PasteBBM!Y737</f>
        <v/>
      </c>
      <c r="N737" t="str">
        <f>PasteBBM!AA737</f>
        <v/>
      </c>
      <c r="O737" t="str">
        <f>PasteBBM!AB737</f>
        <v/>
      </c>
      <c r="P737" t="str">
        <f>PasteBBM!AC737</f>
        <v/>
      </c>
      <c r="Q737" t="str">
        <f>PasteBBM!AD737</f>
        <v/>
      </c>
      <c r="R737" t="str">
        <f>PasteBBM!AI737</f>
        <v/>
      </c>
      <c r="S737" t="str">
        <f>PasteBBM!AE737</f>
        <v/>
      </c>
      <c r="T737" t="str">
        <f>PasteBBM!AG737</f>
        <v/>
      </c>
      <c r="V737" s="44">
        <v>-0.41709</v>
      </c>
      <c r="W737" s="44">
        <v>-0.00658</v>
      </c>
      <c r="X737" s="44">
        <v>0.009207</v>
      </c>
      <c r="Y737" s="44">
        <v>-0.4263</v>
      </c>
      <c r="Z737" s="44">
        <v>-0.34564</v>
      </c>
      <c r="AA737" s="45"/>
      <c r="AB737" s="46" t="s">
        <v>126</v>
      </c>
      <c r="AC737" s="44">
        <v>67.0</v>
      </c>
    </row>
    <row r="738">
      <c r="A738" s="2">
        <v>163.0</v>
      </c>
      <c r="B738" s="14">
        <f>IF(PasteBBM!B738="",156,PasteBBM!B738)</f>
        <v>156</v>
      </c>
      <c r="C738" t="str">
        <f>PasteBBM!I738</f>
        <v/>
      </c>
      <c r="D738" t="str">
        <f>IFERROR(REPLACE(PasteBBM!K738,FIND("/",PasteBBM!K738,1),1,","),PasteBBM!K738)</f>
        <v/>
      </c>
      <c r="E738" t="str">
        <f>PasteBBM!J738</f>
        <v/>
      </c>
      <c r="F738" t="str">
        <f>PasteBBM!U738</f>
        <v/>
      </c>
      <c r="G738" t="str">
        <f>PasteBBM!X738</f>
        <v/>
      </c>
      <c r="H738">
        <f>PasteBBM!AE738*PasteBBM!AF738</f>
        <v>0</v>
      </c>
      <c r="I738" t="str">
        <f>PasteBBM!AE738</f>
        <v/>
      </c>
      <c r="J738">
        <f>PasteBBM!AG738*PasteBBM!AH738</f>
        <v>0</v>
      </c>
      <c r="K738" t="str">
        <f>PasteBBM!AG738</f>
        <v/>
      </c>
      <c r="L738" t="str">
        <f>PasteBBM!Z738</f>
        <v/>
      </c>
      <c r="M738" t="str">
        <f>PasteBBM!Y738</f>
        <v/>
      </c>
      <c r="N738" t="str">
        <f>PasteBBM!AA738</f>
        <v/>
      </c>
      <c r="O738" t="str">
        <f>PasteBBM!AB738</f>
        <v/>
      </c>
      <c r="P738" t="str">
        <f>PasteBBM!AC738</f>
        <v/>
      </c>
      <c r="Q738" t="str">
        <f>PasteBBM!AD738</f>
        <v/>
      </c>
      <c r="R738" t="str">
        <f>PasteBBM!AI738</f>
        <v/>
      </c>
      <c r="S738" t="str">
        <f>PasteBBM!AE738</f>
        <v/>
      </c>
      <c r="T738" t="str">
        <f>PasteBBM!AG738</f>
        <v/>
      </c>
      <c r="V738" s="44">
        <v>-0.41709</v>
      </c>
      <c r="W738" s="44">
        <v>-0.00658</v>
      </c>
      <c r="X738" s="44">
        <v>0.009207</v>
      </c>
      <c r="Y738" s="44">
        <v>-0.4263</v>
      </c>
      <c r="Z738" s="44">
        <v>-0.34564</v>
      </c>
      <c r="AA738" s="45"/>
      <c r="AB738" s="46" t="s">
        <v>126</v>
      </c>
      <c r="AC738" s="44">
        <v>67.0</v>
      </c>
    </row>
    <row r="739">
      <c r="A739" s="2">
        <v>163.0</v>
      </c>
      <c r="B739" s="14">
        <f>IF(PasteBBM!B739="",156,PasteBBM!B739)</f>
        <v>156</v>
      </c>
      <c r="C739" t="str">
        <f>PasteBBM!I739</f>
        <v/>
      </c>
      <c r="D739" t="str">
        <f>IFERROR(REPLACE(PasteBBM!K739,FIND("/",PasteBBM!K739,1),1,","),PasteBBM!K739)</f>
        <v/>
      </c>
      <c r="E739" t="str">
        <f>PasteBBM!J739</f>
        <v/>
      </c>
      <c r="F739" t="str">
        <f>PasteBBM!U739</f>
        <v/>
      </c>
      <c r="G739" t="str">
        <f>PasteBBM!X739</f>
        <v/>
      </c>
      <c r="H739">
        <f>PasteBBM!AE739*PasteBBM!AF739</f>
        <v>0</v>
      </c>
      <c r="I739" t="str">
        <f>PasteBBM!AE739</f>
        <v/>
      </c>
      <c r="J739">
        <f>PasteBBM!AG739*PasteBBM!AH739</f>
        <v>0</v>
      </c>
      <c r="K739" t="str">
        <f>PasteBBM!AG739</f>
        <v/>
      </c>
      <c r="L739" t="str">
        <f>PasteBBM!Z739</f>
        <v/>
      </c>
      <c r="M739" t="str">
        <f>PasteBBM!Y739</f>
        <v/>
      </c>
      <c r="N739" t="str">
        <f>PasteBBM!AA739</f>
        <v/>
      </c>
      <c r="O739" t="str">
        <f>PasteBBM!AB739</f>
        <v/>
      </c>
      <c r="P739" t="str">
        <f>PasteBBM!AC739</f>
        <v/>
      </c>
      <c r="Q739" t="str">
        <f>PasteBBM!AD739</f>
        <v/>
      </c>
      <c r="R739" t="str">
        <f>PasteBBM!AI739</f>
        <v/>
      </c>
      <c r="S739" t="str">
        <f>PasteBBM!AE739</f>
        <v/>
      </c>
      <c r="T739" t="str">
        <f>PasteBBM!AG739</f>
        <v/>
      </c>
      <c r="V739" s="44">
        <v>-0.41709</v>
      </c>
      <c r="W739" s="44">
        <v>-0.00658</v>
      </c>
      <c r="X739" s="44">
        <v>0.009207</v>
      </c>
      <c r="Y739" s="44">
        <v>-0.4263</v>
      </c>
      <c r="Z739" s="44">
        <v>-0.34564</v>
      </c>
      <c r="AA739" s="45"/>
      <c r="AB739" s="46" t="s">
        <v>126</v>
      </c>
      <c r="AC739" s="44">
        <v>67.0</v>
      </c>
    </row>
    <row r="740">
      <c r="A740" s="2">
        <v>163.0</v>
      </c>
      <c r="B740" s="14">
        <f>IF(PasteBBM!B740="",156,PasteBBM!B740)</f>
        <v>156</v>
      </c>
      <c r="C740" t="str">
        <f>PasteBBM!I740</f>
        <v/>
      </c>
      <c r="D740" t="str">
        <f>IFERROR(REPLACE(PasteBBM!K740,FIND("/",PasteBBM!K740,1),1,","),PasteBBM!K740)</f>
        <v/>
      </c>
      <c r="E740" t="str">
        <f>PasteBBM!J740</f>
        <v/>
      </c>
      <c r="F740" t="str">
        <f>PasteBBM!U740</f>
        <v/>
      </c>
      <c r="G740" t="str">
        <f>PasteBBM!X740</f>
        <v/>
      </c>
      <c r="H740">
        <f>PasteBBM!AE740*PasteBBM!AF740</f>
        <v>0</v>
      </c>
      <c r="I740" t="str">
        <f>PasteBBM!AE740</f>
        <v/>
      </c>
      <c r="J740">
        <f>PasteBBM!AG740*PasteBBM!AH740</f>
        <v>0</v>
      </c>
      <c r="K740" t="str">
        <f>PasteBBM!AG740</f>
        <v/>
      </c>
      <c r="L740" t="str">
        <f>PasteBBM!Z740</f>
        <v/>
      </c>
      <c r="M740" t="str">
        <f>PasteBBM!Y740</f>
        <v/>
      </c>
      <c r="N740" t="str">
        <f>PasteBBM!AA740</f>
        <v/>
      </c>
      <c r="O740" t="str">
        <f>PasteBBM!AB740</f>
        <v/>
      </c>
      <c r="P740" t="str">
        <f>PasteBBM!AC740</f>
        <v/>
      </c>
      <c r="Q740" t="str">
        <f>PasteBBM!AD740</f>
        <v/>
      </c>
      <c r="R740" t="str">
        <f>PasteBBM!AI740</f>
        <v/>
      </c>
      <c r="S740" t="str">
        <f>PasteBBM!AE740</f>
        <v/>
      </c>
      <c r="T740" t="str">
        <f>PasteBBM!AG740</f>
        <v/>
      </c>
      <c r="V740" s="44">
        <v>-0.41709</v>
      </c>
      <c r="W740" s="44">
        <v>-0.00658</v>
      </c>
      <c r="X740" s="44">
        <v>0.009207</v>
      </c>
      <c r="Y740" s="44">
        <v>-0.4263</v>
      </c>
      <c r="Z740" s="44">
        <v>-0.34564</v>
      </c>
      <c r="AA740" s="45"/>
      <c r="AB740" s="46" t="s">
        <v>126</v>
      </c>
      <c r="AC740" s="44">
        <v>67.0</v>
      </c>
    </row>
    <row r="741">
      <c r="A741" s="2">
        <v>163.0</v>
      </c>
      <c r="B741" s="14">
        <f>IF(PasteBBM!B741="",156,PasteBBM!B741)</f>
        <v>156</v>
      </c>
      <c r="C741" t="str">
        <f>PasteBBM!I741</f>
        <v/>
      </c>
      <c r="D741" t="str">
        <f>IFERROR(REPLACE(PasteBBM!K741,FIND("/",PasteBBM!K741,1),1,","),PasteBBM!K741)</f>
        <v/>
      </c>
      <c r="E741" t="str">
        <f>PasteBBM!J741</f>
        <v/>
      </c>
      <c r="F741" t="str">
        <f>PasteBBM!U741</f>
        <v/>
      </c>
      <c r="G741" t="str">
        <f>PasteBBM!X741</f>
        <v/>
      </c>
      <c r="H741">
        <f>PasteBBM!AE741*PasteBBM!AF741</f>
        <v>0</v>
      </c>
      <c r="I741" t="str">
        <f>PasteBBM!AE741</f>
        <v/>
      </c>
      <c r="J741">
        <f>PasteBBM!AG741*PasteBBM!AH741</f>
        <v>0</v>
      </c>
      <c r="K741" t="str">
        <f>PasteBBM!AG741</f>
        <v/>
      </c>
      <c r="L741" t="str">
        <f>PasteBBM!Z741</f>
        <v/>
      </c>
      <c r="M741" t="str">
        <f>PasteBBM!Y741</f>
        <v/>
      </c>
      <c r="N741" t="str">
        <f>PasteBBM!AA741</f>
        <v/>
      </c>
      <c r="O741" t="str">
        <f>PasteBBM!AB741</f>
        <v/>
      </c>
      <c r="P741" t="str">
        <f>PasteBBM!AC741</f>
        <v/>
      </c>
      <c r="Q741" t="str">
        <f>PasteBBM!AD741</f>
        <v/>
      </c>
      <c r="R741" t="str">
        <f>PasteBBM!AI741</f>
        <v/>
      </c>
      <c r="S741" t="str">
        <f>PasteBBM!AE741</f>
        <v/>
      </c>
      <c r="T741" t="str">
        <f>PasteBBM!AG741</f>
        <v/>
      </c>
      <c r="V741" s="44">
        <v>-0.41709</v>
      </c>
      <c r="W741" s="44">
        <v>-0.00658</v>
      </c>
      <c r="X741" s="44">
        <v>0.009207</v>
      </c>
      <c r="Y741" s="44">
        <v>-0.4263</v>
      </c>
      <c r="Z741" s="44">
        <v>-0.34564</v>
      </c>
      <c r="AA741" s="45"/>
      <c r="AB741" s="46" t="s">
        <v>126</v>
      </c>
      <c r="AC741" s="44">
        <v>67.0</v>
      </c>
    </row>
    <row r="742">
      <c r="A742" s="2">
        <v>163.0</v>
      </c>
      <c r="B742" s="14">
        <f>IF(PasteBBM!B742="",156,PasteBBM!B742)</f>
        <v>156</v>
      </c>
      <c r="C742" t="str">
        <f>PasteBBM!I742</f>
        <v/>
      </c>
      <c r="D742" t="str">
        <f>IFERROR(REPLACE(PasteBBM!K742,FIND("/",PasteBBM!K742,1),1,","),PasteBBM!K742)</f>
        <v/>
      </c>
      <c r="E742" t="str">
        <f>PasteBBM!J742</f>
        <v/>
      </c>
      <c r="F742" t="str">
        <f>PasteBBM!U742</f>
        <v/>
      </c>
      <c r="G742" t="str">
        <f>PasteBBM!X742</f>
        <v/>
      </c>
      <c r="H742">
        <f>PasteBBM!AE742*PasteBBM!AF742</f>
        <v>0</v>
      </c>
      <c r="I742" t="str">
        <f>PasteBBM!AE742</f>
        <v/>
      </c>
      <c r="J742">
        <f>PasteBBM!AG742*PasteBBM!AH742</f>
        <v>0</v>
      </c>
      <c r="K742" t="str">
        <f>PasteBBM!AG742</f>
        <v/>
      </c>
      <c r="L742" t="str">
        <f>PasteBBM!Z742</f>
        <v/>
      </c>
      <c r="M742" t="str">
        <f>PasteBBM!Y742</f>
        <v/>
      </c>
      <c r="N742" t="str">
        <f>PasteBBM!AA742</f>
        <v/>
      </c>
      <c r="O742" t="str">
        <f>PasteBBM!AB742</f>
        <v/>
      </c>
      <c r="P742" t="str">
        <f>PasteBBM!AC742</f>
        <v/>
      </c>
      <c r="Q742" t="str">
        <f>PasteBBM!AD742</f>
        <v/>
      </c>
      <c r="R742" t="str">
        <f>PasteBBM!AI742</f>
        <v/>
      </c>
      <c r="S742" t="str">
        <f>PasteBBM!AE742</f>
        <v/>
      </c>
      <c r="T742" t="str">
        <f>PasteBBM!AG742</f>
        <v/>
      </c>
      <c r="V742" s="44">
        <v>-0.41709</v>
      </c>
      <c r="W742" s="44">
        <v>-0.00658</v>
      </c>
      <c r="X742" s="44">
        <v>0.009207</v>
      </c>
      <c r="Y742" s="44">
        <v>-0.4263</v>
      </c>
      <c r="Z742" s="44">
        <v>-0.34564</v>
      </c>
      <c r="AA742" s="45"/>
      <c r="AB742" s="46" t="s">
        <v>126</v>
      </c>
      <c r="AC742" s="44">
        <v>67.0</v>
      </c>
    </row>
    <row r="743">
      <c r="A743" s="2">
        <v>163.0</v>
      </c>
      <c r="B743" s="14">
        <f>IF(PasteBBM!B743="",156,PasteBBM!B743)</f>
        <v>156</v>
      </c>
      <c r="C743" t="str">
        <f>PasteBBM!I743</f>
        <v/>
      </c>
      <c r="D743" t="str">
        <f>IFERROR(REPLACE(PasteBBM!K743,FIND("/",PasteBBM!K743,1),1,","),PasteBBM!K743)</f>
        <v/>
      </c>
      <c r="E743" t="str">
        <f>PasteBBM!J743</f>
        <v/>
      </c>
      <c r="F743" t="str">
        <f>PasteBBM!U743</f>
        <v/>
      </c>
      <c r="G743" t="str">
        <f>PasteBBM!X743</f>
        <v/>
      </c>
      <c r="H743">
        <f>PasteBBM!AE743*PasteBBM!AF743</f>
        <v>0</v>
      </c>
      <c r="I743" t="str">
        <f>PasteBBM!AE743</f>
        <v/>
      </c>
      <c r="J743">
        <f>PasteBBM!AG743*PasteBBM!AH743</f>
        <v>0</v>
      </c>
      <c r="K743" t="str">
        <f>PasteBBM!AG743</f>
        <v/>
      </c>
      <c r="L743" t="str">
        <f>PasteBBM!Z743</f>
        <v/>
      </c>
      <c r="M743" t="str">
        <f>PasteBBM!Y743</f>
        <v/>
      </c>
      <c r="N743" t="str">
        <f>PasteBBM!AA743</f>
        <v/>
      </c>
      <c r="O743" t="str">
        <f>PasteBBM!AB743</f>
        <v/>
      </c>
      <c r="P743" t="str">
        <f>PasteBBM!AC743</f>
        <v/>
      </c>
      <c r="Q743" t="str">
        <f>PasteBBM!AD743</f>
        <v/>
      </c>
      <c r="R743" t="str">
        <f>PasteBBM!AI743</f>
        <v/>
      </c>
      <c r="S743" t="str">
        <f>PasteBBM!AE743</f>
        <v/>
      </c>
      <c r="T743" t="str">
        <f>PasteBBM!AG743</f>
        <v/>
      </c>
      <c r="V743" s="44">
        <v>-0.41709</v>
      </c>
      <c r="W743" s="44">
        <v>-0.00658</v>
      </c>
      <c r="X743" s="44">
        <v>0.009207</v>
      </c>
      <c r="Y743" s="44">
        <v>-0.4263</v>
      </c>
      <c r="Z743" s="44">
        <v>-0.34564</v>
      </c>
      <c r="AA743" s="45"/>
      <c r="AB743" s="46" t="s">
        <v>126</v>
      </c>
      <c r="AC743" s="44">
        <v>67.0</v>
      </c>
    </row>
    <row r="744">
      <c r="A744" s="2">
        <v>163.0</v>
      </c>
      <c r="B744" s="14">
        <f>IF(PasteBBM!B744="",156,PasteBBM!B744)</f>
        <v>156</v>
      </c>
      <c r="C744" t="str">
        <f>PasteBBM!I744</f>
        <v/>
      </c>
      <c r="D744" t="str">
        <f>IFERROR(REPLACE(PasteBBM!K744,FIND("/",PasteBBM!K744,1),1,","),PasteBBM!K744)</f>
        <v/>
      </c>
      <c r="E744" t="str">
        <f>PasteBBM!J744</f>
        <v/>
      </c>
      <c r="F744" t="str">
        <f>PasteBBM!U744</f>
        <v/>
      </c>
      <c r="G744" t="str">
        <f>PasteBBM!X744</f>
        <v/>
      </c>
      <c r="H744">
        <f>PasteBBM!AE744*PasteBBM!AF744</f>
        <v>0</v>
      </c>
      <c r="I744" t="str">
        <f>PasteBBM!AE744</f>
        <v/>
      </c>
      <c r="J744">
        <f>PasteBBM!AG744*PasteBBM!AH744</f>
        <v>0</v>
      </c>
      <c r="K744" t="str">
        <f>PasteBBM!AG744</f>
        <v/>
      </c>
      <c r="L744" t="str">
        <f>PasteBBM!Z744</f>
        <v/>
      </c>
      <c r="M744" t="str">
        <f>PasteBBM!Y744</f>
        <v/>
      </c>
      <c r="N744" t="str">
        <f>PasteBBM!AA744</f>
        <v/>
      </c>
      <c r="O744" t="str">
        <f>PasteBBM!AB744</f>
        <v/>
      </c>
      <c r="P744" t="str">
        <f>PasteBBM!AC744</f>
        <v/>
      </c>
      <c r="Q744" t="str">
        <f>PasteBBM!AD744</f>
        <v/>
      </c>
      <c r="R744" t="str">
        <f>PasteBBM!AI744</f>
        <v/>
      </c>
      <c r="S744" t="str">
        <f>PasteBBM!AE744</f>
        <v/>
      </c>
      <c r="T744" t="str">
        <f>PasteBBM!AG744</f>
        <v/>
      </c>
      <c r="V744" s="44">
        <v>-0.41709</v>
      </c>
      <c r="W744" s="44">
        <v>-0.00658</v>
      </c>
      <c r="X744" s="44">
        <v>0.009207</v>
      </c>
      <c r="Y744" s="44">
        <v>-0.4263</v>
      </c>
      <c r="Z744" s="44">
        <v>-0.34564</v>
      </c>
      <c r="AA744" s="45"/>
      <c r="AB744" s="46" t="s">
        <v>126</v>
      </c>
      <c r="AC744" s="44">
        <v>67.0</v>
      </c>
    </row>
    <row r="745">
      <c r="A745" s="2">
        <v>163.0</v>
      </c>
      <c r="B745" s="14">
        <f>IF(PasteBBM!B745="",156,PasteBBM!B745)</f>
        <v>156</v>
      </c>
      <c r="C745" t="str">
        <f>PasteBBM!I745</f>
        <v/>
      </c>
      <c r="D745" t="str">
        <f>IFERROR(REPLACE(PasteBBM!K745,FIND("/",PasteBBM!K745,1),1,","),PasteBBM!K745)</f>
        <v/>
      </c>
      <c r="E745" t="str">
        <f>PasteBBM!J745</f>
        <v/>
      </c>
      <c r="F745" t="str">
        <f>PasteBBM!U745</f>
        <v/>
      </c>
      <c r="G745" t="str">
        <f>PasteBBM!X745</f>
        <v/>
      </c>
      <c r="H745">
        <f>PasteBBM!AE745*PasteBBM!AF745</f>
        <v>0</v>
      </c>
      <c r="I745" t="str">
        <f>PasteBBM!AE745</f>
        <v/>
      </c>
      <c r="J745">
        <f>PasteBBM!AG745*PasteBBM!AH745</f>
        <v>0</v>
      </c>
      <c r="K745" t="str">
        <f>PasteBBM!AG745</f>
        <v/>
      </c>
      <c r="L745" t="str">
        <f>PasteBBM!Z745</f>
        <v/>
      </c>
      <c r="M745" t="str">
        <f>PasteBBM!Y745</f>
        <v/>
      </c>
      <c r="N745" t="str">
        <f>PasteBBM!AA745</f>
        <v/>
      </c>
      <c r="O745" t="str">
        <f>PasteBBM!AB745</f>
        <v/>
      </c>
      <c r="P745" t="str">
        <f>PasteBBM!AC745</f>
        <v/>
      </c>
      <c r="Q745" t="str">
        <f>PasteBBM!AD745</f>
        <v/>
      </c>
      <c r="R745" t="str">
        <f>PasteBBM!AI745</f>
        <v/>
      </c>
      <c r="S745" t="str">
        <f>PasteBBM!AE745</f>
        <v/>
      </c>
      <c r="T745" t="str">
        <f>PasteBBM!AG745</f>
        <v/>
      </c>
      <c r="V745" s="44">
        <v>-0.41709</v>
      </c>
      <c r="W745" s="44">
        <v>-0.00658</v>
      </c>
      <c r="X745" s="44">
        <v>0.009207</v>
      </c>
      <c r="Y745" s="44">
        <v>-0.4263</v>
      </c>
      <c r="Z745" s="44">
        <v>-0.34564</v>
      </c>
      <c r="AA745" s="45"/>
      <c r="AB745" s="46" t="s">
        <v>126</v>
      </c>
      <c r="AC745" s="44">
        <v>67.0</v>
      </c>
    </row>
    <row r="746">
      <c r="A746" s="2">
        <v>163.0</v>
      </c>
      <c r="B746" s="14">
        <f>IF(PasteBBM!B746="",156,PasteBBM!B746)</f>
        <v>156</v>
      </c>
      <c r="C746" t="str">
        <f>PasteBBM!I746</f>
        <v/>
      </c>
      <c r="D746" t="str">
        <f>IFERROR(REPLACE(PasteBBM!K746,FIND("/",PasteBBM!K746,1),1,","),PasteBBM!K746)</f>
        <v/>
      </c>
      <c r="E746" t="str">
        <f>PasteBBM!J746</f>
        <v/>
      </c>
      <c r="F746" t="str">
        <f>PasteBBM!U746</f>
        <v/>
      </c>
      <c r="G746" t="str">
        <f>PasteBBM!X746</f>
        <v/>
      </c>
      <c r="H746">
        <f>PasteBBM!AE746*PasteBBM!AF746</f>
        <v>0</v>
      </c>
      <c r="I746" t="str">
        <f>PasteBBM!AE746</f>
        <v/>
      </c>
      <c r="J746">
        <f>PasteBBM!AG746*PasteBBM!AH746</f>
        <v>0</v>
      </c>
      <c r="K746" t="str">
        <f>PasteBBM!AG746</f>
        <v/>
      </c>
      <c r="L746" t="str">
        <f>PasteBBM!Z746</f>
        <v/>
      </c>
      <c r="M746" t="str">
        <f>PasteBBM!Y746</f>
        <v/>
      </c>
      <c r="N746" t="str">
        <f>PasteBBM!AA746</f>
        <v/>
      </c>
      <c r="O746" t="str">
        <f>PasteBBM!AB746</f>
        <v/>
      </c>
      <c r="P746" t="str">
        <f>PasteBBM!AC746</f>
        <v/>
      </c>
      <c r="Q746" t="str">
        <f>PasteBBM!AD746</f>
        <v/>
      </c>
      <c r="R746" t="str">
        <f>PasteBBM!AI746</f>
        <v/>
      </c>
      <c r="S746" t="str">
        <f>PasteBBM!AE746</f>
        <v/>
      </c>
      <c r="T746" t="str">
        <f>PasteBBM!AG746</f>
        <v/>
      </c>
      <c r="V746" s="44">
        <v>-0.41709</v>
      </c>
      <c r="W746" s="44">
        <v>-0.00658</v>
      </c>
      <c r="X746" s="44">
        <v>0.009207</v>
      </c>
      <c r="Y746" s="44">
        <v>-0.4263</v>
      </c>
      <c r="Z746" s="44">
        <v>-0.34564</v>
      </c>
      <c r="AA746" s="45"/>
      <c r="AB746" s="46" t="s">
        <v>126</v>
      </c>
      <c r="AC746" s="44">
        <v>67.0</v>
      </c>
    </row>
    <row r="747">
      <c r="A747" s="2">
        <v>163.0</v>
      </c>
      <c r="B747" s="14">
        <f>IF(PasteBBM!B747="",156,PasteBBM!B747)</f>
        <v>156</v>
      </c>
      <c r="C747" t="str">
        <f>PasteBBM!I747</f>
        <v/>
      </c>
      <c r="D747" t="str">
        <f>IFERROR(REPLACE(PasteBBM!K747,FIND("/",PasteBBM!K747,1),1,","),PasteBBM!K747)</f>
        <v/>
      </c>
      <c r="E747" t="str">
        <f>PasteBBM!J747</f>
        <v/>
      </c>
      <c r="F747" t="str">
        <f>PasteBBM!U747</f>
        <v/>
      </c>
      <c r="G747" t="str">
        <f>PasteBBM!X747</f>
        <v/>
      </c>
      <c r="H747">
        <f>PasteBBM!AE747*PasteBBM!AF747</f>
        <v>0</v>
      </c>
      <c r="I747" t="str">
        <f>PasteBBM!AE747</f>
        <v/>
      </c>
      <c r="J747">
        <f>PasteBBM!AG747*PasteBBM!AH747</f>
        <v>0</v>
      </c>
      <c r="K747" t="str">
        <f>PasteBBM!AG747</f>
        <v/>
      </c>
      <c r="L747" t="str">
        <f>PasteBBM!Z747</f>
        <v/>
      </c>
      <c r="M747" t="str">
        <f>PasteBBM!Y747</f>
        <v/>
      </c>
      <c r="N747" t="str">
        <f>PasteBBM!AA747</f>
        <v/>
      </c>
      <c r="O747" t="str">
        <f>PasteBBM!AB747</f>
        <v/>
      </c>
      <c r="P747" t="str">
        <f>PasteBBM!AC747</f>
        <v/>
      </c>
      <c r="Q747" t="str">
        <f>PasteBBM!AD747</f>
        <v/>
      </c>
      <c r="R747" t="str">
        <f>PasteBBM!AI747</f>
        <v/>
      </c>
      <c r="S747" t="str">
        <f>PasteBBM!AE747</f>
        <v/>
      </c>
      <c r="T747" t="str">
        <f>PasteBBM!AG747</f>
        <v/>
      </c>
      <c r="V747" s="44">
        <v>-0.41709</v>
      </c>
      <c r="W747" s="44">
        <v>-0.00658</v>
      </c>
      <c r="X747" s="44">
        <v>0.009207</v>
      </c>
      <c r="Y747" s="44">
        <v>-0.4263</v>
      </c>
      <c r="Z747" s="44">
        <v>-0.34564</v>
      </c>
      <c r="AA747" s="45"/>
      <c r="AB747" s="46" t="s">
        <v>126</v>
      </c>
      <c r="AC747" s="44">
        <v>67.0</v>
      </c>
    </row>
    <row r="748">
      <c r="A748" s="2">
        <v>163.0</v>
      </c>
      <c r="B748" s="14">
        <f>IF(PasteBBM!B748="",156,PasteBBM!B748)</f>
        <v>156</v>
      </c>
      <c r="C748" t="str">
        <f>PasteBBM!I748</f>
        <v/>
      </c>
      <c r="D748" t="str">
        <f>IFERROR(REPLACE(PasteBBM!K748,FIND("/",PasteBBM!K748,1),1,","),PasteBBM!K748)</f>
        <v/>
      </c>
      <c r="E748" t="str">
        <f>PasteBBM!J748</f>
        <v/>
      </c>
      <c r="F748" t="str">
        <f>PasteBBM!U748</f>
        <v/>
      </c>
      <c r="G748" t="str">
        <f>PasteBBM!X748</f>
        <v/>
      </c>
      <c r="H748">
        <f>PasteBBM!AE748*PasteBBM!AF748</f>
        <v>0</v>
      </c>
      <c r="I748" t="str">
        <f>PasteBBM!AE748</f>
        <v/>
      </c>
      <c r="J748">
        <f>PasteBBM!AG748*PasteBBM!AH748</f>
        <v>0</v>
      </c>
      <c r="K748" t="str">
        <f>PasteBBM!AG748</f>
        <v/>
      </c>
      <c r="L748" t="str">
        <f>PasteBBM!Z748</f>
        <v/>
      </c>
      <c r="M748" t="str">
        <f>PasteBBM!Y748</f>
        <v/>
      </c>
      <c r="N748" t="str">
        <f>PasteBBM!AA748</f>
        <v/>
      </c>
      <c r="O748" t="str">
        <f>PasteBBM!AB748</f>
        <v/>
      </c>
      <c r="P748" t="str">
        <f>PasteBBM!AC748</f>
        <v/>
      </c>
      <c r="Q748" t="str">
        <f>PasteBBM!AD748</f>
        <v/>
      </c>
      <c r="R748" t="str">
        <f>PasteBBM!AI748</f>
        <v/>
      </c>
      <c r="S748" t="str">
        <f>PasteBBM!AE748</f>
        <v/>
      </c>
      <c r="T748" t="str">
        <f>PasteBBM!AG748</f>
        <v/>
      </c>
      <c r="V748" s="44">
        <v>-0.41709</v>
      </c>
      <c r="W748" s="44">
        <v>-0.00658</v>
      </c>
      <c r="X748" s="44">
        <v>0.009207</v>
      </c>
      <c r="Y748" s="44">
        <v>-0.4263</v>
      </c>
      <c r="Z748" s="44">
        <v>-0.34564</v>
      </c>
      <c r="AA748" s="45"/>
      <c r="AB748" s="46" t="s">
        <v>126</v>
      </c>
      <c r="AC748" s="44">
        <v>67.0</v>
      </c>
    </row>
    <row r="749">
      <c r="A749" s="2">
        <v>163.0</v>
      </c>
      <c r="B749" s="14">
        <f>IF(PasteBBM!B749="",156,PasteBBM!B749)</f>
        <v>156</v>
      </c>
      <c r="C749" t="str">
        <f>PasteBBM!I749</f>
        <v/>
      </c>
      <c r="D749" t="str">
        <f>IFERROR(REPLACE(PasteBBM!K749,FIND("/",PasteBBM!K749,1),1,","),PasteBBM!K749)</f>
        <v/>
      </c>
      <c r="E749" t="str">
        <f>PasteBBM!J749</f>
        <v/>
      </c>
      <c r="F749" t="str">
        <f>PasteBBM!U749</f>
        <v/>
      </c>
      <c r="G749" t="str">
        <f>PasteBBM!X749</f>
        <v/>
      </c>
      <c r="H749">
        <f>PasteBBM!AE749*PasteBBM!AF749</f>
        <v>0</v>
      </c>
      <c r="I749" t="str">
        <f>PasteBBM!AE749</f>
        <v/>
      </c>
      <c r="J749">
        <f>PasteBBM!AG749*PasteBBM!AH749</f>
        <v>0</v>
      </c>
      <c r="K749" t="str">
        <f>PasteBBM!AG749</f>
        <v/>
      </c>
      <c r="L749" t="str">
        <f>PasteBBM!Z749</f>
        <v/>
      </c>
      <c r="M749" t="str">
        <f>PasteBBM!Y749</f>
        <v/>
      </c>
      <c r="N749" t="str">
        <f>PasteBBM!AA749</f>
        <v/>
      </c>
      <c r="O749" t="str">
        <f>PasteBBM!AB749</f>
        <v/>
      </c>
      <c r="P749" t="str">
        <f>PasteBBM!AC749</f>
        <v/>
      </c>
      <c r="Q749" t="str">
        <f>PasteBBM!AD749</f>
        <v/>
      </c>
      <c r="R749" t="str">
        <f>PasteBBM!AI749</f>
        <v/>
      </c>
      <c r="S749" t="str">
        <f>PasteBBM!AE749</f>
        <v/>
      </c>
      <c r="T749" t="str">
        <f>PasteBBM!AG749</f>
        <v/>
      </c>
      <c r="V749" s="44">
        <v>-0.41709</v>
      </c>
      <c r="W749" s="44">
        <v>-0.00658</v>
      </c>
      <c r="X749" s="44">
        <v>0.009207</v>
      </c>
      <c r="Y749" s="44">
        <v>-0.4263</v>
      </c>
      <c r="Z749" s="44">
        <v>-0.34564</v>
      </c>
      <c r="AA749" s="45"/>
      <c r="AB749" s="46" t="s">
        <v>126</v>
      </c>
      <c r="AC749" s="44">
        <v>67.0</v>
      </c>
    </row>
    <row r="750">
      <c r="A750" s="2">
        <v>163.0</v>
      </c>
      <c r="B750" s="14">
        <f>IF(PasteBBM!B750="",156,PasteBBM!B750)</f>
        <v>156</v>
      </c>
      <c r="C750" t="str">
        <f>PasteBBM!I750</f>
        <v/>
      </c>
      <c r="D750" t="str">
        <f>IFERROR(REPLACE(PasteBBM!K750,FIND("/",PasteBBM!K750,1),1,","),PasteBBM!K750)</f>
        <v/>
      </c>
      <c r="E750" t="str">
        <f>PasteBBM!J750</f>
        <v/>
      </c>
      <c r="F750" t="str">
        <f>PasteBBM!U750</f>
        <v/>
      </c>
      <c r="G750" t="str">
        <f>PasteBBM!X750</f>
        <v/>
      </c>
      <c r="H750">
        <f>PasteBBM!AE750*PasteBBM!AF750</f>
        <v>0</v>
      </c>
      <c r="I750" t="str">
        <f>PasteBBM!AE750</f>
        <v/>
      </c>
      <c r="J750">
        <f>PasteBBM!AG750*PasteBBM!AH750</f>
        <v>0</v>
      </c>
      <c r="K750" t="str">
        <f>PasteBBM!AG750</f>
        <v/>
      </c>
      <c r="L750" t="str">
        <f>PasteBBM!Z750</f>
        <v/>
      </c>
      <c r="M750" t="str">
        <f>PasteBBM!Y750</f>
        <v/>
      </c>
      <c r="N750" t="str">
        <f>PasteBBM!AA750</f>
        <v/>
      </c>
      <c r="O750" t="str">
        <f>PasteBBM!AB750</f>
        <v/>
      </c>
      <c r="P750" t="str">
        <f>PasteBBM!AC750</f>
        <v/>
      </c>
      <c r="Q750" t="str">
        <f>PasteBBM!AD750</f>
        <v/>
      </c>
      <c r="R750" t="str">
        <f>PasteBBM!AI750</f>
        <v/>
      </c>
      <c r="S750" t="str">
        <f>PasteBBM!AE750</f>
        <v/>
      </c>
      <c r="T750" t="str">
        <f>PasteBBM!AG750</f>
        <v/>
      </c>
      <c r="V750" s="44">
        <v>-0.41709</v>
      </c>
      <c r="W750" s="44">
        <v>-0.00658</v>
      </c>
      <c r="X750" s="44">
        <v>0.009207</v>
      </c>
      <c r="Y750" s="44">
        <v>-0.4263</v>
      </c>
      <c r="Z750" s="44">
        <v>-0.34564</v>
      </c>
      <c r="AA750" s="45"/>
      <c r="AB750" s="46" t="s">
        <v>126</v>
      </c>
      <c r="AC750" s="44">
        <v>67.0</v>
      </c>
    </row>
    <row r="751">
      <c r="A751" s="2">
        <v>163.0</v>
      </c>
      <c r="B751" s="14">
        <f>IF(PasteBBM!B751="",156,PasteBBM!B751)</f>
        <v>156</v>
      </c>
      <c r="C751" t="str">
        <f>PasteBBM!I751</f>
        <v/>
      </c>
      <c r="D751" t="str">
        <f>IFERROR(REPLACE(PasteBBM!K751,FIND("/",PasteBBM!K751,1),1,","),PasteBBM!K751)</f>
        <v/>
      </c>
      <c r="E751" t="str">
        <f>PasteBBM!J751</f>
        <v/>
      </c>
      <c r="F751" t="str">
        <f>PasteBBM!U751</f>
        <v/>
      </c>
      <c r="G751" t="str">
        <f>PasteBBM!X751</f>
        <v/>
      </c>
      <c r="H751">
        <f>PasteBBM!AE751*PasteBBM!AF751</f>
        <v>0</v>
      </c>
      <c r="I751" t="str">
        <f>PasteBBM!AE751</f>
        <v/>
      </c>
      <c r="J751">
        <f>PasteBBM!AG751*PasteBBM!AH751</f>
        <v>0</v>
      </c>
      <c r="K751" t="str">
        <f>PasteBBM!AG751</f>
        <v/>
      </c>
      <c r="L751" t="str">
        <f>PasteBBM!Z751</f>
        <v/>
      </c>
      <c r="M751" t="str">
        <f>PasteBBM!Y751</f>
        <v/>
      </c>
      <c r="N751" t="str">
        <f>PasteBBM!AA751</f>
        <v/>
      </c>
      <c r="O751" t="str">
        <f>PasteBBM!AB751</f>
        <v/>
      </c>
      <c r="P751" t="str">
        <f>PasteBBM!AC751</f>
        <v/>
      </c>
      <c r="Q751" t="str">
        <f>PasteBBM!AD751</f>
        <v/>
      </c>
      <c r="R751" t="str">
        <f>PasteBBM!AI751</f>
        <v/>
      </c>
      <c r="S751" t="str">
        <f>PasteBBM!AE751</f>
        <v/>
      </c>
      <c r="T751" t="str">
        <f>PasteBBM!AG751</f>
        <v/>
      </c>
      <c r="V751" s="44">
        <v>-0.41709</v>
      </c>
      <c r="W751" s="44">
        <v>-0.00658</v>
      </c>
      <c r="X751" s="44">
        <v>0.009207</v>
      </c>
      <c r="Y751" s="44">
        <v>-0.4263</v>
      </c>
      <c r="Z751" s="44">
        <v>-0.34564</v>
      </c>
      <c r="AA751" s="45"/>
      <c r="AB751" s="46" t="s">
        <v>126</v>
      </c>
      <c r="AC751" s="44">
        <v>67.0</v>
      </c>
    </row>
    <row r="752">
      <c r="A752" s="2">
        <v>163.0</v>
      </c>
      <c r="B752" s="14">
        <f>IF(PasteBBM!B752="",156,PasteBBM!B752)</f>
        <v>156</v>
      </c>
      <c r="C752" t="str">
        <f>PasteBBM!I752</f>
        <v/>
      </c>
      <c r="D752" t="str">
        <f>IFERROR(REPLACE(PasteBBM!K752,FIND("/",PasteBBM!K752,1),1,","),PasteBBM!K752)</f>
        <v/>
      </c>
      <c r="E752" t="str">
        <f>PasteBBM!J752</f>
        <v/>
      </c>
      <c r="F752" t="str">
        <f>PasteBBM!U752</f>
        <v/>
      </c>
      <c r="G752" t="str">
        <f>PasteBBM!X752</f>
        <v/>
      </c>
      <c r="H752">
        <f>PasteBBM!AE752*PasteBBM!AF752</f>
        <v>0</v>
      </c>
      <c r="I752" t="str">
        <f>PasteBBM!AE752</f>
        <v/>
      </c>
      <c r="J752">
        <f>PasteBBM!AG752*PasteBBM!AH752</f>
        <v>0</v>
      </c>
      <c r="K752" t="str">
        <f>PasteBBM!AG752</f>
        <v/>
      </c>
      <c r="L752" t="str">
        <f>PasteBBM!Z752</f>
        <v/>
      </c>
      <c r="M752" t="str">
        <f>PasteBBM!Y752</f>
        <v/>
      </c>
      <c r="N752" t="str">
        <f>PasteBBM!AA752</f>
        <v/>
      </c>
      <c r="O752" t="str">
        <f>PasteBBM!AB752</f>
        <v/>
      </c>
      <c r="P752" t="str">
        <f>PasteBBM!AC752</f>
        <v/>
      </c>
      <c r="Q752" t="str">
        <f>PasteBBM!AD752</f>
        <v/>
      </c>
      <c r="R752" t="str">
        <f>PasteBBM!AI752</f>
        <v/>
      </c>
      <c r="S752" t="str">
        <f>PasteBBM!AE752</f>
        <v/>
      </c>
      <c r="T752" t="str">
        <f>PasteBBM!AG752</f>
        <v/>
      </c>
      <c r="V752" s="44">
        <v>-0.41709</v>
      </c>
      <c r="W752" s="44">
        <v>-0.00658</v>
      </c>
      <c r="X752" s="44">
        <v>0.009207</v>
      </c>
      <c r="Y752" s="44">
        <v>-0.4263</v>
      </c>
      <c r="Z752" s="44">
        <v>-0.34564</v>
      </c>
      <c r="AA752" s="45"/>
      <c r="AB752" s="46" t="s">
        <v>126</v>
      </c>
      <c r="AC752" s="44">
        <v>67.0</v>
      </c>
    </row>
    <row r="753">
      <c r="A753" s="2">
        <v>163.0</v>
      </c>
      <c r="B753" s="14">
        <f>IF(PasteBBM!B753="",156,PasteBBM!B753)</f>
        <v>156</v>
      </c>
      <c r="C753" t="str">
        <f>PasteBBM!I753</f>
        <v/>
      </c>
      <c r="D753" t="str">
        <f>IFERROR(REPLACE(PasteBBM!K753,FIND("/",PasteBBM!K753,1),1,","),PasteBBM!K753)</f>
        <v/>
      </c>
      <c r="E753" t="str">
        <f>PasteBBM!J753</f>
        <v/>
      </c>
      <c r="F753" t="str">
        <f>PasteBBM!U753</f>
        <v/>
      </c>
      <c r="G753" t="str">
        <f>PasteBBM!X753</f>
        <v/>
      </c>
      <c r="H753">
        <f>PasteBBM!AE753*PasteBBM!AF753</f>
        <v>0</v>
      </c>
      <c r="I753" t="str">
        <f>PasteBBM!AE753</f>
        <v/>
      </c>
      <c r="J753">
        <f>PasteBBM!AG753*PasteBBM!AH753</f>
        <v>0</v>
      </c>
      <c r="K753" t="str">
        <f>PasteBBM!AG753</f>
        <v/>
      </c>
      <c r="L753" t="str">
        <f>PasteBBM!Z753</f>
        <v/>
      </c>
      <c r="M753" t="str">
        <f>PasteBBM!Y753</f>
        <v/>
      </c>
      <c r="N753" t="str">
        <f>PasteBBM!AA753</f>
        <v/>
      </c>
      <c r="O753" t="str">
        <f>PasteBBM!AB753</f>
        <v/>
      </c>
      <c r="P753" t="str">
        <f>PasteBBM!AC753</f>
        <v/>
      </c>
      <c r="Q753" t="str">
        <f>PasteBBM!AD753</f>
        <v/>
      </c>
      <c r="R753" t="str">
        <f>PasteBBM!AI753</f>
        <v/>
      </c>
      <c r="S753" t="str">
        <f>PasteBBM!AE753</f>
        <v/>
      </c>
      <c r="T753" t="str">
        <f>PasteBBM!AG753</f>
        <v/>
      </c>
      <c r="V753" s="44">
        <v>-0.41709</v>
      </c>
      <c r="W753" s="44">
        <v>-0.00658</v>
      </c>
      <c r="X753" s="44">
        <v>0.009207</v>
      </c>
      <c r="Y753" s="44">
        <v>-0.4263</v>
      </c>
      <c r="Z753" s="44">
        <v>-0.34564</v>
      </c>
      <c r="AA753" s="45"/>
      <c r="AB753" s="46" t="s">
        <v>126</v>
      </c>
      <c r="AC753" s="44">
        <v>67.0</v>
      </c>
    </row>
    <row r="754">
      <c r="A754" s="2">
        <v>163.0</v>
      </c>
      <c r="B754" s="14">
        <f>IF(PasteBBM!B754="",156,PasteBBM!B754)</f>
        <v>156</v>
      </c>
      <c r="C754" t="str">
        <f>PasteBBM!I754</f>
        <v/>
      </c>
      <c r="D754" t="str">
        <f>IFERROR(REPLACE(PasteBBM!K754,FIND("/",PasteBBM!K754,1),1,","),PasteBBM!K754)</f>
        <v/>
      </c>
      <c r="E754" t="str">
        <f>PasteBBM!J754</f>
        <v/>
      </c>
      <c r="F754" t="str">
        <f>PasteBBM!U754</f>
        <v/>
      </c>
      <c r="G754" t="str">
        <f>PasteBBM!X754</f>
        <v/>
      </c>
      <c r="H754">
        <f>PasteBBM!AE754*PasteBBM!AF754</f>
        <v>0</v>
      </c>
      <c r="I754" t="str">
        <f>PasteBBM!AE754</f>
        <v/>
      </c>
      <c r="J754">
        <f>PasteBBM!AG754*PasteBBM!AH754</f>
        <v>0</v>
      </c>
      <c r="K754" t="str">
        <f>PasteBBM!AG754</f>
        <v/>
      </c>
      <c r="L754" t="str">
        <f>PasteBBM!Z754</f>
        <v/>
      </c>
      <c r="M754" t="str">
        <f>PasteBBM!Y754</f>
        <v/>
      </c>
      <c r="N754" t="str">
        <f>PasteBBM!AA754</f>
        <v/>
      </c>
      <c r="O754" t="str">
        <f>PasteBBM!AB754</f>
        <v/>
      </c>
      <c r="P754" t="str">
        <f>PasteBBM!AC754</f>
        <v/>
      </c>
      <c r="Q754" t="str">
        <f>PasteBBM!AD754</f>
        <v/>
      </c>
      <c r="R754" t="str">
        <f>PasteBBM!AI754</f>
        <v/>
      </c>
      <c r="S754" t="str">
        <f>PasteBBM!AE754</f>
        <v/>
      </c>
      <c r="T754" t="str">
        <f>PasteBBM!AG754</f>
        <v/>
      </c>
      <c r="V754" s="44">
        <v>-0.41709</v>
      </c>
      <c r="W754" s="44">
        <v>-0.00658</v>
      </c>
      <c r="X754" s="44">
        <v>0.009207</v>
      </c>
      <c r="Y754" s="44">
        <v>-0.4263</v>
      </c>
      <c r="Z754" s="44">
        <v>-0.34564</v>
      </c>
      <c r="AA754" s="45"/>
      <c r="AB754" s="46" t="s">
        <v>126</v>
      </c>
      <c r="AC754" s="44">
        <v>67.0</v>
      </c>
    </row>
    <row r="755">
      <c r="A755" s="2">
        <v>163.0</v>
      </c>
      <c r="B755" s="14">
        <f>IF(PasteBBM!B755="",156,PasteBBM!B755)</f>
        <v>156</v>
      </c>
      <c r="C755" t="str">
        <f>PasteBBM!I755</f>
        <v/>
      </c>
      <c r="D755" t="str">
        <f>IFERROR(REPLACE(PasteBBM!K755,FIND("/",PasteBBM!K755,1),1,","),PasteBBM!K755)</f>
        <v/>
      </c>
      <c r="E755" t="str">
        <f>PasteBBM!J755</f>
        <v/>
      </c>
      <c r="F755" t="str">
        <f>PasteBBM!U755</f>
        <v/>
      </c>
      <c r="G755" t="str">
        <f>PasteBBM!X755</f>
        <v/>
      </c>
      <c r="H755">
        <f>PasteBBM!AE755*PasteBBM!AF755</f>
        <v>0</v>
      </c>
      <c r="I755" t="str">
        <f>PasteBBM!AE755</f>
        <v/>
      </c>
      <c r="J755">
        <f>PasteBBM!AG755*PasteBBM!AH755</f>
        <v>0</v>
      </c>
      <c r="K755" t="str">
        <f>PasteBBM!AG755</f>
        <v/>
      </c>
      <c r="L755" t="str">
        <f>PasteBBM!Z755</f>
        <v/>
      </c>
      <c r="M755" t="str">
        <f>PasteBBM!Y755</f>
        <v/>
      </c>
      <c r="N755" t="str">
        <f>PasteBBM!AA755</f>
        <v/>
      </c>
      <c r="O755" t="str">
        <f>PasteBBM!AB755</f>
        <v/>
      </c>
      <c r="P755" t="str">
        <f>PasteBBM!AC755</f>
        <v/>
      </c>
      <c r="Q755" t="str">
        <f>PasteBBM!AD755</f>
        <v/>
      </c>
      <c r="R755" t="str">
        <f>PasteBBM!AI755</f>
        <v/>
      </c>
      <c r="S755" t="str">
        <f>PasteBBM!AE755</f>
        <v/>
      </c>
      <c r="T755" t="str">
        <f>PasteBBM!AG755</f>
        <v/>
      </c>
      <c r="V755" s="44">
        <v>-0.41709</v>
      </c>
      <c r="W755" s="44">
        <v>-0.00658</v>
      </c>
      <c r="X755" s="44">
        <v>0.009207</v>
      </c>
      <c r="Y755" s="44">
        <v>-0.4263</v>
      </c>
      <c r="Z755" s="44">
        <v>-0.34564</v>
      </c>
      <c r="AA755" s="45"/>
      <c r="AB755" s="46" t="s">
        <v>126</v>
      </c>
      <c r="AC755" s="44">
        <v>67.0</v>
      </c>
    </row>
    <row r="756">
      <c r="A756" s="2">
        <v>163.0</v>
      </c>
      <c r="B756" s="14">
        <f>IF(PasteBBM!B756="",156,PasteBBM!B756)</f>
        <v>156</v>
      </c>
      <c r="C756" t="str">
        <f>PasteBBM!I756</f>
        <v/>
      </c>
      <c r="D756" t="str">
        <f>IFERROR(REPLACE(PasteBBM!K756,FIND("/",PasteBBM!K756,1),1,","),PasteBBM!K756)</f>
        <v/>
      </c>
      <c r="E756" t="str">
        <f>PasteBBM!J756</f>
        <v/>
      </c>
      <c r="F756" t="str">
        <f>PasteBBM!U756</f>
        <v/>
      </c>
      <c r="G756" t="str">
        <f>PasteBBM!X756</f>
        <v/>
      </c>
      <c r="H756">
        <f>PasteBBM!AE756*PasteBBM!AF756</f>
        <v>0</v>
      </c>
      <c r="I756" t="str">
        <f>PasteBBM!AE756</f>
        <v/>
      </c>
      <c r="J756">
        <f>PasteBBM!AG756*PasteBBM!AH756</f>
        <v>0</v>
      </c>
      <c r="K756" t="str">
        <f>PasteBBM!AG756</f>
        <v/>
      </c>
      <c r="L756" t="str">
        <f>PasteBBM!Z756</f>
        <v/>
      </c>
      <c r="M756" t="str">
        <f>PasteBBM!Y756</f>
        <v/>
      </c>
      <c r="N756" t="str">
        <f>PasteBBM!AA756</f>
        <v/>
      </c>
      <c r="O756" t="str">
        <f>PasteBBM!AB756</f>
        <v/>
      </c>
      <c r="P756" t="str">
        <f>PasteBBM!AC756</f>
        <v/>
      </c>
      <c r="Q756" t="str">
        <f>PasteBBM!AD756</f>
        <v/>
      </c>
      <c r="R756" t="str">
        <f>PasteBBM!AI756</f>
        <v/>
      </c>
      <c r="S756" t="str">
        <f>PasteBBM!AE756</f>
        <v/>
      </c>
      <c r="T756" t="str">
        <f>PasteBBM!AG756</f>
        <v/>
      </c>
      <c r="V756" s="44">
        <v>-0.41709</v>
      </c>
      <c r="W756" s="44">
        <v>-0.00658</v>
      </c>
      <c r="X756" s="44">
        <v>0.009207</v>
      </c>
      <c r="Y756" s="44">
        <v>-0.4263</v>
      </c>
      <c r="Z756" s="44">
        <v>-0.34564</v>
      </c>
      <c r="AA756" s="45"/>
      <c r="AB756" s="46" t="s">
        <v>126</v>
      </c>
      <c r="AC756" s="44">
        <v>67.0</v>
      </c>
    </row>
    <row r="757">
      <c r="A757" s="2">
        <v>163.0</v>
      </c>
      <c r="B757" s="14">
        <f>IF(PasteBBM!B757="",156,PasteBBM!B757)</f>
        <v>156</v>
      </c>
      <c r="C757" t="str">
        <f>PasteBBM!I757</f>
        <v/>
      </c>
      <c r="D757" t="str">
        <f>IFERROR(REPLACE(PasteBBM!K757,FIND("/",PasteBBM!K757,1),1,","),PasteBBM!K757)</f>
        <v/>
      </c>
      <c r="E757" t="str">
        <f>PasteBBM!J757</f>
        <v/>
      </c>
      <c r="F757" t="str">
        <f>PasteBBM!U757</f>
        <v/>
      </c>
      <c r="G757" t="str">
        <f>PasteBBM!X757</f>
        <v/>
      </c>
      <c r="H757">
        <f>PasteBBM!AE757*PasteBBM!AF757</f>
        <v>0</v>
      </c>
      <c r="I757" t="str">
        <f>PasteBBM!AE757</f>
        <v/>
      </c>
      <c r="J757">
        <f>PasteBBM!AG757*PasteBBM!AH757</f>
        <v>0</v>
      </c>
      <c r="K757" t="str">
        <f>PasteBBM!AG757</f>
        <v/>
      </c>
      <c r="L757" t="str">
        <f>PasteBBM!Z757</f>
        <v/>
      </c>
      <c r="M757" t="str">
        <f>PasteBBM!Y757</f>
        <v/>
      </c>
      <c r="N757" t="str">
        <f>PasteBBM!AA757</f>
        <v/>
      </c>
      <c r="O757" t="str">
        <f>PasteBBM!AB757</f>
        <v/>
      </c>
      <c r="P757" t="str">
        <f>PasteBBM!AC757</f>
        <v/>
      </c>
      <c r="Q757" t="str">
        <f>PasteBBM!AD757</f>
        <v/>
      </c>
      <c r="R757" t="str">
        <f>PasteBBM!AI757</f>
        <v/>
      </c>
      <c r="S757" t="str">
        <f>PasteBBM!AE757</f>
        <v/>
      </c>
      <c r="T757" t="str">
        <f>PasteBBM!AG757</f>
        <v/>
      </c>
      <c r="V757" s="44">
        <v>-0.41709</v>
      </c>
      <c r="W757" s="44">
        <v>-0.00658</v>
      </c>
      <c r="X757" s="44">
        <v>0.009207</v>
      </c>
      <c r="Y757" s="44">
        <v>-0.4263</v>
      </c>
      <c r="Z757" s="44">
        <v>-0.34564</v>
      </c>
      <c r="AA757" s="45"/>
      <c r="AB757" s="46" t="s">
        <v>126</v>
      </c>
      <c r="AC757" s="44">
        <v>67.0</v>
      </c>
    </row>
    <row r="758">
      <c r="A758" s="2">
        <v>163.0</v>
      </c>
      <c r="B758" s="14">
        <f>IF(PasteBBM!B758="",156,PasteBBM!B758)</f>
        <v>156</v>
      </c>
      <c r="C758" t="str">
        <f>PasteBBM!I758</f>
        <v/>
      </c>
      <c r="D758" t="str">
        <f>IFERROR(REPLACE(PasteBBM!K758,FIND("/",PasteBBM!K758,1),1,","),PasteBBM!K758)</f>
        <v/>
      </c>
      <c r="E758" t="str">
        <f>PasteBBM!J758</f>
        <v/>
      </c>
      <c r="F758" t="str">
        <f>PasteBBM!U758</f>
        <v/>
      </c>
      <c r="G758" t="str">
        <f>PasteBBM!X758</f>
        <v/>
      </c>
      <c r="H758">
        <f>PasteBBM!AE758*PasteBBM!AF758</f>
        <v>0</v>
      </c>
      <c r="I758" t="str">
        <f>PasteBBM!AE758</f>
        <v/>
      </c>
      <c r="J758">
        <f>PasteBBM!AG758*PasteBBM!AH758</f>
        <v>0</v>
      </c>
      <c r="K758" t="str">
        <f>PasteBBM!AG758</f>
        <v/>
      </c>
      <c r="L758" t="str">
        <f>PasteBBM!Z758</f>
        <v/>
      </c>
      <c r="M758" t="str">
        <f>PasteBBM!Y758</f>
        <v/>
      </c>
      <c r="N758" t="str">
        <f>PasteBBM!AA758</f>
        <v/>
      </c>
      <c r="O758" t="str">
        <f>PasteBBM!AB758</f>
        <v/>
      </c>
      <c r="P758" t="str">
        <f>PasteBBM!AC758</f>
        <v/>
      </c>
      <c r="Q758" t="str">
        <f>PasteBBM!AD758</f>
        <v/>
      </c>
      <c r="R758" t="str">
        <f>PasteBBM!AI758</f>
        <v/>
      </c>
      <c r="S758" t="str">
        <f>PasteBBM!AE758</f>
        <v/>
      </c>
      <c r="T758" t="str">
        <f>PasteBBM!AG758</f>
        <v/>
      </c>
      <c r="V758" s="44">
        <v>-0.41709</v>
      </c>
      <c r="W758" s="44">
        <v>-0.00658</v>
      </c>
      <c r="X758" s="44">
        <v>0.009207</v>
      </c>
      <c r="Y758" s="44">
        <v>-0.4263</v>
      </c>
      <c r="Z758" s="44">
        <v>-0.34564</v>
      </c>
      <c r="AA758" s="45"/>
      <c r="AB758" s="46" t="s">
        <v>126</v>
      </c>
      <c r="AC758" s="44">
        <v>67.0</v>
      </c>
    </row>
    <row r="759">
      <c r="A759" s="2">
        <v>163.0</v>
      </c>
      <c r="B759" s="14">
        <f>IF(PasteBBM!B759="",156,PasteBBM!B759)</f>
        <v>156</v>
      </c>
      <c r="C759" t="str">
        <f>PasteBBM!I759</f>
        <v/>
      </c>
      <c r="D759" t="str">
        <f>IFERROR(REPLACE(PasteBBM!K759,FIND("/",PasteBBM!K759,1),1,","),PasteBBM!K759)</f>
        <v/>
      </c>
      <c r="E759" t="str">
        <f>PasteBBM!J759</f>
        <v/>
      </c>
      <c r="F759" t="str">
        <f>PasteBBM!U759</f>
        <v/>
      </c>
      <c r="G759" t="str">
        <f>PasteBBM!X759</f>
        <v/>
      </c>
      <c r="H759">
        <f>PasteBBM!AE759*PasteBBM!AF759</f>
        <v>0</v>
      </c>
      <c r="I759" t="str">
        <f>PasteBBM!AE759</f>
        <v/>
      </c>
      <c r="J759">
        <f>PasteBBM!AG759*PasteBBM!AH759</f>
        <v>0</v>
      </c>
      <c r="K759" t="str">
        <f>PasteBBM!AG759</f>
        <v/>
      </c>
      <c r="L759" t="str">
        <f>PasteBBM!Z759</f>
        <v/>
      </c>
      <c r="M759" t="str">
        <f>PasteBBM!Y759</f>
        <v/>
      </c>
      <c r="N759" t="str">
        <f>PasteBBM!AA759</f>
        <v/>
      </c>
      <c r="O759" t="str">
        <f>PasteBBM!AB759</f>
        <v/>
      </c>
      <c r="P759" t="str">
        <f>PasteBBM!AC759</f>
        <v/>
      </c>
      <c r="Q759" t="str">
        <f>PasteBBM!AD759</f>
        <v/>
      </c>
      <c r="R759" t="str">
        <f>PasteBBM!AI759</f>
        <v/>
      </c>
      <c r="S759" t="str">
        <f>PasteBBM!AE759</f>
        <v/>
      </c>
      <c r="T759" t="str">
        <f>PasteBBM!AG759</f>
        <v/>
      </c>
      <c r="V759" s="44">
        <v>-0.41709</v>
      </c>
      <c r="W759" s="44">
        <v>-0.00658</v>
      </c>
      <c r="X759" s="44">
        <v>0.009207</v>
      </c>
      <c r="Y759" s="44">
        <v>-0.4263</v>
      </c>
      <c r="Z759" s="44">
        <v>-0.34564</v>
      </c>
      <c r="AA759" s="45"/>
      <c r="AB759" s="46" t="s">
        <v>126</v>
      </c>
      <c r="AC759" s="44">
        <v>67.0</v>
      </c>
    </row>
    <row r="760">
      <c r="A760" s="2">
        <v>163.0</v>
      </c>
      <c r="B760" s="14">
        <f>IF(PasteBBM!B760="",156,PasteBBM!B760)</f>
        <v>156</v>
      </c>
      <c r="C760" t="str">
        <f>PasteBBM!I760</f>
        <v/>
      </c>
      <c r="D760" t="str">
        <f>IFERROR(REPLACE(PasteBBM!K760,FIND("/",PasteBBM!K760,1),1,","),PasteBBM!K760)</f>
        <v/>
      </c>
      <c r="E760" t="str">
        <f>PasteBBM!J760</f>
        <v/>
      </c>
      <c r="F760" t="str">
        <f>PasteBBM!U760</f>
        <v/>
      </c>
      <c r="G760" t="str">
        <f>PasteBBM!X760</f>
        <v/>
      </c>
      <c r="H760">
        <f>PasteBBM!AE760*PasteBBM!AF760</f>
        <v>0</v>
      </c>
      <c r="I760" t="str">
        <f>PasteBBM!AE760</f>
        <v/>
      </c>
      <c r="J760">
        <f>PasteBBM!AG760*PasteBBM!AH760</f>
        <v>0</v>
      </c>
      <c r="K760" t="str">
        <f>PasteBBM!AG760</f>
        <v/>
      </c>
      <c r="L760" t="str">
        <f>PasteBBM!Z760</f>
        <v/>
      </c>
      <c r="M760" t="str">
        <f>PasteBBM!Y760</f>
        <v/>
      </c>
      <c r="N760" t="str">
        <f>PasteBBM!AA760</f>
        <v/>
      </c>
      <c r="O760" t="str">
        <f>PasteBBM!AB760</f>
        <v/>
      </c>
      <c r="P760" t="str">
        <f>PasteBBM!AC760</f>
        <v/>
      </c>
      <c r="Q760" t="str">
        <f>PasteBBM!AD760</f>
        <v/>
      </c>
      <c r="R760" t="str">
        <f>PasteBBM!AI760</f>
        <v/>
      </c>
      <c r="S760" t="str">
        <f>PasteBBM!AE760</f>
        <v/>
      </c>
      <c r="T760" t="str">
        <f>PasteBBM!AG760</f>
        <v/>
      </c>
      <c r="V760" s="44">
        <v>-0.41709</v>
      </c>
      <c r="W760" s="44">
        <v>-0.00658</v>
      </c>
      <c r="X760" s="44">
        <v>0.009207</v>
      </c>
      <c r="Y760" s="44">
        <v>-0.4263</v>
      </c>
      <c r="Z760" s="44">
        <v>-0.34564</v>
      </c>
      <c r="AA760" s="45"/>
      <c r="AB760" s="46" t="s">
        <v>126</v>
      </c>
      <c r="AC760" s="44">
        <v>67.0</v>
      </c>
    </row>
    <row r="761">
      <c r="A761" s="2">
        <v>163.0</v>
      </c>
      <c r="B761" s="14">
        <f>IF(PasteBBM!B761="",156,PasteBBM!B761)</f>
        <v>156</v>
      </c>
      <c r="C761" t="str">
        <f>PasteBBM!I761</f>
        <v/>
      </c>
      <c r="D761" t="str">
        <f>IFERROR(REPLACE(PasteBBM!K761,FIND("/",PasteBBM!K761,1),1,","),PasteBBM!K761)</f>
        <v/>
      </c>
      <c r="E761" t="str">
        <f>PasteBBM!J761</f>
        <v/>
      </c>
      <c r="F761" t="str">
        <f>PasteBBM!U761</f>
        <v/>
      </c>
      <c r="G761" t="str">
        <f>PasteBBM!X761</f>
        <v/>
      </c>
      <c r="H761">
        <f>PasteBBM!AE761*PasteBBM!AF761</f>
        <v>0</v>
      </c>
      <c r="I761" t="str">
        <f>PasteBBM!AE761</f>
        <v/>
      </c>
      <c r="J761">
        <f>PasteBBM!AG761*PasteBBM!AH761</f>
        <v>0</v>
      </c>
      <c r="K761" t="str">
        <f>PasteBBM!AG761</f>
        <v/>
      </c>
      <c r="L761" t="str">
        <f>PasteBBM!Z761</f>
        <v/>
      </c>
      <c r="M761" t="str">
        <f>PasteBBM!Y761</f>
        <v/>
      </c>
      <c r="N761" t="str">
        <f>PasteBBM!AA761</f>
        <v/>
      </c>
      <c r="O761" t="str">
        <f>PasteBBM!AB761</f>
        <v/>
      </c>
      <c r="P761" t="str">
        <f>PasteBBM!AC761</f>
        <v/>
      </c>
      <c r="Q761" t="str">
        <f>PasteBBM!AD761</f>
        <v/>
      </c>
      <c r="R761" t="str">
        <f>PasteBBM!AI761</f>
        <v/>
      </c>
      <c r="S761" t="str">
        <f>PasteBBM!AE761</f>
        <v/>
      </c>
      <c r="T761" t="str">
        <f>PasteBBM!AG761</f>
        <v/>
      </c>
      <c r="V761" s="44">
        <v>-0.41709</v>
      </c>
      <c r="W761" s="44">
        <v>-0.00658</v>
      </c>
      <c r="X761" s="44">
        <v>0.009207</v>
      </c>
      <c r="Y761" s="44">
        <v>-0.4263</v>
      </c>
      <c r="Z761" s="44">
        <v>-0.34564</v>
      </c>
      <c r="AA761" s="45"/>
      <c r="AB761" s="46" t="s">
        <v>126</v>
      </c>
      <c r="AC761" s="44">
        <v>67.0</v>
      </c>
    </row>
    <row r="762">
      <c r="A762" s="2">
        <v>163.0</v>
      </c>
      <c r="B762" s="14">
        <f>IF(PasteBBM!B762="",156,PasteBBM!B762)</f>
        <v>156</v>
      </c>
      <c r="C762" t="str">
        <f>PasteBBM!I762</f>
        <v/>
      </c>
      <c r="D762" t="str">
        <f>IFERROR(REPLACE(PasteBBM!K762,FIND("/",PasteBBM!K762,1),1,","),PasteBBM!K762)</f>
        <v/>
      </c>
      <c r="E762" t="str">
        <f>PasteBBM!J762</f>
        <v/>
      </c>
      <c r="F762" t="str">
        <f>PasteBBM!U762</f>
        <v/>
      </c>
      <c r="G762" t="str">
        <f>PasteBBM!X762</f>
        <v/>
      </c>
      <c r="H762">
        <f>PasteBBM!AE762*PasteBBM!AF762</f>
        <v>0</v>
      </c>
      <c r="I762" t="str">
        <f>PasteBBM!AE762</f>
        <v/>
      </c>
      <c r="J762">
        <f>PasteBBM!AG762*PasteBBM!AH762</f>
        <v>0</v>
      </c>
      <c r="K762" t="str">
        <f>PasteBBM!AG762</f>
        <v/>
      </c>
      <c r="L762" t="str">
        <f>PasteBBM!Z762</f>
        <v/>
      </c>
      <c r="M762" t="str">
        <f>PasteBBM!Y762</f>
        <v/>
      </c>
      <c r="N762" t="str">
        <f>PasteBBM!AA762</f>
        <v/>
      </c>
      <c r="O762" t="str">
        <f>PasteBBM!AB762</f>
        <v/>
      </c>
      <c r="P762" t="str">
        <f>PasteBBM!AC762</f>
        <v/>
      </c>
      <c r="Q762" t="str">
        <f>PasteBBM!AD762</f>
        <v/>
      </c>
      <c r="R762" t="str">
        <f>PasteBBM!AI762</f>
        <v/>
      </c>
      <c r="S762" t="str">
        <f>PasteBBM!AE762</f>
        <v/>
      </c>
      <c r="T762" t="str">
        <f>PasteBBM!AG762</f>
        <v/>
      </c>
      <c r="V762" s="44">
        <v>-0.41709</v>
      </c>
      <c r="W762" s="44">
        <v>-0.00658</v>
      </c>
      <c r="X762" s="44">
        <v>0.009207</v>
      </c>
      <c r="Y762" s="44">
        <v>-0.4263</v>
      </c>
      <c r="Z762" s="44">
        <v>-0.34564</v>
      </c>
      <c r="AA762" s="45"/>
      <c r="AB762" s="46" t="s">
        <v>126</v>
      </c>
      <c r="AC762" s="44">
        <v>67.0</v>
      </c>
    </row>
    <row r="763">
      <c r="A763" s="2">
        <v>163.0</v>
      </c>
      <c r="B763" s="14">
        <f>IF(PasteBBM!B763="",156,PasteBBM!B763)</f>
        <v>156</v>
      </c>
      <c r="C763" t="str">
        <f>PasteBBM!I763</f>
        <v/>
      </c>
      <c r="D763" t="str">
        <f>IFERROR(REPLACE(PasteBBM!K763,FIND("/",PasteBBM!K763,1),1,","),PasteBBM!K763)</f>
        <v/>
      </c>
      <c r="E763" t="str">
        <f>PasteBBM!J763</f>
        <v/>
      </c>
      <c r="F763" t="str">
        <f>PasteBBM!U763</f>
        <v/>
      </c>
      <c r="G763" t="str">
        <f>PasteBBM!X763</f>
        <v/>
      </c>
      <c r="H763">
        <f>PasteBBM!AE763*PasteBBM!AF763</f>
        <v>0</v>
      </c>
      <c r="I763" t="str">
        <f>PasteBBM!AE763</f>
        <v/>
      </c>
      <c r="J763">
        <f>PasteBBM!AG763*PasteBBM!AH763</f>
        <v>0</v>
      </c>
      <c r="K763" t="str">
        <f>PasteBBM!AG763</f>
        <v/>
      </c>
      <c r="L763" t="str">
        <f>PasteBBM!Z763</f>
        <v/>
      </c>
      <c r="M763" t="str">
        <f>PasteBBM!Y763</f>
        <v/>
      </c>
      <c r="N763" t="str">
        <f>PasteBBM!AA763</f>
        <v/>
      </c>
      <c r="O763" t="str">
        <f>PasteBBM!AB763</f>
        <v/>
      </c>
      <c r="P763" t="str">
        <f>PasteBBM!AC763</f>
        <v/>
      </c>
      <c r="Q763" t="str">
        <f>PasteBBM!AD763</f>
        <v/>
      </c>
      <c r="R763" t="str">
        <f>PasteBBM!AI763</f>
        <v/>
      </c>
      <c r="S763" t="str">
        <f>PasteBBM!AE763</f>
        <v/>
      </c>
      <c r="T763" t="str">
        <f>PasteBBM!AG763</f>
        <v/>
      </c>
      <c r="V763" s="44">
        <v>-0.41709</v>
      </c>
      <c r="W763" s="44">
        <v>-0.00658</v>
      </c>
      <c r="X763" s="44">
        <v>0.009207</v>
      </c>
      <c r="Y763" s="44">
        <v>-0.4263</v>
      </c>
      <c r="Z763" s="44">
        <v>-0.34564</v>
      </c>
      <c r="AA763" s="45"/>
      <c r="AB763" s="46" t="s">
        <v>126</v>
      </c>
      <c r="AC763" s="44">
        <v>67.0</v>
      </c>
    </row>
    <row r="764">
      <c r="A764" s="2">
        <v>163.0</v>
      </c>
      <c r="B764" s="14">
        <f>IF(PasteBBM!B764="",156,PasteBBM!B764)</f>
        <v>156</v>
      </c>
      <c r="C764" t="str">
        <f>PasteBBM!I764</f>
        <v/>
      </c>
      <c r="D764" t="str">
        <f>IFERROR(REPLACE(PasteBBM!K764,FIND("/",PasteBBM!K764,1),1,","),PasteBBM!K764)</f>
        <v/>
      </c>
      <c r="E764" t="str">
        <f>PasteBBM!J764</f>
        <v/>
      </c>
      <c r="F764" t="str">
        <f>PasteBBM!U764</f>
        <v/>
      </c>
      <c r="G764" t="str">
        <f>PasteBBM!X764</f>
        <v/>
      </c>
      <c r="H764">
        <f>PasteBBM!AE764*PasteBBM!AF764</f>
        <v>0</v>
      </c>
      <c r="I764" t="str">
        <f>PasteBBM!AE764</f>
        <v/>
      </c>
      <c r="J764">
        <f>PasteBBM!AG764*PasteBBM!AH764</f>
        <v>0</v>
      </c>
      <c r="K764" t="str">
        <f>PasteBBM!AG764</f>
        <v/>
      </c>
      <c r="L764" t="str">
        <f>PasteBBM!Z764</f>
        <v/>
      </c>
      <c r="M764" t="str">
        <f>PasteBBM!Y764</f>
        <v/>
      </c>
      <c r="N764" t="str">
        <f>PasteBBM!AA764</f>
        <v/>
      </c>
      <c r="O764" t="str">
        <f>PasteBBM!AB764</f>
        <v/>
      </c>
      <c r="P764" t="str">
        <f>PasteBBM!AC764</f>
        <v/>
      </c>
      <c r="Q764" t="str">
        <f>PasteBBM!AD764</f>
        <v/>
      </c>
      <c r="R764" t="str">
        <f>PasteBBM!AI764</f>
        <v/>
      </c>
      <c r="S764" t="str">
        <f>PasteBBM!AE764</f>
        <v/>
      </c>
      <c r="T764" t="str">
        <f>PasteBBM!AG764</f>
        <v/>
      </c>
      <c r="V764" s="44">
        <v>-0.41709</v>
      </c>
      <c r="W764" s="44">
        <v>-0.00658</v>
      </c>
      <c r="X764" s="44">
        <v>0.009207</v>
      </c>
      <c r="Y764" s="44">
        <v>-0.4263</v>
      </c>
      <c r="Z764" s="44">
        <v>-0.34564</v>
      </c>
      <c r="AA764" s="45"/>
      <c r="AB764" s="46" t="s">
        <v>126</v>
      </c>
      <c r="AC764" s="44">
        <v>67.0</v>
      </c>
    </row>
    <row r="765">
      <c r="A765" s="2">
        <v>163.0</v>
      </c>
      <c r="B765" s="14">
        <f>IF(PasteBBM!B765="",156,PasteBBM!B765)</f>
        <v>156</v>
      </c>
      <c r="C765" t="str">
        <f>PasteBBM!I765</f>
        <v/>
      </c>
      <c r="D765" t="str">
        <f>IFERROR(REPLACE(PasteBBM!K765,FIND("/",PasteBBM!K765,1),1,","),PasteBBM!K765)</f>
        <v/>
      </c>
      <c r="E765" t="str">
        <f>PasteBBM!J765</f>
        <v/>
      </c>
      <c r="F765" t="str">
        <f>PasteBBM!U765</f>
        <v/>
      </c>
      <c r="G765" t="str">
        <f>PasteBBM!X765</f>
        <v/>
      </c>
      <c r="H765">
        <f>PasteBBM!AE765*PasteBBM!AF765</f>
        <v>0</v>
      </c>
      <c r="I765" t="str">
        <f>PasteBBM!AE765</f>
        <v/>
      </c>
      <c r="J765">
        <f>PasteBBM!AG765*PasteBBM!AH765</f>
        <v>0</v>
      </c>
      <c r="K765" t="str">
        <f>PasteBBM!AG765</f>
        <v/>
      </c>
      <c r="L765" t="str">
        <f>PasteBBM!Z765</f>
        <v/>
      </c>
      <c r="M765" t="str">
        <f>PasteBBM!Y765</f>
        <v/>
      </c>
      <c r="N765" t="str">
        <f>PasteBBM!AA765</f>
        <v/>
      </c>
      <c r="O765" t="str">
        <f>PasteBBM!AB765</f>
        <v/>
      </c>
      <c r="P765" t="str">
        <f>PasteBBM!AC765</f>
        <v/>
      </c>
      <c r="Q765" t="str">
        <f>PasteBBM!AD765</f>
        <v/>
      </c>
      <c r="R765" t="str">
        <f>PasteBBM!AI765</f>
        <v/>
      </c>
      <c r="S765" t="str">
        <f>PasteBBM!AE765</f>
        <v/>
      </c>
      <c r="T765" t="str">
        <f>PasteBBM!AG765</f>
        <v/>
      </c>
      <c r="V765" s="44">
        <v>-0.41709</v>
      </c>
      <c r="W765" s="44">
        <v>-0.00658</v>
      </c>
      <c r="X765" s="44">
        <v>0.009207</v>
      </c>
      <c r="Y765" s="44">
        <v>-0.4263</v>
      </c>
      <c r="Z765" s="44">
        <v>-0.34564</v>
      </c>
      <c r="AA765" s="45"/>
      <c r="AB765" s="46" t="s">
        <v>126</v>
      </c>
      <c r="AC765" s="44">
        <v>67.0</v>
      </c>
    </row>
    <row r="766">
      <c r="A766" s="2">
        <v>163.0</v>
      </c>
      <c r="B766" s="14">
        <f>IF(PasteBBM!B766="",156,PasteBBM!B766)</f>
        <v>156</v>
      </c>
      <c r="C766" t="str">
        <f>PasteBBM!I766</f>
        <v/>
      </c>
      <c r="D766" t="str">
        <f>IFERROR(REPLACE(PasteBBM!K766,FIND("/",PasteBBM!K766,1),1,","),PasteBBM!K766)</f>
        <v/>
      </c>
      <c r="E766" t="str">
        <f>PasteBBM!J766</f>
        <v/>
      </c>
      <c r="F766" t="str">
        <f>PasteBBM!U766</f>
        <v/>
      </c>
      <c r="G766" t="str">
        <f>PasteBBM!X766</f>
        <v/>
      </c>
      <c r="H766">
        <f>PasteBBM!AE766*PasteBBM!AF766</f>
        <v>0</v>
      </c>
      <c r="I766" t="str">
        <f>PasteBBM!AE766</f>
        <v/>
      </c>
      <c r="J766">
        <f>PasteBBM!AG766*PasteBBM!AH766</f>
        <v>0</v>
      </c>
      <c r="K766" t="str">
        <f>PasteBBM!AG766</f>
        <v/>
      </c>
      <c r="L766" t="str">
        <f>PasteBBM!Z766</f>
        <v/>
      </c>
      <c r="M766" t="str">
        <f>PasteBBM!Y766</f>
        <v/>
      </c>
      <c r="N766" t="str">
        <f>PasteBBM!AA766</f>
        <v/>
      </c>
      <c r="O766" t="str">
        <f>PasteBBM!AB766</f>
        <v/>
      </c>
      <c r="P766" t="str">
        <f>PasteBBM!AC766</f>
        <v/>
      </c>
      <c r="Q766" t="str">
        <f>PasteBBM!AD766</f>
        <v/>
      </c>
      <c r="R766" t="str">
        <f>PasteBBM!AI766</f>
        <v/>
      </c>
      <c r="S766" t="str">
        <f>PasteBBM!AE766</f>
        <v/>
      </c>
      <c r="T766" t="str">
        <f>PasteBBM!AG766</f>
        <v/>
      </c>
      <c r="V766" s="44">
        <v>-0.41709</v>
      </c>
      <c r="W766" s="44">
        <v>-0.00658</v>
      </c>
      <c r="X766" s="44">
        <v>0.009207</v>
      </c>
      <c r="Y766" s="44">
        <v>-0.4263</v>
      </c>
      <c r="Z766" s="44">
        <v>-0.34564</v>
      </c>
      <c r="AA766" s="45"/>
      <c r="AB766" s="46" t="s">
        <v>126</v>
      </c>
      <c r="AC766" s="44">
        <v>67.0</v>
      </c>
    </row>
    <row r="767">
      <c r="A767" s="2">
        <v>163.0</v>
      </c>
      <c r="B767" s="14">
        <f>IF(PasteBBM!B767="",156,PasteBBM!B767)</f>
        <v>156</v>
      </c>
      <c r="C767" t="str">
        <f>PasteBBM!I767</f>
        <v/>
      </c>
      <c r="D767" t="str">
        <f>IFERROR(REPLACE(PasteBBM!K767,FIND("/",PasteBBM!K767,1),1,","),PasteBBM!K767)</f>
        <v/>
      </c>
      <c r="E767" t="str">
        <f>PasteBBM!J767</f>
        <v/>
      </c>
      <c r="F767" t="str">
        <f>PasteBBM!U767</f>
        <v/>
      </c>
      <c r="G767" t="str">
        <f>PasteBBM!X767</f>
        <v/>
      </c>
      <c r="H767">
        <f>PasteBBM!AE767*PasteBBM!AF767</f>
        <v>0</v>
      </c>
      <c r="I767" t="str">
        <f>PasteBBM!AE767</f>
        <v/>
      </c>
      <c r="J767">
        <f>PasteBBM!AG767*PasteBBM!AH767</f>
        <v>0</v>
      </c>
      <c r="K767" t="str">
        <f>PasteBBM!AG767</f>
        <v/>
      </c>
      <c r="L767" t="str">
        <f>PasteBBM!Z767</f>
        <v/>
      </c>
      <c r="M767" t="str">
        <f>PasteBBM!Y767</f>
        <v/>
      </c>
      <c r="N767" t="str">
        <f>PasteBBM!AA767</f>
        <v/>
      </c>
      <c r="O767" t="str">
        <f>PasteBBM!AB767</f>
        <v/>
      </c>
      <c r="P767" t="str">
        <f>PasteBBM!AC767</f>
        <v/>
      </c>
      <c r="Q767" t="str">
        <f>PasteBBM!AD767</f>
        <v/>
      </c>
      <c r="R767" t="str">
        <f>PasteBBM!AI767</f>
        <v/>
      </c>
      <c r="S767" t="str">
        <f>PasteBBM!AE767</f>
        <v/>
      </c>
      <c r="T767" t="str">
        <f>PasteBBM!AG767</f>
        <v/>
      </c>
      <c r="V767" s="44">
        <v>-0.41709</v>
      </c>
      <c r="W767" s="44">
        <v>-0.00658</v>
      </c>
      <c r="X767" s="44">
        <v>0.009207</v>
      </c>
      <c r="Y767" s="44">
        <v>-0.4263</v>
      </c>
      <c r="Z767" s="44">
        <v>-0.34564</v>
      </c>
      <c r="AA767" s="45"/>
      <c r="AB767" s="46" t="s">
        <v>126</v>
      </c>
      <c r="AC767" s="44">
        <v>67.0</v>
      </c>
    </row>
    <row r="768">
      <c r="A768" s="2">
        <v>163.0</v>
      </c>
      <c r="B768" s="14">
        <f>IF(PasteBBM!B768="",156,PasteBBM!B768)</f>
        <v>156</v>
      </c>
      <c r="C768" t="str">
        <f>PasteBBM!I768</f>
        <v/>
      </c>
      <c r="D768" t="str">
        <f>IFERROR(REPLACE(PasteBBM!K768,FIND("/",PasteBBM!K768,1),1,","),PasteBBM!K768)</f>
        <v/>
      </c>
      <c r="E768" t="str">
        <f>PasteBBM!J768</f>
        <v/>
      </c>
      <c r="F768" t="str">
        <f>PasteBBM!U768</f>
        <v/>
      </c>
      <c r="G768" t="str">
        <f>PasteBBM!X768</f>
        <v/>
      </c>
      <c r="H768">
        <f>PasteBBM!AE768*PasteBBM!AF768</f>
        <v>0</v>
      </c>
      <c r="I768" t="str">
        <f>PasteBBM!AE768</f>
        <v/>
      </c>
      <c r="J768">
        <f>PasteBBM!AG768*PasteBBM!AH768</f>
        <v>0</v>
      </c>
      <c r="K768" t="str">
        <f>PasteBBM!AG768</f>
        <v/>
      </c>
      <c r="L768" t="str">
        <f>PasteBBM!Z768</f>
        <v/>
      </c>
      <c r="M768" t="str">
        <f>PasteBBM!Y768</f>
        <v/>
      </c>
      <c r="N768" t="str">
        <f>PasteBBM!AA768</f>
        <v/>
      </c>
      <c r="O768" t="str">
        <f>PasteBBM!AB768</f>
        <v/>
      </c>
      <c r="P768" t="str">
        <f>PasteBBM!AC768</f>
        <v/>
      </c>
      <c r="Q768" t="str">
        <f>PasteBBM!AD768</f>
        <v/>
      </c>
      <c r="R768" t="str">
        <f>PasteBBM!AI768</f>
        <v/>
      </c>
      <c r="S768" t="str">
        <f>PasteBBM!AE768</f>
        <v/>
      </c>
      <c r="T768" t="str">
        <f>PasteBBM!AG768</f>
        <v/>
      </c>
      <c r="V768" s="44">
        <v>-0.41709</v>
      </c>
      <c r="W768" s="44">
        <v>-0.00658</v>
      </c>
      <c r="X768" s="44">
        <v>0.009207</v>
      </c>
      <c r="Y768" s="44">
        <v>-0.4263</v>
      </c>
      <c r="Z768" s="44">
        <v>-0.34564</v>
      </c>
      <c r="AA768" s="45"/>
      <c r="AB768" s="46" t="s">
        <v>126</v>
      </c>
      <c r="AC768" s="44">
        <v>67.0</v>
      </c>
    </row>
    <row r="769">
      <c r="A769" s="2">
        <v>163.0</v>
      </c>
      <c r="B769" s="14">
        <f>IF(PasteBBM!B769="",156,PasteBBM!B769)</f>
        <v>156</v>
      </c>
      <c r="C769" t="str">
        <f>PasteBBM!I769</f>
        <v/>
      </c>
      <c r="D769" t="str">
        <f>IFERROR(REPLACE(PasteBBM!K769,FIND("/",PasteBBM!K769,1),1,","),PasteBBM!K769)</f>
        <v/>
      </c>
      <c r="E769" t="str">
        <f>PasteBBM!J769</f>
        <v/>
      </c>
      <c r="F769" t="str">
        <f>PasteBBM!U769</f>
        <v/>
      </c>
      <c r="G769" t="str">
        <f>PasteBBM!X769</f>
        <v/>
      </c>
      <c r="H769">
        <f>PasteBBM!AE769*PasteBBM!AF769</f>
        <v>0</v>
      </c>
      <c r="I769" t="str">
        <f>PasteBBM!AE769</f>
        <v/>
      </c>
      <c r="J769">
        <f>PasteBBM!AG769*PasteBBM!AH769</f>
        <v>0</v>
      </c>
      <c r="K769" t="str">
        <f>PasteBBM!AG769</f>
        <v/>
      </c>
      <c r="L769" t="str">
        <f>PasteBBM!Z769</f>
        <v/>
      </c>
      <c r="M769" t="str">
        <f>PasteBBM!Y769</f>
        <v/>
      </c>
      <c r="N769" t="str">
        <f>PasteBBM!AA769</f>
        <v/>
      </c>
      <c r="O769" t="str">
        <f>PasteBBM!AB769</f>
        <v/>
      </c>
      <c r="P769" t="str">
        <f>PasteBBM!AC769</f>
        <v/>
      </c>
      <c r="Q769" t="str">
        <f>PasteBBM!AD769</f>
        <v/>
      </c>
      <c r="R769" t="str">
        <f>PasteBBM!AI769</f>
        <v/>
      </c>
      <c r="S769" t="str">
        <f>PasteBBM!AE769</f>
        <v/>
      </c>
      <c r="T769" t="str">
        <f>PasteBBM!AG769</f>
        <v/>
      </c>
      <c r="V769" s="44">
        <v>-0.41709</v>
      </c>
      <c r="W769" s="44">
        <v>-0.00658</v>
      </c>
      <c r="X769" s="44">
        <v>0.009207</v>
      </c>
      <c r="Y769" s="44">
        <v>-0.4263</v>
      </c>
      <c r="Z769" s="44">
        <v>-0.34564</v>
      </c>
      <c r="AA769" s="45"/>
      <c r="AB769" s="46" t="s">
        <v>126</v>
      </c>
      <c r="AC769" s="44">
        <v>67.0</v>
      </c>
    </row>
    <row r="770">
      <c r="A770" s="2">
        <v>163.0</v>
      </c>
      <c r="B770" s="14">
        <f>IF(PasteBBM!B770="",156,PasteBBM!B770)</f>
        <v>156</v>
      </c>
      <c r="C770" t="str">
        <f>PasteBBM!I770</f>
        <v/>
      </c>
      <c r="D770" t="str">
        <f>IFERROR(REPLACE(PasteBBM!K770,FIND("/",PasteBBM!K770,1),1,","),PasteBBM!K770)</f>
        <v/>
      </c>
      <c r="E770" t="str">
        <f>PasteBBM!J770</f>
        <v/>
      </c>
      <c r="F770" t="str">
        <f>PasteBBM!U770</f>
        <v/>
      </c>
      <c r="G770" t="str">
        <f>PasteBBM!X770</f>
        <v/>
      </c>
      <c r="H770">
        <f>PasteBBM!AE770*PasteBBM!AF770</f>
        <v>0</v>
      </c>
      <c r="I770" t="str">
        <f>PasteBBM!AE770</f>
        <v/>
      </c>
      <c r="J770">
        <f>PasteBBM!AG770*PasteBBM!AH770</f>
        <v>0</v>
      </c>
      <c r="K770" t="str">
        <f>PasteBBM!AG770</f>
        <v/>
      </c>
      <c r="L770" t="str">
        <f>PasteBBM!Z770</f>
        <v/>
      </c>
      <c r="M770" t="str">
        <f>PasteBBM!Y770</f>
        <v/>
      </c>
      <c r="N770" t="str">
        <f>PasteBBM!AA770</f>
        <v/>
      </c>
      <c r="O770" t="str">
        <f>PasteBBM!AB770</f>
        <v/>
      </c>
      <c r="P770" t="str">
        <f>PasteBBM!AC770</f>
        <v/>
      </c>
      <c r="Q770" t="str">
        <f>PasteBBM!AD770</f>
        <v/>
      </c>
      <c r="R770" t="str">
        <f>PasteBBM!AI770</f>
        <v/>
      </c>
      <c r="S770" t="str">
        <f>PasteBBM!AE770</f>
        <v/>
      </c>
      <c r="T770" t="str">
        <f>PasteBBM!AG770</f>
        <v/>
      </c>
      <c r="V770" s="44">
        <v>-0.41709</v>
      </c>
      <c r="W770" s="44">
        <v>-0.00658</v>
      </c>
      <c r="X770" s="44">
        <v>0.009207</v>
      </c>
      <c r="Y770" s="44">
        <v>-0.4263</v>
      </c>
      <c r="Z770" s="44">
        <v>-0.34564</v>
      </c>
      <c r="AA770" s="45"/>
      <c r="AB770" s="46" t="s">
        <v>126</v>
      </c>
      <c r="AC770" s="44">
        <v>67.0</v>
      </c>
    </row>
    <row r="771">
      <c r="A771" s="2">
        <v>163.0</v>
      </c>
      <c r="B771" s="14">
        <f>IF(PasteBBM!B771="",156,PasteBBM!B771)</f>
        <v>156</v>
      </c>
      <c r="C771" t="str">
        <f>PasteBBM!I771</f>
        <v/>
      </c>
      <c r="D771" t="str">
        <f>IFERROR(REPLACE(PasteBBM!K771,FIND("/",PasteBBM!K771,1),1,","),PasteBBM!K771)</f>
        <v/>
      </c>
      <c r="E771" t="str">
        <f>PasteBBM!J771</f>
        <v/>
      </c>
      <c r="F771" t="str">
        <f>PasteBBM!U771</f>
        <v/>
      </c>
      <c r="G771" t="str">
        <f>PasteBBM!X771</f>
        <v/>
      </c>
      <c r="H771">
        <f>PasteBBM!AE771*PasteBBM!AF771</f>
        <v>0</v>
      </c>
      <c r="I771" t="str">
        <f>PasteBBM!AE771</f>
        <v/>
      </c>
      <c r="J771">
        <f>PasteBBM!AG771*PasteBBM!AH771</f>
        <v>0</v>
      </c>
      <c r="K771" t="str">
        <f>PasteBBM!AG771</f>
        <v/>
      </c>
      <c r="L771" t="str">
        <f>PasteBBM!Z771</f>
        <v/>
      </c>
      <c r="M771" t="str">
        <f>PasteBBM!Y771</f>
        <v/>
      </c>
      <c r="N771" t="str">
        <f>PasteBBM!AA771</f>
        <v/>
      </c>
      <c r="O771" t="str">
        <f>PasteBBM!AB771</f>
        <v/>
      </c>
      <c r="P771" t="str">
        <f>PasteBBM!AC771</f>
        <v/>
      </c>
      <c r="Q771" t="str">
        <f>PasteBBM!AD771</f>
        <v/>
      </c>
      <c r="R771" t="str">
        <f>PasteBBM!AI771</f>
        <v/>
      </c>
      <c r="S771" t="str">
        <f>PasteBBM!AE771</f>
        <v/>
      </c>
      <c r="T771" t="str">
        <f>PasteBBM!AG771</f>
        <v/>
      </c>
      <c r="V771" s="44">
        <v>-0.41709</v>
      </c>
      <c r="W771" s="44">
        <v>-0.00658</v>
      </c>
      <c r="X771" s="44">
        <v>0.009207</v>
      </c>
      <c r="Y771" s="44">
        <v>-0.4263</v>
      </c>
      <c r="Z771" s="44">
        <v>-0.34564</v>
      </c>
      <c r="AA771" s="45"/>
      <c r="AB771" s="46" t="s">
        <v>126</v>
      </c>
      <c r="AC771" s="44">
        <v>67.0</v>
      </c>
    </row>
    <row r="772">
      <c r="A772" s="2">
        <v>163.0</v>
      </c>
      <c r="B772" s="14">
        <f>IF(PasteBBM!B772="",156,PasteBBM!B772)</f>
        <v>156</v>
      </c>
      <c r="C772" t="str">
        <f>PasteBBM!I772</f>
        <v/>
      </c>
      <c r="D772" t="str">
        <f>IFERROR(REPLACE(PasteBBM!K772,FIND("/",PasteBBM!K772,1),1,","),PasteBBM!K772)</f>
        <v/>
      </c>
      <c r="E772" t="str">
        <f>PasteBBM!J772</f>
        <v/>
      </c>
      <c r="F772" t="str">
        <f>PasteBBM!U772</f>
        <v/>
      </c>
      <c r="G772" t="str">
        <f>PasteBBM!X772</f>
        <v/>
      </c>
      <c r="H772">
        <f>PasteBBM!AE772*PasteBBM!AF772</f>
        <v>0</v>
      </c>
      <c r="I772" t="str">
        <f>PasteBBM!AE772</f>
        <v/>
      </c>
      <c r="J772">
        <f>PasteBBM!AG772*PasteBBM!AH772</f>
        <v>0</v>
      </c>
      <c r="K772" t="str">
        <f>PasteBBM!AG772</f>
        <v/>
      </c>
      <c r="L772" t="str">
        <f>PasteBBM!Z772</f>
        <v/>
      </c>
      <c r="M772" t="str">
        <f>PasteBBM!Y772</f>
        <v/>
      </c>
      <c r="N772" t="str">
        <f>PasteBBM!AA772</f>
        <v/>
      </c>
      <c r="O772" t="str">
        <f>PasteBBM!AB772</f>
        <v/>
      </c>
      <c r="P772" t="str">
        <f>PasteBBM!AC772</f>
        <v/>
      </c>
      <c r="Q772" t="str">
        <f>PasteBBM!AD772</f>
        <v/>
      </c>
      <c r="R772" t="str">
        <f>PasteBBM!AI772</f>
        <v/>
      </c>
      <c r="S772" t="str">
        <f>PasteBBM!AE772</f>
        <v/>
      </c>
      <c r="T772" t="str">
        <f>PasteBBM!AG772</f>
        <v/>
      </c>
      <c r="V772" s="44">
        <v>-0.41709</v>
      </c>
      <c r="W772" s="44">
        <v>-0.00658</v>
      </c>
      <c r="X772" s="44">
        <v>0.009207</v>
      </c>
      <c r="Y772" s="44">
        <v>-0.4263</v>
      </c>
      <c r="Z772" s="44">
        <v>-0.34564</v>
      </c>
      <c r="AA772" s="45"/>
      <c r="AB772" s="46" t="s">
        <v>126</v>
      </c>
      <c r="AC772" s="44">
        <v>67.0</v>
      </c>
    </row>
    <row r="773">
      <c r="A773" s="2">
        <v>163.0</v>
      </c>
      <c r="B773" s="14">
        <f>IF(PasteBBM!B773="",156,PasteBBM!B773)</f>
        <v>156</v>
      </c>
      <c r="C773" t="str">
        <f>PasteBBM!I773</f>
        <v/>
      </c>
      <c r="D773" t="str">
        <f>IFERROR(REPLACE(PasteBBM!K773,FIND("/",PasteBBM!K773,1),1,","),PasteBBM!K773)</f>
        <v/>
      </c>
      <c r="E773" t="str">
        <f>PasteBBM!J773</f>
        <v/>
      </c>
      <c r="F773" t="str">
        <f>PasteBBM!U773</f>
        <v/>
      </c>
      <c r="G773" t="str">
        <f>PasteBBM!X773</f>
        <v/>
      </c>
      <c r="H773">
        <f>PasteBBM!AE773*PasteBBM!AF773</f>
        <v>0</v>
      </c>
      <c r="I773" t="str">
        <f>PasteBBM!AE773</f>
        <v/>
      </c>
      <c r="J773">
        <f>PasteBBM!AG773*PasteBBM!AH773</f>
        <v>0</v>
      </c>
      <c r="K773" t="str">
        <f>PasteBBM!AG773</f>
        <v/>
      </c>
      <c r="L773" t="str">
        <f>PasteBBM!Z773</f>
        <v/>
      </c>
      <c r="M773" t="str">
        <f>PasteBBM!Y773</f>
        <v/>
      </c>
      <c r="N773" t="str">
        <f>PasteBBM!AA773</f>
        <v/>
      </c>
      <c r="O773" t="str">
        <f>PasteBBM!AB773</f>
        <v/>
      </c>
      <c r="P773" t="str">
        <f>PasteBBM!AC773</f>
        <v/>
      </c>
      <c r="Q773" t="str">
        <f>PasteBBM!AD773</f>
        <v/>
      </c>
      <c r="R773" t="str">
        <f>PasteBBM!AI773</f>
        <v/>
      </c>
      <c r="S773" t="str">
        <f>PasteBBM!AE773</f>
        <v/>
      </c>
      <c r="T773" t="str">
        <f>PasteBBM!AG773</f>
        <v/>
      </c>
      <c r="V773" s="44">
        <v>-0.41709</v>
      </c>
      <c r="W773" s="44">
        <v>-0.00658</v>
      </c>
      <c r="X773" s="44">
        <v>0.009207</v>
      </c>
      <c r="Y773" s="44">
        <v>-0.4263</v>
      </c>
      <c r="Z773" s="44">
        <v>-0.34564</v>
      </c>
      <c r="AA773" s="45"/>
      <c r="AB773" s="46" t="s">
        <v>126</v>
      </c>
      <c r="AC773" s="44">
        <v>67.0</v>
      </c>
    </row>
    <row r="774">
      <c r="A774" s="2">
        <v>163.0</v>
      </c>
      <c r="B774" s="14">
        <f>IF(PasteBBM!B774="",156,PasteBBM!B774)</f>
        <v>156</v>
      </c>
      <c r="C774" t="str">
        <f>PasteBBM!I774</f>
        <v/>
      </c>
      <c r="D774" t="str">
        <f>IFERROR(REPLACE(PasteBBM!K774,FIND("/",PasteBBM!K774,1),1,","),PasteBBM!K774)</f>
        <v/>
      </c>
      <c r="E774" t="str">
        <f>PasteBBM!J774</f>
        <v/>
      </c>
      <c r="F774" t="str">
        <f>PasteBBM!U774</f>
        <v/>
      </c>
      <c r="G774" t="str">
        <f>PasteBBM!X774</f>
        <v/>
      </c>
      <c r="H774">
        <f>PasteBBM!AE774*PasteBBM!AF774</f>
        <v>0</v>
      </c>
      <c r="I774" t="str">
        <f>PasteBBM!AE774</f>
        <v/>
      </c>
      <c r="J774">
        <f>PasteBBM!AG774*PasteBBM!AH774</f>
        <v>0</v>
      </c>
      <c r="K774" t="str">
        <f>PasteBBM!AG774</f>
        <v/>
      </c>
      <c r="L774" t="str">
        <f>PasteBBM!Z774</f>
        <v/>
      </c>
      <c r="M774" t="str">
        <f>PasteBBM!Y774</f>
        <v/>
      </c>
      <c r="N774" t="str">
        <f>PasteBBM!AA774</f>
        <v/>
      </c>
      <c r="O774" t="str">
        <f>PasteBBM!AB774</f>
        <v/>
      </c>
      <c r="P774" t="str">
        <f>PasteBBM!AC774</f>
        <v/>
      </c>
      <c r="Q774" t="str">
        <f>PasteBBM!AD774</f>
        <v/>
      </c>
      <c r="R774" t="str">
        <f>PasteBBM!AI774</f>
        <v/>
      </c>
      <c r="S774" t="str">
        <f>PasteBBM!AE774</f>
        <v/>
      </c>
      <c r="T774" t="str">
        <f>PasteBBM!AG774</f>
        <v/>
      </c>
      <c r="V774" s="44">
        <v>-0.41709</v>
      </c>
      <c r="W774" s="44">
        <v>-0.00658</v>
      </c>
      <c r="X774" s="44">
        <v>0.009207</v>
      </c>
      <c r="Y774" s="44">
        <v>-0.4263</v>
      </c>
      <c r="Z774" s="44">
        <v>-0.34564</v>
      </c>
      <c r="AA774" s="45"/>
      <c r="AB774" s="46" t="s">
        <v>126</v>
      </c>
      <c r="AC774" s="44">
        <v>67.0</v>
      </c>
    </row>
    <row r="775">
      <c r="A775" s="2">
        <v>163.0</v>
      </c>
      <c r="B775" s="14">
        <f>IF(PasteBBM!B775="",156,PasteBBM!B775)</f>
        <v>156</v>
      </c>
      <c r="C775" t="str">
        <f>PasteBBM!I775</f>
        <v/>
      </c>
      <c r="D775" t="str">
        <f>IFERROR(REPLACE(PasteBBM!K775,FIND("/",PasteBBM!K775,1),1,","),PasteBBM!K775)</f>
        <v/>
      </c>
      <c r="E775" t="str">
        <f>PasteBBM!J775</f>
        <v/>
      </c>
      <c r="F775" t="str">
        <f>PasteBBM!U775</f>
        <v/>
      </c>
      <c r="G775" t="str">
        <f>PasteBBM!X775</f>
        <v/>
      </c>
      <c r="H775">
        <f>PasteBBM!AE775*PasteBBM!AF775</f>
        <v>0</v>
      </c>
      <c r="I775" t="str">
        <f>PasteBBM!AE775</f>
        <v/>
      </c>
      <c r="J775">
        <f>PasteBBM!AG775*PasteBBM!AH775</f>
        <v>0</v>
      </c>
      <c r="K775" t="str">
        <f>PasteBBM!AG775</f>
        <v/>
      </c>
      <c r="L775" t="str">
        <f>PasteBBM!Z775</f>
        <v/>
      </c>
      <c r="M775" t="str">
        <f>PasteBBM!Y775</f>
        <v/>
      </c>
      <c r="N775" t="str">
        <f>PasteBBM!AA775</f>
        <v/>
      </c>
      <c r="O775" t="str">
        <f>PasteBBM!AB775</f>
        <v/>
      </c>
      <c r="P775" t="str">
        <f>PasteBBM!AC775</f>
        <v/>
      </c>
      <c r="Q775" t="str">
        <f>PasteBBM!AD775</f>
        <v/>
      </c>
      <c r="R775" t="str">
        <f>PasteBBM!AI775</f>
        <v/>
      </c>
      <c r="S775" t="str">
        <f>PasteBBM!AE775</f>
        <v/>
      </c>
      <c r="T775" t="str">
        <f>PasteBBM!AG775</f>
        <v/>
      </c>
      <c r="V775" s="44">
        <v>-0.41709</v>
      </c>
      <c r="W775" s="44">
        <v>-0.00658</v>
      </c>
      <c r="X775" s="44">
        <v>0.009207</v>
      </c>
      <c r="Y775" s="44">
        <v>-0.4263</v>
      </c>
      <c r="Z775" s="44">
        <v>-0.34564</v>
      </c>
      <c r="AA775" s="45"/>
      <c r="AB775" s="46" t="s">
        <v>126</v>
      </c>
      <c r="AC775" s="44">
        <v>67.0</v>
      </c>
    </row>
    <row r="776">
      <c r="A776" s="2">
        <v>163.0</v>
      </c>
      <c r="B776" s="14">
        <f>IF(PasteBBM!B776="",156,PasteBBM!B776)</f>
        <v>156</v>
      </c>
      <c r="C776" t="str">
        <f>PasteBBM!I776</f>
        <v/>
      </c>
      <c r="D776" t="str">
        <f>IFERROR(REPLACE(PasteBBM!K776,FIND("/",PasteBBM!K776,1),1,","),PasteBBM!K776)</f>
        <v/>
      </c>
      <c r="E776" t="str">
        <f>PasteBBM!J776</f>
        <v/>
      </c>
      <c r="F776" t="str">
        <f>PasteBBM!U776</f>
        <v/>
      </c>
      <c r="G776" t="str">
        <f>PasteBBM!X776</f>
        <v/>
      </c>
      <c r="H776">
        <f>PasteBBM!AE776*PasteBBM!AF776</f>
        <v>0</v>
      </c>
      <c r="I776" t="str">
        <f>PasteBBM!AE776</f>
        <v/>
      </c>
      <c r="J776">
        <f>PasteBBM!AG776*PasteBBM!AH776</f>
        <v>0</v>
      </c>
      <c r="K776" t="str">
        <f>PasteBBM!AG776</f>
        <v/>
      </c>
      <c r="L776" t="str">
        <f>PasteBBM!Z776</f>
        <v/>
      </c>
      <c r="M776" t="str">
        <f>PasteBBM!Y776</f>
        <v/>
      </c>
      <c r="N776" t="str">
        <f>PasteBBM!AA776</f>
        <v/>
      </c>
      <c r="O776" t="str">
        <f>PasteBBM!AB776</f>
        <v/>
      </c>
      <c r="P776" t="str">
        <f>PasteBBM!AC776</f>
        <v/>
      </c>
      <c r="Q776" t="str">
        <f>PasteBBM!AD776</f>
        <v/>
      </c>
      <c r="R776" t="str">
        <f>PasteBBM!AI776</f>
        <v/>
      </c>
      <c r="S776" t="str">
        <f>PasteBBM!AE776</f>
        <v/>
      </c>
      <c r="T776" t="str">
        <f>PasteBBM!AG776</f>
        <v/>
      </c>
      <c r="V776" s="44">
        <v>-0.41709</v>
      </c>
      <c r="W776" s="44">
        <v>-0.00658</v>
      </c>
      <c r="X776" s="44">
        <v>0.009207</v>
      </c>
      <c r="Y776" s="44">
        <v>-0.4263</v>
      </c>
      <c r="Z776" s="44">
        <v>-0.34564</v>
      </c>
      <c r="AA776" s="45"/>
      <c r="AB776" s="46" t="s">
        <v>126</v>
      </c>
      <c r="AC776" s="44">
        <v>67.0</v>
      </c>
    </row>
    <row r="777">
      <c r="A777" s="2">
        <v>163.0</v>
      </c>
      <c r="B777" s="14">
        <f>IF(PasteBBM!B777="",156,PasteBBM!B777)</f>
        <v>156</v>
      </c>
      <c r="C777" t="str">
        <f>PasteBBM!I777</f>
        <v/>
      </c>
      <c r="D777" t="str">
        <f>IFERROR(REPLACE(PasteBBM!K777,FIND("/",PasteBBM!K777,1),1,","),PasteBBM!K777)</f>
        <v/>
      </c>
      <c r="E777" t="str">
        <f>PasteBBM!J777</f>
        <v/>
      </c>
      <c r="F777" t="str">
        <f>PasteBBM!U777</f>
        <v/>
      </c>
      <c r="G777" t="str">
        <f>PasteBBM!X777</f>
        <v/>
      </c>
      <c r="H777">
        <f>PasteBBM!AE777*PasteBBM!AF777</f>
        <v>0</v>
      </c>
      <c r="I777" t="str">
        <f>PasteBBM!AE777</f>
        <v/>
      </c>
      <c r="J777">
        <f>PasteBBM!AG777*PasteBBM!AH777</f>
        <v>0</v>
      </c>
      <c r="K777" t="str">
        <f>PasteBBM!AG777</f>
        <v/>
      </c>
      <c r="L777" t="str">
        <f>PasteBBM!Z777</f>
        <v/>
      </c>
      <c r="M777" t="str">
        <f>PasteBBM!Y777</f>
        <v/>
      </c>
      <c r="N777" t="str">
        <f>PasteBBM!AA777</f>
        <v/>
      </c>
      <c r="O777" t="str">
        <f>PasteBBM!AB777</f>
        <v/>
      </c>
      <c r="P777" t="str">
        <f>PasteBBM!AC777</f>
        <v/>
      </c>
      <c r="Q777" t="str">
        <f>PasteBBM!AD777</f>
        <v/>
      </c>
      <c r="R777" t="str">
        <f>PasteBBM!AI777</f>
        <v/>
      </c>
      <c r="S777" t="str">
        <f>PasteBBM!AE777</f>
        <v/>
      </c>
      <c r="T777" t="str">
        <f>PasteBBM!AG777</f>
        <v/>
      </c>
      <c r="V777" s="44">
        <v>-0.41709</v>
      </c>
      <c r="W777" s="44">
        <v>-0.00658</v>
      </c>
      <c r="X777" s="44">
        <v>0.009207</v>
      </c>
      <c r="Y777" s="44">
        <v>-0.4263</v>
      </c>
      <c r="Z777" s="44">
        <v>-0.34564</v>
      </c>
      <c r="AA777" s="45"/>
      <c r="AB777" s="46" t="s">
        <v>126</v>
      </c>
      <c r="AC777" s="44">
        <v>67.0</v>
      </c>
    </row>
    <row r="778">
      <c r="A778" s="2">
        <v>163.0</v>
      </c>
      <c r="B778" s="14">
        <f>IF(PasteBBM!B778="",156,PasteBBM!B778)</f>
        <v>156</v>
      </c>
      <c r="C778" t="str">
        <f>PasteBBM!I778</f>
        <v/>
      </c>
      <c r="D778" t="str">
        <f>IFERROR(REPLACE(PasteBBM!K778,FIND("/",PasteBBM!K778,1),1,","),PasteBBM!K778)</f>
        <v/>
      </c>
      <c r="E778" t="str">
        <f>PasteBBM!J778</f>
        <v/>
      </c>
      <c r="F778" t="str">
        <f>PasteBBM!U778</f>
        <v/>
      </c>
      <c r="G778" t="str">
        <f>PasteBBM!X778</f>
        <v/>
      </c>
      <c r="H778">
        <f>PasteBBM!AE778*PasteBBM!AF778</f>
        <v>0</v>
      </c>
      <c r="I778" t="str">
        <f>PasteBBM!AE778</f>
        <v/>
      </c>
      <c r="J778">
        <f>PasteBBM!AG778*PasteBBM!AH778</f>
        <v>0</v>
      </c>
      <c r="K778" t="str">
        <f>PasteBBM!AG778</f>
        <v/>
      </c>
      <c r="L778" t="str">
        <f>PasteBBM!Z778</f>
        <v/>
      </c>
      <c r="M778" t="str">
        <f>PasteBBM!Y778</f>
        <v/>
      </c>
      <c r="N778" t="str">
        <f>PasteBBM!AA778</f>
        <v/>
      </c>
      <c r="O778" t="str">
        <f>PasteBBM!AB778</f>
        <v/>
      </c>
      <c r="P778" t="str">
        <f>PasteBBM!AC778</f>
        <v/>
      </c>
      <c r="Q778" t="str">
        <f>PasteBBM!AD778</f>
        <v/>
      </c>
      <c r="R778" t="str">
        <f>PasteBBM!AI778</f>
        <v/>
      </c>
      <c r="S778" t="str">
        <f>PasteBBM!AE778</f>
        <v/>
      </c>
      <c r="T778" t="str">
        <f>PasteBBM!AG778</f>
        <v/>
      </c>
      <c r="V778" s="44">
        <v>-0.41709</v>
      </c>
      <c r="W778" s="44">
        <v>-0.00658</v>
      </c>
      <c r="X778" s="44">
        <v>0.009207</v>
      </c>
      <c r="Y778" s="44">
        <v>-0.4263</v>
      </c>
      <c r="Z778" s="44">
        <v>-0.34564</v>
      </c>
      <c r="AA778" s="45"/>
      <c r="AB778" s="46" t="s">
        <v>126</v>
      </c>
      <c r="AC778" s="44">
        <v>67.0</v>
      </c>
    </row>
    <row r="779">
      <c r="A779" s="2">
        <v>163.0</v>
      </c>
      <c r="B779" s="14">
        <f>IF(PasteBBM!B779="",156,PasteBBM!B779)</f>
        <v>156</v>
      </c>
      <c r="C779" t="str">
        <f>PasteBBM!I779</f>
        <v/>
      </c>
      <c r="D779" t="str">
        <f>IFERROR(REPLACE(PasteBBM!K779,FIND("/",PasteBBM!K779,1),1,","),PasteBBM!K779)</f>
        <v/>
      </c>
      <c r="E779" t="str">
        <f>PasteBBM!J779</f>
        <v/>
      </c>
      <c r="F779" t="str">
        <f>PasteBBM!U779</f>
        <v/>
      </c>
      <c r="G779" t="str">
        <f>PasteBBM!X779</f>
        <v/>
      </c>
      <c r="H779">
        <f>PasteBBM!AE779*PasteBBM!AF779</f>
        <v>0</v>
      </c>
      <c r="I779" t="str">
        <f>PasteBBM!AE779</f>
        <v/>
      </c>
      <c r="J779">
        <f>PasteBBM!AG779*PasteBBM!AH779</f>
        <v>0</v>
      </c>
      <c r="K779" t="str">
        <f>PasteBBM!AG779</f>
        <v/>
      </c>
      <c r="L779" t="str">
        <f>PasteBBM!Z779</f>
        <v/>
      </c>
      <c r="M779" t="str">
        <f>PasteBBM!Y779</f>
        <v/>
      </c>
      <c r="N779" t="str">
        <f>PasteBBM!AA779</f>
        <v/>
      </c>
      <c r="O779" t="str">
        <f>PasteBBM!AB779</f>
        <v/>
      </c>
      <c r="P779" t="str">
        <f>PasteBBM!AC779</f>
        <v/>
      </c>
      <c r="Q779" t="str">
        <f>PasteBBM!AD779</f>
        <v/>
      </c>
      <c r="R779" t="str">
        <f>PasteBBM!AI779</f>
        <v/>
      </c>
      <c r="S779" t="str">
        <f>PasteBBM!AE779</f>
        <v/>
      </c>
      <c r="T779" t="str">
        <f>PasteBBM!AG779</f>
        <v/>
      </c>
      <c r="V779" s="44">
        <v>-0.41709</v>
      </c>
      <c r="W779" s="44">
        <v>-0.00658</v>
      </c>
      <c r="X779" s="44">
        <v>0.009207</v>
      </c>
      <c r="Y779" s="44">
        <v>-0.4263</v>
      </c>
      <c r="Z779" s="44">
        <v>-0.34564</v>
      </c>
      <c r="AA779" s="45"/>
      <c r="AB779" s="46" t="s">
        <v>126</v>
      </c>
      <c r="AC779" s="44">
        <v>67.0</v>
      </c>
    </row>
    <row r="780">
      <c r="A780" s="2">
        <v>163.0</v>
      </c>
      <c r="B780" s="14">
        <f>IF(PasteBBM!B780="",156,PasteBBM!B780)</f>
        <v>156</v>
      </c>
      <c r="C780" t="str">
        <f>PasteBBM!I780</f>
        <v/>
      </c>
      <c r="D780" t="str">
        <f>IFERROR(REPLACE(PasteBBM!K780,FIND("/",PasteBBM!K780,1),1,","),PasteBBM!K780)</f>
        <v/>
      </c>
      <c r="E780" t="str">
        <f>PasteBBM!J780</f>
        <v/>
      </c>
      <c r="F780" t="str">
        <f>PasteBBM!U780</f>
        <v/>
      </c>
      <c r="G780" t="str">
        <f>PasteBBM!X780</f>
        <v/>
      </c>
      <c r="H780">
        <f>PasteBBM!AE780*PasteBBM!AF780</f>
        <v>0</v>
      </c>
      <c r="I780" t="str">
        <f>PasteBBM!AE780</f>
        <v/>
      </c>
      <c r="J780">
        <f>PasteBBM!AG780*PasteBBM!AH780</f>
        <v>0</v>
      </c>
      <c r="K780" t="str">
        <f>PasteBBM!AG780</f>
        <v/>
      </c>
      <c r="L780" t="str">
        <f>PasteBBM!Z780</f>
        <v/>
      </c>
      <c r="M780" t="str">
        <f>PasteBBM!Y780</f>
        <v/>
      </c>
      <c r="N780" t="str">
        <f>PasteBBM!AA780</f>
        <v/>
      </c>
      <c r="O780" t="str">
        <f>PasteBBM!AB780</f>
        <v/>
      </c>
      <c r="P780" t="str">
        <f>PasteBBM!AC780</f>
        <v/>
      </c>
      <c r="Q780" t="str">
        <f>PasteBBM!AD780</f>
        <v/>
      </c>
      <c r="R780" t="str">
        <f>PasteBBM!AI780</f>
        <v/>
      </c>
      <c r="S780" t="str">
        <f>PasteBBM!AE780</f>
        <v/>
      </c>
      <c r="T780" t="str">
        <f>PasteBBM!AG780</f>
        <v/>
      </c>
      <c r="V780" s="44">
        <v>-0.41709</v>
      </c>
      <c r="W780" s="44">
        <v>-0.00658</v>
      </c>
      <c r="X780" s="44">
        <v>0.009207</v>
      </c>
      <c r="Y780" s="44">
        <v>-0.4263</v>
      </c>
      <c r="Z780" s="44">
        <v>-0.34564</v>
      </c>
      <c r="AA780" s="45"/>
      <c r="AB780" s="46" t="s">
        <v>126</v>
      </c>
      <c r="AC780" s="44">
        <v>67.0</v>
      </c>
    </row>
    <row r="781">
      <c r="A781" s="2">
        <v>163.0</v>
      </c>
      <c r="B781" s="14">
        <f>IF(PasteBBM!B781="",156,PasteBBM!B781)</f>
        <v>156</v>
      </c>
      <c r="C781" t="str">
        <f>PasteBBM!I781</f>
        <v/>
      </c>
      <c r="D781" t="str">
        <f>IFERROR(REPLACE(PasteBBM!K781,FIND("/",PasteBBM!K781,1),1,","),PasteBBM!K781)</f>
        <v/>
      </c>
      <c r="E781" t="str">
        <f>PasteBBM!J781</f>
        <v/>
      </c>
      <c r="F781" t="str">
        <f>PasteBBM!U781</f>
        <v/>
      </c>
      <c r="G781" t="str">
        <f>PasteBBM!X781</f>
        <v/>
      </c>
      <c r="H781">
        <f>PasteBBM!AE781*PasteBBM!AF781</f>
        <v>0</v>
      </c>
      <c r="I781" t="str">
        <f>PasteBBM!AE781</f>
        <v/>
      </c>
      <c r="J781">
        <f>PasteBBM!AG781*PasteBBM!AH781</f>
        <v>0</v>
      </c>
      <c r="K781" t="str">
        <f>PasteBBM!AG781</f>
        <v/>
      </c>
      <c r="L781" t="str">
        <f>PasteBBM!Z781</f>
        <v/>
      </c>
      <c r="M781" t="str">
        <f>PasteBBM!Y781</f>
        <v/>
      </c>
      <c r="N781" t="str">
        <f>PasteBBM!AA781</f>
        <v/>
      </c>
      <c r="O781" t="str">
        <f>PasteBBM!AB781</f>
        <v/>
      </c>
      <c r="P781" t="str">
        <f>PasteBBM!AC781</f>
        <v/>
      </c>
      <c r="Q781" t="str">
        <f>PasteBBM!AD781</f>
        <v/>
      </c>
      <c r="R781" t="str">
        <f>PasteBBM!AI781</f>
        <v/>
      </c>
      <c r="S781" t="str">
        <f>PasteBBM!AE781</f>
        <v/>
      </c>
      <c r="T781" t="str">
        <f>PasteBBM!AG781</f>
        <v/>
      </c>
      <c r="V781" s="44">
        <v>-0.41709</v>
      </c>
      <c r="W781" s="44">
        <v>-0.00658</v>
      </c>
      <c r="X781" s="44">
        <v>0.009207</v>
      </c>
      <c r="Y781" s="44">
        <v>-0.4263</v>
      </c>
      <c r="Z781" s="44">
        <v>-0.34564</v>
      </c>
      <c r="AA781" s="45"/>
      <c r="AB781" s="46" t="s">
        <v>126</v>
      </c>
      <c r="AC781" s="44">
        <v>67.0</v>
      </c>
    </row>
    <row r="782">
      <c r="A782" s="2">
        <v>163.0</v>
      </c>
      <c r="B782" s="14">
        <f>IF(PasteBBM!B782="",156,PasteBBM!B782)</f>
        <v>156</v>
      </c>
      <c r="C782" t="str">
        <f>PasteBBM!I782</f>
        <v/>
      </c>
      <c r="D782" t="str">
        <f>IFERROR(REPLACE(PasteBBM!K782,FIND("/",PasteBBM!K782,1),1,","),PasteBBM!K782)</f>
        <v/>
      </c>
      <c r="E782" t="str">
        <f>PasteBBM!J782</f>
        <v/>
      </c>
      <c r="F782" t="str">
        <f>PasteBBM!U782</f>
        <v/>
      </c>
      <c r="G782" t="str">
        <f>PasteBBM!X782</f>
        <v/>
      </c>
      <c r="H782">
        <f>PasteBBM!AE782*PasteBBM!AF782</f>
        <v>0</v>
      </c>
      <c r="I782" t="str">
        <f>PasteBBM!AE782</f>
        <v/>
      </c>
      <c r="J782">
        <f>PasteBBM!AG782*PasteBBM!AH782</f>
        <v>0</v>
      </c>
      <c r="K782" t="str">
        <f>PasteBBM!AG782</f>
        <v/>
      </c>
      <c r="L782" t="str">
        <f>PasteBBM!Z782</f>
        <v/>
      </c>
      <c r="M782" t="str">
        <f>PasteBBM!Y782</f>
        <v/>
      </c>
      <c r="N782" t="str">
        <f>PasteBBM!AA782</f>
        <v/>
      </c>
      <c r="O782" t="str">
        <f>PasteBBM!AB782</f>
        <v/>
      </c>
      <c r="P782" t="str">
        <f>PasteBBM!AC782</f>
        <v/>
      </c>
      <c r="Q782" t="str">
        <f>PasteBBM!AD782</f>
        <v/>
      </c>
      <c r="R782" t="str">
        <f>PasteBBM!AI782</f>
        <v/>
      </c>
      <c r="S782" t="str">
        <f>PasteBBM!AE782</f>
        <v/>
      </c>
      <c r="T782" t="str">
        <f>PasteBBM!AG782</f>
        <v/>
      </c>
      <c r="V782" s="44">
        <v>-0.41709</v>
      </c>
      <c r="W782" s="44">
        <v>-0.00658</v>
      </c>
      <c r="X782" s="44">
        <v>0.009207</v>
      </c>
      <c r="Y782" s="44">
        <v>-0.4263</v>
      </c>
      <c r="Z782" s="44">
        <v>-0.34564</v>
      </c>
      <c r="AA782" s="45"/>
      <c r="AB782" s="46" t="s">
        <v>126</v>
      </c>
      <c r="AC782" s="44">
        <v>67.0</v>
      </c>
    </row>
    <row r="783">
      <c r="A783" s="2">
        <v>163.0</v>
      </c>
      <c r="B783" s="14">
        <f>IF(PasteBBM!B783="",156,PasteBBM!B783)</f>
        <v>156</v>
      </c>
      <c r="C783" t="str">
        <f>PasteBBM!I783</f>
        <v/>
      </c>
      <c r="D783" t="str">
        <f>IFERROR(REPLACE(PasteBBM!K783,FIND("/",PasteBBM!K783,1),1,","),PasteBBM!K783)</f>
        <v/>
      </c>
      <c r="E783" t="str">
        <f>PasteBBM!J783</f>
        <v/>
      </c>
      <c r="F783" t="str">
        <f>PasteBBM!U783</f>
        <v/>
      </c>
      <c r="G783" t="str">
        <f>PasteBBM!X783</f>
        <v/>
      </c>
      <c r="H783">
        <f>PasteBBM!AE783*PasteBBM!AF783</f>
        <v>0</v>
      </c>
      <c r="I783" t="str">
        <f>PasteBBM!AE783</f>
        <v/>
      </c>
      <c r="J783">
        <f>PasteBBM!AG783*PasteBBM!AH783</f>
        <v>0</v>
      </c>
      <c r="K783" t="str">
        <f>PasteBBM!AG783</f>
        <v/>
      </c>
      <c r="L783" t="str">
        <f>PasteBBM!Z783</f>
        <v/>
      </c>
      <c r="M783" t="str">
        <f>PasteBBM!Y783</f>
        <v/>
      </c>
      <c r="N783" t="str">
        <f>PasteBBM!AA783</f>
        <v/>
      </c>
      <c r="O783" t="str">
        <f>PasteBBM!AB783</f>
        <v/>
      </c>
      <c r="P783" t="str">
        <f>PasteBBM!AC783</f>
        <v/>
      </c>
      <c r="Q783" t="str">
        <f>PasteBBM!AD783</f>
        <v/>
      </c>
      <c r="R783" t="str">
        <f>PasteBBM!AI783</f>
        <v/>
      </c>
      <c r="S783" t="str">
        <f>PasteBBM!AE783</f>
        <v/>
      </c>
      <c r="T783" t="str">
        <f>PasteBBM!AG783</f>
        <v/>
      </c>
      <c r="V783" s="44">
        <v>-0.41709</v>
      </c>
      <c r="W783" s="44">
        <v>-0.00658</v>
      </c>
      <c r="X783" s="44">
        <v>0.009207</v>
      </c>
      <c r="Y783" s="44">
        <v>-0.4263</v>
      </c>
      <c r="Z783" s="44">
        <v>-0.34564</v>
      </c>
      <c r="AA783" s="45"/>
      <c r="AB783" s="46" t="s">
        <v>126</v>
      </c>
      <c r="AC783" s="44">
        <v>67.0</v>
      </c>
    </row>
    <row r="784">
      <c r="A784" s="2">
        <v>163.0</v>
      </c>
      <c r="B784" s="14">
        <f>IF(PasteBBM!B784="",156,PasteBBM!B784)</f>
        <v>156</v>
      </c>
      <c r="C784" t="str">
        <f>PasteBBM!I784</f>
        <v/>
      </c>
      <c r="D784" t="str">
        <f>IFERROR(REPLACE(PasteBBM!K784,FIND("/",PasteBBM!K784,1),1,","),PasteBBM!K784)</f>
        <v/>
      </c>
      <c r="E784" t="str">
        <f>PasteBBM!J784</f>
        <v/>
      </c>
      <c r="F784" t="str">
        <f>PasteBBM!U784</f>
        <v/>
      </c>
      <c r="G784" t="str">
        <f>PasteBBM!X784</f>
        <v/>
      </c>
      <c r="H784">
        <f>PasteBBM!AE784*PasteBBM!AF784</f>
        <v>0</v>
      </c>
      <c r="I784" t="str">
        <f>PasteBBM!AE784</f>
        <v/>
      </c>
      <c r="J784">
        <f>PasteBBM!AG784*PasteBBM!AH784</f>
        <v>0</v>
      </c>
      <c r="K784" t="str">
        <f>PasteBBM!AG784</f>
        <v/>
      </c>
      <c r="L784" t="str">
        <f>PasteBBM!Z784</f>
        <v/>
      </c>
      <c r="M784" t="str">
        <f>PasteBBM!Y784</f>
        <v/>
      </c>
      <c r="N784" t="str">
        <f>PasteBBM!AA784</f>
        <v/>
      </c>
      <c r="O784" t="str">
        <f>PasteBBM!AB784</f>
        <v/>
      </c>
      <c r="P784" t="str">
        <f>PasteBBM!AC784</f>
        <v/>
      </c>
      <c r="Q784" t="str">
        <f>PasteBBM!AD784</f>
        <v/>
      </c>
      <c r="R784" t="str">
        <f>PasteBBM!AI784</f>
        <v/>
      </c>
      <c r="S784" t="str">
        <f>PasteBBM!AE784</f>
        <v/>
      </c>
      <c r="T784" t="str">
        <f>PasteBBM!AG784</f>
        <v/>
      </c>
      <c r="V784" s="44">
        <v>-0.41709</v>
      </c>
      <c r="W784" s="44">
        <v>-0.00658</v>
      </c>
      <c r="X784" s="44">
        <v>0.009207</v>
      </c>
      <c r="Y784" s="44">
        <v>-0.4263</v>
      </c>
      <c r="Z784" s="44">
        <v>-0.34564</v>
      </c>
      <c r="AA784" s="45"/>
      <c r="AB784" s="46" t="s">
        <v>126</v>
      </c>
      <c r="AC784" s="44">
        <v>67.0</v>
      </c>
    </row>
    <row r="785">
      <c r="A785" s="2">
        <v>163.0</v>
      </c>
      <c r="B785" s="14">
        <f>IF(PasteBBM!B785="",156,PasteBBM!B785)</f>
        <v>156</v>
      </c>
      <c r="C785" t="str">
        <f>PasteBBM!I785</f>
        <v/>
      </c>
      <c r="D785" t="str">
        <f>IFERROR(REPLACE(PasteBBM!K785,FIND("/",PasteBBM!K785,1),1,","),PasteBBM!K785)</f>
        <v/>
      </c>
      <c r="E785" t="str">
        <f>PasteBBM!J785</f>
        <v/>
      </c>
      <c r="F785" t="str">
        <f>PasteBBM!U785</f>
        <v/>
      </c>
      <c r="G785" t="str">
        <f>PasteBBM!X785</f>
        <v/>
      </c>
      <c r="H785">
        <f>PasteBBM!AE785*PasteBBM!AF785</f>
        <v>0</v>
      </c>
      <c r="I785" t="str">
        <f>PasteBBM!AE785</f>
        <v/>
      </c>
      <c r="J785">
        <f>PasteBBM!AG785*PasteBBM!AH785</f>
        <v>0</v>
      </c>
      <c r="K785" t="str">
        <f>PasteBBM!AG785</f>
        <v/>
      </c>
      <c r="L785" t="str">
        <f>PasteBBM!Z785</f>
        <v/>
      </c>
      <c r="M785" t="str">
        <f>PasteBBM!Y785</f>
        <v/>
      </c>
      <c r="N785" t="str">
        <f>PasteBBM!AA785</f>
        <v/>
      </c>
      <c r="O785" t="str">
        <f>PasteBBM!AB785</f>
        <v/>
      </c>
      <c r="P785" t="str">
        <f>PasteBBM!AC785</f>
        <v/>
      </c>
      <c r="Q785" t="str">
        <f>PasteBBM!AD785</f>
        <v/>
      </c>
      <c r="R785" t="str">
        <f>PasteBBM!AI785</f>
        <v/>
      </c>
      <c r="S785" t="str">
        <f>PasteBBM!AE785</f>
        <v/>
      </c>
      <c r="T785" t="str">
        <f>PasteBBM!AG785</f>
        <v/>
      </c>
      <c r="V785" s="44">
        <v>-0.41709</v>
      </c>
      <c r="W785" s="44">
        <v>-0.00658</v>
      </c>
      <c r="X785" s="44">
        <v>0.009207</v>
      </c>
      <c r="Y785" s="44">
        <v>-0.4263</v>
      </c>
      <c r="Z785" s="44">
        <v>-0.34564</v>
      </c>
      <c r="AA785" s="45"/>
      <c r="AB785" s="46" t="s">
        <v>126</v>
      </c>
      <c r="AC785" s="44">
        <v>67.0</v>
      </c>
    </row>
    <row r="786">
      <c r="A786" s="2">
        <v>163.0</v>
      </c>
      <c r="B786" s="14">
        <f>IF(PasteBBM!B786="",156,PasteBBM!B786)</f>
        <v>156</v>
      </c>
      <c r="C786" t="str">
        <f>PasteBBM!I786</f>
        <v/>
      </c>
      <c r="D786" t="str">
        <f>IFERROR(REPLACE(PasteBBM!K786,FIND("/",PasteBBM!K786,1),1,","),PasteBBM!K786)</f>
        <v/>
      </c>
      <c r="E786" t="str">
        <f>PasteBBM!J786</f>
        <v/>
      </c>
      <c r="F786" t="str">
        <f>PasteBBM!U786</f>
        <v/>
      </c>
      <c r="G786" t="str">
        <f>PasteBBM!X786</f>
        <v/>
      </c>
      <c r="H786">
        <f>PasteBBM!AE786*PasteBBM!AF786</f>
        <v>0</v>
      </c>
      <c r="I786" t="str">
        <f>PasteBBM!AE786</f>
        <v/>
      </c>
      <c r="J786">
        <f>PasteBBM!AG786*PasteBBM!AH786</f>
        <v>0</v>
      </c>
      <c r="K786" t="str">
        <f>PasteBBM!AG786</f>
        <v/>
      </c>
      <c r="L786" t="str">
        <f>PasteBBM!Z786</f>
        <v/>
      </c>
      <c r="M786" t="str">
        <f>PasteBBM!Y786</f>
        <v/>
      </c>
      <c r="N786" t="str">
        <f>PasteBBM!AA786</f>
        <v/>
      </c>
      <c r="O786" t="str">
        <f>PasteBBM!AB786</f>
        <v/>
      </c>
      <c r="P786" t="str">
        <f>PasteBBM!AC786</f>
        <v/>
      </c>
      <c r="Q786" t="str">
        <f>PasteBBM!AD786</f>
        <v/>
      </c>
      <c r="R786" t="str">
        <f>PasteBBM!AI786</f>
        <v/>
      </c>
      <c r="S786" t="str">
        <f>PasteBBM!AE786</f>
        <v/>
      </c>
      <c r="T786" t="str">
        <f>PasteBBM!AG786</f>
        <v/>
      </c>
      <c r="V786" s="44">
        <v>-0.41709</v>
      </c>
      <c r="W786" s="44">
        <v>-0.00658</v>
      </c>
      <c r="X786" s="44">
        <v>0.009207</v>
      </c>
      <c r="Y786" s="44">
        <v>-0.4263</v>
      </c>
      <c r="Z786" s="44">
        <v>-0.34564</v>
      </c>
      <c r="AA786" s="45"/>
      <c r="AB786" s="46" t="s">
        <v>126</v>
      </c>
      <c r="AC786" s="44">
        <v>67.0</v>
      </c>
    </row>
    <row r="787">
      <c r="A787" s="2">
        <v>163.0</v>
      </c>
      <c r="B787" s="14">
        <f>IF(PasteBBM!B787="",156,PasteBBM!B787)</f>
        <v>156</v>
      </c>
      <c r="C787" t="str">
        <f>PasteBBM!I787</f>
        <v/>
      </c>
      <c r="D787" t="str">
        <f>IFERROR(REPLACE(PasteBBM!K787,FIND("/",PasteBBM!K787,1),1,","),PasteBBM!K787)</f>
        <v/>
      </c>
      <c r="E787" t="str">
        <f>PasteBBM!J787</f>
        <v/>
      </c>
      <c r="F787" t="str">
        <f>PasteBBM!U787</f>
        <v/>
      </c>
      <c r="G787" t="str">
        <f>PasteBBM!X787</f>
        <v/>
      </c>
      <c r="H787">
        <f>PasteBBM!AE787*PasteBBM!AF787</f>
        <v>0</v>
      </c>
      <c r="I787" t="str">
        <f>PasteBBM!AE787</f>
        <v/>
      </c>
      <c r="J787">
        <f>PasteBBM!AG787*PasteBBM!AH787</f>
        <v>0</v>
      </c>
      <c r="K787" t="str">
        <f>PasteBBM!AG787</f>
        <v/>
      </c>
      <c r="L787" t="str">
        <f>PasteBBM!Z787</f>
        <v/>
      </c>
      <c r="M787" t="str">
        <f>PasteBBM!Y787</f>
        <v/>
      </c>
      <c r="N787" t="str">
        <f>PasteBBM!AA787</f>
        <v/>
      </c>
      <c r="O787" t="str">
        <f>PasteBBM!AB787</f>
        <v/>
      </c>
      <c r="P787" t="str">
        <f>PasteBBM!AC787</f>
        <v/>
      </c>
      <c r="Q787" t="str">
        <f>PasteBBM!AD787</f>
        <v/>
      </c>
      <c r="R787" t="str">
        <f>PasteBBM!AI787</f>
        <v/>
      </c>
      <c r="S787" t="str">
        <f>PasteBBM!AE787</f>
        <v/>
      </c>
      <c r="T787" t="str">
        <f>PasteBBM!AG787</f>
        <v/>
      </c>
      <c r="V787" s="44">
        <v>-0.41709</v>
      </c>
      <c r="W787" s="44">
        <v>-0.00658</v>
      </c>
      <c r="X787" s="44">
        <v>0.009207</v>
      </c>
      <c r="Y787" s="44">
        <v>-0.4263</v>
      </c>
      <c r="Z787" s="44">
        <v>-0.34564</v>
      </c>
      <c r="AA787" s="45"/>
      <c r="AB787" s="46" t="s">
        <v>126</v>
      </c>
      <c r="AC787" s="44">
        <v>67.0</v>
      </c>
    </row>
    <row r="788">
      <c r="A788" s="2">
        <v>163.0</v>
      </c>
      <c r="B788" s="14">
        <f>IF(PasteBBM!B788="",156,PasteBBM!B788)</f>
        <v>156</v>
      </c>
      <c r="C788" t="str">
        <f>PasteBBM!I788</f>
        <v/>
      </c>
      <c r="D788" t="str">
        <f>IFERROR(REPLACE(PasteBBM!K788,FIND("/",PasteBBM!K788,1),1,","),PasteBBM!K788)</f>
        <v/>
      </c>
      <c r="E788" t="str">
        <f>PasteBBM!J788</f>
        <v/>
      </c>
      <c r="F788" t="str">
        <f>PasteBBM!U788</f>
        <v/>
      </c>
      <c r="G788" t="str">
        <f>PasteBBM!X788</f>
        <v/>
      </c>
      <c r="H788">
        <f>PasteBBM!AE788*PasteBBM!AF788</f>
        <v>0</v>
      </c>
      <c r="I788" t="str">
        <f>PasteBBM!AE788</f>
        <v/>
      </c>
      <c r="J788">
        <f>PasteBBM!AG788*PasteBBM!AH788</f>
        <v>0</v>
      </c>
      <c r="K788" t="str">
        <f>PasteBBM!AG788</f>
        <v/>
      </c>
      <c r="L788" t="str">
        <f>PasteBBM!Z788</f>
        <v/>
      </c>
      <c r="M788" t="str">
        <f>PasteBBM!Y788</f>
        <v/>
      </c>
      <c r="N788" t="str">
        <f>PasteBBM!AA788</f>
        <v/>
      </c>
      <c r="O788" t="str">
        <f>PasteBBM!AB788</f>
        <v/>
      </c>
      <c r="P788" t="str">
        <f>PasteBBM!AC788</f>
        <v/>
      </c>
      <c r="Q788" t="str">
        <f>PasteBBM!AD788</f>
        <v/>
      </c>
      <c r="R788" t="str">
        <f>PasteBBM!AI788</f>
        <v/>
      </c>
      <c r="S788" t="str">
        <f>PasteBBM!AE788</f>
        <v/>
      </c>
      <c r="T788" t="str">
        <f>PasteBBM!AG788</f>
        <v/>
      </c>
      <c r="V788" s="44">
        <v>-0.41709</v>
      </c>
      <c r="W788" s="44">
        <v>-0.00658</v>
      </c>
      <c r="X788" s="44">
        <v>0.009207</v>
      </c>
      <c r="Y788" s="44">
        <v>-0.4263</v>
      </c>
      <c r="Z788" s="44">
        <v>-0.34564</v>
      </c>
      <c r="AA788" s="45"/>
      <c r="AB788" s="46" t="s">
        <v>126</v>
      </c>
      <c r="AC788" s="44">
        <v>67.0</v>
      </c>
    </row>
    <row r="789">
      <c r="A789" s="2">
        <v>163.0</v>
      </c>
      <c r="B789" s="14">
        <f>IF(PasteBBM!B789="",156,PasteBBM!B789)</f>
        <v>156</v>
      </c>
      <c r="C789" t="str">
        <f>PasteBBM!I789</f>
        <v/>
      </c>
      <c r="D789" t="str">
        <f>IFERROR(REPLACE(PasteBBM!K789,FIND("/",PasteBBM!K789,1),1,","),PasteBBM!K789)</f>
        <v/>
      </c>
      <c r="E789" t="str">
        <f>PasteBBM!J789</f>
        <v/>
      </c>
      <c r="F789" t="str">
        <f>PasteBBM!U789</f>
        <v/>
      </c>
      <c r="G789" t="str">
        <f>PasteBBM!X789</f>
        <v/>
      </c>
      <c r="H789">
        <f>PasteBBM!AE789*PasteBBM!AF789</f>
        <v>0</v>
      </c>
      <c r="I789" t="str">
        <f>PasteBBM!AE789</f>
        <v/>
      </c>
      <c r="J789">
        <f>PasteBBM!AG789*PasteBBM!AH789</f>
        <v>0</v>
      </c>
      <c r="K789" t="str">
        <f>PasteBBM!AG789</f>
        <v/>
      </c>
      <c r="L789" t="str">
        <f>PasteBBM!Z789</f>
        <v/>
      </c>
      <c r="M789" t="str">
        <f>PasteBBM!Y789</f>
        <v/>
      </c>
      <c r="N789" t="str">
        <f>PasteBBM!AA789</f>
        <v/>
      </c>
      <c r="O789" t="str">
        <f>PasteBBM!AB789</f>
        <v/>
      </c>
      <c r="P789" t="str">
        <f>PasteBBM!AC789</f>
        <v/>
      </c>
      <c r="Q789" t="str">
        <f>PasteBBM!AD789</f>
        <v/>
      </c>
      <c r="R789" t="str">
        <f>PasteBBM!AI789</f>
        <v/>
      </c>
      <c r="S789" t="str">
        <f>PasteBBM!AE789</f>
        <v/>
      </c>
      <c r="T789" t="str">
        <f>PasteBBM!AG789</f>
        <v/>
      </c>
      <c r="V789" s="44">
        <v>-0.41709</v>
      </c>
      <c r="W789" s="44">
        <v>-0.00658</v>
      </c>
      <c r="X789" s="44">
        <v>0.009207</v>
      </c>
      <c r="Y789" s="44">
        <v>-0.4263</v>
      </c>
      <c r="Z789" s="44">
        <v>-0.34564</v>
      </c>
      <c r="AA789" s="45"/>
      <c r="AB789" s="46" t="s">
        <v>126</v>
      </c>
      <c r="AC789" s="44">
        <v>67.0</v>
      </c>
    </row>
    <row r="790">
      <c r="A790" s="2">
        <v>163.0</v>
      </c>
      <c r="B790" s="14">
        <f>IF(PasteBBM!B790="",156,PasteBBM!B790)</f>
        <v>156</v>
      </c>
      <c r="C790" t="str">
        <f>PasteBBM!I790</f>
        <v/>
      </c>
      <c r="D790" t="str">
        <f>IFERROR(REPLACE(PasteBBM!K790,FIND("/",PasteBBM!K790,1),1,","),PasteBBM!K790)</f>
        <v/>
      </c>
      <c r="E790" t="str">
        <f>PasteBBM!J790</f>
        <v/>
      </c>
      <c r="F790" t="str">
        <f>PasteBBM!U790</f>
        <v/>
      </c>
      <c r="G790" t="str">
        <f>PasteBBM!X790</f>
        <v/>
      </c>
      <c r="H790">
        <f>PasteBBM!AE790*PasteBBM!AF790</f>
        <v>0</v>
      </c>
      <c r="I790" t="str">
        <f>PasteBBM!AE790</f>
        <v/>
      </c>
      <c r="J790">
        <f>PasteBBM!AG790*PasteBBM!AH790</f>
        <v>0</v>
      </c>
      <c r="K790" t="str">
        <f>PasteBBM!AG790</f>
        <v/>
      </c>
      <c r="L790" t="str">
        <f>PasteBBM!Z790</f>
        <v/>
      </c>
      <c r="M790" t="str">
        <f>PasteBBM!Y790</f>
        <v/>
      </c>
      <c r="N790" t="str">
        <f>PasteBBM!AA790</f>
        <v/>
      </c>
      <c r="O790" t="str">
        <f>PasteBBM!AB790</f>
        <v/>
      </c>
      <c r="P790" t="str">
        <f>PasteBBM!AC790</f>
        <v/>
      </c>
      <c r="Q790" t="str">
        <f>PasteBBM!AD790</f>
        <v/>
      </c>
      <c r="R790" t="str">
        <f>PasteBBM!AI790</f>
        <v/>
      </c>
      <c r="S790" t="str">
        <f>PasteBBM!AE790</f>
        <v/>
      </c>
      <c r="T790" t="str">
        <f>PasteBBM!AG790</f>
        <v/>
      </c>
      <c r="V790" s="44">
        <v>-0.41709</v>
      </c>
      <c r="W790" s="44">
        <v>-0.00658</v>
      </c>
      <c r="X790" s="44">
        <v>0.009207</v>
      </c>
      <c r="Y790" s="44">
        <v>-0.4263</v>
      </c>
      <c r="Z790" s="44">
        <v>-0.34564</v>
      </c>
      <c r="AA790" s="45"/>
      <c r="AB790" s="46" t="s">
        <v>126</v>
      </c>
      <c r="AC790" s="44">
        <v>67.0</v>
      </c>
    </row>
    <row r="791">
      <c r="A791" s="2">
        <v>163.0</v>
      </c>
      <c r="B791" s="14">
        <f>IF(PasteBBM!B791="",156,PasteBBM!B791)</f>
        <v>156</v>
      </c>
      <c r="C791" t="str">
        <f>PasteBBM!I791</f>
        <v/>
      </c>
      <c r="D791" t="str">
        <f>IFERROR(REPLACE(PasteBBM!K791,FIND("/",PasteBBM!K791,1),1,","),PasteBBM!K791)</f>
        <v/>
      </c>
      <c r="E791" t="str">
        <f>PasteBBM!J791</f>
        <v/>
      </c>
      <c r="F791" t="str">
        <f>PasteBBM!U791</f>
        <v/>
      </c>
      <c r="G791" t="str">
        <f>PasteBBM!X791</f>
        <v/>
      </c>
      <c r="H791">
        <f>PasteBBM!AE791*PasteBBM!AF791</f>
        <v>0</v>
      </c>
      <c r="I791" t="str">
        <f>PasteBBM!AE791</f>
        <v/>
      </c>
      <c r="J791">
        <f>PasteBBM!AG791*PasteBBM!AH791</f>
        <v>0</v>
      </c>
      <c r="K791" t="str">
        <f>PasteBBM!AG791</f>
        <v/>
      </c>
      <c r="L791" t="str">
        <f>PasteBBM!Z791</f>
        <v/>
      </c>
      <c r="M791" t="str">
        <f>PasteBBM!Y791</f>
        <v/>
      </c>
      <c r="N791" t="str">
        <f>PasteBBM!AA791</f>
        <v/>
      </c>
      <c r="O791" t="str">
        <f>PasteBBM!AB791</f>
        <v/>
      </c>
      <c r="P791" t="str">
        <f>PasteBBM!AC791</f>
        <v/>
      </c>
      <c r="Q791" t="str">
        <f>PasteBBM!AD791</f>
        <v/>
      </c>
      <c r="R791" t="str">
        <f>PasteBBM!AI791</f>
        <v/>
      </c>
      <c r="S791" t="str">
        <f>PasteBBM!AE791</f>
        <v/>
      </c>
      <c r="T791" t="str">
        <f>PasteBBM!AG791</f>
        <v/>
      </c>
      <c r="V791" s="44">
        <v>-0.41709</v>
      </c>
      <c r="W791" s="44">
        <v>-0.00658</v>
      </c>
      <c r="X791" s="44">
        <v>0.009207</v>
      </c>
      <c r="Y791" s="44">
        <v>-0.4263</v>
      </c>
      <c r="Z791" s="44">
        <v>-0.34564</v>
      </c>
      <c r="AA791" s="45"/>
      <c r="AB791" s="46" t="s">
        <v>126</v>
      </c>
      <c r="AC791" s="44">
        <v>67.0</v>
      </c>
    </row>
    <row r="792">
      <c r="A792" s="2">
        <v>163.0</v>
      </c>
      <c r="B792" s="14">
        <f>IF(PasteBBM!B792="",156,PasteBBM!B792)</f>
        <v>156</v>
      </c>
      <c r="C792" t="str">
        <f>PasteBBM!I792</f>
        <v/>
      </c>
      <c r="D792" t="str">
        <f>IFERROR(REPLACE(PasteBBM!K792,FIND("/",PasteBBM!K792,1),1,","),PasteBBM!K792)</f>
        <v/>
      </c>
      <c r="E792" t="str">
        <f>PasteBBM!J792</f>
        <v/>
      </c>
      <c r="F792" t="str">
        <f>PasteBBM!U792</f>
        <v/>
      </c>
      <c r="G792" t="str">
        <f>PasteBBM!X792</f>
        <v/>
      </c>
      <c r="H792">
        <f>PasteBBM!AE792*PasteBBM!AF792</f>
        <v>0</v>
      </c>
      <c r="I792" t="str">
        <f>PasteBBM!AE792</f>
        <v/>
      </c>
      <c r="J792">
        <f>PasteBBM!AG792*PasteBBM!AH792</f>
        <v>0</v>
      </c>
      <c r="K792" t="str">
        <f>PasteBBM!AG792</f>
        <v/>
      </c>
      <c r="L792" t="str">
        <f>PasteBBM!Z792</f>
        <v/>
      </c>
      <c r="M792" t="str">
        <f>PasteBBM!Y792</f>
        <v/>
      </c>
      <c r="N792" t="str">
        <f>PasteBBM!AA792</f>
        <v/>
      </c>
      <c r="O792" t="str">
        <f>PasteBBM!AB792</f>
        <v/>
      </c>
      <c r="P792" t="str">
        <f>PasteBBM!AC792</f>
        <v/>
      </c>
      <c r="Q792" t="str">
        <f>PasteBBM!AD792</f>
        <v/>
      </c>
      <c r="R792" t="str">
        <f>PasteBBM!AI792</f>
        <v/>
      </c>
      <c r="S792" t="str">
        <f>PasteBBM!AE792</f>
        <v/>
      </c>
      <c r="T792" t="str">
        <f>PasteBBM!AG792</f>
        <v/>
      </c>
      <c r="V792" s="44">
        <v>-0.41709</v>
      </c>
      <c r="W792" s="44">
        <v>-0.00658</v>
      </c>
      <c r="X792" s="44">
        <v>0.009207</v>
      </c>
      <c r="Y792" s="44">
        <v>-0.4263</v>
      </c>
      <c r="Z792" s="44">
        <v>-0.34564</v>
      </c>
      <c r="AA792" s="45"/>
      <c r="AB792" s="46" t="s">
        <v>126</v>
      </c>
      <c r="AC792" s="44">
        <v>67.0</v>
      </c>
    </row>
    <row r="793">
      <c r="A793" s="2">
        <v>163.0</v>
      </c>
      <c r="B793" s="14">
        <f>IF(PasteBBM!B793="",156,PasteBBM!B793)</f>
        <v>156</v>
      </c>
      <c r="C793" t="str">
        <f>PasteBBM!I793</f>
        <v/>
      </c>
      <c r="D793" t="str">
        <f>IFERROR(REPLACE(PasteBBM!K793,FIND("/",PasteBBM!K793,1),1,","),PasteBBM!K793)</f>
        <v/>
      </c>
      <c r="E793" t="str">
        <f>PasteBBM!J793</f>
        <v/>
      </c>
      <c r="F793" t="str">
        <f>PasteBBM!U793</f>
        <v/>
      </c>
      <c r="G793" t="str">
        <f>PasteBBM!X793</f>
        <v/>
      </c>
      <c r="H793">
        <f>PasteBBM!AE793*PasteBBM!AF793</f>
        <v>0</v>
      </c>
      <c r="I793" t="str">
        <f>PasteBBM!AE793</f>
        <v/>
      </c>
      <c r="J793">
        <f>PasteBBM!AG793*PasteBBM!AH793</f>
        <v>0</v>
      </c>
      <c r="K793" t="str">
        <f>PasteBBM!AG793</f>
        <v/>
      </c>
      <c r="L793" t="str">
        <f>PasteBBM!Z793</f>
        <v/>
      </c>
      <c r="M793" t="str">
        <f>PasteBBM!Y793</f>
        <v/>
      </c>
      <c r="N793" t="str">
        <f>PasteBBM!AA793</f>
        <v/>
      </c>
      <c r="O793" t="str">
        <f>PasteBBM!AB793</f>
        <v/>
      </c>
      <c r="P793" t="str">
        <f>PasteBBM!AC793</f>
        <v/>
      </c>
      <c r="Q793" t="str">
        <f>PasteBBM!AD793</f>
        <v/>
      </c>
      <c r="R793" t="str">
        <f>PasteBBM!AI793</f>
        <v/>
      </c>
      <c r="S793" t="str">
        <f>PasteBBM!AE793</f>
        <v/>
      </c>
      <c r="T793" t="str">
        <f>PasteBBM!AG793</f>
        <v/>
      </c>
      <c r="V793" s="44">
        <v>-0.41709</v>
      </c>
      <c r="W793" s="44">
        <v>-0.00658</v>
      </c>
      <c r="X793" s="44">
        <v>0.009207</v>
      </c>
      <c r="Y793" s="44">
        <v>-0.4263</v>
      </c>
      <c r="Z793" s="44">
        <v>-0.34564</v>
      </c>
      <c r="AA793" s="45"/>
      <c r="AB793" s="46" t="s">
        <v>126</v>
      </c>
      <c r="AC793" s="44">
        <v>67.0</v>
      </c>
    </row>
    <row r="794">
      <c r="A794" s="2">
        <v>163.0</v>
      </c>
      <c r="B794" s="14">
        <f>IF(PasteBBM!B794="",156,PasteBBM!B794)</f>
        <v>156</v>
      </c>
      <c r="C794" t="str">
        <f>PasteBBM!I794</f>
        <v/>
      </c>
      <c r="D794" t="str">
        <f>IFERROR(REPLACE(PasteBBM!K794,FIND("/",PasteBBM!K794,1),1,","),PasteBBM!K794)</f>
        <v/>
      </c>
      <c r="E794" t="str">
        <f>PasteBBM!J794</f>
        <v/>
      </c>
      <c r="F794" t="str">
        <f>PasteBBM!U794</f>
        <v/>
      </c>
      <c r="G794" t="str">
        <f>PasteBBM!X794</f>
        <v/>
      </c>
      <c r="H794">
        <f>PasteBBM!AE794*PasteBBM!AF794</f>
        <v>0</v>
      </c>
      <c r="I794" t="str">
        <f>PasteBBM!AE794</f>
        <v/>
      </c>
      <c r="J794">
        <f>PasteBBM!AG794*PasteBBM!AH794</f>
        <v>0</v>
      </c>
      <c r="K794" t="str">
        <f>PasteBBM!AG794</f>
        <v/>
      </c>
      <c r="L794" t="str">
        <f>PasteBBM!Z794</f>
        <v/>
      </c>
      <c r="M794" t="str">
        <f>PasteBBM!Y794</f>
        <v/>
      </c>
      <c r="N794" t="str">
        <f>PasteBBM!AA794</f>
        <v/>
      </c>
      <c r="O794" t="str">
        <f>PasteBBM!AB794</f>
        <v/>
      </c>
      <c r="P794" t="str">
        <f>PasteBBM!AC794</f>
        <v/>
      </c>
      <c r="Q794" t="str">
        <f>PasteBBM!AD794</f>
        <v/>
      </c>
      <c r="R794" t="str">
        <f>PasteBBM!AI794</f>
        <v/>
      </c>
      <c r="S794" t="str">
        <f>PasteBBM!AE794</f>
        <v/>
      </c>
      <c r="T794" t="str">
        <f>PasteBBM!AG794</f>
        <v/>
      </c>
      <c r="V794" s="44">
        <v>-0.41709</v>
      </c>
      <c r="W794" s="44">
        <v>-0.00658</v>
      </c>
      <c r="X794" s="44">
        <v>0.009207</v>
      </c>
      <c r="Y794" s="44">
        <v>-0.4263</v>
      </c>
      <c r="Z794" s="44">
        <v>-0.34564</v>
      </c>
      <c r="AA794" s="45"/>
      <c r="AB794" s="46" t="s">
        <v>126</v>
      </c>
      <c r="AC794" s="44">
        <v>67.0</v>
      </c>
    </row>
    <row r="795">
      <c r="A795" s="2">
        <v>163.0</v>
      </c>
      <c r="B795" s="14">
        <f>IF(PasteBBM!B795="",156,PasteBBM!B795)</f>
        <v>156</v>
      </c>
      <c r="C795" t="str">
        <f>PasteBBM!I795</f>
        <v/>
      </c>
      <c r="D795" t="str">
        <f>IFERROR(REPLACE(PasteBBM!K795,FIND("/",PasteBBM!K795,1),1,","),PasteBBM!K795)</f>
        <v/>
      </c>
      <c r="E795" t="str">
        <f>PasteBBM!J795</f>
        <v/>
      </c>
      <c r="F795" t="str">
        <f>PasteBBM!U795</f>
        <v/>
      </c>
      <c r="G795" t="str">
        <f>PasteBBM!X795</f>
        <v/>
      </c>
      <c r="H795">
        <f>PasteBBM!AE795*PasteBBM!AF795</f>
        <v>0</v>
      </c>
      <c r="I795" t="str">
        <f>PasteBBM!AE795</f>
        <v/>
      </c>
      <c r="J795">
        <f>PasteBBM!AG795*PasteBBM!AH795</f>
        <v>0</v>
      </c>
      <c r="K795" t="str">
        <f>PasteBBM!AG795</f>
        <v/>
      </c>
      <c r="L795" t="str">
        <f>PasteBBM!Z795</f>
        <v/>
      </c>
      <c r="M795" t="str">
        <f>PasteBBM!Y795</f>
        <v/>
      </c>
      <c r="N795" t="str">
        <f>PasteBBM!AA795</f>
        <v/>
      </c>
      <c r="O795" t="str">
        <f>PasteBBM!AB795</f>
        <v/>
      </c>
      <c r="P795" t="str">
        <f>PasteBBM!AC795</f>
        <v/>
      </c>
      <c r="Q795" t="str">
        <f>PasteBBM!AD795</f>
        <v/>
      </c>
      <c r="R795" t="str">
        <f>PasteBBM!AI795</f>
        <v/>
      </c>
      <c r="S795" t="str">
        <f>PasteBBM!AE795</f>
        <v/>
      </c>
      <c r="T795" t="str">
        <f>PasteBBM!AG795</f>
        <v/>
      </c>
      <c r="V795" s="44">
        <v>-0.41709</v>
      </c>
      <c r="W795" s="44">
        <v>-0.00658</v>
      </c>
      <c r="X795" s="44">
        <v>0.009207</v>
      </c>
      <c r="Y795" s="44">
        <v>-0.4263</v>
      </c>
      <c r="Z795" s="44">
        <v>-0.34564</v>
      </c>
      <c r="AA795" s="45"/>
      <c r="AB795" s="46" t="s">
        <v>126</v>
      </c>
      <c r="AC795" s="44">
        <v>67.0</v>
      </c>
    </row>
    <row r="796">
      <c r="A796" s="2">
        <v>163.0</v>
      </c>
      <c r="B796" s="14">
        <f>IF(PasteBBM!B796="",156,PasteBBM!B796)</f>
        <v>156</v>
      </c>
      <c r="C796" t="str">
        <f>PasteBBM!I796</f>
        <v/>
      </c>
      <c r="D796" t="str">
        <f>IFERROR(REPLACE(PasteBBM!K796,FIND("/",PasteBBM!K796,1),1,","),PasteBBM!K796)</f>
        <v/>
      </c>
      <c r="E796" t="str">
        <f>PasteBBM!J796</f>
        <v/>
      </c>
      <c r="F796" t="str">
        <f>PasteBBM!U796</f>
        <v/>
      </c>
      <c r="G796" t="str">
        <f>PasteBBM!X796</f>
        <v/>
      </c>
      <c r="H796">
        <f>PasteBBM!AE796*PasteBBM!AF796</f>
        <v>0</v>
      </c>
      <c r="I796" t="str">
        <f>PasteBBM!AE796</f>
        <v/>
      </c>
      <c r="J796">
        <f>PasteBBM!AG796*PasteBBM!AH796</f>
        <v>0</v>
      </c>
      <c r="K796" t="str">
        <f>PasteBBM!AG796</f>
        <v/>
      </c>
      <c r="L796" t="str">
        <f>PasteBBM!Z796</f>
        <v/>
      </c>
      <c r="M796" t="str">
        <f>PasteBBM!Y796</f>
        <v/>
      </c>
      <c r="N796" t="str">
        <f>PasteBBM!AA796</f>
        <v/>
      </c>
      <c r="O796" t="str">
        <f>PasteBBM!AB796</f>
        <v/>
      </c>
      <c r="P796" t="str">
        <f>PasteBBM!AC796</f>
        <v/>
      </c>
      <c r="Q796" t="str">
        <f>PasteBBM!AD796</f>
        <v/>
      </c>
      <c r="R796" t="str">
        <f>PasteBBM!AI796</f>
        <v/>
      </c>
      <c r="S796" t="str">
        <f>PasteBBM!AE796</f>
        <v/>
      </c>
      <c r="T796" t="str">
        <f>PasteBBM!AG796</f>
        <v/>
      </c>
      <c r="V796" s="44">
        <v>-0.41709</v>
      </c>
      <c r="W796" s="44">
        <v>-0.00658</v>
      </c>
      <c r="X796" s="44">
        <v>0.009207</v>
      </c>
      <c r="Y796" s="44">
        <v>-0.4263</v>
      </c>
      <c r="Z796" s="44">
        <v>-0.34564</v>
      </c>
      <c r="AA796" s="45"/>
      <c r="AB796" s="46" t="s">
        <v>126</v>
      </c>
      <c r="AC796" s="44">
        <v>67.0</v>
      </c>
    </row>
    <row r="797">
      <c r="A797" s="2">
        <v>163.0</v>
      </c>
      <c r="B797" s="14">
        <f>IF(PasteBBM!B797="",156,PasteBBM!B797)</f>
        <v>156</v>
      </c>
      <c r="C797" t="str">
        <f>PasteBBM!I797</f>
        <v/>
      </c>
      <c r="D797" t="str">
        <f>IFERROR(REPLACE(PasteBBM!K797,FIND("/",PasteBBM!K797,1),1,","),PasteBBM!K797)</f>
        <v/>
      </c>
      <c r="E797" t="str">
        <f>PasteBBM!J797</f>
        <v/>
      </c>
      <c r="F797" t="str">
        <f>PasteBBM!U797</f>
        <v/>
      </c>
      <c r="G797" t="str">
        <f>PasteBBM!X797</f>
        <v/>
      </c>
      <c r="H797">
        <f>PasteBBM!AE797*PasteBBM!AF797</f>
        <v>0</v>
      </c>
      <c r="I797" t="str">
        <f>PasteBBM!AE797</f>
        <v/>
      </c>
      <c r="J797">
        <f>PasteBBM!AG797*PasteBBM!AH797</f>
        <v>0</v>
      </c>
      <c r="K797" t="str">
        <f>PasteBBM!AG797</f>
        <v/>
      </c>
      <c r="L797" t="str">
        <f>PasteBBM!Z797</f>
        <v/>
      </c>
      <c r="M797" t="str">
        <f>PasteBBM!Y797</f>
        <v/>
      </c>
      <c r="N797" t="str">
        <f>PasteBBM!AA797</f>
        <v/>
      </c>
      <c r="O797" t="str">
        <f>PasteBBM!AB797</f>
        <v/>
      </c>
      <c r="P797" t="str">
        <f>PasteBBM!AC797</f>
        <v/>
      </c>
      <c r="Q797" t="str">
        <f>PasteBBM!AD797</f>
        <v/>
      </c>
      <c r="R797" t="str">
        <f>PasteBBM!AI797</f>
        <v/>
      </c>
      <c r="S797" t="str">
        <f>PasteBBM!AE797</f>
        <v/>
      </c>
      <c r="T797" t="str">
        <f>PasteBBM!AG797</f>
        <v/>
      </c>
      <c r="V797" s="44">
        <v>-0.41709</v>
      </c>
      <c r="W797" s="44">
        <v>-0.00658</v>
      </c>
      <c r="X797" s="44">
        <v>0.009207</v>
      </c>
      <c r="Y797" s="44">
        <v>-0.4263</v>
      </c>
      <c r="Z797" s="44">
        <v>-0.34564</v>
      </c>
      <c r="AA797" s="45"/>
      <c r="AB797" s="46" t="s">
        <v>126</v>
      </c>
      <c r="AC797" s="44">
        <v>67.0</v>
      </c>
    </row>
    <row r="798">
      <c r="A798" s="2">
        <v>163.0</v>
      </c>
      <c r="B798" s="14">
        <f>IF(PasteBBM!B798="",156,PasteBBM!B798)</f>
        <v>156</v>
      </c>
      <c r="C798" t="str">
        <f>PasteBBM!I798</f>
        <v/>
      </c>
      <c r="D798" t="str">
        <f>IFERROR(REPLACE(PasteBBM!K798,FIND("/",PasteBBM!K798,1),1,","),PasteBBM!K798)</f>
        <v/>
      </c>
      <c r="E798" t="str">
        <f>PasteBBM!J798</f>
        <v/>
      </c>
      <c r="F798" t="str">
        <f>PasteBBM!U798</f>
        <v/>
      </c>
      <c r="G798" t="str">
        <f>PasteBBM!X798</f>
        <v/>
      </c>
      <c r="H798">
        <f>PasteBBM!AE798*PasteBBM!AF798</f>
        <v>0</v>
      </c>
      <c r="I798" t="str">
        <f>PasteBBM!AE798</f>
        <v/>
      </c>
      <c r="J798">
        <f>PasteBBM!AG798*PasteBBM!AH798</f>
        <v>0</v>
      </c>
      <c r="K798" t="str">
        <f>PasteBBM!AG798</f>
        <v/>
      </c>
      <c r="L798" t="str">
        <f>PasteBBM!Z798</f>
        <v/>
      </c>
      <c r="M798" t="str">
        <f>PasteBBM!Y798</f>
        <v/>
      </c>
      <c r="N798" t="str">
        <f>PasteBBM!AA798</f>
        <v/>
      </c>
      <c r="O798" t="str">
        <f>PasteBBM!AB798</f>
        <v/>
      </c>
      <c r="P798" t="str">
        <f>PasteBBM!AC798</f>
        <v/>
      </c>
      <c r="Q798" t="str">
        <f>PasteBBM!AD798</f>
        <v/>
      </c>
      <c r="R798" t="str">
        <f>PasteBBM!AI798</f>
        <v/>
      </c>
      <c r="S798" t="str">
        <f>PasteBBM!AE798</f>
        <v/>
      </c>
      <c r="T798" t="str">
        <f>PasteBBM!AG798</f>
        <v/>
      </c>
      <c r="V798" s="44">
        <v>-0.41709</v>
      </c>
      <c r="W798" s="44">
        <v>-0.00658</v>
      </c>
      <c r="X798" s="44">
        <v>0.009207</v>
      </c>
      <c r="Y798" s="44">
        <v>-0.4263</v>
      </c>
      <c r="Z798" s="44">
        <v>-0.34564</v>
      </c>
      <c r="AA798" s="45"/>
      <c r="AB798" s="46" t="s">
        <v>126</v>
      </c>
      <c r="AC798" s="44">
        <v>67.0</v>
      </c>
    </row>
    <row r="799">
      <c r="A799" s="2">
        <v>163.0</v>
      </c>
      <c r="B799" s="14">
        <f>IF(PasteBBM!B799="",156,PasteBBM!B799)</f>
        <v>156</v>
      </c>
      <c r="C799" t="str">
        <f>PasteBBM!I799</f>
        <v/>
      </c>
      <c r="D799" t="str">
        <f>IFERROR(REPLACE(PasteBBM!K799,FIND("/",PasteBBM!K799,1),1,","),PasteBBM!K799)</f>
        <v/>
      </c>
      <c r="E799" t="str">
        <f>PasteBBM!J799</f>
        <v/>
      </c>
      <c r="F799" t="str">
        <f>PasteBBM!U799</f>
        <v/>
      </c>
      <c r="G799" t="str">
        <f>PasteBBM!X799</f>
        <v/>
      </c>
      <c r="H799">
        <f>PasteBBM!AE799*PasteBBM!AF799</f>
        <v>0</v>
      </c>
      <c r="I799" t="str">
        <f>PasteBBM!AE799</f>
        <v/>
      </c>
      <c r="J799">
        <f>PasteBBM!AG799*PasteBBM!AH799</f>
        <v>0</v>
      </c>
      <c r="K799" t="str">
        <f>PasteBBM!AG799</f>
        <v/>
      </c>
      <c r="L799" t="str">
        <f>PasteBBM!Z799</f>
        <v/>
      </c>
      <c r="M799" t="str">
        <f>PasteBBM!Y799</f>
        <v/>
      </c>
      <c r="N799" t="str">
        <f>PasteBBM!AA799</f>
        <v/>
      </c>
      <c r="O799" t="str">
        <f>PasteBBM!AB799</f>
        <v/>
      </c>
      <c r="P799" t="str">
        <f>PasteBBM!AC799</f>
        <v/>
      </c>
      <c r="Q799" t="str">
        <f>PasteBBM!AD799</f>
        <v/>
      </c>
      <c r="R799" t="str">
        <f>PasteBBM!AI799</f>
        <v/>
      </c>
      <c r="S799" t="str">
        <f>PasteBBM!AE799</f>
        <v/>
      </c>
      <c r="T799" t="str">
        <f>PasteBBM!AG799</f>
        <v/>
      </c>
      <c r="V799" s="44">
        <v>-0.41709</v>
      </c>
      <c r="W799" s="44">
        <v>-0.00658</v>
      </c>
      <c r="X799" s="44">
        <v>0.009207</v>
      </c>
      <c r="Y799" s="44">
        <v>-0.4263</v>
      </c>
      <c r="Z799" s="44">
        <v>-0.34564</v>
      </c>
      <c r="AA799" s="45"/>
      <c r="AB799" s="46" t="s">
        <v>126</v>
      </c>
      <c r="AC799" s="44">
        <v>67.0</v>
      </c>
    </row>
    <row r="800">
      <c r="A800" s="2">
        <v>163.0</v>
      </c>
      <c r="B800" s="14">
        <f>IF(PasteBBM!B800="",156,PasteBBM!B800)</f>
        <v>156</v>
      </c>
      <c r="C800" t="str">
        <f>PasteBBM!I800</f>
        <v/>
      </c>
      <c r="D800" t="str">
        <f>IFERROR(REPLACE(PasteBBM!K800,FIND("/",PasteBBM!K800,1),1,","),PasteBBM!K800)</f>
        <v/>
      </c>
      <c r="E800" t="str">
        <f>PasteBBM!J800</f>
        <v/>
      </c>
      <c r="F800" t="str">
        <f>PasteBBM!U800</f>
        <v/>
      </c>
      <c r="G800" t="str">
        <f>PasteBBM!X800</f>
        <v/>
      </c>
      <c r="H800">
        <f>PasteBBM!AE800*PasteBBM!AF800</f>
        <v>0</v>
      </c>
      <c r="I800" t="str">
        <f>PasteBBM!AE800</f>
        <v/>
      </c>
      <c r="J800">
        <f>PasteBBM!AG800*PasteBBM!AH800</f>
        <v>0</v>
      </c>
      <c r="K800" t="str">
        <f>PasteBBM!AG800</f>
        <v/>
      </c>
      <c r="L800" t="str">
        <f>PasteBBM!Z800</f>
        <v/>
      </c>
      <c r="M800" t="str">
        <f>PasteBBM!Y800</f>
        <v/>
      </c>
      <c r="N800" t="str">
        <f>PasteBBM!AA800</f>
        <v/>
      </c>
      <c r="O800" t="str">
        <f>PasteBBM!AB800</f>
        <v/>
      </c>
      <c r="P800" t="str">
        <f>PasteBBM!AC800</f>
        <v/>
      </c>
      <c r="Q800" t="str">
        <f>PasteBBM!AD800</f>
        <v/>
      </c>
      <c r="R800" t="str">
        <f>PasteBBM!AI800</f>
        <v/>
      </c>
      <c r="S800" t="str">
        <f>PasteBBM!AE800</f>
        <v/>
      </c>
      <c r="T800" t="str">
        <f>PasteBBM!AG800</f>
        <v/>
      </c>
      <c r="V800" s="44">
        <v>-0.41709</v>
      </c>
      <c r="W800" s="44">
        <v>-0.00658</v>
      </c>
      <c r="X800" s="44">
        <v>0.009207</v>
      </c>
      <c r="Y800" s="44">
        <v>-0.4263</v>
      </c>
      <c r="Z800" s="44">
        <v>-0.34564</v>
      </c>
      <c r="AA800" s="45"/>
      <c r="AB800" s="46" t="s">
        <v>126</v>
      </c>
      <c r="AC800" s="44">
        <v>67.0</v>
      </c>
    </row>
    <row r="801">
      <c r="A801" s="2">
        <v>163.0</v>
      </c>
      <c r="B801" s="14">
        <f>IF(PasteBBM!B801="",156,PasteBBM!B801)</f>
        <v>156</v>
      </c>
      <c r="C801" t="str">
        <f>PasteBBM!I801</f>
        <v/>
      </c>
      <c r="D801" t="str">
        <f>IFERROR(REPLACE(PasteBBM!K801,FIND("/",PasteBBM!K801,1),1,","),PasteBBM!K801)</f>
        <v/>
      </c>
      <c r="E801" t="str">
        <f>PasteBBM!J801</f>
        <v/>
      </c>
      <c r="F801" t="str">
        <f>PasteBBM!U801</f>
        <v/>
      </c>
      <c r="G801" t="str">
        <f>PasteBBM!X801</f>
        <v/>
      </c>
      <c r="H801">
        <f>PasteBBM!AE801*PasteBBM!AF801</f>
        <v>0</v>
      </c>
      <c r="I801" t="str">
        <f>PasteBBM!AE801</f>
        <v/>
      </c>
      <c r="J801">
        <f>PasteBBM!AG801*PasteBBM!AH801</f>
        <v>0</v>
      </c>
      <c r="K801" t="str">
        <f>PasteBBM!AG801</f>
        <v/>
      </c>
      <c r="L801" t="str">
        <f>PasteBBM!Z801</f>
        <v/>
      </c>
      <c r="M801" t="str">
        <f>PasteBBM!Y801</f>
        <v/>
      </c>
      <c r="N801" t="str">
        <f>PasteBBM!AA801</f>
        <v/>
      </c>
      <c r="O801" t="str">
        <f>PasteBBM!AB801</f>
        <v/>
      </c>
      <c r="P801" t="str">
        <f>PasteBBM!AC801</f>
        <v/>
      </c>
      <c r="Q801" t="str">
        <f>PasteBBM!AD801</f>
        <v/>
      </c>
      <c r="R801" t="str">
        <f>PasteBBM!AI801</f>
        <v/>
      </c>
      <c r="S801" t="str">
        <f>PasteBBM!AE801</f>
        <v/>
      </c>
      <c r="T801" t="str">
        <f>PasteBBM!AG801</f>
        <v/>
      </c>
      <c r="V801" s="44">
        <v>-0.41709</v>
      </c>
      <c r="W801" s="44">
        <v>-0.00658</v>
      </c>
      <c r="X801" s="44">
        <v>0.009207</v>
      </c>
      <c r="Y801" s="44">
        <v>-0.4263</v>
      </c>
      <c r="Z801" s="44">
        <v>-0.34564</v>
      </c>
      <c r="AA801" s="45"/>
      <c r="AB801" s="46" t="s">
        <v>126</v>
      </c>
      <c r="AC801" s="44">
        <v>67.0</v>
      </c>
    </row>
    <row r="802">
      <c r="A802" s="2">
        <v>163.0</v>
      </c>
      <c r="B802" s="14">
        <f>IF(PasteBBM!B802="",156,PasteBBM!B802)</f>
        <v>156</v>
      </c>
      <c r="C802" t="str">
        <f>PasteBBM!I802</f>
        <v/>
      </c>
      <c r="D802" t="str">
        <f>IFERROR(REPLACE(PasteBBM!K802,FIND("/",PasteBBM!K802,1),1,","),PasteBBM!K802)</f>
        <v/>
      </c>
      <c r="E802" t="str">
        <f>PasteBBM!J802</f>
        <v/>
      </c>
      <c r="F802" t="str">
        <f>PasteBBM!U802</f>
        <v/>
      </c>
      <c r="G802" t="str">
        <f>PasteBBM!X802</f>
        <v/>
      </c>
      <c r="H802">
        <f>PasteBBM!AE802*PasteBBM!AF802</f>
        <v>0</v>
      </c>
      <c r="I802" t="str">
        <f>PasteBBM!AE802</f>
        <v/>
      </c>
      <c r="J802">
        <f>PasteBBM!AG802*PasteBBM!AH802</f>
        <v>0</v>
      </c>
      <c r="K802" t="str">
        <f>PasteBBM!AG802</f>
        <v/>
      </c>
      <c r="L802" t="str">
        <f>PasteBBM!Z802</f>
        <v/>
      </c>
      <c r="M802" t="str">
        <f>PasteBBM!Y802</f>
        <v/>
      </c>
      <c r="N802" t="str">
        <f>PasteBBM!AA802</f>
        <v/>
      </c>
      <c r="O802" t="str">
        <f>PasteBBM!AB802</f>
        <v/>
      </c>
      <c r="P802" t="str">
        <f>PasteBBM!AC802</f>
        <v/>
      </c>
      <c r="Q802" t="str">
        <f>PasteBBM!AD802</f>
        <v/>
      </c>
      <c r="R802" t="str">
        <f>PasteBBM!AI802</f>
        <v/>
      </c>
      <c r="S802" t="str">
        <f>PasteBBM!AE802</f>
        <v/>
      </c>
      <c r="T802" t="str">
        <f>PasteBBM!AG802</f>
        <v/>
      </c>
      <c r="V802" s="44">
        <v>-0.41709</v>
      </c>
      <c r="W802" s="44">
        <v>-0.00658</v>
      </c>
      <c r="X802" s="44">
        <v>0.009207</v>
      </c>
      <c r="Y802" s="44">
        <v>-0.4263</v>
      </c>
      <c r="Z802" s="44">
        <v>-0.34564</v>
      </c>
      <c r="AA802" s="45"/>
      <c r="AB802" s="46" t="s">
        <v>126</v>
      </c>
      <c r="AC802" s="44">
        <v>67.0</v>
      </c>
    </row>
    <row r="803">
      <c r="A803" s="2">
        <v>163.0</v>
      </c>
      <c r="B803" s="14">
        <f>IF(PasteBBM!B803="",156,PasteBBM!B803)</f>
        <v>156</v>
      </c>
      <c r="C803" t="str">
        <f>PasteBBM!I803</f>
        <v/>
      </c>
      <c r="D803" t="str">
        <f>IFERROR(REPLACE(PasteBBM!K803,FIND("/",PasteBBM!K803,1),1,","),PasteBBM!K803)</f>
        <v/>
      </c>
      <c r="E803" t="str">
        <f>PasteBBM!J803</f>
        <v/>
      </c>
      <c r="F803" t="str">
        <f>PasteBBM!U803</f>
        <v/>
      </c>
      <c r="G803" t="str">
        <f>PasteBBM!X803</f>
        <v/>
      </c>
      <c r="H803">
        <f>PasteBBM!AE803*PasteBBM!AF803</f>
        <v>0</v>
      </c>
      <c r="I803" t="str">
        <f>PasteBBM!AE803</f>
        <v/>
      </c>
      <c r="J803">
        <f>PasteBBM!AG803*PasteBBM!AH803</f>
        <v>0</v>
      </c>
      <c r="K803" t="str">
        <f>PasteBBM!AG803</f>
        <v/>
      </c>
      <c r="L803" t="str">
        <f>PasteBBM!Z803</f>
        <v/>
      </c>
      <c r="M803" t="str">
        <f>PasteBBM!Y803</f>
        <v/>
      </c>
      <c r="N803" t="str">
        <f>PasteBBM!AA803</f>
        <v/>
      </c>
      <c r="O803" t="str">
        <f>PasteBBM!AB803</f>
        <v/>
      </c>
      <c r="P803" t="str">
        <f>PasteBBM!AC803</f>
        <v/>
      </c>
      <c r="Q803" t="str">
        <f>PasteBBM!AD803</f>
        <v/>
      </c>
      <c r="R803" t="str">
        <f>PasteBBM!AI803</f>
        <v/>
      </c>
      <c r="S803" t="str">
        <f>PasteBBM!AE803</f>
        <v/>
      </c>
      <c r="T803" t="str">
        <f>PasteBBM!AG803</f>
        <v/>
      </c>
      <c r="V803" s="44">
        <v>-0.41709</v>
      </c>
      <c r="W803" s="44">
        <v>-0.00658</v>
      </c>
      <c r="X803" s="44">
        <v>0.009207</v>
      </c>
      <c r="Y803" s="44">
        <v>-0.4263</v>
      </c>
      <c r="Z803" s="44">
        <v>-0.34564</v>
      </c>
      <c r="AA803" s="45"/>
      <c r="AB803" s="46" t="s">
        <v>126</v>
      </c>
      <c r="AC803" s="44">
        <v>67.0</v>
      </c>
    </row>
    <row r="804">
      <c r="A804" s="2">
        <v>163.0</v>
      </c>
      <c r="B804" s="14">
        <f>IF(PasteBBM!B804="",156,PasteBBM!B804)</f>
        <v>156</v>
      </c>
      <c r="C804" t="str">
        <f>PasteBBM!I804</f>
        <v/>
      </c>
      <c r="D804" t="str">
        <f>IFERROR(REPLACE(PasteBBM!K804,FIND("/",PasteBBM!K804,1),1,","),PasteBBM!K804)</f>
        <v/>
      </c>
      <c r="E804" t="str">
        <f>PasteBBM!J804</f>
        <v/>
      </c>
      <c r="F804" t="str">
        <f>PasteBBM!U804</f>
        <v/>
      </c>
      <c r="G804" t="str">
        <f>PasteBBM!X804</f>
        <v/>
      </c>
      <c r="H804">
        <f>PasteBBM!AE804*PasteBBM!AF804</f>
        <v>0</v>
      </c>
      <c r="I804" t="str">
        <f>PasteBBM!AE804</f>
        <v/>
      </c>
      <c r="J804">
        <f>PasteBBM!AG804*PasteBBM!AH804</f>
        <v>0</v>
      </c>
      <c r="K804" t="str">
        <f>PasteBBM!AG804</f>
        <v/>
      </c>
      <c r="L804" t="str">
        <f>PasteBBM!Z804</f>
        <v/>
      </c>
      <c r="M804" t="str">
        <f>PasteBBM!Y804</f>
        <v/>
      </c>
      <c r="N804" t="str">
        <f>PasteBBM!AA804</f>
        <v/>
      </c>
      <c r="O804" t="str">
        <f>PasteBBM!AB804</f>
        <v/>
      </c>
      <c r="P804" t="str">
        <f>PasteBBM!AC804</f>
        <v/>
      </c>
      <c r="Q804" t="str">
        <f>PasteBBM!AD804</f>
        <v/>
      </c>
      <c r="R804" t="str">
        <f>PasteBBM!AI804</f>
        <v/>
      </c>
      <c r="S804" t="str">
        <f>PasteBBM!AE804</f>
        <v/>
      </c>
      <c r="T804" t="str">
        <f>PasteBBM!AG804</f>
        <v/>
      </c>
      <c r="V804" s="44">
        <v>-0.41709</v>
      </c>
      <c r="W804" s="44">
        <v>-0.00658</v>
      </c>
      <c r="X804" s="44">
        <v>0.009207</v>
      </c>
      <c r="Y804" s="44">
        <v>-0.4263</v>
      </c>
      <c r="Z804" s="44">
        <v>-0.34564</v>
      </c>
      <c r="AA804" s="45"/>
      <c r="AB804" s="46" t="s">
        <v>126</v>
      </c>
      <c r="AC804" s="44">
        <v>67.0</v>
      </c>
    </row>
    <row r="805">
      <c r="A805" s="2">
        <v>163.0</v>
      </c>
      <c r="B805" s="14">
        <f>IF(PasteBBM!B805="",156,PasteBBM!B805)</f>
        <v>156</v>
      </c>
      <c r="C805" t="str">
        <f>PasteBBM!I805</f>
        <v/>
      </c>
      <c r="D805" t="str">
        <f>IFERROR(REPLACE(PasteBBM!K805,FIND("/",PasteBBM!K805,1),1,","),PasteBBM!K805)</f>
        <v/>
      </c>
      <c r="E805" t="str">
        <f>PasteBBM!J805</f>
        <v/>
      </c>
      <c r="F805" t="str">
        <f>PasteBBM!U805</f>
        <v/>
      </c>
      <c r="G805" t="str">
        <f>PasteBBM!X805</f>
        <v/>
      </c>
      <c r="H805">
        <f>PasteBBM!AE805*PasteBBM!AF805</f>
        <v>0</v>
      </c>
      <c r="I805" t="str">
        <f>PasteBBM!AE805</f>
        <v/>
      </c>
      <c r="J805">
        <f>PasteBBM!AG805*PasteBBM!AH805</f>
        <v>0</v>
      </c>
      <c r="K805" t="str">
        <f>PasteBBM!AG805</f>
        <v/>
      </c>
      <c r="L805" t="str">
        <f>PasteBBM!Z805</f>
        <v/>
      </c>
      <c r="M805" t="str">
        <f>PasteBBM!Y805</f>
        <v/>
      </c>
      <c r="N805" t="str">
        <f>PasteBBM!AA805</f>
        <v/>
      </c>
      <c r="O805" t="str">
        <f>PasteBBM!AB805</f>
        <v/>
      </c>
      <c r="P805" t="str">
        <f>PasteBBM!AC805</f>
        <v/>
      </c>
      <c r="Q805" t="str">
        <f>PasteBBM!AD805</f>
        <v/>
      </c>
      <c r="R805" t="str">
        <f>PasteBBM!AI805</f>
        <v/>
      </c>
      <c r="S805" t="str">
        <f>PasteBBM!AE805</f>
        <v/>
      </c>
      <c r="T805" t="str">
        <f>PasteBBM!AG805</f>
        <v/>
      </c>
      <c r="V805" s="44">
        <v>-0.41709</v>
      </c>
      <c r="W805" s="44">
        <v>-0.00658</v>
      </c>
      <c r="X805" s="44">
        <v>0.009207</v>
      </c>
      <c r="Y805" s="44">
        <v>-0.4263</v>
      </c>
      <c r="Z805" s="44">
        <v>-0.34564</v>
      </c>
      <c r="AA805" s="45"/>
      <c r="AB805" s="46" t="s">
        <v>126</v>
      </c>
      <c r="AC805" s="44">
        <v>67.0</v>
      </c>
    </row>
    <row r="806">
      <c r="A806" s="2">
        <v>163.0</v>
      </c>
      <c r="B806" s="14">
        <f>IF(PasteBBM!B806="",156,PasteBBM!B806)</f>
        <v>156</v>
      </c>
      <c r="C806" t="str">
        <f>PasteBBM!I806</f>
        <v/>
      </c>
      <c r="D806" t="str">
        <f>IFERROR(REPLACE(PasteBBM!K806,FIND("/",PasteBBM!K806,1),1,","),PasteBBM!K806)</f>
        <v/>
      </c>
      <c r="E806" t="str">
        <f>PasteBBM!J806</f>
        <v/>
      </c>
      <c r="F806" t="str">
        <f>PasteBBM!U806</f>
        <v/>
      </c>
      <c r="G806" t="str">
        <f>PasteBBM!X806</f>
        <v/>
      </c>
      <c r="H806">
        <f>PasteBBM!AE806*PasteBBM!AF806</f>
        <v>0</v>
      </c>
      <c r="I806" t="str">
        <f>PasteBBM!AE806</f>
        <v/>
      </c>
      <c r="J806">
        <f>PasteBBM!AG806*PasteBBM!AH806</f>
        <v>0</v>
      </c>
      <c r="K806" t="str">
        <f>PasteBBM!AG806</f>
        <v/>
      </c>
      <c r="L806" t="str">
        <f>PasteBBM!Z806</f>
        <v/>
      </c>
      <c r="M806" t="str">
        <f>PasteBBM!Y806</f>
        <v/>
      </c>
      <c r="N806" t="str">
        <f>PasteBBM!AA806</f>
        <v/>
      </c>
      <c r="O806" t="str">
        <f>PasteBBM!AB806</f>
        <v/>
      </c>
      <c r="P806" t="str">
        <f>PasteBBM!AC806</f>
        <v/>
      </c>
      <c r="Q806" t="str">
        <f>PasteBBM!AD806</f>
        <v/>
      </c>
      <c r="R806" t="str">
        <f>PasteBBM!AI806</f>
        <v/>
      </c>
      <c r="S806" t="str">
        <f>PasteBBM!AE806</f>
        <v/>
      </c>
      <c r="T806" t="str">
        <f>PasteBBM!AG806</f>
        <v/>
      </c>
      <c r="V806" s="44">
        <v>-0.41709</v>
      </c>
      <c r="W806" s="44">
        <v>-0.00658</v>
      </c>
      <c r="X806" s="44">
        <v>0.009207</v>
      </c>
      <c r="Y806" s="44">
        <v>-0.4263</v>
      </c>
      <c r="Z806" s="44">
        <v>-0.34564</v>
      </c>
      <c r="AA806" s="45"/>
      <c r="AB806" s="46" t="s">
        <v>126</v>
      </c>
      <c r="AC806" s="44">
        <v>67.0</v>
      </c>
    </row>
    <row r="807">
      <c r="A807" s="2">
        <v>163.0</v>
      </c>
      <c r="B807" s="14">
        <f>IF(PasteBBM!B807="",156,PasteBBM!B807)</f>
        <v>156</v>
      </c>
      <c r="C807" t="str">
        <f>PasteBBM!I807</f>
        <v/>
      </c>
      <c r="D807" t="str">
        <f>IFERROR(REPLACE(PasteBBM!K807,FIND("/",PasteBBM!K807,1),1,","),PasteBBM!K807)</f>
        <v/>
      </c>
      <c r="E807" t="str">
        <f>PasteBBM!J807</f>
        <v/>
      </c>
      <c r="F807" t="str">
        <f>PasteBBM!U807</f>
        <v/>
      </c>
      <c r="G807" t="str">
        <f>PasteBBM!X807</f>
        <v/>
      </c>
      <c r="H807">
        <f>PasteBBM!AE807*PasteBBM!AF807</f>
        <v>0</v>
      </c>
      <c r="I807" t="str">
        <f>PasteBBM!AE807</f>
        <v/>
      </c>
      <c r="J807">
        <f>PasteBBM!AG807*PasteBBM!AH807</f>
        <v>0</v>
      </c>
      <c r="K807" t="str">
        <f>PasteBBM!AG807</f>
        <v/>
      </c>
      <c r="L807" t="str">
        <f>PasteBBM!Z807</f>
        <v/>
      </c>
      <c r="M807" t="str">
        <f>PasteBBM!Y807</f>
        <v/>
      </c>
      <c r="N807" t="str">
        <f>PasteBBM!AA807</f>
        <v/>
      </c>
      <c r="O807" t="str">
        <f>PasteBBM!AB807</f>
        <v/>
      </c>
      <c r="P807" t="str">
        <f>PasteBBM!AC807</f>
        <v/>
      </c>
      <c r="Q807" t="str">
        <f>PasteBBM!AD807</f>
        <v/>
      </c>
      <c r="R807" t="str">
        <f>PasteBBM!AI807</f>
        <v/>
      </c>
      <c r="S807" t="str">
        <f>PasteBBM!AE807</f>
        <v/>
      </c>
      <c r="T807" t="str">
        <f>PasteBBM!AG807</f>
        <v/>
      </c>
      <c r="V807" s="44">
        <v>-0.41709</v>
      </c>
      <c r="W807" s="44">
        <v>-0.00658</v>
      </c>
      <c r="X807" s="44">
        <v>0.009207</v>
      </c>
      <c r="Y807" s="44">
        <v>-0.4263</v>
      </c>
      <c r="Z807" s="44">
        <v>-0.34564</v>
      </c>
      <c r="AA807" s="45"/>
      <c r="AB807" s="46" t="s">
        <v>126</v>
      </c>
      <c r="AC807" s="44">
        <v>67.0</v>
      </c>
    </row>
    <row r="808">
      <c r="A808" s="2">
        <v>163.0</v>
      </c>
      <c r="B808" s="14">
        <f>IF(PasteBBM!B808="",156,PasteBBM!B808)</f>
        <v>156</v>
      </c>
      <c r="C808" t="str">
        <f>PasteBBM!I808</f>
        <v/>
      </c>
      <c r="D808" t="str">
        <f>IFERROR(REPLACE(PasteBBM!K808,FIND("/",PasteBBM!K808,1),1,","),PasteBBM!K808)</f>
        <v/>
      </c>
      <c r="E808" t="str">
        <f>PasteBBM!J808</f>
        <v/>
      </c>
      <c r="F808" t="str">
        <f>PasteBBM!U808</f>
        <v/>
      </c>
      <c r="G808" t="str">
        <f>PasteBBM!X808</f>
        <v/>
      </c>
      <c r="H808">
        <f>PasteBBM!AE808*PasteBBM!AF808</f>
        <v>0</v>
      </c>
      <c r="I808" t="str">
        <f>PasteBBM!AE808</f>
        <v/>
      </c>
      <c r="J808">
        <f>PasteBBM!AG808*PasteBBM!AH808</f>
        <v>0</v>
      </c>
      <c r="K808" t="str">
        <f>PasteBBM!AG808</f>
        <v/>
      </c>
      <c r="L808" t="str">
        <f>PasteBBM!Z808</f>
        <v/>
      </c>
      <c r="M808" t="str">
        <f>PasteBBM!Y808</f>
        <v/>
      </c>
      <c r="N808" t="str">
        <f>PasteBBM!AA808</f>
        <v/>
      </c>
      <c r="O808" t="str">
        <f>PasteBBM!AB808</f>
        <v/>
      </c>
      <c r="P808" t="str">
        <f>PasteBBM!AC808</f>
        <v/>
      </c>
      <c r="Q808" t="str">
        <f>PasteBBM!AD808</f>
        <v/>
      </c>
      <c r="R808" t="str">
        <f>PasteBBM!AI808</f>
        <v/>
      </c>
      <c r="S808" t="str">
        <f>PasteBBM!AE808</f>
        <v/>
      </c>
      <c r="T808" t="str">
        <f>PasteBBM!AG808</f>
        <v/>
      </c>
      <c r="V808" s="44">
        <v>-0.41709</v>
      </c>
      <c r="W808" s="44">
        <v>-0.00658</v>
      </c>
      <c r="X808" s="44">
        <v>0.009207</v>
      </c>
      <c r="Y808" s="44">
        <v>-0.4263</v>
      </c>
      <c r="Z808" s="44">
        <v>-0.34564</v>
      </c>
      <c r="AA808" s="45"/>
      <c r="AB808" s="46" t="s">
        <v>126</v>
      </c>
      <c r="AC808" s="44">
        <v>67.0</v>
      </c>
    </row>
    <row r="809">
      <c r="A809" s="2">
        <v>163.0</v>
      </c>
      <c r="B809" s="14">
        <f>IF(PasteBBM!B809="",156,PasteBBM!B809)</f>
        <v>156</v>
      </c>
      <c r="C809" t="str">
        <f>PasteBBM!I809</f>
        <v/>
      </c>
      <c r="D809" t="str">
        <f>IFERROR(REPLACE(PasteBBM!K809,FIND("/",PasteBBM!K809,1),1,","),PasteBBM!K809)</f>
        <v/>
      </c>
      <c r="E809" t="str">
        <f>PasteBBM!J809</f>
        <v/>
      </c>
      <c r="F809" t="str">
        <f>PasteBBM!U809</f>
        <v/>
      </c>
      <c r="G809" t="str">
        <f>PasteBBM!X809</f>
        <v/>
      </c>
      <c r="H809">
        <f>PasteBBM!AE809*PasteBBM!AF809</f>
        <v>0</v>
      </c>
      <c r="I809" t="str">
        <f>PasteBBM!AE809</f>
        <v/>
      </c>
      <c r="J809">
        <f>PasteBBM!AG809*PasteBBM!AH809</f>
        <v>0</v>
      </c>
      <c r="K809" t="str">
        <f>PasteBBM!AG809</f>
        <v/>
      </c>
      <c r="L809" t="str">
        <f>PasteBBM!Z809</f>
        <v/>
      </c>
      <c r="M809" t="str">
        <f>PasteBBM!Y809</f>
        <v/>
      </c>
      <c r="N809" t="str">
        <f>PasteBBM!AA809</f>
        <v/>
      </c>
      <c r="O809" t="str">
        <f>PasteBBM!AB809</f>
        <v/>
      </c>
      <c r="P809" t="str">
        <f>PasteBBM!AC809</f>
        <v/>
      </c>
      <c r="Q809" t="str">
        <f>PasteBBM!AD809</f>
        <v/>
      </c>
      <c r="R809" t="str">
        <f>PasteBBM!AI809</f>
        <v/>
      </c>
      <c r="S809" t="str">
        <f>PasteBBM!AE809</f>
        <v/>
      </c>
      <c r="T809" t="str">
        <f>PasteBBM!AG809</f>
        <v/>
      </c>
      <c r="V809" s="44">
        <v>-0.41709</v>
      </c>
      <c r="W809" s="44">
        <v>-0.00658</v>
      </c>
      <c r="X809" s="44">
        <v>0.009207</v>
      </c>
      <c r="Y809" s="44">
        <v>-0.4263</v>
      </c>
      <c r="Z809" s="44">
        <v>-0.34564</v>
      </c>
      <c r="AA809" s="45"/>
      <c r="AB809" s="46" t="s">
        <v>126</v>
      </c>
      <c r="AC809" s="44">
        <v>67.0</v>
      </c>
    </row>
    <row r="810">
      <c r="A810" s="2">
        <v>163.0</v>
      </c>
      <c r="B810" s="14">
        <f>IF(PasteBBM!B810="",156,PasteBBM!B810)</f>
        <v>156</v>
      </c>
      <c r="C810" t="str">
        <f>PasteBBM!I810</f>
        <v/>
      </c>
      <c r="D810" t="str">
        <f>IFERROR(REPLACE(PasteBBM!K810,FIND("/",PasteBBM!K810,1),1,","),PasteBBM!K810)</f>
        <v/>
      </c>
      <c r="E810" t="str">
        <f>PasteBBM!J810</f>
        <v/>
      </c>
      <c r="F810" t="str">
        <f>PasteBBM!U810</f>
        <v/>
      </c>
      <c r="G810" t="str">
        <f>PasteBBM!X810</f>
        <v/>
      </c>
      <c r="H810">
        <f>PasteBBM!AE810*PasteBBM!AF810</f>
        <v>0</v>
      </c>
      <c r="I810" t="str">
        <f>PasteBBM!AE810</f>
        <v/>
      </c>
      <c r="J810">
        <f>PasteBBM!AG810*PasteBBM!AH810</f>
        <v>0</v>
      </c>
      <c r="K810" t="str">
        <f>PasteBBM!AG810</f>
        <v/>
      </c>
      <c r="L810" t="str">
        <f>PasteBBM!Z810</f>
        <v/>
      </c>
      <c r="M810" t="str">
        <f>PasteBBM!Y810</f>
        <v/>
      </c>
      <c r="N810" t="str">
        <f>PasteBBM!AA810</f>
        <v/>
      </c>
      <c r="O810" t="str">
        <f>PasteBBM!AB810</f>
        <v/>
      </c>
      <c r="P810" t="str">
        <f>PasteBBM!AC810</f>
        <v/>
      </c>
      <c r="Q810" t="str">
        <f>PasteBBM!AD810</f>
        <v/>
      </c>
      <c r="R810" t="str">
        <f>PasteBBM!AI810</f>
        <v/>
      </c>
      <c r="S810" t="str">
        <f>PasteBBM!AE810</f>
        <v/>
      </c>
      <c r="T810" t="str">
        <f>PasteBBM!AG810</f>
        <v/>
      </c>
      <c r="V810" s="44">
        <v>-0.41709</v>
      </c>
      <c r="W810" s="44">
        <v>-0.00658</v>
      </c>
      <c r="X810" s="44">
        <v>0.009207</v>
      </c>
      <c r="Y810" s="44">
        <v>-0.4263</v>
      </c>
      <c r="Z810" s="44">
        <v>-0.34564</v>
      </c>
      <c r="AA810" s="45"/>
      <c r="AB810" s="46" t="s">
        <v>126</v>
      </c>
      <c r="AC810" s="44">
        <v>67.0</v>
      </c>
    </row>
    <row r="811">
      <c r="A811" s="2">
        <v>163.0</v>
      </c>
      <c r="B811" s="14">
        <f>IF(PasteBBM!B811="",156,PasteBBM!B811)</f>
        <v>156</v>
      </c>
      <c r="C811" t="str">
        <f>PasteBBM!I811</f>
        <v/>
      </c>
      <c r="D811" t="str">
        <f>IFERROR(REPLACE(PasteBBM!K811,FIND("/",PasteBBM!K811,1),1,","),PasteBBM!K811)</f>
        <v/>
      </c>
      <c r="E811" t="str">
        <f>PasteBBM!J811</f>
        <v/>
      </c>
      <c r="F811" t="str">
        <f>PasteBBM!U811</f>
        <v/>
      </c>
      <c r="G811" t="str">
        <f>PasteBBM!X811</f>
        <v/>
      </c>
      <c r="H811">
        <f>PasteBBM!AE811*PasteBBM!AF811</f>
        <v>0</v>
      </c>
      <c r="I811" t="str">
        <f>PasteBBM!AE811</f>
        <v/>
      </c>
      <c r="J811">
        <f>PasteBBM!AG811*PasteBBM!AH811</f>
        <v>0</v>
      </c>
      <c r="K811" t="str">
        <f>PasteBBM!AG811</f>
        <v/>
      </c>
      <c r="L811" t="str">
        <f>PasteBBM!Z811</f>
        <v/>
      </c>
      <c r="M811" t="str">
        <f>PasteBBM!Y811</f>
        <v/>
      </c>
      <c r="N811" t="str">
        <f>PasteBBM!AA811</f>
        <v/>
      </c>
      <c r="O811" t="str">
        <f>PasteBBM!AB811</f>
        <v/>
      </c>
      <c r="P811" t="str">
        <f>PasteBBM!AC811</f>
        <v/>
      </c>
      <c r="Q811" t="str">
        <f>PasteBBM!AD811</f>
        <v/>
      </c>
      <c r="R811" t="str">
        <f>PasteBBM!AI811</f>
        <v/>
      </c>
      <c r="S811" t="str">
        <f>PasteBBM!AE811</f>
        <v/>
      </c>
      <c r="T811" t="str">
        <f>PasteBBM!AG811</f>
        <v/>
      </c>
      <c r="V811" s="44">
        <v>-0.41709</v>
      </c>
      <c r="W811" s="44">
        <v>-0.00658</v>
      </c>
      <c r="X811" s="44">
        <v>0.009207</v>
      </c>
      <c r="Y811" s="44">
        <v>-0.4263</v>
      </c>
      <c r="Z811" s="44">
        <v>-0.34564</v>
      </c>
      <c r="AA811" s="45"/>
      <c r="AB811" s="46" t="s">
        <v>126</v>
      </c>
      <c r="AC811" s="44">
        <v>67.0</v>
      </c>
    </row>
    <row r="812">
      <c r="A812" s="2">
        <v>163.0</v>
      </c>
      <c r="B812" s="14">
        <f>IF(PasteBBM!B812="",156,PasteBBM!B812)</f>
        <v>156</v>
      </c>
      <c r="C812" t="str">
        <f>PasteBBM!I812</f>
        <v/>
      </c>
      <c r="D812" t="str">
        <f>IFERROR(REPLACE(PasteBBM!K812,FIND("/",PasteBBM!K812,1),1,","),PasteBBM!K812)</f>
        <v/>
      </c>
      <c r="E812" t="str">
        <f>PasteBBM!J812</f>
        <v/>
      </c>
      <c r="F812" t="str">
        <f>PasteBBM!U812</f>
        <v/>
      </c>
      <c r="G812" t="str">
        <f>PasteBBM!X812</f>
        <v/>
      </c>
      <c r="H812">
        <f>PasteBBM!AE812*PasteBBM!AF812</f>
        <v>0</v>
      </c>
      <c r="I812" t="str">
        <f>PasteBBM!AE812</f>
        <v/>
      </c>
      <c r="J812">
        <f>PasteBBM!AG812*PasteBBM!AH812</f>
        <v>0</v>
      </c>
      <c r="K812" t="str">
        <f>PasteBBM!AG812</f>
        <v/>
      </c>
      <c r="L812" t="str">
        <f>PasteBBM!Z812</f>
        <v/>
      </c>
      <c r="M812" t="str">
        <f>PasteBBM!Y812</f>
        <v/>
      </c>
      <c r="N812" t="str">
        <f>PasteBBM!AA812</f>
        <v/>
      </c>
      <c r="O812" t="str">
        <f>PasteBBM!AB812</f>
        <v/>
      </c>
      <c r="P812" t="str">
        <f>PasteBBM!AC812</f>
        <v/>
      </c>
      <c r="Q812" t="str">
        <f>PasteBBM!AD812</f>
        <v/>
      </c>
      <c r="R812" t="str">
        <f>PasteBBM!AI812</f>
        <v/>
      </c>
      <c r="S812" t="str">
        <f>PasteBBM!AE812</f>
        <v/>
      </c>
      <c r="T812" t="str">
        <f>PasteBBM!AG812</f>
        <v/>
      </c>
      <c r="V812" s="44">
        <v>-0.41709</v>
      </c>
      <c r="W812" s="44">
        <v>-0.00658</v>
      </c>
      <c r="X812" s="44">
        <v>0.009207</v>
      </c>
      <c r="Y812" s="44">
        <v>-0.4263</v>
      </c>
      <c r="Z812" s="44">
        <v>-0.34564</v>
      </c>
      <c r="AA812" s="45"/>
      <c r="AB812" s="46" t="s">
        <v>126</v>
      </c>
      <c r="AC812" s="44">
        <v>67.0</v>
      </c>
    </row>
    <row r="813">
      <c r="A813" s="2">
        <v>163.0</v>
      </c>
      <c r="B813" s="14">
        <f>IF(PasteBBM!B813="",156,PasteBBM!B813)</f>
        <v>156</v>
      </c>
      <c r="C813" t="str">
        <f>PasteBBM!I813</f>
        <v/>
      </c>
      <c r="D813" t="str">
        <f>IFERROR(REPLACE(PasteBBM!K813,FIND("/",PasteBBM!K813,1),1,","),PasteBBM!K813)</f>
        <v/>
      </c>
      <c r="E813" t="str">
        <f>PasteBBM!J813</f>
        <v/>
      </c>
      <c r="F813" t="str">
        <f>PasteBBM!U813</f>
        <v/>
      </c>
      <c r="G813" t="str">
        <f>PasteBBM!X813</f>
        <v/>
      </c>
      <c r="H813">
        <f>PasteBBM!AE813*PasteBBM!AF813</f>
        <v>0</v>
      </c>
      <c r="I813" t="str">
        <f>PasteBBM!AE813</f>
        <v/>
      </c>
      <c r="J813">
        <f>PasteBBM!AG813*PasteBBM!AH813</f>
        <v>0</v>
      </c>
      <c r="K813" t="str">
        <f>PasteBBM!AG813</f>
        <v/>
      </c>
      <c r="L813" t="str">
        <f>PasteBBM!Z813</f>
        <v/>
      </c>
      <c r="M813" t="str">
        <f>PasteBBM!Y813</f>
        <v/>
      </c>
      <c r="N813" t="str">
        <f>PasteBBM!AA813</f>
        <v/>
      </c>
      <c r="O813" t="str">
        <f>PasteBBM!AB813</f>
        <v/>
      </c>
      <c r="P813" t="str">
        <f>PasteBBM!AC813</f>
        <v/>
      </c>
      <c r="Q813" t="str">
        <f>PasteBBM!AD813</f>
        <v/>
      </c>
      <c r="R813" t="str">
        <f>PasteBBM!AI813</f>
        <v/>
      </c>
      <c r="S813" t="str">
        <f>PasteBBM!AE813</f>
        <v/>
      </c>
      <c r="T813" t="str">
        <f>PasteBBM!AG813</f>
        <v/>
      </c>
      <c r="V813" s="44">
        <v>-0.41709</v>
      </c>
      <c r="W813" s="44">
        <v>-0.00658</v>
      </c>
      <c r="X813" s="44">
        <v>0.009207</v>
      </c>
      <c r="Y813" s="44">
        <v>-0.4263</v>
      </c>
      <c r="Z813" s="44">
        <v>-0.34564</v>
      </c>
      <c r="AA813" s="45"/>
      <c r="AB813" s="46" t="s">
        <v>126</v>
      </c>
      <c r="AC813" s="44">
        <v>67.0</v>
      </c>
    </row>
    <row r="814">
      <c r="A814" s="2">
        <v>163.0</v>
      </c>
      <c r="B814" s="14">
        <f>IF(PasteBBM!B814="",156,PasteBBM!B814)</f>
        <v>156</v>
      </c>
      <c r="C814" t="str">
        <f>PasteBBM!I814</f>
        <v/>
      </c>
      <c r="D814" t="str">
        <f>IFERROR(REPLACE(PasteBBM!K814,FIND("/",PasteBBM!K814,1),1,","),PasteBBM!K814)</f>
        <v/>
      </c>
      <c r="E814" t="str">
        <f>PasteBBM!J814</f>
        <v/>
      </c>
      <c r="F814" t="str">
        <f>PasteBBM!U814</f>
        <v/>
      </c>
      <c r="G814" t="str">
        <f>PasteBBM!X814</f>
        <v/>
      </c>
      <c r="H814">
        <f>PasteBBM!AE814*PasteBBM!AF814</f>
        <v>0</v>
      </c>
      <c r="I814" t="str">
        <f>PasteBBM!AE814</f>
        <v/>
      </c>
      <c r="J814">
        <f>PasteBBM!AG814*PasteBBM!AH814</f>
        <v>0</v>
      </c>
      <c r="K814" t="str">
        <f>PasteBBM!AG814</f>
        <v/>
      </c>
      <c r="L814" t="str">
        <f>PasteBBM!Z814</f>
        <v/>
      </c>
      <c r="M814" t="str">
        <f>PasteBBM!Y814</f>
        <v/>
      </c>
      <c r="N814" t="str">
        <f>PasteBBM!AA814</f>
        <v/>
      </c>
      <c r="O814" t="str">
        <f>PasteBBM!AB814</f>
        <v/>
      </c>
      <c r="P814" t="str">
        <f>PasteBBM!AC814</f>
        <v/>
      </c>
      <c r="Q814" t="str">
        <f>PasteBBM!AD814</f>
        <v/>
      </c>
      <c r="R814" t="str">
        <f>PasteBBM!AI814</f>
        <v/>
      </c>
      <c r="S814" t="str">
        <f>PasteBBM!AE814</f>
        <v/>
      </c>
      <c r="T814" t="str">
        <f>PasteBBM!AG814</f>
        <v/>
      </c>
      <c r="V814" s="44">
        <v>-0.41709</v>
      </c>
      <c r="W814" s="44">
        <v>-0.00658</v>
      </c>
      <c r="X814" s="44">
        <v>0.009207</v>
      </c>
      <c r="Y814" s="44">
        <v>-0.4263</v>
      </c>
      <c r="Z814" s="44">
        <v>-0.34564</v>
      </c>
      <c r="AA814" s="45"/>
      <c r="AB814" s="46" t="s">
        <v>126</v>
      </c>
      <c r="AC814" s="44">
        <v>67.0</v>
      </c>
    </row>
    <row r="815">
      <c r="A815" s="2">
        <v>163.0</v>
      </c>
      <c r="B815" s="14">
        <f>IF(PasteBBM!B815="",156,PasteBBM!B815)</f>
        <v>156</v>
      </c>
      <c r="C815" t="str">
        <f>PasteBBM!I815</f>
        <v/>
      </c>
      <c r="D815" t="str">
        <f>IFERROR(REPLACE(PasteBBM!K815,FIND("/",PasteBBM!K815,1),1,","),PasteBBM!K815)</f>
        <v/>
      </c>
      <c r="E815" t="str">
        <f>PasteBBM!J815</f>
        <v/>
      </c>
      <c r="F815" t="str">
        <f>PasteBBM!U815</f>
        <v/>
      </c>
      <c r="G815" t="str">
        <f>PasteBBM!X815</f>
        <v/>
      </c>
      <c r="H815">
        <f>PasteBBM!AE815*PasteBBM!AF815</f>
        <v>0</v>
      </c>
      <c r="I815" t="str">
        <f>PasteBBM!AE815</f>
        <v/>
      </c>
      <c r="J815">
        <f>PasteBBM!AG815*PasteBBM!AH815</f>
        <v>0</v>
      </c>
      <c r="K815" t="str">
        <f>PasteBBM!AG815</f>
        <v/>
      </c>
      <c r="L815" t="str">
        <f>PasteBBM!Z815</f>
        <v/>
      </c>
      <c r="M815" t="str">
        <f>PasteBBM!Y815</f>
        <v/>
      </c>
      <c r="N815" t="str">
        <f>PasteBBM!AA815</f>
        <v/>
      </c>
      <c r="O815" t="str">
        <f>PasteBBM!AB815</f>
        <v/>
      </c>
      <c r="P815" t="str">
        <f>PasteBBM!AC815</f>
        <v/>
      </c>
      <c r="Q815" t="str">
        <f>PasteBBM!AD815</f>
        <v/>
      </c>
      <c r="R815" t="str">
        <f>PasteBBM!AI815</f>
        <v/>
      </c>
      <c r="S815" t="str">
        <f>PasteBBM!AE815</f>
        <v/>
      </c>
      <c r="T815" t="str">
        <f>PasteBBM!AG815</f>
        <v/>
      </c>
      <c r="V815" s="44">
        <v>-0.41709</v>
      </c>
      <c r="W815" s="44">
        <v>-0.00658</v>
      </c>
      <c r="X815" s="44">
        <v>0.009207</v>
      </c>
      <c r="Y815" s="44">
        <v>-0.4263</v>
      </c>
      <c r="Z815" s="44">
        <v>-0.34564</v>
      </c>
      <c r="AA815" s="45"/>
      <c r="AB815" s="46" t="s">
        <v>126</v>
      </c>
      <c r="AC815" s="44">
        <v>67.0</v>
      </c>
    </row>
    <row r="816">
      <c r="A816" s="2">
        <v>163.0</v>
      </c>
      <c r="B816" s="14">
        <f>IF(PasteBBM!B816="",156,PasteBBM!B816)</f>
        <v>156</v>
      </c>
      <c r="C816" t="str">
        <f>PasteBBM!I816</f>
        <v/>
      </c>
      <c r="D816" t="str">
        <f>IFERROR(REPLACE(PasteBBM!K816,FIND("/",PasteBBM!K816,1),1,","),PasteBBM!K816)</f>
        <v/>
      </c>
      <c r="E816" t="str">
        <f>PasteBBM!J816</f>
        <v/>
      </c>
      <c r="F816" t="str">
        <f>PasteBBM!U816</f>
        <v/>
      </c>
      <c r="G816" t="str">
        <f>PasteBBM!X816</f>
        <v/>
      </c>
      <c r="H816">
        <f>PasteBBM!AE816*PasteBBM!AF816</f>
        <v>0</v>
      </c>
      <c r="I816" t="str">
        <f>PasteBBM!AE816</f>
        <v/>
      </c>
      <c r="J816">
        <f>PasteBBM!AG816*PasteBBM!AH816</f>
        <v>0</v>
      </c>
      <c r="K816" t="str">
        <f>PasteBBM!AG816</f>
        <v/>
      </c>
      <c r="L816" t="str">
        <f>PasteBBM!Z816</f>
        <v/>
      </c>
      <c r="M816" t="str">
        <f>PasteBBM!Y816</f>
        <v/>
      </c>
      <c r="N816" t="str">
        <f>PasteBBM!AA816</f>
        <v/>
      </c>
      <c r="O816" t="str">
        <f>PasteBBM!AB816</f>
        <v/>
      </c>
      <c r="P816" t="str">
        <f>PasteBBM!AC816</f>
        <v/>
      </c>
      <c r="Q816" t="str">
        <f>PasteBBM!AD816</f>
        <v/>
      </c>
      <c r="R816" t="str">
        <f>PasteBBM!AI816</f>
        <v/>
      </c>
      <c r="S816" t="str">
        <f>PasteBBM!AE816</f>
        <v/>
      </c>
      <c r="T816" t="str">
        <f>PasteBBM!AG816</f>
        <v/>
      </c>
      <c r="V816" s="44">
        <v>-0.41709</v>
      </c>
      <c r="W816" s="44">
        <v>-0.00658</v>
      </c>
      <c r="X816" s="44">
        <v>0.009207</v>
      </c>
      <c r="Y816" s="44">
        <v>-0.4263</v>
      </c>
      <c r="Z816" s="44">
        <v>-0.34564</v>
      </c>
      <c r="AA816" s="45"/>
      <c r="AB816" s="46" t="s">
        <v>126</v>
      </c>
      <c r="AC816" s="44">
        <v>67.0</v>
      </c>
    </row>
    <row r="817">
      <c r="A817" s="2">
        <v>163.0</v>
      </c>
      <c r="B817" s="14">
        <f>IF(PasteBBM!B817="",156,PasteBBM!B817)</f>
        <v>156</v>
      </c>
      <c r="C817" t="str">
        <f>PasteBBM!I817</f>
        <v/>
      </c>
      <c r="D817" t="str">
        <f>IFERROR(REPLACE(PasteBBM!K817,FIND("/",PasteBBM!K817,1),1,","),PasteBBM!K817)</f>
        <v/>
      </c>
      <c r="E817" t="str">
        <f>PasteBBM!J817</f>
        <v/>
      </c>
      <c r="F817" t="str">
        <f>PasteBBM!U817</f>
        <v/>
      </c>
      <c r="G817" t="str">
        <f>PasteBBM!X817</f>
        <v/>
      </c>
      <c r="H817">
        <f>PasteBBM!AE817*PasteBBM!AF817</f>
        <v>0</v>
      </c>
      <c r="I817" t="str">
        <f>PasteBBM!AE817</f>
        <v/>
      </c>
      <c r="J817">
        <f>PasteBBM!AG817*PasteBBM!AH817</f>
        <v>0</v>
      </c>
      <c r="K817" t="str">
        <f>PasteBBM!AG817</f>
        <v/>
      </c>
      <c r="L817" t="str">
        <f>PasteBBM!Z817</f>
        <v/>
      </c>
      <c r="M817" t="str">
        <f>PasteBBM!Y817</f>
        <v/>
      </c>
      <c r="N817" t="str">
        <f>PasteBBM!AA817</f>
        <v/>
      </c>
      <c r="O817" t="str">
        <f>PasteBBM!AB817</f>
        <v/>
      </c>
      <c r="P817" t="str">
        <f>PasteBBM!AC817</f>
        <v/>
      </c>
      <c r="Q817" t="str">
        <f>PasteBBM!AD817</f>
        <v/>
      </c>
      <c r="R817" t="str">
        <f>PasteBBM!AI817</f>
        <v/>
      </c>
      <c r="S817" t="str">
        <f>PasteBBM!AE817</f>
        <v/>
      </c>
      <c r="T817" t="str">
        <f>PasteBBM!AG817</f>
        <v/>
      </c>
      <c r="V817" s="44">
        <v>-0.41709</v>
      </c>
      <c r="W817" s="44">
        <v>-0.00658</v>
      </c>
      <c r="X817" s="44">
        <v>0.009207</v>
      </c>
      <c r="Y817" s="44">
        <v>-0.4263</v>
      </c>
      <c r="Z817" s="44">
        <v>-0.34564</v>
      </c>
      <c r="AA817" s="45"/>
      <c r="AB817" s="46" t="s">
        <v>126</v>
      </c>
      <c r="AC817" s="44">
        <v>67.0</v>
      </c>
    </row>
    <row r="818">
      <c r="A818" s="2">
        <v>163.0</v>
      </c>
      <c r="B818" s="14">
        <f>IF(PasteBBM!B818="",156,PasteBBM!B818)</f>
        <v>156</v>
      </c>
      <c r="C818" t="str">
        <f>PasteBBM!I818</f>
        <v/>
      </c>
      <c r="D818" t="str">
        <f>IFERROR(REPLACE(PasteBBM!K818,FIND("/",PasteBBM!K818,1),1,","),PasteBBM!K818)</f>
        <v/>
      </c>
      <c r="E818" t="str">
        <f>PasteBBM!J818</f>
        <v/>
      </c>
      <c r="F818" t="str">
        <f>PasteBBM!U818</f>
        <v/>
      </c>
      <c r="G818" t="str">
        <f>PasteBBM!X818</f>
        <v/>
      </c>
      <c r="H818">
        <f>PasteBBM!AE818*PasteBBM!AF818</f>
        <v>0</v>
      </c>
      <c r="I818" t="str">
        <f>PasteBBM!AE818</f>
        <v/>
      </c>
      <c r="J818">
        <f>PasteBBM!AG818*PasteBBM!AH818</f>
        <v>0</v>
      </c>
      <c r="K818" t="str">
        <f>PasteBBM!AG818</f>
        <v/>
      </c>
      <c r="L818" t="str">
        <f>PasteBBM!Z818</f>
        <v/>
      </c>
      <c r="M818" t="str">
        <f>PasteBBM!Y818</f>
        <v/>
      </c>
      <c r="N818" t="str">
        <f>PasteBBM!AA818</f>
        <v/>
      </c>
      <c r="O818" t="str">
        <f>PasteBBM!AB818</f>
        <v/>
      </c>
      <c r="P818" t="str">
        <f>PasteBBM!AC818</f>
        <v/>
      </c>
      <c r="Q818" t="str">
        <f>PasteBBM!AD818</f>
        <v/>
      </c>
      <c r="R818" t="str">
        <f>PasteBBM!AI818</f>
        <v/>
      </c>
      <c r="S818" t="str">
        <f>PasteBBM!AE818</f>
        <v/>
      </c>
      <c r="T818" t="str">
        <f>PasteBBM!AG818</f>
        <v/>
      </c>
      <c r="V818" s="44">
        <v>-0.41709</v>
      </c>
      <c r="W818" s="44">
        <v>-0.00658</v>
      </c>
      <c r="X818" s="44">
        <v>0.009207</v>
      </c>
      <c r="Y818" s="44">
        <v>-0.4263</v>
      </c>
      <c r="Z818" s="44">
        <v>-0.34564</v>
      </c>
      <c r="AA818" s="45"/>
      <c r="AB818" s="46" t="s">
        <v>126</v>
      </c>
      <c r="AC818" s="44">
        <v>67.0</v>
      </c>
    </row>
    <row r="819">
      <c r="A819" s="2">
        <v>163.0</v>
      </c>
      <c r="B819" s="14">
        <f>IF(PasteBBM!B819="",156,PasteBBM!B819)</f>
        <v>156</v>
      </c>
      <c r="C819" t="str">
        <f>PasteBBM!I819</f>
        <v/>
      </c>
      <c r="D819" t="str">
        <f>IFERROR(REPLACE(PasteBBM!K819,FIND("/",PasteBBM!K819,1),1,","),PasteBBM!K819)</f>
        <v/>
      </c>
      <c r="E819" t="str">
        <f>PasteBBM!J819</f>
        <v/>
      </c>
      <c r="F819" t="str">
        <f>PasteBBM!U819</f>
        <v/>
      </c>
      <c r="G819" t="str">
        <f>PasteBBM!X819</f>
        <v/>
      </c>
      <c r="H819">
        <f>PasteBBM!AE819*PasteBBM!AF819</f>
        <v>0</v>
      </c>
      <c r="I819" t="str">
        <f>PasteBBM!AE819</f>
        <v/>
      </c>
      <c r="J819">
        <f>PasteBBM!AG819*PasteBBM!AH819</f>
        <v>0</v>
      </c>
      <c r="K819" t="str">
        <f>PasteBBM!AG819</f>
        <v/>
      </c>
      <c r="L819" t="str">
        <f>PasteBBM!Z819</f>
        <v/>
      </c>
      <c r="M819" t="str">
        <f>PasteBBM!Y819</f>
        <v/>
      </c>
      <c r="N819" t="str">
        <f>PasteBBM!AA819</f>
        <v/>
      </c>
      <c r="O819" t="str">
        <f>PasteBBM!AB819</f>
        <v/>
      </c>
      <c r="P819" t="str">
        <f>PasteBBM!AC819</f>
        <v/>
      </c>
      <c r="Q819" t="str">
        <f>PasteBBM!AD819</f>
        <v/>
      </c>
      <c r="R819" t="str">
        <f>PasteBBM!AI819</f>
        <v/>
      </c>
      <c r="S819" t="str">
        <f>PasteBBM!AE819</f>
        <v/>
      </c>
      <c r="T819" t="str">
        <f>PasteBBM!AG819</f>
        <v/>
      </c>
      <c r="V819" s="44">
        <v>-0.41709</v>
      </c>
      <c r="W819" s="44">
        <v>-0.00658</v>
      </c>
      <c r="X819" s="44">
        <v>0.009207</v>
      </c>
      <c r="Y819" s="44">
        <v>-0.4263</v>
      </c>
      <c r="Z819" s="44">
        <v>-0.34564</v>
      </c>
      <c r="AA819" s="45"/>
      <c r="AB819" s="46" t="s">
        <v>126</v>
      </c>
      <c r="AC819" s="44">
        <v>67.0</v>
      </c>
    </row>
    <row r="820">
      <c r="A820" s="2">
        <v>163.0</v>
      </c>
      <c r="B820" s="14">
        <f>IF(PasteBBM!B820="",156,PasteBBM!B820)</f>
        <v>156</v>
      </c>
      <c r="C820" t="str">
        <f>PasteBBM!I820</f>
        <v/>
      </c>
      <c r="D820" t="str">
        <f>IFERROR(REPLACE(PasteBBM!K820,FIND("/",PasteBBM!K820,1),1,","),PasteBBM!K820)</f>
        <v/>
      </c>
      <c r="E820" t="str">
        <f>PasteBBM!J820</f>
        <v/>
      </c>
      <c r="F820" t="str">
        <f>PasteBBM!U820</f>
        <v/>
      </c>
      <c r="G820" t="str">
        <f>PasteBBM!X820</f>
        <v/>
      </c>
      <c r="H820">
        <f>PasteBBM!AE820*PasteBBM!AF820</f>
        <v>0</v>
      </c>
      <c r="I820" t="str">
        <f>PasteBBM!AE820</f>
        <v/>
      </c>
      <c r="J820">
        <f>PasteBBM!AG820*PasteBBM!AH820</f>
        <v>0</v>
      </c>
      <c r="K820" t="str">
        <f>PasteBBM!AG820</f>
        <v/>
      </c>
      <c r="L820" t="str">
        <f>PasteBBM!Z820</f>
        <v/>
      </c>
      <c r="M820" t="str">
        <f>PasteBBM!Y820</f>
        <v/>
      </c>
      <c r="N820" t="str">
        <f>PasteBBM!AA820</f>
        <v/>
      </c>
      <c r="O820" t="str">
        <f>PasteBBM!AB820</f>
        <v/>
      </c>
      <c r="P820" t="str">
        <f>PasteBBM!AC820</f>
        <v/>
      </c>
      <c r="Q820" t="str">
        <f>PasteBBM!AD820</f>
        <v/>
      </c>
      <c r="R820" t="str">
        <f>PasteBBM!AI820</f>
        <v/>
      </c>
      <c r="S820" t="str">
        <f>PasteBBM!AE820</f>
        <v/>
      </c>
      <c r="T820" t="str">
        <f>PasteBBM!AG820</f>
        <v/>
      </c>
      <c r="V820" s="44">
        <v>-0.41709</v>
      </c>
      <c r="W820" s="44">
        <v>-0.00658</v>
      </c>
      <c r="X820" s="44">
        <v>0.009207</v>
      </c>
      <c r="Y820" s="44">
        <v>-0.4263</v>
      </c>
      <c r="Z820" s="44">
        <v>-0.34564</v>
      </c>
      <c r="AA820" s="45"/>
      <c r="AB820" s="46" t="s">
        <v>126</v>
      </c>
      <c r="AC820" s="44">
        <v>67.0</v>
      </c>
    </row>
    <row r="821">
      <c r="A821" s="2">
        <v>163.0</v>
      </c>
      <c r="B821" s="14">
        <f>IF(PasteBBM!B821="",156,PasteBBM!B821)</f>
        <v>156</v>
      </c>
      <c r="C821" t="str">
        <f>PasteBBM!I821</f>
        <v/>
      </c>
      <c r="D821" t="str">
        <f>IFERROR(REPLACE(PasteBBM!K821,FIND("/",PasteBBM!K821,1),1,","),PasteBBM!K821)</f>
        <v/>
      </c>
      <c r="E821" t="str">
        <f>PasteBBM!J821</f>
        <v/>
      </c>
      <c r="F821" t="str">
        <f>PasteBBM!U821</f>
        <v/>
      </c>
      <c r="G821" t="str">
        <f>PasteBBM!X821</f>
        <v/>
      </c>
      <c r="H821">
        <f>PasteBBM!AE821*PasteBBM!AF821</f>
        <v>0</v>
      </c>
      <c r="I821" t="str">
        <f>PasteBBM!AE821</f>
        <v/>
      </c>
      <c r="J821">
        <f>PasteBBM!AG821*PasteBBM!AH821</f>
        <v>0</v>
      </c>
      <c r="K821" t="str">
        <f>PasteBBM!AG821</f>
        <v/>
      </c>
      <c r="L821" t="str">
        <f>PasteBBM!Z821</f>
        <v/>
      </c>
      <c r="M821" t="str">
        <f>PasteBBM!Y821</f>
        <v/>
      </c>
      <c r="N821" t="str">
        <f>PasteBBM!AA821</f>
        <v/>
      </c>
      <c r="O821" t="str">
        <f>PasteBBM!AB821</f>
        <v/>
      </c>
      <c r="P821" t="str">
        <f>PasteBBM!AC821</f>
        <v/>
      </c>
      <c r="Q821" t="str">
        <f>PasteBBM!AD821</f>
        <v/>
      </c>
      <c r="R821" t="str">
        <f>PasteBBM!AI821</f>
        <v/>
      </c>
      <c r="S821" t="str">
        <f>PasteBBM!AE821</f>
        <v/>
      </c>
      <c r="T821" t="str">
        <f>PasteBBM!AG821</f>
        <v/>
      </c>
      <c r="V821" s="44">
        <v>-0.41709</v>
      </c>
      <c r="W821" s="44">
        <v>-0.00658</v>
      </c>
      <c r="X821" s="44">
        <v>0.009207</v>
      </c>
      <c r="Y821" s="44">
        <v>-0.4263</v>
      </c>
      <c r="Z821" s="44">
        <v>-0.34564</v>
      </c>
      <c r="AA821" s="45"/>
      <c r="AB821" s="46" t="s">
        <v>126</v>
      </c>
      <c r="AC821" s="44">
        <v>67.0</v>
      </c>
    </row>
    <row r="822">
      <c r="A822" s="2">
        <v>163.0</v>
      </c>
      <c r="B822" s="14">
        <f>IF(PasteBBM!B822="",156,PasteBBM!B822)</f>
        <v>156</v>
      </c>
      <c r="C822" t="str">
        <f>PasteBBM!I822</f>
        <v/>
      </c>
      <c r="D822" t="str">
        <f>IFERROR(REPLACE(PasteBBM!K822,FIND("/",PasteBBM!K822,1),1,","),PasteBBM!K822)</f>
        <v/>
      </c>
      <c r="E822" t="str">
        <f>PasteBBM!J822</f>
        <v/>
      </c>
      <c r="F822" t="str">
        <f>PasteBBM!U822</f>
        <v/>
      </c>
      <c r="G822" t="str">
        <f>PasteBBM!X822</f>
        <v/>
      </c>
      <c r="H822">
        <f>PasteBBM!AE822*PasteBBM!AF822</f>
        <v>0</v>
      </c>
      <c r="I822" t="str">
        <f>PasteBBM!AE822</f>
        <v/>
      </c>
      <c r="J822">
        <f>PasteBBM!AG822*PasteBBM!AH822</f>
        <v>0</v>
      </c>
      <c r="K822" t="str">
        <f>PasteBBM!AG822</f>
        <v/>
      </c>
      <c r="L822" t="str">
        <f>PasteBBM!Z822</f>
        <v/>
      </c>
      <c r="M822" t="str">
        <f>PasteBBM!Y822</f>
        <v/>
      </c>
      <c r="N822" t="str">
        <f>PasteBBM!AA822</f>
        <v/>
      </c>
      <c r="O822" t="str">
        <f>PasteBBM!AB822</f>
        <v/>
      </c>
      <c r="P822" t="str">
        <f>PasteBBM!AC822</f>
        <v/>
      </c>
      <c r="Q822" t="str">
        <f>PasteBBM!AD822</f>
        <v/>
      </c>
      <c r="R822" t="str">
        <f>PasteBBM!AI822</f>
        <v/>
      </c>
      <c r="S822" t="str">
        <f>PasteBBM!AE822</f>
        <v/>
      </c>
      <c r="T822" t="str">
        <f>PasteBBM!AG822</f>
        <v/>
      </c>
      <c r="V822" s="44">
        <v>-0.41709</v>
      </c>
      <c r="W822" s="44">
        <v>-0.00658</v>
      </c>
      <c r="X822" s="44">
        <v>0.009207</v>
      </c>
      <c r="Y822" s="44">
        <v>-0.4263</v>
      </c>
      <c r="Z822" s="44">
        <v>-0.34564</v>
      </c>
      <c r="AA822" s="45"/>
      <c r="AB822" s="46" t="s">
        <v>126</v>
      </c>
      <c r="AC822" s="44">
        <v>67.0</v>
      </c>
    </row>
    <row r="823">
      <c r="A823" s="2">
        <v>163.0</v>
      </c>
      <c r="B823" s="14">
        <f>IF(PasteBBM!B823="",156,PasteBBM!B823)</f>
        <v>156</v>
      </c>
      <c r="C823" t="str">
        <f>PasteBBM!I823</f>
        <v/>
      </c>
      <c r="D823" t="str">
        <f>IFERROR(REPLACE(PasteBBM!K823,FIND("/",PasteBBM!K823,1),1,","),PasteBBM!K823)</f>
        <v/>
      </c>
      <c r="E823" t="str">
        <f>PasteBBM!J823</f>
        <v/>
      </c>
      <c r="F823" t="str">
        <f>PasteBBM!U823</f>
        <v/>
      </c>
      <c r="G823" t="str">
        <f>PasteBBM!X823</f>
        <v/>
      </c>
      <c r="H823">
        <f>PasteBBM!AE823*PasteBBM!AF823</f>
        <v>0</v>
      </c>
      <c r="I823" t="str">
        <f>PasteBBM!AE823</f>
        <v/>
      </c>
      <c r="J823">
        <f>PasteBBM!AG823*PasteBBM!AH823</f>
        <v>0</v>
      </c>
      <c r="K823" t="str">
        <f>PasteBBM!AG823</f>
        <v/>
      </c>
      <c r="L823" t="str">
        <f>PasteBBM!Z823</f>
        <v/>
      </c>
      <c r="M823" t="str">
        <f>PasteBBM!Y823</f>
        <v/>
      </c>
      <c r="N823" t="str">
        <f>PasteBBM!AA823</f>
        <v/>
      </c>
      <c r="O823" t="str">
        <f>PasteBBM!AB823</f>
        <v/>
      </c>
      <c r="P823" t="str">
        <f>PasteBBM!AC823</f>
        <v/>
      </c>
      <c r="Q823" t="str">
        <f>PasteBBM!AD823</f>
        <v/>
      </c>
      <c r="R823" t="str">
        <f>PasteBBM!AI823</f>
        <v/>
      </c>
      <c r="S823" t="str">
        <f>PasteBBM!AE823</f>
        <v/>
      </c>
      <c r="T823" t="str">
        <f>PasteBBM!AG823</f>
        <v/>
      </c>
      <c r="V823" s="44">
        <v>-0.41709</v>
      </c>
      <c r="W823" s="44">
        <v>-0.00658</v>
      </c>
      <c r="X823" s="44">
        <v>0.009207</v>
      </c>
      <c r="Y823" s="44">
        <v>-0.4263</v>
      </c>
      <c r="Z823" s="44">
        <v>-0.34564</v>
      </c>
      <c r="AA823" s="45"/>
      <c r="AB823" s="46" t="s">
        <v>126</v>
      </c>
      <c r="AC823" s="44">
        <v>67.0</v>
      </c>
    </row>
    <row r="824">
      <c r="A824" s="2">
        <v>163.0</v>
      </c>
      <c r="B824" s="14">
        <f>IF(PasteBBM!B824="",156,PasteBBM!B824)</f>
        <v>156</v>
      </c>
      <c r="C824" t="str">
        <f>PasteBBM!I824</f>
        <v/>
      </c>
      <c r="D824" t="str">
        <f>IFERROR(REPLACE(PasteBBM!K824,FIND("/",PasteBBM!K824,1),1,","),PasteBBM!K824)</f>
        <v/>
      </c>
      <c r="E824" t="str">
        <f>PasteBBM!J824</f>
        <v/>
      </c>
      <c r="F824" t="str">
        <f>PasteBBM!U824</f>
        <v/>
      </c>
      <c r="G824" t="str">
        <f>PasteBBM!X824</f>
        <v/>
      </c>
      <c r="H824">
        <f>PasteBBM!AE824*PasteBBM!AF824</f>
        <v>0</v>
      </c>
      <c r="I824" t="str">
        <f>PasteBBM!AE824</f>
        <v/>
      </c>
      <c r="J824">
        <f>PasteBBM!AG824*PasteBBM!AH824</f>
        <v>0</v>
      </c>
      <c r="K824" t="str">
        <f>PasteBBM!AG824</f>
        <v/>
      </c>
      <c r="L824" t="str">
        <f>PasteBBM!Z824</f>
        <v/>
      </c>
      <c r="M824" t="str">
        <f>PasteBBM!Y824</f>
        <v/>
      </c>
      <c r="N824" t="str">
        <f>PasteBBM!AA824</f>
        <v/>
      </c>
      <c r="O824" t="str">
        <f>PasteBBM!AB824</f>
        <v/>
      </c>
      <c r="P824" t="str">
        <f>PasteBBM!AC824</f>
        <v/>
      </c>
      <c r="Q824" t="str">
        <f>PasteBBM!AD824</f>
        <v/>
      </c>
      <c r="R824" t="str">
        <f>PasteBBM!AI824</f>
        <v/>
      </c>
      <c r="S824" t="str">
        <f>PasteBBM!AE824</f>
        <v/>
      </c>
      <c r="T824" t="str">
        <f>PasteBBM!AG824</f>
        <v/>
      </c>
      <c r="V824" s="44">
        <v>-0.41709</v>
      </c>
      <c r="W824" s="44">
        <v>-0.00658</v>
      </c>
      <c r="X824" s="44">
        <v>0.009207</v>
      </c>
      <c r="Y824" s="44">
        <v>-0.4263</v>
      </c>
      <c r="Z824" s="44">
        <v>-0.34564</v>
      </c>
      <c r="AA824" s="45"/>
      <c r="AB824" s="46" t="s">
        <v>126</v>
      </c>
      <c r="AC824" s="44">
        <v>67.0</v>
      </c>
    </row>
    <row r="825">
      <c r="A825" s="2">
        <v>163.0</v>
      </c>
      <c r="B825" s="14">
        <f>IF(PasteBBM!B825="",156,PasteBBM!B825)</f>
        <v>156</v>
      </c>
      <c r="C825" t="str">
        <f>PasteBBM!I825</f>
        <v/>
      </c>
      <c r="D825" t="str">
        <f>IFERROR(REPLACE(PasteBBM!K825,FIND("/",PasteBBM!K825,1),1,","),PasteBBM!K825)</f>
        <v/>
      </c>
      <c r="E825" t="str">
        <f>PasteBBM!J825</f>
        <v/>
      </c>
      <c r="F825" t="str">
        <f>PasteBBM!U825</f>
        <v/>
      </c>
      <c r="G825" t="str">
        <f>PasteBBM!X825</f>
        <v/>
      </c>
      <c r="H825">
        <f>PasteBBM!AE825*PasteBBM!AF825</f>
        <v>0</v>
      </c>
      <c r="I825" t="str">
        <f>PasteBBM!AE825</f>
        <v/>
      </c>
      <c r="J825">
        <f>PasteBBM!AG825*PasteBBM!AH825</f>
        <v>0</v>
      </c>
      <c r="K825" t="str">
        <f>PasteBBM!AG825</f>
        <v/>
      </c>
      <c r="L825" t="str">
        <f>PasteBBM!Z825</f>
        <v/>
      </c>
      <c r="M825" t="str">
        <f>PasteBBM!Y825</f>
        <v/>
      </c>
      <c r="N825" t="str">
        <f>PasteBBM!AA825</f>
        <v/>
      </c>
      <c r="O825" t="str">
        <f>PasteBBM!AB825</f>
        <v/>
      </c>
      <c r="P825" t="str">
        <f>PasteBBM!AC825</f>
        <v/>
      </c>
      <c r="Q825" t="str">
        <f>PasteBBM!AD825</f>
        <v/>
      </c>
      <c r="R825" t="str">
        <f>PasteBBM!AI825</f>
        <v/>
      </c>
      <c r="S825" t="str">
        <f>PasteBBM!AE825</f>
        <v/>
      </c>
      <c r="T825" t="str">
        <f>PasteBBM!AG825</f>
        <v/>
      </c>
      <c r="V825" s="44">
        <v>-0.41709</v>
      </c>
      <c r="W825" s="44">
        <v>-0.00658</v>
      </c>
      <c r="X825" s="44">
        <v>0.009207</v>
      </c>
      <c r="Y825" s="44">
        <v>-0.4263</v>
      </c>
      <c r="Z825" s="44">
        <v>-0.34564</v>
      </c>
      <c r="AA825" s="45"/>
      <c r="AB825" s="46" t="s">
        <v>126</v>
      </c>
      <c r="AC825" s="44">
        <v>67.0</v>
      </c>
    </row>
    <row r="826">
      <c r="A826" s="2">
        <v>163.0</v>
      </c>
      <c r="B826" s="14">
        <f>IF(PasteBBM!B826="",156,PasteBBM!B826)</f>
        <v>156</v>
      </c>
      <c r="C826" t="str">
        <f>PasteBBM!I826</f>
        <v/>
      </c>
      <c r="D826" t="str">
        <f>IFERROR(REPLACE(PasteBBM!K826,FIND("/",PasteBBM!K826,1),1,","),PasteBBM!K826)</f>
        <v/>
      </c>
      <c r="E826" t="str">
        <f>PasteBBM!J826</f>
        <v/>
      </c>
      <c r="F826" t="str">
        <f>PasteBBM!U826</f>
        <v/>
      </c>
      <c r="G826" t="str">
        <f>PasteBBM!X826</f>
        <v/>
      </c>
      <c r="H826">
        <f>PasteBBM!AE826*PasteBBM!AF826</f>
        <v>0</v>
      </c>
      <c r="I826" t="str">
        <f>PasteBBM!AE826</f>
        <v/>
      </c>
      <c r="J826">
        <f>PasteBBM!AG826*PasteBBM!AH826</f>
        <v>0</v>
      </c>
      <c r="K826" t="str">
        <f>PasteBBM!AG826</f>
        <v/>
      </c>
      <c r="L826" t="str">
        <f>PasteBBM!Z826</f>
        <v/>
      </c>
      <c r="M826" t="str">
        <f>PasteBBM!Y826</f>
        <v/>
      </c>
      <c r="N826" t="str">
        <f>PasteBBM!AA826</f>
        <v/>
      </c>
      <c r="O826" t="str">
        <f>PasteBBM!AB826</f>
        <v/>
      </c>
      <c r="P826" t="str">
        <f>PasteBBM!AC826</f>
        <v/>
      </c>
      <c r="Q826" t="str">
        <f>PasteBBM!AD826</f>
        <v/>
      </c>
      <c r="R826" t="str">
        <f>PasteBBM!AI826</f>
        <v/>
      </c>
      <c r="S826" t="str">
        <f>PasteBBM!AE826</f>
        <v/>
      </c>
      <c r="T826" t="str">
        <f>PasteBBM!AG826</f>
        <v/>
      </c>
      <c r="V826" s="44">
        <v>-0.41709</v>
      </c>
      <c r="W826" s="44">
        <v>-0.00658</v>
      </c>
      <c r="X826" s="44">
        <v>0.009207</v>
      </c>
      <c r="Y826" s="44">
        <v>-0.4263</v>
      </c>
      <c r="Z826" s="44">
        <v>-0.34564</v>
      </c>
      <c r="AA826" s="45"/>
      <c r="AB826" s="46" t="s">
        <v>126</v>
      </c>
      <c r="AC826" s="44">
        <v>67.0</v>
      </c>
    </row>
    <row r="827">
      <c r="A827" s="2">
        <v>163.0</v>
      </c>
      <c r="B827" s="14">
        <f>IF(PasteBBM!B827="",156,PasteBBM!B827)</f>
        <v>156</v>
      </c>
      <c r="C827" t="str">
        <f>PasteBBM!I827</f>
        <v/>
      </c>
      <c r="D827" t="str">
        <f>IFERROR(REPLACE(PasteBBM!K827,FIND("/",PasteBBM!K827,1),1,","),PasteBBM!K827)</f>
        <v/>
      </c>
      <c r="E827" t="str">
        <f>PasteBBM!J827</f>
        <v/>
      </c>
      <c r="F827" t="str">
        <f>PasteBBM!U827</f>
        <v/>
      </c>
      <c r="G827" t="str">
        <f>PasteBBM!X827</f>
        <v/>
      </c>
      <c r="H827">
        <f>PasteBBM!AE827*PasteBBM!AF827</f>
        <v>0</v>
      </c>
      <c r="I827" t="str">
        <f>PasteBBM!AE827</f>
        <v/>
      </c>
      <c r="J827">
        <f>PasteBBM!AG827*PasteBBM!AH827</f>
        <v>0</v>
      </c>
      <c r="K827" t="str">
        <f>PasteBBM!AG827</f>
        <v/>
      </c>
      <c r="L827" t="str">
        <f>PasteBBM!Z827</f>
        <v/>
      </c>
      <c r="M827" t="str">
        <f>PasteBBM!Y827</f>
        <v/>
      </c>
      <c r="N827" t="str">
        <f>PasteBBM!AA827</f>
        <v/>
      </c>
      <c r="O827" t="str">
        <f>PasteBBM!AB827</f>
        <v/>
      </c>
      <c r="P827" t="str">
        <f>PasteBBM!AC827</f>
        <v/>
      </c>
      <c r="Q827" t="str">
        <f>PasteBBM!AD827</f>
        <v/>
      </c>
      <c r="R827" t="str">
        <f>PasteBBM!AI827</f>
        <v/>
      </c>
      <c r="S827" t="str">
        <f>PasteBBM!AE827</f>
        <v/>
      </c>
      <c r="T827" t="str">
        <f>PasteBBM!AG827</f>
        <v/>
      </c>
      <c r="V827" s="44">
        <v>-0.41709</v>
      </c>
      <c r="W827" s="44">
        <v>-0.00658</v>
      </c>
      <c r="X827" s="44">
        <v>0.009207</v>
      </c>
      <c r="Y827" s="44">
        <v>-0.4263</v>
      </c>
      <c r="Z827" s="44">
        <v>-0.34564</v>
      </c>
      <c r="AA827" s="45"/>
      <c r="AB827" s="46" t="s">
        <v>126</v>
      </c>
      <c r="AC827" s="44">
        <v>67.0</v>
      </c>
    </row>
    <row r="828">
      <c r="A828" s="2">
        <v>163.0</v>
      </c>
      <c r="B828" s="14">
        <f>IF(PasteBBM!B828="",156,PasteBBM!B828)</f>
        <v>156</v>
      </c>
      <c r="C828" t="str">
        <f>PasteBBM!I828</f>
        <v/>
      </c>
      <c r="D828" t="str">
        <f>IFERROR(REPLACE(PasteBBM!K828,FIND("/",PasteBBM!K828,1),1,","),PasteBBM!K828)</f>
        <v/>
      </c>
      <c r="E828" t="str">
        <f>PasteBBM!J828</f>
        <v/>
      </c>
      <c r="F828" t="str">
        <f>PasteBBM!U828</f>
        <v/>
      </c>
      <c r="G828" t="str">
        <f>PasteBBM!X828</f>
        <v/>
      </c>
      <c r="H828">
        <f>PasteBBM!AE828*PasteBBM!AF828</f>
        <v>0</v>
      </c>
      <c r="I828" t="str">
        <f>PasteBBM!AE828</f>
        <v/>
      </c>
      <c r="J828">
        <f>PasteBBM!AG828*PasteBBM!AH828</f>
        <v>0</v>
      </c>
      <c r="K828" t="str">
        <f>PasteBBM!AG828</f>
        <v/>
      </c>
      <c r="L828" t="str">
        <f>PasteBBM!Z828</f>
        <v/>
      </c>
      <c r="M828" t="str">
        <f>PasteBBM!Y828</f>
        <v/>
      </c>
      <c r="N828" t="str">
        <f>PasteBBM!AA828</f>
        <v/>
      </c>
      <c r="O828" t="str">
        <f>PasteBBM!AB828</f>
        <v/>
      </c>
      <c r="P828" t="str">
        <f>PasteBBM!AC828</f>
        <v/>
      </c>
      <c r="Q828" t="str">
        <f>PasteBBM!AD828</f>
        <v/>
      </c>
      <c r="R828" t="str">
        <f>PasteBBM!AI828</f>
        <v/>
      </c>
      <c r="S828" t="str">
        <f>PasteBBM!AE828</f>
        <v/>
      </c>
      <c r="T828" t="str">
        <f>PasteBBM!AG828</f>
        <v/>
      </c>
      <c r="V828" s="44">
        <v>-0.41709</v>
      </c>
      <c r="W828" s="44">
        <v>-0.00658</v>
      </c>
      <c r="X828" s="44">
        <v>0.009207</v>
      </c>
      <c r="Y828" s="44">
        <v>-0.4263</v>
      </c>
      <c r="Z828" s="44">
        <v>-0.34564</v>
      </c>
      <c r="AA828" s="45"/>
      <c r="AB828" s="46" t="s">
        <v>126</v>
      </c>
      <c r="AC828" s="44">
        <v>67.0</v>
      </c>
    </row>
    <row r="829">
      <c r="A829" s="2">
        <v>163.0</v>
      </c>
      <c r="B829" s="14">
        <f>IF(PasteBBM!B829="",156,PasteBBM!B829)</f>
        <v>156</v>
      </c>
      <c r="C829" t="str">
        <f>PasteBBM!I829</f>
        <v/>
      </c>
      <c r="D829" t="str">
        <f>IFERROR(REPLACE(PasteBBM!K829,FIND("/",PasteBBM!K829,1),1,","),PasteBBM!K829)</f>
        <v/>
      </c>
      <c r="E829" t="str">
        <f>PasteBBM!J829</f>
        <v/>
      </c>
      <c r="F829" t="str">
        <f>PasteBBM!U829</f>
        <v/>
      </c>
      <c r="G829" t="str">
        <f>PasteBBM!X829</f>
        <v/>
      </c>
      <c r="H829">
        <f>PasteBBM!AE829*PasteBBM!AF829</f>
        <v>0</v>
      </c>
      <c r="I829" t="str">
        <f>PasteBBM!AE829</f>
        <v/>
      </c>
      <c r="J829">
        <f>PasteBBM!AG829*PasteBBM!AH829</f>
        <v>0</v>
      </c>
      <c r="K829" t="str">
        <f>PasteBBM!AG829</f>
        <v/>
      </c>
      <c r="L829" t="str">
        <f>PasteBBM!Z829</f>
        <v/>
      </c>
      <c r="M829" t="str">
        <f>PasteBBM!Y829</f>
        <v/>
      </c>
      <c r="N829" t="str">
        <f>PasteBBM!AA829</f>
        <v/>
      </c>
      <c r="O829" t="str">
        <f>PasteBBM!AB829</f>
        <v/>
      </c>
      <c r="P829" t="str">
        <f>PasteBBM!AC829</f>
        <v/>
      </c>
      <c r="Q829" t="str">
        <f>PasteBBM!AD829</f>
        <v/>
      </c>
      <c r="R829" t="str">
        <f>PasteBBM!AI829</f>
        <v/>
      </c>
      <c r="S829" t="str">
        <f>PasteBBM!AE829</f>
        <v/>
      </c>
      <c r="T829" t="str">
        <f>PasteBBM!AG829</f>
        <v/>
      </c>
      <c r="V829" s="44">
        <v>-0.41709</v>
      </c>
      <c r="W829" s="44">
        <v>-0.00658</v>
      </c>
      <c r="X829" s="44">
        <v>0.009207</v>
      </c>
      <c r="Y829" s="44">
        <v>-0.4263</v>
      </c>
      <c r="Z829" s="44">
        <v>-0.34564</v>
      </c>
      <c r="AA829" s="45"/>
      <c r="AB829" s="46" t="s">
        <v>126</v>
      </c>
      <c r="AC829" s="44">
        <v>67.0</v>
      </c>
    </row>
    <row r="830">
      <c r="A830" s="2">
        <v>163.0</v>
      </c>
      <c r="B830" s="14">
        <f>IF(PasteBBM!B830="",156,PasteBBM!B830)</f>
        <v>156</v>
      </c>
      <c r="C830" t="str">
        <f>PasteBBM!I830</f>
        <v/>
      </c>
      <c r="D830" t="str">
        <f>IFERROR(REPLACE(PasteBBM!K830,FIND("/",PasteBBM!K830,1),1,","),PasteBBM!K830)</f>
        <v/>
      </c>
      <c r="E830" t="str">
        <f>PasteBBM!J830</f>
        <v/>
      </c>
      <c r="F830" t="str">
        <f>PasteBBM!U830</f>
        <v/>
      </c>
      <c r="G830" t="str">
        <f>PasteBBM!X830</f>
        <v/>
      </c>
      <c r="H830">
        <f>PasteBBM!AE830*PasteBBM!AF830</f>
        <v>0</v>
      </c>
      <c r="I830" t="str">
        <f>PasteBBM!AE830</f>
        <v/>
      </c>
      <c r="J830">
        <f>PasteBBM!AG830*PasteBBM!AH830</f>
        <v>0</v>
      </c>
      <c r="K830" t="str">
        <f>PasteBBM!AG830</f>
        <v/>
      </c>
      <c r="L830" t="str">
        <f>PasteBBM!Z830</f>
        <v/>
      </c>
      <c r="M830" t="str">
        <f>PasteBBM!Y830</f>
        <v/>
      </c>
      <c r="N830" t="str">
        <f>PasteBBM!AA830</f>
        <v/>
      </c>
      <c r="O830" t="str">
        <f>PasteBBM!AB830</f>
        <v/>
      </c>
      <c r="P830" t="str">
        <f>PasteBBM!AC830</f>
        <v/>
      </c>
      <c r="Q830" t="str">
        <f>PasteBBM!AD830</f>
        <v/>
      </c>
      <c r="R830" t="str">
        <f>PasteBBM!AI830</f>
        <v/>
      </c>
      <c r="S830" t="str">
        <f>PasteBBM!AE830</f>
        <v/>
      </c>
      <c r="T830" t="str">
        <f>PasteBBM!AG830</f>
        <v/>
      </c>
      <c r="V830" s="44">
        <v>-0.41709</v>
      </c>
      <c r="W830" s="44">
        <v>-0.00658</v>
      </c>
      <c r="X830" s="44">
        <v>0.009207</v>
      </c>
      <c r="Y830" s="44">
        <v>-0.4263</v>
      </c>
      <c r="Z830" s="44">
        <v>-0.34564</v>
      </c>
      <c r="AA830" s="45"/>
      <c r="AB830" s="46" t="s">
        <v>126</v>
      </c>
      <c r="AC830" s="44">
        <v>67.0</v>
      </c>
    </row>
    <row r="831">
      <c r="A831" s="2">
        <v>163.0</v>
      </c>
      <c r="B831" s="14">
        <f>IF(PasteBBM!B831="",156,PasteBBM!B831)</f>
        <v>156</v>
      </c>
      <c r="C831" t="str">
        <f>PasteBBM!I831</f>
        <v/>
      </c>
      <c r="D831" t="str">
        <f>IFERROR(REPLACE(PasteBBM!K831,FIND("/",PasteBBM!K831,1),1,","),PasteBBM!K831)</f>
        <v/>
      </c>
      <c r="E831" t="str">
        <f>PasteBBM!J831</f>
        <v/>
      </c>
      <c r="F831" t="str">
        <f>PasteBBM!U831</f>
        <v/>
      </c>
      <c r="G831" t="str">
        <f>PasteBBM!X831</f>
        <v/>
      </c>
      <c r="H831">
        <f>PasteBBM!AE831*PasteBBM!AF831</f>
        <v>0</v>
      </c>
      <c r="I831" t="str">
        <f>PasteBBM!AE831</f>
        <v/>
      </c>
      <c r="J831">
        <f>PasteBBM!AG831*PasteBBM!AH831</f>
        <v>0</v>
      </c>
      <c r="K831" t="str">
        <f>PasteBBM!AG831</f>
        <v/>
      </c>
      <c r="L831" t="str">
        <f>PasteBBM!Z831</f>
        <v/>
      </c>
      <c r="M831" t="str">
        <f>PasteBBM!Y831</f>
        <v/>
      </c>
      <c r="N831" t="str">
        <f>PasteBBM!AA831</f>
        <v/>
      </c>
      <c r="O831" t="str">
        <f>PasteBBM!AB831</f>
        <v/>
      </c>
      <c r="P831" t="str">
        <f>PasteBBM!AC831</f>
        <v/>
      </c>
      <c r="Q831" t="str">
        <f>PasteBBM!AD831</f>
        <v/>
      </c>
      <c r="R831" t="str">
        <f>PasteBBM!AI831</f>
        <v/>
      </c>
      <c r="S831" t="str">
        <f>PasteBBM!AE831</f>
        <v/>
      </c>
      <c r="T831" t="str">
        <f>PasteBBM!AG831</f>
        <v/>
      </c>
      <c r="V831" s="44">
        <v>-0.41709</v>
      </c>
      <c r="W831" s="44">
        <v>-0.00658</v>
      </c>
      <c r="X831" s="44">
        <v>0.009207</v>
      </c>
      <c r="Y831" s="44">
        <v>-0.4263</v>
      </c>
      <c r="Z831" s="44">
        <v>-0.34564</v>
      </c>
      <c r="AA831" s="45"/>
      <c r="AB831" s="46" t="s">
        <v>126</v>
      </c>
      <c r="AC831" s="44">
        <v>67.0</v>
      </c>
    </row>
    <row r="832">
      <c r="A832" s="2">
        <v>163.0</v>
      </c>
      <c r="B832" s="14">
        <f>IF(PasteBBM!B832="",156,PasteBBM!B832)</f>
        <v>156</v>
      </c>
      <c r="C832" t="str">
        <f>PasteBBM!I832</f>
        <v/>
      </c>
      <c r="D832" t="str">
        <f>IFERROR(REPLACE(PasteBBM!K832,FIND("/",PasteBBM!K832,1),1,","),PasteBBM!K832)</f>
        <v/>
      </c>
      <c r="E832" t="str">
        <f>PasteBBM!J832</f>
        <v/>
      </c>
      <c r="F832" t="str">
        <f>PasteBBM!U832</f>
        <v/>
      </c>
      <c r="G832" t="str">
        <f>PasteBBM!X832</f>
        <v/>
      </c>
      <c r="H832">
        <f>PasteBBM!AE832*PasteBBM!AF832</f>
        <v>0</v>
      </c>
      <c r="I832" t="str">
        <f>PasteBBM!AE832</f>
        <v/>
      </c>
      <c r="J832">
        <f>PasteBBM!AG832*PasteBBM!AH832</f>
        <v>0</v>
      </c>
      <c r="K832" t="str">
        <f>PasteBBM!AG832</f>
        <v/>
      </c>
      <c r="L832" t="str">
        <f>PasteBBM!Z832</f>
        <v/>
      </c>
      <c r="M832" t="str">
        <f>PasteBBM!Y832</f>
        <v/>
      </c>
      <c r="N832" t="str">
        <f>PasteBBM!AA832</f>
        <v/>
      </c>
      <c r="O832" t="str">
        <f>PasteBBM!AB832</f>
        <v/>
      </c>
      <c r="P832" t="str">
        <f>PasteBBM!AC832</f>
        <v/>
      </c>
      <c r="Q832" t="str">
        <f>PasteBBM!AD832</f>
        <v/>
      </c>
      <c r="R832" t="str">
        <f>PasteBBM!AI832</f>
        <v/>
      </c>
      <c r="S832" t="str">
        <f>PasteBBM!AE832</f>
        <v/>
      </c>
      <c r="T832" t="str">
        <f>PasteBBM!AG832</f>
        <v/>
      </c>
      <c r="V832" s="44">
        <v>-0.41709</v>
      </c>
      <c r="W832" s="44">
        <v>-0.00658</v>
      </c>
      <c r="X832" s="44">
        <v>0.009207</v>
      </c>
      <c r="Y832" s="44">
        <v>-0.4263</v>
      </c>
      <c r="Z832" s="44">
        <v>-0.34564</v>
      </c>
      <c r="AA832" s="45"/>
      <c r="AB832" s="46" t="s">
        <v>126</v>
      </c>
      <c r="AC832" s="44">
        <v>67.0</v>
      </c>
    </row>
    <row r="833">
      <c r="A833" s="2">
        <v>163.0</v>
      </c>
      <c r="B833" s="14">
        <f>IF(PasteBBM!B833="",156,PasteBBM!B833)</f>
        <v>156</v>
      </c>
      <c r="C833" t="str">
        <f>PasteBBM!I833</f>
        <v/>
      </c>
      <c r="D833" t="str">
        <f>IFERROR(REPLACE(PasteBBM!K833,FIND("/",PasteBBM!K833,1),1,","),PasteBBM!K833)</f>
        <v/>
      </c>
      <c r="E833" t="str">
        <f>PasteBBM!J833</f>
        <v/>
      </c>
      <c r="F833" t="str">
        <f>PasteBBM!U833</f>
        <v/>
      </c>
      <c r="G833" t="str">
        <f>PasteBBM!X833</f>
        <v/>
      </c>
      <c r="H833">
        <f>PasteBBM!AE833*PasteBBM!AF833</f>
        <v>0</v>
      </c>
      <c r="I833" t="str">
        <f>PasteBBM!AE833</f>
        <v/>
      </c>
      <c r="J833">
        <f>PasteBBM!AG833*PasteBBM!AH833</f>
        <v>0</v>
      </c>
      <c r="K833" t="str">
        <f>PasteBBM!AG833</f>
        <v/>
      </c>
      <c r="L833" t="str">
        <f>PasteBBM!Z833</f>
        <v/>
      </c>
      <c r="M833" t="str">
        <f>PasteBBM!Y833</f>
        <v/>
      </c>
      <c r="N833" t="str">
        <f>PasteBBM!AA833</f>
        <v/>
      </c>
      <c r="O833" t="str">
        <f>PasteBBM!AB833</f>
        <v/>
      </c>
      <c r="P833" t="str">
        <f>PasteBBM!AC833</f>
        <v/>
      </c>
      <c r="Q833" t="str">
        <f>PasteBBM!AD833</f>
        <v/>
      </c>
      <c r="R833" t="str">
        <f>PasteBBM!AI833</f>
        <v/>
      </c>
      <c r="S833" t="str">
        <f>PasteBBM!AE833</f>
        <v/>
      </c>
      <c r="T833" t="str">
        <f>PasteBBM!AG833</f>
        <v/>
      </c>
      <c r="V833" s="44">
        <v>-0.41709</v>
      </c>
      <c r="W833" s="44">
        <v>-0.00658</v>
      </c>
      <c r="X833" s="44">
        <v>0.009207</v>
      </c>
      <c r="Y833" s="44">
        <v>-0.4263</v>
      </c>
      <c r="Z833" s="44">
        <v>-0.34564</v>
      </c>
      <c r="AA833" s="45"/>
      <c r="AB833" s="46" t="s">
        <v>126</v>
      </c>
      <c r="AC833" s="44">
        <v>67.0</v>
      </c>
    </row>
    <row r="834">
      <c r="A834" s="2">
        <v>163.0</v>
      </c>
      <c r="B834" s="14">
        <f>IF(PasteBBM!B834="",156,PasteBBM!B834)</f>
        <v>156</v>
      </c>
      <c r="C834" t="str">
        <f>PasteBBM!I834</f>
        <v/>
      </c>
      <c r="D834" t="str">
        <f>IFERROR(REPLACE(PasteBBM!K834,FIND("/",PasteBBM!K834,1),1,","),PasteBBM!K834)</f>
        <v/>
      </c>
      <c r="E834" t="str">
        <f>PasteBBM!J834</f>
        <v/>
      </c>
      <c r="F834" t="str">
        <f>PasteBBM!U834</f>
        <v/>
      </c>
      <c r="G834" t="str">
        <f>PasteBBM!X834</f>
        <v/>
      </c>
      <c r="H834">
        <f>PasteBBM!AE834*PasteBBM!AF834</f>
        <v>0</v>
      </c>
      <c r="I834" t="str">
        <f>PasteBBM!AE834</f>
        <v/>
      </c>
      <c r="J834">
        <f>PasteBBM!AG834*PasteBBM!AH834</f>
        <v>0</v>
      </c>
      <c r="K834" t="str">
        <f>PasteBBM!AG834</f>
        <v/>
      </c>
      <c r="L834" t="str">
        <f>PasteBBM!Z834</f>
        <v/>
      </c>
      <c r="M834" t="str">
        <f>PasteBBM!Y834</f>
        <v/>
      </c>
      <c r="N834" t="str">
        <f>PasteBBM!AA834</f>
        <v/>
      </c>
      <c r="O834" t="str">
        <f>PasteBBM!AB834</f>
        <v/>
      </c>
      <c r="P834" t="str">
        <f>PasteBBM!AC834</f>
        <v/>
      </c>
      <c r="Q834" t="str">
        <f>PasteBBM!AD834</f>
        <v/>
      </c>
      <c r="R834" t="str">
        <f>PasteBBM!AI834</f>
        <v/>
      </c>
      <c r="S834" t="str">
        <f>PasteBBM!AE834</f>
        <v/>
      </c>
      <c r="T834" t="str">
        <f>PasteBBM!AG834</f>
        <v/>
      </c>
      <c r="V834" s="44">
        <v>-0.41709</v>
      </c>
      <c r="W834" s="44">
        <v>-0.00658</v>
      </c>
      <c r="X834" s="44">
        <v>0.009207</v>
      </c>
      <c r="Y834" s="44">
        <v>-0.4263</v>
      </c>
      <c r="Z834" s="44">
        <v>-0.34564</v>
      </c>
      <c r="AA834" s="45"/>
      <c r="AB834" s="46" t="s">
        <v>126</v>
      </c>
      <c r="AC834" s="44">
        <v>67.0</v>
      </c>
    </row>
    <row r="835">
      <c r="A835" s="2">
        <v>163.0</v>
      </c>
      <c r="B835" s="14">
        <f>IF(PasteBBM!B835="",156,PasteBBM!B835)</f>
        <v>156</v>
      </c>
      <c r="C835" t="str">
        <f>PasteBBM!I835</f>
        <v/>
      </c>
      <c r="D835" t="str">
        <f>IFERROR(REPLACE(PasteBBM!K835,FIND("/",PasteBBM!K835,1),1,","),PasteBBM!K835)</f>
        <v/>
      </c>
      <c r="E835" t="str">
        <f>PasteBBM!J835</f>
        <v/>
      </c>
      <c r="F835" t="str">
        <f>PasteBBM!U835</f>
        <v/>
      </c>
      <c r="G835" t="str">
        <f>PasteBBM!X835</f>
        <v/>
      </c>
      <c r="H835">
        <f>PasteBBM!AE835*PasteBBM!AF835</f>
        <v>0</v>
      </c>
      <c r="I835" t="str">
        <f>PasteBBM!AE835</f>
        <v/>
      </c>
      <c r="J835">
        <f>PasteBBM!AG835*PasteBBM!AH835</f>
        <v>0</v>
      </c>
      <c r="K835" t="str">
        <f>PasteBBM!AG835</f>
        <v/>
      </c>
      <c r="L835" t="str">
        <f>PasteBBM!Z835</f>
        <v/>
      </c>
      <c r="M835" t="str">
        <f>PasteBBM!Y835</f>
        <v/>
      </c>
      <c r="N835" t="str">
        <f>PasteBBM!AA835</f>
        <v/>
      </c>
      <c r="O835" t="str">
        <f>PasteBBM!AB835</f>
        <v/>
      </c>
      <c r="P835" t="str">
        <f>PasteBBM!AC835</f>
        <v/>
      </c>
      <c r="Q835" t="str">
        <f>PasteBBM!AD835</f>
        <v/>
      </c>
      <c r="R835" t="str">
        <f>PasteBBM!AI835</f>
        <v/>
      </c>
      <c r="S835" t="str">
        <f>PasteBBM!AE835</f>
        <v/>
      </c>
      <c r="T835" t="str">
        <f>PasteBBM!AG835</f>
        <v/>
      </c>
      <c r="V835" s="44">
        <v>-0.41709</v>
      </c>
      <c r="W835" s="44">
        <v>-0.00658</v>
      </c>
      <c r="X835" s="44">
        <v>0.009207</v>
      </c>
      <c r="Y835" s="44">
        <v>-0.4263</v>
      </c>
      <c r="Z835" s="44">
        <v>-0.34564</v>
      </c>
      <c r="AA835" s="45"/>
      <c r="AB835" s="46" t="s">
        <v>126</v>
      </c>
      <c r="AC835" s="44">
        <v>67.0</v>
      </c>
    </row>
    <row r="836">
      <c r="A836" s="2">
        <v>163.0</v>
      </c>
      <c r="B836" s="14">
        <f>IF(PasteBBM!B836="",156,PasteBBM!B836)</f>
        <v>156</v>
      </c>
      <c r="C836" t="str">
        <f>PasteBBM!I836</f>
        <v/>
      </c>
      <c r="D836" t="str">
        <f>IFERROR(REPLACE(PasteBBM!K836,FIND("/",PasteBBM!K836,1),1,","),PasteBBM!K836)</f>
        <v/>
      </c>
      <c r="E836" t="str">
        <f>PasteBBM!J836</f>
        <v/>
      </c>
      <c r="F836" t="str">
        <f>PasteBBM!U836</f>
        <v/>
      </c>
      <c r="G836" t="str">
        <f>PasteBBM!X836</f>
        <v/>
      </c>
      <c r="H836">
        <f>PasteBBM!AE836*PasteBBM!AF836</f>
        <v>0</v>
      </c>
      <c r="I836" t="str">
        <f>PasteBBM!AE836</f>
        <v/>
      </c>
      <c r="J836">
        <f>PasteBBM!AG836*PasteBBM!AH836</f>
        <v>0</v>
      </c>
      <c r="K836" t="str">
        <f>PasteBBM!AG836</f>
        <v/>
      </c>
      <c r="L836" t="str">
        <f>PasteBBM!Z836</f>
        <v/>
      </c>
      <c r="M836" t="str">
        <f>PasteBBM!Y836</f>
        <v/>
      </c>
      <c r="N836" t="str">
        <f>PasteBBM!AA836</f>
        <v/>
      </c>
      <c r="O836" t="str">
        <f>PasteBBM!AB836</f>
        <v/>
      </c>
      <c r="P836" t="str">
        <f>PasteBBM!AC836</f>
        <v/>
      </c>
      <c r="Q836" t="str">
        <f>PasteBBM!AD836</f>
        <v/>
      </c>
      <c r="R836" t="str">
        <f>PasteBBM!AI836</f>
        <v/>
      </c>
      <c r="S836" t="str">
        <f>PasteBBM!AE836</f>
        <v/>
      </c>
      <c r="T836" t="str">
        <f>PasteBBM!AG836</f>
        <v/>
      </c>
      <c r="V836" s="44">
        <v>-0.41709</v>
      </c>
      <c r="W836" s="44">
        <v>-0.00658</v>
      </c>
      <c r="X836" s="44">
        <v>0.009207</v>
      </c>
      <c r="Y836" s="44">
        <v>-0.4263</v>
      </c>
      <c r="Z836" s="44">
        <v>-0.34564</v>
      </c>
      <c r="AA836" s="45"/>
      <c r="AB836" s="46" t="s">
        <v>126</v>
      </c>
      <c r="AC836" s="44">
        <v>67.0</v>
      </c>
    </row>
    <row r="837">
      <c r="A837" s="2">
        <v>163.0</v>
      </c>
      <c r="B837" s="14">
        <f>IF(PasteBBM!B837="",156,PasteBBM!B837)</f>
        <v>156</v>
      </c>
      <c r="C837" t="str">
        <f>PasteBBM!I837</f>
        <v/>
      </c>
      <c r="D837" t="str">
        <f>IFERROR(REPLACE(PasteBBM!K837,FIND("/",PasteBBM!K837,1),1,","),PasteBBM!K837)</f>
        <v/>
      </c>
      <c r="E837" t="str">
        <f>PasteBBM!J837</f>
        <v/>
      </c>
      <c r="F837" t="str">
        <f>PasteBBM!U837</f>
        <v/>
      </c>
      <c r="G837" t="str">
        <f>PasteBBM!X837</f>
        <v/>
      </c>
      <c r="H837">
        <f>PasteBBM!AE837*PasteBBM!AF837</f>
        <v>0</v>
      </c>
      <c r="I837" t="str">
        <f>PasteBBM!AE837</f>
        <v/>
      </c>
      <c r="J837">
        <f>PasteBBM!AG837*PasteBBM!AH837</f>
        <v>0</v>
      </c>
      <c r="K837" t="str">
        <f>PasteBBM!AG837</f>
        <v/>
      </c>
      <c r="L837" t="str">
        <f>PasteBBM!Z837</f>
        <v/>
      </c>
      <c r="M837" t="str">
        <f>PasteBBM!Y837</f>
        <v/>
      </c>
      <c r="N837" t="str">
        <f>PasteBBM!AA837</f>
        <v/>
      </c>
      <c r="O837" t="str">
        <f>PasteBBM!AB837</f>
        <v/>
      </c>
      <c r="P837" t="str">
        <f>PasteBBM!AC837</f>
        <v/>
      </c>
      <c r="Q837" t="str">
        <f>PasteBBM!AD837</f>
        <v/>
      </c>
      <c r="R837" t="str">
        <f>PasteBBM!AI837</f>
        <v/>
      </c>
      <c r="S837" t="str">
        <f>PasteBBM!AE837</f>
        <v/>
      </c>
      <c r="T837" t="str">
        <f>PasteBBM!AG837</f>
        <v/>
      </c>
      <c r="V837" s="44">
        <v>-0.41709</v>
      </c>
      <c r="W837" s="44">
        <v>-0.00658</v>
      </c>
      <c r="X837" s="44">
        <v>0.009207</v>
      </c>
      <c r="Y837" s="44">
        <v>-0.4263</v>
      </c>
      <c r="Z837" s="44">
        <v>-0.34564</v>
      </c>
      <c r="AA837" s="45"/>
      <c r="AB837" s="46" t="s">
        <v>126</v>
      </c>
      <c r="AC837" s="44">
        <v>67.0</v>
      </c>
    </row>
    <row r="838">
      <c r="A838" s="2">
        <v>163.0</v>
      </c>
      <c r="B838" s="14">
        <f>IF(PasteBBM!B838="",156,PasteBBM!B838)</f>
        <v>156</v>
      </c>
      <c r="C838" t="str">
        <f>PasteBBM!I838</f>
        <v/>
      </c>
      <c r="D838" t="str">
        <f>IFERROR(REPLACE(PasteBBM!K838,FIND("/",PasteBBM!K838,1),1,","),PasteBBM!K838)</f>
        <v/>
      </c>
      <c r="E838" t="str">
        <f>PasteBBM!J838</f>
        <v/>
      </c>
      <c r="F838" t="str">
        <f>PasteBBM!U838</f>
        <v/>
      </c>
      <c r="G838" t="str">
        <f>PasteBBM!X838</f>
        <v/>
      </c>
      <c r="H838">
        <f>PasteBBM!AE838*PasteBBM!AF838</f>
        <v>0</v>
      </c>
      <c r="I838" t="str">
        <f>PasteBBM!AE838</f>
        <v/>
      </c>
      <c r="J838">
        <f>PasteBBM!AG838*PasteBBM!AH838</f>
        <v>0</v>
      </c>
      <c r="K838" t="str">
        <f>PasteBBM!AG838</f>
        <v/>
      </c>
      <c r="L838" t="str">
        <f>PasteBBM!Z838</f>
        <v/>
      </c>
      <c r="M838" t="str">
        <f>PasteBBM!Y838</f>
        <v/>
      </c>
      <c r="N838" t="str">
        <f>PasteBBM!AA838</f>
        <v/>
      </c>
      <c r="O838" t="str">
        <f>PasteBBM!AB838</f>
        <v/>
      </c>
      <c r="P838" t="str">
        <f>PasteBBM!AC838</f>
        <v/>
      </c>
      <c r="Q838" t="str">
        <f>PasteBBM!AD838</f>
        <v/>
      </c>
      <c r="R838" t="str">
        <f>PasteBBM!AI838</f>
        <v/>
      </c>
      <c r="S838" t="str">
        <f>PasteBBM!AE838</f>
        <v/>
      </c>
      <c r="T838" t="str">
        <f>PasteBBM!AG838</f>
        <v/>
      </c>
      <c r="V838" s="44">
        <v>-0.41709</v>
      </c>
      <c r="W838" s="44">
        <v>-0.00658</v>
      </c>
      <c r="X838" s="44">
        <v>0.009207</v>
      </c>
      <c r="Y838" s="44">
        <v>-0.4263</v>
      </c>
      <c r="Z838" s="44">
        <v>-0.34564</v>
      </c>
      <c r="AA838" s="45"/>
      <c r="AB838" s="46" t="s">
        <v>126</v>
      </c>
      <c r="AC838" s="44">
        <v>67.0</v>
      </c>
    </row>
    <row r="839">
      <c r="A839" s="2">
        <v>163.0</v>
      </c>
      <c r="B839" s="14">
        <f>IF(PasteBBM!B839="",156,PasteBBM!B839)</f>
        <v>156</v>
      </c>
      <c r="C839" t="str">
        <f>PasteBBM!I839</f>
        <v/>
      </c>
      <c r="D839" t="str">
        <f>IFERROR(REPLACE(PasteBBM!K839,FIND("/",PasteBBM!K839,1),1,","),PasteBBM!K839)</f>
        <v/>
      </c>
      <c r="E839" t="str">
        <f>PasteBBM!J839</f>
        <v/>
      </c>
      <c r="F839" t="str">
        <f>PasteBBM!U839</f>
        <v/>
      </c>
      <c r="G839" t="str">
        <f>PasteBBM!X839</f>
        <v/>
      </c>
      <c r="H839">
        <f>PasteBBM!AE839*PasteBBM!AF839</f>
        <v>0</v>
      </c>
      <c r="I839" t="str">
        <f>PasteBBM!AE839</f>
        <v/>
      </c>
      <c r="J839">
        <f>PasteBBM!AG839*PasteBBM!AH839</f>
        <v>0</v>
      </c>
      <c r="K839" t="str">
        <f>PasteBBM!AG839</f>
        <v/>
      </c>
      <c r="L839" t="str">
        <f>PasteBBM!Z839</f>
        <v/>
      </c>
      <c r="M839" t="str">
        <f>PasteBBM!Y839</f>
        <v/>
      </c>
      <c r="N839" t="str">
        <f>PasteBBM!AA839</f>
        <v/>
      </c>
      <c r="O839" t="str">
        <f>PasteBBM!AB839</f>
        <v/>
      </c>
      <c r="P839" t="str">
        <f>PasteBBM!AC839</f>
        <v/>
      </c>
      <c r="Q839" t="str">
        <f>PasteBBM!AD839</f>
        <v/>
      </c>
      <c r="R839" t="str">
        <f>PasteBBM!AI839</f>
        <v/>
      </c>
      <c r="S839" t="str">
        <f>PasteBBM!AE839</f>
        <v/>
      </c>
      <c r="T839" t="str">
        <f>PasteBBM!AG839</f>
        <v/>
      </c>
      <c r="V839" s="44">
        <v>-0.41709</v>
      </c>
      <c r="W839" s="44">
        <v>-0.00658</v>
      </c>
      <c r="X839" s="44">
        <v>0.009207</v>
      </c>
      <c r="Y839" s="44">
        <v>-0.4263</v>
      </c>
      <c r="Z839" s="44">
        <v>-0.34564</v>
      </c>
      <c r="AA839" s="45"/>
      <c r="AB839" s="46" t="s">
        <v>126</v>
      </c>
      <c r="AC839" s="44">
        <v>67.0</v>
      </c>
    </row>
    <row r="840">
      <c r="A840" s="2">
        <v>163.0</v>
      </c>
      <c r="B840" s="14">
        <f>IF(PasteBBM!B840="",156,PasteBBM!B840)</f>
        <v>156</v>
      </c>
      <c r="C840" t="str">
        <f>PasteBBM!I840</f>
        <v/>
      </c>
      <c r="D840" t="str">
        <f>IFERROR(REPLACE(PasteBBM!K840,FIND("/",PasteBBM!K840,1),1,","),PasteBBM!K840)</f>
        <v/>
      </c>
      <c r="E840" t="str">
        <f>PasteBBM!J840</f>
        <v/>
      </c>
      <c r="F840" t="str">
        <f>PasteBBM!U840</f>
        <v/>
      </c>
      <c r="G840" t="str">
        <f>PasteBBM!X840</f>
        <v/>
      </c>
      <c r="H840">
        <f>PasteBBM!AE840*PasteBBM!AF840</f>
        <v>0</v>
      </c>
      <c r="I840" t="str">
        <f>PasteBBM!AE840</f>
        <v/>
      </c>
      <c r="J840">
        <f>PasteBBM!AG840*PasteBBM!AH840</f>
        <v>0</v>
      </c>
      <c r="K840" t="str">
        <f>PasteBBM!AG840</f>
        <v/>
      </c>
      <c r="L840" t="str">
        <f>PasteBBM!Z840</f>
        <v/>
      </c>
      <c r="M840" t="str">
        <f>PasteBBM!Y840</f>
        <v/>
      </c>
      <c r="N840" t="str">
        <f>PasteBBM!AA840</f>
        <v/>
      </c>
      <c r="O840" t="str">
        <f>PasteBBM!AB840</f>
        <v/>
      </c>
      <c r="P840" t="str">
        <f>PasteBBM!AC840</f>
        <v/>
      </c>
      <c r="Q840" t="str">
        <f>PasteBBM!AD840</f>
        <v/>
      </c>
      <c r="R840" t="str">
        <f>PasteBBM!AI840</f>
        <v/>
      </c>
      <c r="S840" t="str">
        <f>PasteBBM!AE840</f>
        <v/>
      </c>
      <c r="T840" t="str">
        <f>PasteBBM!AG840</f>
        <v/>
      </c>
      <c r="V840" s="44">
        <v>-0.41709</v>
      </c>
      <c r="W840" s="44">
        <v>-0.00658</v>
      </c>
      <c r="X840" s="44">
        <v>0.009207</v>
      </c>
      <c r="Y840" s="44">
        <v>-0.4263</v>
      </c>
      <c r="Z840" s="44">
        <v>-0.34564</v>
      </c>
      <c r="AA840" s="45"/>
      <c r="AB840" s="46" t="s">
        <v>126</v>
      </c>
      <c r="AC840" s="44">
        <v>67.0</v>
      </c>
    </row>
    <row r="841">
      <c r="A841" s="2">
        <v>163.0</v>
      </c>
      <c r="B841" s="14">
        <f>IF(PasteBBM!B841="",156,PasteBBM!B841)</f>
        <v>156</v>
      </c>
      <c r="C841" t="str">
        <f>PasteBBM!I841</f>
        <v/>
      </c>
      <c r="D841" t="str">
        <f>IFERROR(REPLACE(PasteBBM!K841,FIND("/",PasteBBM!K841,1),1,","),PasteBBM!K841)</f>
        <v/>
      </c>
      <c r="E841" t="str">
        <f>PasteBBM!J841</f>
        <v/>
      </c>
      <c r="F841" t="str">
        <f>PasteBBM!U841</f>
        <v/>
      </c>
      <c r="G841" t="str">
        <f>PasteBBM!X841</f>
        <v/>
      </c>
      <c r="H841">
        <f>PasteBBM!AE841*PasteBBM!AF841</f>
        <v>0</v>
      </c>
      <c r="I841" t="str">
        <f>PasteBBM!AE841</f>
        <v/>
      </c>
      <c r="J841">
        <f>PasteBBM!AG841*PasteBBM!AH841</f>
        <v>0</v>
      </c>
      <c r="K841" t="str">
        <f>PasteBBM!AG841</f>
        <v/>
      </c>
      <c r="L841" t="str">
        <f>PasteBBM!Z841</f>
        <v/>
      </c>
      <c r="M841" t="str">
        <f>PasteBBM!Y841</f>
        <v/>
      </c>
      <c r="N841" t="str">
        <f>PasteBBM!AA841</f>
        <v/>
      </c>
      <c r="O841" t="str">
        <f>PasteBBM!AB841</f>
        <v/>
      </c>
      <c r="P841" t="str">
        <f>PasteBBM!AC841</f>
        <v/>
      </c>
      <c r="Q841" t="str">
        <f>PasteBBM!AD841</f>
        <v/>
      </c>
      <c r="R841" t="str">
        <f>PasteBBM!AI841</f>
        <v/>
      </c>
      <c r="S841" t="str">
        <f>PasteBBM!AE841</f>
        <v/>
      </c>
      <c r="T841" t="str">
        <f>PasteBBM!AG841</f>
        <v/>
      </c>
      <c r="V841" s="44">
        <v>-0.41709</v>
      </c>
      <c r="W841" s="44">
        <v>-0.00658</v>
      </c>
      <c r="X841" s="44">
        <v>0.009207</v>
      </c>
      <c r="Y841" s="44">
        <v>-0.4263</v>
      </c>
      <c r="Z841" s="44">
        <v>-0.34564</v>
      </c>
      <c r="AA841" s="45"/>
      <c r="AB841" s="46" t="s">
        <v>126</v>
      </c>
      <c r="AC841" s="44">
        <v>67.0</v>
      </c>
    </row>
    <row r="842">
      <c r="A842" s="2">
        <v>163.0</v>
      </c>
      <c r="B842" s="14">
        <f>IF(PasteBBM!B842="",156,PasteBBM!B842)</f>
        <v>156</v>
      </c>
      <c r="C842" t="str">
        <f>PasteBBM!I842</f>
        <v/>
      </c>
      <c r="D842" t="str">
        <f>IFERROR(REPLACE(PasteBBM!K842,FIND("/",PasteBBM!K842,1),1,","),PasteBBM!K842)</f>
        <v/>
      </c>
      <c r="E842" t="str">
        <f>PasteBBM!J842</f>
        <v/>
      </c>
      <c r="F842" t="str">
        <f>PasteBBM!U842</f>
        <v/>
      </c>
      <c r="G842" t="str">
        <f>PasteBBM!X842</f>
        <v/>
      </c>
      <c r="H842">
        <f>PasteBBM!AE842*PasteBBM!AF842</f>
        <v>0</v>
      </c>
      <c r="I842" t="str">
        <f>PasteBBM!AE842</f>
        <v/>
      </c>
      <c r="J842">
        <f>PasteBBM!AG842*PasteBBM!AH842</f>
        <v>0</v>
      </c>
      <c r="K842" t="str">
        <f>PasteBBM!AG842</f>
        <v/>
      </c>
      <c r="L842" t="str">
        <f>PasteBBM!Z842</f>
        <v/>
      </c>
      <c r="M842" t="str">
        <f>PasteBBM!Y842</f>
        <v/>
      </c>
      <c r="N842" t="str">
        <f>PasteBBM!AA842</f>
        <v/>
      </c>
      <c r="O842" t="str">
        <f>PasteBBM!AB842</f>
        <v/>
      </c>
      <c r="P842" t="str">
        <f>PasteBBM!AC842</f>
        <v/>
      </c>
      <c r="Q842" t="str">
        <f>PasteBBM!AD842</f>
        <v/>
      </c>
      <c r="R842" t="str">
        <f>PasteBBM!AI842</f>
        <v/>
      </c>
      <c r="S842" t="str">
        <f>PasteBBM!AE842</f>
        <v/>
      </c>
      <c r="T842" t="str">
        <f>PasteBBM!AG842</f>
        <v/>
      </c>
      <c r="V842" s="44">
        <v>-0.41709</v>
      </c>
      <c r="W842" s="44">
        <v>-0.00658</v>
      </c>
      <c r="X842" s="44">
        <v>0.009207</v>
      </c>
      <c r="Y842" s="44">
        <v>-0.4263</v>
      </c>
      <c r="Z842" s="44">
        <v>-0.34564</v>
      </c>
      <c r="AA842" s="45"/>
      <c r="AB842" s="46" t="s">
        <v>126</v>
      </c>
      <c r="AC842" s="44">
        <v>67.0</v>
      </c>
    </row>
    <row r="843">
      <c r="A843" s="2">
        <v>163.0</v>
      </c>
      <c r="B843" s="14">
        <f>IF(PasteBBM!B843="",156,PasteBBM!B843)</f>
        <v>156</v>
      </c>
      <c r="C843" t="str">
        <f>PasteBBM!I843</f>
        <v/>
      </c>
      <c r="D843" t="str">
        <f>IFERROR(REPLACE(PasteBBM!K843,FIND("/",PasteBBM!K843,1),1,","),PasteBBM!K843)</f>
        <v/>
      </c>
      <c r="E843" t="str">
        <f>PasteBBM!J843</f>
        <v/>
      </c>
      <c r="F843" t="str">
        <f>PasteBBM!U843</f>
        <v/>
      </c>
      <c r="G843" t="str">
        <f>PasteBBM!X843</f>
        <v/>
      </c>
      <c r="H843">
        <f>PasteBBM!AE843*PasteBBM!AF843</f>
        <v>0</v>
      </c>
      <c r="I843" t="str">
        <f>PasteBBM!AE843</f>
        <v/>
      </c>
      <c r="J843">
        <f>PasteBBM!AG843*PasteBBM!AH843</f>
        <v>0</v>
      </c>
      <c r="K843" t="str">
        <f>PasteBBM!AG843</f>
        <v/>
      </c>
      <c r="L843" t="str">
        <f>PasteBBM!Z843</f>
        <v/>
      </c>
      <c r="M843" t="str">
        <f>PasteBBM!Y843</f>
        <v/>
      </c>
      <c r="N843" t="str">
        <f>PasteBBM!AA843</f>
        <v/>
      </c>
      <c r="O843" t="str">
        <f>PasteBBM!AB843</f>
        <v/>
      </c>
      <c r="P843" t="str">
        <f>PasteBBM!AC843</f>
        <v/>
      </c>
      <c r="Q843" t="str">
        <f>PasteBBM!AD843</f>
        <v/>
      </c>
      <c r="R843" t="str">
        <f>PasteBBM!AI843</f>
        <v/>
      </c>
      <c r="S843" t="str">
        <f>PasteBBM!AE843</f>
        <v/>
      </c>
      <c r="T843" t="str">
        <f>PasteBBM!AG843</f>
        <v/>
      </c>
      <c r="V843" s="44">
        <v>-0.41709</v>
      </c>
      <c r="W843" s="44">
        <v>-0.00658</v>
      </c>
      <c r="X843" s="44">
        <v>0.009207</v>
      </c>
      <c r="Y843" s="44">
        <v>-0.4263</v>
      </c>
      <c r="Z843" s="44">
        <v>-0.34564</v>
      </c>
      <c r="AA843" s="45"/>
      <c r="AB843" s="46" t="s">
        <v>126</v>
      </c>
      <c r="AC843" s="44">
        <v>67.0</v>
      </c>
    </row>
    <row r="844">
      <c r="A844" s="2">
        <v>163.0</v>
      </c>
      <c r="B844" s="14">
        <f>IF(PasteBBM!B844="",156,PasteBBM!B844)</f>
        <v>156</v>
      </c>
      <c r="C844" t="str">
        <f>PasteBBM!I844</f>
        <v/>
      </c>
      <c r="D844" t="str">
        <f>IFERROR(REPLACE(PasteBBM!K844,FIND("/",PasteBBM!K844,1),1,","),PasteBBM!K844)</f>
        <v/>
      </c>
      <c r="E844" t="str">
        <f>PasteBBM!J844</f>
        <v/>
      </c>
      <c r="F844" t="str">
        <f>PasteBBM!U844</f>
        <v/>
      </c>
      <c r="G844" t="str">
        <f>PasteBBM!X844</f>
        <v/>
      </c>
      <c r="H844">
        <f>PasteBBM!AE844*PasteBBM!AF844</f>
        <v>0</v>
      </c>
      <c r="I844" t="str">
        <f>PasteBBM!AE844</f>
        <v/>
      </c>
      <c r="J844">
        <f>PasteBBM!AG844*PasteBBM!AH844</f>
        <v>0</v>
      </c>
      <c r="K844" t="str">
        <f>PasteBBM!AG844</f>
        <v/>
      </c>
      <c r="L844" t="str">
        <f>PasteBBM!Z844</f>
        <v/>
      </c>
      <c r="M844" t="str">
        <f>PasteBBM!Y844</f>
        <v/>
      </c>
      <c r="N844" t="str">
        <f>PasteBBM!AA844</f>
        <v/>
      </c>
      <c r="O844" t="str">
        <f>PasteBBM!AB844</f>
        <v/>
      </c>
      <c r="P844" t="str">
        <f>PasteBBM!AC844</f>
        <v/>
      </c>
      <c r="Q844" t="str">
        <f>PasteBBM!AD844</f>
        <v/>
      </c>
      <c r="R844" t="str">
        <f>PasteBBM!AI844</f>
        <v/>
      </c>
      <c r="S844" t="str">
        <f>PasteBBM!AE844</f>
        <v/>
      </c>
      <c r="T844" t="str">
        <f>PasteBBM!AG844</f>
        <v/>
      </c>
      <c r="V844" s="44">
        <v>-0.41709</v>
      </c>
      <c r="W844" s="44">
        <v>-0.00658</v>
      </c>
      <c r="X844" s="44">
        <v>0.009207</v>
      </c>
      <c r="Y844" s="44">
        <v>-0.4263</v>
      </c>
      <c r="Z844" s="44">
        <v>-0.34564</v>
      </c>
      <c r="AA844" s="45"/>
      <c r="AB844" s="46" t="s">
        <v>126</v>
      </c>
      <c r="AC844" s="44">
        <v>67.0</v>
      </c>
    </row>
    <row r="845">
      <c r="A845" s="2">
        <v>163.0</v>
      </c>
      <c r="B845" s="14">
        <f>IF(PasteBBM!B845="",156,PasteBBM!B845)</f>
        <v>156</v>
      </c>
      <c r="C845" t="str">
        <f>PasteBBM!I845</f>
        <v/>
      </c>
      <c r="D845" t="str">
        <f>IFERROR(REPLACE(PasteBBM!K845,FIND("/",PasteBBM!K845,1),1,","),PasteBBM!K845)</f>
        <v/>
      </c>
      <c r="E845" t="str">
        <f>PasteBBM!J845</f>
        <v/>
      </c>
      <c r="F845" t="str">
        <f>PasteBBM!U845</f>
        <v/>
      </c>
      <c r="G845" t="str">
        <f>PasteBBM!X845</f>
        <v/>
      </c>
      <c r="H845">
        <f>PasteBBM!AE845*PasteBBM!AF845</f>
        <v>0</v>
      </c>
      <c r="I845" t="str">
        <f>PasteBBM!AE845</f>
        <v/>
      </c>
      <c r="J845">
        <f>PasteBBM!AG845*PasteBBM!AH845</f>
        <v>0</v>
      </c>
      <c r="K845" t="str">
        <f>PasteBBM!AG845</f>
        <v/>
      </c>
      <c r="L845" t="str">
        <f>PasteBBM!Z845</f>
        <v/>
      </c>
      <c r="M845" t="str">
        <f>PasteBBM!Y845</f>
        <v/>
      </c>
      <c r="N845" t="str">
        <f>PasteBBM!AA845</f>
        <v/>
      </c>
      <c r="O845" t="str">
        <f>PasteBBM!AB845</f>
        <v/>
      </c>
      <c r="P845" t="str">
        <f>PasteBBM!AC845</f>
        <v/>
      </c>
      <c r="Q845" t="str">
        <f>PasteBBM!AD845</f>
        <v/>
      </c>
      <c r="R845" t="str">
        <f>PasteBBM!AI845</f>
        <v/>
      </c>
      <c r="S845" t="str">
        <f>PasteBBM!AE845</f>
        <v/>
      </c>
      <c r="T845" t="str">
        <f>PasteBBM!AG845</f>
        <v/>
      </c>
      <c r="V845" s="44">
        <v>-0.41709</v>
      </c>
      <c r="W845" s="44">
        <v>-0.00658</v>
      </c>
      <c r="X845" s="44">
        <v>0.009207</v>
      </c>
      <c r="Y845" s="44">
        <v>-0.4263</v>
      </c>
      <c r="Z845" s="44">
        <v>-0.34564</v>
      </c>
      <c r="AA845" s="45"/>
      <c r="AB845" s="46" t="s">
        <v>126</v>
      </c>
      <c r="AC845" s="44">
        <v>67.0</v>
      </c>
    </row>
    <row r="846">
      <c r="A846" s="2">
        <v>163.0</v>
      </c>
      <c r="B846" s="14">
        <f>IF(PasteBBM!B846="",156,PasteBBM!B846)</f>
        <v>156</v>
      </c>
      <c r="C846" t="str">
        <f>PasteBBM!I846</f>
        <v/>
      </c>
      <c r="D846" t="str">
        <f>IFERROR(REPLACE(PasteBBM!K846,FIND("/",PasteBBM!K846,1),1,","),PasteBBM!K846)</f>
        <v/>
      </c>
      <c r="E846" t="str">
        <f>PasteBBM!J846</f>
        <v/>
      </c>
      <c r="F846" t="str">
        <f>PasteBBM!U846</f>
        <v/>
      </c>
      <c r="G846" t="str">
        <f>PasteBBM!X846</f>
        <v/>
      </c>
      <c r="H846">
        <f>PasteBBM!AE846*PasteBBM!AF846</f>
        <v>0</v>
      </c>
      <c r="I846" t="str">
        <f>PasteBBM!AE846</f>
        <v/>
      </c>
      <c r="J846">
        <f>PasteBBM!AG846*PasteBBM!AH846</f>
        <v>0</v>
      </c>
      <c r="K846" t="str">
        <f>PasteBBM!AG846</f>
        <v/>
      </c>
      <c r="L846" t="str">
        <f>PasteBBM!Z846</f>
        <v/>
      </c>
      <c r="M846" t="str">
        <f>PasteBBM!Y846</f>
        <v/>
      </c>
      <c r="N846" t="str">
        <f>PasteBBM!AA846</f>
        <v/>
      </c>
      <c r="O846" t="str">
        <f>PasteBBM!AB846</f>
        <v/>
      </c>
      <c r="P846" t="str">
        <f>PasteBBM!AC846</f>
        <v/>
      </c>
      <c r="Q846" t="str">
        <f>PasteBBM!AD846</f>
        <v/>
      </c>
      <c r="R846" t="str">
        <f>PasteBBM!AI846</f>
        <v/>
      </c>
      <c r="S846" t="str">
        <f>PasteBBM!AE846</f>
        <v/>
      </c>
      <c r="T846" t="str">
        <f>PasteBBM!AG846</f>
        <v/>
      </c>
      <c r="V846" s="44">
        <v>-0.41709</v>
      </c>
      <c r="W846" s="44">
        <v>-0.00658</v>
      </c>
      <c r="X846" s="44">
        <v>0.009207</v>
      </c>
      <c r="Y846" s="44">
        <v>-0.4263</v>
      </c>
      <c r="Z846" s="44">
        <v>-0.34564</v>
      </c>
      <c r="AA846" s="45"/>
      <c r="AB846" s="46" t="s">
        <v>126</v>
      </c>
      <c r="AC846" s="44">
        <v>67.0</v>
      </c>
    </row>
    <row r="847">
      <c r="A847" s="2">
        <v>163.0</v>
      </c>
      <c r="B847" s="14">
        <f>IF(PasteBBM!B847="",156,PasteBBM!B847)</f>
        <v>156</v>
      </c>
      <c r="C847" t="str">
        <f>PasteBBM!I847</f>
        <v/>
      </c>
      <c r="D847" t="str">
        <f>IFERROR(REPLACE(PasteBBM!K847,FIND("/",PasteBBM!K847,1),1,","),PasteBBM!K847)</f>
        <v/>
      </c>
      <c r="E847" t="str">
        <f>PasteBBM!J847</f>
        <v/>
      </c>
      <c r="F847" t="str">
        <f>PasteBBM!U847</f>
        <v/>
      </c>
      <c r="G847" t="str">
        <f>PasteBBM!X847</f>
        <v/>
      </c>
      <c r="H847">
        <f>PasteBBM!AE847*PasteBBM!AF847</f>
        <v>0</v>
      </c>
      <c r="I847" t="str">
        <f>PasteBBM!AE847</f>
        <v/>
      </c>
      <c r="J847">
        <f>PasteBBM!AG847*PasteBBM!AH847</f>
        <v>0</v>
      </c>
      <c r="K847" t="str">
        <f>PasteBBM!AG847</f>
        <v/>
      </c>
      <c r="L847" t="str">
        <f>PasteBBM!Z847</f>
        <v/>
      </c>
      <c r="M847" t="str">
        <f>PasteBBM!Y847</f>
        <v/>
      </c>
      <c r="N847" t="str">
        <f>PasteBBM!AA847</f>
        <v/>
      </c>
      <c r="O847" t="str">
        <f>PasteBBM!AB847</f>
        <v/>
      </c>
      <c r="P847" t="str">
        <f>PasteBBM!AC847</f>
        <v/>
      </c>
      <c r="Q847" t="str">
        <f>PasteBBM!AD847</f>
        <v/>
      </c>
      <c r="R847" t="str">
        <f>PasteBBM!AI847</f>
        <v/>
      </c>
      <c r="S847" t="str">
        <f>PasteBBM!AE847</f>
        <v/>
      </c>
      <c r="T847" t="str">
        <f>PasteBBM!AG847</f>
        <v/>
      </c>
      <c r="V847" s="44">
        <v>-0.41709</v>
      </c>
      <c r="W847" s="44">
        <v>-0.00658</v>
      </c>
      <c r="X847" s="44">
        <v>0.009207</v>
      </c>
      <c r="Y847" s="44">
        <v>-0.4263</v>
      </c>
      <c r="Z847" s="44">
        <v>-0.34564</v>
      </c>
      <c r="AA847" s="45"/>
      <c r="AB847" s="46" t="s">
        <v>126</v>
      </c>
      <c r="AC847" s="44">
        <v>67.0</v>
      </c>
    </row>
    <row r="848">
      <c r="A848" s="2">
        <v>163.0</v>
      </c>
      <c r="B848" s="14">
        <f>IF(PasteBBM!B848="",156,PasteBBM!B848)</f>
        <v>156</v>
      </c>
      <c r="C848" t="str">
        <f>PasteBBM!I848</f>
        <v/>
      </c>
      <c r="D848" t="str">
        <f>IFERROR(REPLACE(PasteBBM!K848,FIND("/",PasteBBM!K848,1),1,","),PasteBBM!K848)</f>
        <v/>
      </c>
      <c r="E848" t="str">
        <f>PasteBBM!J848</f>
        <v/>
      </c>
      <c r="F848" t="str">
        <f>PasteBBM!U848</f>
        <v/>
      </c>
      <c r="G848" t="str">
        <f>PasteBBM!X848</f>
        <v/>
      </c>
      <c r="H848">
        <f>PasteBBM!AE848*PasteBBM!AF848</f>
        <v>0</v>
      </c>
      <c r="I848" t="str">
        <f>PasteBBM!AE848</f>
        <v/>
      </c>
      <c r="J848">
        <f>PasteBBM!AG848*PasteBBM!AH848</f>
        <v>0</v>
      </c>
      <c r="K848" t="str">
        <f>PasteBBM!AG848</f>
        <v/>
      </c>
      <c r="L848" t="str">
        <f>PasteBBM!Z848</f>
        <v/>
      </c>
      <c r="M848" t="str">
        <f>PasteBBM!Y848</f>
        <v/>
      </c>
      <c r="N848" t="str">
        <f>PasteBBM!AA848</f>
        <v/>
      </c>
      <c r="O848" t="str">
        <f>PasteBBM!AB848</f>
        <v/>
      </c>
      <c r="P848" t="str">
        <f>PasteBBM!AC848</f>
        <v/>
      </c>
      <c r="Q848" t="str">
        <f>PasteBBM!AD848</f>
        <v/>
      </c>
      <c r="R848" t="str">
        <f>PasteBBM!AI848</f>
        <v/>
      </c>
      <c r="S848" t="str">
        <f>PasteBBM!AE848</f>
        <v/>
      </c>
      <c r="T848" t="str">
        <f>PasteBBM!AG848</f>
        <v/>
      </c>
      <c r="V848" s="44">
        <v>-0.41709</v>
      </c>
      <c r="W848" s="44">
        <v>-0.00658</v>
      </c>
      <c r="X848" s="44">
        <v>0.009207</v>
      </c>
      <c r="Y848" s="44">
        <v>-0.4263</v>
      </c>
      <c r="Z848" s="44">
        <v>-0.34564</v>
      </c>
      <c r="AA848" s="45"/>
      <c r="AB848" s="46" t="s">
        <v>126</v>
      </c>
      <c r="AC848" s="44">
        <v>67.0</v>
      </c>
    </row>
    <row r="849">
      <c r="A849" s="2">
        <v>163.0</v>
      </c>
      <c r="B849" s="14">
        <f>IF(PasteBBM!B849="",156,PasteBBM!B849)</f>
        <v>156</v>
      </c>
      <c r="C849" t="str">
        <f>PasteBBM!I849</f>
        <v/>
      </c>
      <c r="D849" t="str">
        <f>IFERROR(REPLACE(PasteBBM!K849,FIND("/",PasteBBM!K849,1),1,","),PasteBBM!K849)</f>
        <v/>
      </c>
      <c r="E849" t="str">
        <f>PasteBBM!J849</f>
        <v/>
      </c>
      <c r="F849" t="str">
        <f>PasteBBM!U849</f>
        <v/>
      </c>
      <c r="G849" t="str">
        <f>PasteBBM!X849</f>
        <v/>
      </c>
      <c r="H849">
        <f>PasteBBM!AE849*PasteBBM!AF849</f>
        <v>0</v>
      </c>
      <c r="I849" t="str">
        <f>PasteBBM!AE849</f>
        <v/>
      </c>
      <c r="J849">
        <f>PasteBBM!AG849*PasteBBM!AH849</f>
        <v>0</v>
      </c>
      <c r="K849" t="str">
        <f>PasteBBM!AG849</f>
        <v/>
      </c>
      <c r="L849" t="str">
        <f>PasteBBM!Z849</f>
        <v/>
      </c>
      <c r="M849" t="str">
        <f>PasteBBM!Y849</f>
        <v/>
      </c>
      <c r="N849" t="str">
        <f>PasteBBM!AA849</f>
        <v/>
      </c>
      <c r="O849" t="str">
        <f>PasteBBM!AB849</f>
        <v/>
      </c>
      <c r="P849" t="str">
        <f>PasteBBM!AC849</f>
        <v/>
      </c>
      <c r="Q849" t="str">
        <f>PasteBBM!AD849</f>
        <v/>
      </c>
      <c r="R849" t="str">
        <f>PasteBBM!AI849</f>
        <v/>
      </c>
      <c r="S849" t="str">
        <f>PasteBBM!AE849</f>
        <v/>
      </c>
      <c r="T849" t="str">
        <f>PasteBBM!AG849</f>
        <v/>
      </c>
      <c r="V849" s="44">
        <v>-0.41709</v>
      </c>
      <c r="W849" s="44">
        <v>-0.00658</v>
      </c>
      <c r="X849" s="44">
        <v>0.009207</v>
      </c>
      <c r="Y849" s="44">
        <v>-0.4263</v>
      </c>
      <c r="Z849" s="44">
        <v>-0.34564</v>
      </c>
      <c r="AA849" s="45"/>
      <c r="AB849" s="46" t="s">
        <v>126</v>
      </c>
      <c r="AC849" s="44">
        <v>67.0</v>
      </c>
    </row>
    <row r="850">
      <c r="A850" s="2">
        <v>163.0</v>
      </c>
      <c r="B850" s="14">
        <f>IF(PasteBBM!B850="",156,PasteBBM!B850)</f>
        <v>156</v>
      </c>
      <c r="C850" t="str">
        <f>PasteBBM!I850</f>
        <v/>
      </c>
      <c r="D850" t="str">
        <f>IFERROR(REPLACE(PasteBBM!K850,FIND("/",PasteBBM!K850,1),1,","),PasteBBM!K850)</f>
        <v/>
      </c>
      <c r="E850" t="str">
        <f>PasteBBM!J850</f>
        <v/>
      </c>
      <c r="F850" t="str">
        <f>PasteBBM!U850</f>
        <v/>
      </c>
      <c r="G850" t="str">
        <f>PasteBBM!X850</f>
        <v/>
      </c>
      <c r="H850">
        <f>PasteBBM!AE850*PasteBBM!AF850</f>
        <v>0</v>
      </c>
      <c r="I850" t="str">
        <f>PasteBBM!AE850</f>
        <v/>
      </c>
      <c r="J850">
        <f>PasteBBM!AG850*PasteBBM!AH850</f>
        <v>0</v>
      </c>
      <c r="K850" t="str">
        <f>PasteBBM!AG850</f>
        <v/>
      </c>
      <c r="L850" t="str">
        <f>PasteBBM!Z850</f>
        <v/>
      </c>
      <c r="M850" t="str">
        <f>PasteBBM!Y850</f>
        <v/>
      </c>
      <c r="N850" t="str">
        <f>PasteBBM!AA850</f>
        <v/>
      </c>
      <c r="O850" t="str">
        <f>PasteBBM!AB850</f>
        <v/>
      </c>
      <c r="P850" t="str">
        <f>PasteBBM!AC850</f>
        <v/>
      </c>
      <c r="Q850" t="str">
        <f>PasteBBM!AD850</f>
        <v/>
      </c>
      <c r="R850" t="str">
        <f>PasteBBM!AI850</f>
        <v/>
      </c>
      <c r="S850" t="str">
        <f>PasteBBM!AE850</f>
        <v/>
      </c>
      <c r="T850" t="str">
        <f>PasteBBM!AG850</f>
        <v/>
      </c>
      <c r="V850" s="44">
        <v>-0.41709</v>
      </c>
      <c r="W850" s="44">
        <v>-0.00658</v>
      </c>
      <c r="X850" s="44">
        <v>0.009207</v>
      </c>
      <c r="Y850" s="44">
        <v>-0.4263</v>
      </c>
      <c r="Z850" s="44">
        <v>-0.34564</v>
      </c>
      <c r="AA850" s="45"/>
      <c r="AB850" s="46" t="s">
        <v>126</v>
      </c>
      <c r="AC850" s="44">
        <v>67.0</v>
      </c>
    </row>
    <row r="851">
      <c r="A851" s="2">
        <v>163.0</v>
      </c>
      <c r="B851" s="14">
        <f>IF(PasteBBM!B851="",156,PasteBBM!B851)</f>
        <v>156</v>
      </c>
      <c r="C851" t="str">
        <f>PasteBBM!I851</f>
        <v/>
      </c>
      <c r="D851" t="str">
        <f>IFERROR(REPLACE(PasteBBM!K851,FIND("/",PasteBBM!K851,1),1,","),PasteBBM!K851)</f>
        <v/>
      </c>
      <c r="E851" t="str">
        <f>PasteBBM!J851</f>
        <v/>
      </c>
      <c r="F851" t="str">
        <f>PasteBBM!U851</f>
        <v/>
      </c>
      <c r="G851" t="str">
        <f>PasteBBM!X851</f>
        <v/>
      </c>
      <c r="H851">
        <f>PasteBBM!AE851*PasteBBM!AF851</f>
        <v>0</v>
      </c>
      <c r="I851" t="str">
        <f>PasteBBM!AE851</f>
        <v/>
      </c>
      <c r="J851">
        <f>PasteBBM!AG851*PasteBBM!AH851</f>
        <v>0</v>
      </c>
      <c r="K851" t="str">
        <f>PasteBBM!AG851</f>
        <v/>
      </c>
      <c r="L851" t="str">
        <f>PasteBBM!Z851</f>
        <v/>
      </c>
      <c r="M851" t="str">
        <f>PasteBBM!Y851</f>
        <v/>
      </c>
      <c r="N851" t="str">
        <f>PasteBBM!AA851</f>
        <v/>
      </c>
      <c r="O851" t="str">
        <f>PasteBBM!AB851</f>
        <v/>
      </c>
      <c r="P851" t="str">
        <f>PasteBBM!AC851</f>
        <v/>
      </c>
      <c r="Q851" t="str">
        <f>PasteBBM!AD851</f>
        <v/>
      </c>
      <c r="R851" t="str">
        <f>PasteBBM!AI851</f>
        <v/>
      </c>
      <c r="S851" t="str">
        <f>PasteBBM!AE851</f>
        <v/>
      </c>
      <c r="T851" t="str">
        <f>PasteBBM!AG851</f>
        <v/>
      </c>
      <c r="V851" s="44">
        <v>-0.41709</v>
      </c>
      <c r="W851" s="44">
        <v>-0.00658</v>
      </c>
      <c r="X851" s="44">
        <v>0.009207</v>
      </c>
      <c r="Y851" s="44">
        <v>-0.4263</v>
      </c>
      <c r="Z851" s="44">
        <v>-0.34564</v>
      </c>
      <c r="AA851" s="45"/>
      <c r="AB851" s="46" t="s">
        <v>126</v>
      </c>
      <c r="AC851" s="44">
        <v>67.0</v>
      </c>
    </row>
    <row r="852">
      <c r="A852" s="2">
        <v>163.0</v>
      </c>
      <c r="B852" s="14">
        <f>IF(PasteBBM!B852="",156,PasteBBM!B852)</f>
        <v>156</v>
      </c>
      <c r="C852" t="str">
        <f>PasteBBM!I852</f>
        <v/>
      </c>
      <c r="D852" t="str">
        <f>IFERROR(REPLACE(PasteBBM!K852,FIND("/",PasteBBM!K852,1),1,","),PasteBBM!K852)</f>
        <v/>
      </c>
      <c r="E852" t="str">
        <f>PasteBBM!J852</f>
        <v/>
      </c>
      <c r="F852" t="str">
        <f>PasteBBM!U852</f>
        <v/>
      </c>
      <c r="G852" t="str">
        <f>PasteBBM!X852</f>
        <v/>
      </c>
      <c r="H852">
        <f>PasteBBM!AE852*PasteBBM!AF852</f>
        <v>0</v>
      </c>
      <c r="I852" t="str">
        <f>PasteBBM!AE852</f>
        <v/>
      </c>
      <c r="J852">
        <f>PasteBBM!AG852*PasteBBM!AH852</f>
        <v>0</v>
      </c>
      <c r="K852" t="str">
        <f>PasteBBM!AG852</f>
        <v/>
      </c>
      <c r="L852" t="str">
        <f>PasteBBM!Z852</f>
        <v/>
      </c>
      <c r="M852" t="str">
        <f>PasteBBM!Y852</f>
        <v/>
      </c>
      <c r="N852" t="str">
        <f>PasteBBM!AA852</f>
        <v/>
      </c>
      <c r="O852" t="str">
        <f>PasteBBM!AB852</f>
        <v/>
      </c>
      <c r="P852" t="str">
        <f>PasteBBM!AC852</f>
        <v/>
      </c>
      <c r="Q852" t="str">
        <f>PasteBBM!AD852</f>
        <v/>
      </c>
      <c r="R852" t="str">
        <f>PasteBBM!AI852</f>
        <v/>
      </c>
      <c r="S852" t="str">
        <f>PasteBBM!AE852</f>
        <v/>
      </c>
      <c r="T852" t="str">
        <f>PasteBBM!AG852</f>
        <v/>
      </c>
      <c r="V852" s="44">
        <v>-0.41709</v>
      </c>
      <c r="W852" s="44">
        <v>-0.00658</v>
      </c>
      <c r="X852" s="44">
        <v>0.009207</v>
      </c>
      <c r="Y852" s="44">
        <v>-0.4263</v>
      </c>
      <c r="Z852" s="44">
        <v>-0.34564</v>
      </c>
      <c r="AA852" s="45"/>
      <c r="AB852" s="46" t="s">
        <v>126</v>
      </c>
      <c r="AC852" s="44">
        <v>67.0</v>
      </c>
    </row>
    <row r="853">
      <c r="A853" s="2">
        <v>163.0</v>
      </c>
      <c r="B853" s="14">
        <f>IF(PasteBBM!B853="",156,PasteBBM!B853)</f>
        <v>156</v>
      </c>
      <c r="C853" t="str">
        <f>PasteBBM!I853</f>
        <v/>
      </c>
      <c r="D853" t="str">
        <f>IFERROR(REPLACE(PasteBBM!K853,FIND("/",PasteBBM!K853,1),1,","),PasteBBM!K853)</f>
        <v/>
      </c>
      <c r="E853" t="str">
        <f>PasteBBM!J853</f>
        <v/>
      </c>
      <c r="F853" t="str">
        <f>PasteBBM!U853</f>
        <v/>
      </c>
      <c r="G853" t="str">
        <f>PasteBBM!X853</f>
        <v/>
      </c>
      <c r="H853">
        <f>PasteBBM!AE853*PasteBBM!AF853</f>
        <v>0</v>
      </c>
      <c r="I853" t="str">
        <f>PasteBBM!AE853</f>
        <v/>
      </c>
      <c r="J853">
        <f>PasteBBM!AG853*PasteBBM!AH853</f>
        <v>0</v>
      </c>
      <c r="K853" t="str">
        <f>PasteBBM!AG853</f>
        <v/>
      </c>
      <c r="L853" t="str">
        <f>PasteBBM!Z853</f>
        <v/>
      </c>
      <c r="M853" t="str">
        <f>PasteBBM!Y853</f>
        <v/>
      </c>
      <c r="N853" t="str">
        <f>PasteBBM!AA853</f>
        <v/>
      </c>
      <c r="O853" t="str">
        <f>PasteBBM!AB853</f>
        <v/>
      </c>
      <c r="P853" t="str">
        <f>PasteBBM!AC853</f>
        <v/>
      </c>
      <c r="Q853" t="str">
        <f>PasteBBM!AD853</f>
        <v/>
      </c>
      <c r="R853" t="str">
        <f>PasteBBM!AI853</f>
        <v/>
      </c>
      <c r="S853" t="str">
        <f>PasteBBM!AE853</f>
        <v/>
      </c>
      <c r="T853" t="str">
        <f>PasteBBM!AG853</f>
        <v/>
      </c>
      <c r="V853" s="44">
        <v>-0.41709</v>
      </c>
      <c r="W853" s="44">
        <v>-0.00658</v>
      </c>
      <c r="X853" s="44">
        <v>0.009207</v>
      </c>
      <c r="Y853" s="44">
        <v>-0.4263</v>
      </c>
      <c r="Z853" s="44">
        <v>-0.34564</v>
      </c>
      <c r="AA853" s="45"/>
      <c r="AB853" s="46" t="s">
        <v>126</v>
      </c>
      <c r="AC853" s="44">
        <v>67.0</v>
      </c>
    </row>
    <row r="854">
      <c r="A854" s="2">
        <v>163.0</v>
      </c>
      <c r="B854" s="14">
        <f>IF(PasteBBM!B854="",156,PasteBBM!B854)</f>
        <v>156</v>
      </c>
      <c r="C854" t="str">
        <f>PasteBBM!I854</f>
        <v/>
      </c>
      <c r="D854" t="str">
        <f>IFERROR(REPLACE(PasteBBM!K854,FIND("/",PasteBBM!K854,1),1,","),PasteBBM!K854)</f>
        <v/>
      </c>
      <c r="E854" t="str">
        <f>PasteBBM!J854</f>
        <v/>
      </c>
      <c r="F854" t="str">
        <f>PasteBBM!U854</f>
        <v/>
      </c>
      <c r="G854" t="str">
        <f>PasteBBM!X854</f>
        <v/>
      </c>
      <c r="H854">
        <f>PasteBBM!AE854*PasteBBM!AF854</f>
        <v>0</v>
      </c>
      <c r="I854" t="str">
        <f>PasteBBM!AE854</f>
        <v/>
      </c>
      <c r="J854">
        <f>PasteBBM!AG854*PasteBBM!AH854</f>
        <v>0</v>
      </c>
      <c r="K854" t="str">
        <f>PasteBBM!AG854</f>
        <v/>
      </c>
      <c r="L854" t="str">
        <f>PasteBBM!Z854</f>
        <v/>
      </c>
      <c r="M854" t="str">
        <f>PasteBBM!Y854</f>
        <v/>
      </c>
      <c r="N854" t="str">
        <f>PasteBBM!AA854</f>
        <v/>
      </c>
      <c r="O854" t="str">
        <f>PasteBBM!AB854</f>
        <v/>
      </c>
      <c r="P854" t="str">
        <f>PasteBBM!AC854</f>
        <v/>
      </c>
      <c r="Q854" t="str">
        <f>PasteBBM!AD854</f>
        <v/>
      </c>
      <c r="R854" t="str">
        <f>PasteBBM!AI854</f>
        <v/>
      </c>
      <c r="S854" t="str">
        <f>PasteBBM!AE854</f>
        <v/>
      </c>
      <c r="T854" t="str">
        <f>PasteBBM!AG854</f>
        <v/>
      </c>
      <c r="V854" s="44">
        <v>-0.41709</v>
      </c>
      <c r="W854" s="44">
        <v>-0.00658</v>
      </c>
      <c r="X854" s="44">
        <v>0.009207</v>
      </c>
      <c r="Y854" s="44">
        <v>-0.4263</v>
      </c>
      <c r="Z854" s="44">
        <v>-0.34564</v>
      </c>
      <c r="AA854" s="45"/>
      <c r="AB854" s="46" t="s">
        <v>126</v>
      </c>
      <c r="AC854" s="44">
        <v>67.0</v>
      </c>
    </row>
    <row r="855">
      <c r="A855" s="2">
        <v>163.0</v>
      </c>
      <c r="B855" s="14">
        <f>IF(PasteBBM!B855="",156,PasteBBM!B855)</f>
        <v>156</v>
      </c>
      <c r="C855" t="str">
        <f>PasteBBM!I855</f>
        <v/>
      </c>
      <c r="D855" t="str">
        <f>IFERROR(REPLACE(PasteBBM!K855,FIND("/",PasteBBM!K855,1),1,","),PasteBBM!K855)</f>
        <v/>
      </c>
      <c r="E855" t="str">
        <f>PasteBBM!J855</f>
        <v/>
      </c>
      <c r="F855" t="str">
        <f>PasteBBM!U855</f>
        <v/>
      </c>
      <c r="G855" t="str">
        <f>PasteBBM!X855</f>
        <v/>
      </c>
      <c r="H855">
        <f>PasteBBM!AE855*PasteBBM!AF855</f>
        <v>0</v>
      </c>
      <c r="I855" t="str">
        <f>PasteBBM!AE855</f>
        <v/>
      </c>
      <c r="J855">
        <f>PasteBBM!AG855*PasteBBM!AH855</f>
        <v>0</v>
      </c>
      <c r="K855" t="str">
        <f>PasteBBM!AG855</f>
        <v/>
      </c>
      <c r="L855" t="str">
        <f>PasteBBM!Z855</f>
        <v/>
      </c>
      <c r="M855" t="str">
        <f>PasteBBM!Y855</f>
        <v/>
      </c>
      <c r="N855" t="str">
        <f>PasteBBM!AA855</f>
        <v/>
      </c>
      <c r="O855" t="str">
        <f>PasteBBM!AB855</f>
        <v/>
      </c>
      <c r="P855" t="str">
        <f>PasteBBM!AC855</f>
        <v/>
      </c>
      <c r="Q855" t="str">
        <f>PasteBBM!AD855</f>
        <v/>
      </c>
      <c r="R855" t="str">
        <f>PasteBBM!AI855</f>
        <v/>
      </c>
      <c r="S855" t="str">
        <f>PasteBBM!AE855</f>
        <v/>
      </c>
      <c r="T855" t="str">
        <f>PasteBBM!AG855</f>
        <v/>
      </c>
      <c r="V855" s="44">
        <v>-0.41709</v>
      </c>
      <c r="W855" s="44">
        <v>-0.00658</v>
      </c>
      <c r="X855" s="44">
        <v>0.009207</v>
      </c>
      <c r="Y855" s="44">
        <v>-0.4263</v>
      </c>
      <c r="Z855" s="44">
        <v>-0.34564</v>
      </c>
      <c r="AA855" s="45"/>
      <c r="AB855" s="46" t="s">
        <v>126</v>
      </c>
      <c r="AC855" s="44">
        <v>67.0</v>
      </c>
    </row>
    <row r="856">
      <c r="A856" s="2">
        <v>163.0</v>
      </c>
      <c r="B856" s="14">
        <f>IF(PasteBBM!B856="",156,PasteBBM!B856)</f>
        <v>156</v>
      </c>
      <c r="C856" t="str">
        <f>PasteBBM!I856</f>
        <v/>
      </c>
      <c r="D856" t="str">
        <f>IFERROR(REPLACE(PasteBBM!K856,FIND("/",PasteBBM!K856,1),1,","),PasteBBM!K856)</f>
        <v/>
      </c>
      <c r="E856" t="str">
        <f>PasteBBM!J856</f>
        <v/>
      </c>
      <c r="F856" t="str">
        <f>PasteBBM!U856</f>
        <v/>
      </c>
      <c r="G856" t="str">
        <f>PasteBBM!X856</f>
        <v/>
      </c>
      <c r="H856">
        <f>PasteBBM!AE856*PasteBBM!AF856</f>
        <v>0</v>
      </c>
      <c r="I856" t="str">
        <f>PasteBBM!AE856</f>
        <v/>
      </c>
      <c r="J856">
        <f>PasteBBM!AG856*PasteBBM!AH856</f>
        <v>0</v>
      </c>
      <c r="K856" t="str">
        <f>PasteBBM!AG856</f>
        <v/>
      </c>
      <c r="L856" t="str">
        <f>PasteBBM!Z856</f>
        <v/>
      </c>
      <c r="M856" t="str">
        <f>PasteBBM!Y856</f>
        <v/>
      </c>
      <c r="N856" t="str">
        <f>PasteBBM!AA856</f>
        <v/>
      </c>
      <c r="O856" t="str">
        <f>PasteBBM!AB856</f>
        <v/>
      </c>
      <c r="P856" t="str">
        <f>PasteBBM!AC856</f>
        <v/>
      </c>
      <c r="Q856" t="str">
        <f>PasteBBM!AD856</f>
        <v/>
      </c>
      <c r="R856" t="str">
        <f>PasteBBM!AI856</f>
        <v/>
      </c>
      <c r="S856" t="str">
        <f>PasteBBM!AE856</f>
        <v/>
      </c>
      <c r="T856" t="str">
        <f>PasteBBM!AG856</f>
        <v/>
      </c>
      <c r="V856" s="44">
        <v>-0.41709</v>
      </c>
      <c r="W856" s="44">
        <v>-0.00658</v>
      </c>
      <c r="X856" s="44">
        <v>0.009207</v>
      </c>
      <c r="Y856" s="44">
        <v>-0.4263</v>
      </c>
      <c r="Z856" s="44">
        <v>-0.34564</v>
      </c>
      <c r="AA856" s="45"/>
      <c r="AB856" s="46" t="s">
        <v>126</v>
      </c>
      <c r="AC856" s="44">
        <v>67.0</v>
      </c>
    </row>
    <row r="857">
      <c r="A857" s="2">
        <v>163.0</v>
      </c>
      <c r="B857" s="14">
        <f>IF(PasteBBM!B857="",156,PasteBBM!B857)</f>
        <v>156</v>
      </c>
      <c r="C857" t="str">
        <f>PasteBBM!I857</f>
        <v/>
      </c>
      <c r="D857" t="str">
        <f>IFERROR(REPLACE(PasteBBM!K857,FIND("/",PasteBBM!K857,1),1,","),PasteBBM!K857)</f>
        <v/>
      </c>
      <c r="E857" t="str">
        <f>PasteBBM!J857</f>
        <v/>
      </c>
      <c r="F857" t="str">
        <f>PasteBBM!U857</f>
        <v/>
      </c>
      <c r="G857" t="str">
        <f>PasteBBM!X857</f>
        <v/>
      </c>
      <c r="H857">
        <f>PasteBBM!AE857*PasteBBM!AF857</f>
        <v>0</v>
      </c>
      <c r="I857" t="str">
        <f>PasteBBM!AE857</f>
        <v/>
      </c>
      <c r="J857">
        <f>PasteBBM!AG857*PasteBBM!AH857</f>
        <v>0</v>
      </c>
      <c r="K857" t="str">
        <f>PasteBBM!AG857</f>
        <v/>
      </c>
      <c r="L857" t="str">
        <f>PasteBBM!Z857</f>
        <v/>
      </c>
      <c r="M857" t="str">
        <f>PasteBBM!Y857</f>
        <v/>
      </c>
      <c r="N857" t="str">
        <f>PasteBBM!AA857</f>
        <v/>
      </c>
      <c r="O857" t="str">
        <f>PasteBBM!AB857</f>
        <v/>
      </c>
      <c r="P857" t="str">
        <f>PasteBBM!AC857</f>
        <v/>
      </c>
      <c r="Q857" t="str">
        <f>PasteBBM!AD857</f>
        <v/>
      </c>
      <c r="R857" t="str">
        <f>PasteBBM!AI857</f>
        <v/>
      </c>
      <c r="S857" t="str">
        <f>PasteBBM!AE857</f>
        <v/>
      </c>
      <c r="T857" t="str">
        <f>PasteBBM!AG857</f>
        <v/>
      </c>
      <c r="V857" s="44">
        <v>-0.41709</v>
      </c>
      <c r="W857" s="44">
        <v>-0.00658</v>
      </c>
      <c r="X857" s="44">
        <v>0.009207</v>
      </c>
      <c r="Y857" s="44">
        <v>-0.4263</v>
      </c>
      <c r="Z857" s="44">
        <v>-0.34564</v>
      </c>
      <c r="AA857" s="45"/>
      <c r="AB857" s="46" t="s">
        <v>126</v>
      </c>
      <c r="AC857" s="44">
        <v>67.0</v>
      </c>
    </row>
    <row r="858">
      <c r="A858" s="2">
        <v>163.0</v>
      </c>
      <c r="B858" s="14">
        <f>IF(PasteBBM!B858="",156,PasteBBM!B858)</f>
        <v>156</v>
      </c>
      <c r="C858" t="str">
        <f>PasteBBM!I858</f>
        <v/>
      </c>
      <c r="D858" t="str">
        <f>IFERROR(REPLACE(PasteBBM!K858,FIND("/",PasteBBM!K858,1),1,","),PasteBBM!K858)</f>
        <v/>
      </c>
      <c r="E858" t="str">
        <f>PasteBBM!J858</f>
        <v/>
      </c>
      <c r="F858" t="str">
        <f>PasteBBM!U858</f>
        <v/>
      </c>
      <c r="G858" t="str">
        <f>PasteBBM!X858</f>
        <v/>
      </c>
      <c r="H858">
        <f>PasteBBM!AE858*PasteBBM!AF858</f>
        <v>0</v>
      </c>
      <c r="I858" t="str">
        <f>PasteBBM!AE858</f>
        <v/>
      </c>
      <c r="J858">
        <f>PasteBBM!AG858*PasteBBM!AH858</f>
        <v>0</v>
      </c>
      <c r="K858" t="str">
        <f>PasteBBM!AG858</f>
        <v/>
      </c>
      <c r="L858" t="str">
        <f>PasteBBM!Z858</f>
        <v/>
      </c>
      <c r="M858" t="str">
        <f>PasteBBM!Y858</f>
        <v/>
      </c>
      <c r="N858" t="str">
        <f>PasteBBM!AA858</f>
        <v/>
      </c>
      <c r="O858" t="str">
        <f>PasteBBM!AB858</f>
        <v/>
      </c>
      <c r="P858" t="str">
        <f>PasteBBM!AC858</f>
        <v/>
      </c>
      <c r="Q858" t="str">
        <f>PasteBBM!AD858</f>
        <v/>
      </c>
      <c r="R858" t="str">
        <f>PasteBBM!AI858</f>
        <v/>
      </c>
      <c r="S858" t="str">
        <f>PasteBBM!AE858</f>
        <v/>
      </c>
      <c r="T858" t="str">
        <f>PasteBBM!AG858</f>
        <v/>
      </c>
      <c r="V858" s="44">
        <v>-0.41709</v>
      </c>
      <c r="W858" s="44">
        <v>-0.00658</v>
      </c>
      <c r="X858" s="44">
        <v>0.009207</v>
      </c>
      <c r="Y858" s="44">
        <v>-0.4263</v>
      </c>
      <c r="Z858" s="44">
        <v>-0.34564</v>
      </c>
      <c r="AA858" s="45"/>
      <c r="AB858" s="46" t="s">
        <v>126</v>
      </c>
      <c r="AC858" s="44">
        <v>67.0</v>
      </c>
    </row>
    <row r="859">
      <c r="A859" s="2">
        <v>163.0</v>
      </c>
      <c r="B859" s="14">
        <f>IF(PasteBBM!B859="",156,PasteBBM!B859)</f>
        <v>156</v>
      </c>
      <c r="C859" t="str">
        <f>PasteBBM!I859</f>
        <v/>
      </c>
      <c r="D859" t="str">
        <f>IFERROR(REPLACE(PasteBBM!K859,FIND("/",PasteBBM!K859,1),1,","),PasteBBM!K859)</f>
        <v/>
      </c>
      <c r="E859" t="str">
        <f>PasteBBM!J859</f>
        <v/>
      </c>
      <c r="F859" t="str">
        <f>PasteBBM!U859</f>
        <v/>
      </c>
      <c r="G859" t="str">
        <f>PasteBBM!X859</f>
        <v/>
      </c>
      <c r="H859">
        <f>PasteBBM!AE859*PasteBBM!AF859</f>
        <v>0</v>
      </c>
      <c r="I859" t="str">
        <f>PasteBBM!AE859</f>
        <v/>
      </c>
      <c r="J859">
        <f>PasteBBM!AG859*PasteBBM!AH859</f>
        <v>0</v>
      </c>
      <c r="K859" t="str">
        <f>PasteBBM!AG859</f>
        <v/>
      </c>
      <c r="L859" t="str">
        <f>PasteBBM!Z859</f>
        <v/>
      </c>
      <c r="M859" t="str">
        <f>PasteBBM!Y859</f>
        <v/>
      </c>
      <c r="N859" t="str">
        <f>PasteBBM!AA859</f>
        <v/>
      </c>
      <c r="O859" t="str">
        <f>PasteBBM!AB859</f>
        <v/>
      </c>
      <c r="P859" t="str">
        <f>PasteBBM!AC859</f>
        <v/>
      </c>
      <c r="Q859" t="str">
        <f>PasteBBM!AD859</f>
        <v/>
      </c>
      <c r="R859" t="str">
        <f>PasteBBM!AI859</f>
        <v/>
      </c>
      <c r="S859" t="str">
        <f>PasteBBM!AE859</f>
        <v/>
      </c>
      <c r="T859" t="str">
        <f>PasteBBM!AG859</f>
        <v/>
      </c>
      <c r="V859" s="44">
        <v>-0.41709</v>
      </c>
      <c r="W859" s="44">
        <v>-0.00658</v>
      </c>
      <c r="X859" s="44">
        <v>0.009207</v>
      </c>
      <c r="Y859" s="44">
        <v>-0.4263</v>
      </c>
      <c r="Z859" s="44">
        <v>-0.34564</v>
      </c>
      <c r="AA859" s="45"/>
      <c r="AB859" s="46" t="s">
        <v>126</v>
      </c>
      <c r="AC859" s="44">
        <v>67.0</v>
      </c>
    </row>
    <row r="860">
      <c r="A860" s="2">
        <v>163.0</v>
      </c>
      <c r="B860" s="14">
        <f>IF(PasteBBM!B860="",156,PasteBBM!B860)</f>
        <v>156</v>
      </c>
      <c r="C860" t="str">
        <f>PasteBBM!I860</f>
        <v/>
      </c>
      <c r="D860" t="str">
        <f>IFERROR(REPLACE(PasteBBM!K860,FIND("/",PasteBBM!K860,1),1,","),PasteBBM!K860)</f>
        <v/>
      </c>
      <c r="E860" t="str">
        <f>PasteBBM!J860</f>
        <v/>
      </c>
      <c r="F860" t="str">
        <f>PasteBBM!U860</f>
        <v/>
      </c>
      <c r="G860" t="str">
        <f>PasteBBM!X860</f>
        <v/>
      </c>
      <c r="H860">
        <f>PasteBBM!AE860*PasteBBM!AF860</f>
        <v>0</v>
      </c>
      <c r="I860" t="str">
        <f>PasteBBM!AE860</f>
        <v/>
      </c>
      <c r="J860">
        <f>PasteBBM!AG860*PasteBBM!AH860</f>
        <v>0</v>
      </c>
      <c r="K860" t="str">
        <f>PasteBBM!AG860</f>
        <v/>
      </c>
      <c r="L860" t="str">
        <f>PasteBBM!Z860</f>
        <v/>
      </c>
      <c r="M860" t="str">
        <f>PasteBBM!Y860</f>
        <v/>
      </c>
      <c r="N860" t="str">
        <f>PasteBBM!AA860</f>
        <v/>
      </c>
      <c r="O860" t="str">
        <f>PasteBBM!AB860</f>
        <v/>
      </c>
      <c r="P860" t="str">
        <f>PasteBBM!AC860</f>
        <v/>
      </c>
      <c r="Q860" t="str">
        <f>PasteBBM!AD860</f>
        <v/>
      </c>
      <c r="R860" t="str">
        <f>PasteBBM!AI860</f>
        <v/>
      </c>
      <c r="S860" t="str">
        <f>PasteBBM!AE860</f>
        <v/>
      </c>
      <c r="T860" t="str">
        <f>PasteBBM!AG860</f>
        <v/>
      </c>
      <c r="V860" s="44">
        <v>-0.41709</v>
      </c>
      <c r="W860" s="44">
        <v>-0.00658</v>
      </c>
      <c r="X860" s="44">
        <v>0.009207</v>
      </c>
      <c r="Y860" s="44">
        <v>-0.4263</v>
      </c>
      <c r="Z860" s="44">
        <v>-0.34564</v>
      </c>
      <c r="AA860" s="45"/>
      <c r="AB860" s="46" t="s">
        <v>126</v>
      </c>
      <c r="AC860" s="44">
        <v>67.0</v>
      </c>
    </row>
    <row r="861">
      <c r="A861" s="2">
        <v>163.0</v>
      </c>
      <c r="B861" s="14">
        <f>IF(PasteBBM!B861="",156,PasteBBM!B861)</f>
        <v>156</v>
      </c>
      <c r="C861" t="str">
        <f>PasteBBM!I861</f>
        <v/>
      </c>
      <c r="D861" t="str">
        <f>IFERROR(REPLACE(PasteBBM!K861,FIND("/",PasteBBM!K861,1),1,","),PasteBBM!K861)</f>
        <v/>
      </c>
      <c r="E861" t="str">
        <f>PasteBBM!J861</f>
        <v/>
      </c>
      <c r="F861" t="str">
        <f>PasteBBM!U861</f>
        <v/>
      </c>
      <c r="G861" t="str">
        <f>PasteBBM!X861</f>
        <v/>
      </c>
      <c r="H861">
        <f>PasteBBM!AE861*PasteBBM!AF861</f>
        <v>0</v>
      </c>
      <c r="I861" t="str">
        <f>PasteBBM!AE861</f>
        <v/>
      </c>
      <c r="J861">
        <f>PasteBBM!AG861*PasteBBM!AH861</f>
        <v>0</v>
      </c>
      <c r="K861" t="str">
        <f>PasteBBM!AG861</f>
        <v/>
      </c>
      <c r="L861" t="str">
        <f>PasteBBM!Z861</f>
        <v/>
      </c>
      <c r="M861" t="str">
        <f>PasteBBM!Y861</f>
        <v/>
      </c>
      <c r="N861" t="str">
        <f>PasteBBM!AA861</f>
        <v/>
      </c>
      <c r="O861" t="str">
        <f>PasteBBM!AB861</f>
        <v/>
      </c>
      <c r="P861" t="str">
        <f>PasteBBM!AC861</f>
        <v/>
      </c>
      <c r="Q861" t="str">
        <f>PasteBBM!AD861</f>
        <v/>
      </c>
      <c r="R861" t="str">
        <f>PasteBBM!AI861</f>
        <v/>
      </c>
      <c r="S861" t="str">
        <f>PasteBBM!AE861</f>
        <v/>
      </c>
      <c r="T861" t="str">
        <f>PasteBBM!AG861</f>
        <v/>
      </c>
      <c r="V861" s="44">
        <v>-0.41709</v>
      </c>
      <c r="W861" s="44">
        <v>-0.00658</v>
      </c>
      <c r="X861" s="44">
        <v>0.009207</v>
      </c>
      <c r="Y861" s="44">
        <v>-0.4263</v>
      </c>
      <c r="Z861" s="44">
        <v>-0.34564</v>
      </c>
      <c r="AA861" s="45"/>
      <c r="AB861" s="46" t="s">
        <v>126</v>
      </c>
      <c r="AC861" s="44">
        <v>67.0</v>
      </c>
    </row>
    <row r="862">
      <c r="A862" s="2">
        <v>163.0</v>
      </c>
      <c r="B862" s="14">
        <f>IF(PasteBBM!B862="",156,PasteBBM!B862)</f>
        <v>156</v>
      </c>
      <c r="C862" t="str">
        <f>PasteBBM!I862</f>
        <v/>
      </c>
      <c r="D862" t="str">
        <f>IFERROR(REPLACE(PasteBBM!K862,FIND("/",PasteBBM!K862,1),1,","),PasteBBM!K862)</f>
        <v/>
      </c>
      <c r="E862" t="str">
        <f>PasteBBM!J862</f>
        <v/>
      </c>
      <c r="F862" t="str">
        <f>PasteBBM!U862</f>
        <v/>
      </c>
      <c r="G862" t="str">
        <f>PasteBBM!X862</f>
        <v/>
      </c>
      <c r="H862">
        <f>PasteBBM!AE862*PasteBBM!AF862</f>
        <v>0</v>
      </c>
      <c r="I862" t="str">
        <f>PasteBBM!AE862</f>
        <v/>
      </c>
      <c r="J862">
        <f>PasteBBM!AG862*PasteBBM!AH862</f>
        <v>0</v>
      </c>
      <c r="K862" t="str">
        <f>PasteBBM!AG862</f>
        <v/>
      </c>
      <c r="L862" t="str">
        <f>PasteBBM!Z862</f>
        <v/>
      </c>
      <c r="M862" t="str">
        <f>PasteBBM!Y862</f>
        <v/>
      </c>
      <c r="N862" t="str">
        <f>PasteBBM!AA862</f>
        <v/>
      </c>
      <c r="O862" t="str">
        <f>PasteBBM!AB862</f>
        <v/>
      </c>
      <c r="P862" t="str">
        <f>PasteBBM!AC862</f>
        <v/>
      </c>
      <c r="Q862" t="str">
        <f>PasteBBM!AD862</f>
        <v/>
      </c>
      <c r="R862" t="str">
        <f>PasteBBM!AI862</f>
        <v/>
      </c>
      <c r="S862" t="str">
        <f>PasteBBM!AE862</f>
        <v/>
      </c>
      <c r="T862" t="str">
        <f>PasteBBM!AG862</f>
        <v/>
      </c>
      <c r="V862" s="44">
        <v>-0.41709</v>
      </c>
      <c r="W862" s="44">
        <v>-0.00658</v>
      </c>
      <c r="X862" s="44">
        <v>0.009207</v>
      </c>
      <c r="Y862" s="44">
        <v>-0.4263</v>
      </c>
      <c r="Z862" s="44">
        <v>-0.34564</v>
      </c>
      <c r="AA862" s="45"/>
      <c r="AB862" s="46" t="s">
        <v>126</v>
      </c>
      <c r="AC862" s="44">
        <v>67.0</v>
      </c>
    </row>
    <row r="863">
      <c r="A863" s="2">
        <v>163.0</v>
      </c>
      <c r="B863" s="14">
        <f>IF(PasteBBM!B863="",156,PasteBBM!B863)</f>
        <v>156</v>
      </c>
      <c r="C863" t="str">
        <f>PasteBBM!I863</f>
        <v/>
      </c>
      <c r="D863" t="str">
        <f>IFERROR(REPLACE(PasteBBM!K863,FIND("/",PasteBBM!K863,1),1,","),PasteBBM!K863)</f>
        <v/>
      </c>
      <c r="E863" t="str">
        <f>PasteBBM!J863</f>
        <v/>
      </c>
      <c r="F863" t="str">
        <f>PasteBBM!U863</f>
        <v/>
      </c>
      <c r="G863" t="str">
        <f>PasteBBM!X863</f>
        <v/>
      </c>
      <c r="H863">
        <f>PasteBBM!AE863*PasteBBM!AF863</f>
        <v>0</v>
      </c>
      <c r="I863" t="str">
        <f>PasteBBM!AE863</f>
        <v/>
      </c>
      <c r="J863">
        <f>PasteBBM!AG863*PasteBBM!AH863</f>
        <v>0</v>
      </c>
      <c r="K863" t="str">
        <f>PasteBBM!AG863</f>
        <v/>
      </c>
      <c r="L863" t="str">
        <f>PasteBBM!Z863</f>
        <v/>
      </c>
      <c r="M863" t="str">
        <f>PasteBBM!Y863</f>
        <v/>
      </c>
      <c r="N863" t="str">
        <f>PasteBBM!AA863</f>
        <v/>
      </c>
      <c r="O863" t="str">
        <f>PasteBBM!AB863</f>
        <v/>
      </c>
      <c r="P863" t="str">
        <f>PasteBBM!AC863</f>
        <v/>
      </c>
      <c r="Q863" t="str">
        <f>PasteBBM!AD863</f>
        <v/>
      </c>
      <c r="R863" t="str">
        <f>PasteBBM!AI863</f>
        <v/>
      </c>
      <c r="S863" t="str">
        <f>PasteBBM!AE863</f>
        <v/>
      </c>
      <c r="T863" t="str">
        <f>PasteBBM!AG863</f>
        <v/>
      </c>
      <c r="V863" s="44">
        <v>-0.41709</v>
      </c>
      <c r="W863" s="44">
        <v>-0.00658</v>
      </c>
      <c r="X863" s="44">
        <v>0.009207</v>
      </c>
      <c r="Y863" s="44">
        <v>-0.4263</v>
      </c>
      <c r="Z863" s="44">
        <v>-0.34564</v>
      </c>
      <c r="AA863" s="45"/>
      <c r="AB863" s="46" t="s">
        <v>126</v>
      </c>
      <c r="AC863" s="44">
        <v>67.0</v>
      </c>
    </row>
    <row r="864">
      <c r="A864" s="2">
        <v>163.0</v>
      </c>
      <c r="B864" s="14">
        <f>IF(PasteBBM!B864="",156,PasteBBM!B864)</f>
        <v>156</v>
      </c>
      <c r="C864" t="str">
        <f>PasteBBM!I864</f>
        <v/>
      </c>
      <c r="D864" t="str">
        <f>IFERROR(REPLACE(PasteBBM!K864,FIND("/",PasteBBM!K864,1),1,","),PasteBBM!K864)</f>
        <v/>
      </c>
      <c r="E864" t="str">
        <f>PasteBBM!J864</f>
        <v/>
      </c>
      <c r="F864" t="str">
        <f>PasteBBM!U864</f>
        <v/>
      </c>
      <c r="G864" t="str">
        <f>PasteBBM!X864</f>
        <v/>
      </c>
      <c r="H864">
        <f>PasteBBM!AE864*PasteBBM!AF864</f>
        <v>0</v>
      </c>
      <c r="I864" t="str">
        <f>PasteBBM!AE864</f>
        <v/>
      </c>
      <c r="J864">
        <f>PasteBBM!AG864*PasteBBM!AH864</f>
        <v>0</v>
      </c>
      <c r="K864" t="str">
        <f>PasteBBM!AG864</f>
        <v/>
      </c>
      <c r="L864" t="str">
        <f>PasteBBM!Z864</f>
        <v/>
      </c>
      <c r="M864" t="str">
        <f>PasteBBM!Y864</f>
        <v/>
      </c>
      <c r="N864" t="str">
        <f>PasteBBM!AA864</f>
        <v/>
      </c>
      <c r="O864" t="str">
        <f>PasteBBM!AB864</f>
        <v/>
      </c>
      <c r="P864" t="str">
        <f>PasteBBM!AC864</f>
        <v/>
      </c>
      <c r="Q864" t="str">
        <f>PasteBBM!AD864</f>
        <v/>
      </c>
      <c r="R864" t="str">
        <f>PasteBBM!AI864</f>
        <v/>
      </c>
      <c r="S864" t="str">
        <f>PasteBBM!AE864</f>
        <v/>
      </c>
      <c r="T864" t="str">
        <f>PasteBBM!AG864</f>
        <v/>
      </c>
      <c r="V864" s="44">
        <v>-0.41709</v>
      </c>
      <c r="W864" s="44">
        <v>-0.00658</v>
      </c>
      <c r="X864" s="44">
        <v>0.009207</v>
      </c>
      <c r="Y864" s="44">
        <v>-0.4263</v>
      </c>
      <c r="Z864" s="44">
        <v>-0.34564</v>
      </c>
      <c r="AA864" s="45"/>
      <c r="AB864" s="46" t="s">
        <v>126</v>
      </c>
      <c r="AC864" s="44">
        <v>67.0</v>
      </c>
    </row>
    <row r="865">
      <c r="A865" s="2">
        <v>163.0</v>
      </c>
      <c r="B865" s="14">
        <f>IF(PasteBBM!B865="",156,PasteBBM!B865)</f>
        <v>156</v>
      </c>
      <c r="C865" t="str">
        <f>PasteBBM!I865</f>
        <v/>
      </c>
      <c r="D865" t="str">
        <f>IFERROR(REPLACE(PasteBBM!K865,FIND("/",PasteBBM!K865,1),1,","),PasteBBM!K865)</f>
        <v/>
      </c>
      <c r="E865" t="str">
        <f>PasteBBM!J865</f>
        <v/>
      </c>
      <c r="F865" t="str">
        <f>PasteBBM!U865</f>
        <v/>
      </c>
      <c r="G865" t="str">
        <f>PasteBBM!X865</f>
        <v/>
      </c>
      <c r="H865">
        <f>PasteBBM!AE865*PasteBBM!AF865</f>
        <v>0</v>
      </c>
      <c r="I865" t="str">
        <f>PasteBBM!AE865</f>
        <v/>
      </c>
      <c r="J865">
        <f>PasteBBM!AG865*PasteBBM!AH865</f>
        <v>0</v>
      </c>
      <c r="K865" t="str">
        <f>PasteBBM!AG865</f>
        <v/>
      </c>
      <c r="L865" t="str">
        <f>PasteBBM!Z865</f>
        <v/>
      </c>
      <c r="M865" t="str">
        <f>PasteBBM!Y865</f>
        <v/>
      </c>
      <c r="N865" t="str">
        <f>PasteBBM!AA865</f>
        <v/>
      </c>
      <c r="O865" t="str">
        <f>PasteBBM!AB865</f>
        <v/>
      </c>
      <c r="P865" t="str">
        <f>PasteBBM!AC865</f>
        <v/>
      </c>
      <c r="Q865" t="str">
        <f>PasteBBM!AD865</f>
        <v/>
      </c>
      <c r="R865" t="str">
        <f>PasteBBM!AI865</f>
        <v/>
      </c>
      <c r="S865" t="str">
        <f>PasteBBM!AE865</f>
        <v/>
      </c>
      <c r="T865" t="str">
        <f>PasteBBM!AG865</f>
        <v/>
      </c>
      <c r="V865" s="44">
        <v>-0.41709</v>
      </c>
      <c r="W865" s="44">
        <v>-0.00658</v>
      </c>
      <c r="X865" s="44">
        <v>0.009207</v>
      </c>
      <c r="Y865" s="44">
        <v>-0.4263</v>
      </c>
      <c r="Z865" s="44">
        <v>-0.34564</v>
      </c>
      <c r="AA865" s="45"/>
      <c r="AB865" s="46" t="s">
        <v>126</v>
      </c>
      <c r="AC865" s="44">
        <v>67.0</v>
      </c>
    </row>
    <row r="866">
      <c r="A866" s="2">
        <v>163.0</v>
      </c>
      <c r="B866" s="14">
        <f>IF(PasteBBM!B866="",156,PasteBBM!B866)</f>
        <v>156</v>
      </c>
      <c r="C866" t="str">
        <f>PasteBBM!I866</f>
        <v/>
      </c>
      <c r="D866" t="str">
        <f>IFERROR(REPLACE(PasteBBM!K866,FIND("/",PasteBBM!K866,1),1,","),PasteBBM!K866)</f>
        <v/>
      </c>
      <c r="E866" t="str">
        <f>PasteBBM!J866</f>
        <v/>
      </c>
      <c r="F866" t="str">
        <f>PasteBBM!U866</f>
        <v/>
      </c>
      <c r="G866" t="str">
        <f>PasteBBM!X866</f>
        <v/>
      </c>
      <c r="H866">
        <f>PasteBBM!AE866*PasteBBM!AF866</f>
        <v>0</v>
      </c>
      <c r="I866" t="str">
        <f>PasteBBM!AE866</f>
        <v/>
      </c>
      <c r="J866">
        <f>PasteBBM!AG866*PasteBBM!AH866</f>
        <v>0</v>
      </c>
      <c r="K866" t="str">
        <f>PasteBBM!AG866</f>
        <v/>
      </c>
      <c r="L866" t="str">
        <f>PasteBBM!Z866</f>
        <v/>
      </c>
      <c r="M866" t="str">
        <f>PasteBBM!Y866</f>
        <v/>
      </c>
      <c r="N866" t="str">
        <f>PasteBBM!AA866</f>
        <v/>
      </c>
      <c r="O866" t="str">
        <f>PasteBBM!AB866</f>
        <v/>
      </c>
      <c r="P866" t="str">
        <f>PasteBBM!AC866</f>
        <v/>
      </c>
      <c r="Q866" t="str">
        <f>PasteBBM!AD866</f>
        <v/>
      </c>
      <c r="R866" t="str">
        <f>PasteBBM!AI866</f>
        <v/>
      </c>
      <c r="S866" t="str">
        <f>PasteBBM!AE866</f>
        <v/>
      </c>
      <c r="T866" t="str">
        <f>PasteBBM!AG866</f>
        <v/>
      </c>
      <c r="V866" s="44">
        <v>-0.41709</v>
      </c>
      <c r="W866" s="44">
        <v>-0.00658</v>
      </c>
      <c r="X866" s="44">
        <v>0.009207</v>
      </c>
      <c r="Y866" s="44">
        <v>-0.4263</v>
      </c>
      <c r="Z866" s="44">
        <v>-0.34564</v>
      </c>
      <c r="AA866" s="45"/>
      <c r="AB866" s="46" t="s">
        <v>126</v>
      </c>
      <c r="AC866" s="44">
        <v>67.0</v>
      </c>
    </row>
    <row r="867">
      <c r="A867" s="2">
        <v>163.0</v>
      </c>
      <c r="B867" s="14">
        <f>IF(PasteBBM!B867="",156,PasteBBM!B867)</f>
        <v>156</v>
      </c>
      <c r="C867" t="str">
        <f>PasteBBM!I867</f>
        <v/>
      </c>
      <c r="D867" t="str">
        <f>IFERROR(REPLACE(PasteBBM!K867,FIND("/",PasteBBM!K867,1),1,","),PasteBBM!K867)</f>
        <v/>
      </c>
      <c r="E867" t="str">
        <f>PasteBBM!J867</f>
        <v/>
      </c>
      <c r="F867" t="str">
        <f>PasteBBM!U867</f>
        <v/>
      </c>
      <c r="G867" t="str">
        <f>PasteBBM!X867</f>
        <v/>
      </c>
      <c r="H867">
        <f>PasteBBM!AE867*PasteBBM!AF867</f>
        <v>0</v>
      </c>
      <c r="I867" t="str">
        <f>PasteBBM!AE867</f>
        <v/>
      </c>
      <c r="J867">
        <f>PasteBBM!AG867*PasteBBM!AH867</f>
        <v>0</v>
      </c>
      <c r="K867" t="str">
        <f>PasteBBM!AG867</f>
        <v/>
      </c>
      <c r="L867" t="str">
        <f>PasteBBM!Z867</f>
        <v/>
      </c>
      <c r="M867" t="str">
        <f>PasteBBM!Y867</f>
        <v/>
      </c>
      <c r="N867" t="str">
        <f>PasteBBM!AA867</f>
        <v/>
      </c>
      <c r="O867" t="str">
        <f>PasteBBM!AB867</f>
        <v/>
      </c>
      <c r="P867" t="str">
        <f>PasteBBM!AC867</f>
        <v/>
      </c>
      <c r="Q867" t="str">
        <f>PasteBBM!AD867</f>
        <v/>
      </c>
      <c r="R867" t="str">
        <f>PasteBBM!AI867</f>
        <v/>
      </c>
      <c r="S867" t="str">
        <f>PasteBBM!AE867</f>
        <v/>
      </c>
      <c r="T867" t="str">
        <f>PasteBBM!AG867</f>
        <v/>
      </c>
      <c r="V867" s="44">
        <v>-0.41709</v>
      </c>
      <c r="W867" s="44">
        <v>-0.00658</v>
      </c>
      <c r="X867" s="44">
        <v>0.009207</v>
      </c>
      <c r="Y867" s="44">
        <v>-0.4263</v>
      </c>
      <c r="Z867" s="44">
        <v>-0.34564</v>
      </c>
      <c r="AA867" s="45"/>
      <c r="AB867" s="46" t="s">
        <v>126</v>
      </c>
      <c r="AC867" s="44">
        <v>67.0</v>
      </c>
    </row>
    <row r="868">
      <c r="A868" s="2">
        <v>163.0</v>
      </c>
      <c r="B868" s="14">
        <f>IF(PasteBBM!B868="",156,PasteBBM!B868)</f>
        <v>156</v>
      </c>
      <c r="C868" t="str">
        <f>PasteBBM!I868</f>
        <v/>
      </c>
      <c r="D868" t="str">
        <f>IFERROR(REPLACE(PasteBBM!K868,FIND("/",PasteBBM!K868,1),1,","),PasteBBM!K868)</f>
        <v/>
      </c>
      <c r="E868" t="str">
        <f>PasteBBM!J868</f>
        <v/>
      </c>
      <c r="F868" t="str">
        <f>PasteBBM!U868</f>
        <v/>
      </c>
      <c r="G868" t="str">
        <f>PasteBBM!X868</f>
        <v/>
      </c>
      <c r="H868">
        <f>PasteBBM!AE868*PasteBBM!AF868</f>
        <v>0</v>
      </c>
      <c r="I868" t="str">
        <f>PasteBBM!AE868</f>
        <v/>
      </c>
      <c r="J868">
        <f>PasteBBM!AG868*PasteBBM!AH868</f>
        <v>0</v>
      </c>
      <c r="K868" t="str">
        <f>PasteBBM!AG868</f>
        <v/>
      </c>
      <c r="L868" t="str">
        <f>PasteBBM!Z868</f>
        <v/>
      </c>
      <c r="M868" t="str">
        <f>PasteBBM!Y868</f>
        <v/>
      </c>
      <c r="N868" t="str">
        <f>PasteBBM!AA868</f>
        <v/>
      </c>
      <c r="O868" t="str">
        <f>PasteBBM!AB868</f>
        <v/>
      </c>
      <c r="P868" t="str">
        <f>PasteBBM!AC868</f>
        <v/>
      </c>
      <c r="Q868" t="str">
        <f>PasteBBM!AD868</f>
        <v/>
      </c>
      <c r="R868" t="str">
        <f>PasteBBM!AI868</f>
        <v/>
      </c>
      <c r="S868" t="str">
        <f>PasteBBM!AE868</f>
        <v/>
      </c>
      <c r="T868" t="str">
        <f>PasteBBM!AG868</f>
        <v/>
      </c>
      <c r="V868" s="44">
        <v>-0.41709</v>
      </c>
      <c r="W868" s="44">
        <v>-0.00658</v>
      </c>
      <c r="X868" s="44">
        <v>0.009207</v>
      </c>
      <c r="Y868" s="44">
        <v>-0.4263</v>
      </c>
      <c r="Z868" s="44">
        <v>-0.34564</v>
      </c>
      <c r="AA868" s="45"/>
      <c r="AB868" s="46" t="s">
        <v>126</v>
      </c>
      <c r="AC868" s="44">
        <v>67.0</v>
      </c>
    </row>
    <row r="869">
      <c r="A869" s="2">
        <v>163.0</v>
      </c>
      <c r="B869" s="14">
        <f>IF(PasteBBM!B869="",156,PasteBBM!B869)</f>
        <v>156</v>
      </c>
      <c r="C869" t="str">
        <f>PasteBBM!I869</f>
        <v/>
      </c>
      <c r="D869" t="str">
        <f>IFERROR(REPLACE(PasteBBM!K869,FIND("/",PasteBBM!K869,1),1,","),PasteBBM!K869)</f>
        <v/>
      </c>
      <c r="E869" t="str">
        <f>PasteBBM!J869</f>
        <v/>
      </c>
      <c r="F869" t="str">
        <f>PasteBBM!U869</f>
        <v/>
      </c>
      <c r="G869" t="str">
        <f>PasteBBM!X869</f>
        <v/>
      </c>
      <c r="H869">
        <f>PasteBBM!AE869*PasteBBM!AF869</f>
        <v>0</v>
      </c>
      <c r="I869" t="str">
        <f>PasteBBM!AE869</f>
        <v/>
      </c>
      <c r="J869">
        <f>PasteBBM!AG869*PasteBBM!AH869</f>
        <v>0</v>
      </c>
      <c r="K869" t="str">
        <f>PasteBBM!AG869</f>
        <v/>
      </c>
      <c r="L869" t="str">
        <f>PasteBBM!Z869</f>
        <v/>
      </c>
      <c r="M869" t="str">
        <f>PasteBBM!Y869</f>
        <v/>
      </c>
      <c r="N869" t="str">
        <f>PasteBBM!AA869</f>
        <v/>
      </c>
      <c r="O869" t="str">
        <f>PasteBBM!AB869</f>
        <v/>
      </c>
      <c r="P869" t="str">
        <f>PasteBBM!AC869</f>
        <v/>
      </c>
      <c r="Q869" t="str">
        <f>PasteBBM!AD869</f>
        <v/>
      </c>
      <c r="R869" t="str">
        <f>PasteBBM!AI869</f>
        <v/>
      </c>
      <c r="S869" t="str">
        <f>PasteBBM!AE869</f>
        <v/>
      </c>
      <c r="T869" t="str">
        <f>PasteBBM!AG869</f>
        <v/>
      </c>
      <c r="V869" s="44">
        <v>-0.41709</v>
      </c>
      <c r="W869" s="44">
        <v>-0.00658</v>
      </c>
      <c r="X869" s="44">
        <v>0.009207</v>
      </c>
      <c r="Y869" s="44">
        <v>-0.4263</v>
      </c>
      <c r="Z869" s="44">
        <v>-0.34564</v>
      </c>
      <c r="AA869" s="45"/>
      <c r="AB869" s="46" t="s">
        <v>126</v>
      </c>
      <c r="AC869" s="44">
        <v>67.0</v>
      </c>
    </row>
    <row r="870">
      <c r="A870" s="2">
        <v>163.0</v>
      </c>
      <c r="B870" s="14">
        <f>IF(PasteBBM!B870="",156,PasteBBM!B870)</f>
        <v>156</v>
      </c>
      <c r="C870" t="str">
        <f>PasteBBM!I870</f>
        <v/>
      </c>
      <c r="D870" t="str">
        <f>IFERROR(REPLACE(PasteBBM!K870,FIND("/",PasteBBM!K870,1),1,","),PasteBBM!K870)</f>
        <v/>
      </c>
      <c r="E870" t="str">
        <f>PasteBBM!J870</f>
        <v/>
      </c>
      <c r="F870" t="str">
        <f>PasteBBM!U870</f>
        <v/>
      </c>
      <c r="G870" t="str">
        <f>PasteBBM!X870</f>
        <v/>
      </c>
      <c r="H870">
        <f>PasteBBM!AE870*PasteBBM!AF870</f>
        <v>0</v>
      </c>
      <c r="I870" t="str">
        <f>PasteBBM!AE870</f>
        <v/>
      </c>
      <c r="J870">
        <f>PasteBBM!AG870*PasteBBM!AH870</f>
        <v>0</v>
      </c>
      <c r="K870" t="str">
        <f>PasteBBM!AG870</f>
        <v/>
      </c>
      <c r="L870" t="str">
        <f>PasteBBM!Z870</f>
        <v/>
      </c>
      <c r="M870" t="str">
        <f>PasteBBM!Y870</f>
        <v/>
      </c>
      <c r="N870" t="str">
        <f>PasteBBM!AA870</f>
        <v/>
      </c>
      <c r="O870" t="str">
        <f>PasteBBM!AB870</f>
        <v/>
      </c>
      <c r="P870" t="str">
        <f>PasteBBM!AC870</f>
        <v/>
      </c>
      <c r="Q870" t="str">
        <f>PasteBBM!AD870</f>
        <v/>
      </c>
      <c r="R870" t="str">
        <f>PasteBBM!AI870</f>
        <v/>
      </c>
      <c r="S870" t="str">
        <f>PasteBBM!AE870</f>
        <v/>
      </c>
      <c r="T870" t="str">
        <f>PasteBBM!AG870</f>
        <v/>
      </c>
      <c r="V870" s="44">
        <v>-0.41709</v>
      </c>
      <c r="W870" s="44">
        <v>-0.00658</v>
      </c>
      <c r="X870" s="44">
        <v>0.009207</v>
      </c>
      <c r="Y870" s="44">
        <v>-0.4263</v>
      </c>
      <c r="Z870" s="44">
        <v>-0.34564</v>
      </c>
      <c r="AA870" s="45"/>
      <c r="AB870" s="46" t="s">
        <v>126</v>
      </c>
      <c r="AC870" s="44">
        <v>67.0</v>
      </c>
    </row>
    <row r="871">
      <c r="A871" s="2">
        <v>163.0</v>
      </c>
      <c r="B871" s="14">
        <f>IF(PasteBBM!B871="",156,PasteBBM!B871)</f>
        <v>156</v>
      </c>
      <c r="C871" t="str">
        <f>PasteBBM!I871</f>
        <v/>
      </c>
      <c r="D871" t="str">
        <f>IFERROR(REPLACE(PasteBBM!K871,FIND("/",PasteBBM!K871,1),1,","),PasteBBM!K871)</f>
        <v/>
      </c>
      <c r="E871" t="str">
        <f>PasteBBM!J871</f>
        <v/>
      </c>
      <c r="F871" t="str">
        <f>PasteBBM!U871</f>
        <v/>
      </c>
      <c r="G871" t="str">
        <f>PasteBBM!X871</f>
        <v/>
      </c>
      <c r="H871">
        <f>PasteBBM!AE871*PasteBBM!AF871</f>
        <v>0</v>
      </c>
      <c r="I871" t="str">
        <f>PasteBBM!AE871</f>
        <v/>
      </c>
      <c r="J871">
        <f>PasteBBM!AG871*PasteBBM!AH871</f>
        <v>0</v>
      </c>
      <c r="K871" t="str">
        <f>PasteBBM!AG871</f>
        <v/>
      </c>
      <c r="L871" t="str">
        <f>PasteBBM!Z871</f>
        <v/>
      </c>
      <c r="M871" t="str">
        <f>PasteBBM!Y871</f>
        <v/>
      </c>
      <c r="N871" t="str">
        <f>PasteBBM!AA871</f>
        <v/>
      </c>
      <c r="O871" t="str">
        <f>PasteBBM!AB871</f>
        <v/>
      </c>
      <c r="P871" t="str">
        <f>PasteBBM!AC871</f>
        <v/>
      </c>
      <c r="Q871" t="str">
        <f>PasteBBM!AD871</f>
        <v/>
      </c>
      <c r="R871" t="str">
        <f>PasteBBM!AI871</f>
        <v/>
      </c>
      <c r="S871" t="str">
        <f>PasteBBM!AE871</f>
        <v/>
      </c>
      <c r="T871" t="str">
        <f>PasteBBM!AG871</f>
        <v/>
      </c>
      <c r="V871" s="44">
        <v>-0.41709</v>
      </c>
      <c r="W871" s="44">
        <v>-0.00658</v>
      </c>
      <c r="X871" s="44">
        <v>0.009207</v>
      </c>
      <c r="Y871" s="44">
        <v>-0.4263</v>
      </c>
      <c r="Z871" s="44">
        <v>-0.34564</v>
      </c>
      <c r="AA871" s="45"/>
      <c r="AB871" s="46" t="s">
        <v>126</v>
      </c>
      <c r="AC871" s="44">
        <v>67.0</v>
      </c>
    </row>
    <row r="872">
      <c r="A872" s="2">
        <v>163.0</v>
      </c>
      <c r="B872" s="14">
        <f>IF(PasteBBM!B872="",156,PasteBBM!B872)</f>
        <v>156</v>
      </c>
      <c r="C872" t="str">
        <f>PasteBBM!I872</f>
        <v/>
      </c>
      <c r="D872" t="str">
        <f>IFERROR(REPLACE(PasteBBM!K872,FIND("/",PasteBBM!K872,1),1,","),PasteBBM!K872)</f>
        <v/>
      </c>
      <c r="E872" t="str">
        <f>PasteBBM!J872</f>
        <v/>
      </c>
      <c r="F872" t="str">
        <f>PasteBBM!U872</f>
        <v/>
      </c>
      <c r="G872" t="str">
        <f>PasteBBM!X872</f>
        <v/>
      </c>
      <c r="H872">
        <f>PasteBBM!AE872*PasteBBM!AF872</f>
        <v>0</v>
      </c>
      <c r="I872" t="str">
        <f>PasteBBM!AE872</f>
        <v/>
      </c>
      <c r="J872">
        <f>PasteBBM!AG872*PasteBBM!AH872</f>
        <v>0</v>
      </c>
      <c r="K872" t="str">
        <f>PasteBBM!AG872</f>
        <v/>
      </c>
      <c r="L872" t="str">
        <f>PasteBBM!Z872</f>
        <v/>
      </c>
      <c r="M872" t="str">
        <f>PasteBBM!Y872</f>
        <v/>
      </c>
      <c r="N872" t="str">
        <f>PasteBBM!AA872</f>
        <v/>
      </c>
      <c r="O872" t="str">
        <f>PasteBBM!AB872</f>
        <v/>
      </c>
      <c r="P872" t="str">
        <f>PasteBBM!AC872</f>
        <v/>
      </c>
      <c r="Q872" t="str">
        <f>PasteBBM!AD872</f>
        <v/>
      </c>
      <c r="R872" t="str">
        <f>PasteBBM!AI872</f>
        <v/>
      </c>
      <c r="S872" t="str">
        <f>PasteBBM!AE872</f>
        <v/>
      </c>
      <c r="T872" t="str">
        <f>PasteBBM!AG872</f>
        <v/>
      </c>
      <c r="V872" s="44">
        <v>-0.41709</v>
      </c>
      <c r="W872" s="44">
        <v>-0.00658</v>
      </c>
      <c r="X872" s="44">
        <v>0.009207</v>
      </c>
      <c r="Y872" s="44">
        <v>-0.4263</v>
      </c>
      <c r="Z872" s="44">
        <v>-0.34564</v>
      </c>
      <c r="AA872" s="45"/>
      <c r="AB872" s="46" t="s">
        <v>126</v>
      </c>
      <c r="AC872" s="44">
        <v>67.0</v>
      </c>
    </row>
    <row r="873">
      <c r="A873" s="2">
        <v>163.0</v>
      </c>
      <c r="B873" s="14">
        <f>IF(PasteBBM!B873="",156,PasteBBM!B873)</f>
        <v>156</v>
      </c>
      <c r="C873" t="str">
        <f>PasteBBM!I873</f>
        <v/>
      </c>
      <c r="D873" t="str">
        <f>IFERROR(REPLACE(PasteBBM!K873,FIND("/",PasteBBM!K873,1),1,","),PasteBBM!K873)</f>
        <v/>
      </c>
      <c r="E873" t="str">
        <f>PasteBBM!J873</f>
        <v/>
      </c>
      <c r="F873" t="str">
        <f>PasteBBM!U873</f>
        <v/>
      </c>
      <c r="G873" t="str">
        <f>PasteBBM!X873</f>
        <v/>
      </c>
      <c r="H873">
        <f>PasteBBM!AE873*PasteBBM!AF873</f>
        <v>0</v>
      </c>
      <c r="I873" t="str">
        <f>PasteBBM!AE873</f>
        <v/>
      </c>
      <c r="J873">
        <f>PasteBBM!AG873*PasteBBM!AH873</f>
        <v>0</v>
      </c>
      <c r="K873" t="str">
        <f>PasteBBM!AG873</f>
        <v/>
      </c>
      <c r="L873" t="str">
        <f>PasteBBM!Z873</f>
        <v/>
      </c>
      <c r="M873" t="str">
        <f>PasteBBM!Y873</f>
        <v/>
      </c>
      <c r="N873" t="str">
        <f>PasteBBM!AA873</f>
        <v/>
      </c>
      <c r="O873" t="str">
        <f>PasteBBM!AB873</f>
        <v/>
      </c>
      <c r="P873" t="str">
        <f>PasteBBM!AC873</f>
        <v/>
      </c>
      <c r="Q873" t="str">
        <f>PasteBBM!AD873</f>
        <v/>
      </c>
      <c r="R873" t="str">
        <f>PasteBBM!AI873</f>
        <v/>
      </c>
      <c r="S873" t="str">
        <f>PasteBBM!AE873</f>
        <v/>
      </c>
      <c r="T873" t="str">
        <f>PasteBBM!AG873</f>
        <v/>
      </c>
      <c r="V873" s="44">
        <v>-0.41709</v>
      </c>
      <c r="W873" s="44">
        <v>-0.00658</v>
      </c>
      <c r="X873" s="44">
        <v>0.009207</v>
      </c>
      <c r="Y873" s="44">
        <v>-0.4263</v>
      </c>
      <c r="Z873" s="44">
        <v>-0.34564</v>
      </c>
      <c r="AA873" s="45"/>
      <c r="AB873" s="46" t="s">
        <v>126</v>
      </c>
      <c r="AC873" s="44">
        <v>67.0</v>
      </c>
    </row>
    <row r="874">
      <c r="A874" s="2">
        <v>163.0</v>
      </c>
      <c r="B874" s="14">
        <f>IF(PasteBBM!B874="",156,PasteBBM!B874)</f>
        <v>156</v>
      </c>
      <c r="C874" t="str">
        <f>PasteBBM!I874</f>
        <v/>
      </c>
      <c r="D874" t="str">
        <f>IFERROR(REPLACE(PasteBBM!K874,FIND("/",PasteBBM!K874,1),1,","),PasteBBM!K874)</f>
        <v/>
      </c>
      <c r="E874" t="str">
        <f>PasteBBM!J874</f>
        <v/>
      </c>
      <c r="F874" t="str">
        <f>PasteBBM!U874</f>
        <v/>
      </c>
      <c r="G874" t="str">
        <f>PasteBBM!X874</f>
        <v/>
      </c>
      <c r="H874">
        <f>PasteBBM!AE874*PasteBBM!AF874</f>
        <v>0</v>
      </c>
      <c r="I874" t="str">
        <f>PasteBBM!AE874</f>
        <v/>
      </c>
      <c r="J874">
        <f>PasteBBM!AG874*PasteBBM!AH874</f>
        <v>0</v>
      </c>
      <c r="K874" t="str">
        <f>PasteBBM!AG874</f>
        <v/>
      </c>
      <c r="L874" t="str">
        <f>PasteBBM!Z874</f>
        <v/>
      </c>
      <c r="M874" t="str">
        <f>PasteBBM!Y874</f>
        <v/>
      </c>
      <c r="N874" t="str">
        <f>PasteBBM!AA874</f>
        <v/>
      </c>
      <c r="O874" t="str">
        <f>PasteBBM!AB874</f>
        <v/>
      </c>
      <c r="P874" t="str">
        <f>PasteBBM!AC874</f>
        <v/>
      </c>
      <c r="Q874" t="str">
        <f>PasteBBM!AD874</f>
        <v/>
      </c>
      <c r="R874" t="str">
        <f>PasteBBM!AI874</f>
        <v/>
      </c>
      <c r="S874" t="str">
        <f>PasteBBM!AE874</f>
        <v/>
      </c>
      <c r="T874" t="str">
        <f>PasteBBM!AG874</f>
        <v/>
      </c>
      <c r="V874" s="44">
        <v>-0.41709</v>
      </c>
      <c r="W874" s="44">
        <v>-0.00658</v>
      </c>
      <c r="X874" s="44">
        <v>0.009207</v>
      </c>
      <c r="Y874" s="44">
        <v>-0.4263</v>
      </c>
      <c r="Z874" s="44">
        <v>-0.34564</v>
      </c>
      <c r="AA874" s="45"/>
      <c r="AB874" s="46" t="s">
        <v>126</v>
      </c>
      <c r="AC874" s="44">
        <v>67.0</v>
      </c>
    </row>
    <row r="875">
      <c r="A875" s="2">
        <v>163.0</v>
      </c>
      <c r="B875" s="14">
        <f>IF(PasteBBM!B875="",156,PasteBBM!B875)</f>
        <v>156</v>
      </c>
      <c r="C875" t="str">
        <f>PasteBBM!I875</f>
        <v/>
      </c>
      <c r="D875" t="str">
        <f>IFERROR(REPLACE(PasteBBM!K875,FIND("/",PasteBBM!K875,1),1,","),PasteBBM!K875)</f>
        <v/>
      </c>
      <c r="E875" t="str">
        <f>PasteBBM!J875</f>
        <v/>
      </c>
      <c r="F875" t="str">
        <f>PasteBBM!U875</f>
        <v/>
      </c>
      <c r="G875" t="str">
        <f>PasteBBM!X875</f>
        <v/>
      </c>
      <c r="H875">
        <f>PasteBBM!AE875*PasteBBM!AF875</f>
        <v>0</v>
      </c>
      <c r="I875" t="str">
        <f>PasteBBM!AE875</f>
        <v/>
      </c>
      <c r="J875">
        <f>PasteBBM!AG875*PasteBBM!AH875</f>
        <v>0</v>
      </c>
      <c r="K875" t="str">
        <f>PasteBBM!AG875</f>
        <v/>
      </c>
      <c r="L875" t="str">
        <f>PasteBBM!Z875</f>
        <v/>
      </c>
      <c r="M875" t="str">
        <f>PasteBBM!Y875</f>
        <v/>
      </c>
      <c r="N875" t="str">
        <f>PasteBBM!AA875</f>
        <v/>
      </c>
      <c r="O875" t="str">
        <f>PasteBBM!AB875</f>
        <v/>
      </c>
      <c r="P875" t="str">
        <f>PasteBBM!AC875</f>
        <v/>
      </c>
      <c r="Q875" t="str">
        <f>PasteBBM!AD875</f>
        <v/>
      </c>
      <c r="R875" t="str">
        <f>PasteBBM!AI875</f>
        <v/>
      </c>
      <c r="S875" t="str">
        <f>PasteBBM!AE875</f>
        <v/>
      </c>
      <c r="T875" t="str">
        <f>PasteBBM!AG875</f>
        <v/>
      </c>
      <c r="V875" s="44">
        <v>-0.41709</v>
      </c>
      <c r="W875" s="44">
        <v>-0.00658</v>
      </c>
      <c r="X875" s="44">
        <v>0.009207</v>
      </c>
      <c r="Y875" s="44">
        <v>-0.4263</v>
      </c>
      <c r="Z875" s="44">
        <v>-0.34564</v>
      </c>
      <c r="AA875" s="45"/>
      <c r="AB875" s="46" t="s">
        <v>126</v>
      </c>
      <c r="AC875" s="44">
        <v>67.0</v>
      </c>
    </row>
    <row r="876">
      <c r="A876" s="2">
        <v>163.0</v>
      </c>
      <c r="B876" s="14">
        <f>IF(PasteBBM!B876="",156,PasteBBM!B876)</f>
        <v>156</v>
      </c>
      <c r="C876" t="str">
        <f>PasteBBM!I876</f>
        <v/>
      </c>
      <c r="D876" t="str">
        <f>IFERROR(REPLACE(PasteBBM!K876,FIND("/",PasteBBM!K876,1),1,","),PasteBBM!K876)</f>
        <v/>
      </c>
      <c r="E876" t="str">
        <f>PasteBBM!J876</f>
        <v/>
      </c>
      <c r="F876" t="str">
        <f>PasteBBM!U876</f>
        <v/>
      </c>
      <c r="G876" t="str">
        <f>PasteBBM!X876</f>
        <v/>
      </c>
      <c r="H876">
        <f>PasteBBM!AE876*PasteBBM!AF876</f>
        <v>0</v>
      </c>
      <c r="I876" t="str">
        <f>PasteBBM!AE876</f>
        <v/>
      </c>
      <c r="J876">
        <f>PasteBBM!AG876*PasteBBM!AH876</f>
        <v>0</v>
      </c>
      <c r="K876" t="str">
        <f>PasteBBM!AG876</f>
        <v/>
      </c>
      <c r="L876" t="str">
        <f>PasteBBM!Z876</f>
        <v/>
      </c>
      <c r="M876" t="str">
        <f>PasteBBM!Y876</f>
        <v/>
      </c>
      <c r="N876" t="str">
        <f>PasteBBM!AA876</f>
        <v/>
      </c>
      <c r="O876" t="str">
        <f>PasteBBM!AB876</f>
        <v/>
      </c>
      <c r="P876" t="str">
        <f>PasteBBM!AC876</f>
        <v/>
      </c>
      <c r="Q876" t="str">
        <f>PasteBBM!AD876</f>
        <v/>
      </c>
      <c r="R876" t="str">
        <f>PasteBBM!AI876</f>
        <v/>
      </c>
      <c r="S876" t="str">
        <f>PasteBBM!AE876</f>
        <v/>
      </c>
      <c r="T876" t="str">
        <f>PasteBBM!AG876</f>
        <v/>
      </c>
      <c r="V876" s="44">
        <v>-0.41709</v>
      </c>
      <c r="W876" s="44">
        <v>-0.00658</v>
      </c>
      <c r="X876" s="44">
        <v>0.009207</v>
      </c>
      <c r="Y876" s="44">
        <v>-0.4263</v>
      </c>
      <c r="Z876" s="44">
        <v>-0.34564</v>
      </c>
      <c r="AA876" s="45"/>
      <c r="AB876" s="46" t="s">
        <v>126</v>
      </c>
      <c r="AC876" s="44">
        <v>67.0</v>
      </c>
    </row>
    <row r="877">
      <c r="A877" s="2">
        <v>163.0</v>
      </c>
      <c r="B877" s="14">
        <f>IF(PasteBBM!B877="",156,PasteBBM!B877)</f>
        <v>156</v>
      </c>
      <c r="C877" t="str">
        <f>PasteBBM!I877</f>
        <v/>
      </c>
      <c r="D877" t="str">
        <f>IFERROR(REPLACE(PasteBBM!K877,FIND("/",PasteBBM!K877,1),1,","),PasteBBM!K877)</f>
        <v/>
      </c>
      <c r="E877" t="str">
        <f>PasteBBM!J877</f>
        <v/>
      </c>
      <c r="F877" t="str">
        <f>PasteBBM!U877</f>
        <v/>
      </c>
      <c r="G877" t="str">
        <f>PasteBBM!X877</f>
        <v/>
      </c>
      <c r="H877">
        <f>PasteBBM!AE877*PasteBBM!AF877</f>
        <v>0</v>
      </c>
      <c r="I877" t="str">
        <f>PasteBBM!AE877</f>
        <v/>
      </c>
      <c r="J877">
        <f>PasteBBM!AG877*PasteBBM!AH877</f>
        <v>0</v>
      </c>
      <c r="K877" t="str">
        <f>PasteBBM!AG877</f>
        <v/>
      </c>
      <c r="L877" t="str">
        <f>PasteBBM!Z877</f>
        <v/>
      </c>
      <c r="M877" t="str">
        <f>PasteBBM!Y877</f>
        <v/>
      </c>
      <c r="N877" t="str">
        <f>PasteBBM!AA877</f>
        <v/>
      </c>
      <c r="O877" t="str">
        <f>PasteBBM!AB877</f>
        <v/>
      </c>
      <c r="P877" t="str">
        <f>PasteBBM!AC877</f>
        <v/>
      </c>
      <c r="Q877" t="str">
        <f>PasteBBM!AD877</f>
        <v/>
      </c>
      <c r="R877" t="str">
        <f>PasteBBM!AI877</f>
        <v/>
      </c>
      <c r="S877" t="str">
        <f>PasteBBM!AE877</f>
        <v/>
      </c>
      <c r="T877" t="str">
        <f>PasteBBM!AG877</f>
        <v/>
      </c>
      <c r="V877" s="44">
        <v>-0.41709</v>
      </c>
      <c r="W877" s="44">
        <v>-0.00658</v>
      </c>
      <c r="X877" s="44">
        <v>0.009207</v>
      </c>
      <c r="Y877" s="44">
        <v>-0.4263</v>
      </c>
      <c r="Z877" s="44">
        <v>-0.34564</v>
      </c>
      <c r="AA877" s="45"/>
      <c r="AB877" s="46" t="s">
        <v>126</v>
      </c>
      <c r="AC877" s="44">
        <v>67.0</v>
      </c>
    </row>
    <row r="878">
      <c r="A878" s="2">
        <v>163.0</v>
      </c>
      <c r="B878" s="14">
        <f>IF(PasteBBM!B878="",156,PasteBBM!B878)</f>
        <v>156</v>
      </c>
      <c r="C878" t="str">
        <f>PasteBBM!I878</f>
        <v/>
      </c>
      <c r="D878" t="str">
        <f>IFERROR(REPLACE(PasteBBM!K878,FIND("/",PasteBBM!K878,1),1,","),PasteBBM!K878)</f>
        <v/>
      </c>
      <c r="E878" t="str">
        <f>PasteBBM!J878</f>
        <v/>
      </c>
      <c r="F878" t="str">
        <f>PasteBBM!U878</f>
        <v/>
      </c>
      <c r="G878" t="str">
        <f>PasteBBM!X878</f>
        <v/>
      </c>
      <c r="H878">
        <f>PasteBBM!AE878*PasteBBM!AF878</f>
        <v>0</v>
      </c>
      <c r="I878" t="str">
        <f>PasteBBM!AE878</f>
        <v/>
      </c>
      <c r="J878">
        <f>PasteBBM!AG878*PasteBBM!AH878</f>
        <v>0</v>
      </c>
      <c r="K878" t="str">
        <f>PasteBBM!AG878</f>
        <v/>
      </c>
      <c r="L878" t="str">
        <f>PasteBBM!Z878</f>
        <v/>
      </c>
      <c r="M878" t="str">
        <f>PasteBBM!Y878</f>
        <v/>
      </c>
      <c r="N878" t="str">
        <f>PasteBBM!AA878</f>
        <v/>
      </c>
      <c r="O878" t="str">
        <f>PasteBBM!AB878</f>
        <v/>
      </c>
      <c r="P878" t="str">
        <f>PasteBBM!AC878</f>
        <v/>
      </c>
      <c r="Q878" t="str">
        <f>PasteBBM!AD878</f>
        <v/>
      </c>
      <c r="R878" t="str">
        <f>PasteBBM!AI878</f>
        <v/>
      </c>
      <c r="S878" t="str">
        <f>PasteBBM!AE878</f>
        <v/>
      </c>
      <c r="T878" t="str">
        <f>PasteBBM!AG878</f>
        <v/>
      </c>
      <c r="V878" s="44">
        <v>-0.41709</v>
      </c>
      <c r="W878" s="44">
        <v>-0.00658</v>
      </c>
      <c r="X878" s="44">
        <v>0.009207</v>
      </c>
      <c r="Y878" s="44">
        <v>-0.4263</v>
      </c>
      <c r="Z878" s="44">
        <v>-0.34564</v>
      </c>
      <c r="AA878" s="45"/>
      <c r="AB878" s="46" t="s">
        <v>126</v>
      </c>
      <c r="AC878" s="44">
        <v>67.0</v>
      </c>
    </row>
    <row r="879">
      <c r="A879" s="2">
        <v>163.0</v>
      </c>
      <c r="B879" s="14">
        <f>IF(PasteBBM!B879="",156,PasteBBM!B879)</f>
        <v>156</v>
      </c>
      <c r="C879" t="str">
        <f>PasteBBM!I879</f>
        <v/>
      </c>
      <c r="D879" t="str">
        <f>IFERROR(REPLACE(PasteBBM!K879,FIND("/",PasteBBM!K879,1),1,","),PasteBBM!K879)</f>
        <v/>
      </c>
      <c r="E879" t="str">
        <f>PasteBBM!J879</f>
        <v/>
      </c>
      <c r="F879" t="str">
        <f>PasteBBM!U879</f>
        <v/>
      </c>
      <c r="G879" t="str">
        <f>PasteBBM!X879</f>
        <v/>
      </c>
      <c r="H879">
        <f>PasteBBM!AE879*PasteBBM!AF879</f>
        <v>0</v>
      </c>
      <c r="I879" t="str">
        <f>PasteBBM!AE879</f>
        <v/>
      </c>
      <c r="J879">
        <f>PasteBBM!AG879*PasteBBM!AH879</f>
        <v>0</v>
      </c>
      <c r="K879" t="str">
        <f>PasteBBM!AG879</f>
        <v/>
      </c>
      <c r="L879" t="str">
        <f>PasteBBM!Z879</f>
        <v/>
      </c>
      <c r="M879" t="str">
        <f>PasteBBM!Y879</f>
        <v/>
      </c>
      <c r="N879" t="str">
        <f>PasteBBM!AA879</f>
        <v/>
      </c>
      <c r="O879" t="str">
        <f>PasteBBM!AB879</f>
        <v/>
      </c>
      <c r="P879" t="str">
        <f>PasteBBM!AC879</f>
        <v/>
      </c>
      <c r="Q879" t="str">
        <f>PasteBBM!AD879</f>
        <v/>
      </c>
      <c r="R879" t="str">
        <f>PasteBBM!AI879</f>
        <v/>
      </c>
      <c r="S879" t="str">
        <f>PasteBBM!AE879</f>
        <v/>
      </c>
      <c r="T879" t="str">
        <f>PasteBBM!AG879</f>
        <v/>
      </c>
      <c r="V879" s="44">
        <v>-0.41709</v>
      </c>
      <c r="W879" s="44">
        <v>-0.00658</v>
      </c>
      <c r="X879" s="44">
        <v>0.009207</v>
      </c>
      <c r="Y879" s="44">
        <v>-0.4263</v>
      </c>
      <c r="Z879" s="44">
        <v>-0.34564</v>
      </c>
      <c r="AA879" s="45"/>
      <c r="AB879" s="46" t="s">
        <v>126</v>
      </c>
      <c r="AC879" s="44">
        <v>67.0</v>
      </c>
    </row>
    <row r="880">
      <c r="A880" s="2">
        <v>163.0</v>
      </c>
      <c r="B880" s="14">
        <f>IF(PasteBBM!B880="",156,PasteBBM!B880)</f>
        <v>156</v>
      </c>
      <c r="C880" t="str">
        <f>PasteBBM!I880</f>
        <v/>
      </c>
      <c r="D880" t="str">
        <f>IFERROR(REPLACE(PasteBBM!K880,FIND("/",PasteBBM!K880,1),1,","),PasteBBM!K880)</f>
        <v/>
      </c>
      <c r="E880" t="str">
        <f>PasteBBM!J880</f>
        <v/>
      </c>
      <c r="F880" t="str">
        <f>PasteBBM!U880</f>
        <v/>
      </c>
      <c r="G880" t="str">
        <f>PasteBBM!X880</f>
        <v/>
      </c>
      <c r="H880">
        <f>PasteBBM!AE880*PasteBBM!AF880</f>
        <v>0</v>
      </c>
      <c r="I880" t="str">
        <f>PasteBBM!AE880</f>
        <v/>
      </c>
      <c r="J880">
        <f>PasteBBM!AG880*PasteBBM!AH880</f>
        <v>0</v>
      </c>
      <c r="K880" t="str">
        <f>PasteBBM!AG880</f>
        <v/>
      </c>
      <c r="L880" t="str">
        <f>PasteBBM!Z880</f>
        <v/>
      </c>
      <c r="M880" t="str">
        <f>PasteBBM!Y880</f>
        <v/>
      </c>
      <c r="N880" t="str">
        <f>PasteBBM!AA880</f>
        <v/>
      </c>
      <c r="O880" t="str">
        <f>PasteBBM!AB880</f>
        <v/>
      </c>
      <c r="P880" t="str">
        <f>PasteBBM!AC880</f>
        <v/>
      </c>
      <c r="Q880" t="str">
        <f>PasteBBM!AD880</f>
        <v/>
      </c>
      <c r="R880" t="str">
        <f>PasteBBM!AI880</f>
        <v/>
      </c>
      <c r="S880" t="str">
        <f>PasteBBM!AE880</f>
        <v/>
      </c>
      <c r="T880" t="str">
        <f>PasteBBM!AG880</f>
        <v/>
      </c>
      <c r="V880" s="44">
        <v>-0.41709</v>
      </c>
      <c r="W880" s="44">
        <v>-0.00658</v>
      </c>
      <c r="X880" s="44">
        <v>0.009207</v>
      </c>
      <c r="Y880" s="44">
        <v>-0.4263</v>
      </c>
      <c r="Z880" s="44">
        <v>-0.34564</v>
      </c>
      <c r="AA880" s="45"/>
      <c r="AB880" s="46" t="s">
        <v>126</v>
      </c>
      <c r="AC880" s="44">
        <v>67.0</v>
      </c>
    </row>
    <row r="881">
      <c r="A881" s="2">
        <v>163.0</v>
      </c>
      <c r="B881" s="14">
        <f>IF(PasteBBM!B881="",156,PasteBBM!B881)</f>
        <v>156</v>
      </c>
      <c r="C881" t="str">
        <f>PasteBBM!I881</f>
        <v/>
      </c>
      <c r="D881" t="str">
        <f>IFERROR(REPLACE(PasteBBM!K881,FIND("/",PasteBBM!K881,1),1,","),PasteBBM!K881)</f>
        <v/>
      </c>
      <c r="E881" t="str">
        <f>PasteBBM!J881</f>
        <v/>
      </c>
      <c r="F881" t="str">
        <f>PasteBBM!U881</f>
        <v/>
      </c>
      <c r="G881" t="str">
        <f>PasteBBM!X881</f>
        <v/>
      </c>
      <c r="H881">
        <f>PasteBBM!AE881*PasteBBM!AF881</f>
        <v>0</v>
      </c>
      <c r="I881" t="str">
        <f>PasteBBM!AE881</f>
        <v/>
      </c>
      <c r="J881">
        <f>PasteBBM!AG881*PasteBBM!AH881</f>
        <v>0</v>
      </c>
      <c r="K881" t="str">
        <f>PasteBBM!AG881</f>
        <v/>
      </c>
      <c r="L881" t="str">
        <f>PasteBBM!Z881</f>
        <v/>
      </c>
      <c r="M881" t="str">
        <f>PasteBBM!Y881</f>
        <v/>
      </c>
      <c r="N881" t="str">
        <f>PasteBBM!AA881</f>
        <v/>
      </c>
      <c r="O881" t="str">
        <f>PasteBBM!AB881</f>
        <v/>
      </c>
      <c r="P881" t="str">
        <f>PasteBBM!AC881</f>
        <v/>
      </c>
      <c r="Q881" t="str">
        <f>PasteBBM!AD881</f>
        <v/>
      </c>
      <c r="R881" t="str">
        <f>PasteBBM!AI881</f>
        <v/>
      </c>
      <c r="S881" t="str">
        <f>PasteBBM!AE881</f>
        <v/>
      </c>
      <c r="T881" t="str">
        <f>PasteBBM!AG881</f>
        <v/>
      </c>
      <c r="V881" s="44">
        <v>-0.41709</v>
      </c>
      <c r="W881" s="44">
        <v>-0.00658</v>
      </c>
      <c r="X881" s="44">
        <v>0.009207</v>
      </c>
      <c r="Y881" s="44">
        <v>-0.4263</v>
      </c>
      <c r="Z881" s="44">
        <v>-0.34564</v>
      </c>
      <c r="AA881" s="45"/>
      <c r="AB881" s="46" t="s">
        <v>126</v>
      </c>
      <c r="AC881" s="44">
        <v>67.0</v>
      </c>
    </row>
    <row r="882">
      <c r="A882" s="2">
        <v>163.0</v>
      </c>
      <c r="B882" s="14">
        <f>IF(PasteBBM!B882="",156,PasteBBM!B882)</f>
        <v>156</v>
      </c>
      <c r="C882" t="str">
        <f>PasteBBM!I882</f>
        <v/>
      </c>
      <c r="D882" t="str">
        <f>IFERROR(REPLACE(PasteBBM!K882,FIND("/",PasteBBM!K882,1),1,","),PasteBBM!K882)</f>
        <v/>
      </c>
      <c r="E882" t="str">
        <f>PasteBBM!J882</f>
        <v/>
      </c>
      <c r="F882" t="str">
        <f>PasteBBM!U882</f>
        <v/>
      </c>
      <c r="G882" t="str">
        <f>PasteBBM!X882</f>
        <v/>
      </c>
      <c r="H882">
        <f>PasteBBM!AE882*PasteBBM!AF882</f>
        <v>0</v>
      </c>
      <c r="I882" t="str">
        <f>PasteBBM!AE882</f>
        <v/>
      </c>
      <c r="J882">
        <f>PasteBBM!AG882*PasteBBM!AH882</f>
        <v>0</v>
      </c>
      <c r="K882" t="str">
        <f>PasteBBM!AG882</f>
        <v/>
      </c>
      <c r="L882" t="str">
        <f>PasteBBM!Z882</f>
        <v/>
      </c>
      <c r="M882" t="str">
        <f>PasteBBM!Y882</f>
        <v/>
      </c>
      <c r="N882" t="str">
        <f>PasteBBM!AA882</f>
        <v/>
      </c>
      <c r="O882" t="str">
        <f>PasteBBM!AB882</f>
        <v/>
      </c>
      <c r="P882" t="str">
        <f>PasteBBM!AC882</f>
        <v/>
      </c>
      <c r="Q882" t="str">
        <f>PasteBBM!AD882</f>
        <v/>
      </c>
      <c r="R882" t="str">
        <f>PasteBBM!AI882</f>
        <v/>
      </c>
      <c r="S882" t="str">
        <f>PasteBBM!AE882</f>
        <v/>
      </c>
      <c r="T882" t="str">
        <f>PasteBBM!AG882</f>
        <v/>
      </c>
      <c r="V882" s="44">
        <v>-0.41709</v>
      </c>
      <c r="W882" s="44">
        <v>-0.00658</v>
      </c>
      <c r="X882" s="44">
        <v>0.009207</v>
      </c>
      <c r="Y882" s="44">
        <v>-0.4263</v>
      </c>
      <c r="Z882" s="44">
        <v>-0.34564</v>
      </c>
      <c r="AA882" s="45"/>
      <c r="AB882" s="46" t="s">
        <v>126</v>
      </c>
      <c r="AC882" s="44">
        <v>67.0</v>
      </c>
    </row>
    <row r="883">
      <c r="A883" s="2">
        <v>163.0</v>
      </c>
      <c r="B883" s="14">
        <f>IF(PasteBBM!B883="",156,PasteBBM!B883)</f>
        <v>156</v>
      </c>
      <c r="C883" t="str">
        <f>PasteBBM!I883</f>
        <v/>
      </c>
      <c r="D883" t="str">
        <f>IFERROR(REPLACE(PasteBBM!K883,FIND("/",PasteBBM!K883,1),1,","),PasteBBM!K883)</f>
        <v/>
      </c>
      <c r="E883" t="str">
        <f>PasteBBM!J883</f>
        <v/>
      </c>
      <c r="F883" t="str">
        <f>PasteBBM!U883</f>
        <v/>
      </c>
      <c r="G883" t="str">
        <f>PasteBBM!X883</f>
        <v/>
      </c>
      <c r="H883">
        <f>PasteBBM!AE883*PasteBBM!AF883</f>
        <v>0</v>
      </c>
      <c r="I883" t="str">
        <f>PasteBBM!AE883</f>
        <v/>
      </c>
      <c r="J883">
        <f>PasteBBM!AG883*PasteBBM!AH883</f>
        <v>0</v>
      </c>
      <c r="K883" t="str">
        <f>PasteBBM!AG883</f>
        <v/>
      </c>
      <c r="L883" t="str">
        <f>PasteBBM!Z883</f>
        <v/>
      </c>
      <c r="M883" t="str">
        <f>PasteBBM!Y883</f>
        <v/>
      </c>
      <c r="N883" t="str">
        <f>PasteBBM!AA883</f>
        <v/>
      </c>
      <c r="O883" t="str">
        <f>PasteBBM!AB883</f>
        <v/>
      </c>
      <c r="P883" t="str">
        <f>PasteBBM!AC883</f>
        <v/>
      </c>
      <c r="Q883" t="str">
        <f>PasteBBM!AD883</f>
        <v/>
      </c>
      <c r="R883" t="str">
        <f>PasteBBM!AI883</f>
        <v/>
      </c>
      <c r="S883" t="str">
        <f>PasteBBM!AE883</f>
        <v/>
      </c>
      <c r="T883" t="str">
        <f>PasteBBM!AG883</f>
        <v/>
      </c>
      <c r="V883" s="44">
        <v>-0.41709</v>
      </c>
      <c r="W883" s="44">
        <v>-0.00658</v>
      </c>
      <c r="X883" s="44">
        <v>0.009207</v>
      </c>
      <c r="Y883" s="44">
        <v>-0.4263</v>
      </c>
      <c r="Z883" s="44">
        <v>-0.34564</v>
      </c>
      <c r="AA883" s="45"/>
      <c r="AB883" s="46" t="s">
        <v>126</v>
      </c>
      <c r="AC883" s="44">
        <v>67.0</v>
      </c>
    </row>
    <row r="884">
      <c r="A884" s="2">
        <v>163.0</v>
      </c>
      <c r="B884" s="14">
        <f>IF(PasteBBM!B884="",156,PasteBBM!B884)</f>
        <v>156</v>
      </c>
      <c r="C884" t="str">
        <f>PasteBBM!I884</f>
        <v/>
      </c>
      <c r="D884" t="str">
        <f>IFERROR(REPLACE(PasteBBM!K884,FIND("/",PasteBBM!K884,1),1,","),PasteBBM!K884)</f>
        <v/>
      </c>
      <c r="E884" t="str">
        <f>PasteBBM!J884</f>
        <v/>
      </c>
      <c r="F884" t="str">
        <f>PasteBBM!U884</f>
        <v/>
      </c>
      <c r="G884" t="str">
        <f>PasteBBM!X884</f>
        <v/>
      </c>
      <c r="H884">
        <f>PasteBBM!AE884*PasteBBM!AF884</f>
        <v>0</v>
      </c>
      <c r="I884" t="str">
        <f>PasteBBM!AE884</f>
        <v/>
      </c>
      <c r="J884">
        <f>PasteBBM!AG884*PasteBBM!AH884</f>
        <v>0</v>
      </c>
      <c r="K884" t="str">
        <f>PasteBBM!AG884</f>
        <v/>
      </c>
      <c r="L884" t="str">
        <f>PasteBBM!Z884</f>
        <v/>
      </c>
      <c r="M884" t="str">
        <f>PasteBBM!Y884</f>
        <v/>
      </c>
      <c r="N884" t="str">
        <f>PasteBBM!AA884</f>
        <v/>
      </c>
      <c r="O884" t="str">
        <f>PasteBBM!AB884</f>
        <v/>
      </c>
      <c r="P884" t="str">
        <f>PasteBBM!AC884</f>
        <v/>
      </c>
      <c r="Q884" t="str">
        <f>PasteBBM!AD884</f>
        <v/>
      </c>
      <c r="R884" t="str">
        <f>PasteBBM!AI884</f>
        <v/>
      </c>
      <c r="S884" t="str">
        <f>PasteBBM!AE884</f>
        <v/>
      </c>
      <c r="T884" t="str">
        <f>PasteBBM!AG884</f>
        <v/>
      </c>
      <c r="V884" s="44">
        <v>-0.41709</v>
      </c>
      <c r="W884" s="44">
        <v>-0.00658</v>
      </c>
      <c r="X884" s="44">
        <v>0.009207</v>
      </c>
      <c r="Y884" s="44">
        <v>-0.4263</v>
      </c>
      <c r="Z884" s="44">
        <v>-0.34564</v>
      </c>
      <c r="AA884" s="45"/>
      <c r="AB884" s="46" t="s">
        <v>126</v>
      </c>
      <c r="AC884" s="44">
        <v>67.0</v>
      </c>
    </row>
    <row r="885">
      <c r="A885" s="2">
        <v>163.0</v>
      </c>
      <c r="B885" s="14">
        <f>IF(PasteBBM!B885="",156,PasteBBM!B885)</f>
        <v>156</v>
      </c>
      <c r="C885" t="str">
        <f>PasteBBM!I885</f>
        <v/>
      </c>
      <c r="D885" t="str">
        <f>IFERROR(REPLACE(PasteBBM!K885,FIND("/",PasteBBM!K885,1),1,","),PasteBBM!K885)</f>
        <v/>
      </c>
      <c r="E885" t="str">
        <f>PasteBBM!J885</f>
        <v/>
      </c>
      <c r="F885" t="str">
        <f>PasteBBM!U885</f>
        <v/>
      </c>
      <c r="G885" t="str">
        <f>PasteBBM!X885</f>
        <v/>
      </c>
      <c r="H885">
        <f>PasteBBM!AE885*PasteBBM!AF885</f>
        <v>0</v>
      </c>
      <c r="I885" t="str">
        <f>PasteBBM!AE885</f>
        <v/>
      </c>
      <c r="J885">
        <f>PasteBBM!AG885*PasteBBM!AH885</f>
        <v>0</v>
      </c>
      <c r="K885" t="str">
        <f>PasteBBM!AG885</f>
        <v/>
      </c>
      <c r="L885" t="str">
        <f>PasteBBM!Z885</f>
        <v/>
      </c>
      <c r="M885" t="str">
        <f>PasteBBM!Y885</f>
        <v/>
      </c>
      <c r="N885" t="str">
        <f>PasteBBM!AA885</f>
        <v/>
      </c>
      <c r="O885" t="str">
        <f>PasteBBM!AB885</f>
        <v/>
      </c>
      <c r="P885" t="str">
        <f>PasteBBM!AC885</f>
        <v/>
      </c>
      <c r="Q885" t="str">
        <f>PasteBBM!AD885</f>
        <v/>
      </c>
      <c r="R885" t="str">
        <f>PasteBBM!AI885</f>
        <v/>
      </c>
      <c r="S885" t="str">
        <f>PasteBBM!AE885</f>
        <v/>
      </c>
      <c r="T885" t="str">
        <f>PasteBBM!AG885</f>
        <v/>
      </c>
      <c r="V885" s="44">
        <v>-0.41709</v>
      </c>
      <c r="W885" s="44">
        <v>-0.00658</v>
      </c>
      <c r="X885" s="44">
        <v>0.009207</v>
      </c>
      <c r="Y885" s="44">
        <v>-0.4263</v>
      </c>
      <c r="Z885" s="44">
        <v>-0.34564</v>
      </c>
      <c r="AA885" s="45"/>
      <c r="AB885" s="46" t="s">
        <v>126</v>
      </c>
      <c r="AC885" s="44">
        <v>67.0</v>
      </c>
    </row>
    <row r="886">
      <c r="A886" s="2">
        <v>163.0</v>
      </c>
      <c r="B886" s="14">
        <f>IF(PasteBBM!B886="",156,PasteBBM!B886)</f>
        <v>156</v>
      </c>
      <c r="C886" t="str">
        <f>PasteBBM!I886</f>
        <v/>
      </c>
      <c r="D886" t="str">
        <f>IFERROR(REPLACE(PasteBBM!K886,FIND("/",PasteBBM!K886,1),1,","),PasteBBM!K886)</f>
        <v/>
      </c>
      <c r="E886" t="str">
        <f>PasteBBM!J886</f>
        <v/>
      </c>
      <c r="F886" t="str">
        <f>PasteBBM!U886</f>
        <v/>
      </c>
      <c r="G886" t="str">
        <f>PasteBBM!X886</f>
        <v/>
      </c>
      <c r="H886">
        <f>PasteBBM!AE886*PasteBBM!AF886</f>
        <v>0</v>
      </c>
      <c r="I886" t="str">
        <f>PasteBBM!AE886</f>
        <v/>
      </c>
      <c r="J886">
        <f>PasteBBM!AG886*PasteBBM!AH886</f>
        <v>0</v>
      </c>
      <c r="K886" t="str">
        <f>PasteBBM!AG886</f>
        <v/>
      </c>
      <c r="L886" t="str">
        <f>PasteBBM!Z886</f>
        <v/>
      </c>
      <c r="M886" t="str">
        <f>PasteBBM!Y886</f>
        <v/>
      </c>
      <c r="N886" t="str">
        <f>PasteBBM!AA886</f>
        <v/>
      </c>
      <c r="O886" t="str">
        <f>PasteBBM!AB886</f>
        <v/>
      </c>
      <c r="P886" t="str">
        <f>PasteBBM!AC886</f>
        <v/>
      </c>
      <c r="Q886" t="str">
        <f>PasteBBM!AD886</f>
        <v/>
      </c>
      <c r="R886" t="str">
        <f>PasteBBM!AI886</f>
        <v/>
      </c>
      <c r="S886" t="str">
        <f>PasteBBM!AE886</f>
        <v/>
      </c>
      <c r="T886" t="str">
        <f>PasteBBM!AG886</f>
        <v/>
      </c>
      <c r="V886" s="44">
        <v>-0.41709</v>
      </c>
      <c r="W886" s="44">
        <v>-0.00658</v>
      </c>
      <c r="X886" s="44">
        <v>0.009207</v>
      </c>
      <c r="Y886" s="44">
        <v>-0.4263</v>
      </c>
      <c r="Z886" s="44">
        <v>-0.34564</v>
      </c>
      <c r="AA886" s="45"/>
      <c r="AB886" s="46" t="s">
        <v>126</v>
      </c>
      <c r="AC886" s="44">
        <v>67.0</v>
      </c>
    </row>
    <row r="887">
      <c r="A887" s="2">
        <v>163.0</v>
      </c>
      <c r="B887" s="14">
        <f>IF(PasteBBM!B887="",156,PasteBBM!B887)</f>
        <v>156</v>
      </c>
      <c r="C887" t="str">
        <f>PasteBBM!I887</f>
        <v/>
      </c>
      <c r="D887" t="str">
        <f>IFERROR(REPLACE(PasteBBM!K887,FIND("/",PasteBBM!K887,1),1,","),PasteBBM!K887)</f>
        <v/>
      </c>
      <c r="E887" t="str">
        <f>PasteBBM!J887</f>
        <v/>
      </c>
      <c r="F887" t="str">
        <f>PasteBBM!U887</f>
        <v/>
      </c>
      <c r="G887" t="str">
        <f>PasteBBM!X887</f>
        <v/>
      </c>
      <c r="H887">
        <f>PasteBBM!AE887*PasteBBM!AF887</f>
        <v>0</v>
      </c>
      <c r="I887" t="str">
        <f>PasteBBM!AE887</f>
        <v/>
      </c>
      <c r="J887">
        <f>PasteBBM!AG887*PasteBBM!AH887</f>
        <v>0</v>
      </c>
      <c r="K887" t="str">
        <f>PasteBBM!AG887</f>
        <v/>
      </c>
      <c r="L887" t="str">
        <f>PasteBBM!Z887</f>
        <v/>
      </c>
      <c r="M887" t="str">
        <f>PasteBBM!Y887</f>
        <v/>
      </c>
      <c r="N887" t="str">
        <f>PasteBBM!AA887</f>
        <v/>
      </c>
      <c r="O887" t="str">
        <f>PasteBBM!AB887</f>
        <v/>
      </c>
      <c r="P887" t="str">
        <f>PasteBBM!AC887</f>
        <v/>
      </c>
      <c r="Q887" t="str">
        <f>PasteBBM!AD887</f>
        <v/>
      </c>
      <c r="R887" t="str">
        <f>PasteBBM!AI887</f>
        <v/>
      </c>
      <c r="S887" t="str">
        <f>PasteBBM!AE887</f>
        <v/>
      </c>
      <c r="T887" t="str">
        <f>PasteBBM!AG887</f>
        <v/>
      </c>
      <c r="V887" s="44">
        <v>-0.41709</v>
      </c>
      <c r="W887" s="44">
        <v>-0.00658</v>
      </c>
      <c r="X887" s="44">
        <v>0.009207</v>
      </c>
      <c r="Y887" s="44">
        <v>-0.4263</v>
      </c>
      <c r="Z887" s="44">
        <v>-0.34564</v>
      </c>
      <c r="AA887" s="45"/>
      <c r="AB887" s="46" t="s">
        <v>126</v>
      </c>
      <c r="AC887" s="44">
        <v>67.0</v>
      </c>
    </row>
    <row r="888">
      <c r="A888" s="2">
        <v>163.0</v>
      </c>
      <c r="B888" s="14">
        <f>IF(PasteBBM!B888="",156,PasteBBM!B888)</f>
        <v>156</v>
      </c>
      <c r="C888" t="str">
        <f>PasteBBM!I888</f>
        <v/>
      </c>
      <c r="D888" t="str">
        <f>IFERROR(REPLACE(PasteBBM!K888,FIND("/",PasteBBM!K888,1),1,","),PasteBBM!K888)</f>
        <v/>
      </c>
      <c r="E888" t="str">
        <f>PasteBBM!J888</f>
        <v/>
      </c>
      <c r="F888" t="str">
        <f>PasteBBM!U888</f>
        <v/>
      </c>
      <c r="G888" t="str">
        <f>PasteBBM!X888</f>
        <v/>
      </c>
      <c r="H888">
        <f>PasteBBM!AE888*PasteBBM!AF888</f>
        <v>0</v>
      </c>
      <c r="I888" t="str">
        <f>PasteBBM!AE888</f>
        <v/>
      </c>
      <c r="J888">
        <f>PasteBBM!AG888*PasteBBM!AH888</f>
        <v>0</v>
      </c>
      <c r="K888" t="str">
        <f>PasteBBM!AG888</f>
        <v/>
      </c>
      <c r="L888" t="str">
        <f>PasteBBM!Z888</f>
        <v/>
      </c>
      <c r="M888" t="str">
        <f>PasteBBM!Y888</f>
        <v/>
      </c>
      <c r="N888" t="str">
        <f>PasteBBM!AA888</f>
        <v/>
      </c>
      <c r="O888" t="str">
        <f>PasteBBM!AB888</f>
        <v/>
      </c>
      <c r="P888" t="str">
        <f>PasteBBM!AC888</f>
        <v/>
      </c>
      <c r="Q888" t="str">
        <f>PasteBBM!AD888</f>
        <v/>
      </c>
      <c r="R888" t="str">
        <f>PasteBBM!AI888</f>
        <v/>
      </c>
      <c r="S888" t="str">
        <f>PasteBBM!AE888</f>
        <v/>
      </c>
      <c r="T888" t="str">
        <f>PasteBBM!AG888</f>
        <v/>
      </c>
      <c r="V888" s="44">
        <v>-0.41709</v>
      </c>
      <c r="W888" s="44">
        <v>-0.00658</v>
      </c>
      <c r="X888" s="44">
        <v>0.009207</v>
      </c>
      <c r="Y888" s="44">
        <v>-0.4263</v>
      </c>
      <c r="Z888" s="44">
        <v>-0.34564</v>
      </c>
      <c r="AA888" s="45"/>
      <c r="AB888" s="46" t="s">
        <v>126</v>
      </c>
      <c r="AC888" s="44">
        <v>67.0</v>
      </c>
    </row>
    <row r="889">
      <c r="A889" s="2">
        <v>163.0</v>
      </c>
      <c r="B889" s="14">
        <f>IF(PasteBBM!B889="",156,PasteBBM!B889)</f>
        <v>156</v>
      </c>
      <c r="C889" t="str">
        <f>PasteBBM!I889</f>
        <v/>
      </c>
      <c r="D889" t="str">
        <f>IFERROR(REPLACE(PasteBBM!K889,FIND("/",PasteBBM!K889,1),1,","),PasteBBM!K889)</f>
        <v/>
      </c>
      <c r="E889" t="str">
        <f>PasteBBM!J889</f>
        <v/>
      </c>
      <c r="F889" t="str">
        <f>PasteBBM!U889</f>
        <v/>
      </c>
      <c r="G889" t="str">
        <f>PasteBBM!X889</f>
        <v/>
      </c>
      <c r="H889">
        <f>PasteBBM!AE889*PasteBBM!AF889</f>
        <v>0</v>
      </c>
      <c r="I889" t="str">
        <f>PasteBBM!AE889</f>
        <v/>
      </c>
      <c r="J889">
        <f>PasteBBM!AG889*PasteBBM!AH889</f>
        <v>0</v>
      </c>
      <c r="K889" t="str">
        <f>PasteBBM!AG889</f>
        <v/>
      </c>
      <c r="L889" t="str">
        <f>PasteBBM!Z889</f>
        <v/>
      </c>
      <c r="M889" t="str">
        <f>PasteBBM!Y889</f>
        <v/>
      </c>
      <c r="N889" t="str">
        <f>PasteBBM!AA889</f>
        <v/>
      </c>
      <c r="O889" t="str">
        <f>PasteBBM!AB889</f>
        <v/>
      </c>
      <c r="P889" t="str">
        <f>PasteBBM!AC889</f>
        <v/>
      </c>
      <c r="Q889" t="str">
        <f>PasteBBM!AD889</f>
        <v/>
      </c>
      <c r="R889" t="str">
        <f>PasteBBM!AI889</f>
        <v/>
      </c>
      <c r="S889" t="str">
        <f>PasteBBM!AE889</f>
        <v/>
      </c>
      <c r="T889" t="str">
        <f>PasteBBM!AG889</f>
        <v/>
      </c>
      <c r="V889" s="44">
        <v>-0.41709</v>
      </c>
      <c r="W889" s="44">
        <v>-0.00658</v>
      </c>
      <c r="X889" s="44">
        <v>0.009207</v>
      </c>
      <c r="Y889" s="44">
        <v>-0.4263</v>
      </c>
      <c r="Z889" s="44">
        <v>-0.34564</v>
      </c>
      <c r="AA889" s="45"/>
      <c r="AB889" s="46" t="s">
        <v>126</v>
      </c>
      <c r="AC889" s="44">
        <v>67.0</v>
      </c>
    </row>
    <row r="890">
      <c r="A890" s="2">
        <v>163.0</v>
      </c>
      <c r="B890" s="14">
        <f>IF(PasteBBM!B890="",156,PasteBBM!B890)</f>
        <v>156</v>
      </c>
      <c r="C890" t="str">
        <f>PasteBBM!I890</f>
        <v/>
      </c>
      <c r="D890" t="str">
        <f>IFERROR(REPLACE(PasteBBM!K890,FIND("/",PasteBBM!K890,1),1,","),PasteBBM!K890)</f>
        <v/>
      </c>
      <c r="E890" t="str">
        <f>PasteBBM!J890</f>
        <v/>
      </c>
      <c r="F890" t="str">
        <f>PasteBBM!U890</f>
        <v/>
      </c>
      <c r="G890" t="str">
        <f>PasteBBM!X890</f>
        <v/>
      </c>
      <c r="H890">
        <f>PasteBBM!AE890*PasteBBM!AF890</f>
        <v>0</v>
      </c>
      <c r="I890" t="str">
        <f>PasteBBM!AE890</f>
        <v/>
      </c>
      <c r="J890">
        <f>PasteBBM!AG890*PasteBBM!AH890</f>
        <v>0</v>
      </c>
      <c r="K890" t="str">
        <f>PasteBBM!AG890</f>
        <v/>
      </c>
      <c r="L890" t="str">
        <f>PasteBBM!Z890</f>
        <v/>
      </c>
      <c r="M890" t="str">
        <f>PasteBBM!Y890</f>
        <v/>
      </c>
      <c r="N890" t="str">
        <f>PasteBBM!AA890</f>
        <v/>
      </c>
      <c r="O890" t="str">
        <f>PasteBBM!AB890</f>
        <v/>
      </c>
      <c r="P890" t="str">
        <f>PasteBBM!AC890</f>
        <v/>
      </c>
      <c r="Q890" t="str">
        <f>PasteBBM!AD890</f>
        <v/>
      </c>
      <c r="R890" t="str">
        <f>PasteBBM!AI890</f>
        <v/>
      </c>
      <c r="S890" t="str">
        <f>PasteBBM!AE890</f>
        <v/>
      </c>
      <c r="T890" t="str">
        <f>PasteBBM!AG890</f>
        <v/>
      </c>
      <c r="V890" s="44">
        <v>-0.41709</v>
      </c>
      <c r="W890" s="44">
        <v>-0.00658</v>
      </c>
      <c r="X890" s="44">
        <v>0.009207</v>
      </c>
      <c r="Y890" s="44">
        <v>-0.4263</v>
      </c>
      <c r="Z890" s="44">
        <v>-0.34564</v>
      </c>
      <c r="AA890" s="45"/>
      <c r="AB890" s="46" t="s">
        <v>126</v>
      </c>
      <c r="AC890" s="44">
        <v>67.0</v>
      </c>
    </row>
    <row r="891">
      <c r="A891" s="2">
        <v>163.0</v>
      </c>
      <c r="B891" s="14">
        <f>IF(PasteBBM!B891="",156,PasteBBM!B891)</f>
        <v>156</v>
      </c>
      <c r="C891" t="str">
        <f>PasteBBM!I891</f>
        <v/>
      </c>
      <c r="D891" t="str">
        <f>IFERROR(REPLACE(PasteBBM!K891,FIND("/",PasteBBM!K891,1),1,","),PasteBBM!K891)</f>
        <v/>
      </c>
      <c r="E891" t="str">
        <f>PasteBBM!J891</f>
        <v/>
      </c>
      <c r="F891" t="str">
        <f>PasteBBM!U891</f>
        <v/>
      </c>
      <c r="G891" t="str">
        <f>PasteBBM!X891</f>
        <v/>
      </c>
      <c r="H891">
        <f>PasteBBM!AE891*PasteBBM!AF891</f>
        <v>0</v>
      </c>
      <c r="I891" t="str">
        <f>PasteBBM!AE891</f>
        <v/>
      </c>
      <c r="J891">
        <f>PasteBBM!AG891*PasteBBM!AH891</f>
        <v>0</v>
      </c>
      <c r="K891" t="str">
        <f>PasteBBM!AG891</f>
        <v/>
      </c>
      <c r="L891" t="str">
        <f>PasteBBM!Z891</f>
        <v/>
      </c>
      <c r="M891" t="str">
        <f>PasteBBM!Y891</f>
        <v/>
      </c>
      <c r="N891" t="str">
        <f>PasteBBM!AA891</f>
        <v/>
      </c>
      <c r="O891" t="str">
        <f>PasteBBM!AB891</f>
        <v/>
      </c>
      <c r="P891" t="str">
        <f>PasteBBM!AC891</f>
        <v/>
      </c>
      <c r="Q891" t="str">
        <f>PasteBBM!AD891</f>
        <v/>
      </c>
      <c r="R891" t="str">
        <f>PasteBBM!AI891</f>
        <v/>
      </c>
      <c r="S891" t="str">
        <f>PasteBBM!AE891</f>
        <v/>
      </c>
      <c r="T891" t="str">
        <f>PasteBBM!AG891</f>
        <v/>
      </c>
      <c r="V891" s="44">
        <v>-0.41709</v>
      </c>
      <c r="W891" s="44">
        <v>-0.00658</v>
      </c>
      <c r="X891" s="44">
        <v>0.009207</v>
      </c>
      <c r="Y891" s="44">
        <v>-0.4263</v>
      </c>
      <c r="Z891" s="44">
        <v>-0.34564</v>
      </c>
      <c r="AA891" s="45"/>
      <c r="AB891" s="46" t="s">
        <v>126</v>
      </c>
      <c r="AC891" s="44">
        <v>67.0</v>
      </c>
    </row>
    <row r="892">
      <c r="A892" s="2">
        <v>163.0</v>
      </c>
      <c r="B892" s="14">
        <f>IF(PasteBBM!B892="",156,PasteBBM!B892)</f>
        <v>156</v>
      </c>
      <c r="C892" t="str">
        <f>PasteBBM!I892</f>
        <v/>
      </c>
      <c r="D892" t="str">
        <f>IFERROR(REPLACE(PasteBBM!K892,FIND("/",PasteBBM!K892,1),1,","),PasteBBM!K892)</f>
        <v/>
      </c>
      <c r="E892" t="str">
        <f>PasteBBM!J892</f>
        <v/>
      </c>
      <c r="F892" t="str">
        <f>PasteBBM!U892</f>
        <v/>
      </c>
      <c r="G892" t="str">
        <f>PasteBBM!X892</f>
        <v/>
      </c>
      <c r="H892">
        <f>PasteBBM!AE892*PasteBBM!AF892</f>
        <v>0</v>
      </c>
      <c r="I892" t="str">
        <f>PasteBBM!AE892</f>
        <v/>
      </c>
      <c r="J892">
        <f>PasteBBM!AG892*PasteBBM!AH892</f>
        <v>0</v>
      </c>
      <c r="K892" t="str">
        <f>PasteBBM!AG892</f>
        <v/>
      </c>
      <c r="L892" t="str">
        <f>PasteBBM!Z892</f>
        <v/>
      </c>
      <c r="M892" t="str">
        <f>PasteBBM!Y892</f>
        <v/>
      </c>
      <c r="N892" t="str">
        <f>PasteBBM!AA892</f>
        <v/>
      </c>
      <c r="O892" t="str">
        <f>PasteBBM!AB892</f>
        <v/>
      </c>
      <c r="P892" t="str">
        <f>PasteBBM!AC892</f>
        <v/>
      </c>
      <c r="Q892" t="str">
        <f>PasteBBM!AD892</f>
        <v/>
      </c>
      <c r="R892" t="str">
        <f>PasteBBM!AI892</f>
        <v/>
      </c>
      <c r="S892" t="str">
        <f>PasteBBM!AE892</f>
        <v/>
      </c>
      <c r="T892" t="str">
        <f>PasteBBM!AG892</f>
        <v/>
      </c>
      <c r="V892" s="44">
        <v>-0.41709</v>
      </c>
      <c r="W892" s="44">
        <v>-0.00658</v>
      </c>
      <c r="X892" s="44">
        <v>0.009207</v>
      </c>
      <c r="Y892" s="44">
        <v>-0.4263</v>
      </c>
      <c r="Z892" s="44">
        <v>-0.34564</v>
      </c>
      <c r="AA892" s="45"/>
      <c r="AB892" s="46" t="s">
        <v>126</v>
      </c>
      <c r="AC892" s="44">
        <v>67.0</v>
      </c>
    </row>
    <row r="893">
      <c r="A893" s="2">
        <v>163.0</v>
      </c>
      <c r="B893" s="14">
        <f>IF(PasteBBM!B893="",156,PasteBBM!B893)</f>
        <v>156</v>
      </c>
      <c r="C893" t="str">
        <f>PasteBBM!I893</f>
        <v/>
      </c>
      <c r="D893" t="str">
        <f>IFERROR(REPLACE(PasteBBM!K893,FIND("/",PasteBBM!K893,1),1,","),PasteBBM!K893)</f>
        <v/>
      </c>
      <c r="E893" t="str">
        <f>PasteBBM!J893</f>
        <v/>
      </c>
      <c r="F893" t="str">
        <f>PasteBBM!U893</f>
        <v/>
      </c>
      <c r="G893" t="str">
        <f>PasteBBM!X893</f>
        <v/>
      </c>
      <c r="H893">
        <f>PasteBBM!AE893*PasteBBM!AF893</f>
        <v>0</v>
      </c>
      <c r="I893" t="str">
        <f>PasteBBM!AE893</f>
        <v/>
      </c>
      <c r="J893">
        <f>PasteBBM!AG893*PasteBBM!AH893</f>
        <v>0</v>
      </c>
      <c r="K893" t="str">
        <f>PasteBBM!AG893</f>
        <v/>
      </c>
      <c r="L893" t="str">
        <f>PasteBBM!Z893</f>
        <v/>
      </c>
      <c r="M893" t="str">
        <f>PasteBBM!Y893</f>
        <v/>
      </c>
      <c r="N893" t="str">
        <f>PasteBBM!AA893</f>
        <v/>
      </c>
      <c r="O893" t="str">
        <f>PasteBBM!AB893</f>
        <v/>
      </c>
      <c r="P893" t="str">
        <f>PasteBBM!AC893</f>
        <v/>
      </c>
      <c r="Q893" t="str">
        <f>PasteBBM!AD893</f>
        <v/>
      </c>
      <c r="R893" t="str">
        <f>PasteBBM!AI893</f>
        <v/>
      </c>
      <c r="S893" t="str">
        <f>PasteBBM!AE893</f>
        <v/>
      </c>
      <c r="T893" t="str">
        <f>PasteBBM!AG893</f>
        <v/>
      </c>
      <c r="V893" s="44">
        <v>-0.41709</v>
      </c>
      <c r="W893" s="44">
        <v>-0.00658</v>
      </c>
      <c r="X893" s="44">
        <v>0.009207</v>
      </c>
      <c r="Y893" s="44">
        <v>-0.4263</v>
      </c>
      <c r="Z893" s="44">
        <v>-0.34564</v>
      </c>
      <c r="AA893" s="45"/>
      <c r="AB893" s="46" t="s">
        <v>126</v>
      </c>
      <c r="AC893" s="44">
        <v>67.0</v>
      </c>
    </row>
    <row r="894">
      <c r="A894" s="2">
        <v>163.0</v>
      </c>
      <c r="B894" s="14">
        <f>IF(PasteBBM!B894="",156,PasteBBM!B894)</f>
        <v>156</v>
      </c>
      <c r="C894" t="str">
        <f>PasteBBM!I894</f>
        <v/>
      </c>
      <c r="D894" t="str">
        <f>IFERROR(REPLACE(PasteBBM!K894,FIND("/",PasteBBM!K894,1),1,","),PasteBBM!K894)</f>
        <v/>
      </c>
      <c r="E894" t="str">
        <f>PasteBBM!J894</f>
        <v/>
      </c>
      <c r="F894" t="str">
        <f>PasteBBM!U894</f>
        <v/>
      </c>
      <c r="G894" t="str">
        <f>PasteBBM!X894</f>
        <v/>
      </c>
      <c r="H894">
        <f>PasteBBM!AE894*PasteBBM!AF894</f>
        <v>0</v>
      </c>
      <c r="I894" t="str">
        <f>PasteBBM!AE894</f>
        <v/>
      </c>
      <c r="J894">
        <f>PasteBBM!AG894*PasteBBM!AH894</f>
        <v>0</v>
      </c>
      <c r="K894" t="str">
        <f>PasteBBM!AG894</f>
        <v/>
      </c>
      <c r="L894" t="str">
        <f>PasteBBM!Z894</f>
        <v/>
      </c>
      <c r="M894" t="str">
        <f>PasteBBM!Y894</f>
        <v/>
      </c>
      <c r="N894" t="str">
        <f>PasteBBM!AA894</f>
        <v/>
      </c>
      <c r="O894" t="str">
        <f>PasteBBM!AB894</f>
        <v/>
      </c>
      <c r="P894" t="str">
        <f>PasteBBM!AC894</f>
        <v/>
      </c>
      <c r="Q894" t="str">
        <f>PasteBBM!AD894</f>
        <v/>
      </c>
      <c r="R894" t="str">
        <f>PasteBBM!AI894</f>
        <v/>
      </c>
      <c r="S894" t="str">
        <f>PasteBBM!AE894</f>
        <v/>
      </c>
      <c r="T894" t="str">
        <f>PasteBBM!AG894</f>
        <v/>
      </c>
      <c r="V894" s="44">
        <v>-0.41709</v>
      </c>
      <c r="W894" s="44">
        <v>-0.00658</v>
      </c>
      <c r="X894" s="44">
        <v>0.009207</v>
      </c>
      <c r="Y894" s="44">
        <v>-0.4263</v>
      </c>
      <c r="Z894" s="44">
        <v>-0.34564</v>
      </c>
      <c r="AA894" s="45"/>
      <c r="AB894" s="46" t="s">
        <v>126</v>
      </c>
      <c r="AC894" s="44">
        <v>67.0</v>
      </c>
    </row>
    <row r="895">
      <c r="A895" s="2">
        <v>163.0</v>
      </c>
      <c r="B895" s="14">
        <f>IF(PasteBBM!B895="",156,PasteBBM!B895)</f>
        <v>156</v>
      </c>
      <c r="C895" t="str">
        <f>PasteBBM!I895</f>
        <v/>
      </c>
      <c r="D895" t="str">
        <f>IFERROR(REPLACE(PasteBBM!K895,FIND("/",PasteBBM!K895,1),1,","),PasteBBM!K895)</f>
        <v/>
      </c>
      <c r="E895" t="str">
        <f>PasteBBM!J895</f>
        <v/>
      </c>
      <c r="F895" t="str">
        <f>PasteBBM!U895</f>
        <v/>
      </c>
      <c r="G895" t="str">
        <f>PasteBBM!X895</f>
        <v/>
      </c>
      <c r="H895">
        <f>PasteBBM!AE895*PasteBBM!AF895</f>
        <v>0</v>
      </c>
      <c r="I895" t="str">
        <f>PasteBBM!AE895</f>
        <v/>
      </c>
      <c r="J895">
        <f>PasteBBM!AG895*PasteBBM!AH895</f>
        <v>0</v>
      </c>
      <c r="K895" t="str">
        <f>PasteBBM!AG895</f>
        <v/>
      </c>
      <c r="L895" t="str">
        <f>PasteBBM!Z895</f>
        <v/>
      </c>
      <c r="M895" t="str">
        <f>PasteBBM!Y895</f>
        <v/>
      </c>
      <c r="N895" t="str">
        <f>PasteBBM!AA895</f>
        <v/>
      </c>
      <c r="O895" t="str">
        <f>PasteBBM!AB895</f>
        <v/>
      </c>
      <c r="P895" t="str">
        <f>PasteBBM!AC895</f>
        <v/>
      </c>
      <c r="Q895" t="str">
        <f>PasteBBM!AD895</f>
        <v/>
      </c>
      <c r="R895" t="str">
        <f>PasteBBM!AI895</f>
        <v/>
      </c>
      <c r="S895" t="str">
        <f>PasteBBM!AE895</f>
        <v/>
      </c>
      <c r="T895" t="str">
        <f>PasteBBM!AG895</f>
        <v/>
      </c>
      <c r="V895" s="44">
        <v>-0.41709</v>
      </c>
      <c r="W895" s="44">
        <v>-0.00658</v>
      </c>
      <c r="X895" s="44">
        <v>0.009207</v>
      </c>
      <c r="Y895" s="44">
        <v>-0.4263</v>
      </c>
      <c r="Z895" s="44">
        <v>-0.34564</v>
      </c>
      <c r="AA895" s="45"/>
      <c r="AB895" s="46" t="s">
        <v>126</v>
      </c>
      <c r="AC895" s="44">
        <v>67.0</v>
      </c>
    </row>
    <row r="896">
      <c r="A896" s="2">
        <v>163.0</v>
      </c>
      <c r="B896" s="14">
        <f>IF(PasteBBM!B896="",156,PasteBBM!B896)</f>
        <v>156</v>
      </c>
      <c r="C896" t="str">
        <f>PasteBBM!I896</f>
        <v/>
      </c>
      <c r="D896" t="str">
        <f>IFERROR(REPLACE(PasteBBM!K896,FIND("/",PasteBBM!K896,1),1,","),PasteBBM!K896)</f>
        <v/>
      </c>
      <c r="E896" t="str">
        <f>PasteBBM!J896</f>
        <v/>
      </c>
      <c r="F896" t="str">
        <f>PasteBBM!U896</f>
        <v/>
      </c>
      <c r="G896" t="str">
        <f>PasteBBM!X896</f>
        <v/>
      </c>
      <c r="H896">
        <f>PasteBBM!AE896*PasteBBM!AF896</f>
        <v>0</v>
      </c>
      <c r="I896" t="str">
        <f>PasteBBM!AE896</f>
        <v/>
      </c>
      <c r="J896">
        <f>PasteBBM!AG896*PasteBBM!AH896</f>
        <v>0</v>
      </c>
      <c r="K896" t="str">
        <f>PasteBBM!AG896</f>
        <v/>
      </c>
      <c r="L896" t="str">
        <f>PasteBBM!Z896</f>
        <v/>
      </c>
      <c r="M896" t="str">
        <f>PasteBBM!Y896</f>
        <v/>
      </c>
      <c r="N896" t="str">
        <f>PasteBBM!AA896</f>
        <v/>
      </c>
      <c r="O896" t="str">
        <f>PasteBBM!AB896</f>
        <v/>
      </c>
      <c r="P896" t="str">
        <f>PasteBBM!AC896</f>
        <v/>
      </c>
      <c r="Q896" t="str">
        <f>PasteBBM!AD896</f>
        <v/>
      </c>
      <c r="R896" t="str">
        <f>PasteBBM!AI896</f>
        <v/>
      </c>
      <c r="S896" t="str">
        <f>PasteBBM!AE896</f>
        <v/>
      </c>
      <c r="T896" t="str">
        <f>PasteBBM!AG896</f>
        <v/>
      </c>
      <c r="V896" s="44">
        <v>-0.41709</v>
      </c>
      <c r="W896" s="44">
        <v>-0.00658</v>
      </c>
      <c r="X896" s="44">
        <v>0.009207</v>
      </c>
      <c r="Y896" s="44">
        <v>-0.4263</v>
      </c>
      <c r="Z896" s="44">
        <v>-0.34564</v>
      </c>
      <c r="AA896" s="45"/>
      <c r="AB896" s="46" t="s">
        <v>126</v>
      </c>
      <c r="AC896" s="44">
        <v>67.0</v>
      </c>
    </row>
    <row r="897">
      <c r="A897" s="2">
        <v>163.0</v>
      </c>
      <c r="B897" s="14">
        <f>IF(PasteBBM!B897="",156,PasteBBM!B897)</f>
        <v>156</v>
      </c>
      <c r="C897" t="str">
        <f>PasteBBM!I897</f>
        <v/>
      </c>
      <c r="D897" t="str">
        <f>IFERROR(REPLACE(PasteBBM!K897,FIND("/",PasteBBM!K897,1),1,","),PasteBBM!K897)</f>
        <v/>
      </c>
      <c r="E897" t="str">
        <f>PasteBBM!J897</f>
        <v/>
      </c>
      <c r="F897" t="str">
        <f>PasteBBM!U897</f>
        <v/>
      </c>
      <c r="G897" t="str">
        <f>PasteBBM!X897</f>
        <v/>
      </c>
      <c r="H897">
        <f>PasteBBM!AE897*PasteBBM!AF897</f>
        <v>0</v>
      </c>
      <c r="I897" t="str">
        <f>PasteBBM!AE897</f>
        <v/>
      </c>
      <c r="J897">
        <f>PasteBBM!AG897*PasteBBM!AH897</f>
        <v>0</v>
      </c>
      <c r="K897" t="str">
        <f>PasteBBM!AG897</f>
        <v/>
      </c>
      <c r="L897" t="str">
        <f>PasteBBM!Z897</f>
        <v/>
      </c>
      <c r="M897" t="str">
        <f>PasteBBM!Y897</f>
        <v/>
      </c>
      <c r="N897" t="str">
        <f>PasteBBM!AA897</f>
        <v/>
      </c>
      <c r="O897" t="str">
        <f>PasteBBM!AB897</f>
        <v/>
      </c>
      <c r="P897" t="str">
        <f>PasteBBM!AC897</f>
        <v/>
      </c>
      <c r="Q897" t="str">
        <f>PasteBBM!AD897</f>
        <v/>
      </c>
      <c r="R897" t="str">
        <f>PasteBBM!AI897</f>
        <v/>
      </c>
      <c r="S897" t="str">
        <f>PasteBBM!AE897</f>
        <v/>
      </c>
      <c r="T897" t="str">
        <f>PasteBBM!AG897</f>
        <v/>
      </c>
      <c r="V897" s="44">
        <v>-0.41709</v>
      </c>
      <c r="W897" s="44">
        <v>-0.00658</v>
      </c>
      <c r="X897" s="44">
        <v>0.009207</v>
      </c>
      <c r="Y897" s="44">
        <v>-0.4263</v>
      </c>
      <c r="Z897" s="44">
        <v>-0.34564</v>
      </c>
      <c r="AA897" s="45"/>
      <c r="AB897" s="46" t="s">
        <v>126</v>
      </c>
      <c r="AC897" s="44">
        <v>67.0</v>
      </c>
    </row>
    <row r="898">
      <c r="A898" s="2">
        <v>163.0</v>
      </c>
      <c r="B898" s="14">
        <f>IF(PasteBBM!B898="",156,PasteBBM!B898)</f>
        <v>156</v>
      </c>
      <c r="C898" t="str">
        <f>PasteBBM!I898</f>
        <v/>
      </c>
      <c r="D898" t="str">
        <f>IFERROR(REPLACE(PasteBBM!K898,FIND("/",PasteBBM!K898,1),1,","),PasteBBM!K898)</f>
        <v/>
      </c>
      <c r="E898" t="str">
        <f>PasteBBM!J898</f>
        <v/>
      </c>
      <c r="F898" t="str">
        <f>PasteBBM!U898</f>
        <v/>
      </c>
      <c r="G898" t="str">
        <f>PasteBBM!X898</f>
        <v/>
      </c>
      <c r="H898">
        <f>PasteBBM!AE898*PasteBBM!AF898</f>
        <v>0</v>
      </c>
      <c r="I898" t="str">
        <f>PasteBBM!AE898</f>
        <v/>
      </c>
      <c r="J898">
        <f>PasteBBM!AG898*PasteBBM!AH898</f>
        <v>0</v>
      </c>
      <c r="K898" t="str">
        <f>PasteBBM!AG898</f>
        <v/>
      </c>
      <c r="L898" t="str">
        <f>PasteBBM!Z898</f>
        <v/>
      </c>
      <c r="M898" t="str">
        <f>PasteBBM!Y898</f>
        <v/>
      </c>
      <c r="N898" t="str">
        <f>PasteBBM!AA898</f>
        <v/>
      </c>
      <c r="O898" t="str">
        <f>PasteBBM!AB898</f>
        <v/>
      </c>
      <c r="P898" t="str">
        <f>PasteBBM!AC898</f>
        <v/>
      </c>
      <c r="Q898" t="str">
        <f>PasteBBM!AD898</f>
        <v/>
      </c>
      <c r="R898" t="str">
        <f>PasteBBM!AI898</f>
        <v/>
      </c>
      <c r="S898" t="str">
        <f>PasteBBM!AE898</f>
        <v/>
      </c>
      <c r="T898" t="str">
        <f>PasteBBM!AG898</f>
        <v/>
      </c>
      <c r="V898" s="44">
        <v>-0.41709</v>
      </c>
      <c r="W898" s="44">
        <v>-0.00658</v>
      </c>
      <c r="X898" s="44">
        <v>0.009207</v>
      </c>
      <c r="Y898" s="44">
        <v>-0.4263</v>
      </c>
      <c r="Z898" s="44">
        <v>-0.34564</v>
      </c>
      <c r="AA898" s="45"/>
      <c r="AB898" s="46" t="s">
        <v>126</v>
      </c>
      <c r="AC898" s="44">
        <v>67.0</v>
      </c>
    </row>
    <row r="899">
      <c r="A899" s="2">
        <v>163.0</v>
      </c>
      <c r="B899" s="14">
        <f>IF(PasteBBM!B899="",156,PasteBBM!B899)</f>
        <v>156</v>
      </c>
      <c r="C899" t="str">
        <f>PasteBBM!I899</f>
        <v/>
      </c>
      <c r="D899" t="str">
        <f>IFERROR(REPLACE(PasteBBM!K899,FIND("/",PasteBBM!K899,1),1,","),PasteBBM!K899)</f>
        <v/>
      </c>
      <c r="E899" t="str">
        <f>PasteBBM!J899</f>
        <v/>
      </c>
      <c r="F899" t="str">
        <f>PasteBBM!U899</f>
        <v/>
      </c>
      <c r="G899" t="str">
        <f>PasteBBM!X899</f>
        <v/>
      </c>
      <c r="H899">
        <f>PasteBBM!AE899*PasteBBM!AF899</f>
        <v>0</v>
      </c>
      <c r="I899" t="str">
        <f>PasteBBM!AE899</f>
        <v/>
      </c>
      <c r="J899">
        <f>PasteBBM!AG899*PasteBBM!AH899</f>
        <v>0</v>
      </c>
      <c r="K899" t="str">
        <f>PasteBBM!AG899</f>
        <v/>
      </c>
      <c r="L899" t="str">
        <f>PasteBBM!Z899</f>
        <v/>
      </c>
      <c r="M899" t="str">
        <f>PasteBBM!Y899</f>
        <v/>
      </c>
      <c r="N899" t="str">
        <f>PasteBBM!AA899</f>
        <v/>
      </c>
      <c r="O899" t="str">
        <f>PasteBBM!AB899</f>
        <v/>
      </c>
      <c r="P899" t="str">
        <f>PasteBBM!AC899</f>
        <v/>
      </c>
      <c r="Q899" t="str">
        <f>PasteBBM!AD899</f>
        <v/>
      </c>
      <c r="R899" t="str">
        <f>PasteBBM!AI899</f>
        <v/>
      </c>
      <c r="S899" t="str">
        <f>PasteBBM!AE899</f>
        <v/>
      </c>
      <c r="T899" t="str">
        <f>PasteBBM!AG899</f>
        <v/>
      </c>
      <c r="V899" s="44">
        <v>-0.41709</v>
      </c>
      <c r="W899" s="44">
        <v>-0.00658</v>
      </c>
      <c r="X899" s="44">
        <v>0.009207</v>
      </c>
      <c r="Y899" s="44">
        <v>-0.4263</v>
      </c>
      <c r="Z899" s="44">
        <v>-0.34564</v>
      </c>
      <c r="AA899" s="45"/>
      <c r="AB899" s="46" t="s">
        <v>126</v>
      </c>
      <c r="AC899" s="44">
        <v>67.0</v>
      </c>
    </row>
    <row r="900">
      <c r="A900" s="2">
        <v>163.0</v>
      </c>
      <c r="B900" s="14">
        <f>IF(PasteBBM!B900="",156,PasteBBM!B900)</f>
        <v>156</v>
      </c>
      <c r="C900" t="str">
        <f>PasteBBM!I900</f>
        <v/>
      </c>
      <c r="D900" t="str">
        <f>IFERROR(REPLACE(PasteBBM!K900,FIND("/",PasteBBM!K900,1),1,","),PasteBBM!K900)</f>
        <v/>
      </c>
      <c r="E900" t="str">
        <f>PasteBBM!J900</f>
        <v/>
      </c>
      <c r="F900" t="str">
        <f>PasteBBM!U900</f>
        <v/>
      </c>
      <c r="G900" t="str">
        <f>PasteBBM!X900</f>
        <v/>
      </c>
      <c r="H900">
        <f>PasteBBM!AE900*PasteBBM!AF900</f>
        <v>0</v>
      </c>
      <c r="I900" t="str">
        <f>PasteBBM!AE900</f>
        <v/>
      </c>
      <c r="J900">
        <f>PasteBBM!AG900*PasteBBM!AH900</f>
        <v>0</v>
      </c>
      <c r="K900" t="str">
        <f>PasteBBM!AG900</f>
        <v/>
      </c>
      <c r="L900" t="str">
        <f>PasteBBM!Z900</f>
        <v/>
      </c>
      <c r="M900" t="str">
        <f>PasteBBM!Y900</f>
        <v/>
      </c>
      <c r="N900" t="str">
        <f>PasteBBM!AA900</f>
        <v/>
      </c>
      <c r="O900" t="str">
        <f>PasteBBM!AB900</f>
        <v/>
      </c>
      <c r="P900" t="str">
        <f>PasteBBM!AC900</f>
        <v/>
      </c>
      <c r="Q900" t="str">
        <f>PasteBBM!AD900</f>
        <v/>
      </c>
      <c r="R900" t="str">
        <f>PasteBBM!AI900</f>
        <v/>
      </c>
      <c r="S900" t="str">
        <f>PasteBBM!AE900</f>
        <v/>
      </c>
      <c r="T900" t="str">
        <f>PasteBBM!AG900</f>
        <v/>
      </c>
      <c r="V900" s="44">
        <v>-0.41709</v>
      </c>
      <c r="W900" s="44">
        <v>-0.00658</v>
      </c>
      <c r="X900" s="44">
        <v>0.009207</v>
      </c>
      <c r="Y900" s="44">
        <v>-0.4263</v>
      </c>
      <c r="Z900" s="44">
        <v>-0.34564</v>
      </c>
      <c r="AA900" s="45"/>
      <c r="AB900" s="46" t="s">
        <v>126</v>
      </c>
      <c r="AC900" s="44">
        <v>67.0</v>
      </c>
    </row>
    <row r="901">
      <c r="A901" s="2">
        <v>163.0</v>
      </c>
      <c r="B901" s="14">
        <f>IF(PasteBBM!B901="",156,PasteBBM!B901)</f>
        <v>156</v>
      </c>
      <c r="C901" t="str">
        <f>PasteBBM!I901</f>
        <v/>
      </c>
      <c r="D901" t="str">
        <f>IFERROR(REPLACE(PasteBBM!K901,FIND("/",PasteBBM!K901,1),1,","),PasteBBM!K901)</f>
        <v/>
      </c>
      <c r="E901" t="str">
        <f>PasteBBM!J901</f>
        <v/>
      </c>
      <c r="F901" t="str">
        <f>PasteBBM!U901</f>
        <v/>
      </c>
      <c r="G901" t="str">
        <f>PasteBBM!X901</f>
        <v/>
      </c>
      <c r="H901">
        <f>PasteBBM!AE901*PasteBBM!AF901</f>
        <v>0</v>
      </c>
      <c r="I901" t="str">
        <f>PasteBBM!AE901</f>
        <v/>
      </c>
      <c r="J901">
        <f>PasteBBM!AG901*PasteBBM!AH901</f>
        <v>0</v>
      </c>
      <c r="K901" t="str">
        <f>PasteBBM!AG901</f>
        <v/>
      </c>
      <c r="L901" t="str">
        <f>PasteBBM!Z901</f>
        <v/>
      </c>
      <c r="M901" t="str">
        <f>PasteBBM!Y901</f>
        <v/>
      </c>
      <c r="N901" t="str">
        <f>PasteBBM!AA901</f>
        <v/>
      </c>
      <c r="O901" t="str">
        <f>PasteBBM!AB901</f>
        <v/>
      </c>
      <c r="P901" t="str">
        <f>PasteBBM!AC901</f>
        <v/>
      </c>
      <c r="Q901" t="str">
        <f>PasteBBM!AD901</f>
        <v/>
      </c>
      <c r="R901" t="str">
        <f>PasteBBM!AI901</f>
        <v/>
      </c>
      <c r="S901" t="str">
        <f>PasteBBM!AE901</f>
        <v/>
      </c>
      <c r="T901" t="str">
        <f>PasteBBM!AG901</f>
        <v/>
      </c>
      <c r="V901" s="44">
        <v>-0.41709</v>
      </c>
      <c r="W901" s="44">
        <v>-0.00658</v>
      </c>
      <c r="X901" s="44">
        <v>0.009207</v>
      </c>
      <c r="Y901" s="44">
        <v>-0.4263</v>
      </c>
      <c r="Z901" s="44">
        <v>-0.34564</v>
      </c>
      <c r="AA901" s="45"/>
      <c r="AB901" s="46" t="s">
        <v>126</v>
      </c>
      <c r="AC901" s="44">
        <v>67.0</v>
      </c>
    </row>
    <row r="902">
      <c r="A902" s="2">
        <v>163.0</v>
      </c>
      <c r="B902" s="14">
        <f>IF(PasteBBM!B902="",156,PasteBBM!B902)</f>
        <v>156</v>
      </c>
      <c r="C902" t="str">
        <f>PasteBBM!I902</f>
        <v/>
      </c>
      <c r="D902" t="str">
        <f>IFERROR(REPLACE(PasteBBM!K902,FIND("/",PasteBBM!K902,1),1,","),PasteBBM!K902)</f>
        <v/>
      </c>
      <c r="E902" t="str">
        <f>PasteBBM!J902</f>
        <v/>
      </c>
      <c r="F902" t="str">
        <f>PasteBBM!U902</f>
        <v/>
      </c>
      <c r="G902" t="str">
        <f>PasteBBM!X902</f>
        <v/>
      </c>
      <c r="H902">
        <f>PasteBBM!AE902*PasteBBM!AF902</f>
        <v>0</v>
      </c>
      <c r="I902" t="str">
        <f>PasteBBM!AE902</f>
        <v/>
      </c>
      <c r="J902">
        <f>PasteBBM!AG902*PasteBBM!AH902</f>
        <v>0</v>
      </c>
      <c r="K902" t="str">
        <f>PasteBBM!AG902</f>
        <v/>
      </c>
      <c r="L902" t="str">
        <f>PasteBBM!Z902</f>
        <v/>
      </c>
      <c r="M902" t="str">
        <f>PasteBBM!Y902</f>
        <v/>
      </c>
      <c r="N902" t="str">
        <f>PasteBBM!AA902</f>
        <v/>
      </c>
      <c r="O902" t="str">
        <f>PasteBBM!AB902</f>
        <v/>
      </c>
      <c r="P902" t="str">
        <f>PasteBBM!AC902</f>
        <v/>
      </c>
      <c r="Q902" t="str">
        <f>PasteBBM!AD902</f>
        <v/>
      </c>
      <c r="R902" t="str">
        <f>PasteBBM!AI902</f>
        <v/>
      </c>
      <c r="S902" t="str">
        <f>PasteBBM!AE902</f>
        <v/>
      </c>
      <c r="T902" t="str">
        <f>PasteBBM!AG902</f>
        <v/>
      </c>
      <c r="V902" s="44">
        <v>-0.41709</v>
      </c>
      <c r="W902" s="44">
        <v>-0.00658</v>
      </c>
      <c r="X902" s="44">
        <v>0.009207</v>
      </c>
      <c r="Y902" s="44">
        <v>-0.4263</v>
      </c>
      <c r="Z902" s="44">
        <v>-0.34564</v>
      </c>
      <c r="AA902" s="45"/>
      <c r="AB902" s="46" t="s">
        <v>126</v>
      </c>
      <c r="AC902" s="44">
        <v>67.0</v>
      </c>
    </row>
    <row r="903">
      <c r="A903" s="2">
        <v>163.0</v>
      </c>
      <c r="B903" s="14">
        <f>IF(PasteBBM!B903="",156,PasteBBM!B903)</f>
        <v>156</v>
      </c>
      <c r="C903" t="str">
        <f>PasteBBM!I903</f>
        <v/>
      </c>
      <c r="D903" t="str">
        <f>IFERROR(REPLACE(PasteBBM!K903,FIND("/",PasteBBM!K903,1),1,","),PasteBBM!K903)</f>
        <v/>
      </c>
      <c r="E903" t="str">
        <f>PasteBBM!J903</f>
        <v/>
      </c>
      <c r="F903" t="str">
        <f>PasteBBM!U903</f>
        <v/>
      </c>
      <c r="G903" t="str">
        <f>PasteBBM!X903</f>
        <v/>
      </c>
      <c r="H903">
        <f>PasteBBM!AE903*PasteBBM!AF903</f>
        <v>0</v>
      </c>
      <c r="I903" t="str">
        <f>PasteBBM!AE903</f>
        <v/>
      </c>
      <c r="J903">
        <f>PasteBBM!AG903*PasteBBM!AH903</f>
        <v>0</v>
      </c>
      <c r="K903" t="str">
        <f>PasteBBM!AG903</f>
        <v/>
      </c>
      <c r="L903" t="str">
        <f>PasteBBM!Z903</f>
        <v/>
      </c>
      <c r="M903" t="str">
        <f>PasteBBM!Y903</f>
        <v/>
      </c>
      <c r="N903" t="str">
        <f>PasteBBM!AA903</f>
        <v/>
      </c>
      <c r="O903" t="str">
        <f>PasteBBM!AB903</f>
        <v/>
      </c>
      <c r="P903" t="str">
        <f>PasteBBM!AC903</f>
        <v/>
      </c>
      <c r="Q903" t="str">
        <f>PasteBBM!AD903</f>
        <v/>
      </c>
      <c r="R903" t="str">
        <f>PasteBBM!AI903</f>
        <v/>
      </c>
      <c r="S903" t="str">
        <f>PasteBBM!AE903</f>
        <v/>
      </c>
      <c r="T903" t="str">
        <f>PasteBBM!AG903</f>
        <v/>
      </c>
      <c r="V903" s="44">
        <v>-0.41709</v>
      </c>
      <c r="W903" s="44">
        <v>-0.00658</v>
      </c>
      <c r="X903" s="44">
        <v>0.009207</v>
      </c>
      <c r="Y903" s="44">
        <v>-0.4263</v>
      </c>
      <c r="Z903" s="44">
        <v>-0.34564</v>
      </c>
      <c r="AA903" s="45"/>
      <c r="AB903" s="46" t="s">
        <v>126</v>
      </c>
      <c r="AC903" s="44">
        <v>67.0</v>
      </c>
    </row>
    <row r="904">
      <c r="A904" s="2">
        <v>163.0</v>
      </c>
      <c r="B904" s="14">
        <f>IF(PasteBBM!B904="",156,PasteBBM!B904)</f>
        <v>156</v>
      </c>
      <c r="C904" t="str">
        <f>PasteBBM!I904</f>
        <v/>
      </c>
      <c r="D904" t="str">
        <f>IFERROR(REPLACE(PasteBBM!K904,FIND("/",PasteBBM!K904,1),1,","),PasteBBM!K904)</f>
        <v/>
      </c>
      <c r="E904" t="str">
        <f>PasteBBM!J904</f>
        <v/>
      </c>
      <c r="F904" t="str">
        <f>PasteBBM!U904</f>
        <v/>
      </c>
      <c r="G904" t="str">
        <f>PasteBBM!X904</f>
        <v/>
      </c>
      <c r="H904">
        <f>PasteBBM!AE904*PasteBBM!AF904</f>
        <v>0</v>
      </c>
      <c r="I904" t="str">
        <f>PasteBBM!AE904</f>
        <v/>
      </c>
      <c r="J904">
        <f>PasteBBM!AG904*PasteBBM!AH904</f>
        <v>0</v>
      </c>
      <c r="K904" t="str">
        <f>PasteBBM!AG904</f>
        <v/>
      </c>
      <c r="L904" t="str">
        <f>PasteBBM!Z904</f>
        <v/>
      </c>
      <c r="M904" t="str">
        <f>PasteBBM!Y904</f>
        <v/>
      </c>
      <c r="N904" t="str">
        <f>PasteBBM!AA904</f>
        <v/>
      </c>
      <c r="O904" t="str">
        <f>PasteBBM!AB904</f>
        <v/>
      </c>
      <c r="P904" t="str">
        <f>PasteBBM!AC904</f>
        <v/>
      </c>
      <c r="Q904" t="str">
        <f>PasteBBM!AD904</f>
        <v/>
      </c>
      <c r="R904" t="str">
        <f>PasteBBM!AI904</f>
        <v/>
      </c>
      <c r="S904" t="str">
        <f>PasteBBM!AE904</f>
        <v/>
      </c>
      <c r="T904" t="str">
        <f>PasteBBM!AG904</f>
        <v/>
      </c>
      <c r="V904" s="44">
        <v>-0.41709</v>
      </c>
      <c r="W904" s="44">
        <v>-0.00658</v>
      </c>
      <c r="X904" s="44">
        <v>0.009207</v>
      </c>
      <c r="Y904" s="44">
        <v>-0.4263</v>
      </c>
      <c r="Z904" s="44">
        <v>-0.34564</v>
      </c>
      <c r="AA904" s="45"/>
      <c r="AB904" s="46" t="s">
        <v>126</v>
      </c>
      <c r="AC904" s="44">
        <v>67.0</v>
      </c>
    </row>
    <row r="905">
      <c r="A905" s="2">
        <v>163.0</v>
      </c>
      <c r="B905" s="14">
        <f>IF(PasteBBM!B905="",156,PasteBBM!B905)</f>
        <v>156</v>
      </c>
      <c r="C905" t="str">
        <f>PasteBBM!I905</f>
        <v/>
      </c>
      <c r="D905" t="str">
        <f>IFERROR(REPLACE(PasteBBM!K905,FIND("/",PasteBBM!K905,1),1,","),PasteBBM!K905)</f>
        <v/>
      </c>
      <c r="E905" t="str">
        <f>PasteBBM!J905</f>
        <v/>
      </c>
      <c r="F905" t="str">
        <f>PasteBBM!U905</f>
        <v/>
      </c>
      <c r="G905" t="str">
        <f>PasteBBM!X905</f>
        <v/>
      </c>
      <c r="H905">
        <f>PasteBBM!AE905*PasteBBM!AF905</f>
        <v>0</v>
      </c>
      <c r="I905" t="str">
        <f>PasteBBM!AE905</f>
        <v/>
      </c>
      <c r="J905">
        <f>PasteBBM!AG905*PasteBBM!AH905</f>
        <v>0</v>
      </c>
      <c r="K905" t="str">
        <f>PasteBBM!AG905</f>
        <v/>
      </c>
      <c r="L905" t="str">
        <f>PasteBBM!Z905</f>
        <v/>
      </c>
      <c r="M905" t="str">
        <f>PasteBBM!Y905</f>
        <v/>
      </c>
      <c r="N905" t="str">
        <f>PasteBBM!AA905</f>
        <v/>
      </c>
      <c r="O905" t="str">
        <f>PasteBBM!AB905</f>
        <v/>
      </c>
      <c r="P905" t="str">
        <f>PasteBBM!AC905</f>
        <v/>
      </c>
      <c r="Q905" t="str">
        <f>PasteBBM!AD905</f>
        <v/>
      </c>
      <c r="R905" t="str">
        <f>PasteBBM!AI905</f>
        <v/>
      </c>
      <c r="S905" t="str">
        <f>PasteBBM!AE905</f>
        <v/>
      </c>
      <c r="T905" t="str">
        <f>PasteBBM!AG905</f>
        <v/>
      </c>
      <c r="V905" s="44">
        <v>-0.41709</v>
      </c>
      <c r="W905" s="44">
        <v>-0.00658</v>
      </c>
      <c r="X905" s="44">
        <v>0.009207</v>
      </c>
      <c r="Y905" s="44">
        <v>-0.4263</v>
      </c>
      <c r="Z905" s="44">
        <v>-0.34564</v>
      </c>
      <c r="AA905" s="45"/>
      <c r="AB905" s="46" t="s">
        <v>126</v>
      </c>
      <c r="AC905" s="44">
        <v>67.0</v>
      </c>
    </row>
    <row r="906">
      <c r="A906" s="2">
        <v>163.0</v>
      </c>
      <c r="B906" s="14">
        <f>IF(PasteBBM!B906="",156,PasteBBM!B906)</f>
        <v>156</v>
      </c>
      <c r="C906" t="str">
        <f>PasteBBM!I906</f>
        <v/>
      </c>
      <c r="D906" t="str">
        <f>IFERROR(REPLACE(PasteBBM!K906,FIND("/",PasteBBM!K906,1),1,","),PasteBBM!K906)</f>
        <v/>
      </c>
      <c r="E906" t="str">
        <f>PasteBBM!J906</f>
        <v/>
      </c>
      <c r="F906" t="str">
        <f>PasteBBM!U906</f>
        <v/>
      </c>
      <c r="G906" t="str">
        <f>PasteBBM!X906</f>
        <v/>
      </c>
      <c r="H906">
        <f>PasteBBM!AE906*PasteBBM!AF906</f>
        <v>0</v>
      </c>
      <c r="I906" t="str">
        <f>PasteBBM!AE906</f>
        <v/>
      </c>
      <c r="J906">
        <f>PasteBBM!AG906*PasteBBM!AH906</f>
        <v>0</v>
      </c>
      <c r="K906" t="str">
        <f>PasteBBM!AG906</f>
        <v/>
      </c>
      <c r="L906" t="str">
        <f>PasteBBM!Z906</f>
        <v/>
      </c>
      <c r="M906" t="str">
        <f>PasteBBM!Y906</f>
        <v/>
      </c>
      <c r="N906" t="str">
        <f>PasteBBM!AA906</f>
        <v/>
      </c>
      <c r="O906" t="str">
        <f>PasteBBM!AB906</f>
        <v/>
      </c>
      <c r="P906" t="str">
        <f>PasteBBM!AC906</f>
        <v/>
      </c>
      <c r="Q906" t="str">
        <f>PasteBBM!AD906</f>
        <v/>
      </c>
      <c r="R906" t="str">
        <f>PasteBBM!AI906</f>
        <v/>
      </c>
      <c r="S906" t="str">
        <f>PasteBBM!AE906</f>
        <v/>
      </c>
      <c r="T906" t="str">
        <f>PasteBBM!AG906</f>
        <v/>
      </c>
      <c r="V906" s="44">
        <v>-0.41709</v>
      </c>
      <c r="W906" s="44">
        <v>-0.00658</v>
      </c>
      <c r="X906" s="44">
        <v>0.009207</v>
      </c>
      <c r="Y906" s="44">
        <v>-0.4263</v>
      </c>
      <c r="Z906" s="44">
        <v>-0.34564</v>
      </c>
      <c r="AA906" s="45"/>
      <c r="AB906" s="46" t="s">
        <v>126</v>
      </c>
      <c r="AC906" s="44">
        <v>67.0</v>
      </c>
    </row>
    <row r="907">
      <c r="A907" s="2">
        <v>163.0</v>
      </c>
      <c r="B907" s="14">
        <f>IF(PasteBBM!B907="",156,PasteBBM!B907)</f>
        <v>156</v>
      </c>
      <c r="C907" t="str">
        <f>PasteBBM!I907</f>
        <v/>
      </c>
      <c r="D907" t="str">
        <f>IFERROR(REPLACE(PasteBBM!K907,FIND("/",PasteBBM!K907,1),1,","),PasteBBM!K907)</f>
        <v/>
      </c>
      <c r="E907" t="str">
        <f>PasteBBM!J907</f>
        <v/>
      </c>
      <c r="F907" t="str">
        <f>PasteBBM!U907</f>
        <v/>
      </c>
      <c r="G907" t="str">
        <f>PasteBBM!X907</f>
        <v/>
      </c>
      <c r="H907">
        <f>PasteBBM!AE907*PasteBBM!AF907</f>
        <v>0</v>
      </c>
      <c r="I907" t="str">
        <f>PasteBBM!AE907</f>
        <v/>
      </c>
      <c r="J907">
        <f>PasteBBM!AG907*PasteBBM!AH907</f>
        <v>0</v>
      </c>
      <c r="K907" t="str">
        <f>PasteBBM!AG907</f>
        <v/>
      </c>
      <c r="L907" t="str">
        <f>PasteBBM!Z907</f>
        <v/>
      </c>
      <c r="M907" t="str">
        <f>PasteBBM!Y907</f>
        <v/>
      </c>
      <c r="N907" t="str">
        <f>PasteBBM!AA907</f>
        <v/>
      </c>
      <c r="O907" t="str">
        <f>PasteBBM!AB907</f>
        <v/>
      </c>
      <c r="P907" t="str">
        <f>PasteBBM!AC907</f>
        <v/>
      </c>
      <c r="Q907" t="str">
        <f>PasteBBM!AD907</f>
        <v/>
      </c>
      <c r="R907" t="str">
        <f>PasteBBM!AI907</f>
        <v/>
      </c>
      <c r="S907" t="str">
        <f>PasteBBM!AE907</f>
        <v/>
      </c>
      <c r="T907" t="str">
        <f>PasteBBM!AG907</f>
        <v/>
      </c>
      <c r="V907" s="44">
        <v>-0.41709</v>
      </c>
      <c r="W907" s="44">
        <v>-0.00658</v>
      </c>
      <c r="X907" s="44">
        <v>0.009207</v>
      </c>
      <c r="Y907" s="44">
        <v>-0.4263</v>
      </c>
      <c r="Z907" s="44">
        <v>-0.34564</v>
      </c>
      <c r="AA907" s="45"/>
      <c r="AB907" s="46" t="s">
        <v>126</v>
      </c>
      <c r="AC907" s="44">
        <v>67.0</v>
      </c>
    </row>
    <row r="908">
      <c r="A908" s="2">
        <v>163.0</v>
      </c>
      <c r="B908" s="14">
        <f>IF(PasteBBM!B908="",156,PasteBBM!B908)</f>
        <v>156</v>
      </c>
      <c r="C908" t="str">
        <f>PasteBBM!I908</f>
        <v/>
      </c>
      <c r="D908" t="str">
        <f>IFERROR(REPLACE(PasteBBM!K908,FIND("/",PasteBBM!K908,1),1,","),PasteBBM!K908)</f>
        <v/>
      </c>
      <c r="E908" t="str">
        <f>PasteBBM!J908</f>
        <v/>
      </c>
      <c r="F908" t="str">
        <f>PasteBBM!U908</f>
        <v/>
      </c>
      <c r="G908" t="str">
        <f>PasteBBM!X908</f>
        <v/>
      </c>
      <c r="H908">
        <f>PasteBBM!AE908*PasteBBM!AF908</f>
        <v>0</v>
      </c>
      <c r="I908" t="str">
        <f>PasteBBM!AE908</f>
        <v/>
      </c>
      <c r="J908">
        <f>PasteBBM!AG908*PasteBBM!AH908</f>
        <v>0</v>
      </c>
      <c r="K908" t="str">
        <f>PasteBBM!AG908</f>
        <v/>
      </c>
      <c r="L908" t="str">
        <f>PasteBBM!Z908</f>
        <v/>
      </c>
      <c r="M908" t="str">
        <f>PasteBBM!Y908</f>
        <v/>
      </c>
      <c r="N908" t="str">
        <f>PasteBBM!AA908</f>
        <v/>
      </c>
      <c r="O908" t="str">
        <f>PasteBBM!AB908</f>
        <v/>
      </c>
      <c r="P908" t="str">
        <f>PasteBBM!AC908</f>
        <v/>
      </c>
      <c r="Q908" t="str">
        <f>PasteBBM!AD908</f>
        <v/>
      </c>
      <c r="R908" t="str">
        <f>PasteBBM!AI908</f>
        <v/>
      </c>
      <c r="S908" t="str">
        <f>PasteBBM!AE908</f>
        <v/>
      </c>
      <c r="T908" t="str">
        <f>PasteBBM!AG908</f>
        <v/>
      </c>
      <c r="V908" s="44">
        <v>-0.41709</v>
      </c>
      <c r="W908" s="44">
        <v>-0.00658</v>
      </c>
      <c r="X908" s="44">
        <v>0.009207</v>
      </c>
      <c r="Y908" s="44">
        <v>-0.4263</v>
      </c>
      <c r="Z908" s="44">
        <v>-0.34564</v>
      </c>
      <c r="AA908" s="45"/>
      <c r="AB908" s="46" t="s">
        <v>126</v>
      </c>
      <c r="AC908" s="44">
        <v>67.0</v>
      </c>
    </row>
    <row r="909">
      <c r="A909" s="2">
        <v>163.0</v>
      </c>
      <c r="B909" s="14">
        <f>IF(PasteBBM!B909="",156,PasteBBM!B909)</f>
        <v>156</v>
      </c>
      <c r="C909" t="str">
        <f>PasteBBM!I909</f>
        <v/>
      </c>
      <c r="D909" t="str">
        <f>IFERROR(REPLACE(PasteBBM!K909,FIND("/",PasteBBM!K909,1),1,","),PasteBBM!K909)</f>
        <v/>
      </c>
      <c r="E909" t="str">
        <f>PasteBBM!J909</f>
        <v/>
      </c>
      <c r="F909" t="str">
        <f>PasteBBM!U909</f>
        <v/>
      </c>
      <c r="G909" t="str">
        <f>PasteBBM!X909</f>
        <v/>
      </c>
      <c r="H909">
        <f>PasteBBM!AE909*PasteBBM!AF909</f>
        <v>0</v>
      </c>
      <c r="I909" t="str">
        <f>PasteBBM!AE909</f>
        <v/>
      </c>
      <c r="J909">
        <f>PasteBBM!AG909*PasteBBM!AH909</f>
        <v>0</v>
      </c>
      <c r="K909" t="str">
        <f>PasteBBM!AG909</f>
        <v/>
      </c>
      <c r="L909" t="str">
        <f>PasteBBM!Z909</f>
        <v/>
      </c>
      <c r="M909" t="str">
        <f>PasteBBM!Y909</f>
        <v/>
      </c>
      <c r="N909" t="str">
        <f>PasteBBM!AA909</f>
        <v/>
      </c>
      <c r="O909" t="str">
        <f>PasteBBM!AB909</f>
        <v/>
      </c>
      <c r="P909" t="str">
        <f>PasteBBM!AC909</f>
        <v/>
      </c>
      <c r="Q909" t="str">
        <f>PasteBBM!AD909</f>
        <v/>
      </c>
      <c r="R909" t="str">
        <f>PasteBBM!AI909</f>
        <v/>
      </c>
      <c r="S909" t="str">
        <f>PasteBBM!AE909</f>
        <v/>
      </c>
      <c r="T909" t="str">
        <f>PasteBBM!AG909</f>
        <v/>
      </c>
      <c r="V909" s="44">
        <v>-0.41709</v>
      </c>
      <c r="W909" s="44">
        <v>-0.00658</v>
      </c>
      <c r="X909" s="44">
        <v>0.009207</v>
      </c>
      <c r="Y909" s="44">
        <v>-0.4263</v>
      </c>
      <c r="Z909" s="44">
        <v>-0.34564</v>
      </c>
      <c r="AA909" s="45"/>
      <c r="AB909" s="46" t="s">
        <v>126</v>
      </c>
      <c r="AC909" s="44">
        <v>67.0</v>
      </c>
    </row>
    <row r="910">
      <c r="A910" s="2">
        <v>163.0</v>
      </c>
      <c r="B910" s="14">
        <f>IF(PasteBBM!B910="",156,PasteBBM!B910)</f>
        <v>156</v>
      </c>
      <c r="C910" t="str">
        <f>PasteBBM!I910</f>
        <v/>
      </c>
      <c r="D910" t="str">
        <f>IFERROR(REPLACE(PasteBBM!K910,FIND("/",PasteBBM!K910,1),1,","),PasteBBM!K910)</f>
        <v/>
      </c>
      <c r="E910" t="str">
        <f>PasteBBM!J910</f>
        <v/>
      </c>
      <c r="F910" t="str">
        <f>PasteBBM!U910</f>
        <v/>
      </c>
      <c r="G910" t="str">
        <f>PasteBBM!X910</f>
        <v/>
      </c>
      <c r="H910">
        <f>PasteBBM!AE910*PasteBBM!AF910</f>
        <v>0</v>
      </c>
      <c r="I910" t="str">
        <f>PasteBBM!AE910</f>
        <v/>
      </c>
      <c r="J910">
        <f>PasteBBM!AG910*PasteBBM!AH910</f>
        <v>0</v>
      </c>
      <c r="K910" t="str">
        <f>PasteBBM!AG910</f>
        <v/>
      </c>
      <c r="L910" t="str">
        <f>PasteBBM!Z910</f>
        <v/>
      </c>
      <c r="M910" t="str">
        <f>PasteBBM!Y910</f>
        <v/>
      </c>
      <c r="N910" t="str">
        <f>PasteBBM!AA910</f>
        <v/>
      </c>
      <c r="O910" t="str">
        <f>PasteBBM!AB910</f>
        <v/>
      </c>
      <c r="P910" t="str">
        <f>PasteBBM!AC910</f>
        <v/>
      </c>
      <c r="Q910" t="str">
        <f>PasteBBM!AD910</f>
        <v/>
      </c>
      <c r="R910" t="str">
        <f>PasteBBM!AI910</f>
        <v/>
      </c>
      <c r="S910" t="str">
        <f>PasteBBM!AE910</f>
        <v/>
      </c>
      <c r="T910" t="str">
        <f>PasteBBM!AG910</f>
        <v/>
      </c>
      <c r="V910" s="44">
        <v>-0.41709</v>
      </c>
      <c r="W910" s="44">
        <v>-0.00658</v>
      </c>
      <c r="X910" s="44">
        <v>0.009207</v>
      </c>
      <c r="Y910" s="44">
        <v>-0.4263</v>
      </c>
      <c r="Z910" s="44">
        <v>-0.34564</v>
      </c>
      <c r="AA910" s="45"/>
      <c r="AB910" s="46" t="s">
        <v>126</v>
      </c>
      <c r="AC910" s="44">
        <v>67.0</v>
      </c>
    </row>
    <row r="911">
      <c r="A911" s="2">
        <v>163.0</v>
      </c>
      <c r="B911" s="14">
        <f>IF(PasteBBM!B911="",156,PasteBBM!B911)</f>
        <v>156</v>
      </c>
      <c r="C911" t="str">
        <f>PasteBBM!I911</f>
        <v/>
      </c>
      <c r="D911" t="str">
        <f>IFERROR(REPLACE(PasteBBM!K911,FIND("/",PasteBBM!K911,1),1,","),PasteBBM!K911)</f>
        <v/>
      </c>
      <c r="E911" t="str">
        <f>PasteBBM!J911</f>
        <v/>
      </c>
      <c r="F911" t="str">
        <f>PasteBBM!U911</f>
        <v/>
      </c>
      <c r="G911" t="str">
        <f>PasteBBM!X911</f>
        <v/>
      </c>
      <c r="H911">
        <f>PasteBBM!AE911*PasteBBM!AF911</f>
        <v>0</v>
      </c>
      <c r="I911" t="str">
        <f>PasteBBM!AE911</f>
        <v/>
      </c>
      <c r="J911">
        <f>PasteBBM!AG911*PasteBBM!AH911</f>
        <v>0</v>
      </c>
      <c r="K911" t="str">
        <f>PasteBBM!AG911</f>
        <v/>
      </c>
      <c r="L911" t="str">
        <f>PasteBBM!Z911</f>
        <v/>
      </c>
      <c r="M911" t="str">
        <f>PasteBBM!Y911</f>
        <v/>
      </c>
      <c r="N911" t="str">
        <f>PasteBBM!AA911</f>
        <v/>
      </c>
      <c r="O911" t="str">
        <f>PasteBBM!AB911</f>
        <v/>
      </c>
      <c r="P911" t="str">
        <f>PasteBBM!AC911</f>
        <v/>
      </c>
      <c r="Q911" t="str">
        <f>PasteBBM!AD911</f>
        <v/>
      </c>
      <c r="R911" t="str">
        <f>PasteBBM!AI911</f>
        <v/>
      </c>
      <c r="S911" t="str">
        <f>PasteBBM!AE911</f>
        <v/>
      </c>
      <c r="T911" t="str">
        <f>PasteBBM!AG911</f>
        <v/>
      </c>
      <c r="V911" s="44">
        <v>-0.41709</v>
      </c>
      <c r="W911" s="44">
        <v>-0.00658</v>
      </c>
      <c r="X911" s="44">
        <v>0.009207</v>
      </c>
      <c r="Y911" s="44">
        <v>-0.4263</v>
      </c>
      <c r="Z911" s="44">
        <v>-0.34564</v>
      </c>
      <c r="AA911" s="45"/>
      <c r="AB911" s="46" t="s">
        <v>126</v>
      </c>
      <c r="AC911" s="44">
        <v>67.0</v>
      </c>
    </row>
    <row r="912">
      <c r="A912" s="2">
        <v>163.0</v>
      </c>
      <c r="B912" s="14">
        <f>IF(PasteBBM!B912="",156,PasteBBM!B912)</f>
        <v>156</v>
      </c>
      <c r="C912" t="str">
        <f>PasteBBM!I912</f>
        <v/>
      </c>
      <c r="D912" t="str">
        <f>IFERROR(REPLACE(PasteBBM!K912,FIND("/",PasteBBM!K912,1),1,","),PasteBBM!K912)</f>
        <v/>
      </c>
      <c r="E912" t="str">
        <f>PasteBBM!J912</f>
        <v/>
      </c>
      <c r="F912" t="str">
        <f>PasteBBM!U912</f>
        <v/>
      </c>
      <c r="G912" t="str">
        <f>PasteBBM!X912</f>
        <v/>
      </c>
      <c r="H912">
        <f>PasteBBM!AE912*PasteBBM!AF912</f>
        <v>0</v>
      </c>
      <c r="I912" t="str">
        <f>PasteBBM!AE912</f>
        <v/>
      </c>
      <c r="J912">
        <f>PasteBBM!AG912*PasteBBM!AH912</f>
        <v>0</v>
      </c>
      <c r="K912" t="str">
        <f>PasteBBM!AG912</f>
        <v/>
      </c>
      <c r="L912" t="str">
        <f>PasteBBM!Z912</f>
        <v/>
      </c>
      <c r="M912" t="str">
        <f>PasteBBM!Y912</f>
        <v/>
      </c>
      <c r="N912" t="str">
        <f>PasteBBM!AA912</f>
        <v/>
      </c>
      <c r="O912" t="str">
        <f>PasteBBM!AB912</f>
        <v/>
      </c>
      <c r="P912" t="str">
        <f>PasteBBM!AC912</f>
        <v/>
      </c>
      <c r="Q912" t="str">
        <f>PasteBBM!AD912</f>
        <v/>
      </c>
      <c r="R912" t="str">
        <f>PasteBBM!AI912</f>
        <v/>
      </c>
      <c r="S912" t="str">
        <f>PasteBBM!AE912</f>
        <v/>
      </c>
      <c r="T912" t="str">
        <f>PasteBBM!AG912</f>
        <v/>
      </c>
      <c r="V912" s="44">
        <v>-0.41709</v>
      </c>
      <c r="W912" s="44">
        <v>-0.00658</v>
      </c>
      <c r="X912" s="44">
        <v>0.009207</v>
      </c>
      <c r="Y912" s="44">
        <v>-0.4263</v>
      </c>
      <c r="Z912" s="44">
        <v>-0.34564</v>
      </c>
      <c r="AA912" s="45"/>
      <c r="AB912" s="46" t="s">
        <v>126</v>
      </c>
      <c r="AC912" s="44">
        <v>67.0</v>
      </c>
    </row>
    <row r="913">
      <c r="A913" s="2">
        <v>163.0</v>
      </c>
      <c r="B913" s="14">
        <f>IF(PasteBBM!B913="",156,PasteBBM!B913)</f>
        <v>156</v>
      </c>
      <c r="C913" t="str">
        <f>PasteBBM!I913</f>
        <v/>
      </c>
      <c r="D913" t="str">
        <f>IFERROR(REPLACE(PasteBBM!K913,FIND("/",PasteBBM!K913,1),1,","),PasteBBM!K913)</f>
        <v/>
      </c>
      <c r="E913" t="str">
        <f>PasteBBM!J913</f>
        <v/>
      </c>
      <c r="F913" t="str">
        <f>PasteBBM!U913</f>
        <v/>
      </c>
      <c r="G913" t="str">
        <f>PasteBBM!X913</f>
        <v/>
      </c>
      <c r="H913">
        <f>PasteBBM!AE913*PasteBBM!AF913</f>
        <v>0</v>
      </c>
      <c r="I913" t="str">
        <f>PasteBBM!AE913</f>
        <v/>
      </c>
      <c r="J913">
        <f>PasteBBM!AG913*PasteBBM!AH913</f>
        <v>0</v>
      </c>
      <c r="K913" t="str">
        <f>PasteBBM!AG913</f>
        <v/>
      </c>
      <c r="L913" t="str">
        <f>PasteBBM!Z913</f>
        <v/>
      </c>
      <c r="M913" t="str">
        <f>PasteBBM!Y913</f>
        <v/>
      </c>
      <c r="N913" t="str">
        <f>PasteBBM!AA913</f>
        <v/>
      </c>
      <c r="O913" t="str">
        <f>PasteBBM!AB913</f>
        <v/>
      </c>
      <c r="P913" t="str">
        <f>PasteBBM!AC913</f>
        <v/>
      </c>
      <c r="Q913" t="str">
        <f>PasteBBM!AD913</f>
        <v/>
      </c>
      <c r="R913" t="str">
        <f>PasteBBM!AI913</f>
        <v/>
      </c>
      <c r="S913" t="str">
        <f>PasteBBM!AE913</f>
        <v/>
      </c>
      <c r="T913" t="str">
        <f>PasteBBM!AG913</f>
        <v/>
      </c>
      <c r="V913" s="44">
        <v>-0.41709</v>
      </c>
      <c r="W913" s="44">
        <v>-0.00658</v>
      </c>
      <c r="X913" s="44">
        <v>0.009207</v>
      </c>
      <c r="Y913" s="44">
        <v>-0.4263</v>
      </c>
      <c r="Z913" s="44">
        <v>-0.34564</v>
      </c>
      <c r="AA913" s="45"/>
      <c r="AB913" s="46" t="s">
        <v>126</v>
      </c>
      <c r="AC913" s="44">
        <v>67.0</v>
      </c>
    </row>
    <row r="914">
      <c r="A914" s="2">
        <v>163.0</v>
      </c>
      <c r="B914" s="14">
        <f>IF(PasteBBM!B914="",156,PasteBBM!B914)</f>
        <v>156</v>
      </c>
      <c r="C914" t="str">
        <f>PasteBBM!I914</f>
        <v/>
      </c>
      <c r="D914" t="str">
        <f>IFERROR(REPLACE(PasteBBM!K914,FIND("/",PasteBBM!K914,1),1,","),PasteBBM!K914)</f>
        <v/>
      </c>
      <c r="E914" t="str">
        <f>PasteBBM!J914</f>
        <v/>
      </c>
      <c r="F914" t="str">
        <f>PasteBBM!U914</f>
        <v/>
      </c>
      <c r="G914" t="str">
        <f>PasteBBM!X914</f>
        <v/>
      </c>
      <c r="H914">
        <f>PasteBBM!AE914*PasteBBM!AF914</f>
        <v>0</v>
      </c>
      <c r="I914" t="str">
        <f>PasteBBM!AE914</f>
        <v/>
      </c>
      <c r="J914">
        <f>PasteBBM!AG914*PasteBBM!AH914</f>
        <v>0</v>
      </c>
      <c r="K914" t="str">
        <f>PasteBBM!AG914</f>
        <v/>
      </c>
      <c r="L914" t="str">
        <f>PasteBBM!Z914</f>
        <v/>
      </c>
      <c r="M914" t="str">
        <f>PasteBBM!Y914</f>
        <v/>
      </c>
      <c r="N914" t="str">
        <f>PasteBBM!AA914</f>
        <v/>
      </c>
      <c r="O914" t="str">
        <f>PasteBBM!AB914</f>
        <v/>
      </c>
      <c r="P914" t="str">
        <f>PasteBBM!AC914</f>
        <v/>
      </c>
      <c r="Q914" t="str">
        <f>PasteBBM!AD914</f>
        <v/>
      </c>
      <c r="R914" t="str">
        <f>PasteBBM!AI914</f>
        <v/>
      </c>
      <c r="S914" t="str">
        <f>PasteBBM!AE914</f>
        <v/>
      </c>
      <c r="T914" t="str">
        <f>PasteBBM!AG914</f>
        <v/>
      </c>
      <c r="V914" s="44">
        <v>-0.41709</v>
      </c>
      <c r="W914" s="44">
        <v>-0.00658</v>
      </c>
      <c r="X914" s="44">
        <v>0.009207</v>
      </c>
      <c r="Y914" s="44">
        <v>-0.4263</v>
      </c>
      <c r="Z914" s="44">
        <v>-0.34564</v>
      </c>
      <c r="AA914" s="45"/>
      <c r="AB914" s="46" t="s">
        <v>126</v>
      </c>
      <c r="AC914" s="44">
        <v>67.0</v>
      </c>
    </row>
    <row r="915">
      <c r="A915" s="2">
        <v>163.0</v>
      </c>
      <c r="B915" s="14">
        <f>IF(PasteBBM!B915="",156,PasteBBM!B915)</f>
        <v>156</v>
      </c>
      <c r="C915" t="str">
        <f>PasteBBM!I915</f>
        <v/>
      </c>
      <c r="D915" t="str">
        <f>IFERROR(REPLACE(PasteBBM!K915,FIND("/",PasteBBM!K915,1),1,","),PasteBBM!K915)</f>
        <v/>
      </c>
      <c r="E915" t="str">
        <f>PasteBBM!J915</f>
        <v/>
      </c>
      <c r="F915" t="str">
        <f>PasteBBM!U915</f>
        <v/>
      </c>
      <c r="G915" t="str">
        <f>PasteBBM!X915</f>
        <v/>
      </c>
      <c r="H915">
        <f>PasteBBM!AE915*PasteBBM!AF915</f>
        <v>0</v>
      </c>
      <c r="I915" t="str">
        <f>PasteBBM!AE915</f>
        <v/>
      </c>
      <c r="J915">
        <f>PasteBBM!AG915*PasteBBM!AH915</f>
        <v>0</v>
      </c>
      <c r="K915" t="str">
        <f>PasteBBM!AG915</f>
        <v/>
      </c>
      <c r="L915" t="str">
        <f>PasteBBM!Z915</f>
        <v/>
      </c>
      <c r="M915" t="str">
        <f>PasteBBM!Y915</f>
        <v/>
      </c>
      <c r="N915" t="str">
        <f>PasteBBM!AA915</f>
        <v/>
      </c>
      <c r="O915" t="str">
        <f>PasteBBM!AB915</f>
        <v/>
      </c>
      <c r="P915" t="str">
        <f>PasteBBM!AC915</f>
        <v/>
      </c>
      <c r="Q915" t="str">
        <f>PasteBBM!AD915</f>
        <v/>
      </c>
      <c r="R915" t="str">
        <f>PasteBBM!AI915</f>
        <v/>
      </c>
      <c r="S915" t="str">
        <f>PasteBBM!AE915</f>
        <v/>
      </c>
      <c r="T915" t="str">
        <f>PasteBBM!AG915</f>
        <v/>
      </c>
      <c r="V915" s="44">
        <v>-0.41709</v>
      </c>
      <c r="W915" s="44">
        <v>-0.00658</v>
      </c>
      <c r="X915" s="44">
        <v>0.009207</v>
      </c>
      <c r="Y915" s="44">
        <v>-0.4263</v>
      </c>
      <c r="Z915" s="44">
        <v>-0.34564</v>
      </c>
      <c r="AA915" s="45"/>
      <c r="AB915" s="46" t="s">
        <v>126</v>
      </c>
      <c r="AC915" s="44">
        <v>67.0</v>
      </c>
    </row>
    <row r="916">
      <c r="A916" s="2">
        <v>163.0</v>
      </c>
      <c r="B916" s="14">
        <f>IF(PasteBBM!B916="",156,PasteBBM!B916)</f>
        <v>156</v>
      </c>
      <c r="C916" t="str">
        <f>PasteBBM!I916</f>
        <v/>
      </c>
      <c r="D916" t="str">
        <f>IFERROR(REPLACE(PasteBBM!K916,FIND("/",PasteBBM!K916,1),1,","),PasteBBM!K916)</f>
        <v/>
      </c>
      <c r="E916" t="str">
        <f>PasteBBM!J916</f>
        <v/>
      </c>
      <c r="F916" t="str">
        <f>PasteBBM!U916</f>
        <v/>
      </c>
      <c r="G916" t="str">
        <f>PasteBBM!X916</f>
        <v/>
      </c>
      <c r="H916">
        <f>PasteBBM!AE916*PasteBBM!AF916</f>
        <v>0</v>
      </c>
      <c r="I916" t="str">
        <f>PasteBBM!AE916</f>
        <v/>
      </c>
      <c r="J916">
        <f>PasteBBM!AG916*PasteBBM!AH916</f>
        <v>0</v>
      </c>
      <c r="K916" t="str">
        <f>PasteBBM!AG916</f>
        <v/>
      </c>
      <c r="L916" t="str">
        <f>PasteBBM!Z916</f>
        <v/>
      </c>
      <c r="M916" t="str">
        <f>PasteBBM!Y916</f>
        <v/>
      </c>
      <c r="N916" t="str">
        <f>PasteBBM!AA916</f>
        <v/>
      </c>
      <c r="O916" t="str">
        <f>PasteBBM!AB916</f>
        <v/>
      </c>
      <c r="P916" t="str">
        <f>PasteBBM!AC916</f>
        <v/>
      </c>
      <c r="Q916" t="str">
        <f>PasteBBM!AD916</f>
        <v/>
      </c>
      <c r="R916" t="str">
        <f>PasteBBM!AI916</f>
        <v/>
      </c>
      <c r="S916" t="str">
        <f>PasteBBM!AE916</f>
        <v/>
      </c>
      <c r="T916" t="str">
        <f>PasteBBM!AG916</f>
        <v/>
      </c>
      <c r="V916" s="44">
        <v>-0.41709</v>
      </c>
      <c r="W916" s="44">
        <v>-0.00658</v>
      </c>
      <c r="X916" s="44">
        <v>0.009207</v>
      </c>
      <c r="Y916" s="44">
        <v>-0.4263</v>
      </c>
      <c r="Z916" s="44">
        <v>-0.34564</v>
      </c>
      <c r="AA916" s="45"/>
      <c r="AB916" s="46" t="s">
        <v>126</v>
      </c>
      <c r="AC916" s="44">
        <v>67.0</v>
      </c>
    </row>
    <row r="917">
      <c r="A917" s="2">
        <v>163.0</v>
      </c>
      <c r="B917" s="14">
        <f>IF(PasteBBM!B917="",156,PasteBBM!B917)</f>
        <v>156</v>
      </c>
      <c r="C917" t="str">
        <f>PasteBBM!I917</f>
        <v/>
      </c>
      <c r="D917" t="str">
        <f>IFERROR(REPLACE(PasteBBM!K917,FIND("/",PasteBBM!K917,1),1,","),PasteBBM!K917)</f>
        <v/>
      </c>
      <c r="E917" t="str">
        <f>PasteBBM!J917</f>
        <v/>
      </c>
      <c r="F917" t="str">
        <f>PasteBBM!U917</f>
        <v/>
      </c>
      <c r="G917" t="str">
        <f>PasteBBM!X917</f>
        <v/>
      </c>
      <c r="H917">
        <f>PasteBBM!AE917*PasteBBM!AF917</f>
        <v>0</v>
      </c>
      <c r="I917" t="str">
        <f>PasteBBM!AE917</f>
        <v/>
      </c>
      <c r="J917">
        <f>PasteBBM!AG917*PasteBBM!AH917</f>
        <v>0</v>
      </c>
      <c r="K917" t="str">
        <f>PasteBBM!AG917</f>
        <v/>
      </c>
      <c r="L917" t="str">
        <f>PasteBBM!Z917</f>
        <v/>
      </c>
      <c r="M917" t="str">
        <f>PasteBBM!Y917</f>
        <v/>
      </c>
      <c r="N917" t="str">
        <f>PasteBBM!AA917</f>
        <v/>
      </c>
      <c r="O917" t="str">
        <f>PasteBBM!AB917</f>
        <v/>
      </c>
      <c r="P917" t="str">
        <f>PasteBBM!AC917</f>
        <v/>
      </c>
      <c r="Q917" t="str">
        <f>PasteBBM!AD917</f>
        <v/>
      </c>
      <c r="R917" t="str">
        <f>PasteBBM!AI917</f>
        <v/>
      </c>
      <c r="S917" t="str">
        <f>PasteBBM!AE917</f>
        <v/>
      </c>
      <c r="T917" t="str">
        <f>PasteBBM!AG917</f>
        <v/>
      </c>
      <c r="V917" s="44">
        <v>-0.41709</v>
      </c>
      <c r="W917" s="44">
        <v>-0.00658</v>
      </c>
      <c r="X917" s="44">
        <v>0.009207</v>
      </c>
      <c r="Y917" s="44">
        <v>-0.4263</v>
      </c>
      <c r="Z917" s="44">
        <v>-0.34564</v>
      </c>
      <c r="AA917" s="45"/>
      <c r="AB917" s="46" t="s">
        <v>126</v>
      </c>
      <c r="AC917" s="44">
        <v>67.0</v>
      </c>
    </row>
    <row r="918">
      <c r="A918" s="2">
        <v>163.0</v>
      </c>
      <c r="B918" s="14">
        <f>IF(PasteBBM!B918="",156,PasteBBM!B918)</f>
        <v>156</v>
      </c>
      <c r="C918" t="str">
        <f>PasteBBM!I918</f>
        <v/>
      </c>
      <c r="D918" t="str">
        <f>IFERROR(REPLACE(PasteBBM!K918,FIND("/",PasteBBM!K918,1),1,","),PasteBBM!K918)</f>
        <v/>
      </c>
      <c r="E918" t="str">
        <f>PasteBBM!J918</f>
        <v/>
      </c>
      <c r="F918" t="str">
        <f>PasteBBM!U918</f>
        <v/>
      </c>
      <c r="G918" t="str">
        <f>PasteBBM!X918</f>
        <v/>
      </c>
      <c r="H918">
        <f>PasteBBM!AE918*PasteBBM!AF918</f>
        <v>0</v>
      </c>
      <c r="I918" t="str">
        <f>PasteBBM!AE918</f>
        <v/>
      </c>
      <c r="J918">
        <f>PasteBBM!AG918*PasteBBM!AH918</f>
        <v>0</v>
      </c>
      <c r="K918" t="str">
        <f>PasteBBM!AG918</f>
        <v/>
      </c>
      <c r="L918" t="str">
        <f>PasteBBM!Z918</f>
        <v/>
      </c>
      <c r="M918" t="str">
        <f>PasteBBM!Y918</f>
        <v/>
      </c>
      <c r="N918" t="str">
        <f>PasteBBM!AA918</f>
        <v/>
      </c>
      <c r="O918" t="str">
        <f>PasteBBM!AB918</f>
        <v/>
      </c>
      <c r="P918" t="str">
        <f>PasteBBM!AC918</f>
        <v/>
      </c>
      <c r="Q918" t="str">
        <f>PasteBBM!AD918</f>
        <v/>
      </c>
      <c r="R918" t="str">
        <f>PasteBBM!AI918</f>
        <v/>
      </c>
      <c r="S918" t="str">
        <f>PasteBBM!AE918</f>
        <v/>
      </c>
      <c r="T918" t="str">
        <f>PasteBBM!AG918</f>
        <v/>
      </c>
      <c r="V918" s="44">
        <v>-0.41709</v>
      </c>
      <c r="W918" s="44">
        <v>-0.00658</v>
      </c>
      <c r="X918" s="44">
        <v>0.009207</v>
      </c>
      <c r="Y918" s="44">
        <v>-0.4263</v>
      </c>
      <c r="Z918" s="44">
        <v>-0.34564</v>
      </c>
      <c r="AA918" s="45"/>
      <c r="AB918" s="46" t="s">
        <v>126</v>
      </c>
      <c r="AC918" s="44">
        <v>67.0</v>
      </c>
    </row>
    <row r="919">
      <c r="A919" s="2">
        <v>163.0</v>
      </c>
      <c r="B919" s="14">
        <f>IF(PasteBBM!B919="",156,PasteBBM!B919)</f>
        <v>156</v>
      </c>
      <c r="C919" t="str">
        <f>PasteBBM!I919</f>
        <v/>
      </c>
      <c r="D919" t="str">
        <f>IFERROR(REPLACE(PasteBBM!K919,FIND("/",PasteBBM!K919,1),1,","),PasteBBM!K919)</f>
        <v/>
      </c>
      <c r="E919" t="str">
        <f>PasteBBM!J919</f>
        <v/>
      </c>
      <c r="F919" t="str">
        <f>PasteBBM!U919</f>
        <v/>
      </c>
      <c r="G919" t="str">
        <f>PasteBBM!X919</f>
        <v/>
      </c>
      <c r="H919">
        <f>PasteBBM!AE919*PasteBBM!AF919</f>
        <v>0</v>
      </c>
      <c r="I919" t="str">
        <f>PasteBBM!AE919</f>
        <v/>
      </c>
      <c r="J919">
        <f>PasteBBM!AG919*PasteBBM!AH919</f>
        <v>0</v>
      </c>
      <c r="K919" t="str">
        <f>PasteBBM!AG919</f>
        <v/>
      </c>
      <c r="L919" t="str">
        <f>PasteBBM!Z919</f>
        <v/>
      </c>
      <c r="M919" t="str">
        <f>PasteBBM!Y919</f>
        <v/>
      </c>
      <c r="N919" t="str">
        <f>PasteBBM!AA919</f>
        <v/>
      </c>
      <c r="O919" t="str">
        <f>PasteBBM!AB919</f>
        <v/>
      </c>
      <c r="P919" t="str">
        <f>PasteBBM!AC919</f>
        <v/>
      </c>
      <c r="Q919" t="str">
        <f>PasteBBM!AD919</f>
        <v/>
      </c>
      <c r="R919" t="str">
        <f>PasteBBM!AI919</f>
        <v/>
      </c>
      <c r="S919" t="str">
        <f>PasteBBM!AE919</f>
        <v/>
      </c>
      <c r="T919" t="str">
        <f>PasteBBM!AG919</f>
        <v/>
      </c>
      <c r="V919" s="44">
        <v>-0.41709</v>
      </c>
      <c r="W919" s="44">
        <v>-0.00658</v>
      </c>
      <c r="X919" s="44">
        <v>0.009207</v>
      </c>
      <c r="Y919" s="44">
        <v>-0.4263</v>
      </c>
      <c r="Z919" s="44">
        <v>-0.34564</v>
      </c>
      <c r="AA919" s="45"/>
      <c r="AB919" s="46" t="s">
        <v>126</v>
      </c>
      <c r="AC919" s="44">
        <v>67.0</v>
      </c>
    </row>
    <row r="920">
      <c r="A920" s="2">
        <v>163.0</v>
      </c>
      <c r="B920" s="14">
        <f>IF(PasteBBM!B920="",156,PasteBBM!B920)</f>
        <v>156</v>
      </c>
      <c r="C920" t="str">
        <f>PasteBBM!I920</f>
        <v/>
      </c>
      <c r="D920" t="str">
        <f>IFERROR(REPLACE(PasteBBM!K920,FIND("/",PasteBBM!K920,1),1,","),PasteBBM!K920)</f>
        <v/>
      </c>
      <c r="E920" t="str">
        <f>PasteBBM!J920</f>
        <v/>
      </c>
      <c r="F920" t="str">
        <f>PasteBBM!U920</f>
        <v/>
      </c>
      <c r="G920" t="str">
        <f>PasteBBM!X920</f>
        <v/>
      </c>
      <c r="H920">
        <f>PasteBBM!AE920*PasteBBM!AF920</f>
        <v>0</v>
      </c>
      <c r="I920" t="str">
        <f>PasteBBM!AE920</f>
        <v/>
      </c>
      <c r="J920">
        <f>PasteBBM!AG920*PasteBBM!AH920</f>
        <v>0</v>
      </c>
      <c r="K920" t="str">
        <f>PasteBBM!AG920</f>
        <v/>
      </c>
      <c r="L920" t="str">
        <f>PasteBBM!Z920</f>
        <v/>
      </c>
      <c r="M920" t="str">
        <f>PasteBBM!Y920</f>
        <v/>
      </c>
      <c r="N920" t="str">
        <f>PasteBBM!AA920</f>
        <v/>
      </c>
      <c r="O920" t="str">
        <f>PasteBBM!AB920</f>
        <v/>
      </c>
      <c r="P920" t="str">
        <f>PasteBBM!AC920</f>
        <v/>
      </c>
      <c r="Q920" t="str">
        <f>PasteBBM!AD920</f>
        <v/>
      </c>
      <c r="R920" t="str">
        <f>PasteBBM!AI920</f>
        <v/>
      </c>
      <c r="S920" t="str">
        <f>PasteBBM!AE920</f>
        <v/>
      </c>
      <c r="T920" t="str">
        <f>PasteBBM!AG920</f>
        <v/>
      </c>
      <c r="V920" s="44">
        <v>-0.41709</v>
      </c>
      <c r="W920" s="44">
        <v>-0.00658</v>
      </c>
      <c r="X920" s="44">
        <v>0.009207</v>
      </c>
      <c r="Y920" s="44">
        <v>-0.4263</v>
      </c>
      <c r="Z920" s="44">
        <v>-0.34564</v>
      </c>
      <c r="AA920" s="45"/>
      <c r="AB920" s="46" t="s">
        <v>126</v>
      </c>
      <c r="AC920" s="44">
        <v>67.0</v>
      </c>
    </row>
    <row r="921">
      <c r="A921" s="2">
        <v>163.0</v>
      </c>
      <c r="B921" s="14">
        <f>IF(PasteBBM!B921="",156,PasteBBM!B921)</f>
        <v>156</v>
      </c>
      <c r="C921" t="str">
        <f>PasteBBM!I921</f>
        <v/>
      </c>
      <c r="D921" t="str">
        <f>IFERROR(REPLACE(PasteBBM!K921,FIND("/",PasteBBM!K921,1),1,","),PasteBBM!K921)</f>
        <v/>
      </c>
      <c r="E921" t="str">
        <f>PasteBBM!J921</f>
        <v/>
      </c>
      <c r="F921" t="str">
        <f>PasteBBM!U921</f>
        <v/>
      </c>
      <c r="G921" t="str">
        <f>PasteBBM!X921</f>
        <v/>
      </c>
      <c r="H921">
        <f>PasteBBM!AE921*PasteBBM!AF921</f>
        <v>0</v>
      </c>
      <c r="I921" t="str">
        <f>PasteBBM!AE921</f>
        <v/>
      </c>
      <c r="J921">
        <f>PasteBBM!AG921*PasteBBM!AH921</f>
        <v>0</v>
      </c>
      <c r="K921" t="str">
        <f>PasteBBM!AG921</f>
        <v/>
      </c>
      <c r="L921" t="str">
        <f>PasteBBM!Z921</f>
        <v/>
      </c>
      <c r="M921" t="str">
        <f>PasteBBM!Y921</f>
        <v/>
      </c>
      <c r="N921" t="str">
        <f>PasteBBM!AA921</f>
        <v/>
      </c>
      <c r="O921" t="str">
        <f>PasteBBM!AB921</f>
        <v/>
      </c>
      <c r="P921" t="str">
        <f>PasteBBM!AC921</f>
        <v/>
      </c>
      <c r="Q921" t="str">
        <f>PasteBBM!AD921</f>
        <v/>
      </c>
      <c r="R921" t="str">
        <f>PasteBBM!AI921</f>
        <v/>
      </c>
      <c r="S921" t="str">
        <f>PasteBBM!AE921</f>
        <v/>
      </c>
      <c r="T921" t="str">
        <f>PasteBBM!AG921</f>
        <v/>
      </c>
      <c r="V921" s="44">
        <v>-0.41709</v>
      </c>
      <c r="W921" s="44">
        <v>-0.00658</v>
      </c>
      <c r="X921" s="44">
        <v>0.009207</v>
      </c>
      <c r="Y921" s="44">
        <v>-0.4263</v>
      </c>
      <c r="Z921" s="44">
        <v>-0.34564</v>
      </c>
      <c r="AA921" s="45"/>
      <c r="AB921" s="46" t="s">
        <v>126</v>
      </c>
      <c r="AC921" s="44">
        <v>67.0</v>
      </c>
    </row>
    <row r="922">
      <c r="A922" s="2">
        <v>163.0</v>
      </c>
      <c r="B922" s="14">
        <f>IF(PasteBBM!B922="",156,PasteBBM!B922)</f>
        <v>156</v>
      </c>
      <c r="C922" t="str">
        <f>PasteBBM!I922</f>
        <v/>
      </c>
      <c r="D922" t="str">
        <f>IFERROR(REPLACE(PasteBBM!K922,FIND("/",PasteBBM!K922,1),1,","),PasteBBM!K922)</f>
        <v/>
      </c>
      <c r="E922" t="str">
        <f>PasteBBM!J922</f>
        <v/>
      </c>
      <c r="F922" t="str">
        <f>PasteBBM!U922</f>
        <v/>
      </c>
      <c r="G922" t="str">
        <f>PasteBBM!X922</f>
        <v/>
      </c>
      <c r="H922">
        <f>PasteBBM!AE922*PasteBBM!AF922</f>
        <v>0</v>
      </c>
      <c r="I922" t="str">
        <f>PasteBBM!AE922</f>
        <v/>
      </c>
      <c r="J922">
        <f>PasteBBM!AG922*PasteBBM!AH922</f>
        <v>0</v>
      </c>
      <c r="K922" t="str">
        <f>PasteBBM!AG922</f>
        <v/>
      </c>
      <c r="L922" t="str">
        <f>PasteBBM!Z922</f>
        <v/>
      </c>
      <c r="M922" t="str">
        <f>PasteBBM!Y922</f>
        <v/>
      </c>
      <c r="N922" t="str">
        <f>PasteBBM!AA922</f>
        <v/>
      </c>
      <c r="O922" t="str">
        <f>PasteBBM!AB922</f>
        <v/>
      </c>
      <c r="P922" t="str">
        <f>PasteBBM!AC922</f>
        <v/>
      </c>
      <c r="Q922" t="str">
        <f>PasteBBM!AD922</f>
        <v/>
      </c>
      <c r="R922" t="str">
        <f>PasteBBM!AI922</f>
        <v/>
      </c>
      <c r="S922" t="str">
        <f>PasteBBM!AE922</f>
        <v/>
      </c>
      <c r="T922" t="str">
        <f>PasteBBM!AG922</f>
        <v/>
      </c>
      <c r="V922" s="44">
        <v>-0.41709</v>
      </c>
      <c r="W922" s="44">
        <v>-0.00658</v>
      </c>
      <c r="X922" s="44">
        <v>0.009207</v>
      </c>
      <c r="Y922" s="44">
        <v>-0.4263</v>
      </c>
      <c r="Z922" s="44">
        <v>-0.34564</v>
      </c>
      <c r="AA922" s="45"/>
      <c r="AB922" s="46" t="s">
        <v>126</v>
      </c>
      <c r="AC922" s="44">
        <v>67.0</v>
      </c>
    </row>
    <row r="923">
      <c r="A923" s="2">
        <v>163.0</v>
      </c>
      <c r="B923" s="14">
        <f>IF(PasteBBM!B923="",156,PasteBBM!B923)</f>
        <v>156</v>
      </c>
      <c r="C923" t="str">
        <f>PasteBBM!I923</f>
        <v/>
      </c>
      <c r="D923" t="str">
        <f>IFERROR(REPLACE(PasteBBM!K923,FIND("/",PasteBBM!K923,1),1,","),PasteBBM!K923)</f>
        <v/>
      </c>
      <c r="E923" t="str">
        <f>PasteBBM!J923</f>
        <v/>
      </c>
      <c r="F923" t="str">
        <f>PasteBBM!U923</f>
        <v/>
      </c>
      <c r="G923" t="str">
        <f>PasteBBM!X923</f>
        <v/>
      </c>
      <c r="H923">
        <f>PasteBBM!AE923*PasteBBM!AF923</f>
        <v>0</v>
      </c>
      <c r="I923" t="str">
        <f>PasteBBM!AE923</f>
        <v/>
      </c>
      <c r="J923">
        <f>PasteBBM!AG923*PasteBBM!AH923</f>
        <v>0</v>
      </c>
      <c r="K923" t="str">
        <f>PasteBBM!AG923</f>
        <v/>
      </c>
      <c r="L923" t="str">
        <f>PasteBBM!Z923</f>
        <v/>
      </c>
      <c r="M923" t="str">
        <f>PasteBBM!Y923</f>
        <v/>
      </c>
      <c r="N923" t="str">
        <f>PasteBBM!AA923</f>
        <v/>
      </c>
      <c r="O923" t="str">
        <f>PasteBBM!AB923</f>
        <v/>
      </c>
      <c r="P923" t="str">
        <f>PasteBBM!AC923</f>
        <v/>
      </c>
      <c r="Q923" t="str">
        <f>PasteBBM!AD923</f>
        <v/>
      </c>
      <c r="R923" t="str">
        <f>PasteBBM!AI923</f>
        <v/>
      </c>
      <c r="S923" t="str">
        <f>PasteBBM!AE923</f>
        <v/>
      </c>
      <c r="T923" t="str">
        <f>PasteBBM!AG923</f>
        <v/>
      </c>
      <c r="V923" s="44">
        <v>-0.41709</v>
      </c>
      <c r="W923" s="44">
        <v>-0.00658</v>
      </c>
      <c r="X923" s="44">
        <v>0.009207</v>
      </c>
      <c r="Y923" s="44">
        <v>-0.4263</v>
      </c>
      <c r="Z923" s="44">
        <v>-0.34564</v>
      </c>
      <c r="AA923" s="45"/>
      <c r="AB923" s="46" t="s">
        <v>126</v>
      </c>
      <c r="AC923" s="44">
        <v>67.0</v>
      </c>
    </row>
    <row r="924">
      <c r="A924" s="2">
        <v>163.0</v>
      </c>
      <c r="B924" s="14">
        <f>IF(PasteBBM!B924="",156,PasteBBM!B924)</f>
        <v>156</v>
      </c>
      <c r="C924" t="str">
        <f>PasteBBM!I924</f>
        <v/>
      </c>
      <c r="D924" t="str">
        <f>IFERROR(REPLACE(PasteBBM!K924,FIND("/",PasteBBM!K924,1),1,","),PasteBBM!K924)</f>
        <v/>
      </c>
      <c r="E924" t="str">
        <f>PasteBBM!J924</f>
        <v/>
      </c>
      <c r="F924" t="str">
        <f>PasteBBM!U924</f>
        <v/>
      </c>
      <c r="G924" t="str">
        <f>PasteBBM!X924</f>
        <v/>
      </c>
      <c r="H924">
        <f>PasteBBM!AE924*PasteBBM!AF924</f>
        <v>0</v>
      </c>
      <c r="I924" t="str">
        <f>PasteBBM!AE924</f>
        <v/>
      </c>
      <c r="J924">
        <f>PasteBBM!AG924*PasteBBM!AH924</f>
        <v>0</v>
      </c>
      <c r="K924" t="str">
        <f>PasteBBM!AG924</f>
        <v/>
      </c>
      <c r="L924" t="str">
        <f>PasteBBM!Z924</f>
        <v/>
      </c>
      <c r="M924" t="str">
        <f>PasteBBM!Y924</f>
        <v/>
      </c>
      <c r="N924" t="str">
        <f>PasteBBM!AA924</f>
        <v/>
      </c>
      <c r="O924" t="str">
        <f>PasteBBM!AB924</f>
        <v/>
      </c>
      <c r="P924" t="str">
        <f>PasteBBM!AC924</f>
        <v/>
      </c>
      <c r="Q924" t="str">
        <f>PasteBBM!AD924</f>
        <v/>
      </c>
      <c r="R924" t="str">
        <f>PasteBBM!AI924</f>
        <v/>
      </c>
      <c r="S924" t="str">
        <f>PasteBBM!AE924</f>
        <v/>
      </c>
      <c r="T924" t="str">
        <f>PasteBBM!AG924</f>
        <v/>
      </c>
      <c r="V924" s="44">
        <v>-0.41709</v>
      </c>
      <c r="W924" s="44">
        <v>-0.00658</v>
      </c>
      <c r="X924" s="44">
        <v>0.009207</v>
      </c>
      <c r="Y924" s="44">
        <v>-0.4263</v>
      </c>
      <c r="Z924" s="44">
        <v>-0.34564</v>
      </c>
      <c r="AA924" s="45"/>
      <c r="AB924" s="46" t="s">
        <v>126</v>
      </c>
      <c r="AC924" s="44">
        <v>67.0</v>
      </c>
    </row>
    <row r="925">
      <c r="A925" s="2">
        <v>163.0</v>
      </c>
      <c r="B925" s="14">
        <f>IF(PasteBBM!B925="",156,PasteBBM!B925)</f>
        <v>156</v>
      </c>
      <c r="C925" t="str">
        <f>PasteBBM!I925</f>
        <v/>
      </c>
      <c r="D925" t="str">
        <f>IFERROR(REPLACE(PasteBBM!K925,FIND("/",PasteBBM!K925,1),1,","),PasteBBM!K925)</f>
        <v/>
      </c>
      <c r="E925" t="str">
        <f>PasteBBM!J925</f>
        <v/>
      </c>
      <c r="F925" t="str">
        <f>PasteBBM!U925</f>
        <v/>
      </c>
      <c r="G925" t="str">
        <f>PasteBBM!X925</f>
        <v/>
      </c>
      <c r="H925">
        <f>PasteBBM!AE925*PasteBBM!AF925</f>
        <v>0</v>
      </c>
      <c r="I925" t="str">
        <f>PasteBBM!AE925</f>
        <v/>
      </c>
      <c r="J925">
        <f>PasteBBM!AG925*PasteBBM!AH925</f>
        <v>0</v>
      </c>
      <c r="K925" t="str">
        <f>PasteBBM!AG925</f>
        <v/>
      </c>
      <c r="L925" t="str">
        <f>PasteBBM!Z925</f>
        <v/>
      </c>
      <c r="M925" t="str">
        <f>PasteBBM!Y925</f>
        <v/>
      </c>
      <c r="N925" t="str">
        <f>PasteBBM!AA925</f>
        <v/>
      </c>
      <c r="O925" t="str">
        <f>PasteBBM!AB925</f>
        <v/>
      </c>
      <c r="P925" t="str">
        <f>PasteBBM!AC925</f>
        <v/>
      </c>
      <c r="Q925" t="str">
        <f>PasteBBM!AD925</f>
        <v/>
      </c>
      <c r="R925" t="str">
        <f>PasteBBM!AI925</f>
        <v/>
      </c>
      <c r="S925" t="str">
        <f>PasteBBM!AE925</f>
        <v/>
      </c>
      <c r="T925" t="str">
        <f>PasteBBM!AG925</f>
        <v/>
      </c>
      <c r="V925" s="44">
        <v>-0.41709</v>
      </c>
      <c r="W925" s="44">
        <v>-0.00658</v>
      </c>
      <c r="X925" s="44">
        <v>0.009207</v>
      </c>
      <c r="Y925" s="44">
        <v>-0.4263</v>
      </c>
      <c r="Z925" s="44">
        <v>-0.34564</v>
      </c>
      <c r="AA925" s="45"/>
      <c r="AB925" s="46" t="s">
        <v>126</v>
      </c>
      <c r="AC925" s="44">
        <v>67.0</v>
      </c>
    </row>
    <row r="926">
      <c r="A926" s="2">
        <v>163.0</v>
      </c>
      <c r="B926" s="14">
        <f>IF(PasteBBM!B926="",156,PasteBBM!B926)</f>
        <v>156</v>
      </c>
      <c r="C926" t="str">
        <f>PasteBBM!I926</f>
        <v/>
      </c>
      <c r="D926" t="str">
        <f>IFERROR(REPLACE(PasteBBM!K926,FIND("/",PasteBBM!K926,1),1,","),PasteBBM!K926)</f>
        <v/>
      </c>
      <c r="E926" t="str">
        <f>PasteBBM!J926</f>
        <v/>
      </c>
      <c r="F926" t="str">
        <f>PasteBBM!U926</f>
        <v/>
      </c>
      <c r="G926" t="str">
        <f>PasteBBM!X926</f>
        <v/>
      </c>
      <c r="H926">
        <f>PasteBBM!AE926*PasteBBM!AF926</f>
        <v>0</v>
      </c>
      <c r="I926" t="str">
        <f>PasteBBM!AE926</f>
        <v/>
      </c>
      <c r="J926">
        <f>PasteBBM!AG926*PasteBBM!AH926</f>
        <v>0</v>
      </c>
      <c r="K926" t="str">
        <f>PasteBBM!AG926</f>
        <v/>
      </c>
      <c r="L926" t="str">
        <f>PasteBBM!Z926</f>
        <v/>
      </c>
      <c r="M926" t="str">
        <f>PasteBBM!Y926</f>
        <v/>
      </c>
      <c r="N926" t="str">
        <f>PasteBBM!AA926</f>
        <v/>
      </c>
      <c r="O926" t="str">
        <f>PasteBBM!AB926</f>
        <v/>
      </c>
      <c r="P926" t="str">
        <f>PasteBBM!AC926</f>
        <v/>
      </c>
      <c r="Q926" t="str">
        <f>PasteBBM!AD926</f>
        <v/>
      </c>
      <c r="R926" t="str">
        <f>PasteBBM!AI926</f>
        <v/>
      </c>
      <c r="S926" t="str">
        <f>PasteBBM!AE926</f>
        <v/>
      </c>
      <c r="T926" t="str">
        <f>PasteBBM!AG926</f>
        <v/>
      </c>
      <c r="V926" s="44">
        <v>-0.41709</v>
      </c>
      <c r="W926" s="44">
        <v>-0.00658</v>
      </c>
      <c r="X926" s="44">
        <v>0.009207</v>
      </c>
      <c r="Y926" s="44">
        <v>-0.4263</v>
      </c>
      <c r="Z926" s="44">
        <v>-0.34564</v>
      </c>
      <c r="AA926" s="45"/>
      <c r="AB926" s="46" t="s">
        <v>126</v>
      </c>
      <c r="AC926" s="44">
        <v>67.0</v>
      </c>
    </row>
    <row r="927">
      <c r="A927" s="2">
        <v>163.0</v>
      </c>
      <c r="B927" s="14">
        <f>IF(PasteBBM!B927="",156,PasteBBM!B927)</f>
        <v>156</v>
      </c>
      <c r="C927" t="str">
        <f>PasteBBM!I927</f>
        <v/>
      </c>
      <c r="D927" t="str">
        <f>IFERROR(REPLACE(PasteBBM!K927,FIND("/",PasteBBM!K927,1),1,","),PasteBBM!K927)</f>
        <v/>
      </c>
      <c r="E927" t="str">
        <f>PasteBBM!J927</f>
        <v/>
      </c>
      <c r="F927" t="str">
        <f>PasteBBM!U927</f>
        <v/>
      </c>
      <c r="G927" t="str">
        <f>PasteBBM!X927</f>
        <v/>
      </c>
      <c r="H927">
        <f>PasteBBM!AE927*PasteBBM!AF927</f>
        <v>0</v>
      </c>
      <c r="I927" t="str">
        <f>PasteBBM!AE927</f>
        <v/>
      </c>
      <c r="J927">
        <f>PasteBBM!AG927*PasteBBM!AH927</f>
        <v>0</v>
      </c>
      <c r="K927" t="str">
        <f>PasteBBM!AG927</f>
        <v/>
      </c>
      <c r="L927" t="str">
        <f>PasteBBM!Z927</f>
        <v/>
      </c>
      <c r="M927" t="str">
        <f>PasteBBM!Y927</f>
        <v/>
      </c>
      <c r="N927" t="str">
        <f>PasteBBM!AA927</f>
        <v/>
      </c>
      <c r="O927" t="str">
        <f>PasteBBM!AB927</f>
        <v/>
      </c>
      <c r="P927" t="str">
        <f>PasteBBM!AC927</f>
        <v/>
      </c>
      <c r="Q927" t="str">
        <f>PasteBBM!AD927</f>
        <v/>
      </c>
      <c r="R927" t="str">
        <f>PasteBBM!AI927</f>
        <v/>
      </c>
      <c r="S927" t="str">
        <f>PasteBBM!AE927</f>
        <v/>
      </c>
      <c r="T927" t="str">
        <f>PasteBBM!AG927</f>
        <v/>
      </c>
      <c r="V927" s="44">
        <v>-0.41709</v>
      </c>
      <c r="W927" s="44">
        <v>-0.00658</v>
      </c>
      <c r="X927" s="44">
        <v>0.009207</v>
      </c>
      <c r="Y927" s="44">
        <v>-0.4263</v>
      </c>
      <c r="Z927" s="44">
        <v>-0.34564</v>
      </c>
      <c r="AA927" s="45"/>
      <c r="AB927" s="46" t="s">
        <v>126</v>
      </c>
      <c r="AC927" s="44">
        <v>67.0</v>
      </c>
    </row>
    <row r="928">
      <c r="A928" s="2">
        <v>163.0</v>
      </c>
      <c r="B928" s="14">
        <f>IF(PasteBBM!B928="",156,PasteBBM!B928)</f>
        <v>156</v>
      </c>
      <c r="C928" t="str">
        <f>PasteBBM!I928</f>
        <v/>
      </c>
      <c r="D928" t="str">
        <f>IFERROR(REPLACE(PasteBBM!K928,FIND("/",PasteBBM!K928,1),1,","),PasteBBM!K928)</f>
        <v/>
      </c>
      <c r="E928" t="str">
        <f>PasteBBM!J928</f>
        <v/>
      </c>
      <c r="F928" t="str">
        <f>PasteBBM!U928</f>
        <v/>
      </c>
      <c r="G928" t="str">
        <f>PasteBBM!X928</f>
        <v/>
      </c>
      <c r="H928">
        <f>PasteBBM!AE928*PasteBBM!AF928</f>
        <v>0</v>
      </c>
      <c r="I928" t="str">
        <f>PasteBBM!AE928</f>
        <v/>
      </c>
      <c r="J928">
        <f>PasteBBM!AG928*PasteBBM!AH928</f>
        <v>0</v>
      </c>
      <c r="K928" t="str">
        <f>PasteBBM!AG928</f>
        <v/>
      </c>
      <c r="L928" t="str">
        <f>PasteBBM!Z928</f>
        <v/>
      </c>
      <c r="M928" t="str">
        <f>PasteBBM!Y928</f>
        <v/>
      </c>
      <c r="N928" t="str">
        <f>PasteBBM!AA928</f>
        <v/>
      </c>
      <c r="O928" t="str">
        <f>PasteBBM!AB928</f>
        <v/>
      </c>
      <c r="P928" t="str">
        <f>PasteBBM!AC928</f>
        <v/>
      </c>
      <c r="Q928" t="str">
        <f>PasteBBM!AD928</f>
        <v/>
      </c>
      <c r="R928" t="str">
        <f>PasteBBM!AI928</f>
        <v/>
      </c>
      <c r="S928" t="str">
        <f>PasteBBM!AE928</f>
        <v/>
      </c>
      <c r="T928" t="str">
        <f>PasteBBM!AG928</f>
        <v/>
      </c>
      <c r="V928" s="44">
        <v>-0.41709</v>
      </c>
      <c r="W928" s="44">
        <v>-0.00658</v>
      </c>
      <c r="X928" s="44">
        <v>0.009207</v>
      </c>
      <c r="Y928" s="44">
        <v>-0.4263</v>
      </c>
      <c r="Z928" s="44">
        <v>-0.34564</v>
      </c>
      <c r="AA928" s="45"/>
      <c r="AB928" s="46" t="s">
        <v>126</v>
      </c>
      <c r="AC928" s="44">
        <v>67.0</v>
      </c>
    </row>
    <row r="929">
      <c r="A929" s="2">
        <v>163.0</v>
      </c>
      <c r="B929" s="14">
        <f>IF(PasteBBM!B929="",156,PasteBBM!B929)</f>
        <v>156</v>
      </c>
      <c r="C929" t="str">
        <f>PasteBBM!I929</f>
        <v/>
      </c>
      <c r="D929" t="str">
        <f>IFERROR(REPLACE(PasteBBM!K929,FIND("/",PasteBBM!K929,1),1,","),PasteBBM!K929)</f>
        <v/>
      </c>
      <c r="E929" t="str">
        <f>PasteBBM!J929</f>
        <v/>
      </c>
      <c r="F929" t="str">
        <f>PasteBBM!U929</f>
        <v/>
      </c>
      <c r="G929" t="str">
        <f>PasteBBM!X929</f>
        <v/>
      </c>
      <c r="H929">
        <f>PasteBBM!AE929*PasteBBM!AF929</f>
        <v>0</v>
      </c>
      <c r="I929" t="str">
        <f>PasteBBM!AE929</f>
        <v/>
      </c>
      <c r="J929">
        <f>PasteBBM!AG929*PasteBBM!AH929</f>
        <v>0</v>
      </c>
      <c r="K929" t="str">
        <f>PasteBBM!AG929</f>
        <v/>
      </c>
      <c r="L929" t="str">
        <f>PasteBBM!Z929</f>
        <v/>
      </c>
      <c r="M929" t="str">
        <f>PasteBBM!Y929</f>
        <v/>
      </c>
      <c r="N929" t="str">
        <f>PasteBBM!AA929</f>
        <v/>
      </c>
      <c r="O929" t="str">
        <f>PasteBBM!AB929</f>
        <v/>
      </c>
      <c r="P929" t="str">
        <f>PasteBBM!AC929</f>
        <v/>
      </c>
      <c r="Q929" t="str">
        <f>PasteBBM!AD929</f>
        <v/>
      </c>
      <c r="R929" t="str">
        <f>PasteBBM!AI929</f>
        <v/>
      </c>
      <c r="S929" t="str">
        <f>PasteBBM!AE929</f>
        <v/>
      </c>
      <c r="T929" t="str">
        <f>PasteBBM!AG929</f>
        <v/>
      </c>
      <c r="V929" s="44">
        <v>-0.41709</v>
      </c>
      <c r="W929" s="44">
        <v>-0.00658</v>
      </c>
      <c r="X929" s="44">
        <v>0.009207</v>
      </c>
      <c r="Y929" s="44">
        <v>-0.4263</v>
      </c>
      <c r="Z929" s="44">
        <v>-0.34564</v>
      </c>
      <c r="AA929" s="45"/>
      <c r="AB929" s="46" t="s">
        <v>126</v>
      </c>
      <c r="AC929" s="44">
        <v>67.0</v>
      </c>
    </row>
    <row r="930">
      <c r="A930" s="2">
        <v>163.0</v>
      </c>
      <c r="B930" s="14">
        <f>IF(PasteBBM!B930="",156,PasteBBM!B930)</f>
        <v>156</v>
      </c>
      <c r="C930" t="str">
        <f>PasteBBM!I930</f>
        <v/>
      </c>
      <c r="D930" t="str">
        <f>IFERROR(REPLACE(PasteBBM!K930,FIND("/",PasteBBM!K930,1),1,","),PasteBBM!K930)</f>
        <v/>
      </c>
      <c r="E930" t="str">
        <f>PasteBBM!J930</f>
        <v/>
      </c>
      <c r="F930" t="str">
        <f>PasteBBM!U930</f>
        <v/>
      </c>
      <c r="G930" t="str">
        <f>PasteBBM!X930</f>
        <v/>
      </c>
      <c r="H930">
        <f>PasteBBM!AE930*PasteBBM!AF930</f>
        <v>0</v>
      </c>
      <c r="I930" t="str">
        <f>PasteBBM!AE930</f>
        <v/>
      </c>
      <c r="J930">
        <f>PasteBBM!AG930*PasteBBM!AH930</f>
        <v>0</v>
      </c>
      <c r="K930" t="str">
        <f>PasteBBM!AG930</f>
        <v/>
      </c>
      <c r="L930" t="str">
        <f>PasteBBM!Z930</f>
        <v/>
      </c>
      <c r="M930" t="str">
        <f>PasteBBM!Y930</f>
        <v/>
      </c>
      <c r="N930" t="str">
        <f>PasteBBM!AA930</f>
        <v/>
      </c>
      <c r="O930" t="str">
        <f>PasteBBM!AB930</f>
        <v/>
      </c>
      <c r="P930" t="str">
        <f>PasteBBM!AC930</f>
        <v/>
      </c>
      <c r="Q930" t="str">
        <f>PasteBBM!AD930</f>
        <v/>
      </c>
      <c r="R930" t="str">
        <f>PasteBBM!AI930</f>
        <v/>
      </c>
      <c r="S930" t="str">
        <f>PasteBBM!AE930</f>
        <v/>
      </c>
      <c r="T930" t="str">
        <f>PasteBBM!AG930</f>
        <v/>
      </c>
      <c r="V930" s="44">
        <v>-0.41709</v>
      </c>
      <c r="W930" s="44">
        <v>-0.00658</v>
      </c>
      <c r="X930" s="44">
        <v>0.009207</v>
      </c>
      <c r="Y930" s="44">
        <v>-0.4263</v>
      </c>
      <c r="Z930" s="44">
        <v>-0.34564</v>
      </c>
      <c r="AA930" s="45"/>
      <c r="AB930" s="46" t="s">
        <v>126</v>
      </c>
      <c r="AC930" s="44">
        <v>67.0</v>
      </c>
    </row>
    <row r="931">
      <c r="A931" s="2">
        <v>163.0</v>
      </c>
      <c r="B931" s="14">
        <f>IF(PasteBBM!B931="",156,PasteBBM!B931)</f>
        <v>156</v>
      </c>
      <c r="C931" t="str">
        <f>PasteBBM!I931</f>
        <v/>
      </c>
      <c r="D931" t="str">
        <f>IFERROR(REPLACE(PasteBBM!K931,FIND("/",PasteBBM!K931,1),1,","),PasteBBM!K931)</f>
        <v/>
      </c>
      <c r="E931" t="str">
        <f>PasteBBM!J931</f>
        <v/>
      </c>
      <c r="F931" t="str">
        <f>PasteBBM!U931</f>
        <v/>
      </c>
      <c r="G931" t="str">
        <f>PasteBBM!X931</f>
        <v/>
      </c>
      <c r="H931">
        <f>PasteBBM!AE931*PasteBBM!AF931</f>
        <v>0</v>
      </c>
      <c r="I931" t="str">
        <f>PasteBBM!AE931</f>
        <v/>
      </c>
      <c r="J931">
        <f>PasteBBM!AG931*PasteBBM!AH931</f>
        <v>0</v>
      </c>
      <c r="K931" t="str">
        <f>PasteBBM!AG931</f>
        <v/>
      </c>
      <c r="L931" t="str">
        <f>PasteBBM!Z931</f>
        <v/>
      </c>
      <c r="M931" t="str">
        <f>PasteBBM!Y931</f>
        <v/>
      </c>
      <c r="N931" t="str">
        <f>PasteBBM!AA931</f>
        <v/>
      </c>
      <c r="O931" t="str">
        <f>PasteBBM!AB931</f>
        <v/>
      </c>
      <c r="P931" t="str">
        <f>PasteBBM!AC931</f>
        <v/>
      </c>
      <c r="Q931" t="str">
        <f>PasteBBM!AD931</f>
        <v/>
      </c>
      <c r="R931" t="str">
        <f>PasteBBM!AI931</f>
        <v/>
      </c>
      <c r="S931" t="str">
        <f>PasteBBM!AE931</f>
        <v/>
      </c>
      <c r="T931" t="str">
        <f>PasteBBM!AG931</f>
        <v/>
      </c>
      <c r="V931" s="44">
        <v>-0.41709</v>
      </c>
      <c r="W931" s="44">
        <v>-0.00658</v>
      </c>
      <c r="X931" s="44">
        <v>0.009207</v>
      </c>
      <c r="Y931" s="44">
        <v>-0.4263</v>
      </c>
      <c r="Z931" s="44">
        <v>-0.34564</v>
      </c>
      <c r="AA931" s="45"/>
      <c r="AB931" s="46" t="s">
        <v>126</v>
      </c>
      <c r="AC931" s="44">
        <v>67.0</v>
      </c>
    </row>
    <row r="932">
      <c r="A932" s="2">
        <v>163.0</v>
      </c>
      <c r="B932" s="14">
        <f>IF(PasteBBM!B932="",156,PasteBBM!B932)</f>
        <v>156</v>
      </c>
      <c r="C932" t="str">
        <f>PasteBBM!I932</f>
        <v/>
      </c>
      <c r="D932" t="str">
        <f>IFERROR(REPLACE(PasteBBM!K932,FIND("/",PasteBBM!K932,1),1,","),PasteBBM!K932)</f>
        <v/>
      </c>
      <c r="E932" t="str">
        <f>PasteBBM!J932</f>
        <v/>
      </c>
      <c r="F932" t="str">
        <f>PasteBBM!U932</f>
        <v/>
      </c>
      <c r="G932" t="str">
        <f>PasteBBM!X932</f>
        <v/>
      </c>
      <c r="H932">
        <f>PasteBBM!AE932*PasteBBM!AF932</f>
        <v>0</v>
      </c>
      <c r="I932" t="str">
        <f>PasteBBM!AE932</f>
        <v/>
      </c>
      <c r="J932">
        <f>PasteBBM!AG932*PasteBBM!AH932</f>
        <v>0</v>
      </c>
      <c r="K932" t="str">
        <f>PasteBBM!AG932</f>
        <v/>
      </c>
      <c r="L932" t="str">
        <f>PasteBBM!Z932</f>
        <v/>
      </c>
      <c r="M932" t="str">
        <f>PasteBBM!Y932</f>
        <v/>
      </c>
      <c r="N932" t="str">
        <f>PasteBBM!AA932</f>
        <v/>
      </c>
      <c r="O932" t="str">
        <f>PasteBBM!AB932</f>
        <v/>
      </c>
      <c r="P932" t="str">
        <f>PasteBBM!AC932</f>
        <v/>
      </c>
      <c r="Q932" t="str">
        <f>PasteBBM!AD932</f>
        <v/>
      </c>
      <c r="R932" t="str">
        <f>PasteBBM!AI932</f>
        <v/>
      </c>
      <c r="S932" t="str">
        <f>PasteBBM!AE932</f>
        <v/>
      </c>
      <c r="T932" t="str">
        <f>PasteBBM!AG932</f>
        <v/>
      </c>
      <c r="V932" s="44">
        <v>-0.41709</v>
      </c>
      <c r="W932" s="44">
        <v>-0.00658</v>
      </c>
      <c r="X932" s="44">
        <v>0.009207</v>
      </c>
      <c r="Y932" s="44">
        <v>-0.4263</v>
      </c>
      <c r="Z932" s="44">
        <v>-0.34564</v>
      </c>
      <c r="AA932" s="45"/>
      <c r="AB932" s="46" t="s">
        <v>126</v>
      </c>
      <c r="AC932" s="44">
        <v>67.0</v>
      </c>
    </row>
    <row r="933">
      <c r="A933" s="2">
        <v>163.0</v>
      </c>
      <c r="B933" s="14">
        <f>IF(PasteBBM!B933="",156,PasteBBM!B933)</f>
        <v>156</v>
      </c>
      <c r="C933" t="str">
        <f>PasteBBM!I933</f>
        <v/>
      </c>
      <c r="D933" t="str">
        <f>IFERROR(REPLACE(PasteBBM!K933,FIND("/",PasteBBM!K933,1),1,","),PasteBBM!K933)</f>
        <v/>
      </c>
      <c r="E933" t="str">
        <f>PasteBBM!J933</f>
        <v/>
      </c>
      <c r="F933" t="str">
        <f>PasteBBM!U933</f>
        <v/>
      </c>
      <c r="G933" t="str">
        <f>PasteBBM!X933</f>
        <v/>
      </c>
      <c r="H933">
        <f>PasteBBM!AE933*PasteBBM!AF933</f>
        <v>0</v>
      </c>
      <c r="I933" t="str">
        <f>PasteBBM!AE933</f>
        <v/>
      </c>
      <c r="J933">
        <f>PasteBBM!AG933*PasteBBM!AH933</f>
        <v>0</v>
      </c>
      <c r="K933" t="str">
        <f>PasteBBM!AG933</f>
        <v/>
      </c>
      <c r="L933" t="str">
        <f>PasteBBM!Z933</f>
        <v/>
      </c>
      <c r="M933" t="str">
        <f>PasteBBM!Y933</f>
        <v/>
      </c>
      <c r="N933" t="str">
        <f>PasteBBM!AA933</f>
        <v/>
      </c>
      <c r="O933" t="str">
        <f>PasteBBM!AB933</f>
        <v/>
      </c>
      <c r="P933" t="str">
        <f>PasteBBM!AC933</f>
        <v/>
      </c>
      <c r="Q933" t="str">
        <f>PasteBBM!AD933</f>
        <v/>
      </c>
      <c r="R933" t="str">
        <f>PasteBBM!AI933</f>
        <v/>
      </c>
      <c r="S933" t="str">
        <f>PasteBBM!AE933</f>
        <v/>
      </c>
      <c r="T933" t="str">
        <f>PasteBBM!AG933</f>
        <v/>
      </c>
      <c r="V933" s="44">
        <v>-0.41709</v>
      </c>
      <c r="W933" s="44">
        <v>-0.00658</v>
      </c>
      <c r="X933" s="44">
        <v>0.009207</v>
      </c>
      <c r="Y933" s="44">
        <v>-0.4263</v>
      </c>
      <c r="Z933" s="44">
        <v>-0.34564</v>
      </c>
      <c r="AA933" s="45"/>
      <c r="AB933" s="46" t="s">
        <v>126</v>
      </c>
      <c r="AC933" s="44">
        <v>67.0</v>
      </c>
    </row>
    <row r="934">
      <c r="A934" s="2">
        <v>163.0</v>
      </c>
      <c r="B934" s="14">
        <f>IF(PasteBBM!B934="",156,PasteBBM!B934)</f>
        <v>156</v>
      </c>
      <c r="C934" t="str">
        <f>PasteBBM!I934</f>
        <v/>
      </c>
      <c r="D934" t="str">
        <f>IFERROR(REPLACE(PasteBBM!K934,FIND("/",PasteBBM!K934,1),1,","),PasteBBM!K934)</f>
        <v/>
      </c>
      <c r="E934" t="str">
        <f>PasteBBM!J934</f>
        <v/>
      </c>
      <c r="F934" t="str">
        <f>PasteBBM!U934</f>
        <v/>
      </c>
      <c r="G934" t="str">
        <f>PasteBBM!X934</f>
        <v/>
      </c>
      <c r="H934">
        <f>PasteBBM!AE934*PasteBBM!AF934</f>
        <v>0</v>
      </c>
      <c r="I934" t="str">
        <f>PasteBBM!AE934</f>
        <v/>
      </c>
      <c r="J934">
        <f>PasteBBM!AG934*PasteBBM!AH934</f>
        <v>0</v>
      </c>
      <c r="K934" t="str">
        <f>PasteBBM!AG934</f>
        <v/>
      </c>
      <c r="L934" t="str">
        <f>PasteBBM!Z934</f>
        <v/>
      </c>
      <c r="M934" t="str">
        <f>PasteBBM!Y934</f>
        <v/>
      </c>
      <c r="N934" t="str">
        <f>PasteBBM!AA934</f>
        <v/>
      </c>
      <c r="O934" t="str">
        <f>PasteBBM!AB934</f>
        <v/>
      </c>
      <c r="P934" t="str">
        <f>PasteBBM!AC934</f>
        <v/>
      </c>
      <c r="Q934" t="str">
        <f>PasteBBM!AD934</f>
        <v/>
      </c>
      <c r="R934" t="str">
        <f>PasteBBM!AI934</f>
        <v/>
      </c>
      <c r="S934" t="str">
        <f>PasteBBM!AE934</f>
        <v/>
      </c>
      <c r="T934" t="str">
        <f>PasteBBM!AG934</f>
        <v/>
      </c>
      <c r="V934" s="44">
        <v>-0.41709</v>
      </c>
      <c r="W934" s="44">
        <v>-0.00658</v>
      </c>
      <c r="X934" s="44">
        <v>0.009207</v>
      </c>
      <c r="Y934" s="44">
        <v>-0.4263</v>
      </c>
      <c r="Z934" s="44">
        <v>-0.34564</v>
      </c>
      <c r="AA934" s="45"/>
      <c r="AB934" s="46" t="s">
        <v>126</v>
      </c>
      <c r="AC934" s="44">
        <v>67.0</v>
      </c>
    </row>
    <row r="935">
      <c r="A935" s="2">
        <v>163.0</v>
      </c>
      <c r="B935" s="14">
        <f>IF(PasteBBM!B935="",156,PasteBBM!B935)</f>
        <v>156</v>
      </c>
      <c r="C935" t="str">
        <f>PasteBBM!I935</f>
        <v/>
      </c>
      <c r="D935" t="str">
        <f>IFERROR(REPLACE(PasteBBM!K935,FIND("/",PasteBBM!K935,1),1,","),PasteBBM!K935)</f>
        <v/>
      </c>
      <c r="E935" t="str">
        <f>PasteBBM!J935</f>
        <v/>
      </c>
      <c r="F935" t="str">
        <f>PasteBBM!U935</f>
        <v/>
      </c>
      <c r="G935" t="str">
        <f>PasteBBM!X935</f>
        <v/>
      </c>
      <c r="H935">
        <f>PasteBBM!AE935*PasteBBM!AF935</f>
        <v>0</v>
      </c>
      <c r="I935" t="str">
        <f>PasteBBM!AE935</f>
        <v/>
      </c>
      <c r="J935">
        <f>PasteBBM!AG935*PasteBBM!AH935</f>
        <v>0</v>
      </c>
      <c r="K935" t="str">
        <f>PasteBBM!AG935</f>
        <v/>
      </c>
      <c r="L935" t="str">
        <f>PasteBBM!Z935</f>
        <v/>
      </c>
      <c r="M935" t="str">
        <f>PasteBBM!Y935</f>
        <v/>
      </c>
      <c r="N935" t="str">
        <f>PasteBBM!AA935</f>
        <v/>
      </c>
      <c r="O935" t="str">
        <f>PasteBBM!AB935</f>
        <v/>
      </c>
      <c r="P935" t="str">
        <f>PasteBBM!AC935</f>
        <v/>
      </c>
      <c r="Q935" t="str">
        <f>PasteBBM!AD935</f>
        <v/>
      </c>
      <c r="R935" t="str">
        <f>PasteBBM!AI935</f>
        <v/>
      </c>
      <c r="S935" t="str">
        <f>PasteBBM!AE935</f>
        <v/>
      </c>
      <c r="T935" t="str">
        <f>PasteBBM!AG935</f>
        <v/>
      </c>
      <c r="V935" s="44">
        <v>-0.41709</v>
      </c>
      <c r="W935" s="44">
        <v>-0.00658</v>
      </c>
      <c r="X935" s="44">
        <v>0.009207</v>
      </c>
      <c r="Y935" s="44">
        <v>-0.4263</v>
      </c>
      <c r="Z935" s="44">
        <v>-0.34564</v>
      </c>
      <c r="AA935" s="45"/>
      <c r="AB935" s="46" t="s">
        <v>126</v>
      </c>
      <c r="AC935" s="44">
        <v>67.0</v>
      </c>
    </row>
    <row r="936">
      <c r="A936" s="2">
        <v>163.0</v>
      </c>
      <c r="B936" s="14">
        <f>IF(PasteBBM!B936="",156,PasteBBM!B936)</f>
        <v>156</v>
      </c>
      <c r="C936" t="str">
        <f>PasteBBM!I936</f>
        <v/>
      </c>
      <c r="D936" t="str">
        <f>IFERROR(REPLACE(PasteBBM!K936,FIND("/",PasteBBM!K936,1),1,","),PasteBBM!K936)</f>
        <v/>
      </c>
      <c r="E936" t="str">
        <f>PasteBBM!J936</f>
        <v/>
      </c>
      <c r="F936" t="str">
        <f>PasteBBM!U936</f>
        <v/>
      </c>
      <c r="G936" t="str">
        <f>PasteBBM!X936</f>
        <v/>
      </c>
      <c r="H936">
        <f>PasteBBM!AE936*PasteBBM!AF936</f>
        <v>0</v>
      </c>
      <c r="I936" t="str">
        <f>PasteBBM!AE936</f>
        <v/>
      </c>
      <c r="J936">
        <f>PasteBBM!AG936*PasteBBM!AH936</f>
        <v>0</v>
      </c>
      <c r="K936" t="str">
        <f>PasteBBM!AG936</f>
        <v/>
      </c>
      <c r="L936" t="str">
        <f>PasteBBM!Z936</f>
        <v/>
      </c>
      <c r="M936" t="str">
        <f>PasteBBM!Y936</f>
        <v/>
      </c>
      <c r="N936" t="str">
        <f>PasteBBM!AA936</f>
        <v/>
      </c>
      <c r="O936" t="str">
        <f>PasteBBM!AB936</f>
        <v/>
      </c>
      <c r="P936" t="str">
        <f>PasteBBM!AC936</f>
        <v/>
      </c>
      <c r="Q936" t="str">
        <f>PasteBBM!AD936</f>
        <v/>
      </c>
      <c r="R936" t="str">
        <f>PasteBBM!AI936</f>
        <v/>
      </c>
      <c r="S936" t="str">
        <f>PasteBBM!AE936</f>
        <v/>
      </c>
      <c r="T936" t="str">
        <f>PasteBBM!AG936</f>
        <v/>
      </c>
      <c r="V936" s="44">
        <v>-0.41709</v>
      </c>
      <c r="W936" s="44">
        <v>-0.00658</v>
      </c>
      <c r="X936" s="44">
        <v>0.009207</v>
      </c>
      <c r="Y936" s="44">
        <v>-0.4263</v>
      </c>
      <c r="Z936" s="44">
        <v>-0.34564</v>
      </c>
      <c r="AA936" s="45"/>
      <c r="AB936" s="46" t="s">
        <v>126</v>
      </c>
      <c r="AC936" s="44">
        <v>67.0</v>
      </c>
    </row>
    <row r="937">
      <c r="A937" s="2">
        <v>163.0</v>
      </c>
      <c r="B937" s="14">
        <f>IF(PasteBBM!B937="",156,PasteBBM!B937)</f>
        <v>156</v>
      </c>
      <c r="C937" t="str">
        <f>PasteBBM!I937</f>
        <v/>
      </c>
      <c r="D937" t="str">
        <f>IFERROR(REPLACE(PasteBBM!K937,FIND("/",PasteBBM!K937,1),1,","),PasteBBM!K937)</f>
        <v/>
      </c>
      <c r="E937" t="str">
        <f>PasteBBM!J937</f>
        <v/>
      </c>
      <c r="F937" t="str">
        <f>PasteBBM!U937</f>
        <v/>
      </c>
      <c r="G937" t="str">
        <f>PasteBBM!X937</f>
        <v/>
      </c>
      <c r="H937">
        <f>PasteBBM!AE937*PasteBBM!AF937</f>
        <v>0</v>
      </c>
      <c r="I937" t="str">
        <f>PasteBBM!AE937</f>
        <v/>
      </c>
      <c r="J937">
        <f>PasteBBM!AG937*PasteBBM!AH937</f>
        <v>0</v>
      </c>
      <c r="K937" t="str">
        <f>PasteBBM!AG937</f>
        <v/>
      </c>
      <c r="L937" t="str">
        <f>PasteBBM!Z937</f>
        <v/>
      </c>
      <c r="M937" t="str">
        <f>PasteBBM!Y937</f>
        <v/>
      </c>
      <c r="N937" t="str">
        <f>PasteBBM!AA937</f>
        <v/>
      </c>
      <c r="O937" t="str">
        <f>PasteBBM!AB937</f>
        <v/>
      </c>
      <c r="P937" t="str">
        <f>PasteBBM!AC937</f>
        <v/>
      </c>
      <c r="Q937" t="str">
        <f>PasteBBM!AD937</f>
        <v/>
      </c>
      <c r="R937" t="str">
        <f>PasteBBM!AI937</f>
        <v/>
      </c>
      <c r="S937" t="str">
        <f>PasteBBM!AE937</f>
        <v/>
      </c>
      <c r="T937" t="str">
        <f>PasteBBM!AG937</f>
        <v/>
      </c>
      <c r="V937" s="44">
        <v>-0.41709</v>
      </c>
      <c r="W937" s="44">
        <v>-0.00658</v>
      </c>
      <c r="X937" s="44">
        <v>0.009207</v>
      </c>
      <c r="Y937" s="44">
        <v>-0.4263</v>
      </c>
      <c r="Z937" s="44">
        <v>-0.34564</v>
      </c>
      <c r="AA937" s="45"/>
      <c r="AB937" s="46" t="s">
        <v>126</v>
      </c>
      <c r="AC937" s="44">
        <v>67.0</v>
      </c>
    </row>
    <row r="938">
      <c r="A938" s="2">
        <v>163.0</v>
      </c>
      <c r="B938" s="14">
        <f>IF(PasteBBM!B938="",156,PasteBBM!B938)</f>
        <v>156</v>
      </c>
      <c r="C938" t="str">
        <f>PasteBBM!I938</f>
        <v/>
      </c>
      <c r="D938" t="str">
        <f>IFERROR(REPLACE(PasteBBM!K938,FIND("/",PasteBBM!K938,1),1,","),PasteBBM!K938)</f>
        <v/>
      </c>
      <c r="E938" t="str">
        <f>PasteBBM!J938</f>
        <v/>
      </c>
      <c r="F938" t="str">
        <f>PasteBBM!U938</f>
        <v/>
      </c>
      <c r="G938" t="str">
        <f>PasteBBM!X938</f>
        <v/>
      </c>
      <c r="H938">
        <f>PasteBBM!AE938*PasteBBM!AF938</f>
        <v>0</v>
      </c>
      <c r="I938" t="str">
        <f>PasteBBM!AE938</f>
        <v/>
      </c>
      <c r="J938">
        <f>PasteBBM!AG938*PasteBBM!AH938</f>
        <v>0</v>
      </c>
      <c r="K938" t="str">
        <f>PasteBBM!AG938</f>
        <v/>
      </c>
      <c r="L938" t="str">
        <f>PasteBBM!Z938</f>
        <v/>
      </c>
      <c r="M938" t="str">
        <f>PasteBBM!Y938</f>
        <v/>
      </c>
      <c r="N938" t="str">
        <f>PasteBBM!AA938</f>
        <v/>
      </c>
      <c r="O938" t="str">
        <f>PasteBBM!AB938</f>
        <v/>
      </c>
      <c r="P938" t="str">
        <f>PasteBBM!AC938</f>
        <v/>
      </c>
      <c r="Q938" t="str">
        <f>PasteBBM!AD938</f>
        <v/>
      </c>
      <c r="R938" t="str">
        <f>PasteBBM!AI938</f>
        <v/>
      </c>
      <c r="S938" t="str">
        <f>PasteBBM!AE938</f>
        <v/>
      </c>
      <c r="T938" t="str">
        <f>PasteBBM!AG938</f>
        <v/>
      </c>
      <c r="V938" s="44">
        <v>-0.41709</v>
      </c>
      <c r="W938" s="44">
        <v>-0.00658</v>
      </c>
      <c r="X938" s="44">
        <v>0.009207</v>
      </c>
      <c r="Y938" s="44">
        <v>-0.4263</v>
      </c>
      <c r="Z938" s="44">
        <v>-0.34564</v>
      </c>
      <c r="AA938" s="45"/>
      <c r="AB938" s="46" t="s">
        <v>126</v>
      </c>
      <c r="AC938" s="44">
        <v>67.0</v>
      </c>
    </row>
    <row r="939">
      <c r="A939" s="2">
        <v>163.0</v>
      </c>
      <c r="B939" s="14">
        <f>IF(PasteBBM!B939="",156,PasteBBM!B939)</f>
        <v>156</v>
      </c>
      <c r="C939" t="str">
        <f>PasteBBM!I939</f>
        <v/>
      </c>
      <c r="D939" t="str">
        <f>IFERROR(REPLACE(PasteBBM!K939,FIND("/",PasteBBM!K939,1),1,","),PasteBBM!K939)</f>
        <v/>
      </c>
      <c r="E939" t="str">
        <f>PasteBBM!J939</f>
        <v/>
      </c>
      <c r="F939" t="str">
        <f>PasteBBM!U939</f>
        <v/>
      </c>
      <c r="G939" t="str">
        <f>PasteBBM!X939</f>
        <v/>
      </c>
      <c r="H939">
        <f>PasteBBM!AE939*PasteBBM!AF939</f>
        <v>0</v>
      </c>
      <c r="I939" t="str">
        <f>PasteBBM!AE939</f>
        <v/>
      </c>
      <c r="J939">
        <f>PasteBBM!AG939*PasteBBM!AH939</f>
        <v>0</v>
      </c>
      <c r="K939" t="str">
        <f>PasteBBM!AG939</f>
        <v/>
      </c>
      <c r="L939" t="str">
        <f>PasteBBM!Z939</f>
        <v/>
      </c>
      <c r="M939" t="str">
        <f>PasteBBM!Y939</f>
        <v/>
      </c>
      <c r="N939" t="str">
        <f>PasteBBM!AA939</f>
        <v/>
      </c>
      <c r="O939" t="str">
        <f>PasteBBM!AB939</f>
        <v/>
      </c>
      <c r="P939" t="str">
        <f>PasteBBM!AC939</f>
        <v/>
      </c>
      <c r="Q939" t="str">
        <f>PasteBBM!AD939</f>
        <v/>
      </c>
      <c r="R939" t="str">
        <f>PasteBBM!AI939</f>
        <v/>
      </c>
      <c r="S939" t="str">
        <f>PasteBBM!AE939</f>
        <v/>
      </c>
      <c r="T939" t="str">
        <f>PasteBBM!AG939</f>
        <v/>
      </c>
      <c r="V939" s="44">
        <v>-0.41709</v>
      </c>
      <c r="W939" s="44">
        <v>-0.00658</v>
      </c>
      <c r="X939" s="44">
        <v>0.009207</v>
      </c>
      <c r="Y939" s="44">
        <v>-0.4263</v>
      </c>
      <c r="Z939" s="44">
        <v>-0.34564</v>
      </c>
      <c r="AA939" s="45"/>
      <c r="AB939" s="46" t="s">
        <v>126</v>
      </c>
      <c r="AC939" s="44">
        <v>67.0</v>
      </c>
    </row>
    <row r="940">
      <c r="A940" s="2">
        <v>163.0</v>
      </c>
      <c r="B940" s="14">
        <f>IF(PasteBBM!B940="",156,PasteBBM!B940)</f>
        <v>156</v>
      </c>
      <c r="C940" t="str">
        <f>PasteBBM!I940</f>
        <v/>
      </c>
      <c r="D940" t="str">
        <f>IFERROR(REPLACE(PasteBBM!K940,FIND("/",PasteBBM!K940,1),1,","),PasteBBM!K940)</f>
        <v/>
      </c>
      <c r="E940" t="str">
        <f>PasteBBM!J940</f>
        <v/>
      </c>
      <c r="F940" t="str">
        <f>PasteBBM!U940</f>
        <v/>
      </c>
      <c r="G940" t="str">
        <f>PasteBBM!X940</f>
        <v/>
      </c>
      <c r="H940">
        <f>PasteBBM!AE940*PasteBBM!AF940</f>
        <v>0</v>
      </c>
      <c r="I940" t="str">
        <f>PasteBBM!AE940</f>
        <v/>
      </c>
      <c r="J940">
        <f>PasteBBM!AG940*PasteBBM!AH940</f>
        <v>0</v>
      </c>
      <c r="K940" t="str">
        <f>PasteBBM!AG940</f>
        <v/>
      </c>
      <c r="L940" t="str">
        <f>PasteBBM!Z940</f>
        <v/>
      </c>
      <c r="M940" t="str">
        <f>PasteBBM!Y940</f>
        <v/>
      </c>
      <c r="N940" t="str">
        <f>PasteBBM!AA940</f>
        <v/>
      </c>
      <c r="O940" t="str">
        <f>PasteBBM!AB940</f>
        <v/>
      </c>
      <c r="P940" t="str">
        <f>PasteBBM!AC940</f>
        <v/>
      </c>
      <c r="Q940" t="str">
        <f>PasteBBM!AD940</f>
        <v/>
      </c>
      <c r="R940" t="str">
        <f>PasteBBM!AI940</f>
        <v/>
      </c>
      <c r="S940" t="str">
        <f>PasteBBM!AE940</f>
        <v/>
      </c>
      <c r="T940" t="str">
        <f>PasteBBM!AG940</f>
        <v/>
      </c>
      <c r="V940" s="44">
        <v>-0.41709</v>
      </c>
      <c r="W940" s="44">
        <v>-0.00658</v>
      </c>
      <c r="X940" s="44">
        <v>0.009207</v>
      </c>
      <c r="Y940" s="44">
        <v>-0.4263</v>
      </c>
      <c r="Z940" s="44">
        <v>-0.34564</v>
      </c>
      <c r="AA940" s="45"/>
      <c r="AB940" s="46" t="s">
        <v>126</v>
      </c>
      <c r="AC940" s="44">
        <v>67.0</v>
      </c>
    </row>
    <row r="941">
      <c r="A941" s="2">
        <v>163.0</v>
      </c>
      <c r="B941" s="14">
        <f>IF(PasteBBM!B941="",156,PasteBBM!B941)</f>
        <v>156</v>
      </c>
      <c r="C941" t="str">
        <f>PasteBBM!I941</f>
        <v/>
      </c>
      <c r="D941" t="str">
        <f>IFERROR(REPLACE(PasteBBM!K941,FIND("/",PasteBBM!K941,1),1,","),PasteBBM!K941)</f>
        <v/>
      </c>
      <c r="E941" t="str">
        <f>PasteBBM!J941</f>
        <v/>
      </c>
      <c r="F941" t="str">
        <f>PasteBBM!U941</f>
        <v/>
      </c>
      <c r="G941" t="str">
        <f>PasteBBM!X941</f>
        <v/>
      </c>
      <c r="H941">
        <f>PasteBBM!AE941*PasteBBM!AF941</f>
        <v>0</v>
      </c>
      <c r="I941" t="str">
        <f>PasteBBM!AE941</f>
        <v/>
      </c>
      <c r="J941">
        <f>PasteBBM!AG941*PasteBBM!AH941</f>
        <v>0</v>
      </c>
      <c r="K941" t="str">
        <f>PasteBBM!AG941</f>
        <v/>
      </c>
      <c r="L941" t="str">
        <f>PasteBBM!Z941</f>
        <v/>
      </c>
      <c r="M941" t="str">
        <f>PasteBBM!Y941</f>
        <v/>
      </c>
      <c r="N941" t="str">
        <f>PasteBBM!AA941</f>
        <v/>
      </c>
      <c r="O941" t="str">
        <f>PasteBBM!AB941</f>
        <v/>
      </c>
      <c r="P941" t="str">
        <f>PasteBBM!AC941</f>
        <v/>
      </c>
      <c r="Q941" t="str">
        <f>PasteBBM!AD941</f>
        <v/>
      </c>
      <c r="R941" t="str">
        <f>PasteBBM!AI941</f>
        <v/>
      </c>
      <c r="S941" t="str">
        <f>PasteBBM!AE941</f>
        <v/>
      </c>
      <c r="T941" t="str">
        <f>PasteBBM!AG941</f>
        <v/>
      </c>
      <c r="V941" s="44">
        <v>-0.41709</v>
      </c>
      <c r="W941" s="44">
        <v>-0.00658</v>
      </c>
      <c r="X941" s="44">
        <v>0.009207</v>
      </c>
      <c r="Y941" s="44">
        <v>-0.4263</v>
      </c>
      <c r="Z941" s="44">
        <v>-0.34564</v>
      </c>
      <c r="AA941" s="45"/>
      <c r="AB941" s="46" t="s">
        <v>126</v>
      </c>
      <c r="AC941" s="44">
        <v>67.0</v>
      </c>
    </row>
    <row r="942">
      <c r="A942" s="2">
        <v>163.0</v>
      </c>
      <c r="B942" s="14">
        <f>IF(PasteBBM!B942="",156,PasteBBM!B942)</f>
        <v>156</v>
      </c>
      <c r="C942" t="str">
        <f>PasteBBM!I942</f>
        <v/>
      </c>
      <c r="D942" t="str">
        <f>IFERROR(REPLACE(PasteBBM!K942,FIND("/",PasteBBM!K942,1),1,","),PasteBBM!K942)</f>
        <v/>
      </c>
      <c r="E942" t="str">
        <f>PasteBBM!J942</f>
        <v/>
      </c>
      <c r="F942" t="str">
        <f>PasteBBM!U942</f>
        <v/>
      </c>
      <c r="G942" t="str">
        <f>PasteBBM!X942</f>
        <v/>
      </c>
      <c r="H942">
        <f>PasteBBM!AE942*PasteBBM!AF942</f>
        <v>0</v>
      </c>
      <c r="I942" t="str">
        <f>PasteBBM!AE942</f>
        <v/>
      </c>
      <c r="J942">
        <f>PasteBBM!AG942*PasteBBM!AH942</f>
        <v>0</v>
      </c>
      <c r="K942" t="str">
        <f>PasteBBM!AG942</f>
        <v/>
      </c>
      <c r="L942" t="str">
        <f>PasteBBM!Z942</f>
        <v/>
      </c>
      <c r="M942" t="str">
        <f>PasteBBM!Y942</f>
        <v/>
      </c>
      <c r="N942" t="str">
        <f>PasteBBM!AA942</f>
        <v/>
      </c>
      <c r="O942" t="str">
        <f>PasteBBM!AB942</f>
        <v/>
      </c>
      <c r="P942" t="str">
        <f>PasteBBM!AC942</f>
        <v/>
      </c>
      <c r="Q942" t="str">
        <f>PasteBBM!AD942</f>
        <v/>
      </c>
      <c r="R942" t="str">
        <f>PasteBBM!AI942</f>
        <v/>
      </c>
      <c r="S942" t="str">
        <f>PasteBBM!AE942</f>
        <v/>
      </c>
      <c r="T942" t="str">
        <f>PasteBBM!AG942</f>
        <v/>
      </c>
      <c r="V942" s="44">
        <v>-0.41709</v>
      </c>
      <c r="W942" s="44">
        <v>-0.00658</v>
      </c>
      <c r="X942" s="44">
        <v>0.009207</v>
      </c>
      <c r="Y942" s="44">
        <v>-0.4263</v>
      </c>
      <c r="Z942" s="44">
        <v>-0.34564</v>
      </c>
      <c r="AA942" s="45"/>
      <c r="AB942" s="46" t="s">
        <v>126</v>
      </c>
      <c r="AC942" s="44">
        <v>67.0</v>
      </c>
    </row>
    <row r="943">
      <c r="A943" s="2">
        <v>163.0</v>
      </c>
      <c r="B943" s="14">
        <f>IF(PasteBBM!B943="",156,PasteBBM!B943)</f>
        <v>156</v>
      </c>
      <c r="C943" t="str">
        <f>PasteBBM!I943</f>
        <v/>
      </c>
      <c r="D943" t="str">
        <f>IFERROR(REPLACE(PasteBBM!K943,FIND("/",PasteBBM!K943,1),1,","),PasteBBM!K943)</f>
        <v/>
      </c>
      <c r="E943" t="str">
        <f>PasteBBM!J943</f>
        <v/>
      </c>
      <c r="F943" t="str">
        <f>PasteBBM!U943</f>
        <v/>
      </c>
      <c r="G943" t="str">
        <f>PasteBBM!X943</f>
        <v/>
      </c>
      <c r="H943">
        <f>PasteBBM!AE943*PasteBBM!AF943</f>
        <v>0</v>
      </c>
      <c r="I943" t="str">
        <f>PasteBBM!AE943</f>
        <v/>
      </c>
      <c r="J943">
        <f>PasteBBM!AG943*PasteBBM!AH943</f>
        <v>0</v>
      </c>
      <c r="K943" t="str">
        <f>PasteBBM!AG943</f>
        <v/>
      </c>
      <c r="L943" t="str">
        <f>PasteBBM!Z943</f>
        <v/>
      </c>
      <c r="M943" t="str">
        <f>PasteBBM!Y943</f>
        <v/>
      </c>
      <c r="N943" t="str">
        <f>PasteBBM!AA943</f>
        <v/>
      </c>
      <c r="O943" t="str">
        <f>PasteBBM!AB943</f>
        <v/>
      </c>
      <c r="P943" t="str">
        <f>PasteBBM!AC943</f>
        <v/>
      </c>
      <c r="Q943" t="str">
        <f>PasteBBM!AD943</f>
        <v/>
      </c>
      <c r="R943" t="str">
        <f>PasteBBM!AI943</f>
        <v/>
      </c>
      <c r="S943" t="str">
        <f>PasteBBM!AE943</f>
        <v/>
      </c>
      <c r="T943" t="str">
        <f>PasteBBM!AG943</f>
        <v/>
      </c>
      <c r="V943" s="44">
        <v>-0.41709</v>
      </c>
      <c r="W943" s="44">
        <v>-0.00658</v>
      </c>
      <c r="X943" s="44">
        <v>0.009207</v>
      </c>
      <c r="Y943" s="44">
        <v>-0.4263</v>
      </c>
      <c r="Z943" s="44">
        <v>-0.34564</v>
      </c>
      <c r="AA943" s="45"/>
      <c r="AB943" s="46" t="s">
        <v>126</v>
      </c>
      <c r="AC943" s="44">
        <v>67.0</v>
      </c>
    </row>
    <row r="944">
      <c r="A944" s="2">
        <v>163.0</v>
      </c>
      <c r="B944" s="14">
        <f>IF(PasteBBM!B944="",156,PasteBBM!B944)</f>
        <v>156</v>
      </c>
      <c r="C944" t="str">
        <f>PasteBBM!I944</f>
        <v/>
      </c>
      <c r="D944" t="str">
        <f>IFERROR(REPLACE(PasteBBM!K944,FIND("/",PasteBBM!K944,1),1,","),PasteBBM!K944)</f>
        <v/>
      </c>
      <c r="E944" t="str">
        <f>PasteBBM!J944</f>
        <v/>
      </c>
      <c r="F944" t="str">
        <f>PasteBBM!U944</f>
        <v/>
      </c>
      <c r="G944" t="str">
        <f>PasteBBM!X944</f>
        <v/>
      </c>
      <c r="H944">
        <f>PasteBBM!AE944*PasteBBM!AF944</f>
        <v>0</v>
      </c>
      <c r="I944" t="str">
        <f>PasteBBM!AE944</f>
        <v/>
      </c>
      <c r="J944">
        <f>PasteBBM!AG944*PasteBBM!AH944</f>
        <v>0</v>
      </c>
      <c r="K944" t="str">
        <f>PasteBBM!AG944</f>
        <v/>
      </c>
      <c r="L944" t="str">
        <f>PasteBBM!Z944</f>
        <v/>
      </c>
      <c r="M944" t="str">
        <f>PasteBBM!Y944</f>
        <v/>
      </c>
      <c r="N944" t="str">
        <f>PasteBBM!AA944</f>
        <v/>
      </c>
      <c r="O944" t="str">
        <f>PasteBBM!AB944</f>
        <v/>
      </c>
      <c r="P944" t="str">
        <f>PasteBBM!AC944</f>
        <v/>
      </c>
      <c r="Q944" t="str">
        <f>PasteBBM!AD944</f>
        <v/>
      </c>
      <c r="R944" t="str">
        <f>PasteBBM!AI944</f>
        <v/>
      </c>
      <c r="S944" t="str">
        <f>PasteBBM!AE944</f>
        <v/>
      </c>
      <c r="T944" t="str">
        <f>PasteBBM!AG944</f>
        <v/>
      </c>
      <c r="V944" s="44">
        <v>-0.41709</v>
      </c>
      <c r="W944" s="44">
        <v>-0.00658</v>
      </c>
      <c r="X944" s="44">
        <v>0.009207</v>
      </c>
      <c r="Y944" s="44">
        <v>-0.4263</v>
      </c>
      <c r="Z944" s="44">
        <v>-0.34564</v>
      </c>
      <c r="AA944" s="45"/>
      <c r="AB944" s="46" t="s">
        <v>126</v>
      </c>
      <c r="AC944" s="44">
        <v>67.0</v>
      </c>
    </row>
    <row r="945">
      <c r="A945" s="2">
        <v>163.0</v>
      </c>
      <c r="B945" s="14">
        <f>IF(PasteBBM!B945="",156,PasteBBM!B945)</f>
        <v>156</v>
      </c>
      <c r="C945" t="str">
        <f>PasteBBM!I945</f>
        <v/>
      </c>
      <c r="D945" t="str">
        <f>IFERROR(REPLACE(PasteBBM!K945,FIND("/",PasteBBM!K945,1),1,","),PasteBBM!K945)</f>
        <v/>
      </c>
      <c r="E945" t="str">
        <f>PasteBBM!J945</f>
        <v/>
      </c>
      <c r="F945" t="str">
        <f>PasteBBM!U945</f>
        <v/>
      </c>
      <c r="G945" t="str">
        <f>PasteBBM!X945</f>
        <v/>
      </c>
      <c r="H945">
        <f>PasteBBM!AE945*PasteBBM!AF945</f>
        <v>0</v>
      </c>
      <c r="I945" t="str">
        <f>PasteBBM!AE945</f>
        <v/>
      </c>
      <c r="J945">
        <f>PasteBBM!AG945*PasteBBM!AH945</f>
        <v>0</v>
      </c>
      <c r="K945" t="str">
        <f>PasteBBM!AG945</f>
        <v/>
      </c>
      <c r="L945" t="str">
        <f>PasteBBM!Z945</f>
        <v/>
      </c>
      <c r="M945" t="str">
        <f>PasteBBM!Y945</f>
        <v/>
      </c>
      <c r="N945" t="str">
        <f>PasteBBM!AA945</f>
        <v/>
      </c>
      <c r="O945" t="str">
        <f>PasteBBM!AB945</f>
        <v/>
      </c>
      <c r="P945" t="str">
        <f>PasteBBM!AC945</f>
        <v/>
      </c>
      <c r="Q945" t="str">
        <f>PasteBBM!AD945</f>
        <v/>
      </c>
      <c r="R945" t="str">
        <f>PasteBBM!AI945</f>
        <v/>
      </c>
      <c r="S945" t="str">
        <f>PasteBBM!AE945</f>
        <v/>
      </c>
      <c r="T945" t="str">
        <f>PasteBBM!AG945</f>
        <v/>
      </c>
      <c r="V945" s="44">
        <v>-0.41709</v>
      </c>
      <c r="W945" s="44">
        <v>-0.00658</v>
      </c>
      <c r="X945" s="44">
        <v>0.009207</v>
      </c>
      <c r="Y945" s="44">
        <v>-0.4263</v>
      </c>
      <c r="Z945" s="44">
        <v>-0.34564</v>
      </c>
      <c r="AA945" s="45"/>
      <c r="AB945" s="46" t="s">
        <v>126</v>
      </c>
      <c r="AC945" s="44">
        <v>67.0</v>
      </c>
    </row>
    <row r="946">
      <c r="A946" s="2">
        <v>163.0</v>
      </c>
      <c r="B946" s="14">
        <f>IF(PasteBBM!B946="",156,PasteBBM!B946)</f>
        <v>156</v>
      </c>
      <c r="C946" t="str">
        <f>PasteBBM!I946</f>
        <v/>
      </c>
      <c r="D946" t="str">
        <f>IFERROR(REPLACE(PasteBBM!K946,FIND("/",PasteBBM!K946,1),1,","),PasteBBM!K946)</f>
        <v/>
      </c>
      <c r="E946" t="str">
        <f>PasteBBM!J946</f>
        <v/>
      </c>
      <c r="F946" t="str">
        <f>PasteBBM!U946</f>
        <v/>
      </c>
      <c r="G946" t="str">
        <f>PasteBBM!X946</f>
        <v/>
      </c>
      <c r="H946">
        <f>PasteBBM!AE946*PasteBBM!AF946</f>
        <v>0</v>
      </c>
      <c r="I946" t="str">
        <f>PasteBBM!AE946</f>
        <v/>
      </c>
      <c r="J946">
        <f>PasteBBM!AG946*PasteBBM!AH946</f>
        <v>0</v>
      </c>
      <c r="K946" t="str">
        <f>PasteBBM!AG946</f>
        <v/>
      </c>
      <c r="L946" t="str">
        <f>PasteBBM!Z946</f>
        <v/>
      </c>
      <c r="M946" t="str">
        <f>PasteBBM!Y946</f>
        <v/>
      </c>
      <c r="N946" t="str">
        <f>PasteBBM!AA946</f>
        <v/>
      </c>
      <c r="O946" t="str">
        <f>PasteBBM!AB946</f>
        <v/>
      </c>
      <c r="P946" t="str">
        <f>PasteBBM!AC946</f>
        <v/>
      </c>
      <c r="Q946" t="str">
        <f>PasteBBM!AD946</f>
        <v/>
      </c>
      <c r="R946" t="str">
        <f>PasteBBM!AI946</f>
        <v/>
      </c>
      <c r="S946" t="str">
        <f>PasteBBM!AE946</f>
        <v/>
      </c>
      <c r="T946" t="str">
        <f>PasteBBM!AG946</f>
        <v/>
      </c>
      <c r="V946" s="44">
        <v>-0.41709</v>
      </c>
      <c r="W946" s="44">
        <v>-0.00658</v>
      </c>
      <c r="X946" s="44">
        <v>0.009207</v>
      </c>
      <c r="Y946" s="44">
        <v>-0.4263</v>
      </c>
      <c r="Z946" s="44">
        <v>-0.34564</v>
      </c>
      <c r="AA946" s="45"/>
      <c r="AB946" s="46" t="s">
        <v>126</v>
      </c>
      <c r="AC946" s="44">
        <v>67.0</v>
      </c>
    </row>
    <row r="947">
      <c r="A947" s="2">
        <v>163.0</v>
      </c>
      <c r="B947" s="14">
        <f>IF(PasteBBM!B947="",156,PasteBBM!B947)</f>
        <v>156</v>
      </c>
      <c r="C947" t="str">
        <f>PasteBBM!I947</f>
        <v/>
      </c>
      <c r="D947" t="str">
        <f>IFERROR(REPLACE(PasteBBM!K947,FIND("/",PasteBBM!K947,1),1,","),PasteBBM!K947)</f>
        <v/>
      </c>
      <c r="E947" t="str">
        <f>PasteBBM!J947</f>
        <v/>
      </c>
      <c r="F947" t="str">
        <f>PasteBBM!U947</f>
        <v/>
      </c>
      <c r="G947" t="str">
        <f>PasteBBM!X947</f>
        <v/>
      </c>
      <c r="H947">
        <f>PasteBBM!AE947*PasteBBM!AF947</f>
        <v>0</v>
      </c>
      <c r="I947" t="str">
        <f>PasteBBM!AE947</f>
        <v/>
      </c>
      <c r="J947">
        <f>PasteBBM!AG947*PasteBBM!AH947</f>
        <v>0</v>
      </c>
      <c r="K947" t="str">
        <f>PasteBBM!AG947</f>
        <v/>
      </c>
      <c r="L947" t="str">
        <f>PasteBBM!Z947</f>
        <v/>
      </c>
      <c r="M947" t="str">
        <f>PasteBBM!Y947</f>
        <v/>
      </c>
      <c r="N947" t="str">
        <f>PasteBBM!AA947</f>
        <v/>
      </c>
      <c r="O947" t="str">
        <f>PasteBBM!AB947</f>
        <v/>
      </c>
      <c r="P947" t="str">
        <f>PasteBBM!AC947</f>
        <v/>
      </c>
      <c r="Q947" t="str">
        <f>PasteBBM!AD947</f>
        <v/>
      </c>
      <c r="R947" t="str">
        <f>PasteBBM!AI947</f>
        <v/>
      </c>
      <c r="S947" t="str">
        <f>PasteBBM!AE947</f>
        <v/>
      </c>
      <c r="T947" t="str">
        <f>PasteBBM!AG947</f>
        <v/>
      </c>
      <c r="V947" s="44">
        <v>-0.41709</v>
      </c>
      <c r="W947" s="44">
        <v>-0.00658</v>
      </c>
      <c r="X947" s="44">
        <v>0.009207</v>
      </c>
      <c r="Y947" s="44">
        <v>-0.4263</v>
      </c>
      <c r="Z947" s="44">
        <v>-0.34564</v>
      </c>
      <c r="AA947" s="45"/>
      <c r="AB947" s="46" t="s">
        <v>126</v>
      </c>
      <c r="AC947" s="44">
        <v>67.0</v>
      </c>
    </row>
    <row r="948">
      <c r="A948" s="2">
        <v>163.0</v>
      </c>
      <c r="B948" s="14">
        <f>IF(PasteBBM!B948="",156,PasteBBM!B948)</f>
        <v>156</v>
      </c>
      <c r="C948" t="str">
        <f>PasteBBM!I948</f>
        <v/>
      </c>
      <c r="D948" t="str">
        <f>IFERROR(REPLACE(PasteBBM!K948,FIND("/",PasteBBM!K948,1),1,","),PasteBBM!K948)</f>
        <v/>
      </c>
      <c r="E948" t="str">
        <f>PasteBBM!J948</f>
        <v/>
      </c>
      <c r="F948" t="str">
        <f>PasteBBM!U948</f>
        <v/>
      </c>
      <c r="G948" t="str">
        <f>PasteBBM!X948</f>
        <v/>
      </c>
      <c r="H948">
        <f>PasteBBM!AE948*PasteBBM!AF948</f>
        <v>0</v>
      </c>
      <c r="I948" t="str">
        <f>PasteBBM!AE948</f>
        <v/>
      </c>
      <c r="J948">
        <f>PasteBBM!AG948*PasteBBM!AH948</f>
        <v>0</v>
      </c>
      <c r="K948" t="str">
        <f>PasteBBM!AG948</f>
        <v/>
      </c>
      <c r="L948" t="str">
        <f>PasteBBM!Z948</f>
        <v/>
      </c>
      <c r="M948" t="str">
        <f>PasteBBM!Y948</f>
        <v/>
      </c>
      <c r="N948" t="str">
        <f>PasteBBM!AA948</f>
        <v/>
      </c>
      <c r="O948" t="str">
        <f>PasteBBM!AB948</f>
        <v/>
      </c>
      <c r="P948" t="str">
        <f>PasteBBM!AC948</f>
        <v/>
      </c>
      <c r="Q948" t="str">
        <f>PasteBBM!AD948</f>
        <v/>
      </c>
      <c r="R948" t="str">
        <f>PasteBBM!AI948</f>
        <v/>
      </c>
      <c r="S948" t="str">
        <f>PasteBBM!AE948</f>
        <v/>
      </c>
      <c r="T948" t="str">
        <f>PasteBBM!AG948</f>
        <v/>
      </c>
      <c r="V948" s="44">
        <v>-0.41709</v>
      </c>
      <c r="W948" s="44">
        <v>-0.00658</v>
      </c>
      <c r="X948" s="44">
        <v>0.009207</v>
      </c>
      <c r="Y948" s="44">
        <v>-0.4263</v>
      </c>
      <c r="Z948" s="44">
        <v>-0.34564</v>
      </c>
      <c r="AA948" s="45"/>
      <c r="AB948" s="46" t="s">
        <v>126</v>
      </c>
      <c r="AC948" s="44">
        <v>67.0</v>
      </c>
    </row>
    <row r="949">
      <c r="A949" s="2">
        <v>163.0</v>
      </c>
      <c r="B949" s="14">
        <f>IF(PasteBBM!B949="",156,PasteBBM!B949)</f>
        <v>156</v>
      </c>
      <c r="C949" t="str">
        <f>PasteBBM!I949</f>
        <v/>
      </c>
      <c r="D949" t="str">
        <f>IFERROR(REPLACE(PasteBBM!K949,FIND("/",PasteBBM!K949,1),1,","),PasteBBM!K949)</f>
        <v/>
      </c>
      <c r="E949" t="str">
        <f>PasteBBM!J949</f>
        <v/>
      </c>
      <c r="F949" t="str">
        <f>PasteBBM!U949</f>
        <v/>
      </c>
      <c r="G949" t="str">
        <f>PasteBBM!X949</f>
        <v/>
      </c>
      <c r="H949">
        <f>PasteBBM!AE949*PasteBBM!AF949</f>
        <v>0</v>
      </c>
      <c r="I949" t="str">
        <f>PasteBBM!AE949</f>
        <v/>
      </c>
      <c r="J949">
        <f>PasteBBM!AG949*PasteBBM!AH949</f>
        <v>0</v>
      </c>
      <c r="K949" t="str">
        <f>PasteBBM!AG949</f>
        <v/>
      </c>
      <c r="L949" t="str">
        <f>PasteBBM!Z949</f>
        <v/>
      </c>
      <c r="M949" t="str">
        <f>PasteBBM!Y949</f>
        <v/>
      </c>
      <c r="N949" t="str">
        <f>PasteBBM!AA949</f>
        <v/>
      </c>
      <c r="O949" t="str">
        <f>PasteBBM!AB949</f>
        <v/>
      </c>
      <c r="P949" t="str">
        <f>PasteBBM!AC949</f>
        <v/>
      </c>
      <c r="Q949" t="str">
        <f>PasteBBM!AD949</f>
        <v/>
      </c>
      <c r="R949" t="str">
        <f>PasteBBM!AI949</f>
        <v/>
      </c>
      <c r="S949" t="str">
        <f>PasteBBM!AE949</f>
        <v/>
      </c>
      <c r="T949" t="str">
        <f>PasteBBM!AG949</f>
        <v/>
      </c>
      <c r="V949" s="44">
        <v>-0.41709</v>
      </c>
      <c r="W949" s="44">
        <v>-0.00658</v>
      </c>
      <c r="X949" s="44">
        <v>0.009207</v>
      </c>
      <c r="Y949" s="44">
        <v>-0.4263</v>
      </c>
      <c r="Z949" s="44">
        <v>-0.34564</v>
      </c>
      <c r="AA949" s="45"/>
      <c r="AB949" s="46" t="s">
        <v>126</v>
      </c>
      <c r="AC949" s="44">
        <v>67.0</v>
      </c>
    </row>
    <row r="950">
      <c r="A950" s="2">
        <v>163.0</v>
      </c>
      <c r="B950" s="14">
        <f>IF(PasteBBM!B950="",156,PasteBBM!B950)</f>
        <v>156</v>
      </c>
      <c r="C950" t="str">
        <f>PasteBBM!I950</f>
        <v/>
      </c>
      <c r="D950" t="str">
        <f>IFERROR(REPLACE(PasteBBM!K950,FIND("/",PasteBBM!K950,1),1,","),PasteBBM!K950)</f>
        <v/>
      </c>
      <c r="E950" t="str">
        <f>PasteBBM!J950</f>
        <v/>
      </c>
      <c r="F950" t="str">
        <f>PasteBBM!U950</f>
        <v/>
      </c>
      <c r="G950" t="str">
        <f>PasteBBM!X950</f>
        <v/>
      </c>
      <c r="H950">
        <f>PasteBBM!AE950*PasteBBM!AF950</f>
        <v>0</v>
      </c>
      <c r="I950" t="str">
        <f>PasteBBM!AE950</f>
        <v/>
      </c>
      <c r="J950">
        <f>PasteBBM!AG950*PasteBBM!AH950</f>
        <v>0</v>
      </c>
      <c r="K950" t="str">
        <f>PasteBBM!AG950</f>
        <v/>
      </c>
      <c r="L950" t="str">
        <f>PasteBBM!Z950</f>
        <v/>
      </c>
      <c r="M950" t="str">
        <f>PasteBBM!Y950</f>
        <v/>
      </c>
      <c r="N950" t="str">
        <f>PasteBBM!AA950</f>
        <v/>
      </c>
      <c r="O950" t="str">
        <f>PasteBBM!AB950</f>
        <v/>
      </c>
      <c r="P950" t="str">
        <f>PasteBBM!AC950</f>
        <v/>
      </c>
      <c r="Q950" t="str">
        <f>PasteBBM!AD950</f>
        <v/>
      </c>
      <c r="R950" t="str">
        <f>PasteBBM!AI950</f>
        <v/>
      </c>
      <c r="S950" t="str">
        <f>PasteBBM!AE950</f>
        <v/>
      </c>
      <c r="T950" t="str">
        <f>PasteBBM!AG950</f>
        <v/>
      </c>
      <c r="V950" s="44">
        <v>-0.41709</v>
      </c>
      <c r="W950" s="44">
        <v>-0.00658</v>
      </c>
      <c r="X950" s="44">
        <v>0.009207</v>
      </c>
      <c r="Y950" s="44">
        <v>-0.4263</v>
      </c>
      <c r="Z950" s="44">
        <v>-0.34564</v>
      </c>
      <c r="AA950" s="45"/>
      <c r="AB950" s="46" t="s">
        <v>126</v>
      </c>
      <c r="AC950" s="44">
        <v>67.0</v>
      </c>
    </row>
    <row r="951">
      <c r="A951" s="2">
        <v>163.0</v>
      </c>
      <c r="B951" s="14">
        <f>IF(PasteBBM!B951="",156,PasteBBM!B951)</f>
        <v>156</v>
      </c>
      <c r="C951" t="str">
        <f>PasteBBM!I951</f>
        <v/>
      </c>
      <c r="D951" t="str">
        <f>IFERROR(REPLACE(PasteBBM!K951,FIND("/",PasteBBM!K951,1),1,","),PasteBBM!K951)</f>
        <v/>
      </c>
      <c r="E951" t="str">
        <f>PasteBBM!J951</f>
        <v/>
      </c>
      <c r="F951" t="str">
        <f>PasteBBM!U951</f>
        <v/>
      </c>
      <c r="G951" t="str">
        <f>PasteBBM!X951</f>
        <v/>
      </c>
      <c r="H951">
        <f>PasteBBM!AE951*PasteBBM!AF951</f>
        <v>0</v>
      </c>
      <c r="I951" t="str">
        <f>PasteBBM!AE951</f>
        <v/>
      </c>
      <c r="J951">
        <f>PasteBBM!AG951*PasteBBM!AH951</f>
        <v>0</v>
      </c>
      <c r="K951" t="str">
        <f>PasteBBM!AG951</f>
        <v/>
      </c>
      <c r="L951" t="str">
        <f>PasteBBM!Z951</f>
        <v/>
      </c>
      <c r="M951" t="str">
        <f>PasteBBM!Y951</f>
        <v/>
      </c>
      <c r="N951" t="str">
        <f>PasteBBM!AA951</f>
        <v/>
      </c>
      <c r="O951" t="str">
        <f>PasteBBM!AB951</f>
        <v/>
      </c>
      <c r="P951" t="str">
        <f>PasteBBM!AC951</f>
        <v/>
      </c>
      <c r="Q951" t="str">
        <f>PasteBBM!AD951</f>
        <v/>
      </c>
      <c r="R951" t="str">
        <f>PasteBBM!AI951</f>
        <v/>
      </c>
      <c r="S951" t="str">
        <f>PasteBBM!AE951</f>
        <v/>
      </c>
      <c r="T951" t="str">
        <f>PasteBBM!AG951</f>
        <v/>
      </c>
      <c r="V951" s="44">
        <v>-0.41709</v>
      </c>
      <c r="W951" s="44">
        <v>-0.00658</v>
      </c>
      <c r="X951" s="44">
        <v>0.009207</v>
      </c>
      <c r="Y951" s="44">
        <v>-0.4263</v>
      </c>
      <c r="Z951" s="44">
        <v>-0.34564</v>
      </c>
      <c r="AA951" s="45"/>
      <c r="AB951" s="46" t="s">
        <v>126</v>
      </c>
      <c r="AC951" s="44">
        <v>67.0</v>
      </c>
    </row>
    <row r="952">
      <c r="A952" s="2">
        <v>163.0</v>
      </c>
      <c r="B952" s="14">
        <f>IF(PasteBBM!B952="",156,PasteBBM!B952)</f>
        <v>156</v>
      </c>
      <c r="C952" t="str">
        <f>PasteBBM!I952</f>
        <v/>
      </c>
      <c r="D952" t="str">
        <f>IFERROR(REPLACE(PasteBBM!K952,FIND("/",PasteBBM!K952,1),1,","),PasteBBM!K952)</f>
        <v/>
      </c>
      <c r="E952" t="str">
        <f>PasteBBM!J952</f>
        <v/>
      </c>
      <c r="F952" t="str">
        <f>PasteBBM!U952</f>
        <v/>
      </c>
      <c r="G952" t="str">
        <f>PasteBBM!X952</f>
        <v/>
      </c>
      <c r="H952">
        <f>PasteBBM!AE952*PasteBBM!AF952</f>
        <v>0</v>
      </c>
      <c r="I952" t="str">
        <f>PasteBBM!AE952</f>
        <v/>
      </c>
      <c r="J952">
        <f>PasteBBM!AG952*PasteBBM!AH952</f>
        <v>0</v>
      </c>
      <c r="K952" t="str">
        <f>PasteBBM!AG952</f>
        <v/>
      </c>
      <c r="L952" t="str">
        <f>PasteBBM!Z952</f>
        <v/>
      </c>
      <c r="M952" t="str">
        <f>PasteBBM!Y952</f>
        <v/>
      </c>
      <c r="N952" t="str">
        <f>PasteBBM!AA952</f>
        <v/>
      </c>
      <c r="O952" t="str">
        <f>PasteBBM!AB952</f>
        <v/>
      </c>
      <c r="P952" t="str">
        <f>PasteBBM!AC952</f>
        <v/>
      </c>
      <c r="Q952" t="str">
        <f>PasteBBM!AD952</f>
        <v/>
      </c>
      <c r="R952" t="str">
        <f>PasteBBM!AI952</f>
        <v/>
      </c>
      <c r="S952" t="str">
        <f>PasteBBM!AE952</f>
        <v/>
      </c>
      <c r="T952" t="str">
        <f>PasteBBM!AG952</f>
        <v/>
      </c>
      <c r="V952" s="44">
        <v>-0.41709</v>
      </c>
      <c r="W952" s="44">
        <v>-0.00658</v>
      </c>
      <c r="X952" s="44">
        <v>0.009207</v>
      </c>
      <c r="Y952" s="44">
        <v>-0.4263</v>
      </c>
      <c r="Z952" s="44">
        <v>-0.34564</v>
      </c>
      <c r="AA952" s="45"/>
      <c r="AB952" s="46" t="s">
        <v>126</v>
      </c>
      <c r="AC952" s="44">
        <v>67.0</v>
      </c>
    </row>
    <row r="953">
      <c r="A953" s="2">
        <v>163.0</v>
      </c>
      <c r="B953" s="14">
        <f>IF(PasteBBM!B953="",156,PasteBBM!B953)</f>
        <v>156</v>
      </c>
      <c r="C953" t="str">
        <f>PasteBBM!I953</f>
        <v/>
      </c>
      <c r="D953" t="str">
        <f>IFERROR(REPLACE(PasteBBM!K953,FIND("/",PasteBBM!K953,1),1,","),PasteBBM!K953)</f>
        <v/>
      </c>
      <c r="E953" t="str">
        <f>PasteBBM!J953</f>
        <v/>
      </c>
      <c r="F953" t="str">
        <f>PasteBBM!U953</f>
        <v/>
      </c>
      <c r="G953" t="str">
        <f>PasteBBM!X953</f>
        <v/>
      </c>
      <c r="H953">
        <f>PasteBBM!AE953*PasteBBM!AF953</f>
        <v>0</v>
      </c>
      <c r="I953" t="str">
        <f>PasteBBM!AE953</f>
        <v/>
      </c>
      <c r="J953">
        <f>PasteBBM!AG953*PasteBBM!AH953</f>
        <v>0</v>
      </c>
      <c r="K953" t="str">
        <f>PasteBBM!AG953</f>
        <v/>
      </c>
      <c r="L953" t="str">
        <f>PasteBBM!Z953</f>
        <v/>
      </c>
      <c r="M953" t="str">
        <f>PasteBBM!Y953</f>
        <v/>
      </c>
      <c r="N953" t="str">
        <f>PasteBBM!AA953</f>
        <v/>
      </c>
      <c r="O953" t="str">
        <f>PasteBBM!AB953</f>
        <v/>
      </c>
      <c r="P953" t="str">
        <f>PasteBBM!AC953</f>
        <v/>
      </c>
      <c r="Q953" t="str">
        <f>PasteBBM!AD953</f>
        <v/>
      </c>
      <c r="R953" t="str">
        <f>PasteBBM!AI953</f>
        <v/>
      </c>
      <c r="S953" t="str">
        <f>PasteBBM!AE953</f>
        <v/>
      </c>
      <c r="T953" t="str">
        <f>PasteBBM!AG953</f>
        <v/>
      </c>
      <c r="V953" s="44">
        <v>-0.41709</v>
      </c>
      <c r="W953" s="44">
        <v>-0.00658</v>
      </c>
      <c r="X953" s="44">
        <v>0.009207</v>
      </c>
      <c r="Y953" s="44">
        <v>-0.4263</v>
      </c>
      <c r="Z953" s="44">
        <v>-0.34564</v>
      </c>
      <c r="AA953" s="45"/>
      <c r="AB953" s="46" t="s">
        <v>126</v>
      </c>
      <c r="AC953" s="44">
        <v>67.0</v>
      </c>
    </row>
    <row r="954">
      <c r="A954" s="2">
        <v>163.0</v>
      </c>
      <c r="B954" s="14">
        <f>IF(PasteBBM!B954="",156,PasteBBM!B954)</f>
        <v>156</v>
      </c>
      <c r="C954" t="str">
        <f>PasteBBM!I954</f>
        <v/>
      </c>
      <c r="D954" t="str">
        <f>IFERROR(REPLACE(PasteBBM!K954,FIND("/",PasteBBM!K954,1),1,","),PasteBBM!K954)</f>
        <v/>
      </c>
      <c r="E954" t="str">
        <f>PasteBBM!J954</f>
        <v/>
      </c>
      <c r="F954" t="str">
        <f>PasteBBM!U954</f>
        <v/>
      </c>
      <c r="G954" t="str">
        <f>PasteBBM!X954</f>
        <v/>
      </c>
      <c r="H954">
        <f>PasteBBM!AE954*PasteBBM!AF954</f>
        <v>0</v>
      </c>
      <c r="I954" t="str">
        <f>PasteBBM!AE954</f>
        <v/>
      </c>
      <c r="J954">
        <f>PasteBBM!AG954*PasteBBM!AH954</f>
        <v>0</v>
      </c>
      <c r="K954" t="str">
        <f>PasteBBM!AG954</f>
        <v/>
      </c>
      <c r="L954" t="str">
        <f>PasteBBM!Z954</f>
        <v/>
      </c>
      <c r="M954" t="str">
        <f>PasteBBM!Y954</f>
        <v/>
      </c>
      <c r="N954" t="str">
        <f>PasteBBM!AA954</f>
        <v/>
      </c>
      <c r="O954" t="str">
        <f>PasteBBM!AB954</f>
        <v/>
      </c>
      <c r="P954" t="str">
        <f>PasteBBM!AC954</f>
        <v/>
      </c>
      <c r="Q954" t="str">
        <f>PasteBBM!AD954</f>
        <v/>
      </c>
      <c r="R954" t="str">
        <f>PasteBBM!AI954</f>
        <v/>
      </c>
      <c r="S954" t="str">
        <f>PasteBBM!AE954</f>
        <v/>
      </c>
      <c r="T954" t="str">
        <f>PasteBBM!AG954</f>
        <v/>
      </c>
      <c r="V954" s="44">
        <v>-0.41709</v>
      </c>
      <c r="W954" s="44">
        <v>-0.00658</v>
      </c>
      <c r="X954" s="44">
        <v>0.009207</v>
      </c>
      <c r="Y954" s="44">
        <v>-0.4263</v>
      </c>
      <c r="Z954" s="44">
        <v>-0.34564</v>
      </c>
      <c r="AA954" s="45"/>
      <c r="AB954" s="46" t="s">
        <v>126</v>
      </c>
      <c r="AC954" s="44">
        <v>67.0</v>
      </c>
    </row>
    <row r="955">
      <c r="A955" s="2">
        <v>163.0</v>
      </c>
      <c r="B955" s="14">
        <f>IF(PasteBBM!B955="",156,PasteBBM!B955)</f>
        <v>156</v>
      </c>
      <c r="C955" t="str">
        <f>PasteBBM!I955</f>
        <v/>
      </c>
      <c r="D955" t="str">
        <f>IFERROR(REPLACE(PasteBBM!K955,FIND("/",PasteBBM!K955,1),1,","),PasteBBM!K955)</f>
        <v/>
      </c>
      <c r="E955" t="str">
        <f>PasteBBM!J955</f>
        <v/>
      </c>
      <c r="F955" t="str">
        <f>PasteBBM!U955</f>
        <v/>
      </c>
      <c r="G955" t="str">
        <f>PasteBBM!X955</f>
        <v/>
      </c>
      <c r="H955">
        <f>PasteBBM!AE955*PasteBBM!AF955</f>
        <v>0</v>
      </c>
      <c r="I955" t="str">
        <f>PasteBBM!AE955</f>
        <v/>
      </c>
      <c r="J955">
        <f>PasteBBM!AG955*PasteBBM!AH955</f>
        <v>0</v>
      </c>
      <c r="K955" t="str">
        <f>PasteBBM!AG955</f>
        <v/>
      </c>
      <c r="L955" t="str">
        <f>PasteBBM!Z955</f>
        <v/>
      </c>
      <c r="M955" t="str">
        <f>PasteBBM!Y955</f>
        <v/>
      </c>
      <c r="N955" t="str">
        <f>PasteBBM!AA955</f>
        <v/>
      </c>
      <c r="O955" t="str">
        <f>PasteBBM!AB955</f>
        <v/>
      </c>
      <c r="P955" t="str">
        <f>PasteBBM!AC955</f>
        <v/>
      </c>
      <c r="Q955" t="str">
        <f>PasteBBM!AD955</f>
        <v/>
      </c>
      <c r="R955" t="str">
        <f>PasteBBM!AI955</f>
        <v/>
      </c>
      <c r="S955" t="str">
        <f>PasteBBM!AE955</f>
        <v/>
      </c>
      <c r="T955" t="str">
        <f>PasteBBM!AG955</f>
        <v/>
      </c>
      <c r="V955" s="44">
        <v>-0.41709</v>
      </c>
      <c r="W955" s="44">
        <v>-0.00658</v>
      </c>
      <c r="X955" s="44">
        <v>0.009207</v>
      </c>
      <c r="Y955" s="44">
        <v>-0.4263</v>
      </c>
      <c r="Z955" s="44">
        <v>-0.34564</v>
      </c>
      <c r="AA955" s="45"/>
      <c r="AB955" s="46" t="s">
        <v>126</v>
      </c>
      <c r="AC955" s="44">
        <v>67.0</v>
      </c>
    </row>
    <row r="956">
      <c r="A956" s="2">
        <v>163.0</v>
      </c>
      <c r="B956" s="14">
        <f>IF(PasteBBM!B956="",156,PasteBBM!B956)</f>
        <v>156</v>
      </c>
      <c r="C956" t="str">
        <f>PasteBBM!I956</f>
        <v/>
      </c>
      <c r="D956" t="str">
        <f>IFERROR(REPLACE(PasteBBM!K956,FIND("/",PasteBBM!K956,1),1,","),PasteBBM!K956)</f>
        <v/>
      </c>
      <c r="E956" t="str">
        <f>PasteBBM!J956</f>
        <v/>
      </c>
      <c r="F956" t="str">
        <f>PasteBBM!U956</f>
        <v/>
      </c>
      <c r="G956" t="str">
        <f>PasteBBM!X956</f>
        <v/>
      </c>
      <c r="H956">
        <f>PasteBBM!AE956*PasteBBM!AF956</f>
        <v>0</v>
      </c>
      <c r="I956" t="str">
        <f>PasteBBM!AE956</f>
        <v/>
      </c>
      <c r="J956">
        <f>PasteBBM!AG956*PasteBBM!AH956</f>
        <v>0</v>
      </c>
      <c r="K956" t="str">
        <f>PasteBBM!AG956</f>
        <v/>
      </c>
      <c r="L956" t="str">
        <f>PasteBBM!Z956</f>
        <v/>
      </c>
      <c r="M956" t="str">
        <f>PasteBBM!Y956</f>
        <v/>
      </c>
      <c r="N956" t="str">
        <f>PasteBBM!AA956</f>
        <v/>
      </c>
      <c r="O956" t="str">
        <f>PasteBBM!AB956</f>
        <v/>
      </c>
      <c r="P956" t="str">
        <f>PasteBBM!AC956</f>
        <v/>
      </c>
      <c r="Q956" t="str">
        <f>PasteBBM!AD956</f>
        <v/>
      </c>
      <c r="R956" t="str">
        <f>PasteBBM!AI956</f>
        <v/>
      </c>
      <c r="S956" t="str">
        <f>PasteBBM!AE956</f>
        <v/>
      </c>
      <c r="T956" t="str">
        <f>PasteBBM!AG956</f>
        <v/>
      </c>
      <c r="V956" s="44">
        <v>-0.41709</v>
      </c>
      <c r="W956" s="44">
        <v>-0.00658</v>
      </c>
      <c r="X956" s="44">
        <v>0.009207</v>
      </c>
      <c r="Y956" s="44">
        <v>-0.4263</v>
      </c>
      <c r="Z956" s="44">
        <v>-0.34564</v>
      </c>
      <c r="AA956" s="45"/>
      <c r="AB956" s="46" t="s">
        <v>126</v>
      </c>
      <c r="AC956" s="44">
        <v>67.0</v>
      </c>
    </row>
    <row r="957">
      <c r="A957" s="2">
        <v>163.0</v>
      </c>
      <c r="B957" s="14">
        <f>IF(PasteBBM!B957="",156,PasteBBM!B957)</f>
        <v>156</v>
      </c>
      <c r="C957" t="str">
        <f>PasteBBM!I957</f>
        <v/>
      </c>
      <c r="D957" t="str">
        <f>IFERROR(REPLACE(PasteBBM!K957,FIND("/",PasteBBM!K957,1),1,","),PasteBBM!K957)</f>
        <v/>
      </c>
      <c r="E957" t="str">
        <f>PasteBBM!J957</f>
        <v/>
      </c>
      <c r="F957" t="str">
        <f>PasteBBM!U957</f>
        <v/>
      </c>
      <c r="G957" t="str">
        <f>PasteBBM!X957</f>
        <v/>
      </c>
      <c r="H957">
        <f>PasteBBM!AE957*PasteBBM!AF957</f>
        <v>0</v>
      </c>
      <c r="I957" t="str">
        <f>PasteBBM!AE957</f>
        <v/>
      </c>
      <c r="J957">
        <f>PasteBBM!AG957*PasteBBM!AH957</f>
        <v>0</v>
      </c>
      <c r="K957" t="str">
        <f>PasteBBM!AG957</f>
        <v/>
      </c>
      <c r="L957" t="str">
        <f>PasteBBM!Z957</f>
        <v/>
      </c>
      <c r="M957" t="str">
        <f>PasteBBM!Y957</f>
        <v/>
      </c>
      <c r="N957" t="str">
        <f>PasteBBM!AA957</f>
        <v/>
      </c>
      <c r="O957" t="str">
        <f>PasteBBM!AB957</f>
        <v/>
      </c>
      <c r="P957" t="str">
        <f>PasteBBM!AC957</f>
        <v/>
      </c>
      <c r="Q957" t="str">
        <f>PasteBBM!AD957</f>
        <v/>
      </c>
      <c r="R957" t="str">
        <f>PasteBBM!AI957</f>
        <v/>
      </c>
      <c r="S957" t="str">
        <f>PasteBBM!AE957</f>
        <v/>
      </c>
      <c r="T957" t="str">
        <f>PasteBBM!AG957</f>
        <v/>
      </c>
      <c r="V957" s="44">
        <v>-0.41709</v>
      </c>
      <c r="W957" s="44">
        <v>-0.00658</v>
      </c>
      <c r="X957" s="44">
        <v>0.009207</v>
      </c>
      <c r="Y957" s="44">
        <v>-0.4263</v>
      </c>
      <c r="Z957" s="44">
        <v>-0.34564</v>
      </c>
      <c r="AA957" s="45"/>
      <c r="AB957" s="46" t="s">
        <v>126</v>
      </c>
      <c r="AC957" s="44">
        <v>67.0</v>
      </c>
    </row>
    <row r="958">
      <c r="A958" s="2">
        <v>163.0</v>
      </c>
      <c r="B958" s="14">
        <f>IF(PasteBBM!B958="",156,PasteBBM!B958)</f>
        <v>156</v>
      </c>
      <c r="C958" t="str">
        <f>PasteBBM!I958</f>
        <v/>
      </c>
      <c r="D958" t="str">
        <f>IFERROR(REPLACE(PasteBBM!K958,FIND("/",PasteBBM!K958,1),1,","),PasteBBM!K958)</f>
        <v/>
      </c>
      <c r="E958" t="str">
        <f>PasteBBM!J958</f>
        <v/>
      </c>
      <c r="F958" t="str">
        <f>PasteBBM!U958</f>
        <v/>
      </c>
      <c r="G958" t="str">
        <f>PasteBBM!X958</f>
        <v/>
      </c>
      <c r="H958">
        <f>PasteBBM!AE958*PasteBBM!AF958</f>
        <v>0</v>
      </c>
      <c r="I958" t="str">
        <f>PasteBBM!AE958</f>
        <v/>
      </c>
      <c r="J958">
        <f>PasteBBM!AG958*PasteBBM!AH958</f>
        <v>0</v>
      </c>
      <c r="K958" t="str">
        <f>PasteBBM!AG958</f>
        <v/>
      </c>
      <c r="L958" t="str">
        <f>PasteBBM!Z958</f>
        <v/>
      </c>
      <c r="M958" t="str">
        <f>PasteBBM!Y958</f>
        <v/>
      </c>
      <c r="N958" t="str">
        <f>PasteBBM!AA958</f>
        <v/>
      </c>
      <c r="O958" t="str">
        <f>PasteBBM!AB958</f>
        <v/>
      </c>
      <c r="P958" t="str">
        <f>PasteBBM!AC958</f>
        <v/>
      </c>
      <c r="Q958" t="str">
        <f>PasteBBM!AD958</f>
        <v/>
      </c>
      <c r="R958" t="str">
        <f>PasteBBM!AI958</f>
        <v/>
      </c>
      <c r="S958" t="str">
        <f>PasteBBM!AE958</f>
        <v/>
      </c>
      <c r="T958" t="str">
        <f>PasteBBM!AG958</f>
        <v/>
      </c>
      <c r="V958" s="44">
        <v>-0.41709</v>
      </c>
      <c r="W958" s="44">
        <v>-0.00658</v>
      </c>
      <c r="X958" s="44">
        <v>0.009207</v>
      </c>
      <c r="Y958" s="44">
        <v>-0.4263</v>
      </c>
      <c r="Z958" s="44">
        <v>-0.34564</v>
      </c>
      <c r="AA958" s="45"/>
      <c r="AB958" s="46" t="s">
        <v>126</v>
      </c>
      <c r="AC958" s="44">
        <v>67.0</v>
      </c>
    </row>
    <row r="959">
      <c r="A959" s="2">
        <v>163.0</v>
      </c>
      <c r="B959" s="14">
        <f>IF(PasteBBM!B959="",156,PasteBBM!B959)</f>
        <v>156</v>
      </c>
      <c r="C959" t="str">
        <f>PasteBBM!I959</f>
        <v/>
      </c>
      <c r="D959" t="str">
        <f>IFERROR(REPLACE(PasteBBM!K959,FIND("/",PasteBBM!K959,1),1,","),PasteBBM!K959)</f>
        <v/>
      </c>
      <c r="E959" t="str">
        <f>PasteBBM!J959</f>
        <v/>
      </c>
      <c r="F959" t="str">
        <f>PasteBBM!U959</f>
        <v/>
      </c>
      <c r="G959" t="str">
        <f>PasteBBM!X959</f>
        <v/>
      </c>
      <c r="H959">
        <f>PasteBBM!AE959*PasteBBM!AF959</f>
        <v>0</v>
      </c>
      <c r="I959" t="str">
        <f>PasteBBM!AE959</f>
        <v/>
      </c>
      <c r="J959">
        <f>PasteBBM!AG959*PasteBBM!AH959</f>
        <v>0</v>
      </c>
      <c r="K959" t="str">
        <f>PasteBBM!AG959</f>
        <v/>
      </c>
      <c r="L959" t="str">
        <f>PasteBBM!Z959</f>
        <v/>
      </c>
      <c r="M959" t="str">
        <f>PasteBBM!Y959</f>
        <v/>
      </c>
      <c r="N959" t="str">
        <f>PasteBBM!AA959</f>
        <v/>
      </c>
      <c r="O959" t="str">
        <f>PasteBBM!AB959</f>
        <v/>
      </c>
      <c r="P959" t="str">
        <f>PasteBBM!AC959</f>
        <v/>
      </c>
      <c r="Q959" t="str">
        <f>PasteBBM!AD959</f>
        <v/>
      </c>
      <c r="R959" t="str">
        <f>PasteBBM!AI959</f>
        <v/>
      </c>
      <c r="S959" t="str">
        <f>PasteBBM!AE959</f>
        <v/>
      </c>
      <c r="T959" t="str">
        <f>PasteBBM!AG959</f>
        <v/>
      </c>
      <c r="V959" s="44">
        <v>-0.41709</v>
      </c>
      <c r="W959" s="44">
        <v>-0.00658</v>
      </c>
      <c r="X959" s="44">
        <v>0.009207</v>
      </c>
      <c r="Y959" s="44">
        <v>-0.4263</v>
      </c>
      <c r="Z959" s="44">
        <v>-0.34564</v>
      </c>
      <c r="AA959" s="45"/>
      <c r="AB959" s="46" t="s">
        <v>126</v>
      </c>
      <c r="AC959" s="44">
        <v>67.0</v>
      </c>
    </row>
    <row r="960">
      <c r="A960" s="2">
        <v>163.0</v>
      </c>
      <c r="B960" s="14">
        <f>IF(PasteBBM!B960="",156,PasteBBM!B960)</f>
        <v>156</v>
      </c>
      <c r="C960" t="str">
        <f>PasteBBM!I960</f>
        <v/>
      </c>
      <c r="D960" t="str">
        <f>IFERROR(REPLACE(PasteBBM!K960,FIND("/",PasteBBM!K960,1),1,","),PasteBBM!K960)</f>
        <v/>
      </c>
      <c r="E960" t="str">
        <f>PasteBBM!J960</f>
        <v/>
      </c>
      <c r="F960" t="str">
        <f>PasteBBM!U960</f>
        <v/>
      </c>
      <c r="G960" t="str">
        <f>PasteBBM!X960</f>
        <v/>
      </c>
      <c r="H960">
        <f>PasteBBM!AE960*PasteBBM!AF960</f>
        <v>0</v>
      </c>
      <c r="I960" t="str">
        <f>PasteBBM!AE960</f>
        <v/>
      </c>
      <c r="J960">
        <f>PasteBBM!AG960*PasteBBM!AH960</f>
        <v>0</v>
      </c>
      <c r="K960" t="str">
        <f>PasteBBM!AG960</f>
        <v/>
      </c>
      <c r="L960" t="str">
        <f>PasteBBM!Z960</f>
        <v/>
      </c>
      <c r="M960" t="str">
        <f>PasteBBM!Y960</f>
        <v/>
      </c>
      <c r="N960" t="str">
        <f>PasteBBM!AA960</f>
        <v/>
      </c>
      <c r="O960" t="str">
        <f>PasteBBM!AB960</f>
        <v/>
      </c>
      <c r="P960" t="str">
        <f>PasteBBM!AC960</f>
        <v/>
      </c>
      <c r="Q960" t="str">
        <f>PasteBBM!AD960</f>
        <v/>
      </c>
      <c r="R960" t="str">
        <f>PasteBBM!AI960</f>
        <v/>
      </c>
      <c r="S960" t="str">
        <f>PasteBBM!AE960</f>
        <v/>
      </c>
      <c r="T960" t="str">
        <f>PasteBBM!AG960</f>
        <v/>
      </c>
      <c r="V960" s="44">
        <v>-0.41709</v>
      </c>
      <c r="W960" s="44">
        <v>-0.00658</v>
      </c>
      <c r="X960" s="44">
        <v>0.009207</v>
      </c>
      <c r="Y960" s="44">
        <v>-0.4263</v>
      </c>
      <c r="Z960" s="44">
        <v>-0.34564</v>
      </c>
      <c r="AA960" s="45"/>
      <c r="AB960" s="46" t="s">
        <v>126</v>
      </c>
      <c r="AC960" s="44">
        <v>67.0</v>
      </c>
    </row>
    <row r="961">
      <c r="A961" s="2">
        <v>163.0</v>
      </c>
      <c r="B961" s="14">
        <f>IF(PasteBBM!B961="",156,PasteBBM!B961)</f>
        <v>156</v>
      </c>
      <c r="C961" t="str">
        <f>PasteBBM!I961</f>
        <v/>
      </c>
      <c r="D961" t="str">
        <f>IFERROR(REPLACE(PasteBBM!K961,FIND("/",PasteBBM!K961,1),1,","),PasteBBM!K961)</f>
        <v/>
      </c>
      <c r="E961" t="str">
        <f>PasteBBM!J961</f>
        <v/>
      </c>
      <c r="F961" t="str">
        <f>PasteBBM!U961</f>
        <v/>
      </c>
      <c r="G961" t="str">
        <f>PasteBBM!X961</f>
        <v/>
      </c>
      <c r="H961">
        <f>PasteBBM!AE961*PasteBBM!AF961</f>
        <v>0</v>
      </c>
      <c r="I961" t="str">
        <f>PasteBBM!AE961</f>
        <v/>
      </c>
      <c r="J961">
        <f>PasteBBM!AG961*PasteBBM!AH961</f>
        <v>0</v>
      </c>
      <c r="K961" t="str">
        <f>PasteBBM!AG961</f>
        <v/>
      </c>
      <c r="L961" t="str">
        <f>PasteBBM!Z961</f>
        <v/>
      </c>
      <c r="M961" t="str">
        <f>PasteBBM!Y961</f>
        <v/>
      </c>
      <c r="N961" t="str">
        <f>PasteBBM!AA961</f>
        <v/>
      </c>
      <c r="O961" t="str">
        <f>PasteBBM!AB961</f>
        <v/>
      </c>
      <c r="P961" t="str">
        <f>PasteBBM!AC961</f>
        <v/>
      </c>
      <c r="Q961" t="str">
        <f>PasteBBM!AD961</f>
        <v/>
      </c>
      <c r="R961" t="str">
        <f>PasteBBM!AI961</f>
        <v/>
      </c>
      <c r="S961" t="str">
        <f>PasteBBM!AE961</f>
        <v/>
      </c>
      <c r="T961" t="str">
        <f>PasteBBM!AG961</f>
        <v/>
      </c>
      <c r="V961" s="44">
        <v>-0.41709</v>
      </c>
      <c r="W961" s="44">
        <v>-0.00658</v>
      </c>
      <c r="X961" s="44">
        <v>0.009207</v>
      </c>
      <c r="Y961" s="44">
        <v>-0.4263</v>
      </c>
      <c r="Z961" s="44">
        <v>-0.34564</v>
      </c>
      <c r="AA961" s="45"/>
      <c r="AB961" s="46" t="s">
        <v>126</v>
      </c>
      <c r="AC961" s="44">
        <v>67.0</v>
      </c>
    </row>
    <row r="962">
      <c r="A962" s="2">
        <v>163.0</v>
      </c>
      <c r="B962" s="14">
        <f>IF(PasteBBM!B962="",156,PasteBBM!B962)</f>
        <v>156</v>
      </c>
      <c r="C962" t="str">
        <f>PasteBBM!I962</f>
        <v/>
      </c>
      <c r="D962" t="str">
        <f>IFERROR(REPLACE(PasteBBM!K962,FIND("/",PasteBBM!K962,1),1,","),PasteBBM!K962)</f>
        <v/>
      </c>
      <c r="E962" t="str">
        <f>PasteBBM!J962</f>
        <v/>
      </c>
      <c r="F962" t="str">
        <f>PasteBBM!U962</f>
        <v/>
      </c>
      <c r="G962" t="str">
        <f>PasteBBM!X962</f>
        <v/>
      </c>
      <c r="H962">
        <f>PasteBBM!AE962*PasteBBM!AF962</f>
        <v>0</v>
      </c>
      <c r="I962" t="str">
        <f>PasteBBM!AE962</f>
        <v/>
      </c>
      <c r="J962">
        <f>PasteBBM!AG962*PasteBBM!AH962</f>
        <v>0</v>
      </c>
      <c r="K962" t="str">
        <f>PasteBBM!AG962</f>
        <v/>
      </c>
      <c r="L962" t="str">
        <f>PasteBBM!Z962</f>
        <v/>
      </c>
      <c r="M962" t="str">
        <f>PasteBBM!Y962</f>
        <v/>
      </c>
      <c r="N962" t="str">
        <f>PasteBBM!AA962</f>
        <v/>
      </c>
      <c r="O962" t="str">
        <f>PasteBBM!AB962</f>
        <v/>
      </c>
      <c r="P962" t="str">
        <f>PasteBBM!AC962</f>
        <v/>
      </c>
      <c r="Q962" t="str">
        <f>PasteBBM!AD962</f>
        <v/>
      </c>
      <c r="R962" t="str">
        <f>PasteBBM!AI962</f>
        <v/>
      </c>
      <c r="S962" t="str">
        <f>PasteBBM!AE962</f>
        <v/>
      </c>
      <c r="T962" t="str">
        <f>PasteBBM!AG962</f>
        <v/>
      </c>
      <c r="V962" s="44">
        <v>-0.41709</v>
      </c>
      <c r="W962" s="44">
        <v>-0.00658</v>
      </c>
      <c r="X962" s="44">
        <v>0.009207</v>
      </c>
      <c r="Y962" s="44">
        <v>-0.4263</v>
      </c>
      <c r="Z962" s="44">
        <v>-0.34564</v>
      </c>
      <c r="AA962" s="45"/>
      <c r="AB962" s="46" t="s">
        <v>126</v>
      </c>
      <c r="AC962" s="44">
        <v>67.0</v>
      </c>
    </row>
    <row r="963">
      <c r="A963" s="2">
        <v>163.0</v>
      </c>
      <c r="B963" s="14">
        <f>IF(PasteBBM!B963="",156,PasteBBM!B963)</f>
        <v>156</v>
      </c>
      <c r="C963" t="str">
        <f>PasteBBM!I963</f>
        <v/>
      </c>
      <c r="D963" t="str">
        <f>IFERROR(REPLACE(PasteBBM!K963,FIND("/",PasteBBM!K963,1),1,","),PasteBBM!K963)</f>
        <v/>
      </c>
      <c r="E963" t="str">
        <f>PasteBBM!J963</f>
        <v/>
      </c>
      <c r="F963" t="str">
        <f>PasteBBM!U963</f>
        <v/>
      </c>
      <c r="G963" t="str">
        <f>PasteBBM!X963</f>
        <v/>
      </c>
      <c r="H963">
        <f>PasteBBM!AE963*PasteBBM!AF963</f>
        <v>0</v>
      </c>
      <c r="I963" t="str">
        <f>PasteBBM!AE963</f>
        <v/>
      </c>
      <c r="J963">
        <f>PasteBBM!AG963*PasteBBM!AH963</f>
        <v>0</v>
      </c>
      <c r="K963" t="str">
        <f>PasteBBM!AG963</f>
        <v/>
      </c>
      <c r="L963" t="str">
        <f>PasteBBM!Z963</f>
        <v/>
      </c>
      <c r="M963" t="str">
        <f>PasteBBM!Y963</f>
        <v/>
      </c>
      <c r="N963" t="str">
        <f>PasteBBM!AA963</f>
        <v/>
      </c>
      <c r="O963" t="str">
        <f>PasteBBM!AB963</f>
        <v/>
      </c>
      <c r="P963" t="str">
        <f>PasteBBM!AC963</f>
        <v/>
      </c>
      <c r="Q963" t="str">
        <f>PasteBBM!AD963</f>
        <v/>
      </c>
      <c r="R963" t="str">
        <f>PasteBBM!AI963</f>
        <v/>
      </c>
      <c r="S963" t="str">
        <f>PasteBBM!AE963</f>
        <v/>
      </c>
      <c r="T963" t="str">
        <f>PasteBBM!AG963</f>
        <v/>
      </c>
      <c r="V963" s="44">
        <v>-0.41709</v>
      </c>
      <c r="W963" s="44">
        <v>-0.00658</v>
      </c>
      <c r="X963" s="44">
        <v>0.009207</v>
      </c>
      <c r="Y963" s="44">
        <v>-0.4263</v>
      </c>
      <c r="Z963" s="44">
        <v>-0.34564</v>
      </c>
      <c r="AA963" s="45"/>
      <c r="AB963" s="46" t="s">
        <v>126</v>
      </c>
      <c r="AC963" s="44">
        <v>67.0</v>
      </c>
    </row>
    <row r="964">
      <c r="A964" s="2">
        <v>163.0</v>
      </c>
      <c r="B964" s="14">
        <f>IF(PasteBBM!B964="",156,PasteBBM!B964)</f>
        <v>156</v>
      </c>
      <c r="C964" t="str">
        <f>PasteBBM!I964</f>
        <v/>
      </c>
      <c r="D964" t="str">
        <f>IFERROR(REPLACE(PasteBBM!K964,FIND("/",PasteBBM!K964,1),1,","),PasteBBM!K964)</f>
        <v/>
      </c>
      <c r="E964" t="str">
        <f>PasteBBM!J964</f>
        <v/>
      </c>
      <c r="F964" t="str">
        <f>PasteBBM!U964</f>
        <v/>
      </c>
      <c r="G964" t="str">
        <f>PasteBBM!X964</f>
        <v/>
      </c>
      <c r="H964">
        <f>PasteBBM!AE964*PasteBBM!AF964</f>
        <v>0</v>
      </c>
      <c r="I964" t="str">
        <f>PasteBBM!AE964</f>
        <v/>
      </c>
      <c r="J964">
        <f>PasteBBM!AG964*PasteBBM!AH964</f>
        <v>0</v>
      </c>
      <c r="K964" t="str">
        <f>PasteBBM!AG964</f>
        <v/>
      </c>
      <c r="L964" t="str">
        <f>PasteBBM!Z964</f>
        <v/>
      </c>
      <c r="M964" t="str">
        <f>PasteBBM!Y964</f>
        <v/>
      </c>
      <c r="N964" t="str">
        <f>PasteBBM!AA964</f>
        <v/>
      </c>
      <c r="O964" t="str">
        <f>PasteBBM!AB964</f>
        <v/>
      </c>
      <c r="P964" t="str">
        <f>PasteBBM!AC964</f>
        <v/>
      </c>
      <c r="Q964" t="str">
        <f>PasteBBM!AD964</f>
        <v/>
      </c>
      <c r="R964" t="str">
        <f>PasteBBM!AI964</f>
        <v/>
      </c>
      <c r="S964" t="str">
        <f>PasteBBM!AE964</f>
        <v/>
      </c>
      <c r="T964" t="str">
        <f>PasteBBM!AG964</f>
        <v/>
      </c>
      <c r="V964" s="44">
        <v>-0.41709</v>
      </c>
      <c r="W964" s="44">
        <v>-0.00658</v>
      </c>
      <c r="X964" s="44">
        <v>0.009207</v>
      </c>
      <c r="Y964" s="44">
        <v>-0.4263</v>
      </c>
      <c r="Z964" s="44">
        <v>-0.34564</v>
      </c>
      <c r="AA964" s="45"/>
      <c r="AB964" s="46" t="s">
        <v>126</v>
      </c>
      <c r="AC964" s="44">
        <v>67.0</v>
      </c>
    </row>
    <row r="965">
      <c r="A965" s="2">
        <v>163.0</v>
      </c>
      <c r="B965" s="14">
        <f>IF(PasteBBM!B965="",156,PasteBBM!B965)</f>
        <v>156</v>
      </c>
      <c r="C965" t="str">
        <f>PasteBBM!I965</f>
        <v/>
      </c>
      <c r="D965" t="str">
        <f>IFERROR(REPLACE(PasteBBM!K965,FIND("/",PasteBBM!K965,1),1,","),PasteBBM!K965)</f>
        <v/>
      </c>
      <c r="E965" t="str">
        <f>PasteBBM!J965</f>
        <v/>
      </c>
      <c r="F965" t="str">
        <f>PasteBBM!U965</f>
        <v/>
      </c>
      <c r="G965" t="str">
        <f>PasteBBM!X965</f>
        <v/>
      </c>
      <c r="H965">
        <f>PasteBBM!AE965*PasteBBM!AF965</f>
        <v>0</v>
      </c>
      <c r="I965" t="str">
        <f>PasteBBM!AE965</f>
        <v/>
      </c>
      <c r="J965">
        <f>PasteBBM!AG965*PasteBBM!AH965</f>
        <v>0</v>
      </c>
      <c r="K965" t="str">
        <f>PasteBBM!AG965</f>
        <v/>
      </c>
      <c r="L965" t="str">
        <f>PasteBBM!Z965</f>
        <v/>
      </c>
      <c r="M965" t="str">
        <f>PasteBBM!Y965</f>
        <v/>
      </c>
      <c r="N965" t="str">
        <f>PasteBBM!AA965</f>
        <v/>
      </c>
      <c r="O965" t="str">
        <f>PasteBBM!AB965</f>
        <v/>
      </c>
      <c r="P965" t="str">
        <f>PasteBBM!AC965</f>
        <v/>
      </c>
      <c r="Q965" t="str">
        <f>PasteBBM!AD965</f>
        <v/>
      </c>
      <c r="R965" t="str">
        <f>PasteBBM!AI965</f>
        <v/>
      </c>
      <c r="S965" t="str">
        <f>PasteBBM!AE965</f>
        <v/>
      </c>
      <c r="T965" t="str">
        <f>PasteBBM!AG965</f>
        <v/>
      </c>
      <c r="V965" s="44">
        <v>-0.41709</v>
      </c>
      <c r="W965" s="44">
        <v>-0.00658</v>
      </c>
      <c r="X965" s="44">
        <v>0.009207</v>
      </c>
      <c r="Y965" s="44">
        <v>-0.4263</v>
      </c>
      <c r="Z965" s="44">
        <v>-0.34564</v>
      </c>
      <c r="AA965" s="45"/>
      <c r="AB965" s="46" t="s">
        <v>126</v>
      </c>
      <c r="AC965" s="44">
        <v>67.0</v>
      </c>
    </row>
    <row r="966">
      <c r="A966" s="2">
        <v>163.0</v>
      </c>
      <c r="B966" s="14">
        <f>IF(PasteBBM!B966="",156,PasteBBM!B966)</f>
        <v>156</v>
      </c>
      <c r="C966" t="str">
        <f>PasteBBM!I966</f>
        <v/>
      </c>
      <c r="D966" t="str">
        <f>IFERROR(REPLACE(PasteBBM!K966,FIND("/",PasteBBM!K966,1),1,","),PasteBBM!K966)</f>
        <v/>
      </c>
      <c r="E966" t="str">
        <f>PasteBBM!J966</f>
        <v/>
      </c>
      <c r="F966" t="str">
        <f>PasteBBM!U966</f>
        <v/>
      </c>
      <c r="G966" t="str">
        <f>PasteBBM!X966</f>
        <v/>
      </c>
      <c r="H966">
        <f>PasteBBM!AE966*PasteBBM!AF966</f>
        <v>0</v>
      </c>
      <c r="I966" t="str">
        <f>PasteBBM!AE966</f>
        <v/>
      </c>
      <c r="J966">
        <f>PasteBBM!AG966*PasteBBM!AH966</f>
        <v>0</v>
      </c>
      <c r="K966" t="str">
        <f>PasteBBM!AG966</f>
        <v/>
      </c>
      <c r="L966" t="str">
        <f>PasteBBM!Z966</f>
        <v/>
      </c>
      <c r="M966" t="str">
        <f>PasteBBM!Y966</f>
        <v/>
      </c>
      <c r="N966" t="str">
        <f>PasteBBM!AA966</f>
        <v/>
      </c>
      <c r="O966" t="str">
        <f>PasteBBM!AB966</f>
        <v/>
      </c>
      <c r="P966" t="str">
        <f>PasteBBM!AC966</f>
        <v/>
      </c>
      <c r="Q966" t="str">
        <f>PasteBBM!AD966</f>
        <v/>
      </c>
      <c r="R966" t="str">
        <f>PasteBBM!AI966</f>
        <v/>
      </c>
      <c r="S966" t="str">
        <f>PasteBBM!AE966</f>
        <v/>
      </c>
      <c r="T966" t="str">
        <f>PasteBBM!AG966</f>
        <v/>
      </c>
      <c r="V966" s="44">
        <v>-0.41709</v>
      </c>
      <c r="W966" s="44">
        <v>-0.00658</v>
      </c>
      <c r="X966" s="44">
        <v>0.009207</v>
      </c>
      <c r="Y966" s="44">
        <v>-0.4263</v>
      </c>
      <c r="Z966" s="44">
        <v>-0.34564</v>
      </c>
      <c r="AA966" s="45"/>
      <c r="AB966" s="46" t="s">
        <v>126</v>
      </c>
      <c r="AC966" s="44">
        <v>67.0</v>
      </c>
    </row>
    <row r="967">
      <c r="A967" s="2">
        <v>163.0</v>
      </c>
      <c r="B967" s="14">
        <f>IF(PasteBBM!B967="",156,PasteBBM!B967)</f>
        <v>156</v>
      </c>
      <c r="C967" t="str">
        <f>PasteBBM!I967</f>
        <v/>
      </c>
      <c r="D967" t="str">
        <f>IFERROR(REPLACE(PasteBBM!K967,FIND("/",PasteBBM!K967,1),1,","),PasteBBM!K967)</f>
        <v/>
      </c>
      <c r="E967" t="str">
        <f>PasteBBM!J967</f>
        <v/>
      </c>
      <c r="F967" t="str">
        <f>PasteBBM!U967</f>
        <v/>
      </c>
      <c r="G967" t="str">
        <f>PasteBBM!X967</f>
        <v/>
      </c>
      <c r="H967">
        <f>PasteBBM!AE967*PasteBBM!AF967</f>
        <v>0</v>
      </c>
      <c r="I967" t="str">
        <f>PasteBBM!AE967</f>
        <v/>
      </c>
      <c r="J967">
        <f>PasteBBM!AG967*PasteBBM!AH967</f>
        <v>0</v>
      </c>
      <c r="K967" t="str">
        <f>PasteBBM!AG967</f>
        <v/>
      </c>
      <c r="L967" t="str">
        <f>PasteBBM!Z967</f>
        <v/>
      </c>
      <c r="M967" t="str">
        <f>PasteBBM!Y967</f>
        <v/>
      </c>
      <c r="N967" t="str">
        <f>PasteBBM!AA967</f>
        <v/>
      </c>
      <c r="O967" t="str">
        <f>PasteBBM!AB967</f>
        <v/>
      </c>
      <c r="P967" t="str">
        <f>PasteBBM!AC967</f>
        <v/>
      </c>
      <c r="Q967" t="str">
        <f>PasteBBM!AD967</f>
        <v/>
      </c>
      <c r="R967" t="str">
        <f>PasteBBM!AI967</f>
        <v/>
      </c>
      <c r="S967" t="str">
        <f>PasteBBM!AE967</f>
        <v/>
      </c>
      <c r="T967" t="str">
        <f>PasteBBM!AG967</f>
        <v/>
      </c>
      <c r="V967" s="44">
        <v>-0.41709</v>
      </c>
      <c r="W967" s="44">
        <v>-0.00658</v>
      </c>
      <c r="X967" s="44">
        <v>0.009207</v>
      </c>
      <c r="Y967" s="44">
        <v>-0.4263</v>
      </c>
      <c r="Z967" s="44">
        <v>-0.34564</v>
      </c>
      <c r="AA967" s="45"/>
      <c r="AB967" s="46" t="s">
        <v>126</v>
      </c>
      <c r="AC967" s="44">
        <v>67.0</v>
      </c>
    </row>
    <row r="968">
      <c r="A968" s="2">
        <v>163.0</v>
      </c>
      <c r="B968" s="14">
        <f>IF(PasteBBM!B968="",156,PasteBBM!B968)</f>
        <v>156</v>
      </c>
      <c r="C968" t="str">
        <f>PasteBBM!I968</f>
        <v/>
      </c>
      <c r="D968" t="str">
        <f>IFERROR(REPLACE(PasteBBM!K968,FIND("/",PasteBBM!K968,1),1,","),PasteBBM!K968)</f>
        <v/>
      </c>
      <c r="E968" t="str">
        <f>PasteBBM!J968</f>
        <v/>
      </c>
      <c r="F968" t="str">
        <f>PasteBBM!U968</f>
        <v/>
      </c>
      <c r="G968" t="str">
        <f>PasteBBM!X968</f>
        <v/>
      </c>
      <c r="H968">
        <f>PasteBBM!AE968*PasteBBM!AF968</f>
        <v>0</v>
      </c>
      <c r="I968" t="str">
        <f>PasteBBM!AE968</f>
        <v/>
      </c>
      <c r="J968">
        <f>PasteBBM!AG968*PasteBBM!AH968</f>
        <v>0</v>
      </c>
      <c r="K968" t="str">
        <f>PasteBBM!AG968</f>
        <v/>
      </c>
      <c r="L968" t="str">
        <f>PasteBBM!Z968</f>
        <v/>
      </c>
      <c r="M968" t="str">
        <f>PasteBBM!Y968</f>
        <v/>
      </c>
      <c r="N968" t="str">
        <f>PasteBBM!AA968</f>
        <v/>
      </c>
      <c r="O968" t="str">
        <f>PasteBBM!AB968</f>
        <v/>
      </c>
      <c r="P968" t="str">
        <f>PasteBBM!AC968</f>
        <v/>
      </c>
      <c r="Q968" t="str">
        <f>PasteBBM!AD968</f>
        <v/>
      </c>
      <c r="R968" t="str">
        <f>PasteBBM!AI968</f>
        <v/>
      </c>
      <c r="S968" t="str">
        <f>PasteBBM!AE968</f>
        <v/>
      </c>
      <c r="T968" t="str">
        <f>PasteBBM!AG968</f>
        <v/>
      </c>
      <c r="V968" s="44">
        <v>-0.41709</v>
      </c>
      <c r="W968" s="44">
        <v>-0.00658</v>
      </c>
      <c r="X968" s="44">
        <v>0.009207</v>
      </c>
      <c r="Y968" s="44">
        <v>-0.4263</v>
      </c>
      <c r="Z968" s="44">
        <v>-0.34564</v>
      </c>
      <c r="AA968" s="45"/>
      <c r="AB968" s="46" t="s">
        <v>126</v>
      </c>
      <c r="AC968" s="44">
        <v>67.0</v>
      </c>
    </row>
    <row r="969">
      <c r="A969" s="2">
        <v>163.0</v>
      </c>
      <c r="B969" s="14">
        <f>IF(PasteBBM!B969="",156,PasteBBM!B969)</f>
        <v>156</v>
      </c>
      <c r="C969" t="str">
        <f>PasteBBM!I969</f>
        <v/>
      </c>
      <c r="D969" t="str">
        <f>IFERROR(REPLACE(PasteBBM!K969,FIND("/",PasteBBM!K969,1),1,","),PasteBBM!K969)</f>
        <v/>
      </c>
      <c r="E969" t="str">
        <f>PasteBBM!J969</f>
        <v/>
      </c>
      <c r="F969" t="str">
        <f>PasteBBM!U969</f>
        <v/>
      </c>
      <c r="G969" t="str">
        <f>PasteBBM!X969</f>
        <v/>
      </c>
      <c r="H969">
        <f>PasteBBM!AE969*PasteBBM!AF969</f>
        <v>0</v>
      </c>
      <c r="I969" t="str">
        <f>PasteBBM!AE969</f>
        <v/>
      </c>
      <c r="J969">
        <f>PasteBBM!AG969*PasteBBM!AH969</f>
        <v>0</v>
      </c>
      <c r="K969" t="str">
        <f>PasteBBM!AG969</f>
        <v/>
      </c>
      <c r="L969" t="str">
        <f>PasteBBM!Z969</f>
        <v/>
      </c>
      <c r="M969" t="str">
        <f>PasteBBM!Y969</f>
        <v/>
      </c>
      <c r="N969" t="str">
        <f>PasteBBM!AA969</f>
        <v/>
      </c>
      <c r="O969" t="str">
        <f>PasteBBM!AB969</f>
        <v/>
      </c>
      <c r="P969" t="str">
        <f>PasteBBM!AC969</f>
        <v/>
      </c>
      <c r="Q969" t="str">
        <f>PasteBBM!AD969</f>
        <v/>
      </c>
      <c r="R969" t="str">
        <f>PasteBBM!AI969</f>
        <v/>
      </c>
      <c r="S969" t="str">
        <f>PasteBBM!AE969</f>
        <v/>
      </c>
      <c r="T969" t="str">
        <f>PasteBBM!AG969</f>
        <v/>
      </c>
      <c r="V969" s="44">
        <v>-0.41709</v>
      </c>
      <c r="W969" s="44">
        <v>-0.00658</v>
      </c>
      <c r="X969" s="44">
        <v>0.009207</v>
      </c>
      <c r="Y969" s="44">
        <v>-0.4263</v>
      </c>
      <c r="Z969" s="44">
        <v>-0.34564</v>
      </c>
      <c r="AA969" s="45"/>
      <c r="AB969" s="46" t="s">
        <v>126</v>
      </c>
      <c r="AC969" s="44">
        <v>67.0</v>
      </c>
    </row>
    <row r="970">
      <c r="A970" s="2">
        <v>163.0</v>
      </c>
      <c r="B970" s="14">
        <f>IF(PasteBBM!B970="",156,PasteBBM!B970)</f>
        <v>156</v>
      </c>
      <c r="C970" t="str">
        <f>PasteBBM!I970</f>
        <v/>
      </c>
      <c r="D970" t="str">
        <f>IFERROR(REPLACE(PasteBBM!K970,FIND("/",PasteBBM!K970,1),1,","),PasteBBM!K970)</f>
        <v/>
      </c>
      <c r="E970" t="str">
        <f>PasteBBM!J970</f>
        <v/>
      </c>
      <c r="F970" t="str">
        <f>PasteBBM!U970</f>
        <v/>
      </c>
      <c r="G970" t="str">
        <f>PasteBBM!X970</f>
        <v/>
      </c>
      <c r="H970">
        <f>PasteBBM!AE970*PasteBBM!AF970</f>
        <v>0</v>
      </c>
      <c r="I970" t="str">
        <f>PasteBBM!AE970</f>
        <v/>
      </c>
      <c r="J970">
        <f>PasteBBM!AG970*PasteBBM!AH970</f>
        <v>0</v>
      </c>
      <c r="K970" t="str">
        <f>PasteBBM!AG970</f>
        <v/>
      </c>
      <c r="L970" t="str">
        <f>PasteBBM!Z970</f>
        <v/>
      </c>
      <c r="M970" t="str">
        <f>PasteBBM!Y970</f>
        <v/>
      </c>
      <c r="N970" t="str">
        <f>PasteBBM!AA970</f>
        <v/>
      </c>
      <c r="O970" t="str">
        <f>PasteBBM!AB970</f>
        <v/>
      </c>
      <c r="P970" t="str">
        <f>PasteBBM!AC970</f>
        <v/>
      </c>
      <c r="Q970" t="str">
        <f>PasteBBM!AD970</f>
        <v/>
      </c>
      <c r="R970" t="str">
        <f>PasteBBM!AI970</f>
        <v/>
      </c>
      <c r="S970" t="str">
        <f>PasteBBM!AE970</f>
        <v/>
      </c>
      <c r="T970" t="str">
        <f>PasteBBM!AG970</f>
        <v/>
      </c>
      <c r="V970" s="44">
        <v>-0.41709</v>
      </c>
      <c r="W970" s="44">
        <v>-0.00658</v>
      </c>
      <c r="X970" s="44">
        <v>0.009207</v>
      </c>
      <c r="Y970" s="44">
        <v>-0.4263</v>
      </c>
      <c r="Z970" s="44">
        <v>-0.34564</v>
      </c>
      <c r="AA970" s="45"/>
      <c r="AB970" s="46" t="s">
        <v>126</v>
      </c>
      <c r="AC970" s="44">
        <v>67.0</v>
      </c>
    </row>
    <row r="971">
      <c r="A971" s="2">
        <v>163.0</v>
      </c>
      <c r="B971" s="14">
        <f>IF(PasteBBM!B971="",156,PasteBBM!B971)</f>
        <v>156</v>
      </c>
      <c r="C971" t="str">
        <f>PasteBBM!I971</f>
        <v/>
      </c>
      <c r="D971" t="str">
        <f>IFERROR(REPLACE(PasteBBM!K971,FIND("/",PasteBBM!K971,1),1,","),PasteBBM!K971)</f>
        <v/>
      </c>
      <c r="E971" t="str">
        <f>PasteBBM!J971</f>
        <v/>
      </c>
      <c r="F971" t="str">
        <f>PasteBBM!U971</f>
        <v/>
      </c>
      <c r="G971" t="str">
        <f>PasteBBM!X971</f>
        <v/>
      </c>
      <c r="H971">
        <f>PasteBBM!AE971*PasteBBM!AF971</f>
        <v>0</v>
      </c>
      <c r="I971" t="str">
        <f>PasteBBM!AE971</f>
        <v/>
      </c>
      <c r="J971">
        <f>PasteBBM!AG971*PasteBBM!AH971</f>
        <v>0</v>
      </c>
      <c r="K971" t="str">
        <f>PasteBBM!AG971</f>
        <v/>
      </c>
      <c r="L971" t="str">
        <f>PasteBBM!Z971</f>
        <v/>
      </c>
      <c r="M971" t="str">
        <f>PasteBBM!Y971</f>
        <v/>
      </c>
      <c r="N971" t="str">
        <f>PasteBBM!AA971</f>
        <v/>
      </c>
      <c r="O971" t="str">
        <f>PasteBBM!AB971</f>
        <v/>
      </c>
      <c r="P971" t="str">
        <f>PasteBBM!AC971</f>
        <v/>
      </c>
      <c r="Q971" t="str">
        <f>PasteBBM!AD971</f>
        <v/>
      </c>
      <c r="R971" t="str">
        <f>PasteBBM!AI971</f>
        <v/>
      </c>
      <c r="S971" t="str">
        <f>PasteBBM!AE971</f>
        <v/>
      </c>
      <c r="T971" t="str">
        <f>PasteBBM!AG971</f>
        <v/>
      </c>
      <c r="V971" s="44">
        <v>-0.41709</v>
      </c>
      <c r="W971" s="44">
        <v>-0.00658</v>
      </c>
      <c r="X971" s="44">
        <v>0.009207</v>
      </c>
      <c r="Y971" s="44">
        <v>-0.4263</v>
      </c>
      <c r="Z971" s="44">
        <v>-0.34564</v>
      </c>
      <c r="AA971" s="45"/>
      <c r="AB971" s="46" t="s">
        <v>126</v>
      </c>
      <c r="AC971" s="44">
        <v>67.0</v>
      </c>
    </row>
    <row r="972">
      <c r="A972" s="2">
        <v>163.0</v>
      </c>
      <c r="B972" s="14">
        <f>IF(PasteBBM!B972="",156,PasteBBM!B972)</f>
        <v>156</v>
      </c>
      <c r="C972" t="str">
        <f>PasteBBM!I972</f>
        <v/>
      </c>
      <c r="D972" t="str">
        <f>IFERROR(REPLACE(PasteBBM!K972,FIND("/",PasteBBM!K972,1),1,","),PasteBBM!K972)</f>
        <v/>
      </c>
      <c r="E972" t="str">
        <f>PasteBBM!J972</f>
        <v/>
      </c>
      <c r="F972" t="str">
        <f>PasteBBM!U972</f>
        <v/>
      </c>
      <c r="G972" t="str">
        <f>PasteBBM!X972</f>
        <v/>
      </c>
      <c r="H972">
        <f>PasteBBM!AE972*PasteBBM!AF972</f>
        <v>0</v>
      </c>
      <c r="I972" t="str">
        <f>PasteBBM!AE972</f>
        <v/>
      </c>
      <c r="J972">
        <f>PasteBBM!AG972*PasteBBM!AH972</f>
        <v>0</v>
      </c>
      <c r="K972" t="str">
        <f>PasteBBM!AG972</f>
        <v/>
      </c>
      <c r="L972" t="str">
        <f>PasteBBM!Z972</f>
        <v/>
      </c>
      <c r="M972" t="str">
        <f>PasteBBM!Y972</f>
        <v/>
      </c>
      <c r="N972" t="str">
        <f>PasteBBM!AA972</f>
        <v/>
      </c>
      <c r="O972" t="str">
        <f>PasteBBM!AB972</f>
        <v/>
      </c>
      <c r="P972" t="str">
        <f>PasteBBM!AC972</f>
        <v/>
      </c>
      <c r="Q972" t="str">
        <f>PasteBBM!AD972</f>
        <v/>
      </c>
      <c r="R972" t="str">
        <f>PasteBBM!AI972</f>
        <v/>
      </c>
      <c r="S972" t="str">
        <f>PasteBBM!AE972</f>
        <v/>
      </c>
      <c r="T972" t="str">
        <f>PasteBBM!AG972</f>
        <v/>
      </c>
      <c r="V972" s="44">
        <v>-0.41709</v>
      </c>
      <c r="W972" s="44">
        <v>-0.00658</v>
      </c>
      <c r="X972" s="44">
        <v>0.009207</v>
      </c>
      <c r="Y972" s="44">
        <v>-0.4263</v>
      </c>
      <c r="Z972" s="44">
        <v>-0.34564</v>
      </c>
      <c r="AA972" s="45"/>
      <c r="AB972" s="46" t="s">
        <v>126</v>
      </c>
      <c r="AC972" s="44">
        <v>67.0</v>
      </c>
    </row>
    <row r="973">
      <c r="A973" s="2">
        <v>163.0</v>
      </c>
      <c r="B973" s="14">
        <f>IF(PasteBBM!B973="",156,PasteBBM!B973)</f>
        <v>156</v>
      </c>
      <c r="C973" t="str">
        <f>PasteBBM!I973</f>
        <v/>
      </c>
      <c r="D973" t="str">
        <f>IFERROR(REPLACE(PasteBBM!K973,FIND("/",PasteBBM!K973,1),1,","),PasteBBM!K973)</f>
        <v/>
      </c>
      <c r="E973" t="str">
        <f>PasteBBM!J973</f>
        <v/>
      </c>
      <c r="F973" t="str">
        <f>PasteBBM!U973</f>
        <v/>
      </c>
      <c r="G973" t="str">
        <f>PasteBBM!X973</f>
        <v/>
      </c>
      <c r="H973">
        <f>PasteBBM!AE973*PasteBBM!AF973</f>
        <v>0</v>
      </c>
      <c r="I973" t="str">
        <f>PasteBBM!AE973</f>
        <v/>
      </c>
      <c r="J973">
        <f>PasteBBM!AG973*PasteBBM!AH973</f>
        <v>0</v>
      </c>
      <c r="K973" t="str">
        <f>PasteBBM!AG973</f>
        <v/>
      </c>
      <c r="L973" t="str">
        <f>PasteBBM!Z973</f>
        <v/>
      </c>
      <c r="M973" t="str">
        <f>PasteBBM!Y973</f>
        <v/>
      </c>
      <c r="N973" t="str">
        <f>PasteBBM!AA973</f>
        <v/>
      </c>
      <c r="O973" t="str">
        <f>PasteBBM!AB973</f>
        <v/>
      </c>
      <c r="P973" t="str">
        <f>PasteBBM!AC973</f>
        <v/>
      </c>
      <c r="Q973" t="str">
        <f>PasteBBM!AD973</f>
        <v/>
      </c>
      <c r="R973" t="str">
        <f>PasteBBM!AI973</f>
        <v/>
      </c>
      <c r="S973" t="str">
        <f>PasteBBM!AE973</f>
        <v/>
      </c>
      <c r="T973" t="str">
        <f>PasteBBM!AG973</f>
        <v/>
      </c>
      <c r="V973" s="44">
        <v>-0.41709</v>
      </c>
      <c r="W973" s="44">
        <v>-0.00658</v>
      </c>
      <c r="X973" s="44">
        <v>0.009207</v>
      </c>
      <c r="Y973" s="44">
        <v>-0.4263</v>
      </c>
      <c r="Z973" s="44">
        <v>-0.34564</v>
      </c>
      <c r="AA973" s="45"/>
      <c r="AB973" s="46" t="s">
        <v>126</v>
      </c>
      <c r="AC973" s="44">
        <v>67.0</v>
      </c>
    </row>
    <row r="974">
      <c r="A974" s="2">
        <v>163.0</v>
      </c>
      <c r="B974" s="14">
        <f>IF(PasteBBM!B974="",156,PasteBBM!B974)</f>
        <v>156</v>
      </c>
      <c r="C974" t="str">
        <f>PasteBBM!I974</f>
        <v/>
      </c>
      <c r="D974" t="str">
        <f>IFERROR(REPLACE(PasteBBM!K974,FIND("/",PasteBBM!K974,1),1,","),PasteBBM!K974)</f>
        <v/>
      </c>
      <c r="E974" t="str">
        <f>PasteBBM!J974</f>
        <v/>
      </c>
      <c r="F974" t="str">
        <f>PasteBBM!U974</f>
        <v/>
      </c>
      <c r="G974" t="str">
        <f>PasteBBM!X974</f>
        <v/>
      </c>
      <c r="H974">
        <f>PasteBBM!AE974*PasteBBM!AF974</f>
        <v>0</v>
      </c>
      <c r="I974" t="str">
        <f>PasteBBM!AE974</f>
        <v/>
      </c>
      <c r="J974">
        <f>PasteBBM!AG974*PasteBBM!AH974</f>
        <v>0</v>
      </c>
      <c r="K974" t="str">
        <f>PasteBBM!AG974</f>
        <v/>
      </c>
      <c r="L974" t="str">
        <f>PasteBBM!Z974</f>
        <v/>
      </c>
      <c r="M974" t="str">
        <f>PasteBBM!Y974</f>
        <v/>
      </c>
      <c r="N974" t="str">
        <f>PasteBBM!AA974</f>
        <v/>
      </c>
      <c r="O974" t="str">
        <f>PasteBBM!AB974</f>
        <v/>
      </c>
      <c r="P974" t="str">
        <f>PasteBBM!AC974</f>
        <v/>
      </c>
      <c r="Q974" t="str">
        <f>PasteBBM!AD974</f>
        <v/>
      </c>
      <c r="R974" t="str">
        <f>PasteBBM!AI974</f>
        <v/>
      </c>
      <c r="S974" t="str">
        <f>PasteBBM!AE974</f>
        <v/>
      </c>
      <c r="T974" t="str">
        <f>PasteBBM!AG974</f>
        <v/>
      </c>
      <c r="V974" s="44">
        <v>-0.41709</v>
      </c>
      <c r="W974" s="44">
        <v>-0.00658</v>
      </c>
      <c r="X974" s="44">
        <v>0.009207</v>
      </c>
      <c r="Y974" s="44">
        <v>-0.4263</v>
      </c>
      <c r="Z974" s="44">
        <v>-0.34564</v>
      </c>
      <c r="AA974" s="45"/>
      <c r="AB974" s="46" t="s">
        <v>126</v>
      </c>
      <c r="AC974" s="44">
        <v>67.0</v>
      </c>
    </row>
    <row r="975">
      <c r="A975" s="2">
        <v>163.0</v>
      </c>
      <c r="B975" s="14">
        <f>IF(PasteBBM!B975="",156,PasteBBM!B975)</f>
        <v>156</v>
      </c>
      <c r="C975" t="str">
        <f>PasteBBM!I975</f>
        <v/>
      </c>
      <c r="D975" t="str">
        <f>IFERROR(REPLACE(PasteBBM!K975,FIND("/",PasteBBM!K975,1),1,","),PasteBBM!K975)</f>
        <v/>
      </c>
      <c r="E975" t="str">
        <f>PasteBBM!J975</f>
        <v/>
      </c>
      <c r="F975" t="str">
        <f>PasteBBM!U975</f>
        <v/>
      </c>
      <c r="G975" t="str">
        <f>PasteBBM!X975</f>
        <v/>
      </c>
      <c r="H975">
        <f>PasteBBM!AE975*PasteBBM!AF975</f>
        <v>0</v>
      </c>
      <c r="I975" t="str">
        <f>PasteBBM!AE975</f>
        <v/>
      </c>
      <c r="J975">
        <f>PasteBBM!AG975*PasteBBM!AH975</f>
        <v>0</v>
      </c>
      <c r="K975" t="str">
        <f>PasteBBM!AG975</f>
        <v/>
      </c>
      <c r="L975" t="str">
        <f>PasteBBM!Z975</f>
        <v/>
      </c>
      <c r="M975" t="str">
        <f>PasteBBM!Y975</f>
        <v/>
      </c>
      <c r="N975" t="str">
        <f>PasteBBM!AA975</f>
        <v/>
      </c>
      <c r="O975" t="str">
        <f>PasteBBM!AB975</f>
        <v/>
      </c>
      <c r="P975" t="str">
        <f>PasteBBM!AC975</f>
        <v/>
      </c>
      <c r="Q975" t="str">
        <f>PasteBBM!AD975</f>
        <v/>
      </c>
      <c r="R975" t="str">
        <f>PasteBBM!AI975</f>
        <v/>
      </c>
      <c r="S975" t="str">
        <f>PasteBBM!AE975</f>
        <v/>
      </c>
      <c r="T975" t="str">
        <f>PasteBBM!AG975</f>
        <v/>
      </c>
      <c r="V975" s="44">
        <v>-0.41709</v>
      </c>
      <c r="W975" s="44">
        <v>-0.00658</v>
      </c>
      <c r="X975" s="44">
        <v>0.009207</v>
      </c>
      <c r="Y975" s="44">
        <v>-0.4263</v>
      </c>
      <c r="Z975" s="44">
        <v>-0.34564</v>
      </c>
      <c r="AA975" s="45"/>
      <c r="AB975" s="46" t="s">
        <v>126</v>
      </c>
      <c r="AC975" s="44">
        <v>67.0</v>
      </c>
    </row>
    <row r="976">
      <c r="A976" s="2">
        <v>163.0</v>
      </c>
      <c r="B976" s="14">
        <f>IF(PasteBBM!B976="",156,PasteBBM!B976)</f>
        <v>156</v>
      </c>
      <c r="C976" t="str">
        <f>PasteBBM!I976</f>
        <v/>
      </c>
      <c r="D976" t="str">
        <f>IFERROR(REPLACE(PasteBBM!K976,FIND("/",PasteBBM!K976,1),1,","),PasteBBM!K976)</f>
        <v/>
      </c>
      <c r="E976" t="str">
        <f>PasteBBM!J976</f>
        <v/>
      </c>
      <c r="F976" t="str">
        <f>PasteBBM!U976</f>
        <v/>
      </c>
      <c r="G976" t="str">
        <f>PasteBBM!X976</f>
        <v/>
      </c>
      <c r="H976">
        <f>PasteBBM!AE976*PasteBBM!AF976</f>
        <v>0</v>
      </c>
      <c r="I976" t="str">
        <f>PasteBBM!AE976</f>
        <v/>
      </c>
      <c r="J976">
        <f>PasteBBM!AG976*PasteBBM!AH976</f>
        <v>0</v>
      </c>
      <c r="K976" t="str">
        <f>PasteBBM!AG976</f>
        <v/>
      </c>
      <c r="L976" t="str">
        <f>PasteBBM!Z976</f>
        <v/>
      </c>
      <c r="M976" t="str">
        <f>PasteBBM!Y976</f>
        <v/>
      </c>
      <c r="N976" t="str">
        <f>PasteBBM!AA976</f>
        <v/>
      </c>
      <c r="O976" t="str">
        <f>PasteBBM!AB976</f>
        <v/>
      </c>
      <c r="P976" t="str">
        <f>PasteBBM!AC976</f>
        <v/>
      </c>
      <c r="Q976" t="str">
        <f>PasteBBM!AD976</f>
        <v/>
      </c>
      <c r="R976" t="str">
        <f>PasteBBM!AI976</f>
        <v/>
      </c>
      <c r="S976" t="str">
        <f>PasteBBM!AE976</f>
        <v/>
      </c>
      <c r="T976" t="str">
        <f>PasteBBM!AG976</f>
        <v/>
      </c>
      <c r="V976" s="44">
        <v>-0.41709</v>
      </c>
      <c r="W976" s="44">
        <v>-0.00658</v>
      </c>
      <c r="X976" s="44">
        <v>0.009207</v>
      </c>
      <c r="Y976" s="44">
        <v>-0.4263</v>
      </c>
      <c r="Z976" s="44">
        <v>-0.34564</v>
      </c>
      <c r="AA976" s="45"/>
      <c r="AB976" s="46" t="s">
        <v>126</v>
      </c>
      <c r="AC976" s="44">
        <v>67.0</v>
      </c>
    </row>
    <row r="977">
      <c r="A977" s="2">
        <v>163.0</v>
      </c>
      <c r="B977" s="14">
        <f>IF(PasteBBM!B977="",156,PasteBBM!B977)</f>
        <v>156</v>
      </c>
      <c r="C977" t="str">
        <f>PasteBBM!I977</f>
        <v/>
      </c>
      <c r="D977" t="str">
        <f>IFERROR(REPLACE(PasteBBM!K977,FIND("/",PasteBBM!K977,1),1,","),PasteBBM!K977)</f>
        <v/>
      </c>
      <c r="E977" t="str">
        <f>PasteBBM!J977</f>
        <v/>
      </c>
      <c r="F977" t="str">
        <f>PasteBBM!U977</f>
        <v/>
      </c>
      <c r="G977" t="str">
        <f>PasteBBM!X977</f>
        <v/>
      </c>
      <c r="H977">
        <f>PasteBBM!AE977*PasteBBM!AF977</f>
        <v>0</v>
      </c>
      <c r="I977" t="str">
        <f>PasteBBM!AE977</f>
        <v/>
      </c>
      <c r="J977">
        <f>PasteBBM!AG977*PasteBBM!AH977</f>
        <v>0</v>
      </c>
      <c r="K977" t="str">
        <f>PasteBBM!AG977</f>
        <v/>
      </c>
      <c r="L977" t="str">
        <f>PasteBBM!Z977</f>
        <v/>
      </c>
      <c r="M977" t="str">
        <f>PasteBBM!Y977</f>
        <v/>
      </c>
      <c r="N977" t="str">
        <f>PasteBBM!AA977</f>
        <v/>
      </c>
      <c r="O977" t="str">
        <f>PasteBBM!AB977</f>
        <v/>
      </c>
      <c r="P977" t="str">
        <f>PasteBBM!AC977</f>
        <v/>
      </c>
      <c r="Q977" t="str">
        <f>PasteBBM!AD977</f>
        <v/>
      </c>
      <c r="R977" t="str">
        <f>PasteBBM!AI977</f>
        <v/>
      </c>
      <c r="S977" t="str">
        <f>PasteBBM!AE977</f>
        <v/>
      </c>
      <c r="T977" t="str">
        <f>PasteBBM!AG977</f>
        <v/>
      </c>
      <c r="V977" s="44">
        <v>-0.41709</v>
      </c>
      <c r="W977" s="44">
        <v>-0.00658</v>
      </c>
      <c r="X977" s="44">
        <v>0.009207</v>
      </c>
      <c r="Y977" s="44">
        <v>-0.4263</v>
      </c>
      <c r="Z977" s="44">
        <v>-0.34564</v>
      </c>
      <c r="AA977" s="45"/>
      <c r="AB977" s="46" t="s">
        <v>126</v>
      </c>
      <c r="AC977" s="44">
        <v>67.0</v>
      </c>
    </row>
    <row r="978">
      <c r="A978" s="2">
        <v>163.0</v>
      </c>
      <c r="B978" s="14">
        <f>IF(PasteBBM!B978="",156,PasteBBM!B978)</f>
        <v>156</v>
      </c>
      <c r="C978" t="str">
        <f>PasteBBM!I978</f>
        <v/>
      </c>
      <c r="D978" t="str">
        <f>IFERROR(REPLACE(PasteBBM!K978,FIND("/",PasteBBM!K978,1),1,","),PasteBBM!K978)</f>
        <v/>
      </c>
      <c r="E978" t="str">
        <f>PasteBBM!J978</f>
        <v/>
      </c>
      <c r="F978" t="str">
        <f>PasteBBM!U978</f>
        <v/>
      </c>
      <c r="G978" t="str">
        <f>PasteBBM!X978</f>
        <v/>
      </c>
      <c r="H978">
        <f>PasteBBM!AE978*PasteBBM!AF978</f>
        <v>0</v>
      </c>
      <c r="I978" t="str">
        <f>PasteBBM!AE978</f>
        <v/>
      </c>
      <c r="J978">
        <f>PasteBBM!AG978*PasteBBM!AH978</f>
        <v>0</v>
      </c>
      <c r="K978" t="str">
        <f>PasteBBM!AG978</f>
        <v/>
      </c>
      <c r="L978" t="str">
        <f>PasteBBM!Z978</f>
        <v/>
      </c>
      <c r="M978" t="str">
        <f>PasteBBM!Y978</f>
        <v/>
      </c>
      <c r="N978" t="str">
        <f>PasteBBM!AA978</f>
        <v/>
      </c>
      <c r="O978" t="str">
        <f>PasteBBM!AB978</f>
        <v/>
      </c>
      <c r="P978" t="str">
        <f>PasteBBM!AC978</f>
        <v/>
      </c>
      <c r="Q978" t="str">
        <f>PasteBBM!AD978</f>
        <v/>
      </c>
      <c r="R978" t="str">
        <f>PasteBBM!AI978</f>
        <v/>
      </c>
      <c r="S978" t="str">
        <f>PasteBBM!AE978</f>
        <v/>
      </c>
      <c r="T978" t="str">
        <f>PasteBBM!AG978</f>
        <v/>
      </c>
      <c r="V978" s="44">
        <v>-0.41709</v>
      </c>
      <c r="W978" s="44">
        <v>-0.00658</v>
      </c>
      <c r="X978" s="44">
        <v>0.009207</v>
      </c>
      <c r="Y978" s="44">
        <v>-0.4263</v>
      </c>
      <c r="Z978" s="44">
        <v>-0.34564</v>
      </c>
      <c r="AA978" s="45"/>
      <c r="AB978" s="46" t="s">
        <v>126</v>
      </c>
      <c r="AC978" s="44">
        <v>67.0</v>
      </c>
    </row>
    <row r="979">
      <c r="A979" s="2">
        <v>163.0</v>
      </c>
      <c r="B979" s="14">
        <f>IF(PasteBBM!B979="",156,PasteBBM!B979)</f>
        <v>156</v>
      </c>
      <c r="C979" t="str">
        <f>PasteBBM!I979</f>
        <v/>
      </c>
      <c r="D979" t="str">
        <f>IFERROR(REPLACE(PasteBBM!K979,FIND("/",PasteBBM!K979,1),1,","),PasteBBM!K979)</f>
        <v/>
      </c>
      <c r="E979" t="str">
        <f>PasteBBM!J979</f>
        <v/>
      </c>
      <c r="F979" t="str">
        <f>PasteBBM!U979</f>
        <v/>
      </c>
      <c r="G979" t="str">
        <f>PasteBBM!X979</f>
        <v/>
      </c>
      <c r="H979">
        <f>PasteBBM!AE979*PasteBBM!AF979</f>
        <v>0</v>
      </c>
      <c r="I979" t="str">
        <f>PasteBBM!AE979</f>
        <v/>
      </c>
      <c r="J979">
        <f>PasteBBM!AG979*PasteBBM!AH979</f>
        <v>0</v>
      </c>
      <c r="K979" t="str">
        <f>PasteBBM!AG979</f>
        <v/>
      </c>
      <c r="L979" t="str">
        <f>PasteBBM!Z979</f>
        <v/>
      </c>
      <c r="M979" t="str">
        <f>PasteBBM!Y979</f>
        <v/>
      </c>
      <c r="N979" t="str">
        <f>PasteBBM!AA979</f>
        <v/>
      </c>
      <c r="O979" t="str">
        <f>PasteBBM!AB979</f>
        <v/>
      </c>
      <c r="P979" t="str">
        <f>PasteBBM!AC979</f>
        <v/>
      </c>
      <c r="Q979" t="str">
        <f>PasteBBM!AD979</f>
        <v/>
      </c>
      <c r="R979" t="str">
        <f>PasteBBM!AI979</f>
        <v/>
      </c>
      <c r="S979" t="str">
        <f>PasteBBM!AE979</f>
        <v/>
      </c>
      <c r="T979" t="str">
        <f>PasteBBM!AG979</f>
        <v/>
      </c>
      <c r="V979" s="44">
        <v>-0.41709</v>
      </c>
      <c r="W979" s="44">
        <v>-0.00658</v>
      </c>
      <c r="X979" s="44">
        <v>0.009207</v>
      </c>
      <c r="Y979" s="44">
        <v>-0.4263</v>
      </c>
      <c r="Z979" s="44">
        <v>-0.34564</v>
      </c>
      <c r="AA979" s="45"/>
      <c r="AB979" s="46" t="s">
        <v>126</v>
      </c>
      <c r="AC979" s="44">
        <v>67.0</v>
      </c>
    </row>
    <row r="980">
      <c r="A980" s="2">
        <v>163.0</v>
      </c>
      <c r="B980" s="14">
        <f>IF(PasteBBM!B980="",156,PasteBBM!B980)</f>
        <v>156</v>
      </c>
      <c r="C980" t="str">
        <f>PasteBBM!I980</f>
        <v/>
      </c>
      <c r="D980" t="str">
        <f>IFERROR(REPLACE(PasteBBM!K980,FIND("/",PasteBBM!K980,1),1,","),PasteBBM!K980)</f>
        <v/>
      </c>
      <c r="E980" t="str">
        <f>PasteBBM!J980</f>
        <v/>
      </c>
      <c r="F980" t="str">
        <f>PasteBBM!U980</f>
        <v/>
      </c>
      <c r="G980" t="str">
        <f>PasteBBM!X980</f>
        <v/>
      </c>
      <c r="H980">
        <f>PasteBBM!AE980*PasteBBM!AF980</f>
        <v>0</v>
      </c>
      <c r="I980" t="str">
        <f>PasteBBM!AE980</f>
        <v/>
      </c>
      <c r="J980">
        <f>PasteBBM!AG980*PasteBBM!AH980</f>
        <v>0</v>
      </c>
      <c r="K980" t="str">
        <f>PasteBBM!AG980</f>
        <v/>
      </c>
      <c r="L980" t="str">
        <f>PasteBBM!Z980</f>
        <v/>
      </c>
      <c r="M980" t="str">
        <f>PasteBBM!Y980</f>
        <v/>
      </c>
      <c r="N980" t="str">
        <f>PasteBBM!AA980</f>
        <v/>
      </c>
      <c r="O980" t="str">
        <f>PasteBBM!AB980</f>
        <v/>
      </c>
      <c r="P980" t="str">
        <f>PasteBBM!AC980</f>
        <v/>
      </c>
      <c r="Q980" t="str">
        <f>PasteBBM!AD980</f>
        <v/>
      </c>
      <c r="R980" t="str">
        <f>PasteBBM!AI980</f>
        <v/>
      </c>
      <c r="S980" t="str">
        <f>PasteBBM!AE980</f>
        <v/>
      </c>
      <c r="T980" t="str">
        <f>PasteBBM!AG980</f>
        <v/>
      </c>
      <c r="V980" s="44">
        <v>-0.41709</v>
      </c>
      <c r="W980" s="44">
        <v>-0.00658</v>
      </c>
      <c r="X980" s="44">
        <v>0.009207</v>
      </c>
      <c r="Y980" s="44">
        <v>-0.4263</v>
      </c>
      <c r="Z980" s="44">
        <v>-0.34564</v>
      </c>
      <c r="AA980" s="45"/>
      <c r="AB980" s="46" t="s">
        <v>126</v>
      </c>
      <c r="AC980" s="44">
        <v>67.0</v>
      </c>
    </row>
    <row r="981">
      <c r="A981" s="2">
        <v>163.0</v>
      </c>
      <c r="B981" s="14">
        <f>IF(PasteBBM!B981="",156,PasteBBM!B981)</f>
        <v>156</v>
      </c>
      <c r="C981" t="str">
        <f>PasteBBM!I981</f>
        <v/>
      </c>
      <c r="D981" t="str">
        <f>IFERROR(REPLACE(PasteBBM!K981,FIND("/",PasteBBM!K981,1),1,","),PasteBBM!K981)</f>
        <v/>
      </c>
      <c r="E981" t="str">
        <f>PasteBBM!J981</f>
        <v/>
      </c>
      <c r="F981" t="str">
        <f>PasteBBM!U981</f>
        <v/>
      </c>
      <c r="G981" t="str">
        <f>PasteBBM!X981</f>
        <v/>
      </c>
      <c r="H981">
        <f>PasteBBM!AE981*PasteBBM!AF981</f>
        <v>0</v>
      </c>
      <c r="I981" t="str">
        <f>PasteBBM!AE981</f>
        <v/>
      </c>
      <c r="J981">
        <f>PasteBBM!AG981*PasteBBM!AH981</f>
        <v>0</v>
      </c>
      <c r="K981" t="str">
        <f>PasteBBM!AG981</f>
        <v/>
      </c>
      <c r="L981" t="str">
        <f>PasteBBM!Z981</f>
        <v/>
      </c>
      <c r="M981" t="str">
        <f>PasteBBM!Y981</f>
        <v/>
      </c>
      <c r="N981" t="str">
        <f>PasteBBM!AA981</f>
        <v/>
      </c>
      <c r="O981" t="str">
        <f>PasteBBM!AB981</f>
        <v/>
      </c>
      <c r="P981" t="str">
        <f>PasteBBM!AC981</f>
        <v/>
      </c>
      <c r="Q981" t="str">
        <f>PasteBBM!AD981</f>
        <v/>
      </c>
      <c r="R981" t="str">
        <f>PasteBBM!AI981</f>
        <v/>
      </c>
      <c r="S981" t="str">
        <f>PasteBBM!AE981</f>
        <v/>
      </c>
      <c r="T981" t="str">
        <f>PasteBBM!AG981</f>
        <v/>
      </c>
      <c r="V981" s="44">
        <v>-0.41709</v>
      </c>
      <c r="W981" s="44">
        <v>-0.00658</v>
      </c>
      <c r="X981" s="44">
        <v>0.009207</v>
      </c>
      <c r="Y981" s="44">
        <v>-0.4263</v>
      </c>
      <c r="Z981" s="44">
        <v>-0.34564</v>
      </c>
      <c r="AA981" s="45"/>
      <c r="AB981" s="46" t="s">
        <v>126</v>
      </c>
      <c r="AC981" s="44">
        <v>67.0</v>
      </c>
    </row>
    <row r="982">
      <c r="A982" s="2">
        <v>163.0</v>
      </c>
      <c r="B982" s="14">
        <f>IF(PasteBBM!B982="",156,PasteBBM!B982)</f>
        <v>156</v>
      </c>
      <c r="C982" t="str">
        <f>PasteBBM!I982</f>
        <v/>
      </c>
      <c r="D982" t="str">
        <f>IFERROR(REPLACE(PasteBBM!K982,FIND("/",PasteBBM!K982,1),1,","),PasteBBM!K982)</f>
        <v/>
      </c>
      <c r="E982" t="str">
        <f>PasteBBM!J982</f>
        <v/>
      </c>
      <c r="F982" t="str">
        <f>PasteBBM!U982</f>
        <v/>
      </c>
      <c r="G982" t="str">
        <f>PasteBBM!X982</f>
        <v/>
      </c>
      <c r="H982">
        <f>PasteBBM!AE982*PasteBBM!AF982</f>
        <v>0</v>
      </c>
      <c r="I982" t="str">
        <f>PasteBBM!AE982</f>
        <v/>
      </c>
      <c r="J982">
        <f>PasteBBM!AG982*PasteBBM!AH982</f>
        <v>0</v>
      </c>
      <c r="K982" t="str">
        <f>PasteBBM!AG982</f>
        <v/>
      </c>
      <c r="L982" t="str">
        <f>PasteBBM!Z982</f>
        <v/>
      </c>
      <c r="M982" t="str">
        <f>PasteBBM!Y982</f>
        <v/>
      </c>
      <c r="N982" t="str">
        <f>PasteBBM!AA982</f>
        <v/>
      </c>
      <c r="O982" t="str">
        <f>PasteBBM!AB982</f>
        <v/>
      </c>
      <c r="P982" t="str">
        <f>PasteBBM!AC982</f>
        <v/>
      </c>
      <c r="Q982" t="str">
        <f>PasteBBM!AD982</f>
        <v/>
      </c>
      <c r="R982" t="str">
        <f>PasteBBM!AI982</f>
        <v/>
      </c>
      <c r="S982" t="str">
        <f>PasteBBM!AE982</f>
        <v/>
      </c>
      <c r="T982" t="str">
        <f>PasteBBM!AG982</f>
        <v/>
      </c>
      <c r="V982" s="44">
        <v>-0.41709</v>
      </c>
      <c r="W982" s="44">
        <v>-0.00658</v>
      </c>
      <c r="X982" s="44">
        <v>0.009207</v>
      </c>
      <c r="Y982" s="44">
        <v>-0.4263</v>
      </c>
      <c r="Z982" s="44">
        <v>-0.34564</v>
      </c>
      <c r="AA982" s="45"/>
      <c r="AB982" s="46" t="s">
        <v>126</v>
      </c>
      <c r="AC982" s="44">
        <v>67.0</v>
      </c>
    </row>
    <row r="983">
      <c r="A983" s="2">
        <v>163.0</v>
      </c>
      <c r="B983" s="14">
        <f>IF(PasteBBM!B983="",156,PasteBBM!B983)</f>
        <v>156</v>
      </c>
      <c r="C983" t="str">
        <f>PasteBBM!I983</f>
        <v/>
      </c>
      <c r="D983" t="str">
        <f>IFERROR(REPLACE(PasteBBM!K983,FIND("/",PasteBBM!K983,1),1,","),PasteBBM!K983)</f>
        <v/>
      </c>
      <c r="E983" t="str">
        <f>PasteBBM!J983</f>
        <v/>
      </c>
      <c r="F983" t="str">
        <f>PasteBBM!U983</f>
        <v/>
      </c>
      <c r="G983" t="str">
        <f>PasteBBM!X983</f>
        <v/>
      </c>
      <c r="H983">
        <f>PasteBBM!AE983*PasteBBM!AF983</f>
        <v>0</v>
      </c>
      <c r="I983" t="str">
        <f>PasteBBM!AE983</f>
        <v/>
      </c>
      <c r="J983">
        <f>PasteBBM!AG983*PasteBBM!AH983</f>
        <v>0</v>
      </c>
      <c r="K983" t="str">
        <f>PasteBBM!AG983</f>
        <v/>
      </c>
      <c r="L983" t="str">
        <f>PasteBBM!Z983</f>
        <v/>
      </c>
      <c r="M983" t="str">
        <f>PasteBBM!Y983</f>
        <v/>
      </c>
      <c r="N983" t="str">
        <f>PasteBBM!AA983</f>
        <v/>
      </c>
      <c r="O983" t="str">
        <f>PasteBBM!AB983</f>
        <v/>
      </c>
      <c r="P983" t="str">
        <f>PasteBBM!AC983</f>
        <v/>
      </c>
      <c r="Q983" t="str">
        <f>PasteBBM!AD983</f>
        <v/>
      </c>
      <c r="R983" t="str">
        <f>PasteBBM!AI983</f>
        <v/>
      </c>
      <c r="S983" t="str">
        <f>PasteBBM!AE983</f>
        <v/>
      </c>
      <c r="T983" t="str">
        <f>PasteBBM!AG983</f>
        <v/>
      </c>
      <c r="V983" s="44">
        <v>-0.41709</v>
      </c>
      <c r="W983" s="44">
        <v>-0.00658</v>
      </c>
      <c r="X983" s="44">
        <v>0.009207</v>
      </c>
      <c r="Y983" s="44">
        <v>-0.4263</v>
      </c>
      <c r="Z983" s="44">
        <v>-0.34564</v>
      </c>
      <c r="AA983" s="45"/>
      <c r="AB983" s="46" t="s">
        <v>126</v>
      </c>
      <c r="AC983" s="44">
        <v>67.0</v>
      </c>
    </row>
    <row r="984">
      <c r="A984" s="2">
        <v>163.0</v>
      </c>
      <c r="B984" s="14">
        <f>IF(PasteBBM!B984="",156,PasteBBM!B984)</f>
        <v>156</v>
      </c>
      <c r="C984" t="str">
        <f>PasteBBM!I984</f>
        <v/>
      </c>
      <c r="D984" t="str">
        <f>IFERROR(REPLACE(PasteBBM!K984,FIND("/",PasteBBM!K984,1),1,","),PasteBBM!K984)</f>
        <v/>
      </c>
      <c r="E984" t="str">
        <f>PasteBBM!J984</f>
        <v/>
      </c>
      <c r="F984" t="str">
        <f>PasteBBM!U984</f>
        <v/>
      </c>
      <c r="G984" t="str">
        <f>PasteBBM!X984</f>
        <v/>
      </c>
      <c r="H984">
        <f>PasteBBM!AE984*PasteBBM!AF984</f>
        <v>0</v>
      </c>
      <c r="I984" t="str">
        <f>PasteBBM!AE984</f>
        <v/>
      </c>
      <c r="J984">
        <f>PasteBBM!AG984*PasteBBM!AH984</f>
        <v>0</v>
      </c>
      <c r="K984" t="str">
        <f>PasteBBM!AG984</f>
        <v/>
      </c>
      <c r="L984" t="str">
        <f>PasteBBM!Z984</f>
        <v/>
      </c>
      <c r="M984" t="str">
        <f>PasteBBM!Y984</f>
        <v/>
      </c>
      <c r="N984" t="str">
        <f>PasteBBM!AA984</f>
        <v/>
      </c>
      <c r="O984" t="str">
        <f>PasteBBM!AB984</f>
        <v/>
      </c>
      <c r="P984" t="str">
        <f>PasteBBM!AC984</f>
        <v/>
      </c>
      <c r="Q984" t="str">
        <f>PasteBBM!AD984</f>
        <v/>
      </c>
      <c r="R984" t="str">
        <f>PasteBBM!AI984</f>
        <v/>
      </c>
      <c r="S984" t="str">
        <f>PasteBBM!AE984</f>
        <v/>
      </c>
      <c r="T984" t="str">
        <f>PasteBBM!AG984</f>
        <v/>
      </c>
      <c r="V984" s="44">
        <v>-0.41709</v>
      </c>
      <c r="W984" s="44">
        <v>-0.00658</v>
      </c>
      <c r="X984" s="44">
        <v>0.009207</v>
      </c>
      <c r="Y984" s="44">
        <v>-0.4263</v>
      </c>
      <c r="Z984" s="44">
        <v>-0.34564</v>
      </c>
      <c r="AA984" s="45"/>
      <c r="AB984" s="46" t="s">
        <v>126</v>
      </c>
      <c r="AC984" s="44">
        <v>67.0</v>
      </c>
    </row>
    <row r="985">
      <c r="A985" s="2">
        <v>163.0</v>
      </c>
      <c r="B985" s="14">
        <f>IF(PasteBBM!B985="",156,PasteBBM!B985)</f>
        <v>156</v>
      </c>
      <c r="C985" t="str">
        <f>PasteBBM!I985</f>
        <v/>
      </c>
      <c r="D985" t="str">
        <f>IFERROR(REPLACE(PasteBBM!K985,FIND("/",PasteBBM!K985,1),1,","),PasteBBM!K985)</f>
        <v/>
      </c>
      <c r="E985" t="str">
        <f>PasteBBM!J985</f>
        <v/>
      </c>
      <c r="F985" t="str">
        <f>PasteBBM!U985</f>
        <v/>
      </c>
      <c r="G985" t="str">
        <f>PasteBBM!X985</f>
        <v/>
      </c>
      <c r="H985">
        <f>PasteBBM!AE985*PasteBBM!AF985</f>
        <v>0</v>
      </c>
      <c r="I985" t="str">
        <f>PasteBBM!AE985</f>
        <v/>
      </c>
      <c r="J985">
        <f>PasteBBM!AG985*PasteBBM!AH985</f>
        <v>0</v>
      </c>
      <c r="K985" t="str">
        <f>PasteBBM!AG985</f>
        <v/>
      </c>
      <c r="L985" t="str">
        <f>PasteBBM!Z985</f>
        <v/>
      </c>
      <c r="M985" t="str">
        <f>PasteBBM!Y985</f>
        <v/>
      </c>
      <c r="N985" t="str">
        <f>PasteBBM!AA985</f>
        <v/>
      </c>
      <c r="O985" t="str">
        <f>PasteBBM!AB985</f>
        <v/>
      </c>
      <c r="P985" t="str">
        <f>PasteBBM!AC985</f>
        <v/>
      </c>
      <c r="Q985" t="str">
        <f>PasteBBM!AD985</f>
        <v/>
      </c>
      <c r="R985" t="str">
        <f>PasteBBM!AI985</f>
        <v/>
      </c>
      <c r="S985" t="str">
        <f>PasteBBM!AE985</f>
        <v/>
      </c>
      <c r="T985" t="str">
        <f>PasteBBM!AG985</f>
        <v/>
      </c>
      <c r="V985" s="44">
        <v>-0.41709</v>
      </c>
      <c r="W985" s="44">
        <v>-0.00658</v>
      </c>
      <c r="X985" s="44">
        <v>0.009207</v>
      </c>
      <c r="Y985" s="44">
        <v>-0.4263</v>
      </c>
      <c r="Z985" s="44">
        <v>-0.34564</v>
      </c>
      <c r="AA985" s="45"/>
      <c r="AB985" s="46" t="s">
        <v>126</v>
      </c>
      <c r="AC985" s="44">
        <v>67.0</v>
      </c>
    </row>
    <row r="986">
      <c r="A986" s="2">
        <v>163.0</v>
      </c>
      <c r="B986" s="14">
        <f>IF(PasteBBM!B986="",156,PasteBBM!B986)</f>
        <v>156</v>
      </c>
      <c r="C986" t="str">
        <f>PasteBBM!I986</f>
        <v/>
      </c>
      <c r="D986" t="str">
        <f>IFERROR(REPLACE(PasteBBM!K986,FIND("/",PasteBBM!K986,1),1,","),PasteBBM!K986)</f>
        <v/>
      </c>
      <c r="E986" t="str">
        <f>PasteBBM!J986</f>
        <v/>
      </c>
      <c r="F986" t="str">
        <f>PasteBBM!U986</f>
        <v/>
      </c>
      <c r="G986" t="str">
        <f>PasteBBM!X986</f>
        <v/>
      </c>
      <c r="H986">
        <f>PasteBBM!AE986*PasteBBM!AF986</f>
        <v>0</v>
      </c>
      <c r="I986" t="str">
        <f>PasteBBM!AE986</f>
        <v/>
      </c>
      <c r="J986">
        <f>PasteBBM!AG986*PasteBBM!AH986</f>
        <v>0</v>
      </c>
      <c r="K986" t="str">
        <f>PasteBBM!AG986</f>
        <v/>
      </c>
      <c r="L986" t="str">
        <f>PasteBBM!Z986</f>
        <v/>
      </c>
      <c r="M986" t="str">
        <f>PasteBBM!Y986</f>
        <v/>
      </c>
      <c r="N986" t="str">
        <f>PasteBBM!AA986</f>
        <v/>
      </c>
      <c r="O986" t="str">
        <f>PasteBBM!AB986</f>
        <v/>
      </c>
      <c r="P986" t="str">
        <f>PasteBBM!AC986</f>
        <v/>
      </c>
      <c r="Q986" t="str">
        <f>PasteBBM!AD986</f>
        <v/>
      </c>
      <c r="R986" t="str">
        <f>PasteBBM!AI986</f>
        <v/>
      </c>
      <c r="S986" t="str">
        <f>PasteBBM!AE986</f>
        <v/>
      </c>
      <c r="T986" t="str">
        <f>PasteBBM!AG986</f>
        <v/>
      </c>
      <c r="V986" s="44">
        <v>-0.41709</v>
      </c>
      <c r="W986" s="44">
        <v>-0.00658</v>
      </c>
      <c r="X986" s="44">
        <v>0.009207</v>
      </c>
      <c r="Y986" s="44">
        <v>-0.4263</v>
      </c>
      <c r="Z986" s="44">
        <v>-0.34564</v>
      </c>
      <c r="AA986" s="45"/>
      <c r="AB986" s="46" t="s">
        <v>126</v>
      </c>
      <c r="AC986" s="44">
        <v>67.0</v>
      </c>
    </row>
    <row r="987">
      <c r="A987" s="2">
        <v>163.0</v>
      </c>
      <c r="B987" s="14">
        <f>IF(PasteBBM!B987="",156,PasteBBM!B987)</f>
        <v>156</v>
      </c>
      <c r="C987" t="str">
        <f>PasteBBM!I987</f>
        <v/>
      </c>
      <c r="D987" t="str">
        <f>IFERROR(REPLACE(PasteBBM!K987,FIND("/",PasteBBM!K987,1),1,","),PasteBBM!K987)</f>
        <v/>
      </c>
      <c r="E987" t="str">
        <f>PasteBBM!J987</f>
        <v/>
      </c>
      <c r="F987" t="str">
        <f>PasteBBM!U987</f>
        <v/>
      </c>
      <c r="G987" t="str">
        <f>PasteBBM!X987</f>
        <v/>
      </c>
      <c r="H987">
        <f>PasteBBM!AE987*PasteBBM!AF987</f>
        <v>0</v>
      </c>
      <c r="I987" t="str">
        <f>PasteBBM!AE987</f>
        <v/>
      </c>
      <c r="J987">
        <f>PasteBBM!AG987*PasteBBM!AH987</f>
        <v>0</v>
      </c>
      <c r="K987" t="str">
        <f>PasteBBM!AG987</f>
        <v/>
      </c>
      <c r="L987" t="str">
        <f>PasteBBM!Z987</f>
        <v/>
      </c>
      <c r="M987" t="str">
        <f>PasteBBM!Y987</f>
        <v/>
      </c>
      <c r="N987" t="str">
        <f>PasteBBM!AA987</f>
        <v/>
      </c>
      <c r="O987" t="str">
        <f>PasteBBM!AB987</f>
        <v/>
      </c>
      <c r="P987" t="str">
        <f>PasteBBM!AC987</f>
        <v/>
      </c>
      <c r="Q987" t="str">
        <f>PasteBBM!AD987</f>
        <v/>
      </c>
      <c r="R987" t="str">
        <f>PasteBBM!AI987</f>
        <v/>
      </c>
      <c r="S987" t="str">
        <f>PasteBBM!AE987</f>
        <v/>
      </c>
      <c r="T987" t="str">
        <f>PasteBBM!AG987</f>
        <v/>
      </c>
      <c r="V987" s="44">
        <v>-0.41709</v>
      </c>
      <c r="W987" s="44">
        <v>-0.00658</v>
      </c>
      <c r="X987" s="44">
        <v>0.009207</v>
      </c>
      <c r="Y987" s="44">
        <v>-0.4263</v>
      </c>
      <c r="Z987" s="44">
        <v>-0.34564</v>
      </c>
      <c r="AA987" s="45"/>
      <c r="AB987" s="46" t="s">
        <v>126</v>
      </c>
      <c r="AC987" s="44">
        <v>67.0</v>
      </c>
    </row>
    <row r="988">
      <c r="A988" s="2">
        <v>163.0</v>
      </c>
      <c r="B988" s="14">
        <f>IF(PasteBBM!B988="",156,PasteBBM!B988)</f>
        <v>156</v>
      </c>
      <c r="C988" t="str">
        <f>PasteBBM!I988</f>
        <v/>
      </c>
      <c r="D988" t="str">
        <f>IFERROR(REPLACE(PasteBBM!K988,FIND("/",PasteBBM!K988,1),1,","),PasteBBM!K988)</f>
        <v/>
      </c>
      <c r="E988" t="str">
        <f>PasteBBM!J988</f>
        <v/>
      </c>
      <c r="F988" t="str">
        <f>PasteBBM!U988</f>
        <v/>
      </c>
      <c r="G988" t="str">
        <f>PasteBBM!X988</f>
        <v/>
      </c>
      <c r="H988">
        <f>PasteBBM!AE988*PasteBBM!AF988</f>
        <v>0</v>
      </c>
      <c r="I988" t="str">
        <f>PasteBBM!AE988</f>
        <v/>
      </c>
      <c r="J988">
        <f>PasteBBM!AG988*PasteBBM!AH988</f>
        <v>0</v>
      </c>
      <c r="K988" t="str">
        <f>PasteBBM!AG988</f>
        <v/>
      </c>
      <c r="L988" t="str">
        <f>PasteBBM!Z988</f>
        <v/>
      </c>
      <c r="M988" t="str">
        <f>PasteBBM!Y988</f>
        <v/>
      </c>
      <c r="N988" t="str">
        <f>PasteBBM!AA988</f>
        <v/>
      </c>
      <c r="O988" t="str">
        <f>PasteBBM!AB988</f>
        <v/>
      </c>
      <c r="P988" t="str">
        <f>PasteBBM!AC988</f>
        <v/>
      </c>
      <c r="Q988" t="str">
        <f>PasteBBM!AD988</f>
        <v/>
      </c>
      <c r="R988" t="str">
        <f>PasteBBM!AI988</f>
        <v/>
      </c>
      <c r="S988" t="str">
        <f>PasteBBM!AE988</f>
        <v/>
      </c>
      <c r="T988" t="str">
        <f>PasteBBM!AG988</f>
        <v/>
      </c>
      <c r="V988" s="44">
        <v>-0.41709</v>
      </c>
      <c r="W988" s="44">
        <v>-0.00658</v>
      </c>
      <c r="X988" s="44">
        <v>0.009207</v>
      </c>
      <c r="Y988" s="44">
        <v>-0.4263</v>
      </c>
      <c r="Z988" s="44">
        <v>-0.34564</v>
      </c>
      <c r="AA988" s="45"/>
      <c r="AB988" s="46" t="s">
        <v>126</v>
      </c>
      <c r="AC988" s="44">
        <v>67.0</v>
      </c>
    </row>
    <row r="989">
      <c r="A989" s="2">
        <v>163.0</v>
      </c>
      <c r="B989" s="14">
        <f>IF(PasteBBM!B989="",156,PasteBBM!B989)</f>
        <v>156</v>
      </c>
      <c r="C989" t="str">
        <f>PasteBBM!I989</f>
        <v/>
      </c>
      <c r="D989" t="str">
        <f>IFERROR(REPLACE(PasteBBM!K989,FIND("/",PasteBBM!K989,1),1,","),PasteBBM!K989)</f>
        <v/>
      </c>
      <c r="E989" t="str">
        <f>PasteBBM!J989</f>
        <v/>
      </c>
      <c r="F989" t="str">
        <f>PasteBBM!U989</f>
        <v/>
      </c>
      <c r="G989" t="str">
        <f>PasteBBM!X989</f>
        <v/>
      </c>
      <c r="H989">
        <f>PasteBBM!AE989*PasteBBM!AF989</f>
        <v>0</v>
      </c>
      <c r="I989" t="str">
        <f>PasteBBM!AE989</f>
        <v/>
      </c>
      <c r="J989">
        <f>PasteBBM!AG989*PasteBBM!AH989</f>
        <v>0</v>
      </c>
      <c r="K989" t="str">
        <f>PasteBBM!AG989</f>
        <v/>
      </c>
      <c r="L989" t="str">
        <f>PasteBBM!Z989</f>
        <v/>
      </c>
      <c r="M989" t="str">
        <f>PasteBBM!Y989</f>
        <v/>
      </c>
      <c r="N989" t="str">
        <f>PasteBBM!AA989</f>
        <v/>
      </c>
      <c r="O989" t="str">
        <f>PasteBBM!AB989</f>
        <v/>
      </c>
      <c r="P989" t="str">
        <f>PasteBBM!AC989</f>
        <v/>
      </c>
      <c r="Q989" t="str">
        <f>PasteBBM!AD989</f>
        <v/>
      </c>
      <c r="R989" t="str">
        <f>PasteBBM!AI989</f>
        <v/>
      </c>
      <c r="S989" t="str">
        <f>PasteBBM!AE989</f>
        <v/>
      </c>
      <c r="T989" t="str">
        <f>PasteBBM!AG989</f>
        <v/>
      </c>
      <c r="V989" s="44">
        <v>-0.41709</v>
      </c>
      <c r="W989" s="44">
        <v>-0.00658</v>
      </c>
      <c r="X989" s="44">
        <v>0.009207</v>
      </c>
      <c r="Y989" s="44">
        <v>-0.4263</v>
      </c>
      <c r="Z989" s="44">
        <v>-0.34564</v>
      </c>
      <c r="AA989" s="45"/>
      <c r="AB989" s="46" t="s">
        <v>126</v>
      </c>
      <c r="AC989" s="44">
        <v>67.0</v>
      </c>
    </row>
    <row r="990">
      <c r="A990" s="2">
        <v>163.0</v>
      </c>
      <c r="B990" s="14">
        <f>IF(PasteBBM!B990="",156,PasteBBM!B990)</f>
        <v>156</v>
      </c>
      <c r="C990" t="str">
        <f>PasteBBM!I990</f>
        <v/>
      </c>
      <c r="D990" t="str">
        <f>IFERROR(REPLACE(PasteBBM!K990,FIND("/",PasteBBM!K990,1),1,","),PasteBBM!K990)</f>
        <v/>
      </c>
      <c r="E990" t="str">
        <f>PasteBBM!J990</f>
        <v/>
      </c>
      <c r="F990" t="str">
        <f>PasteBBM!U990</f>
        <v/>
      </c>
      <c r="G990" t="str">
        <f>PasteBBM!X990</f>
        <v/>
      </c>
      <c r="H990">
        <f>PasteBBM!AE990*PasteBBM!AF990</f>
        <v>0</v>
      </c>
      <c r="I990" t="str">
        <f>PasteBBM!AE990</f>
        <v/>
      </c>
      <c r="J990">
        <f>PasteBBM!AG990*PasteBBM!AH990</f>
        <v>0</v>
      </c>
      <c r="K990" t="str">
        <f>PasteBBM!AG990</f>
        <v/>
      </c>
      <c r="L990" t="str">
        <f>PasteBBM!Z990</f>
        <v/>
      </c>
      <c r="M990" t="str">
        <f>PasteBBM!Y990</f>
        <v/>
      </c>
      <c r="N990" t="str">
        <f>PasteBBM!AA990</f>
        <v/>
      </c>
      <c r="O990" t="str">
        <f>PasteBBM!AB990</f>
        <v/>
      </c>
      <c r="P990" t="str">
        <f>PasteBBM!AC990</f>
        <v/>
      </c>
      <c r="Q990" t="str">
        <f>PasteBBM!AD990</f>
        <v/>
      </c>
      <c r="R990" t="str">
        <f>PasteBBM!AI990</f>
        <v/>
      </c>
      <c r="S990" t="str">
        <f>PasteBBM!AE990</f>
        <v/>
      </c>
      <c r="T990" t="str">
        <f>PasteBBM!AG990</f>
        <v/>
      </c>
      <c r="V990" s="44">
        <v>-0.41709</v>
      </c>
      <c r="W990" s="44">
        <v>-0.00658</v>
      </c>
      <c r="X990" s="44">
        <v>0.009207</v>
      </c>
      <c r="Y990" s="44">
        <v>-0.4263</v>
      </c>
      <c r="Z990" s="44">
        <v>-0.34564</v>
      </c>
      <c r="AA990" s="45"/>
      <c r="AB990" s="46" t="s">
        <v>126</v>
      </c>
      <c r="AC990" s="44">
        <v>67.0</v>
      </c>
    </row>
    <row r="991">
      <c r="A991" s="2">
        <v>163.0</v>
      </c>
      <c r="B991" s="14">
        <f>IF(PasteBBM!B991="",156,PasteBBM!B991)</f>
        <v>156</v>
      </c>
      <c r="C991" t="str">
        <f>PasteBBM!I991</f>
        <v/>
      </c>
      <c r="D991" t="str">
        <f>IFERROR(REPLACE(PasteBBM!K991,FIND("/",PasteBBM!K991,1),1,","),PasteBBM!K991)</f>
        <v/>
      </c>
      <c r="E991" t="str">
        <f>PasteBBM!J991</f>
        <v/>
      </c>
      <c r="F991" t="str">
        <f>PasteBBM!U991</f>
        <v/>
      </c>
      <c r="G991" t="str">
        <f>PasteBBM!X991</f>
        <v/>
      </c>
      <c r="H991">
        <f>PasteBBM!AE991*PasteBBM!AF991</f>
        <v>0</v>
      </c>
      <c r="I991" t="str">
        <f>PasteBBM!AE991</f>
        <v/>
      </c>
      <c r="J991">
        <f>PasteBBM!AG991*PasteBBM!AH991</f>
        <v>0</v>
      </c>
      <c r="K991" t="str">
        <f>PasteBBM!AG991</f>
        <v/>
      </c>
      <c r="L991" t="str">
        <f>PasteBBM!Z991</f>
        <v/>
      </c>
      <c r="M991" t="str">
        <f>PasteBBM!Y991</f>
        <v/>
      </c>
      <c r="N991" t="str">
        <f>PasteBBM!AA991</f>
        <v/>
      </c>
      <c r="O991" t="str">
        <f>PasteBBM!AB991</f>
        <v/>
      </c>
      <c r="P991" t="str">
        <f>PasteBBM!AC991</f>
        <v/>
      </c>
      <c r="Q991" t="str">
        <f>PasteBBM!AD991</f>
        <v/>
      </c>
      <c r="R991" t="str">
        <f>PasteBBM!AI991</f>
        <v/>
      </c>
      <c r="S991" t="str">
        <f>PasteBBM!AE991</f>
        <v/>
      </c>
      <c r="T991" t="str">
        <f>PasteBBM!AG991</f>
        <v/>
      </c>
      <c r="V991" s="44">
        <v>-0.41709</v>
      </c>
      <c r="W991" s="44">
        <v>-0.00658</v>
      </c>
      <c r="X991" s="44">
        <v>0.009207</v>
      </c>
      <c r="Y991" s="44">
        <v>-0.4263</v>
      </c>
      <c r="Z991" s="44">
        <v>-0.34564</v>
      </c>
      <c r="AA991" s="45"/>
      <c r="AB991" s="46" t="s">
        <v>126</v>
      </c>
      <c r="AC991" s="44">
        <v>67.0</v>
      </c>
    </row>
    <row r="992">
      <c r="A992" s="2">
        <v>163.0</v>
      </c>
      <c r="B992" s="14">
        <f>IF(PasteBBM!B992="",156,PasteBBM!B992)</f>
        <v>156</v>
      </c>
      <c r="C992" t="str">
        <f>PasteBBM!I992</f>
        <v/>
      </c>
      <c r="D992" t="str">
        <f>IFERROR(REPLACE(PasteBBM!K992,FIND("/",PasteBBM!K992,1),1,","),PasteBBM!K992)</f>
        <v/>
      </c>
      <c r="E992" t="str">
        <f>PasteBBM!J992</f>
        <v/>
      </c>
      <c r="F992" t="str">
        <f>PasteBBM!U992</f>
        <v/>
      </c>
      <c r="G992" t="str">
        <f>PasteBBM!X992</f>
        <v/>
      </c>
      <c r="H992">
        <f>PasteBBM!AE992*PasteBBM!AF992</f>
        <v>0</v>
      </c>
      <c r="I992" t="str">
        <f>PasteBBM!AE992</f>
        <v/>
      </c>
      <c r="J992">
        <f>PasteBBM!AG992*PasteBBM!AH992</f>
        <v>0</v>
      </c>
      <c r="K992" t="str">
        <f>PasteBBM!AG992</f>
        <v/>
      </c>
      <c r="L992" t="str">
        <f>PasteBBM!Z992</f>
        <v/>
      </c>
      <c r="M992" t="str">
        <f>PasteBBM!Y992</f>
        <v/>
      </c>
      <c r="N992" t="str">
        <f>PasteBBM!AA992</f>
        <v/>
      </c>
      <c r="O992" t="str">
        <f>PasteBBM!AB992</f>
        <v/>
      </c>
      <c r="P992" t="str">
        <f>PasteBBM!AC992</f>
        <v/>
      </c>
      <c r="Q992" t="str">
        <f>PasteBBM!AD992</f>
        <v/>
      </c>
      <c r="R992" t="str">
        <f>PasteBBM!AI992</f>
        <v/>
      </c>
      <c r="S992" t="str">
        <f>PasteBBM!AE992</f>
        <v/>
      </c>
      <c r="T992" t="str">
        <f>PasteBBM!AG992</f>
        <v/>
      </c>
      <c r="V992" s="44">
        <v>-0.41709</v>
      </c>
      <c r="W992" s="44">
        <v>-0.00658</v>
      </c>
      <c r="X992" s="44">
        <v>0.009207</v>
      </c>
      <c r="Y992" s="44">
        <v>-0.4263</v>
      </c>
      <c r="Z992" s="44">
        <v>-0.34564</v>
      </c>
      <c r="AA992" s="45"/>
      <c r="AB992" s="46" t="s">
        <v>126</v>
      </c>
      <c r="AC992" s="44">
        <v>67.0</v>
      </c>
    </row>
    <row r="993">
      <c r="A993" s="2">
        <v>163.0</v>
      </c>
      <c r="B993" s="14">
        <f>IF(PasteBBM!B993="",156,PasteBBM!B993)</f>
        <v>156</v>
      </c>
      <c r="C993" t="str">
        <f>PasteBBM!I993</f>
        <v/>
      </c>
      <c r="D993" t="str">
        <f>IFERROR(REPLACE(PasteBBM!K993,FIND("/",PasteBBM!K993,1),1,","),PasteBBM!K993)</f>
        <v/>
      </c>
      <c r="E993" t="str">
        <f>PasteBBM!J993</f>
        <v/>
      </c>
      <c r="F993" t="str">
        <f>PasteBBM!U993</f>
        <v/>
      </c>
      <c r="G993" t="str">
        <f>PasteBBM!X993</f>
        <v/>
      </c>
      <c r="H993">
        <f>PasteBBM!AE993*PasteBBM!AF993</f>
        <v>0</v>
      </c>
      <c r="I993" t="str">
        <f>PasteBBM!AE993</f>
        <v/>
      </c>
      <c r="J993">
        <f>PasteBBM!AG993*PasteBBM!AH993</f>
        <v>0</v>
      </c>
      <c r="K993" t="str">
        <f>PasteBBM!AG993</f>
        <v/>
      </c>
      <c r="L993" t="str">
        <f>PasteBBM!Z993</f>
        <v/>
      </c>
      <c r="M993" t="str">
        <f>PasteBBM!Y993</f>
        <v/>
      </c>
      <c r="N993" t="str">
        <f>PasteBBM!AA993</f>
        <v/>
      </c>
      <c r="O993" t="str">
        <f>PasteBBM!AB993</f>
        <v/>
      </c>
      <c r="P993" t="str">
        <f>PasteBBM!AC993</f>
        <v/>
      </c>
      <c r="Q993" t="str">
        <f>PasteBBM!AD993</f>
        <v/>
      </c>
      <c r="R993" t="str">
        <f>PasteBBM!AI993</f>
        <v/>
      </c>
      <c r="S993" t="str">
        <f>PasteBBM!AE993</f>
        <v/>
      </c>
      <c r="T993" t="str">
        <f>PasteBBM!AG993</f>
        <v/>
      </c>
      <c r="V993" s="44">
        <v>-0.41709</v>
      </c>
      <c r="W993" s="44">
        <v>-0.00658</v>
      </c>
      <c r="X993" s="44">
        <v>0.009207</v>
      </c>
      <c r="Y993" s="44">
        <v>-0.4263</v>
      </c>
      <c r="Z993" s="44">
        <v>-0.34564</v>
      </c>
      <c r="AA993" s="45"/>
      <c r="AB993" s="46" t="s">
        <v>126</v>
      </c>
      <c r="AC993" s="44">
        <v>67.0</v>
      </c>
    </row>
    <row r="994">
      <c r="A994" s="2">
        <v>163.0</v>
      </c>
      <c r="B994" s="14">
        <f>IF(PasteBBM!B994="",156,PasteBBM!B994)</f>
        <v>156</v>
      </c>
      <c r="C994" t="str">
        <f>PasteBBM!I994</f>
        <v/>
      </c>
      <c r="D994" t="str">
        <f>IFERROR(REPLACE(PasteBBM!K994,FIND("/",PasteBBM!K994,1),1,","),PasteBBM!K994)</f>
        <v/>
      </c>
      <c r="E994" t="str">
        <f>PasteBBM!J994</f>
        <v/>
      </c>
      <c r="F994" t="str">
        <f>PasteBBM!U994</f>
        <v/>
      </c>
      <c r="G994" t="str">
        <f>PasteBBM!X994</f>
        <v/>
      </c>
      <c r="H994">
        <f>PasteBBM!AE994*PasteBBM!AF994</f>
        <v>0</v>
      </c>
      <c r="I994" t="str">
        <f>PasteBBM!AE994</f>
        <v/>
      </c>
      <c r="J994">
        <f>PasteBBM!AG994*PasteBBM!AH994</f>
        <v>0</v>
      </c>
      <c r="K994" t="str">
        <f>PasteBBM!AG994</f>
        <v/>
      </c>
      <c r="L994" t="str">
        <f>PasteBBM!Z994</f>
        <v/>
      </c>
      <c r="M994" t="str">
        <f>PasteBBM!Y994</f>
        <v/>
      </c>
      <c r="N994" t="str">
        <f>PasteBBM!AA994</f>
        <v/>
      </c>
      <c r="O994" t="str">
        <f>PasteBBM!AB994</f>
        <v/>
      </c>
      <c r="P994" t="str">
        <f>PasteBBM!AC994</f>
        <v/>
      </c>
      <c r="Q994" t="str">
        <f>PasteBBM!AD994</f>
        <v/>
      </c>
      <c r="R994" t="str">
        <f>PasteBBM!AI994</f>
        <v/>
      </c>
      <c r="S994" t="str">
        <f>PasteBBM!AE994</f>
        <v/>
      </c>
      <c r="T994" t="str">
        <f>PasteBBM!AG994</f>
        <v/>
      </c>
      <c r="V994" s="44">
        <v>-0.41709</v>
      </c>
      <c r="W994" s="44">
        <v>-0.00658</v>
      </c>
      <c r="X994" s="44">
        <v>0.009207</v>
      </c>
      <c r="Y994" s="44">
        <v>-0.4263</v>
      </c>
      <c r="Z994" s="44">
        <v>-0.34564</v>
      </c>
      <c r="AA994" s="45"/>
      <c r="AB994" s="46" t="s">
        <v>126</v>
      </c>
      <c r="AC994" s="44">
        <v>67.0</v>
      </c>
    </row>
    <row r="995">
      <c r="A995" s="2">
        <v>163.0</v>
      </c>
      <c r="B995" s="14">
        <f>IF(PasteBBM!B995="",156,PasteBBM!B995)</f>
        <v>156</v>
      </c>
      <c r="C995" t="str">
        <f>PasteBBM!I995</f>
        <v/>
      </c>
      <c r="D995" t="str">
        <f>IFERROR(REPLACE(PasteBBM!K995,FIND("/",PasteBBM!K995,1),1,","),PasteBBM!K995)</f>
        <v/>
      </c>
      <c r="E995" t="str">
        <f>PasteBBM!J995</f>
        <v/>
      </c>
      <c r="F995" t="str">
        <f>PasteBBM!U995</f>
        <v/>
      </c>
      <c r="G995" t="str">
        <f>PasteBBM!X995</f>
        <v/>
      </c>
      <c r="H995">
        <f>PasteBBM!AE995*PasteBBM!AF995</f>
        <v>0</v>
      </c>
      <c r="I995" t="str">
        <f>PasteBBM!AE995</f>
        <v/>
      </c>
      <c r="J995">
        <f>PasteBBM!AG995*PasteBBM!AH995</f>
        <v>0</v>
      </c>
      <c r="K995" t="str">
        <f>PasteBBM!AG995</f>
        <v/>
      </c>
      <c r="L995" t="str">
        <f>PasteBBM!Z995</f>
        <v/>
      </c>
      <c r="M995" t="str">
        <f>PasteBBM!Y995</f>
        <v/>
      </c>
      <c r="N995" t="str">
        <f>PasteBBM!AA995</f>
        <v/>
      </c>
      <c r="O995" t="str">
        <f>PasteBBM!AB995</f>
        <v/>
      </c>
      <c r="P995" t="str">
        <f>PasteBBM!AC995</f>
        <v/>
      </c>
      <c r="Q995" t="str">
        <f>PasteBBM!AD995</f>
        <v/>
      </c>
      <c r="R995" t="str">
        <f>PasteBBM!AI995</f>
        <v/>
      </c>
      <c r="S995" t="str">
        <f>PasteBBM!AE995</f>
        <v/>
      </c>
      <c r="T995" t="str">
        <f>PasteBBM!AG995</f>
        <v/>
      </c>
      <c r="V995" s="44">
        <v>-0.41709</v>
      </c>
      <c r="W995" s="44">
        <v>-0.00658</v>
      </c>
      <c r="X995" s="44">
        <v>0.009207</v>
      </c>
      <c r="Y995" s="44">
        <v>-0.4263</v>
      </c>
      <c r="Z995" s="44">
        <v>-0.34564</v>
      </c>
      <c r="AA995" s="45"/>
      <c r="AB995" s="46" t="s">
        <v>126</v>
      </c>
      <c r="AC995" s="44">
        <v>67.0</v>
      </c>
    </row>
    <row r="996">
      <c r="A996" s="2">
        <v>163.0</v>
      </c>
      <c r="B996" s="14">
        <f>IF(PasteBBM!B996="",156,PasteBBM!B996)</f>
        <v>156</v>
      </c>
      <c r="C996" t="str">
        <f>PasteBBM!I996</f>
        <v/>
      </c>
      <c r="D996" t="str">
        <f>IFERROR(REPLACE(PasteBBM!K996,FIND("/",PasteBBM!K996,1),1,","),PasteBBM!K996)</f>
        <v/>
      </c>
      <c r="E996" t="str">
        <f>PasteBBM!J996</f>
        <v/>
      </c>
      <c r="F996" t="str">
        <f>PasteBBM!U996</f>
        <v/>
      </c>
      <c r="G996" t="str">
        <f>PasteBBM!X996</f>
        <v/>
      </c>
      <c r="H996">
        <f>PasteBBM!AE996*PasteBBM!AF996</f>
        <v>0</v>
      </c>
      <c r="I996" t="str">
        <f>PasteBBM!AE996</f>
        <v/>
      </c>
      <c r="J996">
        <f>PasteBBM!AG996*PasteBBM!AH996</f>
        <v>0</v>
      </c>
      <c r="K996" t="str">
        <f>PasteBBM!AG996</f>
        <v/>
      </c>
      <c r="L996" t="str">
        <f>PasteBBM!Z996</f>
        <v/>
      </c>
      <c r="M996" t="str">
        <f>PasteBBM!Y996</f>
        <v/>
      </c>
      <c r="N996" t="str">
        <f>PasteBBM!AA996</f>
        <v/>
      </c>
      <c r="O996" t="str">
        <f>PasteBBM!AB996</f>
        <v/>
      </c>
      <c r="P996" t="str">
        <f>PasteBBM!AC996</f>
        <v/>
      </c>
      <c r="Q996" t="str">
        <f>PasteBBM!AD996</f>
        <v/>
      </c>
      <c r="R996" t="str">
        <f>PasteBBM!AI996</f>
        <v/>
      </c>
      <c r="S996" t="str">
        <f>PasteBBM!AE996</f>
        <v/>
      </c>
      <c r="T996" t="str">
        <f>PasteBBM!AG996</f>
        <v/>
      </c>
      <c r="V996" s="44">
        <v>-0.41709</v>
      </c>
      <c r="W996" s="44">
        <v>-0.00658</v>
      </c>
      <c r="X996" s="44">
        <v>0.009207</v>
      </c>
      <c r="Y996" s="44">
        <v>-0.4263</v>
      </c>
      <c r="Z996" s="44">
        <v>-0.34564</v>
      </c>
      <c r="AA996" s="45"/>
      <c r="AB996" s="46" t="s">
        <v>126</v>
      </c>
      <c r="AC996" s="44">
        <v>67.0</v>
      </c>
    </row>
    <row r="997">
      <c r="A997" s="2">
        <v>163.0</v>
      </c>
      <c r="B997" s="14">
        <f>IF(PasteBBM!B997="",156,PasteBBM!B997)</f>
        <v>156</v>
      </c>
      <c r="C997" t="str">
        <f>PasteBBM!I997</f>
        <v/>
      </c>
      <c r="D997" t="str">
        <f>IFERROR(REPLACE(PasteBBM!K997,FIND("/",PasteBBM!K997,1),1,","),PasteBBM!K997)</f>
        <v/>
      </c>
      <c r="E997" t="str">
        <f>PasteBBM!J997</f>
        <v/>
      </c>
      <c r="F997" t="str">
        <f>PasteBBM!U997</f>
        <v/>
      </c>
      <c r="G997" t="str">
        <f>PasteBBM!X997</f>
        <v/>
      </c>
      <c r="H997">
        <f>PasteBBM!AE997*PasteBBM!AF997</f>
        <v>0</v>
      </c>
      <c r="I997" t="str">
        <f>PasteBBM!AE997</f>
        <v/>
      </c>
      <c r="J997">
        <f>PasteBBM!AG997*PasteBBM!AH997</f>
        <v>0</v>
      </c>
      <c r="K997" t="str">
        <f>PasteBBM!AG997</f>
        <v/>
      </c>
      <c r="L997" t="str">
        <f>PasteBBM!Z997</f>
        <v/>
      </c>
      <c r="M997" t="str">
        <f>PasteBBM!Y997</f>
        <v/>
      </c>
      <c r="N997" t="str">
        <f>PasteBBM!AA997</f>
        <v/>
      </c>
      <c r="O997" t="str">
        <f>PasteBBM!AB997</f>
        <v/>
      </c>
      <c r="P997" t="str">
        <f>PasteBBM!AC997</f>
        <v/>
      </c>
      <c r="Q997" t="str">
        <f>PasteBBM!AD997</f>
        <v/>
      </c>
      <c r="R997" t="str">
        <f>PasteBBM!AI997</f>
        <v/>
      </c>
      <c r="S997" t="str">
        <f>PasteBBM!AE997</f>
        <v/>
      </c>
      <c r="T997" t="str">
        <f>PasteBBM!AG997</f>
        <v/>
      </c>
      <c r="V997" s="44">
        <v>-0.41709</v>
      </c>
      <c r="W997" s="44">
        <v>-0.00658</v>
      </c>
      <c r="X997" s="44">
        <v>0.009207</v>
      </c>
      <c r="Y997" s="44">
        <v>-0.4263</v>
      </c>
      <c r="Z997" s="44">
        <v>-0.34564</v>
      </c>
      <c r="AA997" s="45"/>
      <c r="AB997" s="46" t="s">
        <v>126</v>
      </c>
      <c r="AC997" s="44">
        <v>67.0</v>
      </c>
    </row>
    <row r="998">
      <c r="A998" s="2">
        <v>163.0</v>
      </c>
      <c r="B998" s="14">
        <f>IF(PasteBBM!B998="",156,PasteBBM!B998)</f>
        <v>156</v>
      </c>
      <c r="C998" t="str">
        <f>PasteBBM!I998</f>
        <v/>
      </c>
      <c r="D998" t="str">
        <f>IFERROR(REPLACE(PasteBBM!K998,FIND("/",PasteBBM!K998,1),1,","),PasteBBM!K998)</f>
        <v/>
      </c>
      <c r="E998" t="str">
        <f>PasteBBM!J998</f>
        <v/>
      </c>
      <c r="F998" t="str">
        <f>PasteBBM!U998</f>
        <v/>
      </c>
      <c r="G998" t="str">
        <f>PasteBBM!X998</f>
        <v/>
      </c>
      <c r="H998">
        <f>PasteBBM!AE998*PasteBBM!AF998</f>
        <v>0</v>
      </c>
      <c r="I998" t="str">
        <f>PasteBBM!AE998</f>
        <v/>
      </c>
      <c r="J998">
        <f>PasteBBM!AG998*PasteBBM!AH998</f>
        <v>0</v>
      </c>
      <c r="K998" t="str">
        <f>PasteBBM!AG998</f>
        <v/>
      </c>
      <c r="L998" t="str">
        <f>PasteBBM!Z998</f>
        <v/>
      </c>
      <c r="M998" t="str">
        <f>PasteBBM!Y998</f>
        <v/>
      </c>
      <c r="N998" t="str">
        <f>PasteBBM!AA998</f>
        <v/>
      </c>
      <c r="O998" t="str">
        <f>PasteBBM!AB998</f>
        <v/>
      </c>
      <c r="P998" t="str">
        <f>PasteBBM!AC998</f>
        <v/>
      </c>
      <c r="Q998" t="str">
        <f>PasteBBM!AD998</f>
        <v/>
      </c>
      <c r="R998" t="str">
        <f>PasteBBM!AI998</f>
        <v/>
      </c>
      <c r="S998" t="str">
        <f>PasteBBM!AE998</f>
        <v/>
      </c>
      <c r="T998" t="str">
        <f>PasteBBM!AG998</f>
        <v/>
      </c>
      <c r="V998" s="44">
        <v>-0.41709</v>
      </c>
      <c r="W998" s="44">
        <v>-0.00658</v>
      </c>
      <c r="X998" s="44">
        <v>0.009207</v>
      </c>
      <c r="Y998" s="44">
        <v>-0.4263</v>
      </c>
      <c r="Z998" s="44">
        <v>-0.34564</v>
      </c>
      <c r="AA998" s="45"/>
      <c r="AB998" s="46" t="s">
        <v>126</v>
      </c>
      <c r="AC998" s="44">
        <v>67.0</v>
      </c>
    </row>
    <row r="999">
      <c r="A999" s="2">
        <v>163.0</v>
      </c>
      <c r="B999" s="14">
        <f>IF(PasteBBM!B999="",156,PasteBBM!B999)</f>
        <v>156</v>
      </c>
      <c r="C999" t="str">
        <f>PasteBBM!I999</f>
        <v/>
      </c>
      <c r="D999" t="str">
        <f>IFERROR(REPLACE(PasteBBM!K999,FIND("/",PasteBBM!K999,1),1,","),PasteBBM!K999)</f>
        <v/>
      </c>
      <c r="E999" t="str">
        <f>PasteBBM!J999</f>
        <v/>
      </c>
      <c r="F999" t="str">
        <f>PasteBBM!U999</f>
        <v/>
      </c>
      <c r="G999" t="str">
        <f>PasteBBM!X999</f>
        <v/>
      </c>
      <c r="H999">
        <f>PasteBBM!AE999*PasteBBM!AF999</f>
        <v>0</v>
      </c>
      <c r="I999" t="str">
        <f>PasteBBM!AE999</f>
        <v/>
      </c>
      <c r="J999">
        <f>PasteBBM!AG999*PasteBBM!AH999</f>
        <v>0</v>
      </c>
      <c r="K999" t="str">
        <f>PasteBBM!AG999</f>
        <v/>
      </c>
      <c r="L999" t="str">
        <f>PasteBBM!Z999</f>
        <v/>
      </c>
      <c r="M999" t="str">
        <f>PasteBBM!Y999</f>
        <v/>
      </c>
      <c r="N999" t="str">
        <f>PasteBBM!AA999</f>
        <v/>
      </c>
      <c r="O999" t="str">
        <f>PasteBBM!AB999</f>
        <v/>
      </c>
      <c r="P999" t="str">
        <f>PasteBBM!AC999</f>
        <v/>
      </c>
      <c r="Q999" t="str">
        <f>PasteBBM!AD999</f>
        <v/>
      </c>
      <c r="R999" t="str">
        <f>PasteBBM!AI999</f>
        <v/>
      </c>
      <c r="S999" t="str">
        <f>PasteBBM!AE999</f>
        <v/>
      </c>
      <c r="T999" t="str">
        <f>PasteBBM!AG999</f>
        <v/>
      </c>
      <c r="V999" s="44">
        <v>-0.41709</v>
      </c>
      <c r="W999" s="44">
        <v>-0.00658</v>
      </c>
      <c r="X999" s="44">
        <v>0.009207</v>
      </c>
      <c r="Y999" s="44">
        <v>-0.4263</v>
      </c>
      <c r="Z999" s="44">
        <v>-0.34564</v>
      </c>
      <c r="AA999" s="45"/>
      <c r="AB999" s="46" t="s">
        <v>126</v>
      </c>
      <c r="AC999" s="44">
        <v>67.0</v>
      </c>
    </row>
    <row r="1000">
      <c r="A1000" s="2">
        <v>163.0</v>
      </c>
      <c r="B1000" s="14">
        <f>IF(PasteBBM!B1000="",156,PasteBBM!B1000)</f>
        <v>156</v>
      </c>
      <c r="C1000" t="str">
        <f>PasteBBM!I1000</f>
        <v/>
      </c>
      <c r="D1000" t="str">
        <f>IFERROR(REPLACE(PasteBBM!K1000,FIND("/",PasteBBM!K1000,1),1,","),PasteBBM!K1000)</f>
        <v/>
      </c>
      <c r="E1000" t="str">
        <f>PasteBBM!J1000</f>
        <v/>
      </c>
      <c r="F1000" t="str">
        <f>PasteBBM!U1000</f>
        <v/>
      </c>
      <c r="G1000" t="str">
        <f>PasteBBM!X1000</f>
        <v/>
      </c>
      <c r="H1000">
        <f>PasteBBM!AE1000*PasteBBM!AF1000</f>
        <v>0</v>
      </c>
      <c r="I1000" t="str">
        <f>PasteBBM!AE1000</f>
        <v/>
      </c>
      <c r="J1000">
        <f>PasteBBM!AG1000*PasteBBM!AH1000</f>
        <v>0</v>
      </c>
      <c r="K1000" t="str">
        <f>PasteBBM!AG1000</f>
        <v/>
      </c>
      <c r="L1000" t="str">
        <f>PasteBBM!Z1000</f>
        <v/>
      </c>
      <c r="M1000" t="str">
        <f>PasteBBM!Y1000</f>
        <v/>
      </c>
      <c r="N1000" t="str">
        <f>PasteBBM!AA1000</f>
        <v/>
      </c>
      <c r="O1000" t="str">
        <f>PasteBBM!AB1000</f>
        <v/>
      </c>
      <c r="P1000" t="str">
        <f>PasteBBM!AC1000</f>
        <v/>
      </c>
      <c r="Q1000" t="str">
        <f>PasteBBM!AD1000</f>
        <v/>
      </c>
      <c r="R1000" t="str">
        <f>PasteBBM!AI1000</f>
        <v/>
      </c>
      <c r="S1000" t="str">
        <f>PasteBBM!AE1000</f>
        <v/>
      </c>
      <c r="T1000" t="str">
        <f>PasteBBM!AG1000</f>
        <v/>
      </c>
      <c r="V1000" s="44">
        <v>-0.41709</v>
      </c>
      <c r="W1000" s="44">
        <v>-0.00658</v>
      </c>
      <c r="X1000" s="44">
        <v>0.009207</v>
      </c>
      <c r="Y1000" s="44">
        <v>-0.4263</v>
      </c>
      <c r="Z1000" s="44">
        <v>-0.34564</v>
      </c>
      <c r="AA1000" s="45"/>
      <c r="AB1000" s="46" t="s">
        <v>126</v>
      </c>
      <c r="AC1000" s="44">
        <v>67.0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0" t="s">
        <v>0</v>
      </c>
      <c r="B1" s="310" t="s">
        <v>2</v>
      </c>
      <c r="C1" s="311" t="s">
        <v>262</v>
      </c>
      <c r="D1" s="311" t="s">
        <v>4</v>
      </c>
      <c r="E1" s="311" t="s">
        <v>5</v>
      </c>
      <c r="F1" s="311" t="s">
        <v>6</v>
      </c>
      <c r="G1" s="311" t="s">
        <v>7</v>
      </c>
      <c r="H1" s="311" t="s">
        <v>9</v>
      </c>
      <c r="I1" s="311" t="s">
        <v>11</v>
      </c>
      <c r="J1" s="312">
        <v>0.625</v>
      </c>
      <c r="K1" s="311" t="s">
        <v>13</v>
      </c>
      <c r="L1" s="311" t="s">
        <v>14</v>
      </c>
      <c r="M1" s="311" t="s">
        <v>15</v>
      </c>
      <c r="N1" s="311" t="s">
        <v>16</v>
      </c>
      <c r="O1" s="311" t="s">
        <v>17</v>
      </c>
      <c r="P1" s="311" t="s">
        <v>18</v>
      </c>
      <c r="Q1" s="311" t="s">
        <v>263</v>
      </c>
    </row>
    <row r="2">
      <c r="A2" s="313">
        <v>1.0</v>
      </c>
      <c r="B2" s="313">
        <v>2.0</v>
      </c>
      <c r="C2" s="314" t="s">
        <v>264</v>
      </c>
      <c r="D2" s="313" t="s">
        <v>97</v>
      </c>
      <c r="E2" s="313" t="s">
        <v>265</v>
      </c>
      <c r="F2" s="313">
        <v>70.0</v>
      </c>
      <c r="G2" s="313">
        <v>31.1</v>
      </c>
      <c r="H2" s="313" t="s">
        <v>266</v>
      </c>
      <c r="I2" s="313" t="s">
        <v>267</v>
      </c>
      <c r="J2" s="313">
        <v>2.0</v>
      </c>
      <c r="K2" s="313">
        <v>24.1</v>
      </c>
      <c r="L2" s="313">
        <v>11.6</v>
      </c>
      <c r="M2" s="313">
        <v>4.4</v>
      </c>
      <c r="N2" s="313">
        <v>1.4</v>
      </c>
      <c r="O2" s="313">
        <v>3.9</v>
      </c>
      <c r="P2" s="313">
        <v>3.4</v>
      </c>
      <c r="Q2" s="313">
        <v>13.88</v>
      </c>
    </row>
    <row r="3">
      <c r="A3" s="313">
        <v>2.0</v>
      </c>
      <c r="B3" s="313">
        <v>2.4</v>
      </c>
      <c r="C3" s="314" t="s">
        <v>268</v>
      </c>
      <c r="D3" s="313" t="s">
        <v>97</v>
      </c>
      <c r="E3" s="313" t="s">
        <v>269</v>
      </c>
      <c r="F3" s="313">
        <v>75.0</v>
      </c>
      <c r="G3" s="313">
        <v>34.1</v>
      </c>
      <c r="H3" s="313" t="s">
        <v>270</v>
      </c>
      <c r="I3" s="313" t="s">
        <v>271</v>
      </c>
      <c r="J3" s="313">
        <v>1.1</v>
      </c>
      <c r="K3" s="313">
        <v>26.7</v>
      </c>
      <c r="L3" s="313">
        <v>12.1</v>
      </c>
      <c r="M3" s="313">
        <v>9.0</v>
      </c>
      <c r="N3" s="313">
        <v>1.4</v>
      </c>
      <c r="O3" s="313">
        <v>0.9</v>
      </c>
      <c r="P3" s="313">
        <v>3.0</v>
      </c>
      <c r="Q3" s="313">
        <v>13.86</v>
      </c>
    </row>
    <row r="4">
      <c r="A4" s="313">
        <v>3.0</v>
      </c>
      <c r="B4" s="313">
        <v>4.5</v>
      </c>
      <c r="C4" s="314" t="s">
        <v>272</v>
      </c>
      <c r="D4" s="313" t="s">
        <v>85</v>
      </c>
      <c r="E4" s="313" t="s">
        <v>273</v>
      </c>
      <c r="F4" s="313">
        <v>73.0</v>
      </c>
      <c r="G4" s="313">
        <v>33.5</v>
      </c>
      <c r="H4" s="313" t="s">
        <v>274</v>
      </c>
      <c r="I4" s="313" t="s">
        <v>275</v>
      </c>
      <c r="J4" s="313">
        <v>1.4</v>
      </c>
      <c r="K4" s="313">
        <v>29.9</v>
      </c>
      <c r="L4" s="313">
        <v>5.1</v>
      </c>
      <c r="M4" s="313">
        <v>6.5</v>
      </c>
      <c r="N4" s="313">
        <v>1.9</v>
      </c>
      <c r="O4" s="313">
        <v>0.9</v>
      </c>
      <c r="P4" s="313">
        <v>2.4</v>
      </c>
      <c r="Q4" s="313">
        <v>13.33</v>
      </c>
    </row>
    <row r="5">
      <c r="A5" s="313">
        <v>4.0</v>
      </c>
      <c r="B5" s="313">
        <v>3.8</v>
      </c>
      <c r="C5" s="314" t="s">
        <v>276</v>
      </c>
      <c r="D5" s="313" t="s">
        <v>277</v>
      </c>
      <c r="E5" s="313" t="s">
        <v>278</v>
      </c>
      <c r="F5" s="313">
        <v>68.0</v>
      </c>
      <c r="G5" s="313">
        <v>36.8</v>
      </c>
      <c r="H5" s="313" t="s">
        <v>279</v>
      </c>
      <c r="I5" s="313" t="s">
        <v>280</v>
      </c>
      <c r="J5" s="313">
        <v>4.1</v>
      </c>
      <c r="K5" s="313">
        <v>34.4</v>
      </c>
      <c r="L5" s="313">
        <v>9.3</v>
      </c>
      <c r="M5" s="313">
        <v>9.9</v>
      </c>
      <c r="N5" s="313">
        <v>1.4</v>
      </c>
      <c r="O5" s="313">
        <v>0.5</v>
      </c>
      <c r="P5" s="313">
        <v>3.8</v>
      </c>
      <c r="Q5" s="313">
        <v>12.97</v>
      </c>
    </row>
    <row r="6">
      <c r="A6" s="313">
        <v>5.0</v>
      </c>
      <c r="B6" s="313">
        <v>7.4</v>
      </c>
      <c r="C6" s="314" t="s">
        <v>281</v>
      </c>
      <c r="D6" s="313" t="s">
        <v>282</v>
      </c>
      <c r="E6" s="313" t="s">
        <v>283</v>
      </c>
      <c r="F6" s="313">
        <v>67.0</v>
      </c>
      <c r="G6" s="313">
        <v>34.5</v>
      </c>
      <c r="H6" s="313" t="s">
        <v>284</v>
      </c>
      <c r="I6" s="313" t="s">
        <v>285</v>
      </c>
      <c r="J6" s="313">
        <v>0.4</v>
      </c>
      <c r="K6" s="313">
        <v>25.2</v>
      </c>
      <c r="L6" s="313">
        <v>12.7</v>
      </c>
      <c r="M6" s="313">
        <v>3.6</v>
      </c>
      <c r="N6" s="313">
        <v>1.2</v>
      </c>
      <c r="O6" s="313">
        <v>2.3</v>
      </c>
      <c r="P6" s="313">
        <v>2.1</v>
      </c>
      <c r="Q6" s="313">
        <v>11.91</v>
      </c>
    </row>
    <row r="7">
      <c r="A7" s="313">
        <v>6.0</v>
      </c>
      <c r="B7" s="313">
        <v>9.6</v>
      </c>
      <c r="C7" s="314" t="s">
        <v>286</v>
      </c>
      <c r="D7" s="313" t="s">
        <v>97</v>
      </c>
      <c r="E7" s="313" t="s">
        <v>287</v>
      </c>
      <c r="F7" s="313">
        <v>60.0</v>
      </c>
      <c r="G7" s="313">
        <v>31.4</v>
      </c>
      <c r="H7" s="313" t="s">
        <v>288</v>
      </c>
      <c r="I7" s="313" t="s">
        <v>289</v>
      </c>
      <c r="J7" s="313">
        <v>1.3</v>
      </c>
      <c r="K7" s="313">
        <v>28.1</v>
      </c>
      <c r="L7" s="313">
        <v>10.0</v>
      </c>
      <c r="M7" s="313">
        <v>3.9</v>
      </c>
      <c r="N7" s="313">
        <v>0.9</v>
      </c>
      <c r="O7" s="313">
        <v>1.4</v>
      </c>
      <c r="P7" s="313">
        <v>3.3</v>
      </c>
      <c r="Q7" s="313">
        <v>11.32</v>
      </c>
    </row>
    <row r="8">
      <c r="A8" s="313">
        <v>7.0</v>
      </c>
      <c r="B8" s="313">
        <v>6.7</v>
      </c>
      <c r="C8" s="314" t="s">
        <v>290</v>
      </c>
      <c r="D8" s="313" t="s">
        <v>282</v>
      </c>
      <c r="E8" s="313" t="s">
        <v>291</v>
      </c>
      <c r="F8" s="313">
        <v>71.0</v>
      </c>
      <c r="G8" s="313">
        <v>34.6</v>
      </c>
      <c r="H8" s="313" t="s">
        <v>292</v>
      </c>
      <c r="I8" s="313" t="s">
        <v>293</v>
      </c>
      <c r="J8" s="313">
        <v>0.6</v>
      </c>
      <c r="K8" s="313">
        <v>31.1</v>
      </c>
      <c r="L8" s="313">
        <v>11.8</v>
      </c>
      <c r="M8" s="313">
        <v>6.7</v>
      </c>
      <c r="N8" s="313">
        <v>1.2</v>
      </c>
      <c r="O8" s="313">
        <v>1.1</v>
      </c>
      <c r="P8" s="313">
        <v>3.4</v>
      </c>
      <c r="Q8" s="313">
        <v>9.77</v>
      </c>
    </row>
    <row r="9">
      <c r="A9" s="313">
        <v>8.0</v>
      </c>
      <c r="B9" s="313">
        <v>8.4</v>
      </c>
      <c r="C9" s="314" t="s">
        <v>294</v>
      </c>
      <c r="D9" s="313" t="s">
        <v>277</v>
      </c>
      <c r="E9" s="313" t="s">
        <v>295</v>
      </c>
      <c r="F9" s="313">
        <v>69.0</v>
      </c>
      <c r="G9" s="313">
        <v>33.6</v>
      </c>
      <c r="H9" s="313" t="s">
        <v>296</v>
      </c>
      <c r="I9" s="313" t="s">
        <v>297</v>
      </c>
      <c r="J9" s="313">
        <v>3.0</v>
      </c>
      <c r="K9" s="313">
        <v>21.1</v>
      </c>
      <c r="L9" s="313">
        <v>3.9</v>
      </c>
      <c r="M9" s="313">
        <v>11.1</v>
      </c>
      <c r="N9" s="313">
        <v>1.4</v>
      </c>
      <c r="O9" s="313">
        <v>0.7</v>
      </c>
      <c r="P9" s="313">
        <v>2.5</v>
      </c>
      <c r="Q9" s="313">
        <v>9.51</v>
      </c>
    </row>
    <row r="10">
      <c r="A10" s="313">
        <v>9.0</v>
      </c>
      <c r="B10" s="313">
        <v>12.5</v>
      </c>
      <c r="C10" s="314" t="s">
        <v>298</v>
      </c>
      <c r="D10" s="313" t="s">
        <v>85</v>
      </c>
      <c r="E10" s="313" t="s">
        <v>299</v>
      </c>
      <c r="F10" s="313">
        <v>72.0</v>
      </c>
      <c r="G10" s="313">
        <v>35.2</v>
      </c>
      <c r="H10" s="313" t="s">
        <v>300</v>
      </c>
      <c r="I10" s="313" t="s">
        <v>301</v>
      </c>
      <c r="J10" s="313">
        <v>3.4</v>
      </c>
      <c r="K10" s="313">
        <v>28.1</v>
      </c>
      <c r="L10" s="313">
        <v>2.9</v>
      </c>
      <c r="M10" s="313">
        <v>10.8</v>
      </c>
      <c r="N10" s="313">
        <v>1.2</v>
      </c>
      <c r="O10" s="313">
        <v>0.2</v>
      </c>
      <c r="P10" s="313">
        <v>4.2</v>
      </c>
      <c r="Q10" s="313">
        <v>8.65</v>
      </c>
    </row>
    <row r="11">
      <c r="A11" s="313">
        <v>10.0</v>
      </c>
      <c r="B11" s="313">
        <v>9.5</v>
      </c>
      <c r="C11" s="314" t="s">
        <v>302</v>
      </c>
      <c r="D11" s="313" t="s">
        <v>303</v>
      </c>
      <c r="E11" s="313" t="s">
        <v>304</v>
      </c>
      <c r="F11" s="313">
        <v>75.0</v>
      </c>
      <c r="G11" s="313">
        <v>35.8</v>
      </c>
      <c r="H11" s="313" t="s">
        <v>305</v>
      </c>
      <c r="I11" s="313" t="s">
        <v>306</v>
      </c>
      <c r="J11" s="313">
        <v>2.9</v>
      </c>
      <c r="K11" s="313">
        <v>27.9</v>
      </c>
      <c r="L11" s="313">
        <v>9.0</v>
      </c>
      <c r="M11" s="313">
        <v>5.1</v>
      </c>
      <c r="N11" s="313">
        <v>1.1</v>
      </c>
      <c r="O11" s="313">
        <v>0.7</v>
      </c>
      <c r="P11" s="313">
        <v>2.5</v>
      </c>
      <c r="Q11" s="313">
        <v>8.57</v>
      </c>
    </row>
    <row r="12">
      <c r="A12" s="313">
        <v>11.0</v>
      </c>
      <c r="B12" s="313">
        <v>16.2</v>
      </c>
      <c r="C12" s="314" t="s">
        <v>307</v>
      </c>
      <c r="D12" s="313" t="s">
        <v>277</v>
      </c>
      <c r="E12" s="313" t="s">
        <v>308</v>
      </c>
      <c r="F12" s="313">
        <v>68.0</v>
      </c>
      <c r="G12" s="313">
        <v>34.5</v>
      </c>
      <c r="H12" s="313" t="s">
        <v>309</v>
      </c>
      <c r="I12" s="313" t="s">
        <v>310</v>
      </c>
      <c r="J12" s="313">
        <v>2.8</v>
      </c>
      <c r="K12" s="313">
        <v>20.4</v>
      </c>
      <c r="L12" s="313">
        <v>6.1</v>
      </c>
      <c r="M12" s="313">
        <v>10.4</v>
      </c>
      <c r="N12" s="313">
        <v>1.1</v>
      </c>
      <c r="O12" s="313">
        <v>0.7</v>
      </c>
      <c r="P12" s="313">
        <v>2.9</v>
      </c>
      <c r="Q12" s="313">
        <v>8.34</v>
      </c>
    </row>
    <row r="13">
      <c r="A13" s="313">
        <v>12.0</v>
      </c>
      <c r="B13" s="313">
        <v>12.4</v>
      </c>
      <c r="C13" s="314" t="s">
        <v>311</v>
      </c>
      <c r="D13" s="313" t="s">
        <v>277</v>
      </c>
      <c r="E13" s="313" t="s">
        <v>312</v>
      </c>
      <c r="F13" s="313">
        <v>68.0</v>
      </c>
      <c r="G13" s="313">
        <v>31.4</v>
      </c>
      <c r="H13" s="313" t="s">
        <v>313</v>
      </c>
      <c r="I13" s="313" t="s">
        <v>314</v>
      </c>
      <c r="J13" s="313">
        <v>4.8</v>
      </c>
      <c r="K13" s="313">
        <v>26.4</v>
      </c>
      <c r="L13" s="313">
        <v>4.5</v>
      </c>
      <c r="M13" s="313">
        <v>5.3</v>
      </c>
      <c r="N13" s="313">
        <v>0.8</v>
      </c>
      <c r="O13" s="313">
        <v>0.4</v>
      </c>
      <c r="P13" s="313">
        <v>2.8</v>
      </c>
      <c r="Q13" s="313">
        <v>8.16</v>
      </c>
    </row>
    <row r="14">
      <c r="A14" s="313">
        <v>13.0</v>
      </c>
      <c r="B14" s="313">
        <v>17.0</v>
      </c>
      <c r="C14" s="314" t="s">
        <v>316</v>
      </c>
      <c r="D14" s="313" t="s">
        <v>277</v>
      </c>
      <c r="E14" s="313" t="s">
        <v>317</v>
      </c>
      <c r="F14" s="313">
        <v>67.0</v>
      </c>
      <c r="G14" s="313">
        <v>33.7</v>
      </c>
      <c r="H14" s="313" t="s">
        <v>318</v>
      </c>
      <c r="I14" s="313" t="s">
        <v>319</v>
      </c>
      <c r="J14" s="313">
        <v>3.3</v>
      </c>
      <c r="K14" s="313">
        <v>26.2</v>
      </c>
      <c r="L14" s="313">
        <v>4.4</v>
      </c>
      <c r="M14" s="313">
        <v>5.4</v>
      </c>
      <c r="N14" s="313">
        <v>1.6</v>
      </c>
      <c r="O14" s="313">
        <v>0.4</v>
      </c>
      <c r="P14" s="313">
        <v>2.8</v>
      </c>
      <c r="Q14" s="313">
        <v>7.78</v>
      </c>
    </row>
    <row r="15">
      <c r="A15" s="313">
        <v>14.0</v>
      </c>
      <c r="B15" s="313">
        <v>26.6</v>
      </c>
      <c r="C15" s="314" t="s">
        <v>320</v>
      </c>
      <c r="D15" s="313" t="s">
        <v>277</v>
      </c>
      <c r="E15" s="313" t="s">
        <v>278</v>
      </c>
      <c r="F15" s="313">
        <v>61.0</v>
      </c>
      <c r="G15" s="313">
        <v>34.8</v>
      </c>
      <c r="H15" s="313" t="s">
        <v>321</v>
      </c>
      <c r="I15" s="313" t="s">
        <v>322</v>
      </c>
      <c r="J15" s="313">
        <v>3.0</v>
      </c>
      <c r="K15" s="313">
        <v>24.6</v>
      </c>
      <c r="L15" s="313">
        <v>4.9</v>
      </c>
      <c r="M15" s="313">
        <v>5.2</v>
      </c>
      <c r="N15" s="313">
        <v>1.2</v>
      </c>
      <c r="O15" s="313">
        <v>0.6</v>
      </c>
      <c r="P15" s="313">
        <v>1.8</v>
      </c>
      <c r="Q15" s="313">
        <v>7.76</v>
      </c>
    </row>
    <row r="16">
      <c r="A16" s="313">
        <v>15.0</v>
      </c>
      <c r="B16" s="313">
        <v>18.3</v>
      </c>
      <c r="C16" s="314" t="s">
        <v>323</v>
      </c>
      <c r="D16" s="313" t="s">
        <v>303</v>
      </c>
      <c r="E16" s="313" t="s">
        <v>324</v>
      </c>
      <c r="F16" s="313">
        <v>65.0</v>
      </c>
      <c r="G16" s="313">
        <v>35.2</v>
      </c>
      <c r="H16" s="313" t="s">
        <v>325</v>
      </c>
      <c r="I16" s="313" t="s">
        <v>326</v>
      </c>
      <c r="J16" s="313">
        <v>2.1</v>
      </c>
      <c r="K16" s="313">
        <v>25.7</v>
      </c>
      <c r="L16" s="313">
        <v>6.4</v>
      </c>
      <c r="M16" s="313">
        <v>4.8</v>
      </c>
      <c r="N16" s="313">
        <v>0.8</v>
      </c>
      <c r="O16" s="313">
        <v>1.2</v>
      </c>
      <c r="P16" s="313">
        <v>3.2</v>
      </c>
      <c r="Q16" s="313">
        <v>7.55</v>
      </c>
    </row>
    <row r="17">
      <c r="A17" s="313">
        <v>16.0</v>
      </c>
      <c r="B17" s="313">
        <v>24.2</v>
      </c>
      <c r="C17" s="314" t="s">
        <v>327</v>
      </c>
      <c r="D17" s="313" t="s">
        <v>303</v>
      </c>
      <c r="E17" s="313" t="s">
        <v>283</v>
      </c>
      <c r="F17" s="313">
        <v>67.0</v>
      </c>
      <c r="G17" s="313">
        <v>34.0</v>
      </c>
      <c r="H17" s="313" t="s">
        <v>328</v>
      </c>
      <c r="I17" s="313" t="s">
        <v>329</v>
      </c>
      <c r="J17" s="313">
        <v>2.1</v>
      </c>
      <c r="K17" s="313">
        <v>25.2</v>
      </c>
      <c r="L17" s="313">
        <v>7.2</v>
      </c>
      <c r="M17" s="313">
        <v>8.2</v>
      </c>
      <c r="N17" s="313">
        <v>1.1</v>
      </c>
      <c r="O17" s="313">
        <v>0.5</v>
      </c>
      <c r="P17" s="313">
        <v>3.3</v>
      </c>
      <c r="Q17" s="313">
        <v>7.39</v>
      </c>
    </row>
    <row r="18">
      <c r="A18" s="313">
        <v>17.0</v>
      </c>
      <c r="B18" s="313">
        <v>19.0</v>
      </c>
      <c r="C18" s="314" t="s">
        <v>330</v>
      </c>
      <c r="D18" s="313" t="s">
        <v>331</v>
      </c>
      <c r="E18" s="313" t="s">
        <v>332</v>
      </c>
      <c r="F18" s="313">
        <v>70.0</v>
      </c>
      <c r="G18" s="313">
        <v>34.8</v>
      </c>
      <c r="H18" s="313" t="s">
        <v>333</v>
      </c>
      <c r="I18" s="313" t="s">
        <v>334</v>
      </c>
      <c r="J18" s="313">
        <v>1.7</v>
      </c>
      <c r="K18" s="313">
        <v>19.1</v>
      </c>
      <c r="L18" s="313">
        <v>8.3</v>
      </c>
      <c r="M18" s="313">
        <v>6.0</v>
      </c>
      <c r="N18" s="313">
        <v>1.3</v>
      </c>
      <c r="O18" s="313">
        <v>1.5</v>
      </c>
      <c r="P18" s="313">
        <v>2.4</v>
      </c>
      <c r="Q18" s="313">
        <v>7.17</v>
      </c>
    </row>
    <row r="19">
      <c r="A19" s="313">
        <v>18.0</v>
      </c>
      <c r="B19" s="313">
        <v>24.3</v>
      </c>
      <c r="C19" s="314" t="s">
        <v>335</v>
      </c>
      <c r="D19" s="313" t="s">
        <v>85</v>
      </c>
      <c r="E19" s="313" t="s">
        <v>291</v>
      </c>
      <c r="F19" s="313">
        <v>70.0</v>
      </c>
      <c r="G19" s="313">
        <v>35.2</v>
      </c>
      <c r="H19" s="313" t="s">
        <v>336</v>
      </c>
      <c r="I19" s="313" t="s">
        <v>337</v>
      </c>
      <c r="J19" s="313">
        <v>3.1</v>
      </c>
      <c r="K19" s="313">
        <v>24.9</v>
      </c>
      <c r="L19" s="313">
        <v>4.5</v>
      </c>
      <c r="M19" s="313">
        <v>7.1</v>
      </c>
      <c r="N19" s="313">
        <v>0.9</v>
      </c>
      <c r="O19" s="313">
        <v>0.3</v>
      </c>
      <c r="P19" s="313">
        <v>2.9</v>
      </c>
      <c r="Q19" s="313">
        <v>7.12</v>
      </c>
    </row>
    <row r="20">
      <c r="A20" s="313">
        <v>19.0</v>
      </c>
      <c r="B20" s="313">
        <v>20.0</v>
      </c>
      <c r="C20" s="314" t="s">
        <v>338</v>
      </c>
      <c r="D20" s="313" t="s">
        <v>277</v>
      </c>
      <c r="E20" s="313" t="s">
        <v>324</v>
      </c>
      <c r="F20" s="313">
        <v>68.0</v>
      </c>
      <c r="G20" s="313">
        <v>35.1</v>
      </c>
      <c r="H20" s="313" t="s">
        <v>339</v>
      </c>
      <c r="I20" s="313" t="s">
        <v>340</v>
      </c>
      <c r="J20" s="313">
        <v>2.2</v>
      </c>
      <c r="K20" s="313">
        <v>27.8</v>
      </c>
      <c r="L20" s="313">
        <v>4.5</v>
      </c>
      <c r="M20" s="313">
        <v>5.5</v>
      </c>
      <c r="N20" s="313">
        <v>1.0</v>
      </c>
      <c r="O20" s="313">
        <v>0.4</v>
      </c>
      <c r="P20" s="313">
        <v>2.7</v>
      </c>
      <c r="Q20" s="313">
        <v>7.1</v>
      </c>
    </row>
    <row r="21">
      <c r="A21" s="313">
        <v>20.0</v>
      </c>
      <c r="B21" s="313">
        <v>22.3</v>
      </c>
      <c r="C21" s="314" t="s">
        <v>341</v>
      </c>
      <c r="D21" s="313" t="s">
        <v>277</v>
      </c>
      <c r="E21" s="313" t="s">
        <v>342</v>
      </c>
      <c r="F21" s="313">
        <v>58.0</v>
      </c>
      <c r="G21" s="313">
        <v>32.4</v>
      </c>
      <c r="H21" s="313" t="s">
        <v>343</v>
      </c>
      <c r="I21" s="313" t="s">
        <v>344</v>
      </c>
      <c r="J21" s="313">
        <v>3.6</v>
      </c>
      <c r="K21" s="313">
        <v>23.2</v>
      </c>
      <c r="L21" s="313">
        <v>5.7</v>
      </c>
      <c r="M21" s="313">
        <v>8.6</v>
      </c>
      <c r="N21" s="313">
        <v>1.6</v>
      </c>
      <c r="O21" s="313">
        <v>0.3</v>
      </c>
      <c r="P21" s="313">
        <v>3.5</v>
      </c>
      <c r="Q21" s="313">
        <v>7.04</v>
      </c>
    </row>
    <row r="22">
      <c r="A22" s="313">
        <v>21.0</v>
      </c>
      <c r="B22" s="313">
        <v>22.1</v>
      </c>
      <c r="C22" s="314" t="s">
        <v>345</v>
      </c>
      <c r="D22" s="313" t="s">
        <v>282</v>
      </c>
      <c r="E22" s="313" t="s">
        <v>346</v>
      </c>
      <c r="F22" s="313">
        <v>67.0</v>
      </c>
      <c r="G22" s="313">
        <v>33.7</v>
      </c>
      <c r="H22" s="313" t="s">
        <v>347</v>
      </c>
      <c r="I22" s="313" t="s">
        <v>348</v>
      </c>
      <c r="J22" s="313">
        <v>2.2</v>
      </c>
      <c r="K22" s="313">
        <v>21.4</v>
      </c>
      <c r="L22" s="313">
        <v>9.5</v>
      </c>
      <c r="M22" s="313">
        <v>3.3</v>
      </c>
      <c r="N22" s="313">
        <v>0.7</v>
      </c>
      <c r="O22" s="313">
        <v>1.0</v>
      </c>
      <c r="P22" s="313">
        <v>2.9</v>
      </c>
      <c r="Q22" s="313">
        <v>6.77</v>
      </c>
    </row>
    <row r="23">
      <c r="A23" s="313">
        <v>22.0</v>
      </c>
      <c r="B23" s="313">
        <v>14.6</v>
      </c>
      <c r="C23" s="314" t="s">
        <v>349</v>
      </c>
      <c r="D23" s="313" t="s">
        <v>97</v>
      </c>
      <c r="E23" s="313" t="s">
        <v>350</v>
      </c>
      <c r="F23" s="313">
        <v>77.0</v>
      </c>
      <c r="G23" s="313">
        <v>35.6</v>
      </c>
      <c r="H23" s="313" t="s">
        <v>351</v>
      </c>
      <c r="I23" s="313" t="s">
        <v>352</v>
      </c>
      <c r="J23" s="313">
        <v>0.4</v>
      </c>
      <c r="K23" s="313">
        <v>18.8</v>
      </c>
      <c r="L23" s="313">
        <v>13.2</v>
      </c>
      <c r="M23" s="313">
        <v>7.9</v>
      </c>
      <c r="N23" s="313">
        <v>0.9</v>
      </c>
      <c r="O23" s="313">
        <v>0.6</v>
      </c>
      <c r="P23" s="313">
        <v>3.2</v>
      </c>
      <c r="Q23" s="313">
        <v>6.65</v>
      </c>
    </row>
    <row r="24">
      <c r="A24" s="313">
        <v>23.0</v>
      </c>
      <c r="B24" s="313">
        <v>30.1</v>
      </c>
      <c r="C24" s="314" t="s">
        <v>353</v>
      </c>
      <c r="D24" s="313" t="s">
        <v>303</v>
      </c>
      <c r="E24" s="313" t="s">
        <v>354</v>
      </c>
      <c r="F24" s="313">
        <v>64.0</v>
      </c>
      <c r="G24" s="313">
        <v>33.5</v>
      </c>
      <c r="H24" s="313" t="s">
        <v>355</v>
      </c>
      <c r="I24" s="313" t="s">
        <v>356</v>
      </c>
      <c r="J24" s="313">
        <v>3.1</v>
      </c>
      <c r="K24" s="313">
        <v>24.5</v>
      </c>
      <c r="L24" s="313">
        <v>8.4</v>
      </c>
      <c r="M24" s="313">
        <v>1.9</v>
      </c>
      <c r="N24" s="313">
        <v>0.8</v>
      </c>
      <c r="O24" s="313">
        <v>0.5</v>
      </c>
      <c r="P24" s="313">
        <v>1.7</v>
      </c>
      <c r="Q24" s="313">
        <v>6.58</v>
      </c>
    </row>
    <row r="25">
      <c r="A25" s="313">
        <v>24.0</v>
      </c>
      <c r="B25" s="313">
        <v>17.6</v>
      </c>
      <c r="C25" s="314" t="s">
        <v>357</v>
      </c>
      <c r="D25" s="313" t="s">
        <v>282</v>
      </c>
      <c r="E25" s="313" t="s">
        <v>273</v>
      </c>
      <c r="F25" s="313">
        <v>75.0</v>
      </c>
      <c r="G25" s="313">
        <v>30.6</v>
      </c>
      <c r="H25" s="313" t="s">
        <v>358</v>
      </c>
      <c r="I25" s="313" t="s">
        <v>359</v>
      </c>
      <c r="J25" s="313">
        <v>1.7</v>
      </c>
      <c r="K25" s="313">
        <v>17.4</v>
      </c>
      <c r="L25" s="313">
        <v>8.1</v>
      </c>
      <c r="M25" s="313">
        <v>2.6</v>
      </c>
      <c r="N25" s="313">
        <v>0.7</v>
      </c>
      <c r="O25" s="313">
        <v>2.3</v>
      </c>
      <c r="P25" s="313">
        <v>1.7</v>
      </c>
      <c r="Q25" s="313">
        <v>6.47</v>
      </c>
    </row>
    <row r="26">
      <c r="A26" s="313">
        <v>25.0</v>
      </c>
      <c r="B26" s="313">
        <v>19.1</v>
      </c>
      <c r="C26" s="314" t="s">
        <v>360</v>
      </c>
      <c r="D26" s="313" t="s">
        <v>85</v>
      </c>
      <c r="E26" s="313" t="s">
        <v>346</v>
      </c>
      <c r="F26" s="313">
        <v>74.0</v>
      </c>
      <c r="G26" s="313">
        <v>34.9</v>
      </c>
      <c r="H26" s="313" t="s">
        <v>361</v>
      </c>
      <c r="I26" s="313" t="s">
        <v>362</v>
      </c>
      <c r="J26" s="313">
        <v>2.7</v>
      </c>
      <c r="K26" s="313">
        <v>27.7</v>
      </c>
      <c r="L26" s="313">
        <v>3.7</v>
      </c>
      <c r="M26" s="313">
        <v>7.0</v>
      </c>
      <c r="N26" s="313">
        <v>0.9</v>
      </c>
      <c r="O26" s="313">
        <v>0.2</v>
      </c>
      <c r="P26" s="313">
        <v>2.3</v>
      </c>
      <c r="Q26" s="313">
        <v>6.03</v>
      </c>
    </row>
    <row r="27">
      <c r="A27" s="313">
        <v>26.0</v>
      </c>
      <c r="B27" s="313">
        <v>10.1</v>
      </c>
      <c r="C27" s="314" t="s">
        <v>363</v>
      </c>
      <c r="D27" s="313" t="s">
        <v>364</v>
      </c>
      <c r="E27" s="313" t="s">
        <v>365</v>
      </c>
      <c r="F27" s="313">
        <v>79.0</v>
      </c>
      <c r="G27" s="313">
        <v>35.4</v>
      </c>
      <c r="H27" s="313" t="s">
        <v>366</v>
      </c>
      <c r="I27" s="313" t="s">
        <v>367</v>
      </c>
      <c r="J27" s="313">
        <v>2.5</v>
      </c>
      <c r="K27" s="313">
        <v>26.2</v>
      </c>
      <c r="L27" s="313">
        <v>5.5</v>
      </c>
      <c r="M27" s="313">
        <v>5.2</v>
      </c>
      <c r="N27" s="313">
        <v>1.4</v>
      </c>
      <c r="O27" s="313">
        <v>0.7</v>
      </c>
      <c r="P27" s="313">
        <v>3.1</v>
      </c>
      <c r="Q27" s="313">
        <v>5.96</v>
      </c>
    </row>
    <row r="28">
      <c r="A28" s="313">
        <v>27.0</v>
      </c>
      <c r="B28" s="313">
        <v>32.1</v>
      </c>
      <c r="C28" s="314" t="s">
        <v>368</v>
      </c>
      <c r="D28" s="313" t="s">
        <v>331</v>
      </c>
      <c r="E28" s="313" t="s">
        <v>287</v>
      </c>
      <c r="F28" s="313">
        <v>60.0</v>
      </c>
      <c r="G28" s="313">
        <v>33.0</v>
      </c>
      <c r="H28" s="313" t="s">
        <v>369</v>
      </c>
      <c r="I28" s="313" t="s">
        <v>370</v>
      </c>
      <c r="J28" s="313">
        <v>3.0</v>
      </c>
      <c r="K28" s="313">
        <v>22.1</v>
      </c>
      <c r="L28" s="313">
        <v>5.0</v>
      </c>
      <c r="M28" s="313">
        <v>3.4</v>
      </c>
      <c r="N28" s="313">
        <v>1.4</v>
      </c>
      <c r="O28" s="313">
        <v>0.4</v>
      </c>
      <c r="P28" s="313">
        <v>2.4</v>
      </c>
      <c r="Q28" s="313">
        <v>5.66</v>
      </c>
    </row>
    <row r="29">
      <c r="A29" s="313">
        <v>28.0</v>
      </c>
      <c r="B29" s="313">
        <v>36.0</v>
      </c>
      <c r="C29" s="314" t="s">
        <v>371</v>
      </c>
      <c r="D29" s="313" t="s">
        <v>331</v>
      </c>
      <c r="E29" s="313" t="s">
        <v>273</v>
      </c>
      <c r="F29" s="313">
        <v>73.0</v>
      </c>
      <c r="G29" s="313">
        <v>32.2</v>
      </c>
      <c r="H29" s="313" t="s">
        <v>372</v>
      </c>
      <c r="I29" s="313" t="s">
        <v>373</v>
      </c>
      <c r="J29" s="313">
        <v>1.7</v>
      </c>
      <c r="K29" s="313">
        <v>20.0</v>
      </c>
      <c r="L29" s="313">
        <v>4.6</v>
      </c>
      <c r="M29" s="313">
        <v>4.9</v>
      </c>
      <c r="N29" s="313">
        <v>1.2</v>
      </c>
      <c r="O29" s="313">
        <v>0.6</v>
      </c>
      <c r="P29" s="313">
        <v>1.8</v>
      </c>
      <c r="Q29" s="313">
        <v>5.2</v>
      </c>
    </row>
    <row r="30">
      <c r="A30" s="313">
        <v>29.0</v>
      </c>
      <c r="B30" s="313">
        <v>46.0</v>
      </c>
      <c r="C30" s="314" t="s">
        <v>374</v>
      </c>
      <c r="D30" s="313" t="s">
        <v>303</v>
      </c>
      <c r="E30" s="313" t="s">
        <v>375</v>
      </c>
      <c r="F30" s="313">
        <v>60.0</v>
      </c>
      <c r="G30" s="313">
        <v>33.1</v>
      </c>
      <c r="H30" s="313" t="s">
        <v>376</v>
      </c>
      <c r="I30" s="313" t="s">
        <v>377</v>
      </c>
      <c r="J30" s="313">
        <v>0.8</v>
      </c>
      <c r="K30" s="313">
        <v>20.7</v>
      </c>
      <c r="L30" s="313">
        <v>5.4</v>
      </c>
      <c r="M30" s="313">
        <v>5.1</v>
      </c>
      <c r="N30" s="313">
        <v>1.3</v>
      </c>
      <c r="O30" s="313">
        <v>0.3</v>
      </c>
      <c r="P30" s="313">
        <v>1.6</v>
      </c>
      <c r="Q30" s="313">
        <v>5.2</v>
      </c>
    </row>
    <row r="31">
      <c r="A31" s="313">
        <v>30.0</v>
      </c>
      <c r="B31" s="313">
        <v>37.3</v>
      </c>
      <c r="C31" s="314" t="s">
        <v>378</v>
      </c>
      <c r="D31" s="313" t="s">
        <v>282</v>
      </c>
      <c r="E31" s="313" t="s">
        <v>379</v>
      </c>
      <c r="F31" s="313">
        <v>68.0</v>
      </c>
      <c r="G31" s="313">
        <v>31.2</v>
      </c>
      <c r="H31" s="313" t="s">
        <v>380</v>
      </c>
      <c r="I31" s="313" t="s">
        <v>381</v>
      </c>
      <c r="J31" s="313">
        <v>1.7</v>
      </c>
      <c r="K31" s="313">
        <v>21.3</v>
      </c>
      <c r="L31" s="313">
        <v>6.3</v>
      </c>
      <c r="M31" s="313">
        <v>1.7</v>
      </c>
      <c r="N31" s="313">
        <v>1.2</v>
      </c>
      <c r="O31" s="313">
        <v>1.9</v>
      </c>
      <c r="P31" s="313">
        <v>2.1</v>
      </c>
      <c r="Q31" s="313">
        <v>4.97</v>
      </c>
    </row>
    <row r="32">
      <c r="A32" s="313">
        <v>31.0</v>
      </c>
      <c r="B32" s="313">
        <v>27.8</v>
      </c>
      <c r="C32" s="314" t="s">
        <v>382</v>
      </c>
      <c r="D32" s="313" t="s">
        <v>277</v>
      </c>
      <c r="E32" s="313" t="s">
        <v>287</v>
      </c>
      <c r="F32" s="313">
        <v>70.0</v>
      </c>
      <c r="G32" s="313">
        <v>36.2</v>
      </c>
      <c r="H32" s="313" t="s">
        <v>383</v>
      </c>
      <c r="I32" s="313" t="s">
        <v>384</v>
      </c>
      <c r="J32" s="313">
        <v>3.0</v>
      </c>
      <c r="K32" s="313">
        <v>24.4</v>
      </c>
      <c r="L32" s="313">
        <v>3.5</v>
      </c>
      <c r="M32" s="313">
        <v>5.9</v>
      </c>
      <c r="N32" s="313">
        <v>1.0</v>
      </c>
      <c r="O32" s="313">
        <v>0.3</v>
      </c>
      <c r="P32" s="313">
        <v>1.6</v>
      </c>
      <c r="Q32" s="313">
        <v>4.91</v>
      </c>
    </row>
    <row r="33">
      <c r="A33" s="313">
        <v>32.0</v>
      </c>
      <c r="B33" s="313">
        <v>38.4</v>
      </c>
      <c r="C33" s="314" t="s">
        <v>385</v>
      </c>
      <c r="D33" s="313" t="s">
        <v>85</v>
      </c>
      <c r="E33" s="313" t="s">
        <v>386</v>
      </c>
      <c r="F33" s="313">
        <v>70.0</v>
      </c>
      <c r="G33" s="313">
        <v>36.0</v>
      </c>
      <c r="H33" s="313" t="s">
        <v>387</v>
      </c>
      <c r="I33" s="313" t="s">
        <v>388</v>
      </c>
      <c r="J33" s="313">
        <v>2.9</v>
      </c>
      <c r="K33" s="313">
        <v>17.3</v>
      </c>
      <c r="L33" s="313">
        <v>3.7</v>
      </c>
      <c r="M33" s="313">
        <v>7.6</v>
      </c>
      <c r="N33" s="313">
        <v>1.4</v>
      </c>
      <c r="O33" s="313">
        <v>0.7</v>
      </c>
      <c r="P33" s="313">
        <v>1.8</v>
      </c>
      <c r="Q33" s="313">
        <v>4.73</v>
      </c>
    </row>
    <row r="34">
      <c r="A34" s="313">
        <v>33.0</v>
      </c>
      <c r="B34" s="313">
        <v>41.4</v>
      </c>
      <c r="C34" s="314" t="s">
        <v>389</v>
      </c>
      <c r="D34" s="313" t="s">
        <v>92</v>
      </c>
      <c r="E34" s="313" t="s">
        <v>299</v>
      </c>
      <c r="F34" s="313">
        <v>68.0</v>
      </c>
      <c r="G34" s="313">
        <v>34.2</v>
      </c>
      <c r="H34" s="313" t="s">
        <v>390</v>
      </c>
      <c r="I34" s="313" t="s">
        <v>391</v>
      </c>
      <c r="J34" s="313">
        <v>1.4</v>
      </c>
      <c r="K34" s="313">
        <v>18.2</v>
      </c>
      <c r="L34" s="313">
        <v>9.2</v>
      </c>
      <c r="M34" s="313">
        <v>3.5</v>
      </c>
      <c r="N34" s="313">
        <v>1.3</v>
      </c>
      <c r="O34" s="313">
        <v>1.0</v>
      </c>
      <c r="P34" s="313">
        <v>1.7</v>
      </c>
      <c r="Q34" s="313">
        <v>4.68</v>
      </c>
    </row>
    <row r="35">
      <c r="A35" s="313">
        <v>34.0</v>
      </c>
      <c r="B35" s="313">
        <v>26.1</v>
      </c>
      <c r="C35" s="314" t="s">
        <v>392</v>
      </c>
      <c r="D35" s="313" t="s">
        <v>85</v>
      </c>
      <c r="E35" s="313" t="s">
        <v>350</v>
      </c>
      <c r="F35" s="313">
        <v>72.0</v>
      </c>
      <c r="G35" s="313">
        <v>34.5</v>
      </c>
      <c r="H35" s="313" t="s">
        <v>393</v>
      </c>
      <c r="I35" s="313" t="s">
        <v>394</v>
      </c>
      <c r="J35" s="313">
        <v>2.5</v>
      </c>
      <c r="K35" s="313">
        <v>25.1</v>
      </c>
      <c r="L35" s="313">
        <v>4.2</v>
      </c>
      <c r="M35" s="313">
        <v>5.5</v>
      </c>
      <c r="N35" s="313">
        <v>1.7</v>
      </c>
      <c r="O35" s="313">
        <v>0.4</v>
      </c>
      <c r="P35" s="313">
        <v>2.5</v>
      </c>
      <c r="Q35" s="313">
        <v>4.47</v>
      </c>
    </row>
    <row r="36">
      <c r="A36" s="313">
        <v>35.0</v>
      </c>
      <c r="B36" s="313">
        <v>48.4</v>
      </c>
      <c r="C36" s="314" t="s">
        <v>395</v>
      </c>
      <c r="D36" s="313" t="s">
        <v>277</v>
      </c>
      <c r="E36" s="313" t="s">
        <v>304</v>
      </c>
      <c r="F36" s="313">
        <v>75.0</v>
      </c>
      <c r="G36" s="313">
        <v>32.8</v>
      </c>
      <c r="H36" s="313" t="s">
        <v>396</v>
      </c>
      <c r="I36" s="313" t="s">
        <v>397</v>
      </c>
      <c r="J36" s="313">
        <v>2.7</v>
      </c>
      <c r="K36" s="313">
        <v>15.2</v>
      </c>
      <c r="L36" s="313">
        <v>4.3</v>
      </c>
      <c r="M36" s="313">
        <v>4.9</v>
      </c>
      <c r="N36" s="313">
        <v>0.9</v>
      </c>
      <c r="O36" s="313">
        <v>1.2</v>
      </c>
      <c r="P36" s="313">
        <v>1.5</v>
      </c>
      <c r="Q36" s="313">
        <v>4.43</v>
      </c>
    </row>
    <row r="37">
      <c r="A37" s="313">
        <v>36.0</v>
      </c>
      <c r="B37" s="313">
        <v>35.2</v>
      </c>
      <c r="C37" s="314" t="s">
        <v>398</v>
      </c>
      <c r="D37" s="313" t="s">
        <v>85</v>
      </c>
      <c r="E37" s="313" t="s">
        <v>379</v>
      </c>
      <c r="F37" s="313">
        <v>63.0</v>
      </c>
      <c r="G37" s="313">
        <v>33.6</v>
      </c>
      <c r="H37" s="313" t="s">
        <v>399</v>
      </c>
      <c r="I37" s="313" t="s">
        <v>400</v>
      </c>
      <c r="J37" s="313">
        <v>1.5</v>
      </c>
      <c r="K37" s="313">
        <v>25.8</v>
      </c>
      <c r="L37" s="313">
        <v>5.9</v>
      </c>
      <c r="M37" s="313">
        <v>8.2</v>
      </c>
      <c r="N37" s="313">
        <v>0.9</v>
      </c>
      <c r="O37" s="313">
        <v>0.5</v>
      </c>
      <c r="P37" s="313">
        <v>3.0</v>
      </c>
      <c r="Q37" s="313">
        <v>4.35</v>
      </c>
    </row>
    <row r="38">
      <c r="A38" s="313">
        <v>37.0</v>
      </c>
      <c r="B38" s="313">
        <v>54.1</v>
      </c>
      <c r="C38" s="314" t="s">
        <v>401</v>
      </c>
      <c r="D38" s="313" t="s">
        <v>303</v>
      </c>
      <c r="E38" s="313" t="s">
        <v>350</v>
      </c>
      <c r="F38" s="313">
        <v>76.0</v>
      </c>
      <c r="G38" s="313">
        <v>34.9</v>
      </c>
      <c r="H38" s="313" t="s">
        <v>402</v>
      </c>
      <c r="I38" s="313" t="s">
        <v>403</v>
      </c>
      <c r="J38" s="313">
        <v>1.1</v>
      </c>
      <c r="K38" s="313">
        <v>22.1</v>
      </c>
      <c r="L38" s="313">
        <v>3.8</v>
      </c>
      <c r="M38" s="313">
        <v>3.9</v>
      </c>
      <c r="N38" s="313">
        <v>1.1</v>
      </c>
      <c r="O38" s="313">
        <v>0.6</v>
      </c>
      <c r="P38" s="313">
        <v>1.7</v>
      </c>
      <c r="Q38" s="313">
        <v>4.33</v>
      </c>
    </row>
    <row r="39">
      <c r="A39" s="313">
        <v>38.0</v>
      </c>
      <c r="B39" s="313">
        <v>39.0</v>
      </c>
      <c r="C39" s="314" t="s">
        <v>404</v>
      </c>
      <c r="D39" s="313" t="s">
        <v>282</v>
      </c>
      <c r="E39" s="313" t="s">
        <v>317</v>
      </c>
      <c r="F39" s="313">
        <v>68.0</v>
      </c>
      <c r="G39" s="313">
        <v>32.0</v>
      </c>
      <c r="H39" s="313" t="s">
        <v>405</v>
      </c>
      <c r="I39" s="313" t="s">
        <v>406</v>
      </c>
      <c r="J39" s="313">
        <v>0.4</v>
      </c>
      <c r="K39" s="313">
        <v>16.1</v>
      </c>
      <c r="L39" s="313">
        <v>9.2</v>
      </c>
      <c r="M39" s="313">
        <v>3.4</v>
      </c>
      <c r="N39" s="313">
        <v>0.9</v>
      </c>
      <c r="O39" s="313">
        <v>1.5</v>
      </c>
      <c r="P39" s="313">
        <v>1.8</v>
      </c>
      <c r="Q39" s="313">
        <v>4.31</v>
      </c>
    </row>
    <row r="40">
      <c r="A40" s="313">
        <v>39.0</v>
      </c>
      <c r="B40" s="313">
        <v>49.1</v>
      </c>
      <c r="C40" s="314" t="s">
        <v>407</v>
      </c>
      <c r="D40" s="313" t="s">
        <v>331</v>
      </c>
      <c r="E40" s="313" t="s">
        <v>308</v>
      </c>
      <c r="F40" s="313">
        <v>48.0</v>
      </c>
      <c r="G40" s="313">
        <v>30.0</v>
      </c>
      <c r="H40" s="313" t="s">
        <v>408</v>
      </c>
      <c r="I40" s="313" t="s">
        <v>409</v>
      </c>
      <c r="J40" s="313">
        <v>1.7</v>
      </c>
      <c r="K40" s="313">
        <v>20.2</v>
      </c>
      <c r="L40" s="313">
        <v>5.4</v>
      </c>
      <c r="M40" s="313">
        <v>3.2</v>
      </c>
      <c r="N40" s="313">
        <v>1.1</v>
      </c>
      <c r="O40" s="313">
        <v>0.5</v>
      </c>
      <c r="P40" s="313">
        <v>1.6</v>
      </c>
      <c r="Q40" s="313">
        <v>4.26</v>
      </c>
    </row>
    <row r="41">
      <c r="A41" s="313">
        <v>40.0</v>
      </c>
      <c r="B41" s="313">
        <v>44.1</v>
      </c>
      <c r="C41" s="314" t="s">
        <v>410</v>
      </c>
      <c r="D41" s="313" t="s">
        <v>364</v>
      </c>
      <c r="E41" s="313" t="s">
        <v>379</v>
      </c>
      <c r="F41" s="313">
        <v>68.0</v>
      </c>
      <c r="G41" s="313">
        <v>32.8</v>
      </c>
      <c r="H41" s="313" t="s">
        <v>411</v>
      </c>
      <c r="I41" s="313" t="s">
        <v>412</v>
      </c>
      <c r="J41" s="313">
        <v>2.9</v>
      </c>
      <c r="K41" s="313">
        <v>21.4</v>
      </c>
      <c r="L41" s="313">
        <v>4.5</v>
      </c>
      <c r="M41" s="313">
        <v>4.4</v>
      </c>
      <c r="N41" s="313">
        <v>1.0</v>
      </c>
      <c r="O41" s="313">
        <v>0.4</v>
      </c>
      <c r="P41" s="313">
        <v>2.3</v>
      </c>
      <c r="Q41" s="313">
        <v>4.22</v>
      </c>
    </row>
    <row r="42">
      <c r="A42" s="313">
        <v>41.0</v>
      </c>
      <c r="B42" s="313">
        <v>35.6</v>
      </c>
      <c r="C42" s="314" t="s">
        <v>413</v>
      </c>
      <c r="D42" s="313" t="s">
        <v>277</v>
      </c>
      <c r="E42" s="313" t="s">
        <v>414</v>
      </c>
      <c r="F42" s="313">
        <v>74.0</v>
      </c>
      <c r="G42" s="313">
        <v>32.0</v>
      </c>
      <c r="H42" s="313" t="s">
        <v>415</v>
      </c>
      <c r="I42" s="313" t="s">
        <v>416</v>
      </c>
      <c r="J42" s="313">
        <v>2.2</v>
      </c>
      <c r="K42" s="313">
        <v>19.5</v>
      </c>
      <c r="L42" s="313">
        <v>5.2</v>
      </c>
      <c r="M42" s="313">
        <v>6.5</v>
      </c>
      <c r="N42" s="313">
        <v>1.4</v>
      </c>
      <c r="O42" s="313">
        <v>0.3</v>
      </c>
      <c r="P42" s="313">
        <v>2.1</v>
      </c>
      <c r="Q42" s="313">
        <v>4.1</v>
      </c>
    </row>
    <row r="43">
      <c r="A43" s="313">
        <v>42.0</v>
      </c>
      <c r="B43" s="313">
        <v>27.7</v>
      </c>
      <c r="C43" s="314" t="s">
        <v>417</v>
      </c>
      <c r="D43" s="313" t="s">
        <v>97</v>
      </c>
      <c r="E43" s="313" t="s">
        <v>386</v>
      </c>
      <c r="F43" s="313">
        <v>72.0</v>
      </c>
      <c r="G43" s="313">
        <v>32.6</v>
      </c>
      <c r="H43" s="313" t="s">
        <v>418</v>
      </c>
      <c r="I43" s="313" t="s">
        <v>419</v>
      </c>
      <c r="J43" s="313">
        <v>0.4</v>
      </c>
      <c r="K43" s="313">
        <v>19.4</v>
      </c>
      <c r="L43" s="313">
        <v>9.9</v>
      </c>
      <c r="M43" s="313">
        <v>5.4</v>
      </c>
      <c r="N43" s="313">
        <v>1.2</v>
      </c>
      <c r="O43" s="313">
        <v>0.8</v>
      </c>
      <c r="P43" s="313">
        <v>2.8</v>
      </c>
      <c r="Q43" s="313">
        <v>4.04</v>
      </c>
    </row>
    <row r="44">
      <c r="A44" s="313">
        <v>43.0</v>
      </c>
      <c r="B44" s="313">
        <v>32.2</v>
      </c>
      <c r="C44" s="314" t="s">
        <v>420</v>
      </c>
      <c r="D44" s="313" t="s">
        <v>97</v>
      </c>
      <c r="E44" s="313" t="s">
        <v>375</v>
      </c>
      <c r="F44" s="313">
        <v>73.0</v>
      </c>
      <c r="G44" s="313">
        <v>34.4</v>
      </c>
      <c r="H44" s="313" t="s">
        <v>421</v>
      </c>
      <c r="I44" s="313" t="s">
        <v>422</v>
      </c>
      <c r="J44" s="313">
        <v>0.2</v>
      </c>
      <c r="K44" s="313">
        <v>20.0</v>
      </c>
      <c r="L44" s="313">
        <v>10.4</v>
      </c>
      <c r="M44" s="313">
        <v>3.9</v>
      </c>
      <c r="N44" s="313">
        <v>1.2</v>
      </c>
      <c r="O44" s="313">
        <v>0.9</v>
      </c>
      <c r="P44" s="313">
        <v>2.4</v>
      </c>
      <c r="Q44" s="313">
        <v>4.04</v>
      </c>
    </row>
    <row r="45">
      <c r="A45" s="313">
        <v>44.0</v>
      </c>
      <c r="B45" s="313">
        <v>103.3</v>
      </c>
      <c r="C45" s="314" t="s">
        <v>423</v>
      </c>
      <c r="D45" s="313" t="s">
        <v>282</v>
      </c>
      <c r="E45" s="313" t="s">
        <v>304</v>
      </c>
      <c r="F45" s="313">
        <v>40.0</v>
      </c>
      <c r="G45" s="313">
        <v>27.1</v>
      </c>
      <c r="H45" s="313" t="s">
        <v>425</v>
      </c>
      <c r="I45" s="313" t="s">
        <v>426</v>
      </c>
      <c r="J45" s="313">
        <v>1.8</v>
      </c>
      <c r="K45" s="313">
        <v>17.8</v>
      </c>
      <c r="L45" s="313">
        <v>6.7</v>
      </c>
      <c r="M45" s="313">
        <v>2.0</v>
      </c>
      <c r="N45" s="313">
        <v>0.7</v>
      </c>
      <c r="O45" s="313">
        <v>1.5</v>
      </c>
      <c r="P45" s="313">
        <v>1.6</v>
      </c>
      <c r="Q45" s="313">
        <v>4.01</v>
      </c>
    </row>
    <row r="46">
      <c r="A46" s="313">
        <v>45.0</v>
      </c>
      <c r="B46" s="313">
        <v>34.0</v>
      </c>
      <c r="C46" s="314" t="s">
        <v>427</v>
      </c>
      <c r="D46" s="313" t="s">
        <v>277</v>
      </c>
      <c r="E46" s="313" t="s">
        <v>428</v>
      </c>
      <c r="F46" s="313">
        <v>64.0</v>
      </c>
      <c r="G46" s="313">
        <v>33.7</v>
      </c>
      <c r="H46" s="313" t="s">
        <v>429</v>
      </c>
      <c r="I46" s="313" t="s">
        <v>430</v>
      </c>
      <c r="J46" s="313">
        <v>1.9</v>
      </c>
      <c r="K46" s="313">
        <v>23.2</v>
      </c>
      <c r="L46" s="313">
        <v>4.7</v>
      </c>
      <c r="M46" s="313">
        <v>7.8</v>
      </c>
      <c r="N46" s="313">
        <v>0.9</v>
      </c>
      <c r="O46" s="313">
        <v>0.4</v>
      </c>
      <c r="P46" s="313">
        <v>3.5</v>
      </c>
      <c r="Q46" s="313">
        <v>3.86</v>
      </c>
    </row>
    <row r="47">
      <c r="A47" s="313">
        <v>46.0</v>
      </c>
      <c r="B47" s="313">
        <v>45.0</v>
      </c>
      <c r="C47" s="314" t="s">
        <v>431</v>
      </c>
      <c r="D47" s="313" t="s">
        <v>97</v>
      </c>
      <c r="E47" s="313" t="s">
        <v>295</v>
      </c>
      <c r="F47" s="313">
        <v>72.0</v>
      </c>
      <c r="G47" s="313">
        <v>28.8</v>
      </c>
      <c r="H47" s="313" t="s">
        <v>432</v>
      </c>
      <c r="I47" s="313" t="s">
        <v>433</v>
      </c>
      <c r="J47" s="313">
        <v>1.5</v>
      </c>
      <c r="K47" s="313">
        <v>17.0</v>
      </c>
      <c r="L47" s="313">
        <v>7.0</v>
      </c>
      <c r="M47" s="313">
        <v>1.3</v>
      </c>
      <c r="N47" s="313">
        <v>0.5</v>
      </c>
      <c r="O47" s="313">
        <v>2.0</v>
      </c>
      <c r="P47" s="313">
        <v>1.5</v>
      </c>
      <c r="Q47" s="313">
        <v>3.83</v>
      </c>
    </row>
    <row r="48">
      <c r="A48" s="313">
        <v>47.0</v>
      </c>
      <c r="B48" s="313">
        <v>53.8</v>
      </c>
      <c r="C48" s="314" t="s">
        <v>434</v>
      </c>
      <c r="D48" s="313" t="s">
        <v>277</v>
      </c>
      <c r="E48" s="313" t="s">
        <v>332</v>
      </c>
      <c r="F48" s="313">
        <v>72.0</v>
      </c>
      <c r="G48" s="313">
        <v>33.3</v>
      </c>
      <c r="H48" s="313" t="s">
        <v>436</v>
      </c>
      <c r="I48" s="313" t="s">
        <v>437</v>
      </c>
      <c r="J48" s="313">
        <v>2.6</v>
      </c>
      <c r="K48" s="313">
        <v>18.7</v>
      </c>
      <c r="L48" s="313">
        <v>4.6</v>
      </c>
      <c r="M48" s="313">
        <v>6.8</v>
      </c>
      <c r="N48" s="313">
        <v>1.1</v>
      </c>
      <c r="O48" s="313">
        <v>0.2</v>
      </c>
      <c r="P48" s="313">
        <v>1.6</v>
      </c>
      <c r="Q48" s="313">
        <v>3.78</v>
      </c>
    </row>
    <row r="49">
      <c r="A49" s="313">
        <v>48.0</v>
      </c>
      <c r="B49" s="313">
        <v>52.7</v>
      </c>
      <c r="C49" s="314" t="s">
        <v>438</v>
      </c>
      <c r="D49" s="313" t="s">
        <v>277</v>
      </c>
      <c r="E49" s="313" t="s">
        <v>269</v>
      </c>
      <c r="F49" s="313">
        <v>60.0</v>
      </c>
      <c r="G49" s="313">
        <v>31.1</v>
      </c>
      <c r="H49" s="313" t="s">
        <v>439</v>
      </c>
      <c r="I49" s="313" t="s">
        <v>440</v>
      </c>
      <c r="J49" s="313">
        <v>2.5</v>
      </c>
      <c r="K49" s="313">
        <v>20.0</v>
      </c>
      <c r="L49" s="313">
        <v>3.9</v>
      </c>
      <c r="M49" s="313">
        <v>6.1</v>
      </c>
      <c r="N49" s="313">
        <v>1.0</v>
      </c>
      <c r="O49" s="313">
        <v>0.5</v>
      </c>
      <c r="P49" s="313">
        <v>2.1</v>
      </c>
      <c r="Q49" s="313">
        <v>3.76</v>
      </c>
    </row>
    <row r="50">
      <c r="A50" s="313">
        <v>49.0</v>
      </c>
      <c r="B50" s="313">
        <v>46.1</v>
      </c>
      <c r="C50" s="314" t="s">
        <v>441</v>
      </c>
      <c r="D50" s="313" t="s">
        <v>303</v>
      </c>
      <c r="E50" s="313" t="s">
        <v>442</v>
      </c>
      <c r="F50" s="313">
        <v>76.0</v>
      </c>
      <c r="G50" s="313">
        <v>33.1</v>
      </c>
      <c r="H50" s="313" t="s">
        <v>443</v>
      </c>
      <c r="I50" s="313" t="s">
        <v>444</v>
      </c>
      <c r="J50" s="313">
        <v>1.4</v>
      </c>
      <c r="K50" s="313">
        <v>19.6</v>
      </c>
      <c r="L50" s="313">
        <v>5.4</v>
      </c>
      <c r="M50" s="313">
        <v>3.9</v>
      </c>
      <c r="N50" s="313">
        <v>1.2</v>
      </c>
      <c r="O50" s="313">
        <v>0.4</v>
      </c>
      <c r="P50" s="313">
        <v>2.0</v>
      </c>
      <c r="Q50" s="313">
        <v>3.18</v>
      </c>
    </row>
    <row r="51">
      <c r="A51" s="313">
        <v>50.0</v>
      </c>
      <c r="B51" s="313">
        <v>66.6</v>
      </c>
      <c r="C51" s="314" t="s">
        <v>445</v>
      </c>
      <c r="D51" s="313" t="s">
        <v>303</v>
      </c>
      <c r="E51" s="313" t="s">
        <v>428</v>
      </c>
      <c r="F51" s="313">
        <v>69.0</v>
      </c>
      <c r="G51" s="313">
        <v>31.9</v>
      </c>
      <c r="H51" s="313" t="s">
        <v>446</v>
      </c>
      <c r="I51" s="313" t="s">
        <v>447</v>
      </c>
      <c r="J51" s="313">
        <v>1.6</v>
      </c>
      <c r="K51" s="313">
        <v>17.6</v>
      </c>
      <c r="L51" s="313">
        <v>6.3</v>
      </c>
      <c r="M51" s="313">
        <v>3.0</v>
      </c>
      <c r="N51" s="313">
        <v>1.0</v>
      </c>
      <c r="O51" s="313">
        <v>0.6</v>
      </c>
      <c r="P51" s="313">
        <v>1.3</v>
      </c>
      <c r="Q51" s="313">
        <v>2.99</v>
      </c>
    </row>
    <row r="52">
      <c r="A52" s="313">
        <v>51.0</v>
      </c>
      <c r="B52" s="313">
        <v>55.2</v>
      </c>
      <c r="C52" s="314" t="s">
        <v>448</v>
      </c>
      <c r="D52" s="313" t="s">
        <v>282</v>
      </c>
      <c r="E52" s="313" t="s">
        <v>449</v>
      </c>
      <c r="F52" s="313">
        <v>75.0</v>
      </c>
      <c r="G52" s="313">
        <v>33.2</v>
      </c>
      <c r="H52" s="313" t="s">
        <v>450</v>
      </c>
      <c r="I52" s="313" t="s">
        <v>451</v>
      </c>
      <c r="J52" s="313">
        <v>1.4</v>
      </c>
      <c r="K52" s="313">
        <v>17.1</v>
      </c>
      <c r="L52" s="313">
        <v>10.4</v>
      </c>
      <c r="M52" s="313">
        <v>3.3</v>
      </c>
      <c r="N52" s="313">
        <v>0.7</v>
      </c>
      <c r="O52" s="313">
        <v>0.7</v>
      </c>
      <c r="P52" s="313">
        <v>1.6</v>
      </c>
      <c r="Q52" s="313">
        <v>2.96</v>
      </c>
    </row>
    <row r="53">
      <c r="A53" s="313">
        <v>52.0</v>
      </c>
      <c r="B53" s="313">
        <v>53.2</v>
      </c>
      <c r="C53" s="314" t="s">
        <v>452</v>
      </c>
      <c r="D53" s="313" t="s">
        <v>97</v>
      </c>
      <c r="E53" s="313" t="s">
        <v>317</v>
      </c>
      <c r="F53" s="313">
        <v>70.0</v>
      </c>
      <c r="G53" s="313">
        <v>30.8</v>
      </c>
      <c r="H53" s="313" t="s">
        <v>453</v>
      </c>
      <c r="I53" s="313" t="s">
        <v>454</v>
      </c>
      <c r="J53" s="313">
        <v>0.0</v>
      </c>
      <c r="K53" s="313">
        <v>14.9</v>
      </c>
      <c r="L53" s="313">
        <v>9.9</v>
      </c>
      <c r="M53" s="313">
        <v>2.2</v>
      </c>
      <c r="N53" s="313">
        <v>0.7</v>
      </c>
      <c r="O53" s="313">
        <v>1.1</v>
      </c>
      <c r="P53" s="313">
        <v>1.4</v>
      </c>
      <c r="Q53" s="313">
        <v>2.95</v>
      </c>
    </row>
    <row r="54">
      <c r="A54" s="313">
        <v>53.0</v>
      </c>
      <c r="B54" s="313">
        <v>46.4</v>
      </c>
      <c r="C54" s="314" t="s">
        <v>455</v>
      </c>
      <c r="D54" s="313" t="s">
        <v>97</v>
      </c>
      <c r="E54" s="313" t="s">
        <v>365</v>
      </c>
      <c r="F54" s="313">
        <v>73.0</v>
      </c>
      <c r="G54" s="313">
        <v>33.6</v>
      </c>
      <c r="H54" s="313" t="s">
        <v>456</v>
      </c>
      <c r="I54" s="313" t="s">
        <v>457</v>
      </c>
      <c r="J54" s="313">
        <v>0.0</v>
      </c>
      <c r="K54" s="313">
        <v>14.3</v>
      </c>
      <c r="L54" s="313">
        <v>12.9</v>
      </c>
      <c r="M54" s="313">
        <v>1.4</v>
      </c>
      <c r="N54" s="313">
        <v>0.8</v>
      </c>
      <c r="O54" s="313">
        <v>1.8</v>
      </c>
      <c r="P54" s="313">
        <v>1.7</v>
      </c>
      <c r="Q54" s="313">
        <v>2.94</v>
      </c>
    </row>
    <row r="55">
      <c r="A55" s="313">
        <v>54.0</v>
      </c>
      <c r="B55" s="313">
        <v>62.6</v>
      </c>
      <c r="C55" s="314" t="s">
        <v>458</v>
      </c>
      <c r="D55" s="313" t="s">
        <v>85</v>
      </c>
      <c r="E55" s="313" t="s">
        <v>317</v>
      </c>
      <c r="F55" s="313">
        <v>68.0</v>
      </c>
      <c r="G55" s="313">
        <v>33.0</v>
      </c>
      <c r="H55" s="313" t="s">
        <v>459</v>
      </c>
      <c r="I55" s="313" t="s">
        <v>460</v>
      </c>
      <c r="J55" s="313">
        <v>2.3</v>
      </c>
      <c r="K55" s="313">
        <v>19.3</v>
      </c>
      <c r="L55" s="313">
        <v>2.6</v>
      </c>
      <c r="M55" s="313">
        <v>7.0</v>
      </c>
      <c r="N55" s="313">
        <v>1.2</v>
      </c>
      <c r="O55" s="313">
        <v>0.1</v>
      </c>
      <c r="P55" s="313">
        <v>2.9</v>
      </c>
      <c r="Q55" s="313">
        <v>2.84</v>
      </c>
    </row>
    <row r="56">
      <c r="A56" s="313">
        <v>55.0</v>
      </c>
      <c r="B56" s="313">
        <v>40.9</v>
      </c>
      <c r="C56" s="314" t="s">
        <v>461</v>
      </c>
      <c r="D56" s="313" t="s">
        <v>364</v>
      </c>
      <c r="E56" s="313" t="s">
        <v>304</v>
      </c>
      <c r="F56" s="313">
        <v>70.0</v>
      </c>
      <c r="G56" s="313">
        <v>33.8</v>
      </c>
      <c r="H56" s="313" t="s">
        <v>462</v>
      </c>
      <c r="I56" s="313" t="s">
        <v>463</v>
      </c>
      <c r="J56" s="313">
        <v>2.2</v>
      </c>
      <c r="K56" s="313">
        <v>24.4</v>
      </c>
      <c r="L56" s="313">
        <v>6.1</v>
      </c>
      <c r="M56" s="313">
        <v>3.5</v>
      </c>
      <c r="N56" s="313">
        <v>1.1</v>
      </c>
      <c r="O56" s="313">
        <v>0.5</v>
      </c>
      <c r="P56" s="313">
        <v>2.6</v>
      </c>
      <c r="Q56" s="313">
        <v>2.84</v>
      </c>
    </row>
    <row r="57">
      <c r="A57" s="313">
        <v>56.0</v>
      </c>
      <c r="B57" s="313">
        <v>60.8</v>
      </c>
      <c r="C57" s="314" t="s">
        <v>464</v>
      </c>
      <c r="D57" s="313" t="s">
        <v>97</v>
      </c>
      <c r="E57" s="313" t="s">
        <v>465</v>
      </c>
      <c r="F57" s="313">
        <v>65.0</v>
      </c>
      <c r="G57" s="313">
        <v>31.0</v>
      </c>
      <c r="H57" s="313" t="s">
        <v>466</v>
      </c>
      <c r="I57" s="313" t="s">
        <v>467</v>
      </c>
      <c r="J57" s="313">
        <v>0.1</v>
      </c>
      <c r="K57" s="313">
        <v>17.0</v>
      </c>
      <c r="L57" s="313">
        <v>10.3</v>
      </c>
      <c r="M57" s="313">
        <v>1.7</v>
      </c>
      <c r="N57" s="313">
        <v>0.8</v>
      </c>
      <c r="O57" s="313">
        <v>0.8</v>
      </c>
      <c r="P57" s="313">
        <v>1.8</v>
      </c>
      <c r="Q57" s="313">
        <v>2.83</v>
      </c>
    </row>
    <row r="58">
      <c r="A58" s="313">
        <v>57.0</v>
      </c>
      <c r="B58" s="313">
        <v>72.6</v>
      </c>
      <c r="C58" s="314" t="s">
        <v>468</v>
      </c>
      <c r="D58" s="313" t="s">
        <v>277</v>
      </c>
      <c r="E58" s="313" t="s">
        <v>324</v>
      </c>
      <c r="F58" s="313">
        <v>50.0</v>
      </c>
      <c r="G58" s="313">
        <v>32.0</v>
      </c>
      <c r="H58" s="313" t="s">
        <v>469</v>
      </c>
      <c r="I58" s="313" t="s">
        <v>470</v>
      </c>
      <c r="J58" s="313">
        <v>1.9</v>
      </c>
      <c r="K58" s="313">
        <v>18.9</v>
      </c>
      <c r="L58" s="313">
        <v>3.8</v>
      </c>
      <c r="M58" s="313">
        <v>4.2</v>
      </c>
      <c r="N58" s="313">
        <v>1.0</v>
      </c>
      <c r="O58" s="313">
        <v>0.5</v>
      </c>
      <c r="P58" s="313">
        <v>2.4</v>
      </c>
      <c r="Q58" s="313">
        <v>2.78</v>
      </c>
    </row>
    <row r="59">
      <c r="A59" s="313">
        <v>58.0</v>
      </c>
      <c r="B59" s="313">
        <v>74.0</v>
      </c>
      <c r="C59" s="314" t="s">
        <v>471</v>
      </c>
      <c r="D59" s="313" t="s">
        <v>85</v>
      </c>
      <c r="E59" s="313" t="s">
        <v>283</v>
      </c>
      <c r="F59" s="313">
        <v>72.0</v>
      </c>
      <c r="G59" s="313">
        <v>32.6</v>
      </c>
      <c r="H59" s="313" t="s">
        <v>472</v>
      </c>
      <c r="I59" s="313" t="s">
        <v>473</v>
      </c>
      <c r="J59" s="313">
        <v>2.9</v>
      </c>
      <c r="K59" s="313">
        <v>17.5</v>
      </c>
      <c r="L59" s="313">
        <v>3.1</v>
      </c>
      <c r="M59" s="313">
        <v>6.0</v>
      </c>
      <c r="N59" s="313">
        <v>1.0</v>
      </c>
      <c r="O59" s="313">
        <v>0.5</v>
      </c>
      <c r="P59" s="313">
        <v>2.4</v>
      </c>
      <c r="Q59" s="313">
        <v>2.61</v>
      </c>
    </row>
    <row r="60">
      <c r="A60" s="313">
        <v>59.0</v>
      </c>
      <c r="B60" s="313">
        <v>53.8</v>
      </c>
      <c r="C60" s="314" t="s">
        <v>474</v>
      </c>
      <c r="D60" s="313" t="s">
        <v>97</v>
      </c>
      <c r="E60" s="313" t="s">
        <v>428</v>
      </c>
      <c r="F60" s="313">
        <v>68.0</v>
      </c>
      <c r="G60" s="313">
        <v>30.0</v>
      </c>
      <c r="H60" s="313" t="s">
        <v>475</v>
      </c>
      <c r="I60" s="313" t="s">
        <v>476</v>
      </c>
      <c r="J60" s="313">
        <v>0.0</v>
      </c>
      <c r="K60" s="313">
        <v>12.8</v>
      </c>
      <c r="L60" s="313">
        <v>10.9</v>
      </c>
      <c r="M60" s="313">
        <v>2.0</v>
      </c>
      <c r="N60" s="313">
        <v>0.6</v>
      </c>
      <c r="O60" s="313">
        <v>0.9</v>
      </c>
      <c r="P60" s="313">
        <v>1.9</v>
      </c>
      <c r="Q60" s="313">
        <v>2.51</v>
      </c>
    </row>
    <row r="61">
      <c r="A61" s="313">
        <v>60.0</v>
      </c>
      <c r="B61" s="313">
        <v>78.5</v>
      </c>
      <c r="C61" s="314" t="s">
        <v>477</v>
      </c>
      <c r="D61" s="313" t="s">
        <v>277</v>
      </c>
      <c r="E61" s="313" t="s">
        <v>304</v>
      </c>
      <c r="F61" s="313">
        <v>68.0</v>
      </c>
      <c r="G61" s="313">
        <v>32.5</v>
      </c>
      <c r="H61" s="313" t="s">
        <v>478</v>
      </c>
      <c r="I61" s="313" t="s">
        <v>479</v>
      </c>
      <c r="J61" s="313">
        <v>2.2</v>
      </c>
      <c r="K61" s="313">
        <v>13.5</v>
      </c>
      <c r="L61" s="313">
        <v>5.3</v>
      </c>
      <c r="M61" s="313">
        <v>5.1</v>
      </c>
      <c r="N61" s="313">
        <v>1.0</v>
      </c>
      <c r="O61" s="313">
        <v>0.6</v>
      </c>
      <c r="P61" s="313">
        <v>2.4</v>
      </c>
      <c r="Q61" s="313">
        <v>2.5</v>
      </c>
    </row>
    <row r="62">
      <c r="A62" s="313">
        <v>61.0</v>
      </c>
      <c r="B62" s="313">
        <v>46.6</v>
      </c>
      <c r="C62" s="314" t="s">
        <v>480</v>
      </c>
      <c r="D62" s="313" t="s">
        <v>282</v>
      </c>
      <c r="E62" s="313" t="s">
        <v>414</v>
      </c>
      <c r="F62" s="313">
        <v>67.0</v>
      </c>
      <c r="G62" s="313">
        <v>32.1</v>
      </c>
      <c r="H62" s="313" t="s">
        <v>481</v>
      </c>
      <c r="I62" s="313" t="s">
        <v>482</v>
      </c>
      <c r="J62" s="313">
        <v>0.1</v>
      </c>
      <c r="K62" s="313">
        <v>22.8</v>
      </c>
      <c r="L62" s="313">
        <v>6.2</v>
      </c>
      <c r="M62" s="313">
        <v>5.0</v>
      </c>
      <c r="N62" s="313">
        <v>1.1</v>
      </c>
      <c r="O62" s="313">
        <v>0.7</v>
      </c>
      <c r="P62" s="313">
        <v>3.0</v>
      </c>
      <c r="Q62" s="313">
        <v>2.47</v>
      </c>
    </row>
    <row r="63">
      <c r="A63" s="313">
        <v>62.0</v>
      </c>
      <c r="B63" s="313">
        <v>48.3</v>
      </c>
      <c r="C63" s="314" t="s">
        <v>483</v>
      </c>
      <c r="D63" s="313" t="s">
        <v>303</v>
      </c>
      <c r="E63" s="313" t="s">
        <v>295</v>
      </c>
      <c r="F63" s="313">
        <v>74.0</v>
      </c>
      <c r="G63" s="313">
        <v>32.0</v>
      </c>
      <c r="H63" s="313" t="s">
        <v>484</v>
      </c>
      <c r="I63" s="313" t="s">
        <v>485</v>
      </c>
      <c r="J63" s="313">
        <v>1.1</v>
      </c>
      <c r="K63" s="313">
        <v>21.1</v>
      </c>
      <c r="L63" s="313">
        <v>7.5</v>
      </c>
      <c r="M63" s="313">
        <v>3.9</v>
      </c>
      <c r="N63" s="313">
        <v>0.8</v>
      </c>
      <c r="O63" s="313">
        <v>0.4</v>
      </c>
      <c r="P63" s="313">
        <v>1.5</v>
      </c>
      <c r="Q63" s="313">
        <v>2.45</v>
      </c>
    </row>
    <row r="64">
      <c r="A64" s="313">
        <v>63.0</v>
      </c>
      <c r="B64" s="313">
        <v>63.0</v>
      </c>
      <c r="C64" s="314" t="s">
        <v>486</v>
      </c>
      <c r="D64" s="313" t="s">
        <v>364</v>
      </c>
      <c r="E64" s="313" t="s">
        <v>449</v>
      </c>
      <c r="F64" s="313">
        <v>64.0</v>
      </c>
      <c r="G64" s="313">
        <v>34.4</v>
      </c>
      <c r="H64" s="313" t="s">
        <v>487</v>
      </c>
      <c r="I64" s="313" t="s">
        <v>488</v>
      </c>
      <c r="J64" s="313">
        <v>2.5</v>
      </c>
      <c r="K64" s="313">
        <v>21.6</v>
      </c>
      <c r="L64" s="313">
        <v>4.5</v>
      </c>
      <c r="M64" s="313">
        <v>4.0</v>
      </c>
      <c r="N64" s="313">
        <v>0.9</v>
      </c>
      <c r="O64" s="313">
        <v>0.3</v>
      </c>
      <c r="P64" s="313">
        <v>2.3</v>
      </c>
      <c r="Q64" s="313">
        <v>2.4</v>
      </c>
    </row>
    <row r="65">
      <c r="A65" s="313">
        <v>64.0</v>
      </c>
      <c r="B65" s="313">
        <v>86.4</v>
      </c>
      <c r="C65" s="314" t="s">
        <v>489</v>
      </c>
      <c r="D65" s="313" t="s">
        <v>277</v>
      </c>
      <c r="E65" s="313" t="s">
        <v>490</v>
      </c>
      <c r="F65" s="313">
        <v>77.0</v>
      </c>
      <c r="G65" s="313">
        <v>31.5</v>
      </c>
      <c r="H65" s="313" t="s">
        <v>491</v>
      </c>
      <c r="I65" s="313" t="s">
        <v>492</v>
      </c>
      <c r="J65" s="313">
        <v>2.6</v>
      </c>
      <c r="K65" s="313">
        <v>20.1</v>
      </c>
      <c r="L65" s="313">
        <v>2.9</v>
      </c>
      <c r="M65" s="313">
        <v>5.7</v>
      </c>
      <c r="N65" s="313">
        <v>1.1</v>
      </c>
      <c r="O65" s="313">
        <v>0.3</v>
      </c>
      <c r="P65" s="313">
        <v>2.9</v>
      </c>
      <c r="Q65" s="313">
        <v>2.31</v>
      </c>
    </row>
    <row r="66">
      <c r="A66" s="313">
        <v>65.0</v>
      </c>
      <c r="B66" s="313">
        <v>63.9</v>
      </c>
      <c r="C66" s="314" t="s">
        <v>493</v>
      </c>
      <c r="D66" s="313" t="s">
        <v>97</v>
      </c>
      <c r="E66" s="313" t="s">
        <v>495</v>
      </c>
      <c r="F66" s="313">
        <v>72.0</v>
      </c>
      <c r="G66" s="313">
        <v>30.1</v>
      </c>
      <c r="H66" s="313" t="s">
        <v>496</v>
      </c>
      <c r="I66" s="313" t="s">
        <v>497</v>
      </c>
      <c r="J66" s="313">
        <v>0.0</v>
      </c>
      <c r="K66" s="313">
        <v>12.5</v>
      </c>
      <c r="L66" s="313">
        <v>9.8</v>
      </c>
      <c r="M66" s="313">
        <v>2.0</v>
      </c>
      <c r="N66" s="313">
        <v>0.8</v>
      </c>
      <c r="O66" s="313">
        <v>2.2</v>
      </c>
      <c r="P66" s="313">
        <v>1.3</v>
      </c>
      <c r="Q66" s="313">
        <v>2.23</v>
      </c>
    </row>
    <row r="67">
      <c r="A67" s="313">
        <v>66.0</v>
      </c>
      <c r="B67" s="313">
        <v>58.2</v>
      </c>
      <c r="C67" s="314" t="s">
        <v>498</v>
      </c>
      <c r="D67" s="313" t="s">
        <v>303</v>
      </c>
      <c r="E67" s="313" t="s">
        <v>342</v>
      </c>
      <c r="F67" s="313">
        <v>73.0</v>
      </c>
      <c r="G67" s="313">
        <v>36.2</v>
      </c>
      <c r="H67" s="313" t="s">
        <v>499</v>
      </c>
      <c r="I67" s="313" t="s">
        <v>500</v>
      </c>
      <c r="J67" s="313">
        <v>2.2</v>
      </c>
      <c r="K67" s="313">
        <v>19.8</v>
      </c>
      <c r="L67" s="313">
        <v>6.9</v>
      </c>
      <c r="M67" s="313">
        <v>3.2</v>
      </c>
      <c r="N67" s="313">
        <v>0.9</v>
      </c>
      <c r="O67" s="313">
        <v>0.5</v>
      </c>
      <c r="P67" s="313">
        <v>1.9</v>
      </c>
      <c r="Q67" s="313">
        <v>2.17</v>
      </c>
    </row>
    <row r="68">
      <c r="A68" s="313">
        <v>67.0</v>
      </c>
      <c r="B68" s="313">
        <v>78.0</v>
      </c>
      <c r="C68" s="314" t="s">
        <v>501</v>
      </c>
      <c r="D68" s="313" t="s">
        <v>277</v>
      </c>
      <c r="E68" s="313" t="s">
        <v>375</v>
      </c>
      <c r="F68" s="313">
        <v>67.0</v>
      </c>
      <c r="G68" s="313">
        <v>33.6</v>
      </c>
      <c r="H68" s="313" t="s">
        <v>502</v>
      </c>
      <c r="I68" s="313" t="s">
        <v>503</v>
      </c>
      <c r="J68" s="313">
        <v>3.1</v>
      </c>
      <c r="K68" s="313">
        <v>20.2</v>
      </c>
      <c r="L68" s="313">
        <v>5.3</v>
      </c>
      <c r="M68" s="313">
        <v>4.3</v>
      </c>
      <c r="N68" s="313">
        <v>0.7</v>
      </c>
      <c r="O68" s="313">
        <v>0.2</v>
      </c>
      <c r="P68" s="313">
        <v>2.3</v>
      </c>
      <c r="Q68" s="313">
        <v>2.15</v>
      </c>
    </row>
    <row r="69">
      <c r="A69" s="313">
        <v>68.0</v>
      </c>
      <c r="B69" s="313">
        <v>96.7</v>
      </c>
      <c r="C69" s="314" t="s">
        <v>504</v>
      </c>
      <c r="D69" s="313" t="s">
        <v>303</v>
      </c>
      <c r="E69" s="313" t="s">
        <v>414</v>
      </c>
      <c r="F69" s="313">
        <v>62.0</v>
      </c>
      <c r="G69" s="313">
        <v>30.0</v>
      </c>
      <c r="H69" s="313" t="s">
        <v>505</v>
      </c>
      <c r="I69" s="313" t="s">
        <v>506</v>
      </c>
      <c r="J69" s="313">
        <v>2.9</v>
      </c>
      <c r="K69" s="313">
        <v>15.1</v>
      </c>
      <c r="L69" s="313">
        <v>4.3</v>
      </c>
      <c r="M69" s="313">
        <v>1.8</v>
      </c>
      <c r="N69" s="313">
        <v>1.1</v>
      </c>
      <c r="O69" s="313">
        <v>0.6</v>
      </c>
      <c r="P69" s="313">
        <v>0.7</v>
      </c>
      <c r="Q69" s="313">
        <v>2.13</v>
      </c>
    </row>
    <row r="70">
      <c r="A70" s="313">
        <v>69.0</v>
      </c>
      <c r="B70" s="313">
        <v>76.4</v>
      </c>
      <c r="C70" s="314" t="s">
        <v>507</v>
      </c>
      <c r="D70" s="313" t="s">
        <v>97</v>
      </c>
      <c r="E70" s="313" t="s">
        <v>273</v>
      </c>
      <c r="F70" s="313">
        <v>50.0</v>
      </c>
      <c r="G70" s="313">
        <v>27.9</v>
      </c>
      <c r="H70" s="313" t="s">
        <v>508</v>
      </c>
      <c r="I70" s="313" t="s">
        <v>509</v>
      </c>
      <c r="J70" s="313">
        <v>0.1</v>
      </c>
      <c r="K70" s="313">
        <v>8.7</v>
      </c>
      <c r="L70" s="313">
        <v>9.0</v>
      </c>
      <c r="M70" s="313">
        <v>2.4</v>
      </c>
      <c r="N70" s="313">
        <v>1.1</v>
      </c>
      <c r="O70" s="313">
        <v>1.2</v>
      </c>
      <c r="P70" s="313">
        <v>1.3</v>
      </c>
      <c r="Q70" s="313">
        <v>2.07</v>
      </c>
    </row>
    <row r="71">
      <c r="A71" s="313">
        <v>70.0</v>
      </c>
      <c r="B71" s="313">
        <v>93.2</v>
      </c>
      <c r="C71" s="314" t="s">
        <v>510</v>
      </c>
      <c r="D71" s="313" t="s">
        <v>97</v>
      </c>
      <c r="E71" s="313" t="s">
        <v>354</v>
      </c>
      <c r="F71" s="313">
        <v>69.0</v>
      </c>
      <c r="G71" s="313">
        <v>26.1</v>
      </c>
      <c r="H71" s="313" t="s">
        <v>511</v>
      </c>
      <c r="I71" s="313" t="s">
        <v>512</v>
      </c>
      <c r="J71" s="313">
        <v>0.0</v>
      </c>
      <c r="K71" s="313">
        <v>9.5</v>
      </c>
      <c r="L71" s="313">
        <v>8.7</v>
      </c>
      <c r="M71" s="313">
        <v>1.0</v>
      </c>
      <c r="N71" s="313">
        <v>0.4</v>
      </c>
      <c r="O71" s="313">
        <v>2.5</v>
      </c>
      <c r="P71" s="313">
        <v>1.0</v>
      </c>
      <c r="Q71" s="313">
        <v>2.06</v>
      </c>
    </row>
    <row r="72">
      <c r="A72" s="313">
        <v>71.0</v>
      </c>
      <c r="B72" s="313">
        <v>54.7</v>
      </c>
      <c r="C72" s="314" t="s">
        <v>513</v>
      </c>
      <c r="D72" s="313" t="s">
        <v>331</v>
      </c>
      <c r="E72" s="313" t="s">
        <v>346</v>
      </c>
      <c r="F72" s="313">
        <v>78.0</v>
      </c>
      <c r="G72" s="313">
        <v>34.0</v>
      </c>
      <c r="H72" s="313" t="s">
        <v>514</v>
      </c>
      <c r="I72" s="313" t="s">
        <v>515</v>
      </c>
      <c r="J72" s="313">
        <v>2.4</v>
      </c>
      <c r="K72" s="313">
        <v>16.0</v>
      </c>
      <c r="L72" s="313">
        <v>4.1</v>
      </c>
      <c r="M72" s="313">
        <v>3.2</v>
      </c>
      <c r="N72" s="313">
        <v>1.1</v>
      </c>
      <c r="O72" s="313">
        <v>0.7</v>
      </c>
      <c r="P72" s="313">
        <v>1.6</v>
      </c>
      <c r="Q72" s="313">
        <v>2.06</v>
      </c>
    </row>
    <row r="73">
      <c r="A73" s="313">
        <v>72.0</v>
      </c>
      <c r="B73" s="313">
        <v>69.9</v>
      </c>
      <c r="C73" s="314" t="s">
        <v>516</v>
      </c>
      <c r="D73" s="313" t="s">
        <v>331</v>
      </c>
      <c r="E73" s="313" t="s">
        <v>414</v>
      </c>
      <c r="F73" s="313">
        <v>60.0</v>
      </c>
      <c r="G73" s="313">
        <v>31.8</v>
      </c>
      <c r="H73" s="313" t="s">
        <v>517</v>
      </c>
      <c r="I73" s="313" t="s">
        <v>518</v>
      </c>
      <c r="J73" s="313">
        <v>1.3</v>
      </c>
      <c r="K73" s="313">
        <v>20.1</v>
      </c>
      <c r="L73" s="313">
        <v>4.8</v>
      </c>
      <c r="M73" s="313">
        <v>4.6</v>
      </c>
      <c r="N73" s="313">
        <v>0.8</v>
      </c>
      <c r="O73" s="313">
        <v>0.6</v>
      </c>
      <c r="P73" s="313">
        <v>2.3</v>
      </c>
      <c r="Q73" s="313">
        <v>2.02</v>
      </c>
    </row>
    <row r="74">
      <c r="A74" s="313">
        <v>73.0</v>
      </c>
      <c r="B74" s="313">
        <v>82.0</v>
      </c>
      <c r="C74" s="314" t="s">
        <v>519</v>
      </c>
      <c r="D74" s="313" t="s">
        <v>364</v>
      </c>
      <c r="E74" s="313" t="s">
        <v>265</v>
      </c>
      <c r="F74" s="313">
        <v>58.0</v>
      </c>
      <c r="G74" s="313">
        <v>32.5</v>
      </c>
      <c r="H74" s="313" t="s">
        <v>520</v>
      </c>
      <c r="I74" s="313" t="s">
        <v>521</v>
      </c>
      <c r="J74" s="313">
        <v>2.6</v>
      </c>
      <c r="K74" s="313">
        <v>19.4</v>
      </c>
      <c r="L74" s="313">
        <v>3.9</v>
      </c>
      <c r="M74" s="313">
        <v>4.0</v>
      </c>
      <c r="N74" s="313">
        <v>1.1</v>
      </c>
      <c r="O74" s="313">
        <v>0.4</v>
      </c>
      <c r="P74" s="313">
        <v>1.6</v>
      </c>
      <c r="Q74" s="313">
        <v>2.02</v>
      </c>
    </row>
    <row r="75">
      <c r="A75" s="313">
        <v>74.0</v>
      </c>
      <c r="B75" s="313">
        <v>79.7</v>
      </c>
      <c r="C75" s="314" t="s">
        <v>522</v>
      </c>
      <c r="D75" s="313" t="s">
        <v>277</v>
      </c>
      <c r="E75" s="313" t="s">
        <v>465</v>
      </c>
      <c r="F75" s="313">
        <v>60.0</v>
      </c>
      <c r="G75" s="313">
        <v>33.9</v>
      </c>
      <c r="H75" s="313" t="s">
        <v>523</v>
      </c>
      <c r="I75" s="313" t="s">
        <v>524</v>
      </c>
      <c r="J75" s="313">
        <v>3.4</v>
      </c>
      <c r="K75" s="313">
        <v>21.4</v>
      </c>
      <c r="L75" s="313">
        <v>3.0</v>
      </c>
      <c r="M75" s="313">
        <v>4.9</v>
      </c>
      <c r="N75" s="313">
        <v>0.6</v>
      </c>
      <c r="O75" s="313">
        <v>0.2</v>
      </c>
      <c r="P75" s="313">
        <v>2.3</v>
      </c>
      <c r="Q75" s="313">
        <v>1.99</v>
      </c>
    </row>
    <row r="76">
      <c r="A76" s="313">
        <v>75.0</v>
      </c>
      <c r="B76" s="313">
        <v>108.3</v>
      </c>
      <c r="C76" s="314" t="s">
        <v>525</v>
      </c>
      <c r="D76" s="313" t="s">
        <v>97</v>
      </c>
      <c r="E76" s="313" t="s">
        <v>278</v>
      </c>
      <c r="F76" s="313">
        <v>67.0</v>
      </c>
      <c r="G76" s="313">
        <v>25.8</v>
      </c>
      <c r="H76" s="313" t="s">
        <v>526</v>
      </c>
      <c r="I76" s="313" t="s">
        <v>527</v>
      </c>
      <c r="J76" s="313">
        <v>0.0</v>
      </c>
      <c r="K76" s="313">
        <v>10.1</v>
      </c>
      <c r="L76" s="313">
        <v>7.9</v>
      </c>
      <c r="M76" s="313">
        <v>1.5</v>
      </c>
      <c r="N76" s="313">
        <v>0.8</v>
      </c>
      <c r="O76" s="313">
        <v>1.6</v>
      </c>
      <c r="P76" s="313">
        <v>1.0</v>
      </c>
      <c r="Q76" s="313">
        <v>1.98</v>
      </c>
    </row>
    <row r="77">
      <c r="A77" s="313">
        <v>76.0</v>
      </c>
      <c r="B77" s="313">
        <v>94.9</v>
      </c>
      <c r="C77" s="314" t="s">
        <v>528</v>
      </c>
      <c r="D77" s="313" t="s">
        <v>277</v>
      </c>
      <c r="E77" s="313" t="s">
        <v>354</v>
      </c>
      <c r="F77" s="313">
        <v>70.0</v>
      </c>
      <c r="G77" s="313">
        <v>30.7</v>
      </c>
      <c r="H77" s="313" t="s">
        <v>529</v>
      </c>
      <c r="I77" s="313" t="s">
        <v>530</v>
      </c>
      <c r="J77" s="313">
        <v>1.7</v>
      </c>
      <c r="K77" s="313">
        <v>20.0</v>
      </c>
      <c r="L77" s="313">
        <v>2.9</v>
      </c>
      <c r="M77" s="313">
        <v>4.9</v>
      </c>
      <c r="N77" s="313">
        <v>0.8</v>
      </c>
      <c r="O77" s="313">
        <v>0.2</v>
      </c>
      <c r="P77" s="313">
        <v>2.4</v>
      </c>
      <c r="Q77" s="313">
        <v>1.91</v>
      </c>
    </row>
    <row r="78">
      <c r="A78" s="313">
        <v>77.0</v>
      </c>
      <c r="B78" s="313">
        <v>67.4</v>
      </c>
      <c r="C78" s="314" t="s">
        <v>531</v>
      </c>
      <c r="D78" s="313" t="s">
        <v>364</v>
      </c>
      <c r="E78" s="313" t="s">
        <v>449</v>
      </c>
      <c r="F78" s="313">
        <v>78.0</v>
      </c>
      <c r="G78" s="313">
        <v>31.0</v>
      </c>
      <c r="H78" s="313" t="s">
        <v>532</v>
      </c>
      <c r="I78" s="313" t="s">
        <v>533</v>
      </c>
      <c r="J78" s="313">
        <v>1.1</v>
      </c>
      <c r="K78" s="313">
        <v>16.1</v>
      </c>
      <c r="L78" s="313">
        <v>7.4</v>
      </c>
      <c r="M78" s="313">
        <v>6.1</v>
      </c>
      <c r="N78" s="313">
        <v>0.8</v>
      </c>
      <c r="O78" s="313">
        <v>0.5</v>
      </c>
      <c r="P78" s="313">
        <v>2.7</v>
      </c>
      <c r="Q78" s="313">
        <v>1.91</v>
      </c>
    </row>
    <row r="79">
      <c r="A79" s="313">
        <v>78.0</v>
      </c>
      <c r="B79" s="313">
        <v>99.3</v>
      </c>
      <c r="C79" s="314" t="s">
        <v>534</v>
      </c>
      <c r="D79" s="313" t="s">
        <v>97</v>
      </c>
      <c r="E79" s="313" t="s">
        <v>342</v>
      </c>
      <c r="F79" s="313">
        <v>55.0</v>
      </c>
      <c r="G79" s="313">
        <v>26.8</v>
      </c>
      <c r="H79" s="313" t="s">
        <v>535</v>
      </c>
      <c r="I79" s="313" t="s">
        <v>536</v>
      </c>
      <c r="J79" s="313">
        <v>0.0</v>
      </c>
      <c r="K79" s="313">
        <v>12.6</v>
      </c>
      <c r="L79" s="313">
        <v>9.7</v>
      </c>
      <c r="M79" s="313">
        <v>0.8</v>
      </c>
      <c r="N79" s="313">
        <v>0.9</v>
      </c>
      <c r="O79" s="313">
        <v>1.2</v>
      </c>
      <c r="P79" s="313">
        <v>1.1</v>
      </c>
      <c r="Q79" s="313">
        <v>1.91</v>
      </c>
    </row>
    <row r="80">
      <c r="A80" s="313">
        <v>79.0</v>
      </c>
      <c r="B80" s="313">
        <v>101.8</v>
      </c>
      <c r="C80" s="314" t="s">
        <v>537</v>
      </c>
      <c r="D80" s="313" t="s">
        <v>277</v>
      </c>
      <c r="E80" s="313" t="s">
        <v>442</v>
      </c>
      <c r="F80" s="313">
        <v>72.0</v>
      </c>
      <c r="G80" s="313">
        <v>30.0</v>
      </c>
      <c r="H80" s="313" t="s">
        <v>538</v>
      </c>
      <c r="I80" s="313" t="s">
        <v>539</v>
      </c>
      <c r="J80" s="313">
        <v>2.2</v>
      </c>
      <c r="K80" s="313">
        <v>14.0</v>
      </c>
      <c r="L80" s="313">
        <v>3.5</v>
      </c>
      <c r="M80" s="313">
        <v>3.6</v>
      </c>
      <c r="N80" s="313">
        <v>1.6</v>
      </c>
      <c r="O80" s="313">
        <v>0.7</v>
      </c>
      <c r="P80" s="313">
        <v>2.0</v>
      </c>
      <c r="Q80" s="313">
        <v>1.89</v>
      </c>
    </row>
    <row r="81">
      <c r="A81" s="313">
        <v>80.0</v>
      </c>
      <c r="B81" s="313">
        <v>80.8</v>
      </c>
      <c r="C81" s="314" t="s">
        <v>540</v>
      </c>
      <c r="D81" s="313" t="s">
        <v>282</v>
      </c>
      <c r="E81" s="313" t="s">
        <v>386</v>
      </c>
      <c r="F81" s="313">
        <v>78.0</v>
      </c>
      <c r="G81" s="313">
        <v>32.2</v>
      </c>
      <c r="H81" s="313" t="s">
        <v>541</v>
      </c>
      <c r="I81" s="313" t="s">
        <v>542</v>
      </c>
      <c r="J81" s="313">
        <v>1.9</v>
      </c>
      <c r="K81" s="313">
        <v>14.0</v>
      </c>
      <c r="L81" s="313">
        <v>8.4</v>
      </c>
      <c r="M81" s="313">
        <v>1.5</v>
      </c>
      <c r="N81" s="313">
        <v>0.8</v>
      </c>
      <c r="O81" s="313">
        <v>0.9</v>
      </c>
      <c r="P81" s="313">
        <v>1.3</v>
      </c>
      <c r="Q81" s="313">
        <v>1.89</v>
      </c>
    </row>
    <row r="82">
      <c r="A82" s="313">
        <v>81.0</v>
      </c>
      <c r="B82" s="313">
        <v>138.9</v>
      </c>
      <c r="C82" s="314" t="s">
        <v>543</v>
      </c>
      <c r="D82" s="313" t="s">
        <v>303</v>
      </c>
      <c r="E82" s="313" t="s">
        <v>354</v>
      </c>
      <c r="F82" s="313">
        <v>68.0</v>
      </c>
      <c r="G82" s="313">
        <v>29.7</v>
      </c>
      <c r="H82" s="313" t="s">
        <v>544</v>
      </c>
      <c r="I82" s="313" t="s">
        <v>545</v>
      </c>
      <c r="J82" s="313">
        <v>2.0</v>
      </c>
      <c r="K82" s="313">
        <v>11.4</v>
      </c>
      <c r="L82" s="313">
        <v>7.0</v>
      </c>
      <c r="M82" s="313">
        <v>1.2</v>
      </c>
      <c r="N82" s="313">
        <v>1.1</v>
      </c>
      <c r="O82" s="313">
        <v>1.1</v>
      </c>
      <c r="P82" s="313">
        <v>1.0</v>
      </c>
      <c r="Q82" s="313">
        <v>1.88</v>
      </c>
    </row>
    <row r="83">
      <c r="A83" s="313">
        <v>82.0</v>
      </c>
      <c r="B83" s="313">
        <v>90.4</v>
      </c>
      <c r="C83" s="314" t="s">
        <v>546</v>
      </c>
      <c r="D83" s="313" t="s">
        <v>364</v>
      </c>
      <c r="E83" s="313" t="s">
        <v>299</v>
      </c>
      <c r="F83" s="313">
        <v>68.0</v>
      </c>
      <c r="G83" s="313">
        <v>30.2</v>
      </c>
      <c r="H83" s="313" t="s">
        <v>547</v>
      </c>
      <c r="I83" s="313" t="s">
        <v>548</v>
      </c>
      <c r="J83" s="313">
        <v>3.1</v>
      </c>
      <c r="K83" s="313">
        <v>17.1</v>
      </c>
      <c r="L83" s="313">
        <v>3.5</v>
      </c>
      <c r="M83" s="313">
        <v>3.2</v>
      </c>
      <c r="N83" s="313">
        <v>1.1</v>
      </c>
      <c r="O83" s="313">
        <v>0.4</v>
      </c>
      <c r="P83" s="313">
        <v>1.4</v>
      </c>
      <c r="Q83" s="313">
        <v>1.88</v>
      </c>
    </row>
    <row r="84">
      <c r="A84" s="313">
        <v>83.0</v>
      </c>
      <c r="B84" s="313">
        <v>34.6</v>
      </c>
      <c r="C84" s="314" t="s">
        <v>549</v>
      </c>
      <c r="D84" s="313" t="s">
        <v>303</v>
      </c>
      <c r="E84" s="313" t="s">
        <v>442</v>
      </c>
      <c r="F84" s="313">
        <v>76.0</v>
      </c>
      <c r="G84" s="313">
        <v>35.1</v>
      </c>
      <c r="H84" s="313" t="s">
        <v>550</v>
      </c>
      <c r="I84" s="313" t="s">
        <v>551</v>
      </c>
      <c r="J84" s="313">
        <v>1.6</v>
      </c>
      <c r="K84" s="313">
        <v>23.1</v>
      </c>
      <c r="L84" s="313">
        <v>7.4</v>
      </c>
      <c r="M84" s="313">
        <v>5.7</v>
      </c>
      <c r="N84" s="313">
        <v>1.0</v>
      </c>
      <c r="O84" s="313">
        <v>0.7</v>
      </c>
      <c r="P84" s="313">
        <v>3.0</v>
      </c>
      <c r="Q84" s="313">
        <v>1.87</v>
      </c>
    </row>
    <row r="85">
      <c r="A85" s="313">
        <v>84.0</v>
      </c>
      <c r="B85" s="313">
        <v>87.2</v>
      </c>
      <c r="C85" s="314" t="s">
        <v>552</v>
      </c>
      <c r="D85" s="313" t="s">
        <v>277</v>
      </c>
      <c r="E85" s="313" t="s">
        <v>283</v>
      </c>
      <c r="F85" s="313">
        <v>72.0</v>
      </c>
      <c r="G85" s="313">
        <v>32.6</v>
      </c>
      <c r="H85" s="313" t="s">
        <v>553</v>
      </c>
      <c r="I85" s="313" t="s">
        <v>554</v>
      </c>
      <c r="J85" s="313">
        <v>2.0</v>
      </c>
      <c r="K85" s="313">
        <v>15.7</v>
      </c>
      <c r="L85" s="313">
        <v>4.0</v>
      </c>
      <c r="M85" s="313">
        <v>5.1</v>
      </c>
      <c r="N85" s="313">
        <v>0.8</v>
      </c>
      <c r="O85" s="313">
        <v>0.3</v>
      </c>
      <c r="P85" s="313">
        <v>2.0</v>
      </c>
      <c r="Q85" s="313">
        <v>1.86</v>
      </c>
    </row>
    <row r="86">
      <c r="A86" s="313">
        <v>85.0</v>
      </c>
      <c r="B86" s="313">
        <v>81.0</v>
      </c>
      <c r="C86" s="314" t="s">
        <v>555</v>
      </c>
      <c r="D86" s="313" t="s">
        <v>303</v>
      </c>
      <c r="E86" s="313" t="s">
        <v>350</v>
      </c>
      <c r="F86" s="313">
        <v>78.0</v>
      </c>
      <c r="G86" s="313">
        <v>33.5</v>
      </c>
      <c r="H86" s="313" t="s">
        <v>556</v>
      </c>
      <c r="I86" s="313" t="s">
        <v>557</v>
      </c>
      <c r="J86" s="313">
        <v>2.7</v>
      </c>
      <c r="K86" s="313">
        <v>14.6</v>
      </c>
      <c r="L86" s="313">
        <v>5.4</v>
      </c>
      <c r="M86" s="313">
        <v>1.6</v>
      </c>
      <c r="N86" s="313">
        <v>1.0</v>
      </c>
      <c r="O86" s="313">
        <v>0.8</v>
      </c>
      <c r="P86" s="313">
        <v>0.8</v>
      </c>
      <c r="Q86" s="313">
        <v>1.82</v>
      </c>
    </row>
    <row r="87">
      <c r="A87" s="313">
        <v>86.0</v>
      </c>
      <c r="B87" s="313">
        <v>117.6</v>
      </c>
      <c r="C87" s="314" t="s">
        <v>558</v>
      </c>
      <c r="D87" s="313" t="s">
        <v>282</v>
      </c>
      <c r="E87" s="313" t="s">
        <v>299</v>
      </c>
      <c r="F87" s="313">
        <v>67.0</v>
      </c>
      <c r="G87" s="313">
        <v>26.8</v>
      </c>
      <c r="H87" s="313" t="s">
        <v>560</v>
      </c>
      <c r="I87" s="313" t="s">
        <v>561</v>
      </c>
      <c r="J87" s="313">
        <v>0.5</v>
      </c>
      <c r="K87" s="313">
        <v>10.6</v>
      </c>
      <c r="L87" s="313">
        <v>7.6</v>
      </c>
      <c r="M87" s="313">
        <v>1.3</v>
      </c>
      <c r="N87" s="313">
        <v>0.7</v>
      </c>
      <c r="O87" s="313">
        <v>1.3</v>
      </c>
      <c r="P87" s="313">
        <v>1.1</v>
      </c>
      <c r="Q87" s="313">
        <v>1.76</v>
      </c>
    </row>
    <row r="88">
      <c r="A88" s="313">
        <v>87.0</v>
      </c>
      <c r="B88" s="313">
        <v>82.6</v>
      </c>
      <c r="C88" s="314" t="s">
        <v>562</v>
      </c>
      <c r="D88" s="313" t="s">
        <v>303</v>
      </c>
      <c r="E88" s="313" t="s">
        <v>346</v>
      </c>
      <c r="F88" s="313">
        <v>60.0</v>
      </c>
      <c r="G88" s="313">
        <v>33.1</v>
      </c>
      <c r="H88" s="313" t="s">
        <v>563</v>
      </c>
      <c r="I88" s="313" t="s">
        <v>564</v>
      </c>
      <c r="J88" s="313">
        <v>2.0</v>
      </c>
      <c r="K88" s="313">
        <v>14.8</v>
      </c>
      <c r="L88" s="313">
        <v>4.1</v>
      </c>
      <c r="M88" s="313">
        <v>2.0</v>
      </c>
      <c r="N88" s="313">
        <v>1.5</v>
      </c>
      <c r="O88" s="313">
        <v>0.7</v>
      </c>
      <c r="P88" s="313">
        <v>1.8</v>
      </c>
      <c r="Q88" s="313">
        <v>1.71</v>
      </c>
    </row>
    <row r="89">
      <c r="A89" s="313">
        <v>88.0</v>
      </c>
      <c r="B89" s="313">
        <v>86.5</v>
      </c>
      <c r="C89" s="314" t="s">
        <v>565</v>
      </c>
      <c r="D89" s="313" t="s">
        <v>277</v>
      </c>
      <c r="E89" s="313" t="s">
        <v>449</v>
      </c>
      <c r="F89" s="313">
        <v>76.0</v>
      </c>
      <c r="G89" s="313">
        <v>35.5</v>
      </c>
      <c r="H89" s="313" t="s">
        <v>566</v>
      </c>
      <c r="I89" s="313" t="s">
        <v>567</v>
      </c>
      <c r="J89" s="313">
        <v>2.7</v>
      </c>
      <c r="K89" s="313">
        <v>18.0</v>
      </c>
      <c r="L89" s="313">
        <v>4.6</v>
      </c>
      <c r="M89" s="313">
        <v>4.9</v>
      </c>
      <c r="N89" s="313">
        <v>0.9</v>
      </c>
      <c r="O89" s="313">
        <v>0.2</v>
      </c>
      <c r="P89" s="313">
        <v>2.0</v>
      </c>
      <c r="Q89" s="313">
        <v>1.68</v>
      </c>
    </row>
    <row r="90">
      <c r="A90" s="313">
        <v>89.0</v>
      </c>
      <c r="B90" s="313">
        <v>73.3</v>
      </c>
      <c r="C90" s="314" t="s">
        <v>568</v>
      </c>
      <c r="D90" s="313" t="s">
        <v>303</v>
      </c>
      <c r="E90" s="313" t="s">
        <v>269</v>
      </c>
      <c r="F90" s="313">
        <v>74.0</v>
      </c>
      <c r="G90" s="313">
        <v>31.8</v>
      </c>
      <c r="H90" s="313" t="s">
        <v>570</v>
      </c>
      <c r="I90" s="313" t="s">
        <v>571</v>
      </c>
      <c r="J90" s="313">
        <v>2.9</v>
      </c>
      <c r="K90" s="313">
        <v>17.5</v>
      </c>
      <c r="L90" s="313">
        <v>6.5</v>
      </c>
      <c r="M90" s="313">
        <v>1.4</v>
      </c>
      <c r="N90" s="313">
        <v>0.6</v>
      </c>
      <c r="O90" s="313">
        <v>0.6</v>
      </c>
      <c r="P90" s="313">
        <v>1.2</v>
      </c>
      <c r="Q90" s="313">
        <v>1.68</v>
      </c>
    </row>
    <row r="91">
      <c r="A91" s="313">
        <v>90.0</v>
      </c>
      <c r="B91" s="313">
        <v>102.0</v>
      </c>
      <c r="C91" s="314" t="s">
        <v>572</v>
      </c>
      <c r="D91" s="313" t="s">
        <v>364</v>
      </c>
      <c r="E91" s="313" t="s">
        <v>273</v>
      </c>
      <c r="F91" s="313">
        <v>68.0</v>
      </c>
      <c r="G91" s="313">
        <v>28.7</v>
      </c>
      <c r="H91" s="313" t="s">
        <v>573</v>
      </c>
      <c r="I91" s="313" t="s">
        <v>574</v>
      </c>
      <c r="J91" s="313">
        <v>1.5</v>
      </c>
      <c r="K91" s="313">
        <v>8.7</v>
      </c>
      <c r="L91" s="313">
        <v>3.8</v>
      </c>
      <c r="M91" s="313">
        <v>3.5</v>
      </c>
      <c r="N91" s="313">
        <v>1.6</v>
      </c>
      <c r="O91" s="313">
        <v>0.9</v>
      </c>
      <c r="P91" s="313">
        <v>1.4</v>
      </c>
      <c r="Q91" s="313">
        <v>1.64</v>
      </c>
    </row>
    <row r="92">
      <c r="A92" s="313">
        <v>91.0</v>
      </c>
      <c r="B92" s="313">
        <v>96.2</v>
      </c>
      <c r="C92" s="314" t="s">
        <v>575</v>
      </c>
      <c r="D92" s="313" t="s">
        <v>303</v>
      </c>
      <c r="E92" s="313" t="s">
        <v>414</v>
      </c>
      <c r="F92" s="313">
        <v>71.0</v>
      </c>
      <c r="G92" s="313">
        <v>30.2</v>
      </c>
      <c r="H92" s="313" t="s">
        <v>576</v>
      </c>
      <c r="I92" s="313" t="s">
        <v>577</v>
      </c>
      <c r="J92" s="313">
        <v>1.2</v>
      </c>
      <c r="K92" s="313">
        <v>10.5</v>
      </c>
      <c r="L92" s="313">
        <v>4.2</v>
      </c>
      <c r="M92" s="313">
        <v>2.6</v>
      </c>
      <c r="N92" s="313">
        <v>1.4</v>
      </c>
      <c r="O92" s="313">
        <v>0.9</v>
      </c>
      <c r="P92" s="313">
        <v>1.3</v>
      </c>
      <c r="Q92" s="313">
        <v>1.61</v>
      </c>
    </row>
    <row r="93">
      <c r="A93" s="313">
        <v>92.0</v>
      </c>
      <c r="B93" s="313">
        <v>104.5</v>
      </c>
      <c r="C93" s="314" t="s">
        <v>578</v>
      </c>
      <c r="D93" s="313" t="s">
        <v>282</v>
      </c>
      <c r="E93" s="313" t="s">
        <v>278</v>
      </c>
      <c r="F93" s="313">
        <v>75.0</v>
      </c>
      <c r="G93" s="313">
        <v>24.5</v>
      </c>
      <c r="H93" s="313" t="s">
        <v>579</v>
      </c>
      <c r="I93" s="313" t="s">
        <v>580</v>
      </c>
      <c r="J93" s="313">
        <v>0.0</v>
      </c>
      <c r="K93" s="313">
        <v>10.3</v>
      </c>
      <c r="L93" s="313">
        <v>6.8</v>
      </c>
      <c r="M93" s="313">
        <v>1.4</v>
      </c>
      <c r="N93" s="313">
        <v>0.7</v>
      </c>
      <c r="O93" s="313">
        <v>1.7</v>
      </c>
      <c r="P93" s="313">
        <v>1.1</v>
      </c>
      <c r="Q93" s="313">
        <v>1.61</v>
      </c>
    </row>
    <row r="94">
      <c r="A94" s="313">
        <v>93.0</v>
      </c>
      <c r="B94" s="313">
        <v>101.4</v>
      </c>
      <c r="C94" s="314" t="s">
        <v>581</v>
      </c>
      <c r="D94" s="313" t="s">
        <v>282</v>
      </c>
      <c r="E94" s="313" t="s">
        <v>312</v>
      </c>
      <c r="F94" s="313">
        <v>58.0</v>
      </c>
      <c r="G94" s="313">
        <v>27.3</v>
      </c>
      <c r="H94" s="313" t="s">
        <v>582</v>
      </c>
      <c r="I94" s="313" t="s">
        <v>583</v>
      </c>
      <c r="J94" s="313">
        <v>0.7</v>
      </c>
      <c r="K94" s="313">
        <v>8.2</v>
      </c>
      <c r="L94" s="313">
        <v>6.9</v>
      </c>
      <c r="M94" s="313">
        <v>6.2</v>
      </c>
      <c r="N94" s="313">
        <v>1.1</v>
      </c>
      <c r="O94" s="313">
        <v>0.8</v>
      </c>
      <c r="P94" s="313">
        <v>2.5</v>
      </c>
      <c r="Q94" s="313">
        <v>1.58</v>
      </c>
    </row>
    <row r="95">
      <c r="A95" s="313">
        <v>94.0</v>
      </c>
      <c r="B95" s="313">
        <v>92.7</v>
      </c>
      <c r="C95" s="314" t="s">
        <v>584</v>
      </c>
      <c r="D95" s="313" t="s">
        <v>97</v>
      </c>
      <c r="E95" s="313" t="s">
        <v>332</v>
      </c>
      <c r="F95" s="313">
        <v>68.0</v>
      </c>
      <c r="G95" s="313">
        <v>26.8</v>
      </c>
      <c r="H95" s="313" t="s">
        <v>585</v>
      </c>
      <c r="I95" s="313" t="s">
        <v>586</v>
      </c>
      <c r="J95" s="313">
        <v>0.0</v>
      </c>
      <c r="K95" s="313">
        <v>12.2</v>
      </c>
      <c r="L95" s="313">
        <v>9.1</v>
      </c>
      <c r="M95" s="313">
        <v>2.7</v>
      </c>
      <c r="N95" s="313">
        <v>0.9</v>
      </c>
      <c r="O95" s="313">
        <v>1.4</v>
      </c>
      <c r="P95" s="313">
        <v>1.7</v>
      </c>
      <c r="Q95" s="313">
        <v>1.49</v>
      </c>
    </row>
    <row r="96">
      <c r="A96" s="313">
        <v>95.0</v>
      </c>
      <c r="B96" s="313">
        <v>116.8</v>
      </c>
      <c r="C96" s="314" t="s">
        <v>587</v>
      </c>
      <c r="D96" s="313" t="s">
        <v>364</v>
      </c>
      <c r="E96" s="313" t="s">
        <v>386</v>
      </c>
      <c r="F96" s="313">
        <v>68.0</v>
      </c>
      <c r="G96" s="313">
        <v>27.2</v>
      </c>
      <c r="H96" s="313" t="s">
        <v>588</v>
      </c>
      <c r="I96" s="313" t="s">
        <v>589</v>
      </c>
      <c r="J96" s="313">
        <v>0.3</v>
      </c>
      <c r="K96" s="313">
        <v>12.0</v>
      </c>
      <c r="L96" s="313">
        <v>7.2</v>
      </c>
      <c r="M96" s="313">
        <v>3.2</v>
      </c>
      <c r="N96" s="313">
        <v>1.5</v>
      </c>
      <c r="O96" s="313">
        <v>0.8</v>
      </c>
      <c r="P96" s="313">
        <v>1.8</v>
      </c>
      <c r="Q96" s="313">
        <v>1.46</v>
      </c>
    </row>
    <row r="97">
      <c r="A97" s="313">
        <v>96.0</v>
      </c>
      <c r="B97" s="313">
        <v>86.9</v>
      </c>
      <c r="C97" s="314" t="s">
        <v>590</v>
      </c>
      <c r="D97" s="313" t="s">
        <v>277</v>
      </c>
      <c r="E97" s="313" t="s">
        <v>414</v>
      </c>
      <c r="F97" s="313">
        <v>65.0</v>
      </c>
      <c r="G97" s="313">
        <v>32.0</v>
      </c>
      <c r="H97" s="313" t="s">
        <v>591</v>
      </c>
      <c r="I97" s="313" t="s">
        <v>592</v>
      </c>
      <c r="J97" s="313">
        <v>2.8</v>
      </c>
      <c r="K97" s="313">
        <v>18.3</v>
      </c>
      <c r="L97" s="313">
        <v>3.9</v>
      </c>
      <c r="M97" s="313">
        <v>4.1</v>
      </c>
      <c r="N97" s="313">
        <v>0.8</v>
      </c>
      <c r="O97" s="313">
        <v>0.5</v>
      </c>
      <c r="P97" s="313">
        <v>1.9</v>
      </c>
      <c r="Q97" s="313">
        <v>1.39</v>
      </c>
    </row>
    <row r="98">
      <c r="A98" s="313">
        <v>97.0</v>
      </c>
      <c r="B98" s="313">
        <v>70.1</v>
      </c>
      <c r="C98" s="314" t="s">
        <v>593</v>
      </c>
      <c r="D98" s="313" t="s">
        <v>88</v>
      </c>
      <c r="E98" s="313" t="s">
        <v>495</v>
      </c>
      <c r="F98" s="313">
        <v>69.0</v>
      </c>
      <c r="G98" s="313">
        <v>32.1</v>
      </c>
      <c r="H98" s="313" t="s">
        <v>594</v>
      </c>
      <c r="I98" s="313" t="s">
        <v>595</v>
      </c>
      <c r="J98" s="313">
        <v>2.6</v>
      </c>
      <c r="K98" s="313">
        <v>25.6</v>
      </c>
      <c r="L98" s="313">
        <v>3.3</v>
      </c>
      <c r="M98" s="313">
        <v>2.9</v>
      </c>
      <c r="N98" s="313">
        <v>0.7</v>
      </c>
      <c r="O98" s="313">
        <v>0.3</v>
      </c>
      <c r="P98" s="313">
        <v>2.0</v>
      </c>
      <c r="Q98" s="313">
        <v>1.36</v>
      </c>
    </row>
    <row r="99">
      <c r="A99" s="313">
        <v>98.0</v>
      </c>
      <c r="B99" s="313">
        <v>136.7</v>
      </c>
      <c r="C99" s="314" t="s">
        <v>596</v>
      </c>
      <c r="D99" s="313" t="s">
        <v>282</v>
      </c>
      <c r="E99" s="313" t="s">
        <v>304</v>
      </c>
      <c r="F99" s="313">
        <v>63.0</v>
      </c>
      <c r="G99" s="313">
        <v>27.4</v>
      </c>
      <c r="H99" s="313" t="s">
        <v>598</v>
      </c>
      <c r="I99" s="313" t="s">
        <v>599</v>
      </c>
      <c r="J99" s="313">
        <v>2.1</v>
      </c>
      <c r="K99" s="313">
        <v>9.8</v>
      </c>
      <c r="L99" s="313">
        <v>6.7</v>
      </c>
      <c r="M99" s="313">
        <v>3.0</v>
      </c>
      <c r="N99" s="313">
        <v>0.6</v>
      </c>
      <c r="O99" s="313">
        <v>1.0</v>
      </c>
      <c r="P99" s="313">
        <v>0.7</v>
      </c>
      <c r="Q99" s="313">
        <v>1.36</v>
      </c>
    </row>
    <row r="100">
      <c r="A100" s="313">
        <v>99.0</v>
      </c>
      <c r="B100" s="313">
        <v>91.6</v>
      </c>
      <c r="C100" s="314" t="s">
        <v>600</v>
      </c>
      <c r="D100" s="313" t="s">
        <v>97</v>
      </c>
      <c r="E100" s="313" t="s">
        <v>308</v>
      </c>
      <c r="F100" s="313">
        <v>72.0</v>
      </c>
      <c r="G100" s="313">
        <v>28.5</v>
      </c>
      <c r="H100" s="313" t="s">
        <v>601</v>
      </c>
      <c r="I100" s="313" t="s">
        <v>602</v>
      </c>
      <c r="J100" s="313">
        <v>0.0</v>
      </c>
      <c r="K100" s="313">
        <v>12.3</v>
      </c>
      <c r="L100" s="313">
        <v>10.1</v>
      </c>
      <c r="M100" s="313">
        <v>1.3</v>
      </c>
      <c r="N100" s="313">
        <v>0.4</v>
      </c>
      <c r="O100" s="313">
        <v>1.4</v>
      </c>
      <c r="P100" s="313">
        <v>1.5</v>
      </c>
      <c r="Q100" s="313">
        <v>1.35</v>
      </c>
    </row>
    <row r="101">
      <c r="A101" s="313">
        <v>100.0</v>
      </c>
      <c r="B101" s="313">
        <v>111.1</v>
      </c>
      <c r="C101" s="314" t="s">
        <v>603</v>
      </c>
      <c r="D101" s="313" t="s">
        <v>90</v>
      </c>
      <c r="E101" s="313" t="s">
        <v>291</v>
      </c>
      <c r="F101" s="313">
        <v>62.0</v>
      </c>
      <c r="G101" s="313">
        <v>28.1</v>
      </c>
      <c r="H101" s="313" t="s">
        <v>604</v>
      </c>
      <c r="I101" s="313" t="s">
        <v>605</v>
      </c>
      <c r="J101" s="313">
        <v>1.7</v>
      </c>
      <c r="K101" s="313">
        <v>16.4</v>
      </c>
      <c r="L101" s="313">
        <v>4.4</v>
      </c>
      <c r="M101" s="313">
        <v>4.7</v>
      </c>
      <c r="N101" s="313">
        <v>0.8</v>
      </c>
      <c r="O101" s="313">
        <v>0.2</v>
      </c>
      <c r="P101" s="313">
        <v>2.4</v>
      </c>
      <c r="Q101" s="313">
        <v>1.34</v>
      </c>
    </row>
    <row r="102">
      <c r="A102" s="313">
        <v>101.0</v>
      </c>
      <c r="B102" s="313">
        <v>132.8</v>
      </c>
      <c r="C102" s="314" t="s">
        <v>606</v>
      </c>
      <c r="D102" s="313" t="s">
        <v>85</v>
      </c>
      <c r="E102" s="313" t="s">
        <v>365</v>
      </c>
      <c r="F102" s="313">
        <v>72.0</v>
      </c>
      <c r="G102" s="313">
        <v>29.1</v>
      </c>
      <c r="H102" s="313" t="s">
        <v>607</v>
      </c>
      <c r="I102" s="313" t="s">
        <v>608</v>
      </c>
      <c r="J102" s="313">
        <v>2.2</v>
      </c>
      <c r="K102" s="313">
        <v>11.6</v>
      </c>
      <c r="L102" s="313">
        <v>2.8</v>
      </c>
      <c r="M102" s="313">
        <v>6.0</v>
      </c>
      <c r="N102" s="313">
        <v>1.1</v>
      </c>
      <c r="O102" s="313">
        <v>0.2</v>
      </c>
      <c r="P102" s="313">
        <v>1.4</v>
      </c>
      <c r="Q102" s="313">
        <v>1.3</v>
      </c>
    </row>
    <row r="103">
      <c r="A103" s="313">
        <v>102.0</v>
      </c>
      <c r="B103" s="313">
        <v>88.2</v>
      </c>
      <c r="C103" s="314" t="s">
        <v>609</v>
      </c>
      <c r="D103" s="313" t="s">
        <v>97</v>
      </c>
      <c r="E103" s="313" t="s">
        <v>490</v>
      </c>
      <c r="F103" s="313">
        <v>74.0</v>
      </c>
      <c r="G103" s="313">
        <v>26.8</v>
      </c>
      <c r="H103" s="313" t="s">
        <v>610</v>
      </c>
      <c r="I103" s="313" t="s">
        <v>611</v>
      </c>
      <c r="J103" s="313">
        <v>0.5</v>
      </c>
      <c r="K103" s="313">
        <v>14.2</v>
      </c>
      <c r="L103" s="313">
        <v>10.3</v>
      </c>
      <c r="M103" s="313">
        <v>2.1</v>
      </c>
      <c r="N103" s="313">
        <v>0.4</v>
      </c>
      <c r="O103" s="313">
        <v>0.8</v>
      </c>
      <c r="P103" s="313">
        <v>1.8</v>
      </c>
      <c r="Q103" s="313">
        <v>1.29</v>
      </c>
    </row>
    <row r="104">
      <c r="A104" s="313">
        <v>103.0</v>
      </c>
      <c r="B104" s="313">
        <v>63.0</v>
      </c>
      <c r="C104" s="314" t="s">
        <v>612</v>
      </c>
      <c r="D104" s="313" t="s">
        <v>364</v>
      </c>
      <c r="E104" s="313" t="s">
        <v>342</v>
      </c>
      <c r="F104" s="313">
        <v>74.0</v>
      </c>
      <c r="G104" s="313">
        <v>33.0</v>
      </c>
      <c r="H104" s="313" t="s">
        <v>613</v>
      </c>
      <c r="I104" s="313" t="s">
        <v>614</v>
      </c>
      <c r="J104" s="313">
        <v>2.6</v>
      </c>
      <c r="K104" s="313">
        <v>18.1</v>
      </c>
      <c r="L104" s="313">
        <v>4.4</v>
      </c>
      <c r="M104" s="313">
        <v>2.5</v>
      </c>
      <c r="N104" s="313">
        <v>1.0</v>
      </c>
      <c r="O104" s="313">
        <v>0.6</v>
      </c>
      <c r="P104" s="313">
        <v>1.9</v>
      </c>
      <c r="Q104" s="313">
        <v>1.24</v>
      </c>
    </row>
    <row r="105">
      <c r="A105" s="313">
        <v>104.0</v>
      </c>
      <c r="B105" s="313">
        <v>116.1</v>
      </c>
      <c r="C105" s="314" t="s">
        <v>615</v>
      </c>
      <c r="D105" s="313" t="s">
        <v>85</v>
      </c>
      <c r="E105" s="313" t="s">
        <v>324</v>
      </c>
      <c r="F105" s="313">
        <v>73.0</v>
      </c>
      <c r="G105" s="313">
        <v>29.4</v>
      </c>
      <c r="H105" s="313" t="s">
        <v>616</v>
      </c>
      <c r="I105" s="313" t="s">
        <v>617</v>
      </c>
      <c r="J105" s="313">
        <v>1.7</v>
      </c>
      <c r="K105" s="313">
        <v>12.2</v>
      </c>
      <c r="L105" s="313">
        <v>2.9</v>
      </c>
      <c r="M105" s="313">
        <v>6.8</v>
      </c>
      <c r="N105" s="313">
        <v>1.2</v>
      </c>
      <c r="O105" s="313">
        <v>0.2</v>
      </c>
      <c r="P105" s="313">
        <v>1.1</v>
      </c>
      <c r="Q105" s="313">
        <v>1.23</v>
      </c>
    </row>
    <row r="106">
      <c r="A106" s="313">
        <v>105.0</v>
      </c>
      <c r="B106" s="313">
        <v>76.9</v>
      </c>
      <c r="C106" s="314" t="s">
        <v>618</v>
      </c>
      <c r="D106" s="313" t="s">
        <v>97</v>
      </c>
      <c r="E106" s="313" t="s">
        <v>291</v>
      </c>
      <c r="F106" s="313">
        <v>70.0</v>
      </c>
      <c r="G106" s="313">
        <v>28.5</v>
      </c>
      <c r="H106" s="313" t="s">
        <v>619</v>
      </c>
      <c r="I106" s="313" t="s">
        <v>620</v>
      </c>
      <c r="J106" s="313">
        <v>1.7</v>
      </c>
      <c r="K106" s="313">
        <v>11.7</v>
      </c>
      <c r="L106" s="313">
        <v>4.9</v>
      </c>
      <c r="M106" s="313">
        <v>1.3</v>
      </c>
      <c r="N106" s="313">
        <v>0.5</v>
      </c>
      <c r="O106" s="313">
        <v>2.0</v>
      </c>
      <c r="P106" s="313">
        <v>1.0</v>
      </c>
      <c r="Q106" s="313">
        <v>1.2</v>
      </c>
    </row>
    <row r="107">
      <c r="A107" s="313">
        <v>106.0</v>
      </c>
      <c r="B107" s="313">
        <v>109.6</v>
      </c>
      <c r="C107" s="314" t="s">
        <v>621</v>
      </c>
      <c r="D107" s="313" t="s">
        <v>303</v>
      </c>
      <c r="E107" s="313" t="s">
        <v>465</v>
      </c>
      <c r="F107" s="313">
        <v>55.0</v>
      </c>
      <c r="G107" s="313">
        <v>32.8</v>
      </c>
      <c r="H107" s="313" t="s">
        <v>622</v>
      </c>
      <c r="I107" s="313" t="s">
        <v>623</v>
      </c>
      <c r="J107" s="313">
        <v>2.1</v>
      </c>
      <c r="K107" s="313">
        <v>19.7</v>
      </c>
      <c r="L107" s="313">
        <v>3.9</v>
      </c>
      <c r="M107" s="313">
        <v>2.5</v>
      </c>
      <c r="N107" s="313">
        <v>0.8</v>
      </c>
      <c r="O107" s="313">
        <v>0.7</v>
      </c>
      <c r="P107" s="313">
        <v>1.9</v>
      </c>
      <c r="Q107" s="313">
        <v>1.09</v>
      </c>
    </row>
    <row r="108">
      <c r="A108" s="313">
        <v>107.0</v>
      </c>
      <c r="B108" s="313">
        <v>82.5</v>
      </c>
      <c r="C108" s="314" t="s">
        <v>624</v>
      </c>
      <c r="D108" s="313" t="s">
        <v>92</v>
      </c>
      <c r="E108" s="313" t="s">
        <v>490</v>
      </c>
      <c r="F108" s="313">
        <v>69.0</v>
      </c>
      <c r="G108" s="313">
        <v>32.1</v>
      </c>
      <c r="H108" s="313" t="s">
        <v>625</v>
      </c>
      <c r="I108" s="313" t="s">
        <v>626</v>
      </c>
      <c r="J108" s="313">
        <v>2.3</v>
      </c>
      <c r="K108" s="313">
        <v>21.6</v>
      </c>
      <c r="L108" s="313">
        <v>6.9</v>
      </c>
      <c r="M108" s="313">
        <v>4.0</v>
      </c>
      <c r="N108" s="313">
        <v>0.5</v>
      </c>
      <c r="O108" s="313">
        <v>0.6</v>
      </c>
      <c r="P108" s="313">
        <v>2.8</v>
      </c>
      <c r="Q108" s="313">
        <v>1.06</v>
      </c>
    </row>
    <row r="109">
      <c r="A109" s="313">
        <v>108.0</v>
      </c>
      <c r="B109" s="313">
        <v>132.1</v>
      </c>
      <c r="C109" s="314" t="s">
        <v>627</v>
      </c>
      <c r="D109" s="313" t="s">
        <v>364</v>
      </c>
      <c r="E109" s="313" t="s">
        <v>308</v>
      </c>
      <c r="F109" s="313">
        <v>69.0</v>
      </c>
      <c r="G109" s="313">
        <v>31.8</v>
      </c>
      <c r="H109" s="313" t="s">
        <v>628</v>
      </c>
      <c r="I109" s="313" t="s">
        <v>629</v>
      </c>
      <c r="J109" s="313">
        <v>2.6</v>
      </c>
      <c r="K109" s="313">
        <v>18.8</v>
      </c>
      <c r="L109" s="313">
        <v>3.4</v>
      </c>
      <c r="M109" s="313">
        <v>1.7</v>
      </c>
      <c r="N109" s="313">
        <v>0.8</v>
      </c>
      <c r="O109" s="313">
        <v>0.4</v>
      </c>
      <c r="P109" s="313">
        <v>1.5</v>
      </c>
      <c r="Q109" s="313">
        <v>0.92</v>
      </c>
    </row>
    <row r="110">
      <c r="A110" s="313">
        <v>109.0</v>
      </c>
      <c r="B110" s="313">
        <v>102.7</v>
      </c>
      <c r="C110" s="314" t="s">
        <v>630</v>
      </c>
      <c r="D110" s="313" t="s">
        <v>97</v>
      </c>
      <c r="E110" s="313" t="s">
        <v>299</v>
      </c>
      <c r="F110" s="313">
        <v>70.0</v>
      </c>
      <c r="G110" s="313">
        <v>26.0</v>
      </c>
      <c r="H110" s="313" t="s">
        <v>631</v>
      </c>
      <c r="I110" s="313" t="s">
        <v>632</v>
      </c>
      <c r="J110" s="313">
        <v>0.0</v>
      </c>
      <c r="K110" s="313">
        <v>11.5</v>
      </c>
      <c r="L110" s="313">
        <v>10.7</v>
      </c>
      <c r="M110" s="313">
        <v>1.1</v>
      </c>
      <c r="N110" s="313">
        <v>0.6</v>
      </c>
      <c r="O110" s="313">
        <v>1.3</v>
      </c>
      <c r="P110" s="313">
        <v>0.9</v>
      </c>
      <c r="Q110" s="313">
        <v>0.89</v>
      </c>
    </row>
    <row r="111">
      <c r="A111" s="313">
        <v>110.0</v>
      </c>
      <c r="B111" s="313">
        <v>125.6</v>
      </c>
      <c r="C111" s="314" t="s">
        <v>633</v>
      </c>
      <c r="D111" s="313" t="s">
        <v>282</v>
      </c>
      <c r="E111" s="313" t="s">
        <v>312</v>
      </c>
      <c r="F111" s="313">
        <v>70.0</v>
      </c>
      <c r="G111" s="313">
        <v>26.4</v>
      </c>
      <c r="H111" s="313" t="s">
        <v>634</v>
      </c>
      <c r="I111" s="313" t="s">
        <v>635</v>
      </c>
      <c r="J111" s="313">
        <v>0.0</v>
      </c>
      <c r="K111" s="313">
        <v>12.1</v>
      </c>
      <c r="L111" s="313">
        <v>7.6</v>
      </c>
      <c r="M111" s="313">
        <v>1.8</v>
      </c>
      <c r="N111" s="313">
        <v>0.6</v>
      </c>
      <c r="O111" s="313">
        <v>1.6</v>
      </c>
      <c r="P111" s="313">
        <v>1.1</v>
      </c>
      <c r="Q111" s="313">
        <v>0.71</v>
      </c>
    </row>
    <row r="112">
      <c r="A112" s="313">
        <v>111.0</v>
      </c>
      <c r="B112" s="313">
        <v>92.2</v>
      </c>
      <c r="C112" s="314" t="s">
        <v>636</v>
      </c>
      <c r="D112" s="313" t="s">
        <v>277</v>
      </c>
      <c r="E112" s="313" t="s">
        <v>386</v>
      </c>
      <c r="F112" s="313">
        <v>76.0</v>
      </c>
      <c r="G112" s="313">
        <v>32.0</v>
      </c>
      <c r="H112" s="313" t="s">
        <v>637</v>
      </c>
      <c r="I112" s="313" t="s">
        <v>638</v>
      </c>
      <c r="J112" s="313">
        <v>2.4</v>
      </c>
      <c r="K112" s="313">
        <v>20.5</v>
      </c>
      <c r="L112" s="313">
        <v>4.9</v>
      </c>
      <c r="M112" s="313">
        <v>3.7</v>
      </c>
      <c r="N112" s="313">
        <v>0.9</v>
      </c>
      <c r="O112" s="313">
        <v>0.3</v>
      </c>
      <c r="P112" s="313">
        <v>2.4</v>
      </c>
      <c r="Q112" s="313">
        <v>0.68</v>
      </c>
    </row>
    <row r="113">
      <c r="A113" s="313">
        <v>112.0</v>
      </c>
      <c r="B113" s="313">
        <v>96.4</v>
      </c>
      <c r="C113" s="314" t="s">
        <v>640</v>
      </c>
      <c r="D113" s="313" t="s">
        <v>282</v>
      </c>
      <c r="E113" s="313" t="s">
        <v>365</v>
      </c>
      <c r="F113" s="313">
        <v>77.0</v>
      </c>
      <c r="G113" s="313">
        <v>27.1</v>
      </c>
      <c r="H113" s="313" t="s">
        <v>641</v>
      </c>
      <c r="I113" s="313" t="s">
        <v>642</v>
      </c>
      <c r="J113" s="313">
        <v>2.0</v>
      </c>
      <c r="K113" s="313">
        <v>14.7</v>
      </c>
      <c r="L113" s="313">
        <v>6.2</v>
      </c>
      <c r="M113" s="313">
        <v>1.5</v>
      </c>
      <c r="N113" s="313">
        <v>0.9</v>
      </c>
      <c r="O113" s="313">
        <v>1.0</v>
      </c>
      <c r="P113" s="313">
        <v>1.7</v>
      </c>
      <c r="Q113" s="313">
        <v>0.67</v>
      </c>
    </row>
    <row r="114">
      <c r="A114" s="313">
        <v>113.0</v>
      </c>
      <c r="B114" s="313">
        <v>63.6</v>
      </c>
      <c r="C114" s="314" t="s">
        <v>643</v>
      </c>
      <c r="D114" s="313" t="s">
        <v>92</v>
      </c>
      <c r="E114" s="313" t="s">
        <v>365</v>
      </c>
      <c r="F114" s="313">
        <v>68.0</v>
      </c>
      <c r="G114" s="313">
        <v>32.4</v>
      </c>
      <c r="H114" s="313" t="s">
        <v>644</v>
      </c>
      <c r="I114" s="313" t="s">
        <v>645</v>
      </c>
      <c r="J114" s="313">
        <v>1.4</v>
      </c>
      <c r="K114" s="313">
        <v>20.3</v>
      </c>
      <c r="L114" s="313">
        <v>8.5</v>
      </c>
      <c r="M114" s="313">
        <v>3.9</v>
      </c>
      <c r="N114" s="313">
        <v>0.5</v>
      </c>
      <c r="O114" s="313">
        <v>0.2</v>
      </c>
      <c r="P114" s="313">
        <v>2.6</v>
      </c>
      <c r="Q114" s="313">
        <v>0.64</v>
      </c>
    </row>
    <row r="115">
      <c r="A115" s="313">
        <v>114.0</v>
      </c>
      <c r="B115" s="313">
        <v>110.3</v>
      </c>
      <c r="C115" s="314" t="s">
        <v>646</v>
      </c>
      <c r="D115" s="313" t="s">
        <v>364</v>
      </c>
      <c r="E115" s="313" t="s">
        <v>365</v>
      </c>
      <c r="F115" s="313">
        <v>73.0</v>
      </c>
      <c r="G115" s="313">
        <v>27.3</v>
      </c>
      <c r="H115" s="313" t="s">
        <v>648</v>
      </c>
      <c r="I115" s="313" t="s">
        <v>649</v>
      </c>
      <c r="J115" s="313">
        <v>2.7</v>
      </c>
      <c r="K115" s="313">
        <v>12.7</v>
      </c>
      <c r="L115" s="313">
        <v>3.9</v>
      </c>
      <c r="M115" s="313">
        <v>3.0</v>
      </c>
      <c r="N115" s="313">
        <v>1.3</v>
      </c>
      <c r="O115" s="313">
        <v>0.3</v>
      </c>
      <c r="P115" s="313">
        <v>1.4</v>
      </c>
      <c r="Q115" s="313">
        <v>0.64</v>
      </c>
    </row>
    <row r="116">
      <c r="A116" s="313">
        <v>115.0</v>
      </c>
      <c r="B116" s="313">
        <v>106.7</v>
      </c>
      <c r="C116" s="314" t="s">
        <v>650</v>
      </c>
      <c r="D116" s="313" t="s">
        <v>282</v>
      </c>
      <c r="E116" s="313" t="s">
        <v>354</v>
      </c>
      <c r="F116" s="313">
        <v>67.0</v>
      </c>
      <c r="G116" s="313">
        <v>27.2</v>
      </c>
      <c r="H116" s="313" t="s">
        <v>651</v>
      </c>
      <c r="I116" s="313" t="s">
        <v>652</v>
      </c>
      <c r="J116" s="313">
        <v>1.1</v>
      </c>
      <c r="K116" s="313">
        <v>13.7</v>
      </c>
      <c r="L116" s="313">
        <v>7.3</v>
      </c>
      <c r="M116" s="313">
        <v>1.1</v>
      </c>
      <c r="N116" s="313">
        <v>0.6</v>
      </c>
      <c r="O116" s="313">
        <v>0.9</v>
      </c>
      <c r="P116" s="313">
        <v>1.2</v>
      </c>
      <c r="Q116" s="313">
        <v>0.62</v>
      </c>
    </row>
    <row r="117">
      <c r="A117" s="313">
        <v>116.0</v>
      </c>
      <c r="B117" s="313">
        <v>103.8</v>
      </c>
      <c r="C117" s="314" t="s">
        <v>653</v>
      </c>
      <c r="D117" s="313" t="s">
        <v>85</v>
      </c>
      <c r="E117" s="313" t="s">
        <v>265</v>
      </c>
      <c r="F117" s="313">
        <v>58.0</v>
      </c>
      <c r="G117" s="313">
        <v>26.4</v>
      </c>
      <c r="H117" s="313" t="s">
        <v>655</v>
      </c>
      <c r="I117" s="313" t="s">
        <v>656</v>
      </c>
      <c r="J117" s="313">
        <v>1.3</v>
      </c>
      <c r="K117" s="313">
        <v>10.2</v>
      </c>
      <c r="L117" s="313">
        <v>3.6</v>
      </c>
      <c r="M117" s="313">
        <v>6.9</v>
      </c>
      <c r="N117" s="313">
        <v>1.2</v>
      </c>
      <c r="O117" s="313">
        <v>0.2</v>
      </c>
      <c r="P117" s="313">
        <v>1.4</v>
      </c>
      <c r="Q117" s="313">
        <v>0.56</v>
      </c>
    </row>
    <row r="118">
      <c r="A118" s="313">
        <v>117.0</v>
      </c>
      <c r="B118" s="313">
        <v>84.2</v>
      </c>
      <c r="C118" s="314" t="s">
        <v>657</v>
      </c>
      <c r="D118" s="313" t="s">
        <v>97</v>
      </c>
      <c r="E118" s="313" t="s">
        <v>324</v>
      </c>
      <c r="F118" s="313">
        <v>68.0</v>
      </c>
      <c r="G118" s="313">
        <v>27.5</v>
      </c>
      <c r="H118" s="313" t="s">
        <v>658</v>
      </c>
      <c r="I118" s="313" t="s">
        <v>659</v>
      </c>
      <c r="J118" s="313">
        <v>0.5</v>
      </c>
      <c r="K118" s="313">
        <v>12.2</v>
      </c>
      <c r="L118" s="313">
        <v>10.5</v>
      </c>
      <c r="M118" s="313">
        <v>3.6</v>
      </c>
      <c r="N118" s="313">
        <v>1.0</v>
      </c>
      <c r="O118" s="313">
        <v>1.0</v>
      </c>
      <c r="P118" s="313">
        <v>2.4</v>
      </c>
      <c r="Q118" s="313">
        <v>0.54</v>
      </c>
    </row>
    <row r="119">
      <c r="A119" s="313">
        <v>118.0</v>
      </c>
      <c r="B119" s="313">
        <v>124.0</v>
      </c>
      <c r="C119" s="314" t="s">
        <v>660</v>
      </c>
      <c r="D119" s="313" t="s">
        <v>303</v>
      </c>
      <c r="E119" s="313" t="s">
        <v>495</v>
      </c>
      <c r="F119" s="313">
        <v>60.0</v>
      </c>
      <c r="G119" s="313">
        <v>28.6</v>
      </c>
      <c r="H119" s="313" t="s">
        <v>661</v>
      </c>
      <c r="I119" s="313" t="s">
        <v>662</v>
      </c>
      <c r="J119" s="313">
        <v>2.5</v>
      </c>
      <c r="K119" s="313">
        <v>14.7</v>
      </c>
      <c r="L119" s="313">
        <v>4.5</v>
      </c>
      <c r="M119" s="313">
        <v>2.2</v>
      </c>
      <c r="N119" s="313">
        <v>1.0</v>
      </c>
      <c r="O119" s="313">
        <v>0.3</v>
      </c>
      <c r="P119" s="313">
        <v>1.0</v>
      </c>
      <c r="Q119" s="313">
        <v>0.51</v>
      </c>
    </row>
    <row r="120">
      <c r="A120" s="313">
        <v>119.0</v>
      </c>
      <c r="B120" s="313">
        <v>105.4</v>
      </c>
      <c r="C120" s="314" t="s">
        <v>664</v>
      </c>
      <c r="D120" s="313" t="s">
        <v>85</v>
      </c>
      <c r="E120" s="313" t="s">
        <v>375</v>
      </c>
      <c r="F120" s="313">
        <v>68.0</v>
      </c>
      <c r="G120" s="313">
        <v>31.6</v>
      </c>
      <c r="H120" s="313" t="s">
        <v>665</v>
      </c>
      <c r="I120" s="313" t="s">
        <v>666</v>
      </c>
      <c r="J120" s="313">
        <v>2.2</v>
      </c>
      <c r="K120" s="313">
        <v>17.7</v>
      </c>
      <c r="L120" s="313">
        <v>3.5</v>
      </c>
      <c r="M120" s="313">
        <v>4.5</v>
      </c>
      <c r="N120" s="313">
        <v>1.0</v>
      </c>
      <c r="O120" s="313">
        <v>0.3</v>
      </c>
      <c r="P120" s="313">
        <v>1.7</v>
      </c>
      <c r="Q120" s="313">
        <v>0.46</v>
      </c>
    </row>
    <row r="121">
      <c r="A121" s="313">
        <v>120.0</v>
      </c>
      <c r="B121" s="313">
        <v>142.0</v>
      </c>
      <c r="C121" s="314" t="s">
        <v>667</v>
      </c>
      <c r="D121" s="313" t="s">
        <v>277</v>
      </c>
      <c r="E121" s="313" t="s">
        <v>312</v>
      </c>
      <c r="F121" s="313">
        <v>68.0</v>
      </c>
      <c r="G121" s="313">
        <v>25.3</v>
      </c>
      <c r="H121" s="313" t="s">
        <v>668</v>
      </c>
      <c r="I121" s="313" t="s">
        <v>669</v>
      </c>
      <c r="J121" s="313">
        <v>2.0</v>
      </c>
      <c r="K121" s="313">
        <v>10.1</v>
      </c>
      <c r="L121" s="313">
        <v>3.8</v>
      </c>
      <c r="M121" s="313">
        <v>2.6</v>
      </c>
      <c r="N121" s="313">
        <v>1.6</v>
      </c>
      <c r="O121" s="313">
        <v>0.5</v>
      </c>
      <c r="P121" s="313">
        <v>1.2</v>
      </c>
      <c r="Q121" s="313">
        <v>0.26</v>
      </c>
    </row>
    <row r="122">
      <c r="A122" s="313">
        <v>121.0</v>
      </c>
      <c r="B122" s="313">
        <v>146.3</v>
      </c>
      <c r="C122" s="314" t="s">
        <v>670</v>
      </c>
      <c r="D122" s="313" t="s">
        <v>364</v>
      </c>
      <c r="E122" s="313" t="s">
        <v>350</v>
      </c>
      <c r="F122" s="313">
        <v>68.0</v>
      </c>
      <c r="G122" s="313">
        <v>26.4</v>
      </c>
      <c r="H122" s="313" t="s">
        <v>672</v>
      </c>
      <c r="I122" s="313" t="s">
        <v>673</v>
      </c>
      <c r="J122" s="313">
        <v>1.9</v>
      </c>
      <c r="K122" s="313">
        <v>8.4</v>
      </c>
      <c r="L122" s="313">
        <v>3.3</v>
      </c>
      <c r="M122" s="313">
        <v>2.3</v>
      </c>
      <c r="N122" s="313">
        <v>1.4</v>
      </c>
      <c r="O122" s="313">
        <v>0.8</v>
      </c>
      <c r="P122" s="313">
        <v>1.0</v>
      </c>
      <c r="Q122" s="313">
        <v>0.17</v>
      </c>
    </row>
    <row r="123">
      <c r="A123" s="313">
        <v>122.0</v>
      </c>
      <c r="B123" s="313">
        <v>116.6</v>
      </c>
      <c r="C123" s="314" t="s">
        <v>674</v>
      </c>
      <c r="D123" s="313" t="s">
        <v>88</v>
      </c>
      <c r="E123" s="313" t="s">
        <v>312</v>
      </c>
      <c r="F123" s="313">
        <v>74.0</v>
      </c>
      <c r="G123" s="313">
        <v>29.5</v>
      </c>
      <c r="H123" s="313" t="s">
        <v>675</v>
      </c>
      <c r="I123" s="313" t="s">
        <v>676</v>
      </c>
      <c r="J123" s="313">
        <v>1.5</v>
      </c>
      <c r="K123" s="313">
        <v>11.2</v>
      </c>
      <c r="L123" s="313">
        <v>6.9</v>
      </c>
      <c r="M123" s="313">
        <v>4.4</v>
      </c>
      <c r="N123" s="313">
        <v>1.2</v>
      </c>
      <c r="O123" s="313">
        <v>0.2</v>
      </c>
      <c r="P123" s="313">
        <v>1.4</v>
      </c>
      <c r="Q123" s="313">
        <v>0.14</v>
      </c>
    </row>
    <row r="124">
      <c r="A124" s="313">
        <v>123.0</v>
      </c>
      <c r="B124" s="313">
        <v>139.0</v>
      </c>
      <c r="C124" s="314" t="s">
        <v>677</v>
      </c>
      <c r="D124" s="313" t="s">
        <v>85</v>
      </c>
      <c r="E124" s="313" t="s">
        <v>495</v>
      </c>
      <c r="F124" s="313">
        <v>70.0</v>
      </c>
      <c r="G124" s="313">
        <v>31.0</v>
      </c>
      <c r="H124" s="313" t="s">
        <v>679</v>
      </c>
      <c r="I124" s="313" t="s">
        <v>680</v>
      </c>
      <c r="J124" s="313">
        <v>1.7</v>
      </c>
      <c r="K124" s="313">
        <v>15.1</v>
      </c>
      <c r="L124" s="313">
        <v>3.0</v>
      </c>
      <c r="M124" s="313">
        <v>5.9</v>
      </c>
      <c r="N124" s="313">
        <v>0.8</v>
      </c>
      <c r="O124" s="313">
        <v>0.2</v>
      </c>
      <c r="P124" s="313">
        <v>2.0</v>
      </c>
      <c r="Q124" s="313">
        <v>0.09</v>
      </c>
    </row>
    <row r="125">
      <c r="A125" s="313">
        <v>124.0</v>
      </c>
      <c r="B125" s="313">
        <v>91.0</v>
      </c>
      <c r="C125" s="314" t="s">
        <v>681</v>
      </c>
      <c r="D125" s="313" t="s">
        <v>92</v>
      </c>
      <c r="E125" s="313" t="s">
        <v>312</v>
      </c>
      <c r="F125" s="313">
        <v>72.0</v>
      </c>
      <c r="G125" s="313">
        <v>28.6</v>
      </c>
      <c r="H125" s="313" t="s">
        <v>682</v>
      </c>
      <c r="I125" s="313" t="s">
        <v>683</v>
      </c>
      <c r="J125" s="313">
        <v>0.9</v>
      </c>
      <c r="K125" s="313">
        <v>16.2</v>
      </c>
      <c r="L125" s="313">
        <v>5.1</v>
      </c>
      <c r="M125" s="313">
        <v>2.5</v>
      </c>
      <c r="N125" s="313">
        <v>0.8</v>
      </c>
      <c r="O125" s="313">
        <v>0.6</v>
      </c>
      <c r="P125" s="313">
        <v>1.9</v>
      </c>
      <c r="Q125" s="313">
        <v>0.06</v>
      </c>
    </row>
    <row r="126">
      <c r="A126" s="313">
        <v>125.0</v>
      </c>
      <c r="B126" s="313">
        <v>130.7</v>
      </c>
      <c r="C126" s="314" t="s">
        <v>684</v>
      </c>
      <c r="D126" s="313" t="s">
        <v>277</v>
      </c>
      <c r="E126" s="313" t="s">
        <v>379</v>
      </c>
      <c r="F126" s="313">
        <v>65.0</v>
      </c>
      <c r="G126" s="313">
        <v>31.0</v>
      </c>
      <c r="H126" s="313" t="s">
        <v>685</v>
      </c>
      <c r="I126" s="313" t="s">
        <v>686</v>
      </c>
      <c r="J126" s="313">
        <v>1.9</v>
      </c>
      <c r="K126" s="313">
        <v>12.1</v>
      </c>
      <c r="L126" s="313">
        <v>3.0</v>
      </c>
      <c r="M126" s="313">
        <v>4.7</v>
      </c>
      <c r="N126" s="313">
        <v>1.6</v>
      </c>
      <c r="O126" s="313">
        <v>0.3</v>
      </c>
      <c r="P126" s="313">
        <v>2.5</v>
      </c>
      <c r="Q126" s="313">
        <v>0.0</v>
      </c>
    </row>
    <row r="127">
      <c r="A127" s="313">
        <v>126.0</v>
      </c>
      <c r="B127" s="313">
        <v>144.3</v>
      </c>
      <c r="C127" s="314" t="s">
        <v>687</v>
      </c>
      <c r="D127" s="313" t="s">
        <v>282</v>
      </c>
      <c r="E127" s="313" t="s">
        <v>449</v>
      </c>
      <c r="F127" s="313">
        <v>64.0</v>
      </c>
      <c r="G127" s="313">
        <v>25.0</v>
      </c>
      <c r="H127" s="313" t="s">
        <v>688</v>
      </c>
      <c r="I127" s="313" t="s">
        <v>689</v>
      </c>
      <c r="J127" s="313">
        <v>1.3</v>
      </c>
      <c r="K127" s="313">
        <v>12.9</v>
      </c>
      <c r="L127" s="313">
        <v>7.6</v>
      </c>
      <c r="M127" s="313">
        <v>1.3</v>
      </c>
      <c r="N127" s="313">
        <v>0.4</v>
      </c>
      <c r="O127" s="313">
        <v>1.0</v>
      </c>
      <c r="P127" s="313">
        <v>1.2</v>
      </c>
      <c r="Q127" s="313">
        <v>-0.01</v>
      </c>
    </row>
    <row r="128">
      <c r="A128" s="313">
        <v>127.0</v>
      </c>
      <c r="B128" s="313">
        <v>145.4</v>
      </c>
      <c r="C128" s="314" t="s">
        <v>690</v>
      </c>
      <c r="D128" s="313" t="s">
        <v>364</v>
      </c>
      <c r="E128" s="313" t="s">
        <v>490</v>
      </c>
      <c r="F128" s="313">
        <v>77.0</v>
      </c>
      <c r="G128" s="313">
        <v>31.0</v>
      </c>
      <c r="H128" s="313" t="s">
        <v>691</v>
      </c>
      <c r="I128" s="313" t="s">
        <v>692</v>
      </c>
      <c r="J128" s="313">
        <v>2.7</v>
      </c>
      <c r="K128" s="313">
        <v>15.1</v>
      </c>
      <c r="L128" s="313">
        <v>3.4</v>
      </c>
      <c r="M128" s="313">
        <v>2.4</v>
      </c>
      <c r="N128" s="313">
        <v>0.7</v>
      </c>
      <c r="O128" s="313">
        <v>0.2</v>
      </c>
      <c r="P128" s="313">
        <v>1.2</v>
      </c>
      <c r="Q128" s="313">
        <v>-0.03</v>
      </c>
    </row>
    <row r="129">
      <c r="A129" s="313">
        <v>128.0</v>
      </c>
      <c r="B129" s="313">
        <v>126.5</v>
      </c>
      <c r="C129" s="314" t="s">
        <v>693</v>
      </c>
      <c r="D129" s="313" t="s">
        <v>364</v>
      </c>
      <c r="E129" s="313" t="s">
        <v>312</v>
      </c>
      <c r="F129" s="313">
        <v>78.0</v>
      </c>
      <c r="G129" s="313">
        <v>27.8</v>
      </c>
      <c r="H129" s="313" t="s">
        <v>694</v>
      </c>
      <c r="I129" s="313" t="s">
        <v>695</v>
      </c>
      <c r="J129" s="313">
        <v>2.7</v>
      </c>
      <c r="K129" s="313">
        <v>13.2</v>
      </c>
      <c r="L129" s="313">
        <v>3.8</v>
      </c>
      <c r="M129" s="313">
        <v>2.7</v>
      </c>
      <c r="N129" s="313">
        <v>0.9</v>
      </c>
      <c r="O129" s="313">
        <v>0.4</v>
      </c>
      <c r="P129" s="313">
        <v>1.4</v>
      </c>
      <c r="Q129" s="313">
        <v>-0.07</v>
      </c>
    </row>
    <row r="130">
      <c r="A130" s="313">
        <v>129.0</v>
      </c>
      <c r="B130" s="313">
        <v>106.5</v>
      </c>
      <c r="C130" s="314" t="s">
        <v>696</v>
      </c>
      <c r="D130" s="313" t="s">
        <v>364</v>
      </c>
      <c r="E130" s="313" t="s">
        <v>278</v>
      </c>
      <c r="F130" s="313">
        <v>70.0</v>
      </c>
      <c r="G130" s="313">
        <v>29.4</v>
      </c>
      <c r="H130" s="313" t="s">
        <v>697</v>
      </c>
      <c r="I130" s="313" t="s">
        <v>698</v>
      </c>
      <c r="J130" s="313">
        <v>3.4</v>
      </c>
      <c r="K130" s="313">
        <v>17.2</v>
      </c>
      <c r="L130" s="313">
        <v>3.2</v>
      </c>
      <c r="M130" s="313">
        <v>2.0</v>
      </c>
      <c r="N130" s="313">
        <v>0.6</v>
      </c>
      <c r="O130" s="313">
        <v>0.4</v>
      </c>
      <c r="P130" s="313">
        <v>1.4</v>
      </c>
      <c r="Q130" s="313">
        <v>-0.09</v>
      </c>
    </row>
    <row r="131">
      <c r="A131" s="313">
        <v>130.0</v>
      </c>
      <c r="B131" s="313">
        <v>138.2</v>
      </c>
      <c r="C131" s="314" t="s">
        <v>699</v>
      </c>
      <c r="D131" s="313" t="s">
        <v>277</v>
      </c>
      <c r="E131" s="313" t="s">
        <v>324</v>
      </c>
      <c r="F131" s="313">
        <v>73.0</v>
      </c>
      <c r="G131" s="313">
        <v>27.4</v>
      </c>
      <c r="H131" s="313" t="s">
        <v>700</v>
      </c>
      <c r="I131" s="313" t="s">
        <v>701</v>
      </c>
      <c r="J131" s="313">
        <v>2.2</v>
      </c>
      <c r="K131" s="313">
        <v>11.4</v>
      </c>
      <c r="L131" s="313">
        <v>3.3</v>
      </c>
      <c r="M131" s="313">
        <v>2.4</v>
      </c>
      <c r="N131" s="313">
        <v>0.8</v>
      </c>
      <c r="O131" s="313">
        <v>0.4</v>
      </c>
      <c r="P131" s="313">
        <v>1.0</v>
      </c>
      <c r="Q131" s="313">
        <v>-0.11</v>
      </c>
    </row>
    <row r="132">
      <c r="A132" s="313">
        <v>131.0</v>
      </c>
      <c r="B132" s="313">
        <v>144.9</v>
      </c>
      <c r="C132" s="314" t="s">
        <v>702</v>
      </c>
      <c r="D132" s="313" t="s">
        <v>364</v>
      </c>
      <c r="E132" s="313" t="s">
        <v>308</v>
      </c>
      <c r="F132" s="313">
        <v>76.0</v>
      </c>
      <c r="G132" s="313">
        <v>29.0</v>
      </c>
      <c r="H132" s="313" t="s">
        <v>703</v>
      </c>
      <c r="I132" s="313" t="s">
        <v>704</v>
      </c>
      <c r="J132" s="313">
        <v>1.3</v>
      </c>
      <c r="K132" s="313">
        <v>12.9</v>
      </c>
      <c r="L132" s="313">
        <v>4.8</v>
      </c>
      <c r="M132" s="313">
        <v>2.7</v>
      </c>
      <c r="N132" s="313">
        <v>0.8</v>
      </c>
      <c r="O132" s="313">
        <v>0.4</v>
      </c>
      <c r="P132" s="313">
        <v>1.1</v>
      </c>
      <c r="Q132" s="313">
        <v>-0.12</v>
      </c>
    </row>
    <row r="133">
      <c r="A133" s="313">
        <v>132.0</v>
      </c>
      <c r="B133" s="313">
        <v>115.9</v>
      </c>
      <c r="C133" s="314" t="s">
        <v>705</v>
      </c>
      <c r="D133" s="313" t="s">
        <v>282</v>
      </c>
      <c r="E133" s="313" t="s">
        <v>291</v>
      </c>
      <c r="F133" s="313">
        <v>74.0</v>
      </c>
      <c r="G133" s="313">
        <v>25.2</v>
      </c>
      <c r="H133" s="313" t="s">
        <v>706</v>
      </c>
      <c r="I133" s="313" t="s">
        <v>707</v>
      </c>
      <c r="J133" s="313">
        <v>1.3</v>
      </c>
      <c r="K133" s="313">
        <v>14.1</v>
      </c>
      <c r="L133" s="313">
        <v>8.3</v>
      </c>
      <c r="M133" s="313">
        <v>1.4</v>
      </c>
      <c r="N133" s="313">
        <v>0.7</v>
      </c>
      <c r="O133" s="313">
        <v>0.3</v>
      </c>
      <c r="P133" s="313">
        <v>1.1</v>
      </c>
      <c r="Q133" s="313">
        <v>-0.17</v>
      </c>
    </row>
    <row r="134">
      <c r="A134" s="313">
        <v>133.0</v>
      </c>
      <c r="B134" s="313">
        <v>118.7</v>
      </c>
      <c r="C134" s="314" t="s">
        <v>708</v>
      </c>
      <c r="D134" s="313" t="s">
        <v>277</v>
      </c>
      <c r="E134" s="313" t="s">
        <v>354</v>
      </c>
      <c r="F134" s="313">
        <v>73.0</v>
      </c>
      <c r="G134" s="313">
        <v>31.6</v>
      </c>
      <c r="H134" s="313" t="s">
        <v>709</v>
      </c>
      <c r="I134" s="313" t="s">
        <v>710</v>
      </c>
      <c r="J134" s="313">
        <v>2.4</v>
      </c>
      <c r="K134" s="313">
        <v>16.3</v>
      </c>
      <c r="L134" s="313">
        <v>3.3</v>
      </c>
      <c r="M134" s="313">
        <v>5.2</v>
      </c>
      <c r="N134" s="313">
        <v>0.6</v>
      </c>
      <c r="O134" s="313">
        <v>0.2</v>
      </c>
      <c r="P134" s="313">
        <v>2.6</v>
      </c>
      <c r="Q134" s="313">
        <v>-0.19</v>
      </c>
    </row>
    <row r="135">
      <c r="A135" s="313">
        <v>134.0</v>
      </c>
      <c r="B135" s="313">
        <v>140.4</v>
      </c>
      <c r="C135" s="314" t="s">
        <v>711</v>
      </c>
      <c r="D135" s="313" t="s">
        <v>364</v>
      </c>
      <c r="E135" s="313" t="s">
        <v>442</v>
      </c>
      <c r="F135" s="313">
        <v>76.0</v>
      </c>
      <c r="G135" s="313">
        <v>30.1</v>
      </c>
      <c r="H135" s="313" t="s">
        <v>712</v>
      </c>
      <c r="I135" s="313" t="s">
        <v>713</v>
      </c>
      <c r="J135" s="313">
        <v>1.7</v>
      </c>
      <c r="K135" s="313">
        <v>10.1</v>
      </c>
      <c r="L135" s="313">
        <v>2.5</v>
      </c>
      <c r="M135" s="313">
        <v>2.3</v>
      </c>
      <c r="N135" s="313">
        <v>1.3</v>
      </c>
      <c r="O135" s="313">
        <v>0.5</v>
      </c>
      <c r="P135" s="313">
        <v>1.0</v>
      </c>
      <c r="Q135" s="313">
        <v>-0.25</v>
      </c>
    </row>
    <row r="136">
      <c r="A136" s="313">
        <v>135.0</v>
      </c>
      <c r="B136" s="313">
        <v>133.4</v>
      </c>
      <c r="C136" s="314" t="s">
        <v>714</v>
      </c>
      <c r="D136" s="313" t="s">
        <v>92</v>
      </c>
      <c r="E136" s="313" t="s">
        <v>490</v>
      </c>
      <c r="F136" s="313">
        <v>69.0</v>
      </c>
      <c r="G136" s="313">
        <v>29.9</v>
      </c>
      <c r="H136" s="313" t="s">
        <v>715</v>
      </c>
      <c r="I136" s="313" t="s">
        <v>716</v>
      </c>
      <c r="J136" s="313">
        <v>0.9</v>
      </c>
      <c r="K136" s="313">
        <v>12.2</v>
      </c>
      <c r="L136" s="313">
        <v>6.4</v>
      </c>
      <c r="M136" s="313">
        <v>1.3</v>
      </c>
      <c r="N136" s="313">
        <v>0.8</v>
      </c>
      <c r="O136" s="313">
        <v>1.9</v>
      </c>
      <c r="P136" s="313">
        <v>1.3</v>
      </c>
      <c r="Q136" s="313">
        <v>-0.26</v>
      </c>
    </row>
    <row r="137">
      <c r="A137" s="313">
        <v>136.0</v>
      </c>
      <c r="B137" s="313">
        <v>132.1</v>
      </c>
      <c r="C137" s="314" t="s">
        <v>717</v>
      </c>
      <c r="D137" s="313" t="s">
        <v>277</v>
      </c>
      <c r="E137" s="313" t="s">
        <v>428</v>
      </c>
      <c r="F137" s="313">
        <v>76.0</v>
      </c>
      <c r="G137" s="313">
        <v>30.0</v>
      </c>
      <c r="H137" s="313" t="s">
        <v>719</v>
      </c>
      <c r="I137" s="313" t="s">
        <v>720</v>
      </c>
      <c r="J137" s="313">
        <v>2.2</v>
      </c>
      <c r="K137" s="313">
        <v>18.4</v>
      </c>
      <c r="L137" s="313">
        <v>3.7</v>
      </c>
      <c r="M137" s="313">
        <v>4.6</v>
      </c>
      <c r="N137" s="313">
        <v>0.8</v>
      </c>
      <c r="O137" s="313">
        <v>0.6</v>
      </c>
      <c r="P137" s="313">
        <v>2.7</v>
      </c>
      <c r="Q137" s="313">
        <v>-0.29</v>
      </c>
    </row>
    <row r="138">
      <c r="A138" s="313">
        <v>137.0</v>
      </c>
      <c r="B138" s="313">
        <v>107.7</v>
      </c>
      <c r="C138" s="314" t="s">
        <v>721</v>
      </c>
      <c r="D138" s="313" t="s">
        <v>303</v>
      </c>
      <c r="E138" s="313" t="s">
        <v>332</v>
      </c>
      <c r="F138" s="313">
        <v>72.0</v>
      </c>
      <c r="G138" s="313">
        <v>33.5</v>
      </c>
      <c r="H138" s="313" t="s">
        <v>722</v>
      </c>
      <c r="I138" s="313" t="s">
        <v>723</v>
      </c>
      <c r="J138" s="313">
        <v>1.6</v>
      </c>
      <c r="K138" s="313">
        <v>21.2</v>
      </c>
      <c r="L138" s="313">
        <v>6.4</v>
      </c>
      <c r="M138" s="313">
        <v>3.8</v>
      </c>
      <c r="N138" s="313">
        <v>0.6</v>
      </c>
      <c r="O138" s="313">
        <v>0.4</v>
      </c>
      <c r="P138" s="313">
        <v>2.3</v>
      </c>
      <c r="Q138" s="313">
        <v>-0.3</v>
      </c>
    </row>
    <row r="139">
      <c r="A139" s="313">
        <v>138.0</v>
      </c>
      <c r="B139" s="313">
        <v>134.2</v>
      </c>
      <c r="C139" s="314" t="s">
        <v>724</v>
      </c>
      <c r="D139" s="313" t="s">
        <v>92</v>
      </c>
      <c r="E139" s="313" t="s">
        <v>278</v>
      </c>
      <c r="F139" s="313">
        <v>73.0</v>
      </c>
      <c r="G139" s="313">
        <v>31.2</v>
      </c>
      <c r="H139" s="313" t="s">
        <v>725</v>
      </c>
      <c r="I139" s="313" t="s">
        <v>726</v>
      </c>
      <c r="J139" s="313">
        <v>1.9</v>
      </c>
      <c r="K139" s="313">
        <v>12.4</v>
      </c>
      <c r="L139" s="313">
        <v>5.5</v>
      </c>
      <c r="M139" s="313">
        <v>2.1</v>
      </c>
      <c r="N139" s="313">
        <v>1.1</v>
      </c>
      <c r="O139" s="313">
        <v>0.9</v>
      </c>
      <c r="P139" s="313">
        <v>1.4</v>
      </c>
      <c r="Q139" s="313">
        <v>-0.36</v>
      </c>
    </row>
    <row r="140">
      <c r="A140" s="313">
        <v>139.0</v>
      </c>
      <c r="B140" s="313">
        <v>129.5</v>
      </c>
      <c r="C140" s="314" t="s">
        <v>727</v>
      </c>
      <c r="D140" s="313" t="s">
        <v>364</v>
      </c>
      <c r="E140" s="313" t="s">
        <v>350</v>
      </c>
      <c r="F140" s="313">
        <v>74.0</v>
      </c>
      <c r="G140" s="313">
        <v>25.8</v>
      </c>
      <c r="H140" s="313" t="s">
        <v>728</v>
      </c>
      <c r="I140" s="313" t="s">
        <v>729</v>
      </c>
      <c r="J140" s="313">
        <v>2.0</v>
      </c>
      <c r="K140" s="313">
        <v>14.5</v>
      </c>
      <c r="L140" s="313">
        <v>2.8</v>
      </c>
      <c r="M140" s="313">
        <v>4.5</v>
      </c>
      <c r="N140" s="313">
        <v>0.6</v>
      </c>
      <c r="O140" s="313">
        <v>0.4</v>
      </c>
      <c r="P140" s="313">
        <v>2.0</v>
      </c>
      <c r="Q140" s="313">
        <v>-0.41</v>
      </c>
    </row>
    <row r="141">
      <c r="A141" s="313">
        <v>140.0</v>
      </c>
      <c r="B141" s="313">
        <v>139.5</v>
      </c>
      <c r="C141" s="314" t="s">
        <v>730</v>
      </c>
      <c r="D141" s="313" t="s">
        <v>364</v>
      </c>
      <c r="E141" s="313" t="s">
        <v>273</v>
      </c>
      <c r="F141" s="313">
        <v>76.0</v>
      </c>
      <c r="G141" s="313">
        <v>30.0</v>
      </c>
      <c r="H141" s="313" t="s">
        <v>732</v>
      </c>
      <c r="I141" s="313" t="s">
        <v>733</v>
      </c>
      <c r="J141" s="313">
        <v>2.0</v>
      </c>
      <c r="K141" s="313">
        <v>12.0</v>
      </c>
      <c r="L141" s="313">
        <v>4.2</v>
      </c>
      <c r="M141" s="313">
        <v>1.8</v>
      </c>
      <c r="N141" s="313">
        <v>1.0</v>
      </c>
      <c r="O141" s="313">
        <v>0.7</v>
      </c>
      <c r="P141" s="313">
        <v>1.1</v>
      </c>
      <c r="Q141" s="313">
        <v>-0.48</v>
      </c>
    </row>
    <row r="142">
      <c r="A142" s="313">
        <v>141.0</v>
      </c>
      <c r="B142" s="313">
        <v>138.1</v>
      </c>
      <c r="C142" s="314" t="s">
        <v>734</v>
      </c>
      <c r="D142" s="313" t="s">
        <v>303</v>
      </c>
      <c r="E142" s="313" t="s">
        <v>428</v>
      </c>
      <c r="F142" s="313">
        <v>69.0</v>
      </c>
      <c r="G142" s="313">
        <v>28.1</v>
      </c>
      <c r="H142" s="313" t="s">
        <v>735</v>
      </c>
      <c r="I142" s="313" t="s">
        <v>736</v>
      </c>
      <c r="J142" s="313">
        <v>0.4</v>
      </c>
      <c r="K142" s="313">
        <v>10.6</v>
      </c>
      <c r="L142" s="313">
        <v>7.2</v>
      </c>
      <c r="M142" s="313">
        <v>2.2</v>
      </c>
      <c r="N142" s="313">
        <v>1.2</v>
      </c>
      <c r="O142" s="313">
        <v>1.1</v>
      </c>
      <c r="P142" s="313">
        <v>1.5</v>
      </c>
      <c r="Q142" s="313">
        <v>-0.48</v>
      </c>
    </row>
    <row r="143">
      <c r="A143" s="313">
        <v>142.0</v>
      </c>
      <c r="B143" s="313">
        <v>136.5</v>
      </c>
      <c r="C143" s="314" t="s">
        <v>737</v>
      </c>
      <c r="D143" s="313" t="s">
        <v>303</v>
      </c>
      <c r="E143" s="313" t="s">
        <v>283</v>
      </c>
      <c r="F143" s="313">
        <v>66.0</v>
      </c>
      <c r="G143" s="313">
        <v>29.2</v>
      </c>
      <c r="H143" s="313" t="s">
        <v>738</v>
      </c>
      <c r="I143" s="313" t="s">
        <v>739</v>
      </c>
      <c r="J143" s="313">
        <v>1.5</v>
      </c>
      <c r="K143" s="313">
        <v>14.8</v>
      </c>
      <c r="L143" s="313">
        <v>5.2</v>
      </c>
      <c r="M143" s="313">
        <v>1.3</v>
      </c>
      <c r="N143" s="313">
        <v>0.7</v>
      </c>
      <c r="O143" s="313">
        <v>0.5</v>
      </c>
      <c r="P143" s="313">
        <v>0.9</v>
      </c>
      <c r="Q143" s="313">
        <v>-0.56</v>
      </c>
    </row>
    <row r="144">
      <c r="A144" s="313">
        <v>143.0</v>
      </c>
      <c r="B144" s="313">
        <v>116.3</v>
      </c>
      <c r="C144" s="314" t="s">
        <v>740</v>
      </c>
      <c r="D144" s="313" t="s">
        <v>303</v>
      </c>
      <c r="E144" s="313" t="s">
        <v>346</v>
      </c>
      <c r="F144" s="313">
        <v>76.0</v>
      </c>
      <c r="G144" s="313">
        <v>32.2</v>
      </c>
      <c r="H144" s="313" t="s">
        <v>741</v>
      </c>
      <c r="I144" s="313" t="s">
        <v>742</v>
      </c>
      <c r="J144" s="313">
        <v>0.9</v>
      </c>
      <c r="K144" s="313">
        <v>9.1</v>
      </c>
      <c r="L144" s="313">
        <v>7.9</v>
      </c>
      <c r="M144" s="313">
        <v>3.9</v>
      </c>
      <c r="N144" s="313">
        <v>1.0</v>
      </c>
      <c r="O144" s="313">
        <v>0.3</v>
      </c>
      <c r="P144" s="313">
        <v>1.7</v>
      </c>
      <c r="Q144" s="313">
        <v>-0.57</v>
      </c>
    </row>
    <row r="145">
      <c r="A145" s="313">
        <v>144.0</v>
      </c>
      <c r="B145" s="313">
        <v>142.1</v>
      </c>
      <c r="C145" s="314" t="s">
        <v>743</v>
      </c>
      <c r="D145" s="313" t="s">
        <v>97</v>
      </c>
      <c r="E145" s="313" t="s">
        <v>442</v>
      </c>
      <c r="F145" s="313">
        <v>58.0</v>
      </c>
      <c r="G145" s="313">
        <v>27.1</v>
      </c>
      <c r="H145" s="313" t="s">
        <v>744</v>
      </c>
      <c r="I145" s="313" t="s">
        <v>745</v>
      </c>
      <c r="J145" s="313">
        <v>1.3</v>
      </c>
      <c r="K145" s="313">
        <v>13.0</v>
      </c>
      <c r="L145" s="313">
        <v>7.7</v>
      </c>
      <c r="M145" s="313">
        <v>2.0</v>
      </c>
      <c r="N145" s="313">
        <v>0.6</v>
      </c>
      <c r="O145" s="313">
        <v>0.5</v>
      </c>
      <c r="P145" s="313">
        <v>1.5</v>
      </c>
      <c r="Q145" s="313">
        <v>-0.62</v>
      </c>
    </row>
    <row r="146">
      <c r="A146" s="313">
        <v>145.0</v>
      </c>
      <c r="B146" s="313">
        <v>141.7</v>
      </c>
      <c r="C146" s="314" t="s">
        <v>747</v>
      </c>
      <c r="D146" s="313" t="s">
        <v>303</v>
      </c>
      <c r="E146" s="313" t="s">
        <v>265</v>
      </c>
      <c r="F146" s="313">
        <v>72.0</v>
      </c>
      <c r="G146" s="313">
        <v>31.2</v>
      </c>
      <c r="H146" s="313" t="s">
        <v>748</v>
      </c>
      <c r="I146" s="313" t="s">
        <v>749</v>
      </c>
      <c r="J146" s="313">
        <v>1.0</v>
      </c>
      <c r="K146" s="313">
        <v>12.4</v>
      </c>
      <c r="L146" s="313">
        <v>6.8</v>
      </c>
      <c r="M146" s="313">
        <v>3.2</v>
      </c>
      <c r="N146" s="313">
        <v>1.0</v>
      </c>
      <c r="O146" s="313">
        <v>0.6</v>
      </c>
      <c r="P146" s="313">
        <v>2.0</v>
      </c>
      <c r="Q146" s="313">
        <v>-0.66</v>
      </c>
    </row>
    <row r="147">
      <c r="A147" s="313">
        <v>146.0</v>
      </c>
      <c r="B147" s="313">
        <v>137.4</v>
      </c>
      <c r="C147" s="314" t="s">
        <v>750</v>
      </c>
      <c r="D147" s="313" t="s">
        <v>303</v>
      </c>
      <c r="E147" s="313" t="s">
        <v>295</v>
      </c>
      <c r="F147" s="313">
        <v>72.0</v>
      </c>
      <c r="G147" s="313">
        <v>28.7</v>
      </c>
      <c r="H147" s="313" t="s">
        <v>751</v>
      </c>
      <c r="I147" s="313" t="s">
        <v>752</v>
      </c>
      <c r="J147" s="313">
        <v>1.9</v>
      </c>
      <c r="K147" s="313">
        <v>11.9</v>
      </c>
      <c r="L147" s="313">
        <v>4.1</v>
      </c>
      <c r="M147" s="313">
        <v>1.5</v>
      </c>
      <c r="N147" s="313">
        <v>0.9</v>
      </c>
      <c r="O147" s="313">
        <v>0.6</v>
      </c>
      <c r="P147" s="313">
        <v>1.0</v>
      </c>
      <c r="Q147" s="313">
        <v>-0.68</v>
      </c>
    </row>
    <row r="148">
      <c r="A148" s="313">
        <v>147.0</v>
      </c>
      <c r="B148" s="313">
        <v>138.0</v>
      </c>
      <c r="C148" s="314" t="s">
        <v>753</v>
      </c>
      <c r="D148" s="313" t="s">
        <v>282</v>
      </c>
      <c r="E148" s="313" t="s">
        <v>379</v>
      </c>
      <c r="F148" s="313">
        <v>60.0</v>
      </c>
      <c r="G148" s="313">
        <v>22.5</v>
      </c>
      <c r="H148" s="313" t="s">
        <v>754</v>
      </c>
      <c r="I148" s="313" t="s">
        <v>755</v>
      </c>
      <c r="J148" s="313">
        <v>0.0</v>
      </c>
      <c r="K148" s="313">
        <v>11.4</v>
      </c>
      <c r="L148" s="313">
        <v>6.2</v>
      </c>
      <c r="M148" s="313">
        <v>1.5</v>
      </c>
      <c r="N148" s="313">
        <v>0.7</v>
      </c>
      <c r="O148" s="313">
        <v>0.8</v>
      </c>
      <c r="P148" s="313">
        <v>1.1</v>
      </c>
      <c r="Q148" s="313">
        <v>-0.71</v>
      </c>
    </row>
    <row r="149">
      <c r="A149" s="313">
        <v>148.0</v>
      </c>
      <c r="B149" s="313">
        <v>143.1</v>
      </c>
      <c r="C149" s="314" t="s">
        <v>756</v>
      </c>
      <c r="D149" s="313" t="s">
        <v>282</v>
      </c>
      <c r="E149" s="313" t="s">
        <v>490</v>
      </c>
      <c r="F149" s="313">
        <v>55.0</v>
      </c>
      <c r="G149" s="313">
        <v>25.4</v>
      </c>
      <c r="H149" s="313" t="s">
        <v>757</v>
      </c>
      <c r="I149" s="313" t="s">
        <v>758</v>
      </c>
      <c r="J149" s="313">
        <v>0.3</v>
      </c>
      <c r="K149" s="313">
        <v>13.4</v>
      </c>
      <c r="L149" s="313">
        <v>7.2</v>
      </c>
      <c r="M149" s="313">
        <v>1.1</v>
      </c>
      <c r="N149" s="313">
        <v>0.5</v>
      </c>
      <c r="O149" s="313">
        <v>0.8</v>
      </c>
      <c r="P149" s="313">
        <v>1.3</v>
      </c>
      <c r="Q149" s="313">
        <v>-0.72</v>
      </c>
    </row>
    <row r="150">
      <c r="A150" s="313">
        <v>149.0</v>
      </c>
      <c r="B150" s="313">
        <v>140.3</v>
      </c>
      <c r="C150" s="314" t="s">
        <v>759</v>
      </c>
      <c r="D150" s="313" t="s">
        <v>97</v>
      </c>
      <c r="E150" s="313" t="s">
        <v>332</v>
      </c>
      <c r="F150" s="313">
        <v>69.0</v>
      </c>
      <c r="G150" s="313">
        <v>22.4</v>
      </c>
      <c r="H150" s="313" t="s">
        <v>761</v>
      </c>
      <c r="I150" s="313" t="s">
        <v>762</v>
      </c>
      <c r="J150" s="313">
        <v>0.9</v>
      </c>
      <c r="K150" s="313">
        <v>9.6</v>
      </c>
      <c r="L150" s="313">
        <v>5.0</v>
      </c>
      <c r="M150" s="313">
        <v>3.4</v>
      </c>
      <c r="N150" s="313">
        <v>0.8</v>
      </c>
      <c r="O150" s="313">
        <v>0.4</v>
      </c>
      <c r="P150" s="313">
        <v>1.9</v>
      </c>
      <c r="Q150" s="313">
        <v>-0.73</v>
      </c>
    </row>
    <row r="151">
      <c r="A151" s="313">
        <v>150.0</v>
      </c>
      <c r="B151" s="313">
        <v>144.6</v>
      </c>
      <c r="C151" s="314" t="s">
        <v>763</v>
      </c>
      <c r="D151" s="313" t="s">
        <v>364</v>
      </c>
      <c r="E151" s="313" t="s">
        <v>490</v>
      </c>
      <c r="F151" s="313">
        <v>68.0</v>
      </c>
      <c r="G151" s="313">
        <v>30.2</v>
      </c>
      <c r="H151" s="313" t="s">
        <v>764</v>
      </c>
      <c r="I151" s="313" t="s">
        <v>765</v>
      </c>
      <c r="J151" s="313">
        <v>1.3</v>
      </c>
      <c r="K151" s="313">
        <v>11.2</v>
      </c>
      <c r="L151" s="313">
        <v>5.3</v>
      </c>
      <c r="M151" s="313">
        <v>2.3</v>
      </c>
      <c r="N151" s="313">
        <v>1.2</v>
      </c>
      <c r="O151" s="313">
        <v>1.0</v>
      </c>
      <c r="P151" s="313">
        <v>1.8</v>
      </c>
      <c r="Q151" s="313">
        <v>-0.78</v>
      </c>
    </row>
    <row r="152">
      <c r="A152" s="313">
        <v>151.0</v>
      </c>
      <c r="B152" s="313">
        <v>144.2</v>
      </c>
      <c r="C152" s="314" t="s">
        <v>766</v>
      </c>
      <c r="D152" s="313" t="s">
        <v>85</v>
      </c>
      <c r="E152" s="313" t="s">
        <v>308</v>
      </c>
      <c r="F152" s="313">
        <v>65.0</v>
      </c>
      <c r="G152" s="313">
        <v>26.2</v>
      </c>
      <c r="H152" s="313" t="s">
        <v>768</v>
      </c>
      <c r="I152" s="313" t="s">
        <v>769</v>
      </c>
      <c r="J152" s="313">
        <v>1.8</v>
      </c>
      <c r="K152" s="313">
        <v>14.2</v>
      </c>
      <c r="L152" s="313">
        <v>3.9</v>
      </c>
      <c r="M152" s="313">
        <v>4.3</v>
      </c>
      <c r="N152" s="313">
        <v>1.0</v>
      </c>
      <c r="O152" s="313">
        <v>0.2</v>
      </c>
      <c r="P152" s="313">
        <v>2.4</v>
      </c>
      <c r="Q152" s="313">
        <v>-0.81</v>
      </c>
    </row>
    <row r="153">
      <c r="A153" s="313">
        <v>152.0</v>
      </c>
      <c r="B153" s="313">
        <v>149.5</v>
      </c>
      <c r="C153" s="314" t="s">
        <v>770</v>
      </c>
      <c r="D153" s="313" t="s">
        <v>364</v>
      </c>
      <c r="E153" s="313" t="s">
        <v>332</v>
      </c>
      <c r="F153" s="313">
        <v>72.0</v>
      </c>
      <c r="G153" s="313">
        <v>28.5</v>
      </c>
      <c r="H153" s="313" t="s">
        <v>772</v>
      </c>
      <c r="I153" s="313" t="s">
        <v>773</v>
      </c>
      <c r="J153" s="313">
        <v>1.0</v>
      </c>
      <c r="K153" s="313">
        <v>11.5</v>
      </c>
      <c r="L153" s="313">
        <v>4.3</v>
      </c>
      <c r="M153" s="313">
        <v>3.2</v>
      </c>
      <c r="N153" s="313">
        <v>1.0</v>
      </c>
      <c r="O153" s="313">
        <v>0.5</v>
      </c>
      <c r="P153" s="313">
        <v>1.5</v>
      </c>
      <c r="Q153" s="313">
        <v>-0.81</v>
      </c>
    </row>
    <row r="154">
      <c r="A154" s="313">
        <v>153.0</v>
      </c>
      <c r="B154" s="313">
        <v>142.5</v>
      </c>
      <c r="C154" s="314" t="s">
        <v>774</v>
      </c>
      <c r="D154" s="313" t="s">
        <v>364</v>
      </c>
      <c r="E154" s="313" t="s">
        <v>287</v>
      </c>
      <c r="F154" s="313">
        <v>65.0</v>
      </c>
      <c r="G154" s="313">
        <v>30.0</v>
      </c>
      <c r="H154" s="313" t="s">
        <v>775</v>
      </c>
      <c r="I154" s="313" t="s">
        <v>776</v>
      </c>
      <c r="J154" s="313">
        <v>1.8</v>
      </c>
      <c r="K154" s="313">
        <v>16.6</v>
      </c>
      <c r="L154" s="313">
        <v>5.0</v>
      </c>
      <c r="M154" s="313">
        <v>1.3</v>
      </c>
      <c r="N154" s="313">
        <v>1.2</v>
      </c>
      <c r="O154" s="313">
        <v>0.6</v>
      </c>
      <c r="P154" s="313">
        <v>1.3</v>
      </c>
      <c r="Q154" s="313">
        <v>-0.82</v>
      </c>
    </row>
    <row r="155">
      <c r="A155" s="313">
        <v>154.0</v>
      </c>
      <c r="B155" s="313">
        <v>145.5</v>
      </c>
      <c r="C155" s="314" t="s">
        <v>777</v>
      </c>
      <c r="D155" s="313" t="s">
        <v>97</v>
      </c>
      <c r="E155" s="313" t="s">
        <v>342</v>
      </c>
      <c r="F155" s="313">
        <v>67.0</v>
      </c>
      <c r="G155" s="313">
        <v>25.2</v>
      </c>
      <c r="H155" s="313" t="s">
        <v>778</v>
      </c>
      <c r="I155" s="313" t="s">
        <v>779</v>
      </c>
      <c r="J155" s="313">
        <v>0.0</v>
      </c>
      <c r="K155" s="313">
        <v>9.8</v>
      </c>
      <c r="L155" s="313">
        <v>8.0</v>
      </c>
      <c r="M155" s="313">
        <v>0.8</v>
      </c>
      <c r="N155" s="313">
        <v>0.3</v>
      </c>
      <c r="O155" s="313">
        <v>1.1</v>
      </c>
      <c r="P155" s="313">
        <v>1.1</v>
      </c>
      <c r="Q155" s="313">
        <v>-0.84</v>
      </c>
    </row>
    <row r="156">
      <c r="A156" s="313">
        <v>155.0</v>
      </c>
      <c r="B156" s="313">
        <v>144.2</v>
      </c>
      <c r="C156" s="314" t="s">
        <v>781</v>
      </c>
      <c r="D156" s="313" t="s">
        <v>782</v>
      </c>
      <c r="E156" s="313" t="s">
        <v>495</v>
      </c>
      <c r="F156" s="313">
        <v>67.0</v>
      </c>
      <c r="G156" s="313">
        <v>24.2</v>
      </c>
      <c r="H156" s="313" t="s">
        <v>783</v>
      </c>
      <c r="I156" s="313" t="s">
        <v>784</v>
      </c>
      <c r="J156" s="313">
        <v>0.9</v>
      </c>
      <c r="K156" s="313">
        <v>9.7</v>
      </c>
      <c r="L156" s="313">
        <v>5.8</v>
      </c>
      <c r="M156" s="313">
        <v>1.3</v>
      </c>
      <c r="N156" s="313">
        <v>0.6</v>
      </c>
      <c r="O156" s="313">
        <v>1.1</v>
      </c>
      <c r="P156" s="313">
        <v>1.1</v>
      </c>
      <c r="Q156" s="313">
        <v>-0.86</v>
      </c>
    </row>
    <row r="157">
      <c r="A157" s="313">
        <v>156.0</v>
      </c>
      <c r="B157" s="313">
        <v>140.1</v>
      </c>
      <c r="C157" s="314" t="s">
        <v>785</v>
      </c>
      <c r="D157" s="313" t="s">
        <v>97</v>
      </c>
      <c r="E157" s="313" t="s">
        <v>346</v>
      </c>
      <c r="F157" s="313">
        <v>48.0</v>
      </c>
      <c r="G157" s="313">
        <v>26.0</v>
      </c>
      <c r="H157" s="313" t="s">
        <v>786</v>
      </c>
      <c r="I157" s="313" t="s">
        <v>787</v>
      </c>
      <c r="J157" s="313">
        <v>0.0</v>
      </c>
      <c r="K157" s="313">
        <v>6.8</v>
      </c>
      <c r="L157" s="313">
        <v>9.1</v>
      </c>
      <c r="M157" s="313">
        <v>0.8</v>
      </c>
      <c r="N157" s="313">
        <v>1.0</v>
      </c>
      <c r="O157" s="313">
        <v>1.6</v>
      </c>
      <c r="P157" s="313">
        <v>0.7</v>
      </c>
      <c r="Q157" s="313">
        <v>-0.88</v>
      </c>
    </row>
    <row r="158">
      <c r="A158" s="313">
        <v>157.0</v>
      </c>
      <c r="B158" s="313">
        <v>143.3</v>
      </c>
      <c r="C158" s="314" t="s">
        <v>788</v>
      </c>
      <c r="D158" s="313" t="s">
        <v>97</v>
      </c>
      <c r="E158" s="313" t="s">
        <v>465</v>
      </c>
      <c r="F158" s="313">
        <v>67.0</v>
      </c>
      <c r="G158" s="313">
        <v>22.8</v>
      </c>
      <c r="H158" s="313" t="s">
        <v>789</v>
      </c>
      <c r="I158" s="313" t="s">
        <v>790</v>
      </c>
      <c r="J158" s="313">
        <v>0.3</v>
      </c>
      <c r="K158" s="313">
        <v>10.2</v>
      </c>
      <c r="L158" s="313">
        <v>5.6</v>
      </c>
      <c r="M158" s="313">
        <v>1.2</v>
      </c>
      <c r="N158" s="313">
        <v>0.4</v>
      </c>
      <c r="O158" s="313">
        <v>1.9</v>
      </c>
      <c r="P158" s="313">
        <v>0.6</v>
      </c>
      <c r="Q158" s="313">
        <v>-0.9</v>
      </c>
    </row>
    <row r="159">
      <c r="A159" s="313">
        <v>158.0</v>
      </c>
      <c r="B159" s="313">
        <v>144.0</v>
      </c>
      <c r="C159" s="314" t="s">
        <v>791</v>
      </c>
      <c r="D159" s="313" t="s">
        <v>303</v>
      </c>
      <c r="E159" s="313" t="s">
        <v>386</v>
      </c>
      <c r="F159" s="313">
        <v>67.0</v>
      </c>
      <c r="G159" s="313">
        <v>22.4</v>
      </c>
      <c r="H159" s="313" t="s">
        <v>792</v>
      </c>
      <c r="I159" s="313" t="s">
        <v>793</v>
      </c>
      <c r="J159" s="313">
        <v>0.8</v>
      </c>
      <c r="K159" s="313">
        <v>9.8</v>
      </c>
      <c r="L159" s="313">
        <v>7.1</v>
      </c>
      <c r="M159" s="313">
        <v>1.2</v>
      </c>
      <c r="N159" s="313">
        <v>1.3</v>
      </c>
      <c r="O159" s="313">
        <v>0.7</v>
      </c>
      <c r="P159" s="313">
        <v>1.2</v>
      </c>
      <c r="Q159" s="313">
        <v>-0.91</v>
      </c>
    </row>
    <row r="160">
      <c r="A160" s="313">
        <v>159.0</v>
      </c>
      <c r="B160" s="313">
        <v>116.7</v>
      </c>
      <c r="C160" s="314" t="s">
        <v>794</v>
      </c>
      <c r="D160" s="313" t="s">
        <v>282</v>
      </c>
      <c r="E160" s="313" t="s">
        <v>269</v>
      </c>
      <c r="F160" s="313">
        <v>72.0</v>
      </c>
      <c r="G160" s="313">
        <v>31.0</v>
      </c>
      <c r="H160" s="313" t="s">
        <v>795</v>
      </c>
      <c r="I160" s="313" t="s">
        <v>796</v>
      </c>
      <c r="J160" s="313">
        <v>0.7</v>
      </c>
      <c r="K160" s="313">
        <v>15.3</v>
      </c>
      <c r="L160" s="313">
        <v>6.6</v>
      </c>
      <c r="M160" s="313">
        <v>3.3</v>
      </c>
      <c r="N160" s="313">
        <v>0.8</v>
      </c>
      <c r="O160" s="313">
        <v>0.7</v>
      </c>
      <c r="P160" s="313">
        <v>1.5</v>
      </c>
      <c r="Q160" s="313">
        <v>-0.91</v>
      </c>
    </row>
    <row r="161">
      <c r="A161" s="313">
        <v>160.0</v>
      </c>
      <c r="B161" s="313">
        <v>141.5</v>
      </c>
      <c r="C161" s="314" t="s">
        <v>797</v>
      </c>
      <c r="D161" s="313" t="s">
        <v>85</v>
      </c>
      <c r="E161" s="313" t="s">
        <v>265</v>
      </c>
      <c r="F161" s="313">
        <v>74.0</v>
      </c>
      <c r="G161" s="313">
        <v>24.4</v>
      </c>
      <c r="H161" s="313" t="s">
        <v>798</v>
      </c>
      <c r="I161" s="313" t="s">
        <v>799</v>
      </c>
      <c r="J161" s="313">
        <v>0.7</v>
      </c>
      <c r="K161" s="313">
        <v>9.8</v>
      </c>
      <c r="L161" s="313">
        <v>3.2</v>
      </c>
      <c r="M161" s="313">
        <v>5.5</v>
      </c>
      <c r="N161" s="313">
        <v>1.0</v>
      </c>
      <c r="O161" s="313">
        <v>0.1</v>
      </c>
      <c r="P161" s="313">
        <v>1.4</v>
      </c>
      <c r="Q161" s="313">
        <v>-0.93</v>
      </c>
    </row>
    <row r="162">
      <c r="A162" s="313">
        <v>161.0</v>
      </c>
      <c r="B162" s="313">
        <v>103.5</v>
      </c>
      <c r="C162" s="314" t="s">
        <v>800</v>
      </c>
      <c r="D162" s="313" t="s">
        <v>97</v>
      </c>
      <c r="E162" s="313" t="s">
        <v>379</v>
      </c>
      <c r="F162" s="313">
        <v>68.0</v>
      </c>
      <c r="G162" s="313">
        <v>26.2</v>
      </c>
      <c r="H162" s="313" t="s">
        <v>802</v>
      </c>
      <c r="I162" s="313" t="s">
        <v>803</v>
      </c>
      <c r="J162" s="313">
        <v>0.0</v>
      </c>
      <c r="K162" s="313">
        <v>10.2</v>
      </c>
      <c r="L162" s="313">
        <v>7.2</v>
      </c>
      <c r="M162" s="313">
        <v>1.3</v>
      </c>
      <c r="N162" s="313">
        <v>0.3</v>
      </c>
      <c r="O162" s="313">
        <v>1.3</v>
      </c>
      <c r="P162" s="313">
        <v>1.0</v>
      </c>
      <c r="Q162" s="313">
        <v>-1.02</v>
      </c>
    </row>
    <row r="163">
      <c r="A163" s="313">
        <v>162.0</v>
      </c>
      <c r="B163" s="313">
        <v>130.8</v>
      </c>
      <c r="C163" s="314" t="s">
        <v>804</v>
      </c>
      <c r="D163" s="313" t="s">
        <v>85</v>
      </c>
      <c r="E163" s="313" t="s">
        <v>465</v>
      </c>
      <c r="F163" s="313">
        <v>67.0</v>
      </c>
      <c r="G163" s="313">
        <v>30.1</v>
      </c>
      <c r="H163" s="313" t="s">
        <v>805</v>
      </c>
      <c r="I163" s="313" t="s">
        <v>806</v>
      </c>
      <c r="J163" s="313">
        <v>1.5</v>
      </c>
      <c r="K163" s="313">
        <v>15.7</v>
      </c>
      <c r="L163" s="313">
        <v>3.3</v>
      </c>
      <c r="M163" s="313">
        <v>5.8</v>
      </c>
      <c r="N163" s="313">
        <v>1.0</v>
      </c>
      <c r="O163" s="313">
        <v>0.3</v>
      </c>
      <c r="P163" s="313">
        <v>3.3</v>
      </c>
      <c r="Q163" s="313">
        <v>-1.02</v>
      </c>
    </row>
    <row r="164">
      <c r="A164" s="313">
        <v>163.0</v>
      </c>
      <c r="B164" s="313">
        <v>140.2</v>
      </c>
      <c r="C164" s="314" t="s">
        <v>807</v>
      </c>
      <c r="D164" s="313" t="s">
        <v>85</v>
      </c>
      <c r="E164" s="313" t="s">
        <v>287</v>
      </c>
      <c r="F164" s="313">
        <v>58.0</v>
      </c>
      <c r="G164" s="313">
        <v>27.7</v>
      </c>
      <c r="H164" s="313" t="s">
        <v>808</v>
      </c>
      <c r="I164" s="313" t="s">
        <v>809</v>
      </c>
      <c r="J164" s="313">
        <v>1.7</v>
      </c>
      <c r="K164" s="313">
        <v>9.1</v>
      </c>
      <c r="L164" s="313">
        <v>3.4</v>
      </c>
      <c r="M164" s="313">
        <v>4.4</v>
      </c>
      <c r="N164" s="313">
        <v>1.0</v>
      </c>
      <c r="O164" s="313">
        <v>0.3</v>
      </c>
      <c r="P164" s="313">
        <v>1.5</v>
      </c>
      <c r="Q164" s="313">
        <v>-1.05</v>
      </c>
    </row>
    <row r="165">
      <c r="A165" s="313">
        <v>164.0</v>
      </c>
      <c r="B165" s="313">
        <v>144.4</v>
      </c>
      <c r="C165" s="314" t="s">
        <v>810</v>
      </c>
      <c r="D165" s="313" t="s">
        <v>277</v>
      </c>
      <c r="E165" s="313" t="s">
        <v>299</v>
      </c>
      <c r="F165" s="313">
        <v>68.0</v>
      </c>
      <c r="G165" s="313">
        <v>27.4</v>
      </c>
      <c r="H165" s="313" t="s">
        <v>811</v>
      </c>
      <c r="I165" s="313" t="s">
        <v>812</v>
      </c>
      <c r="J165" s="313">
        <v>0.8</v>
      </c>
      <c r="K165" s="313">
        <v>7.1</v>
      </c>
      <c r="L165" s="313">
        <v>5.0</v>
      </c>
      <c r="M165" s="313">
        <v>3.5</v>
      </c>
      <c r="N165" s="313">
        <v>1.5</v>
      </c>
      <c r="O165" s="313">
        <v>0.4</v>
      </c>
      <c r="P165" s="313">
        <v>1.4</v>
      </c>
      <c r="Q165" s="313">
        <v>-1.05</v>
      </c>
    </row>
    <row r="166">
      <c r="A166" s="313">
        <v>165.0</v>
      </c>
      <c r="B166" s="313">
        <v>140.6</v>
      </c>
      <c r="C166" s="314" t="s">
        <v>813</v>
      </c>
      <c r="D166" s="313" t="s">
        <v>277</v>
      </c>
      <c r="E166" s="313" t="s">
        <v>295</v>
      </c>
      <c r="F166" s="313">
        <v>72.0</v>
      </c>
      <c r="G166" s="313">
        <v>30.2</v>
      </c>
      <c r="H166" s="313" t="s">
        <v>815</v>
      </c>
      <c r="I166" s="313" t="s">
        <v>816</v>
      </c>
      <c r="J166" s="313">
        <v>1.2</v>
      </c>
      <c r="K166" s="313">
        <v>10.7</v>
      </c>
      <c r="L166" s="313">
        <v>2.7</v>
      </c>
      <c r="M166" s="313">
        <v>5.0</v>
      </c>
      <c r="N166" s="313">
        <v>1.1</v>
      </c>
      <c r="O166" s="313">
        <v>0.2</v>
      </c>
      <c r="P166" s="313">
        <v>1.8</v>
      </c>
      <c r="Q166" s="313">
        <v>-1.1</v>
      </c>
    </row>
    <row r="167">
      <c r="A167" s="313">
        <v>166.0</v>
      </c>
      <c r="B167" s="313">
        <v>141.2</v>
      </c>
      <c r="C167" s="314" t="s">
        <v>817</v>
      </c>
      <c r="D167" s="313" t="s">
        <v>303</v>
      </c>
      <c r="E167" s="313" t="s">
        <v>365</v>
      </c>
      <c r="F167" s="313">
        <v>74.0</v>
      </c>
      <c r="G167" s="313">
        <v>29.8</v>
      </c>
      <c r="H167" s="313" t="s">
        <v>818</v>
      </c>
      <c r="I167" s="313" t="s">
        <v>819</v>
      </c>
      <c r="J167" s="313">
        <v>1.3</v>
      </c>
      <c r="K167" s="313">
        <v>11.4</v>
      </c>
      <c r="L167" s="313">
        <v>3.5</v>
      </c>
      <c r="M167" s="313">
        <v>1.7</v>
      </c>
      <c r="N167" s="313">
        <v>0.9</v>
      </c>
      <c r="O167" s="313">
        <v>0.8</v>
      </c>
      <c r="P167" s="313">
        <v>1.3</v>
      </c>
      <c r="Q167" s="313">
        <v>-1.1</v>
      </c>
    </row>
    <row r="168">
      <c r="A168" s="313">
        <v>167.0</v>
      </c>
      <c r="B168" s="313">
        <v>147.0</v>
      </c>
      <c r="C168" s="314" t="s">
        <v>820</v>
      </c>
      <c r="D168" s="313" t="s">
        <v>92</v>
      </c>
      <c r="E168" s="313" t="s">
        <v>449</v>
      </c>
      <c r="F168" s="313">
        <v>68.0</v>
      </c>
      <c r="G168" s="313">
        <v>28.3</v>
      </c>
      <c r="H168" s="313" t="s">
        <v>792</v>
      </c>
      <c r="I168" s="313" t="s">
        <v>821</v>
      </c>
      <c r="J168" s="313">
        <v>1.4</v>
      </c>
      <c r="K168" s="313">
        <v>10.3</v>
      </c>
      <c r="L168" s="313">
        <v>4.0</v>
      </c>
      <c r="M168" s="313">
        <v>1.4</v>
      </c>
      <c r="N168" s="313">
        <v>0.9</v>
      </c>
      <c r="O168" s="313">
        <v>0.8</v>
      </c>
      <c r="P168" s="313">
        <v>1.3</v>
      </c>
      <c r="Q168" s="313">
        <v>-1.11</v>
      </c>
    </row>
    <row r="169">
      <c r="A169" s="313">
        <v>168.0</v>
      </c>
      <c r="B169" s="313">
        <v>146.9</v>
      </c>
      <c r="C169" s="314" t="s">
        <v>822</v>
      </c>
      <c r="D169" s="313" t="s">
        <v>92</v>
      </c>
      <c r="E169" s="313" t="s">
        <v>414</v>
      </c>
      <c r="F169" s="313">
        <v>50.0</v>
      </c>
      <c r="G169" s="313">
        <v>19.2</v>
      </c>
      <c r="H169" s="313" t="s">
        <v>823</v>
      </c>
      <c r="I169" s="313" t="s">
        <v>824</v>
      </c>
      <c r="J169" s="313">
        <v>1.1</v>
      </c>
      <c r="K169" s="313">
        <v>9.7</v>
      </c>
      <c r="L169" s="313">
        <v>4.6</v>
      </c>
      <c r="M169" s="313">
        <v>1.5</v>
      </c>
      <c r="N169" s="313">
        <v>0.7</v>
      </c>
      <c r="O169" s="313">
        <v>1.2</v>
      </c>
      <c r="P169" s="313">
        <v>1.4</v>
      </c>
      <c r="Q169" s="313">
        <v>-1.13</v>
      </c>
    </row>
    <row r="170">
      <c r="A170" s="313">
        <v>169.0</v>
      </c>
      <c r="B170" s="313">
        <v>144.8</v>
      </c>
      <c r="C170" s="314" t="s">
        <v>825</v>
      </c>
      <c r="D170" s="313" t="s">
        <v>364</v>
      </c>
      <c r="E170" s="313" t="s">
        <v>317</v>
      </c>
      <c r="F170" s="313">
        <v>72.0</v>
      </c>
      <c r="G170" s="313">
        <v>29.4</v>
      </c>
      <c r="H170" s="313" t="s">
        <v>826</v>
      </c>
      <c r="I170" s="313" t="s">
        <v>827</v>
      </c>
      <c r="J170" s="313">
        <v>2.4</v>
      </c>
      <c r="K170" s="313">
        <v>11.7</v>
      </c>
      <c r="L170" s="313">
        <v>3.9</v>
      </c>
      <c r="M170" s="313">
        <v>3.4</v>
      </c>
      <c r="N170" s="313">
        <v>0.8</v>
      </c>
      <c r="O170" s="313">
        <v>0.3</v>
      </c>
      <c r="P170" s="313">
        <v>1.2</v>
      </c>
      <c r="Q170" s="313">
        <v>-1.17</v>
      </c>
    </row>
    <row r="171">
      <c r="A171" s="313">
        <v>170.0</v>
      </c>
      <c r="B171" s="313">
        <v>143.4</v>
      </c>
      <c r="C171" s="314" t="s">
        <v>829</v>
      </c>
      <c r="D171" s="313" t="s">
        <v>85</v>
      </c>
      <c r="E171" s="313" t="s">
        <v>295</v>
      </c>
      <c r="F171" s="313">
        <v>70.0</v>
      </c>
      <c r="G171" s="313">
        <v>18.6</v>
      </c>
      <c r="H171" s="313" t="s">
        <v>830</v>
      </c>
      <c r="I171" s="313" t="s">
        <v>831</v>
      </c>
      <c r="J171" s="313">
        <v>0.3</v>
      </c>
      <c r="K171" s="313">
        <v>9.2</v>
      </c>
      <c r="L171" s="313">
        <v>2.8</v>
      </c>
      <c r="M171" s="313">
        <v>5.3</v>
      </c>
      <c r="N171" s="313">
        <v>1.0</v>
      </c>
      <c r="O171" s="313">
        <v>0.1</v>
      </c>
      <c r="P171" s="313">
        <v>1.7</v>
      </c>
      <c r="Q171" s="313">
        <v>-1.17</v>
      </c>
    </row>
    <row r="172">
      <c r="A172" s="313">
        <v>171.0</v>
      </c>
      <c r="B172" s="320"/>
      <c r="C172" s="314" t="s">
        <v>832</v>
      </c>
      <c r="D172" s="313" t="s">
        <v>277</v>
      </c>
      <c r="E172" s="313" t="s">
        <v>346</v>
      </c>
      <c r="F172" s="313">
        <v>68.0</v>
      </c>
      <c r="G172" s="313">
        <v>24.5</v>
      </c>
      <c r="H172" s="313" t="s">
        <v>834</v>
      </c>
      <c r="I172" s="313" t="s">
        <v>835</v>
      </c>
      <c r="J172" s="313">
        <v>2.1</v>
      </c>
      <c r="K172" s="313">
        <v>10.8</v>
      </c>
      <c r="L172" s="313">
        <v>2.1</v>
      </c>
      <c r="M172" s="313">
        <v>2.6</v>
      </c>
      <c r="N172" s="313">
        <v>1.2</v>
      </c>
      <c r="O172" s="313">
        <v>0.2</v>
      </c>
      <c r="P172" s="313">
        <v>0.8</v>
      </c>
      <c r="Q172" s="313">
        <v>-1.19</v>
      </c>
    </row>
    <row r="173">
      <c r="A173" s="313">
        <v>172.0</v>
      </c>
      <c r="B173" s="313">
        <v>123.8</v>
      </c>
      <c r="C173" s="314" t="s">
        <v>836</v>
      </c>
      <c r="D173" s="313" t="s">
        <v>303</v>
      </c>
      <c r="E173" s="313" t="s">
        <v>465</v>
      </c>
      <c r="F173" s="313">
        <v>73.0</v>
      </c>
      <c r="G173" s="313">
        <v>27.4</v>
      </c>
      <c r="H173" s="313" t="s">
        <v>837</v>
      </c>
      <c r="I173" s="313" t="s">
        <v>838</v>
      </c>
      <c r="J173" s="313">
        <v>1.0</v>
      </c>
      <c r="K173" s="313">
        <v>11.9</v>
      </c>
      <c r="L173" s="313">
        <v>6.5</v>
      </c>
      <c r="M173" s="313">
        <v>3.3</v>
      </c>
      <c r="N173" s="313">
        <v>0.8</v>
      </c>
      <c r="O173" s="313">
        <v>0.4</v>
      </c>
      <c r="P173" s="313">
        <v>1.9</v>
      </c>
      <c r="Q173" s="313">
        <v>-1.19</v>
      </c>
    </row>
    <row r="174">
      <c r="A174" s="313">
        <v>173.0</v>
      </c>
      <c r="B174" s="313">
        <v>140.6</v>
      </c>
      <c r="C174" s="314" t="s">
        <v>839</v>
      </c>
      <c r="D174" s="313" t="s">
        <v>364</v>
      </c>
      <c r="E174" s="313" t="s">
        <v>465</v>
      </c>
      <c r="F174" s="313">
        <v>60.0</v>
      </c>
      <c r="G174" s="313">
        <v>31.6</v>
      </c>
      <c r="H174" s="313" t="s">
        <v>841</v>
      </c>
      <c r="I174" s="313" t="s">
        <v>842</v>
      </c>
      <c r="J174" s="313">
        <v>1.9</v>
      </c>
      <c r="K174" s="313">
        <v>15.9</v>
      </c>
      <c r="L174" s="313">
        <v>4.6</v>
      </c>
      <c r="M174" s="313">
        <v>2.2</v>
      </c>
      <c r="N174" s="313">
        <v>0.8</v>
      </c>
      <c r="O174" s="313">
        <v>0.4</v>
      </c>
      <c r="P174" s="313">
        <v>1.8</v>
      </c>
      <c r="Q174" s="313">
        <v>-1.2</v>
      </c>
    </row>
    <row r="175">
      <c r="A175" s="313">
        <v>174.0</v>
      </c>
      <c r="B175" s="313">
        <v>138.5</v>
      </c>
      <c r="C175" s="314" t="s">
        <v>843</v>
      </c>
      <c r="D175" s="313" t="s">
        <v>85</v>
      </c>
      <c r="E175" s="313" t="s">
        <v>495</v>
      </c>
      <c r="F175" s="313">
        <v>28.0</v>
      </c>
      <c r="G175" s="313">
        <v>24.9</v>
      </c>
      <c r="H175" s="313" t="s">
        <v>844</v>
      </c>
      <c r="I175" s="313" t="s">
        <v>845</v>
      </c>
      <c r="J175" s="313">
        <v>0.0</v>
      </c>
      <c r="K175" s="313">
        <v>6.6</v>
      </c>
      <c r="L175" s="313">
        <v>6.6</v>
      </c>
      <c r="M175" s="313">
        <v>5.9</v>
      </c>
      <c r="N175" s="313">
        <v>1.1</v>
      </c>
      <c r="O175" s="313">
        <v>0.6</v>
      </c>
      <c r="P175" s="313">
        <v>2.1</v>
      </c>
      <c r="Q175" s="313">
        <v>-1.22</v>
      </c>
    </row>
    <row r="176">
      <c r="A176" s="313">
        <v>175.0</v>
      </c>
      <c r="B176" s="313">
        <v>143.7</v>
      </c>
      <c r="C176" s="314" t="s">
        <v>846</v>
      </c>
      <c r="D176" s="313" t="s">
        <v>303</v>
      </c>
      <c r="E176" s="313" t="s">
        <v>442</v>
      </c>
      <c r="F176" s="313">
        <v>55.0</v>
      </c>
      <c r="G176" s="313">
        <v>17.2</v>
      </c>
      <c r="H176" s="313" t="s">
        <v>848</v>
      </c>
      <c r="I176" s="313" t="s">
        <v>849</v>
      </c>
      <c r="J176" s="313">
        <v>0.8</v>
      </c>
      <c r="K176" s="313">
        <v>7.5</v>
      </c>
      <c r="L176" s="313">
        <v>5.1</v>
      </c>
      <c r="M176" s="313">
        <v>0.6</v>
      </c>
      <c r="N176" s="313">
        <v>1.0</v>
      </c>
      <c r="O176" s="313">
        <v>1.2</v>
      </c>
      <c r="P176" s="313">
        <v>0.5</v>
      </c>
      <c r="Q176" s="313">
        <v>-1.27</v>
      </c>
    </row>
    <row r="177">
      <c r="A177" s="313">
        <v>176.0</v>
      </c>
      <c r="B177" s="313">
        <v>133.6</v>
      </c>
      <c r="C177" s="314" t="s">
        <v>850</v>
      </c>
      <c r="D177" s="313" t="s">
        <v>90</v>
      </c>
      <c r="E177" s="313" t="s">
        <v>375</v>
      </c>
      <c r="F177" s="313">
        <v>73.0</v>
      </c>
      <c r="G177" s="313">
        <v>28.0</v>
      </c>
      <c r="H177" s="313" t="s">
        <v>851</v>
      </c>
      <c r="I177" s="313" t="s">
        <v>852</v>
      </c>
      <c r="J177" s="313">
        <v>0.9</v>
      </c>
      <c r="K177" s="313">
        <v>11.9</v>
      </c>
      <c r="L177" s="313">
        <v>3.8</v>
      </c>
      <c r="M177" s="313">
        <v>2.6</v>
      </c>
      <c r="N177" s="313">
        <v>1.0</v>
      </c>
      <c r="O177" s="313">
        <v>0.3</v>
      </c>
      <c r="P177" s="313">
        <v>1.5</v>
      </c>
      <c r="Q177" s="313">
        <v>-1.36</v>
      </c>
    </row>
    <row r="178">
      <c r="A178" s="313">
        <v>177.0</v>
      </c>
      <c r="B178" s="320"/>
      <c r="C178" s="314" t="s">
        <v>853</v>
      </c>
      <c r="D178" s="313" t="s">
        <v>364</v>
      </c>
      <c r="E178" s="313" t="s">
        <v>350</v>
      </c>
      <c r="F178" s="313">
        <v>68.0</v>
      </c>
      <c r="G178" s="313">
        <v>24.8</v>
      </c>
      <c r="H178" s="313" t="s">
        <v>855</v>
      </c>
      <c r="I178" s="313" t="s">
        <v>856</v>
      </c>
      <c r="J178" s="313">
        <v>2.2</v>
      </c>
      <c r="K178" s="313">
        <v>12.0</v>
      </c>
      <c r="L178" s="313">
        <v>3.2</v>
      </c>
      <c r="M178" s="313">
        <v>2.6</v>
      </c>
      <c r="N178" s="313">
        <v>0.8</v>
      </c>
      <c r="O178" s="313">
        <v>0.3</v>
      </c>
      <c r="P178" s="313">
        <v>1.0</v>
      </c>
      <c r="Q178" s="313">
        <v>-1.36</v>
      </c>
    </row>
    <row r="179">
      <c r="A179" s="313">
        <v>178.0</v>
      </c>
      <c r="B179" s="320"/>
      <c r="C179" s="314" t="s">
        <v>857</v>
      </c>
      <c r="D179" s="313" t="s">
        <v>85</v>
      </c>
      <c r="E179" s="313" t="s">
        <v>449</v>
      </c>
      <c r="F179" s="313">
        <v>44.0</v>
      </c>
      <c r="G179" s="313">
        <v>19.8</v>
      </c>
      <c r="H179" s="313" t="s">
        <v>858</v>
      </c>
      <c r="I179" s="313" t="s">
        <v>859</v>
      </c>
      <c r="J179" s="313">
        <v>1.8</v>
      </c>
      <c r="K179" s="313">
        <v>7.6</v>
      </c>
      <c r="L179" s="313">
        <v>3.2</v>
      </c>
      <c r="M179" s="313">
        <v>3.5</v>
      </c>
      <c r="N179" s="313">
        <v>1.1</v>
      </c>
      <c r="O179" s="313">
        <v>0.5</v>
      </c>
      <c r="P179" s="313">
        <v>1.4</v>
      </c>
      <c r="Q179" s="313">
        <v>-1.37</v>
      </c>
    </row>
    <row r="180">
      <c r="A180" s="313">
        <v>179.0</v>
      </c>
      <c r="B180" s="313">
        <v>146.7</v>
      </c>
      <c r="C180" s="314" t="s">
        <v>860</v>
      </c>
      <c r="D180" s="313" t="s">
        <v>861</v>
      </c>
      <c r="E180" s="313" t="s">
        <v>379</v>
      </c>
      <c r="F180" s="313">
        <v>58.0</v>
      </c>
      <c r="G180" s="313">
        <v>24.0</v>
      </c>
      <c r="H180" s="313" t="s">
        <v>862</v>
      </c>
      <c r="I180" s="313" t="s">
        <v>863</v>
      </c>
      <c r="J180" s="313">
        <v>1.3</v>
      </c>
      <c r="K180" s="313">
        <v>9.0</v>
      </c>
      <c r="L180" s="313">
        <v>4.8</v>
      </c>
      <c r="M180" s="313">
        <v>2.8</v>
      </c>
      <c r="N180" s="313">
        <v>0.8</v>
      </c>
      <c r="O180" s="313">
        <v>0.6</v>
      </c>
      <c r="P180" s="313">
        <v>1.5</v>
      </c>
      <c r="Q180" s="313">
        <v>-1.38</v>
      </c>
    </row>
    <row r="181">
      <c r="A181" s="313">
        <v>180.0</v>
      </c>
      <c r="B181" s="313">
        <v>143.9</v>
      </c>
      <c r="C181" s="314" t="s">
        <v>865</v>
      </c>
      <c r="D181" s="313" t="s">
        <v>277</v>
      </c>
      <c r="E181" s="313" t="s">
        <v>291</v>
      </c>
      <c r="F181" s="313">
        <v>70.0</v>
      </c>
      <c r="G181" s="313">
        <v>30.0</v>
      </c>
      <c r="H181" s="313" t="s">
        <v>866</v>
      </c>
      <c r="I181" s="313" t="s">
        <v>867</v>
      </c>
      <c r="J181" s="313">
        <v>2.4</v>
      </c>
      <c r="K181" s="313">
        <v>14.5</v>
      </c>
      <c r="L181" s="313">
        <v>2.5</v>
      </c>
      <c r="M181" s="313">
        <v>1.6</v>
      </c>
      <c r="N181" s="313">
        <v>1.2</v>
      </c>
      <c r="O181" s="313">
        <v>0.2</v>
      </c>
      <c r="P181" s="313">
        <v>0.7</v>
      </c>
      <c r="Q181" s="313">
        <v>-1.4</v>
      </c>
    </row>
    <row r="182">
      <c r="A182" s="313">
        <v>181.0</v>
      </c>
      <c r="B182" s="313">
        <v>143.3</v>
      </c>
      <c r="C182" s="314" t="s">
        <v>868</v>
      </c>
      <c r="D182" s="313" t="s">
        <v>331</v>
      </c>
      <c r="E182" s="313" t="s">
        <v>265</v>
      </c>
      <c r="F182" s="313">
        <v>67.0</v>
      </c>
      <c r="G182" s="313">
        <v>27.5</v>
      </c>
      <c r="H182" s="313" t="s">
        <v>869</v>
      </c>
      <c r="I182" s="313" t="s">
        <v>870</v>
      </c>
      <c r="J182" s="313">
        <v>1.8</v>
      </c>
      <c r="K182" s="313">
        <v>16.7</v>
      </c>
      <c r="L182" s="313">
        <v>4.7</v>
      </c>
      <c r="M182" s="313">
        <v>2.6</v>
      </c>
      <c r="N182" s="313">
        <v>0.7</v>
      </c>
      <c r="O182" s="313">
        <v>0.2</v>
      </c>
      <c r="P182" s="313">
        <v>1.6</v>
      </c>
      <c r="Q182" s="313">
        <v>-1.43</v>
      </c>
    </row>
    <row r="183">
      <c r="A183" s="313">
        <v>182.0</v>
      </c>
      <c r="B183" s="313">
        <v>142.5</v>
      </c>
      <c r="C183" s="314" t="s">
        <v>871</v>
      </c>
      <c r="D183" s="313" t="s">
        <v>364</v>
      </c>
      <c r="E183" s="313" t="s">
        <v>269</v>
      </c>
      <c r="F183" s="313">
        <v>79.0</v>
      </c>
      <c r="G183" s="313">
        <v>30.2</v>
      </c>
      <c r="H183" s="313" t="s">
        <v>873</v>
      </c>
      <c r="I183" s="313" t="s">
        <v>874</v>
      </c>
      <c r="J183" s="313">
        <v>1.1</v>
      </c>
      <c r="K183" s="313">
        <v>11.0</v>
      </c>
      <c r="L183" s="313">
        <v>5.5</v>
      </c>
      <c r="M183" s="313">
        <v>2.2</v>
      </c>
      <c r="N183" s="313">
        <v>0.9</v>
      </c>
      <c r="O183" s="313">
        <v>0.6</v>
      </c>
      <c r="P183" s="313">
        <v>1.0</v>
      </c>
      <c r="Q183" s="313">
        <v>-1.44</v>
      </c>
    </row>
    <row r="184">
      <c r="A184" s="313">
        <v>183.0</v>
      </c>
      <c r="B184" s="313">
        <v>139.0</v>
      </c>
      <c r="C184" s="314" t="s">
        <v>875</v>
      </c>
      <c r="D184" s="313" t="s">
        <v>90</v>
      </c>
      <c r="E184" s="313" t="s">
        <v>299</v>
      </c>
      <c r="F184" s="313">
        <v>68.0</v>
      </c>
      <c r="G184" s="313">
        <v>30.4</v>
      </c>
      <c r="H184" s="313" t="s">
        <v>876</v>
      </c>
      <c r="I184" s="313" t="s">
        <v>877</v>
      </c>
      <c r="J184" s="313">
        <v>1.4</v>
      </c>
      <c r="K184" s="313">
        <v>13.6</v>
      </c>
      <c r="L184" s="313">
        <v>4.1</v>
      </c>
      <c r="M184" s="313">
        <v>1.5</v>
      </c>
      <c r="N184" s="313">
        <v>1.1</v>
      </c>
      <c r="O184" s="313">
        <v>0.7</v>
      </c>
      <c r="P184" s="313">
        <v>1.6</v>
      </c>
      <c r="Q184" s="313">
        <v>-1.45</v>
      </c>
    </row>
    <row r="185">
      <c r="A185" s="313">
        <v>184.0</v>
      </c>
      <c r="B185" s="313">
        <v>138.9</v>
      </c>
      <c r="C185" s="314" t="s">
        <v>878</v>
      </c>
      <c r="D185" s="313" t="s">
        <v>364</v>
      </c>
      <c r="E185" s="313" t="s">
        <v>354</v>
      </c>
      <c r="F185" s="313">
        <v>64.0</v>
      </c>
      <c r="G185" s="313">
        <v>28.6</v>
      </c>
      <c r="H185" s="313" t="s">
        <v>879</v>
      </c>
      <c r="I185" s="313" t="s">
        <v>880</v>
      </c>
      <c r="J185" s="313">
        <v>1.9</v>
      </c>
      <c r="K185" s="313">
        <v>17.4</v>
      </c>
      <c r="L185" s="313">
        <v>3.4</v>
      </c>
      <c r="M185" s="313">
        <v>4.3</v>
      </c>
      <c r="N185" s="313">
        <v>0.5</v>
      </c>
      <c r="O185" s="313">
        <v>0.2</v>
      </c>
      <c r="P185" s="313">
        <v>2.6</v>
      </c>
      <c r="Q185" s="313">
        <v>-1.46</v>
      </c>
    </row>
    <row r="186">
      <c r="A186" s="313">
        <v>185.0</v>
      </c>
      <c r="B186" s="320"/>
      <c r="C186" s="314" t="s">
        <v>881</v>
      </c>
      <c r="D186" s="313" t="s">
        <v>88</v>
      </c>
      <c r="E186" s="313" t="s">
        <v>379</v>
      </c>
      <c r="F186" s="313">
        <v>60.0</v>
      </c>
      <c r="G186" s="313">
        <v>25.4</v>
      </c>
      <c r="H186" s="313" t="s">
        <v>882</v>
      </c>
      <c r="I186" s="313" t="s">
        <v>883</v>
      </c>
      <c r="J186" s="313">
        <v>2.7</v>
      </c>
      <c r="K186" s="313">
        <v>10.8</v>
      </c>
      <c r="L186" s="313">
        <v>3.0</v>
      </c>
      <c r="M186" s="313">
        <v>2.5</v>
      </c>
      <c r="N186" s="313">
        <v>0.6</v>
      </c>
      <c r="O186" s="313">
        <v>0.1</v>
      </c>
      <c r="P186" s="313">
        <v>1.1</v>
      </c>
      <c r="Q186" s="313">
        <v>-1.47</v>
      </c>
    </row>
    <row r="187">
      <c r="A187" s="313">
        <v>186.0</v>
      </c>
      <c r="B187" s="313">
        <v>139.1</v>
      </c>
      <c r="C187" s="314" t="s">
        <v>884</v>
      </c>
      <c r="D187" s="313" t="s">
        <v>97</v>
      </c>
      <c r="E187" s="313" t="s">
        <v>287</v>
      </c>
      <c r="F187" s="313">
        <v>74.0</v>
      </c>
      <c r="G187" s="313">
        <v>20.1</v>
      </c>
      <c r="H187" s="313" t="s">
        <v>885</v>
      </c>
      <c r="I187" s="313" t="s">
        <v>886</v>
      </c>
      <c r="J187" s="313">
        <v>0.0</v>
      </c>
      <c r="K187" s="313">
        <v>9.8</v>
      </c>
      <c r="L187" s="313">
        <v>10.6</v>
      </c>
      <c r="M187" s="313">
        <v>0.6</v>
      </c>
      <c r="N187" s="313">
        <v>1.1</v>
      </c>
      <c r="O187" s="313">
        <v>0.7</v>
      </c>
      <c r="P187" s="313">
        <v>1.4</v>
      </c>
      <c r="Q187" s="313">
        <v>-1.5</v>
      </c>
    </row>
    <row r="188">
      <c r="A188" s="313">
        <v>187.0</v>
      </c>
      <c r="B188" s="313">
        <v>141.7</v>
      </c>
      <c r="C188" s="314" t="s">
        <v>887</v>
      </c>
      <c r="D188" s="313" t="s">
        <v>85</v>
      </c>
      <c r="E188" s="313" t="s">
        <v>442</v>
      </c>
      <c r="F188" s="313">
        <v>72.0</v>
      </c>
      <c r="G188" s="313">
        <v>21.9</v>
      </c>
      <c r="H188" s="313" t="s">
        <v>888</v>
      </c>
      <c r="I188" s="313" t="s">
        <v>889</v>
      </c>
      <c r="J188" s="313">
        <v>1.3</v>
      </c>
      <c r="K188" s="313">
        <v>11.5</v>
      </c>
      <c r="L188" s="313">
        <v>3.9</v>
      </c>
      <c r="M188" s="313">
        <v>3.1</v>
      </c>
      <c r="N188" s="313">
        <v>0.7</v>
      </c>
      <c r="O188" s="313">
        <v>0.5</v>
      </c>
      <c r="P188" s="313">
        <v>1.4</v>
      </c>
      <c r="Q188" s="313">
        <v>-1.51</v>
      </c>
    </row>
    <row r="189">
      <c r="A189" s="313">
        <v>188.0</v>
      </c>
      <c r="B189" s="313">
        <v>140.9</v>
      </c>
      <c r="C189" s="314" t="s">
        <v>890</v>
      </c>
      <c r="D189" s="313" t="s">
        <v>88</v>
      </c>
      <c r="E189" s="313" t="s">
        <v>386</v>
      </c>
      <c r="F189" s="313">
        <v>67.0</v>
      </c>
      <c r="G189" s="313">
        <v>20.2</v>
      </c>
      <c r="H189" s="313" t="s">
        <v>891</v>
      </c>
      <c r="I189" s="313" t="s">
        <v>892</v>
      </c>
      <c r="J189" s="313">
        <v>1.3</v>
      </c>
      <c r="K189" s="313">
        <v>6.7</v>
      </c>
      <c r="L189" s="313">
        <v>2.5</v>
      </c>
      <c r="M189" s="313">
        <v>2.4</v>
      </c>
      <c r="N189" s="313">
        <v>1.3</v>
      </c>
      <c r="O189" s="313">
        <v>0.4</v>
      </c>
      <c r="P189" s="313">
        <v>1.1</v>
      </c>
      <c r="Q189" s="313">
        <v>-1.54</v>
      </c>
    </row>
    <row r="190">
      <c r="A190" s="313">
        <v>189.0</v>
      </c>
      <c r="B190" s="313">
        <v>139.4</v>
      </c>
      <c r="C190" s="314" t="s">
        <v>893</v>
      </c>
      <c r="D190" s="313" t="s">
        <v>303</v>
      </c>
      <c r="E190" s="313" t="s">
        <v>312</v>
      </c>
      <c r="F190" s="313">
        <v>70.0</v>
      </c>
      <c r="G190" s="313">
        <v>28.5</v>
      </c>
      <c r="H190" s="313" t="s">
        <v>894</v>
      </c>
      <c r="I190" s="313" t="s">
        <v>689</v>
      </c>
      <c r="J190" s="313">
        <v>1.7</v>
      </c>
      <c r="K190" s="313">
        <v>14.6</v>
      </c>
      <c r="L190" s="313">
        <v>4.7</v>
      </c>
      <c r="M190" s="313">
        <v>1.9</v>
      </c>
      <c r="N190" s="313">
        <v>0.8</v>
      </c>
      <c r="O190" s="313">
        <v>0.6</v>
      </c>
      <c r="P190" s="313">
        <v>1.3</v>
      </c>
      <c r="Q190" s="313">
        <v>-1.55</v>
      </c>
    </row>
    <row r="191">
      <c r="A191" s="313">
        <v>190.0</v>
      </c>
      <c r="B191" s="320"/>
      <c r="C191" s="314" t="s">
        <v>895</v>
      </c>
      <c r="D191" s="313" t="s">
        <v>92</v>
      </c>
      <c r="E191" s="313" t="s">
        <v>283</v>
      </c>
      <c r="F191" s="313">
        <v>65.0</v>
      </c>
      <c r="G191" s="313">
        <v>24.1</v>
      </c>
      <c r="H191" s="313" t="s">
        <v>896</v>
      </c>
      <c r="I191" s="313" t="s">
        <v>897</v>
      </c>
      <c r="J191" s="313">
        <v>0.4</v>
      </c>
      <c r="K191" s="313">
        <v>7.6</v>
      </c>
      <c r="L191" s="313">
        <v>7.1</v>
      </c>
      <c r="M191" s="313">
        <v>2.2</v>
      </c>
      <c r="N191" s="313">
        <v>1.2</v>
      </c>
      <c r="O191" s="313">
        <v>0.3</v>
      </c>
      <c r="P191" s="313">
        <v>1.2</v>
      </c>
      <c r="Q191" s="313">
        <v>-1.57</v>
      </c>
    </row>
    <row r="192">
      <c r="A192" s="313">
        <v>191.0</v>
      </c>
      <c r="B192" s="320"/>
      <c r="C192" s="314" t="s">
        <v>898</v>
      </c>
      <c r="D192" s="313" t="s">
        <v>364</v>
      </c>
      <c r="E192" s="313" t="s">
        <v>287</v>
      </c>
      <c r="F192" s="313">
        <v>68.0</v>
      </c>
      <c r="G192" s="313">
        <v>30.0</v>
      </c>
      <c r="H192" s="313" t="s">
        <v>899</v>
      </c>
      <c r="I192" s="313" t="s">
        <v>900</v>
      </c>
      <c r="J192" s="313">
        <v>1.3</v>
      </c>
      <c r="K192" s="313">
        <v>10.5</v>
      </c>
      <c r="L192" s="313">
        <v>4.9</v>
      </c>
      <c r="M192" s="313">
        <v>2.1</v>
      </c>
      <c r="N192" s="313">
        <v>0.9</v>
      </c>
      <c r="O192" s="313">
        <v>0.5</v>
      </c>
      <c r="P192" s="313">
        <v>1.2</v>
      </c>
      <c r="Q192" s="313">
        <v>-1.63</v>
      </c>
    </row>
    <row r="193">
      <c r="A193" s="313">
        <v>192.0</v>
      </c>
      <c r="B193" s="313">
        <v>139.1</v>
      </c>
      <c r="C193" s="314" t="s">
        <v>901</v>
      </c>
      <c r="D193" s="313" t="s">
        <v>85</v>
      </c>
      <c r="E193" s="313" t="s">
        <v>269</v>
      </c>
      <c r="F193" s="313">
        <v>72.0</v>
      </c>
      <c r="G193" s="313">
        <v>29.2</v>
      </c>
      <c r="H193" s="313" t="s">
        <v>902</v>
      </c>
      <c r="I193" s="313" t="s">
        <v>903</v>
      </c>
      <c r="J193" s="313">
        <v>1.0</v>
      </c>
      <c r="K193" s="313">
        <v>14.8</v>
      </c>
      <c r="L193" s="313">
        <v>5.9</v>
      </c>
      <c r="M193" s="313">
        <v>5.4</v>
      </c>
      <c r="N193" s="313">
        <v>1.2</v>
      </c>
      <c r="O193" s="313">
        <v>0.4</v>
      </c>
      <c r="P193" s="313">
        <v>3.1</v>
      </c>
      <c r="Q193" s="313">
        <v>-1.65</v>
      </c>
    </row>
    <row r="194">
      <c r="A194" s="313">
        <v>193.0</v>
      </c>
      <c r="B194" s="313">
        <v>138.6</v>
      </c>
      <c r="C194" s="314" t="s">
        <v>904</v>
      </c>
      <c r="D194" s="313" t="s">
        <v>277</v>
      </c>
      <c r="E194" s="313" t="s">
        <v>490</v>
      </c>
      <c r="F194" s="313">
        <v>43.0</v>
      </c>
      <c r="G194" s="313">
        <v>26.7</v>
      </c>
      <c r="H194" s="313" t="s">
        <v>905</v>
      </c>
      <c r="I194" s="313" t="s">
        <v>906</v>
      </c>
      <c r="J194" s="313">
        <v>1.6</v>
      </c>
      <c r="K194" s="313">
        <v>12.1</v>
      </c>
      <c r="L194" s="313">
        <v>3.2</v>
      </c>
      <c r="M194" s="313">
        <v>3.5</v>
      </c>
      <c r="N194" s="313">
        <v>0.5</v>
      </c>
      <c r="O194" s="313">
        <v>0.2</v>
      </c>
      <c r="P194" s="313">
        <v>1.2</v>
      </c>
      <c r="Q194" s="313">
        <v>-1.74</v>
      </c>
    </row>
    <row r="195">
      <c r="A195" s="313">
        <v>194.0</v>
      </c>
      <c r="B195" s="313">
        <v>144.9</v>
      </c>
      <c r="C195" s="314" t="s">
        <v>907</v>
      </c>
      <c r="D195" s="313" t="s">
        <v>364</v>
      </c>
      <c r="E195" s="313" t="s">
        <v>317</v>
      </c>
      <c r="F195" s="313">
        <v>69.0</v>
      </c>
      <c r="G195" s="313">
        <v>27.5</v>
      </c>
      <c r="H195" s="313" t="s">
        <v>908</v>
      </c>
      <c r="I195" s="313" t="s">
        <v>909</v>
      </c>
      <c r="J195" s="313">
        <v>1.6</v>
      </c>
      <c r="K195" s="313">
        <v>12.2</v>
      </c>
      <c r="L195" s="313">
        <v>3.7</v>
      </c>
      <c r="M195" s="313">
        <v>4.2</v>
      </c>
      <c r="N195" s="313">
        <v>1.0</v>
      </c>
      <c r="O195" s="313">
        <v>0.4</v>
      </c>
      <c r="P195" s="313">
        <v>1.5</v>
      </c>
      <c r="Q195" s="313">
        <v>-1.74</v>
      </c>
    </row>
    <row r="196">
      <c r="A196" s="313">
        <v>195.0</v>
      </c>
      <c r="B196" s="313">
        <v>144.6</v>
      </c>
      <c r="C196" s="314" t="s">
        <v>910</v>
      </c>
      <c r="D196" s="313" t="s">
        <v>364</v>
      </c>
      <c r="E196" s="313" t="s">
        <v>375</v>
      </c>
      <c r="F196" s="313">
        <v>67.0</v>
      </c>
      <c r="G196" s="313">
        <v>26.4</v>
      </c>
      <c r="H196" s="313" t="s">
        <v>911</v>
      </c>
      <c r="I196" s="313" t="s">
        <v>912</v>
      </c>
      <c r="J196" s="313">
        <v>2.6</v>
      </c>
      <c r="K196" s="313">
        <v>12.5</v>
      </c>
      <c r="L196" s="313">
        <v>2.5</v>
      </c>
      <c r="M196" s="313">
        <v>2.5</v>
      </c>
      <c r="N196" s="313">
        <v>0.6</v>
      </c>
      <c r="O196" s="313">
        <v>0.2</v>
      </c>
      <c r="P196" s="313">
        <v>1.3</v>
      </c>
      <c r="Q196" s="313">
        <v>-1.75</v>
      </c>
    </row>
    <row r="197">
      <c r="A197" s="313">
        <v>196.0</v>
      </c>
      <c r="B197" s="313">
        <v>142.6</v>
      </c>
      <c r="C197" s="314" t="s">
        <v>913</v>
      </c>
      <c r="D197" s="313" t="s">
        <v>282</v>
      </c>
      <c r="E197" s="313" t="s">
        <v>375</v>
      </c>
      <c r="F197" s="313">
        <v>52.0</v>
      </c>
      <c r="G197" s="313">
        <v>25.4</v>
      </c>
      <c r="H197" s="313" t="s">
        <v>914</v>
      </c>
      <c r="I197" s="313" t="s">
        <v>915</v>
      </c>
      <c r="J197" s="313">
        <v>1.8</v>
      </c>
      <c r="K197" s="313">
        <v>10.4</v>
      </c>
      <c r="L197" s="313">
        <v>5.3</v>
      </c>
      <c r="M197" s="313">
        <v>2.4</v>
      </c>
      <c r="N197" s="313">
        <v>0.8</v>
      </c>
      <c r="O197" s="313">
        <v>0.4</v>
      </c>
      <c r="P197" s="313">
        <v>1.2</v>
      </c>
      <c r="Q197" s="313">
        <v>-1.78</v>
      </c>
    </row>
    <row r="198">
      <c r="A198" s="313">
        <v>197.0</v>
      </c>
      <c r="B198" s="320"/>
      <c r="C198" s="314" t="s">
        <v>916</v>
      </c>
      <c r="D198" s="313" t="s">
        <v>277</v>
      </c>
      <c r="E198" s="313" t="s">
        <v>375</v>
      </c>
      <c r="F198" s="313">
        <v>60.0</v>
      </c>
      <c r="G198" s="313">
        <v>25.2</v>
      </c>
      <c r="H198" s="313" t="s">
        <v>917</v>
      </c>
      <c r="I198" s="313" t="s">
        <v>918</v>
      </c>
      <c r="J198" s="313">
        <v>1.7</v>
      </c>
      <c r="K198" s="313">
        <v>10.4</v>
      </c>
      <c r="L198" s="313">
        <v>2.9</v>
      </c>
      <c r="M198" s="313">
        <v>2.7</v>
      </c>
      <c r="N198" s="313">
        <v>0.9</v>
      </c>
      <c r="O198" s="313">
        <v>0.3</v>
      </c>
      <c r="P198" s="313">
        <v>1.2</v>
      </c>
      <c r="Q198" s="313">
        <v>-1.8</v>
      </c>
    </row>
    <row r="199">
      <c r="A199" s="313">
        <v>198.0</v>
      </c>
      <c r="B199" s="320"/>
      <c r="C199" s="314" t="s">
        <v>919</v>
      </c>
      <c r="D199" s="313" t="s">
        <v>277</v>
      </c>
      <c r="E199" s="313" t="s">
        <v>308</v>
      </c>
      <c r="F199" s="313">
        <v>64.0</v>
      </c>
      <c r="G199" s="313">
        <v>20.4</v>
      </c>
      <c r="H199" s="313" t="s">
        <v>920</v>
      </c>
      <c r="I199" s="313" t="s">
        <v>921</v>
      </c>
      <c r="J199" s="313">
        <v>0.6</v>
      </c>
      <c r="K199" s="313">
        <v>7.2</v>
      </c>
      <c r="L199" s="313">
        <v>3.2</v>
      </c>
      <c r="M199" s="313">
        <v>4.2</v>
      </c>
      <c r="N199" s="313">
        <v>1.0</v>
      </c>
      <c r="O199" s="313">
        <v>0.4</v>
      </c>
      <c r="P199" s="313">
        <v>1.3</v>
      </c>
      <c r="Q199" s="313">
        <v>-1.84</v>
      </c>
    </row>
    <row r="200">
      <c r="A200" s="313">
        <v>199.0</v>
      </c>
      <c r="B200" s="313">
        <v>139.1</v>
      </c>
      <c r="C200" s="314" t="s">
        <v>922</v>
      </c>
      <c r="D200" s="313" t="s">
        <v>364</v>
      </c>
      <c r="E200" s="313" t="s">
        <v>449</v>
      </c>
      <c r="F200" s="313">
        <v>78.0</v>
      </c>
      <c r="G200" s="313">
        <v>27.2</v>
      </c>
      <c r="H200" s="313" t="s">
        <v>923</v>
      </c>
      <c r="I200" s="313" t="s">
        <v>924</v>
      </c>
      <c r="J200" s="313">
        <v>1.1</v>
      </c>
      <c r="K200" s="313">
        <v>10.2</v>
      </c>
      <c r="L200" s="313">
        <v>2.8</v>
      </c>
      <c r="M200" s="313">
        <v>2.8</v>
      </c>
      <c r="N200" s="313">
        <v>0.8</v>
      </c>
      <c r="O200" s="313">
        <v>0.4</v>
      </c>
      <c r="P200" s="313">
        <v>1.3</v>
      </c>
      <c r="Q200" s="313">
        <v>-1.88</v>
      </c>
    </row>
    <row r="201">
      <c r="A201" s="313">
        <v>200.0</v>
      </c>
      <c r="B201" s="313">
        <v>143.0</v>
      </c>
      <c r="C201" s="314" t="s">
        <v>925</v>
      </c>
      <c r="D201" s="313" t="s">
        <v>364</v>
      </c>
      <c r="E201" s="313" t="s">
        <v>295</v>
      </c>
      <c r="F201" s="313">
        <v>68.0</v>
      </c>
      <c r="G201" s="313">
        <v>29.0</v>
      </c>
      <c r="H201" s="313" t="s">
        <v>926</v>
      </c>
      <c r="I201" s="313" t="s">
        <v>927</v>
      </c>
      <c r="J201" s="313">
        <v>1.4</v>
      </c>
      <c r="K201" s="313">
        <v>16.8</v>
      </c>
      <c r="L201" s="313">
        <v>4.3</v>
      </c>
      <c r="M201" s="313">
        <v>1.8</v>
      </c>
      <c r="N201" s="313">
        <v>0.7</v>
      </c>
      <c r="O201" s="313">
        <v>0.2</v>
      </c>
      <c r="P201" s="313">
        <v>1.9</v>
      </c>
      <c r="Q201" s="313">
        <v>-1.89</v>
      </c>
    </row>
    <row r="202">
      <c r="A202" s="313">
        <v>201.0</v>
      </c>
      <c r="B202" s="320"/>
      <c r="C202" s="314" t="s">
        <v>928</v>
      </c>
      <c r="D202" s="313" t="s">
        <v>364</v>
      </c>
      <c r="E202" s="313" t="s">
        <v>342</v>
      </c>
      <c r="F202" s="313">
        <v>64.0</v>
      </c>
      <c r="G202" s="313">
        <v>28.9</v>
      </c>
      <c r="H202" s="313" t="s">
        <v>929</v>
      </c>
      <c r="I202" s="313" t="s">
        <v>930</v>
      </c>
      <c r="J202" s="313">
        <v>1.6</v>
      </c>
      <c r="K202" s="313">
        <v>11.0</v>
      </c>
      <c r="L202" s="313">
        <v>3.6</v>
      </c>
      <c r="M202" s="313">
        <v>2.3</v>
      </c>
      <c r="N202" s="313">
        <v>1.0</v>
      </c>
      <c r="O202" s="313">
        <v>0.3</v>
      </c>
      <c r="P202" s="313">
        <v>1.3</v>
      </c>
      <c r="Q202" s="313">
        <v>-1.97</v>
      </c>
    </row>
    <row r="203">
      <c r="A203" s="313">
        <v>202.0</v>
      </c>
      <c r="B203" s="320"/>
      <c r="C203" s="314" t="s">
        <v>931</v>
      </c>
      <c r="D203" s="313" t="s">
        <v>303</v>
      </c>
      <c r="E203" s="313" t="s">
        <v>269</v>
      </c>
      <c r="F203" s="313">
        <v>78.0</v>
      </c>
      <c r="G203" s="313">
        <v>24.5</v>
      </c>
      <c r="H203" s="313" t="s">
        <v>932</v>
      </c>
      <c r="I203" s="313" t="s">
        <v>933</v>
      </c>
      <c r="J203" s="313">
        <v>0.8</v>
      </c>
      <c r="K203" s="313">
        <v>9.5</v>
      </c>
      <c r="L203" s="313">
        <v>4.6</v>
      </c>
      <c r="M203" s="313">
        <v>1.5</v>
      </c>
      <c r="N203" s="313">
        <v>0.7</v>
      </c>
      <c r="O203" s="313">
        <v>1.5</v>
      </c>
      <c r="P203" s="313">
        <v>1.0</v>
      </c>
      <c r="Q203" s="313">
        <v>-1.97</v>
      </c>
    </row>
    <row r="204">
      <c r="A204" s="313">
        <v>203.0</v>
      </c>
      <c r="B204" s="320"/>
      <c r="C204" s="314" t="s">
        <v>934</v>
      </c>
      <c r="D204" s="313" t="s">
        <v>97</v>
      </c>
      <c r="E204" s="313" t="s">
        <v>414</v>
      </c>
      <c r="F204" s="313">
        <v>67.0</v>
      </c>
      <c r="G204" s="313">
        <v>22.0</v>
      </c>
      <c r="H204" s="313" t="s">
        <v>935</v>
      </c>
      <c r="I204" s="313" t="s">
        <v>936</v>
      </c>
      <c r="J204" s="313">
        <v>0.6</v>
      </c>
      <c r="K204" s="313">
        <v>8.5</v>
      </c>
      <c r="L204" s="313">
        <v>5.2</v>
      </c>
      <c r="M204" s="313">
        <v>1.4</v>
      </c>
      <c r="N204" s="313">
        <v>0.5</v>
      </c>
      <c r="O204" s="313">
        <v>1.0</v>
      </c>
      <c r="P204" s="313">
        <v>0.9</v>
      </c>
      <c r="Q204" s="313">
        <v>-2.02</v>
      </c>
    </row>
    <row r="205">
      <c r="A205" s="313">
        <v>204.0</v>
      </c>
      <c r="B205" s="320"/>
      <c r="C205" s="314" t="s">
        <v>937</v>
      </c>
      <c r="D205" s="313" t="s">
        <v>364</v>
      </c>
      <c r="E205" s="313" t="s">
        <v>365</v>
      </c>
      <c r="F205" s="313">
        <v>74.0</v>
      </c>
      <c r="G205" s="313">
        <v>25.8</v>
      </c>
      <c r="H205" s="313" t="s">
        <v>938</v>
      </c>
      <c r="I205" s="313" t="s">
        <v>939</v>
      </c>
      <c r="J205" s="313">
        <v>1.8</v>
      </c>
      <c r="K205" s="313">
        <v>9.5</v>
      </c>
      <c r="L205" s="313">
        <v>2.5</v>
      </c>
      <c r="M205" s="313">
        <v>2.9</v>
      </c>
      <c r="N205" s="313">
        <v>0.9</v>
      </c>
      <c r="O205" s="313">
        <v>0.6</v>
      </c>
      <c r="P205" s="313">
        <v>1.2</v>
      </c>
      <c r="Q205" s="313">
        <v>-2.07</v>
      </c>
    </row>
    <row r="206">
      <c r="A206" s="313">
        <v>205.0</v>
      </c>
      <c r="B206" s="320"/>
      <c r="C206" s="314" t="s">
        <v>940</v>
      </c>
      <c r="D206" s="313" t="s">
        <v>282</v>
      </c>
      <c r="E206" s="313" t="s">
        <v>295</v>
      </c>
      <c r="F206" s="313">
        <v>60.0</v>
      </c>
      <c r="G206" s="313">
        <v>16.5</v>
      </c>
      <c r="H206" s="313" t="s">
        <v>941</v>
      </c>
      <c r="I206" s="313" t="s">
        <v>942</v>
      </c>
      <c r="J206" s="313">
        <v>0.0</v>
      </c>
      <c r="K206" s="313">
        <v>7.7</v>
      </c>
      <c r="L206" s="313">
        <v>4.8</v>
      </c>
      <c r="M206" s="313">
        <v>0.9</v>
      </c>
      <c r="N206" s="313">
        <v>0.6</v>
      </c>
      <c r="O206" s="313">
        <v>1.4</v>
      </c>
      <c r="P206" s="313">
        <v>0.8</v>
      </c>
      <c r="Q206" s="313">
        <v>-2.14</v>
      </c>
    </row>
    <row r="207">
      <c r="A207" s="313">
        <v>206.0</v>
      </c>
      <c r="B207" s="313">
        <v>146.0</v>
      </c>
      <c r="C207" s="314" t="s">
        <v>943</v>
      </c>
      <c r="D207" s="313" t="s">
        <v>303</v>
      </c>
      <c r="E207" s="313" t="s">
        <v>304</v>
      </c>
      <c r="F207" s="313">
        <v>80.0</v>
      </c>
      <c r="G207" s="313">
        <v>23.5</v>
      </c>
      <c r="H207" s="313" t="s">
        <v>944</v>
      </c>
      <c r="I207" s="313" t="s">
        <v>945</v>
      </c>
      <c r="J207" s="313">
        <v>2.6</v>
      </c>
      <c r="K207" s="313">
        <v>9.6</v>
      </c>
      <c r="L207" s="313">
        <v>3.8</v>
      </c>
      <c r="M207" s="313">
        <v>1.2</v>
      </c>
      <c r="N207" s="313">
        <v>0.5</v>
      </c>
      <c r="O207" s="313">
        <v>0.4</v>
      </c>
      <c r="P207" s="313">
        <v>0.5</v>
      </c>
      <c r="Q207" s="313">
        <v>-2.2</v>
      </c>
    </row>
    <row r="208">
      <c r="A208" s="313">
        <v>207.0</v>
      </c>
      <c r="B208" s="320"/>
      <c r="C208" s="314" t="s">
        <v>946</v>
      </c>
      <c r="D208" s="313" t="s">
        <v>364</v>
      </c>
      <c r="E208" s="313" t="s">
        <v>287</v>
      </c>
      <c r="F208" s="313">
        <v>68.0</v>
      </c>
      <c r="G208" s="313">
        <v>27.6</v>
      </c>
      <c r="H208" s="313" t="s">
        <v>947</v>
      </c>
      <c r="I208" s="313" t="s">
        <v>948</v>
      </c>
      <c r="J208" s="313">
        <v>2.0</v>
      </c>
      <c r="K208" s="313">
        <v>11.6</v>
      </c>
      <c r="L208" s="313">
        <v>1.9</v>
      </c>
      <c r="M208" s="313">
        <v>2.3</v>
      </c>
      <c r="N208" s="313">
        <v>0.8</v>
      </c>
      <c r="O208" s="313">
        <v>0.4</v>
      </c>
      <c r="P208" s="313">
        <v>1.3</v>
      </c>
      <c r="Q208" s="313">
        <v>-2.24</v>
      </c>
    </row>
    <row r="209">
      <c r="A209" s="313">
        <v>208.0</v>
      </c>
      <c r="B209" s="313">
        <v>146.5</v>
      </c>
      <c r="C209" s="314" t="s">
        <v>949</v>
      </c>
      <c r="D209" s="313" t="s">
        <v>303</v>
      </c>
      <c r="E209" s="313" t="s">
        <v>299</v>
      </c>
      <c r="F209" s="313">
        <v>60.0</v>
      </c>
      <c r="G209" s="313">
        <v>27.4</v>
      </c>
      <c r="H209" s="313" t="s">
        <v>950</v>
      </c>
      <c r="I209" s="313" t="s">
        <v>951</v>
      </c>
      <c r="J209" s="313">
        <v>1.6</v>
      </c>
      <c r="K209" s="313">
        <v>14.3</v>
      </c>
      <c r="L209" s="313">
        <v>3.8</v>
      </c>
      <c r="M209" s="313">
        <v>1.4</v>
      </c>
      <c r="N209" s="313">
        <v>0.6</v>
      </c>
      <c r="O209" s="313">
        <v>0.3</v>
      </c>
      <c r="P209" s="313">
        <v>1.2</v>
      </c>
      <c r="Q209" s="313">
        <v>-2.26</v>
      </c>
    </row>
    <row r="210">
      <c r="A210" s="313">
        <v>209.0</v>
      </c>
      <c r="B210" s="320"/>
      <c r="C210" s="314" t="s">
        <v>952</v>
      </c>
      <c r="D210" s="313" t="s">
        <v>277</v>
      </c>
      <c r="E210" s="313" t="s">
        <v>273</v>
      </c>
      <c r="F210" s="313">
        <v>78.0</v>
      </c>
      <c r="G210" s="313">
        <v>22.1</v>
      </c>
      <c r="H210" s="313" t="s">
        <v>953</v>
      </c>
      <c r="I210" s="313" t="s">
        <v>954</v>
      </c>
      <c r="J210" s="313">
        <v>1.3</v>
      </c>
      <c r="K210" s="313">
        <v>7.4</v>
      </c>
      <c r="L210" s="313">
        <v>2.5</v>
      </c>
      <c r="M210" s="313">
        <v>1.6</v>
      </c>
      <c r="N210" s="313">
        <v>1.0</v>
      </c>
      <c r="O210" s="313">
        <v>0.5</v>
      </c>
      <c r="P210" s="313">
        <v>0.6</v>
      </c>
      <c r="Q210" s="313">
        <v>-2.35</v>
      </c>
    </row>
    <row r="211">
      <c r="A211" s="313">
        <v>210.0</v>
      </c>
      <c r="B211" s="320"/>
      <c r="C211" s="314" t="s">
        <v>955</v>
      </c>
      <c r="D211" s="313" t="s">
        <v>303</v>
      </c>
      <c r="E211" s="313" t="s">
        <v>308</v>
      </c>
      <c r="F211" s="313">
        <v>62.0</v>
      </c>
      <c r="G211" s="313">
        <v>24.8</v>
      </c>
      <c r="H211" s="313" t="s">
        <v>956</v>
      </c>
      <c r="I211" s="313" t="s">
        <v>957</v>
      </c>
      <c r="J211" s="313">
        <v>1.5</v>
      </c>
      <c r="K211" s="313">
        <v>6.2</v>
      </c>
      <c r="L211" s="313">
        <v>4.2</v>
      </c>
      <c r="M211" s="313">
        <v>1.9</v>
      </c>
      <c r="N211" s="313">
        <v>0.8</v>
      </c>
      <c r="O211" s="313">
        <v>0.6</v>
      </c>
      <c r="P211" s="313">
        <v>0.7</v>
      </c>
      <c r="Q211" s="313">
        <v>-2.44</v>
      </c>
    </row>
    <row r="212">
      <c r="A212" s="313">
        <v>211.0</v>
      </c>
      <c r="B212" s="313">
        <v>142.2</v>
      </c>
      <c r="C212" s="314" t="s">
        <v>958</v>
      </c>
      <c r="D212" s="313" t="s">
        <v>303</v>
      </c>
      <c r="E212" s="313" t="s">
        <v>265</v>
      </c>
      <c r="F212" s="313">
        <v>80.0</v>
      </c>
      <c r="G212" s="313">
        <v>27.3</v>
      </c>
      <c r="H212" s="313" t="s">
        <v>959</v>
      </c>
      <c r="I212" s="313" t="s">
        <v>960</v>
      </c>
      <c r="J212" s="313">
        <v>1.5</v>
      </c>
      <c r="K212" s="313">
        <v>12.2</v>
      </c>
      <c r="L212" s="313">
        <v>3.4</v>
      </c>
      <c r="M212" s="313">
        <v>1.2</v>
      </c>
      <c r="N212" s="313">
        <v>0.6</v>
      </c>
      <c r="O212" s="313">
        <v>0.1</v>
      </c>
      <c r="P212" s="313">
        <v>0.8</v>
      </c>
      <c r="Q212" s="313">
        <v>-2.52</v>
      </c>
    </row>
    <row r="213">
      <c r="A213" s="313">
        <v>212.0</v>
      </c>
      <c r="B213" s="320"/>
      <c r="C213" s="314" t="s">
        <v>961</v>
      </c>
      <c r="D213" s="313" t="s">
        <v>97</v>
      </c>
      <c r="E213" s="313" t="s">
        <v>299</v>
      </c>
      <c r="F213" s="313">
        <v>59.0</v>
      </c>
      <c r="G213" s="313">
        <v>18.6</v>
      </c>
      <c r="H213" s="313" t="s">
        <v>962</v>
      </c>
      <c r="I213" s="313" t="s">
        <v>963</v>
      </c>
      <c r="J213" s="313">
        <v>0.3</v>
      </c>
      <c r="K213" s="313">
        <v>5.9</v>
      </c>
      <c r="L213" s="313">
        <v>4.9</v>
      </c>
      <c r="M213" s="313">
        <v>1.7</v>
      </c>
      <c r="N213" s="313">
        <v>0.9</v>
      </c>
      <c r="O213" s="313">
        <v>0.4</v>
      </c>
      <c r="P213" s="313">
        <v>0.7</v>
      </c>
      <c r="Q213" s="313">
        <v>-2.52</v>
      </c>
    </row>
    <row r="214">
      <c r="A214" s="313">
        <v>213.0</v>
      </c>
      <c r="B214" s="313">
        <v>143.0</v>
      </c>
      <c r="C214" s="314" t="s">
        <v>964</v>
      </c>
      <c r="D214" s="313" t="s">
        <v>85</v>
      </c>
      <c r="E214" s="313" t="s">
        <v>304</v>
      </c>
      <c r="F214" s="313">
        <v>74.0</v>
      </c>
      <c r="G214" s="313">
        <v>24.3</v>
      </c>
      <c r="H214" s="313" t="s">
        <v>965</v>
      </c>
      <c r="I214" s="313" t="s">
        <v>966</v>
      </c>
      <c r="J214" s="313">
        <v>2.0</v>
      </c>
      <c r="K214" s="313">
        <v>10.5</v>
      </c>
      <c r="L214" s="313">
        <v>3.5</v>
      </c>
      <c r="M214" s="313">
        <v>3.4</v>
      </c>
      <c r="N214" s="313">
        <v>0.5</v>
      </c>
      <c r="O214" s="313">
        <v>0.1</v>
      </c>
      <c r="P214" s="313">
        <v>1.0</v>
      </c>
      <c r="Q214" s="313">
        <v>-2.54</v>
      </c>
    </row>
    <row r="215">
      <c r="A215" s="313">
        <v>214.0</v>
      </c>
      <c r="B215" s="313">
        <v>140.4</v>
      </c>
      <c r="C215" s="314" t="s">
        <v>967</v>
      </c>
      <c r="D215" s="313" t="s">
        <v>92</v>
      </c>
      <c r="E215" s="313" t="s">
        <v>295</v>
      </c>
      <c r="F215" s="313">
        <v>68.0</v>
      </c>
      <c r="G215" s="313">
        <v>20.6</v>
      </c>
      <c r="H215" s="313" t="s">
        <v>968</v>
      </c>
      <c r="I215" s="313" t="s">
        <v>969</v>
      </c>
      <c r="J215" s="313">
        <v>1.4</v>
      </c>
      <c r="K215" s="313">
        <v>9.7</v>
      </c>
      <c r="L215" s="313">
        <v>3.7</v>
      </c>
      <c r="M215" s="313">
        <v>1.4</v>
      </c>
      <c r="N215" s="313">
        <v>0.5</v>
      </c>
      <c r="O215" s="313">
        <v>0.4</v>
      </c>
      <c r="P215" s="313">
        <v>0.8</v>
      </c>
      <c r="Q215" s="313">
        <v>-2.57</v>
      </c>
    </row>
    <row r="216">
      <c r="A216" s="313">
        <v>215.0</v>
      </c>
      <c r="B216" s="313">
        <v>140.0</v>
      </c>
      <c r="C216" s="314" t="s">
        <v>970</v>
      </c>
      <c r="D216" s="313" t="s">
        <v>97</v>
      </c>
      <c r="E216" s="313" t="s">
        <v>442</v>
      </c>
      <c r="F216" s="313">
        <v>67.0</v>
      </c>
      <c r="G216" s="313">
        <v>17.5</v>
      </c>
      <c r="H216" s="313" t="s">
        <v>971</v>
      </c>
      <c r="I216" s="313" t="s">
        <v>972</v>
      </c>
      <c r="J216" s="313">
        <v>0.6</v>
      </c>
      <c r="K216" s="313">
        <v>10.3</v>
      </c>
      <c r="L216" s="313">
        <v>4.2</v>
      </c>
      <c r="M216" s="313">
        <v>1.3</v>
      </c>
      <c r="N216" s="313">
        <v>0.5</v>
      </c>
      <c r="O216" s="313">
        <v>0.2</v>
      </c>
      <c r="P216" s="313">
        <v>1.2</v>
      </c>
      <c r="Q216" s="313">
        <v>-2.59</v>
      </c>
    </row>
    <row r="217">
      <c r="A217" s="313">
        <v>216.0</v>
      </c>
      <c r="B217" s="320"/>
      <c r="C217" s="314" t="s">
        <v>973</v>
      </c>
      <c r="D217" s="313" t="s">
        <v>282</v>
      </c>
      <c r="E217" s="313" t="s">
        <v>379</v>
      </c>
      <c r="F217" s="313">
        <v>64.0</v>
      </c>
      <c r="G217" s="313">
        <v>22.8</v>
      </c>
      <c r="H217" s="313" t="s">
        <v>974</v>
      </c>
      <c r="I217" s="313" t="s">
        <v>975</v>
      </c>
      <c r="J217" s="313">
        <v>1.4</v>
      </c>
      <c r="K217" s="313">
        <v>9.4</v>
      </c>
      <c r="L217" s="313">
        <v>5.1</v>
      </c>
      <c r="M217" s="313">
        <v>1.6</v>
      </c>
      <c r="N217" s="313">
        <v>0.6</v>
      </c>
      <c r="O217" s="313">
        <v>0.7</v>
      </c>
      <c r="P217" s="313">
        <v>0.9</v>
      </c>
      <c r="Q217" s="313">
        <v>-2.66</v>
      </c>
    </row>
    <row r="218">
      <c r="A218" s="313">
        <v>217.0</v>
      </c>
      <c r="B218" s="320"/>
      <c r="C218" s="314" t="s">
        <v>976</v>
      </c>
      <c r="D218" s="313" t="s">
        <v>364</v>
      </c>
      <c r="E218" s="313" t="s">
        <v>465</v>
      </c>
      <c r="F218" s="313">
        <v>63.0</v>
      </c>
      <c r="G218" s="313">
        <v>20.0</v>
      </c>
      <c r="H218" s="313" t="s">
        <v>977</v>
      </c>
      <c r="I218" s="313" t="s">
        <v>978</v>
      </c>
      <c r="J218" s="313">
        <v>1.0</v>
      </c>
      <c r="K218" s="313">
        <v>4.9</v>
      </c>
      <c r="L218" s="313">
        <v>2.1</v>
      </c>
      <c r="M218" s="313">
        <v>1.1</v>
      </c>
      <c r="N218" s="313">
        <v>1.5</v>
      </c>
      <c r="O218" s="313">
        <v>0.6</v>
      </c>
      <c r="P218" s="313">
        <v>0.5</v>
      </c>
      <c r="Q218" s="313">
        <v>-2.72</v>
      </c>
    </row>
    <row r="219">
      <c r="A219" s="313">
        <v>218.0</v>
      </c>
      <c r="B219" s="320"/>
      <c r="C219" s="314" t="s">
        <v>979</v>
      </c>
      <c r="D219" s="313" t="s">
        <v>97</v>
      </c>
      <c r="E219" s="313" t="s">
        <v>465</v>
      </c>
      <c r="F219" s="313">
        <v>38.0</v>
      </c>
      <c r="G219" s="313">
        <v>15.4</v>
      </c>
      <c r="H219" s="313" t="s">
        <v>980</v>
      </c>
      <c r="I219" s="313" t="s">
        <v>981</v>
      </c>
      <c r="J219" s="313">
        <v>0.0</v>
      </c>
      <c r="K219" s="313">
        <v>5.3</v>
      </c>
      <c r="L219" s="313">
        <v>5.5</v>
      </c>
      <c r="M219" s="313">
        <v>0.9</v>
      </c>
      <c r="N219" s="313">
        <v>0.5</v>
      </c>
      <c r="O219" s="313">
        <v>0.9</v>
      </c>
      <c r="P219" s="313">
        <v>0.7</v>
      </c>
      <c r="Q219" s="313">
        <v>-2.73</v>
      </c>
    </row>
    <row r="220">
      <c r="A220" s="313">
        <v>219.0</v>
      </c>
      <c r="B220" s="320"/>
      <c r="C220" s="314" t="s">
        <v>982</v>
      </c>
      <c r="D220" s="313" t="s">
        <v>364</v>
      </c>
      <c r="E220" s="313" t="s">
        <v>291</v>
      </c>
      <c r="F220" s="313">
        <v>68.0</v>
      </c>
      <c r="G220" s="313">
        <v>27.1</v>
      </c>
      <c r="H220" s="313" t="s">
        <v>983</v>
      </c>
      <c r="I220" s="313" t="s">
        <v>984</v>
      </c>
      <c r="J220" s="313">
        <v>1.8</v>
      </c>
      <c r="K220" s="313">
        <v>9.8</v>
      </c>
      <c r="L220" s="313">
        <v>3.0</v>
      </c>
      <c r="M220" s="313">
        <v>1.7</v>
      </c>
      <c r="N220" s="313">
        <v>0.7</v>
      </c>
      <c r="O220" s="313">
        <v>0.4</v>
      </c>
      <c r="P220" s="313">
        <v>1.2</v>
      </c>
      <c r="Q220" s="313">
        <v>-2.79</v>
      </c>
    </row>
    <row r="221">
      <c r="A221" s="313">
        <v>220.0</v>
      </c>
      <c r="B221" s="320"/>
      <c r="C221" s="314" t="s">
        <v>985</v>
      </c>
      <c r="D221" s="313" t="s">
        <v>277</v>
      </c>
      <c r="E221" s="313" t="s">
        <v>278</v>
      </c>
      <c r="F221" s="313">
        <v>74.0</v>
      </c>
      <c r="G221" s="313">
        <v>24.2</v>
      </c>
      <c r="H221" s="313" t="s">
        <v>986</v>
      </c>
      <c r="I221" s="313" t="s">
        <v>416</v>
      </c>
      <c r="J221" s="313">
        <v>1.5</v>
      </c>
      <c r="K221" s="313">
        <v>10.9</v>
      </c>
      <c r="L221" s="313">
        <v>2.4</v>
      </c>
      <c r="M221" s="313">
        <v>4.4</v>
      </c>
      <c r="N221" s="313">
        <v>0.6</v>
      </c>
      <c r="O221" s="313">
        <v>0.2</v>
      </c>
      <c r="P221" s="313">
        <v>1.2</v>
      </c>
      <c r="Q221" s="313">
        <v>-2.8</v>
      </c>
    </row>
    <row r="222">
      <c r="A222" s="313">
        <v>221.0</v>
      </c>
      <c r="B222" s="313">
        <v>138.6</v>
      </c>
      <c r="C222" s="314" t="s">
        <v>987</v>
      </c>
      <c r="D222" s="313" t="s">
        <v>364</v>
      </c>
      <c r="E222" s="313" t="s">
        <v>386</v>
      </c>
      <c r="F222" s="313">
        <v>70.0</v>
      </c>
      <c r="G222" s="313">
        <v>29.0</v>
      </c>
      <c r="H222" s="313" t="s">
        <v>988</v>
      </c>
      <c r="I222" s="313" t="s">
        <v>989</v>
      </c>
      <c r="J222" s="313">
        <v>1.8</v>
      </c>
      <c r="K222" s="313">
        <v>13.0</v>
      </c>
      <c r="L222" s="313">
        <v>3.2</v>
      </c>
      <c r="M222" s="313">
        <v>2.0</v>
      </c>
      <c r="N222" s="313">
        <v>0.9</v>
      </c>
      <c r="O222" s="313">
        <v>0.2</v>
      </c>
      <c r="P222" s="313">
        <v>1.3</v>
      </c>
      <c r="Q222" s="313">
        <v>-2.82</v>
      </c>
    </row>
    <row r="223">
      <c r="A223" s="313">
        <v>222.0</v>
      </c>
      <c r="B223" s="320"/>
      <c r="C223" s="314" t="s">
        <v>990</v>
      </c>
      <c r="D223" s="313" t="s">
        <v>364</v>
      </c>
      <c r="E223" s="313" t="s">
        <v>379</v>
      </c>
      <c r="F223" s="313">
        <v>64.0</v>
      </c>
      <c r="G223" s="313">
        <v>20.7</v>
      </c>
      <c r="H223" s="313" t="s">
        <v>991</v>
      </c>
      <c r="I223" s="313" t="s">
        <v>992</v>
      </c>
      <c r="J223" s="313">
        <v>0.8</v>
      </c>
      <c r="K223" s="313">
        <v>4.7</v>
      </c>
      <c r="L223" s="313">
        <v>4.4</v>
      </c>
      <c r="M223" s="313">
        <v>1.7</v>
      </c>
      <c r="N223" s="313">
        <v>1.0</v>
      </c>
      <c r="O223" s="313">
        <v>0.6</v>
      </c>
      <c r="P223" s="313">
        <v>0.7</v>
      </c>
      <c r="Q223" s="313">
        <v>-2.83</v>
      </c>
    </row>
    <row r="224">
      <c r="A224" s="313">
        <v>223.0</v>
      </c>
      <c r="B224" s="320"/>
      <c r="C224" s="314" t="s">
        <v>993</v>
      </c>
      <c r="D224" s="313" t="s">
        <v>303</v>
      </c>
      <c r="E224" s="313" t="s">
        <v>324</v>
      </c>
      <c r="F224" s="313">
        <v>76.0</v>
      </c>
      <c r="G224" s="313">
        <v>24.2</v>
      </c>
      <c r="H224" s="313" t="s">
        <v>994</v>
      </c>
      <c r="I224" s="313" t="s">
        <v>995</v>
      </c>
      <c r="J224" s="313">
        <v>1.8</v>
      </c>
      <c r="K224" s="313">
        <v>7.2</v>
      </c>
      <c r="L224" s="313">
        <v>4.3</v>
      </c>
      <c r="M224" s="313">
        <v>2.8</v>
      </c>
      <c r="N224" s="313">
        <v>0.7</v>
      </c>
      <c r="O224" s="313">
        <v>0.5</v>
      </c>
      <c r="P224" s="313">
        <v>1.1</v>
      </c>
      <c r="Q224" s="313">
        <v>-2.86</v>
      </c>
    </row>
    <row r="225">
      <c r="A225" s="313">
        <v>224.0</v>
      </c>
      <c r="B225" s="313">
        <v>142.2</v>
      </c>
      <c r="C225" s="314" t="s">
        <v>996</v>
      </c>
      <c r="D225" s="313" t="s">
        <v>303</v>
      </c>
      <c r="E225" s="313" t="s">
        <v>312</v>
      </c>
      <c r="F225" s="313">
        <v>69.0</v>
      </c>
      <c r="G225" s="313">
        <v>20.5</v>
      </c>
      <c r="H225" s="313" t="s">
        <v>997</v>
      </c>
      <c r="I225" s="313" t="s">
        <v>998</v>
      </c>
      <c r="J225" s="313">
        <v>0.3</v>
      </c>
      <c r="K225" s="313">
        <v>6.4</v>
      </c>
      <c r="L225" s="313">
        <v>3.6</v>
      </c>
      <c r="M225" s="313">
        <v>3.7</v>
      </c>
      <c r="N225" s="313">
        <v>0.8</v>
      </c>
      <c r="O225" s="313">
        <v>0.6</v>
      </c>
      <c r="P225" s="313">
        <v>1.1</v>
      </c>
      <c r="Q225" s="313">
        <v>-2.87</v>
      </c>
    </row>
    <row r="226">
      <c r="A226" s="313">
        <v>225.0</v>
      </c>
      <c r="B226" s="320"/>
      <c r="C226" s="314" t="s">
        <v>999</v>
      </c>
      <c r="D226" s="313" t="s">
        <v>97</v>
      </c>
      <c r="E226" s="313" t="s">
        <v>304</v>
      </c>
      <c r="F226" s="313">
        <v>67.0</v>
      </c>
      <c r="G226" s="313">
        <v>15.6</v>
      </c>
      <c r="H226" s="313" t="s">
        <v>1000</v>
      </c>
      <c r="I226" s="313" t="s">
        <v>1001</v>
      </c>
      <c r="J226" s="313">
        <v>0.0</v>
      </c>
      <c r="K226" s="313">
        <v>5.3</v>
      </c>
      <c r="L226" s="313">
        <v>4.0</v>
      </c>
      <c r="M226" s="313">
        <v>1.1</v>
      </c>
      <c r="N226" s="313">
        <v>0.3</v>
      </c>
      <c r="O226" s="313">
        <v>0.9</v>
      </c>
      <c r="P226" s="313">
        <v>0.4</v>
      </c>
      <c r="Q226" s="313">
        <v>-2.96</v>
      </c>
    </row>
    <row r="227">
      <c r="A227" s="313">
        <v>226.0</v>
      </c>
      <c r="B227" s="313">
        <v>144.4</v>
      </c>
      <c r="C227" s="314" t="s">
        <v>1002</v>
      </c>
      <c r="D227" s="313" t="s">
        <v>303</v>
      </c>
      <c r="E227" s="313" t="s">
        <v>495</v>
      </c>
      <c r="F227" s="313">
        <v>62.0</v>
      </c>
      <c r="G227" s="313">
        <v>26.9</v>
      </c>
      <c r="H227" s="313" t="s">
        <v>1003</v>
      </c>
      <c r="I227" s="313" t="s">
        <v>359</v>
      </c>
      <c r="J227" s="313">
        <v>2.2</v>
      </c>
      <c r="K227" s="313">
        <v>16.5</v>
      </c>
      <c r="L227" s="313">
        <v>2.9</v>
      </c>
      <c r="M227" s="313">
        <v>1.9</v>
      </c>
      <c r="N227" s="313">
        <v>0.5</v>
      </c>
      <c r="O227" s="313">
        <v>0.1</v>
      </c>
      <c r="P227" s="313">
        <v>1.8</v>
      </c>
      <c r="Q227" s="313">
        <v>-2.96</v>
      </c>
    </row>
    <row r="228">
      <c r="A228" s="313">
        <v>227.0</v>
      </c>
      <c r="B228" s="320"/>
      <c r="C228" s="314" t="s">
        <v>1004</v>
      </c>
      <c r="D228" s="313" t="s">
        <v>97</v>
      </c>
      <c r="E228" s="313" t="s">
        <v>495</v>
      </c>
      <c r="F228" s="313">
        <v>64.0</v>
      </c>
      <c r="G228" s="313">
        <v>18.0</v>
      </c>
      <c r="H228" s="313" t="s">
        <v>1005</v>
      </c>
      <c r="I228" s="313" t="s">
        <v>1006</v>
      </c>
      <c r="J228" s="313">
        <v>0.1</v>
      </c>
      <c r="K228" s="313">
        <v>8.0</v>
      </c>
      <c r="L228" s="313">
        <v>7.3</v>
      </c>
      <c r="M228" s="313">
        <v>1.5</v>
      </c>
      <c r="N228" s="313">
        <v>0.5</v>
      </c>
      <c r="O228" s="313">
        <v>0.9</v>
      </c>
      <c r="P228" s="313">
        <v>1.4</v>
      </c>
      <c r="Q228" s="313">
        <v>-2.99</v>
      </c>
    </row>
    <row r="229">
      <c r="A229" s="313">
        <v>228.0</v>
      </c>
      <c r="B229" s="320"/>
      <c r="C229" s="314" t="s">
        <v>1007</v>
      </c>
      <c r="D229" s="313" t="s">
        <v>303</v>
      </c>
      <c r="E229" s="313" t="s">
        <v>317</v>
      </c>
      <c r="F229" s="313">
        <v>71.0</v>
      </c>
      <c r="G229" s="313">
        <v>27.0</v>
      </c>
      <c r="H229" s="313" t="s">
        <v>1008</v>
      </c>
      <c r="I229" s="313" t="s">
        <v>1009</v>
      </c>
      <c r="J229" s="313">
        <v>1.1</v>
      </c>
      <c r="K229" s="313">
        <v>8.8</v>
      </c>
      <c r="L229" s="313">
        <v>3.0</v>
      </c>
      <c r="M229" s="313">
        <v>1.7</v>
      </c>
      <c r="N229" s="313">
        <v>0.9</v>
      </c>
      <c r="O229" s="313">
        <v>0.5</v>
      </c>
      <c r="P229" s="313">
        <v>0.7</v>
      </c>
      <c r="Q229" s="313">
        <v>-2.99</v>
      </c>
    </row>
    <row r="230">
      <c r="A230" s="313">
        <v>229.0</v>
      </c>
      <c r="B230" s="320"/>
      <c r="C230" s="314" t="s">
        <v>1010</v>
      </c>
      <c r="D230" s="313" t="s">
        <v>277</v>
      </c>
      <c r="E230" s="313" t="s">
        <v>291</v>
      </c>
      <c r="F230" s="313">
        <v>62.0</v>
      </c>
      <c r="G230" s="313">
        <v>16.8</v>
      </c>
      <c r="H230" s="313" t="s">
        <v>1011</v>
      </c>
      <c r="I230" s="313" t="s">
        <v>1012</v>
      </c>
      <c r="J230" s="313">
        <v>0.6</v>
      </c>
      <c r="K230" s="313">
        <v>5.0</v>
      </c>
      <c r="L230" s="313">
        <v>2.3</v>
      </c>
      <c r="M230" s="313">
        <v>2.7</v>
      </c>
      <c r="N230" s="313">
        <v>1.3</v>
      </c>
      <c r="O230" s="313">
        <v>0.2</v>
      </c>
      <c r="P230" s="313">
        <v>0.5</v>
      </c>
      <c r="Q230" s="313">
        <v>-2.99</v>
      </c>
    </row>
    <row r="231">
      <c r="A231" s="313">
        <v>230.0</v>
      </c>
      <c r="B231" s="313">
        <v>143.8</v>
      </c>
      <c r="C231" s="314" t="s">
        <v>1013</v>
      </c>
      <c r="D231" s="313" t="s">
        <v>88</v>
      </c>
      <c r="E231" s="313" t="s">
        <v>428</v>
      </c>
      <c r="F231" s="313">
        <v>74.0</v>
      </c>
      <c r="G231" s="313">
        <v>25.1</v>
      </c>
      <c r="H231" s="313" t="s">
        <v>1014</v>
      </c>
      <c r="I231" s="313" t="s">
        <v>1015</v>
      </c>
      <c r="J231" s="313">
        <v>2.6</v>
      </c>
      <c r="K231" s="313">
        <v>11.1</v>
      </c>
      <c r="L231" s="313">
        <v>3.3</v>
      </c>
      <c r="M231" s="313">
        <v>1.3</v>
      </c>
      <c r="N231" s="313">
        <v>0.7</v>
      </c>
      <c r="O231" s="313">
        <v>0.1</v>
      </c>
      <c r="P231" s="313">
        <v>0.8</v>
      </c>
      <c r="Q231" s="313">
        <v>-3.05</v>
      </c>
    </row>
    <row r="232">
      <c r="A232" s="313">
        <v>231.0</v>
      </c>
      <c r="B232" s="320"/>
      <c r="C232" s="314" t="s">
        <v>1016</v>
      </c>
      <c r="D232" s="313" t="s">
        <v>88</v>
      </c>
      <c r="E232" s="313" t="s">
        <v>269</v>
      </c>
      <c r="F232" s="313">
        <v>64.0</v>
      </c>
      <c r="G232" s="313">
        <v>23.0</v>
      </c>
      <c r="H232" s="313" t="s">
        <v>1017</v>
      </c>
      <c r="I232" s="313" t="s">
        <v>1018</v>
      </c>
      <c r="J232" s="313">
        <v>1.9</v>
      </c>
      <c r="K232" s="313">
        <v>10.5</v>
      </c>
      <c r="L232" s="313">
        <v>2.8</v>
      </c>
      <c r="M232" s="313">
        <v>2.2</v>
      </c>
      <c r="N232" s="313">
        <v>0.8</v>
      </c>
      <c r="O232" s="313">
        <v>0.3</v>
      </c>
      <c r="P232" s="313">
        <v>1.1</v>
      </c>
      <c r="Q232" s="313">
        <v>-3.1</v>
      </c>
    </row>
    <row r="233">
      <c r="A233" s="313">
        <v>232.0</v>
      </c>
      <c r="B233" s="313">
        <v>143.2</v>
      </c>
      <c r="C233" s="314" t="s">
        <v>1019</v>
      </c>
      <c r="D233" s="313" t="s">
        <v>282</v>
      </c>
      <c r="E233" s="313" t="s">
        <v>265</v>
      </c>
      <c r="F233" s="313">
        <v>60.0</v>
      </c>
      <c r="G233" s="313">
        <v>17.7</v>
      </c>
      <c r="H233" s="313" t="s">
        <v>1020</v>
      </c>
      <c r="I233" s="313" t="s">
        <v>1021</v>
      </c>
      <c r="J233" s="313">
        <v>0.7</v>
      </c>
      <c r="K233" s="313">
        <v>9.1</v>
      </c>
      <c r="L233" s="313">
        <v>4.7</v>
      </c>
      <c r="M233" s="313">
        <v>2.3</v>
      </c>
      <c r="N233" s="313">
        <v>0.4</v>
      </c>
      <c r="O233" s="313">
        <v>0.6</v>
      </c>
      <c r="P233" s="313">
        <v>1.6</v>
      </c>
      <c r="Q233" s="313">
        <v>-3.13</v>
      </c>
    </row>
    <row r="234">
      <c r="A234" s="313">
        <v>233.0</v>
      </c>
      <c r="B234" s="313">
        <v>143.1</v>
      </c>
      <c r="C234" s="314" t="s">
        <v>1022</v>
      </c>
      <c r="D234" s="313" t="s">
        <v>282</v>
      </c>
      <c r="E234" s="313" t="s">
        <v>342</v>
      </c>
      <c r="F234" s="313">
        <v>77.0</v>
      </c>
      <c r="G234" s="313">
        <v>25.9</v>
      </c>
      <c r="H234" s="313" t="s">
        <v>1023</v>
      </c>
      <c r="I234" s="313" t="s">
        <v>1024</v>
      </c>
      <c r="J234" s="313">
        <v>1.5</v>
      </c>
      <c r="K234" s="313">
        <v>8.9</v>
      </c>
      <c r="L234" s="313">
        <v>4.3</v>
      </c>
      <c r="M234" s="313">
        <v>1.9</v>
      </c>
      <c r="N234" s="313">
        <v>0.5</v>
      </c>
      <c r="O234" s="313">
        <v>0.4</v>
      </c>
      <c r="P234" s="313">
        <v>1.2</v>
      </c>
      <c r="Q234" s="313">
        <v>-3.15</v>
      </c>
    </row>
    <row r="235">
      <c r="A235" s="313">
        <v>234.0</v>
      </c>
      <c r="B235" s="313">
        <v>140.3</v>
      </c>
      <c r="C235" s="314" t="s">
        <v>1025</v>
      </c>
      <c r="D235" s="313" t="s">
        <v>782</v>
      </c>
      <c r="E235" s="313" t="s">
        <v>495</v>
      </c>
      <c r="F235" s="313">
        <v>68.0</v>
      </c>
      <c r="G235" s="313">
        <v>27.4</v>
      </c>
      <c r="H235" s="313" t="s">
        <v>1026</v>
      </c>
      <c r="I235" s="313" t="s">
        <v>1027</v>
      </c>
      <c r="J235" s="313">
        <v>1.6</v>
      </c>
      <c r="K235" s="313">
        <v>7.8</v>
      </c>
      <c r="L235" s="313">
        <v>4.4</v>
      </c>
      <c r="M235" s="313">
        <v>1.4</v>
      </c>
      <c r="N235" s="313">
        <v>0.8</v>
      </c>
      <c r="O235" s="313">
        <v>0.5</v>
      </c>
      <c r="P235" s="313">
        <v>0.8</v>
      </c>
      <c r="Q235" s="313">
        <v>-3.18</v>
      </c>
    </row>
    <row r="236">
      <c r="A236" s="313">
        <v>235.0</v>
      </c>
      <c r="B236" s="320"/>
      <c r="C236" s="314" t="s">
        <v>1028</v>
      </c>
      <c r="D236" s="313" t="s">
        <v>282</v>
      </c>
      <c r="E236" s="313" t="s">
        <v>428</v>
      </c>
      <c r="F236" s="313">
        <v>62.0</v>
      </c>
      <c r="G236" s="313">
        <v>14.2</v>
      </c>
      <c r="H236" s="313" t="s">
        <v>1029</v>
      </c>
      <c r="I236" s="313" t="s">
        <v>1030</v>
      </c>
      <c r="J236" s="313">
        <v>0.1</v>
      </c>
      <c r="K236" s="313">
        <v>5.4</v>
      </c>
      <c r="L236" s="313">
        <v>4.6</v>
      </c>
      <c r="M236" s="313">
        <v>0.8</v>
      </c>
      <c r="N236" s="313">
        <v>0.7</v>
      </c>
      <c r="O236" s="313">
        <v>0.8</v>
      </c>
      <c r="P236" s="313">
        <v>0.7</v>
      </c>
      <c r="Q236" s="313">
        <v>-3.24</v>
      </c>
    </row>
    <row r="237">
      <c r="A237" s="313">
        <v>236.0</v>
      </c>
      <c r="B237" s="320"/>
      <c r="C237" s="314" t="s">
        <v>1031</v>
      </c>
      <c r="D237" s="313" t="s">
        <v>282</v>
      </c>
      <c r="E237" s="313" t="s">
        <v>269</v>
      </c>
      <c r="F237" s="313">
        <v>65.0</v>
      </c>
      <c r="G237" s="313">
        <v>18.4</v>
      </c>
      <c r="H237" s="313" t="s">
        <v>1032</v>
      </c>
      <c r="I237" s="313" t="s">
        <v>1033</v>
      </c>
      <c r="J237" s="313">
        <v>1.2</v>
      </c>
      <c r="K237" s="313">
        <v>8.6</v>
      </c>
      <c r="L237" s="313">
        <v>4.8</v>
      </c>
      <c r="M237" s="313">
        <v>2.1</v>
      </c>
      <c r="N237" s="313">
        <v>0.5</v>
      </c>
      <c r="O237" s="313">
        <v>0.2</v>
      </c>
      <c r="P237" s="313">
        <v>1.3</v>
      </c>
      <c r="Q237" s="313">
        <v>-3.25</v>
      </c>
    </row>
    <row r="238">
      <c r="A238" s="313">
        <v>237.0</v>
      </c>
      <c r="B238" s="320"/>
      <c r="C238" s="314" t="s">
        <v>1034</v>
      </c>
      <c r="D238" s="313" t="s">
        <v>282</v>
      </c>
      <c r="E238" s="313" t="s">
        <v>283</v>
      </c>
      <c r="F238" s="313">
        <v>52.0</v>
      </c>
      <c r="G238" s="313">
        <v>17.2</v>
      </c>
      <c r="H238" s="313" t="s">
        <v>1035</v>
      </c>
      <c r="I238" s="313" t="s">
        <v>1036</v>
      </c>
      <c r="J238" s="313">
        <v>0.9</v>
      </c>
      <c r="K238" s="313">
        <v>9.7</v>
      </c>
      <c r="L238" s="313">
        <v>5.0</v>
      </c>
      <c r="M238" s="313">
        <v>1.1</v>
      </c>
      <c r="N238" s="313">
        <v>0.3</v>
      </c>
      <c r="O238" s="313">
        <v>0.7</v>
      </c>
      <c r="P238" s="313">
        <v>1.1</v>
      </c>
      <c r="Q238" s="313">
        <v>-3.34</v>
      </c>
    </row>
    <row r="239">
      <c r="A239" s="313">
        <v>238.0</v>
      </c>
      <c r="B239" s="320"/>
      <c r="C239" s="314" t="s">
        <v>1037</v>
      </c>
      <c r="D239" s="313" t="s">
        <v>85</v>
      </c>
      <c r="E239" s="313" t="s">
        <v>365</v>
      </c>
      <c r="F239" s="313">
        <v>68.0</v>
      </c>
      <c r="G239" s="313">
        <v>22.8</v>
      </c>
      <c r="H239" s="313" t="s">
        <v>1038</v>
      </c>
      <c r="I239" s="313" t="s">
        <v>1039</v>
      </c>
      <c r="J239" s="313">
        <v>1.6</v>
      </c>
      <c r="K239" s="313">
        <v>11.0</v>
      </c>
      <c r="L239" s="313">
        <v>2.1</v>
      </c>
      <c r="M239" s="313">
        <v>2.8</v>
      </c>
      <c r="N239" s="313">
        <v>0.7</v>
      </c>
      <c r="O239" s="313">
        <v>0.0</v>
      </c>
      <c r="P239" s="313">
        <v>1.4</v>
      </c>
      <c r="Q239" s="313">
        <v>-3.35</v>
      </c>
    </row>
    <row r="240">
      <c r="A240" s="313">
        <v>239.0</v>
      </c>
      <c r="B240" s="320"/>
      <c r="C240" s="314" t="s">
        <v>1040</v>
      </c>
      <c r="D240" s="313" t="s">
        <v>282</v>
      </c>
      <c r="E240" s="313" t="s">
        <v>304</v>
      </c>
      <c r="F240" s="313">
        <v>62.0</v>
      </c>
      <c r="G240" s="313">
        <v>20.2</v>
      </c>
      <c r="H240" s="313" t="s">
        <v>1041</v>
      </c>
      <c r="I240" s="313" t="s">
        <v>1042</v>
      </c>
      <c r="J240" s="313">
        <v>0.7</v>
      </c>
      <c r="K240" s="313">
        <v>7.2</v>
      </c>
      <c r="L240" s="313">
        <v>4.9</v>
      </c>
      <c r="M240" s="313">
        <v>1.6</v>
      </c>
      <c r="N240" s="313">
        <v>1.0</v>
      </c>
      <c r="O240" s="313">
        <v>0.7</v>
      </c>
      <c r="P240" s="313">
        <v>0.7</v>
      </c>
      <c r="Q240" s="313">
        <v>-3.41</v>
      </c>
    </row>
    <row r="241">
      <c r="A241" s="313">
        <v>240.0</v>
      </c>
      <c r="B241" s="313">
        <v>143.5</v>
      </c>
      <c r="C241" s="314" t="s">
        <v>1043</v>
      </c>
      <c r="D241" s="313" t="s">
        <v>364</v>
      </c>
      <c r="E241" s="313" t="s">
        <v>332</v>
      </c>
      <c r="F241" s="313">
        <v>68.0</v>
      </c>
      <c r="G241" s="313">
        <v>28.2</v>
      </c>
      <c r="H241" s="313" t="s">
        <v>1044</v>
      </c>
      <c r="I241" s="313" t="s">
        <v>1045</v>
      </c>
      <c r="J241" s="313">
        <v>2.0</v>
      </c>
      <c r="K241" s="313">
        <v>11.4</v>
      </c>
      <c r="L241" s="313">
        <v>2.9</v>
      </c>
      <c r="M241" s="313">
        <v>1.5</v>
      </c>
      <c r="N241" s="313">
        <v>0.8</v>
      </c>
      <c r="O241" s="313">
        <v>0.0</v>
      </c>
      <c r="P241" s="313">
        <v>1.1</v>
      </c>
      <c r="Q241" s="313">
        <v>-3.51</v>
      </c>
    </row>
    <row r="242">
      <c r="A242" s="313">
        <v>241.0</v>
      </c>
      <c r="B242" s="320"/>
      <c r="C242" s="314" t="s">
        <v>1046</v>
      </c>
      <c r="D242" s="313" t="s">
        <v>90</v>
      </c>
      <c r="E242" s="313" t="s">
        <v>428</v>
      </c>
      <c r="F242" s="313">
        <v>67.0</v>
      </c>
      <c r="G242" s="313">
        <v>25.4</v>
      </c>
      <c r="H242" s="313" t="s">
        <v>1047</v>
      </c>
      <c r="I242" s="313" t="s">
        <v>1048</v>
      </c>
      <c r="J242" s="313">
        <v>0.5</v>
      </c>
      <c r="K242" s="313">
        <v>10.3</v>
      </c>
      <c r="L242" s="313">
        <v>3.7</v>
      </c>
      <c r="M242" s="313">
        <v>1.7</v>
      </c>
      <c r="N242" s="313">
        <v>1.3</v>
      </c>
      <c r="O242" s="313">
        <v>0.4</v>
      </c>
      <c r="P242" s="313">
        <v>1.6</v>
      </c>
      <c r="Q242" s="313">
        <v>-3.53</v>
      </c>
    </row>
    <row r="243">
      <c r="A243" s="313">
        <v>242.0</v>
      </c>
      <c r="B243" s="320"/>
      <c r="C243" s="314" t="s">
        <v>1049</v>
      </c>
      <c r="D243" s="313" t="s">
        <v>97</v>
      </c>
      <c r="E243" s="313" t="s">
        <v>308</v>
      </c>
      <c r="F243" s="313">
        <v>58.0</v>
      </c>
      <c r="G243" s="313">
        <v>15.8</v>
      </c>
      <c r="H243" s="313" t="s">
        <v>1050</v>
      </c>
      <c r="I243" s="313" t="s">
        <v>1051</v>
      </c>
      <c r="J243" s="313">
        <v>0.8</v>
      </c>
      <c r="K243" s="313">
        <v>6.1</v>
      </c>
      <c r="L243" s="313">
        <v>4.9</v>
      </c>
      <c r="M243" s="313">
        <v>0.9</v>
      </c>
      <c r="N243" s="313">
        <v>0.4</v>
      </c>
      <c r="O243" s="313">
        <v>1.1</v>
      </c>
      <c r="P243" s="313">
        <v>0.7</v>
      </c>
      <c r="Q243" s="313">
        <v>-3.57</v>
      </c>
    </row>
    <row r="244">
      <c r="A244" s="313">
        <v>243.0</v>
      </c>
      <c r="B244" s="320"/>
      <c r="C244" s="314" t="s">
        <v>1052</v>
      </c>
      <c r="D244" s="313" t="s">
        <v>303</v>
      </c>
      <c r="E244" s="313" t="s">
        <v>308</v>
      </c>
      <c r="F244" s="313">
        <v>64.0</v>
      </c>
      <c r="G244" s="313">
        <v>21.8</v>
      </c>
      <c r="H244" s="313" t="s">
        <v>1053</v>
      </c>
      <c r="I244" s="313" t="s">
        <v>1054</v>
      </c>
      <c r="J244" s="313">
        <v>0.9</v>
      </c>
      <c r="K244" s="313">
        <v>8.0</v>
      </c>
      <c r="L244" s="313">
        <v>3.3</v>
      </c>
      <c r="M244" s="313">
        <v>0.9</v>
      </c>
      <c r="N244" s="313">
        <v>0.7</v>
      </c>
      <c r="O244" s="313">
        <v>0.7</v>
      </c>
      <c r="P244" s="313">
        <v>0.7</v>
      </c>
      <c r="Q244" s="313">
        <v>-3.62</v>
      </c>
    </row>
    <row r="245">
      <c r="A245" s="313">
        <v>244.0</v>
      </c>
      <c r="B245" s="320"/>
      <c r="C245" s="314" t="s">
        <v>1055</v>
      </c>
      <c r="D245" s="313" t="s">
        <v>277</v>
      </c>
      <c r="E245" s="313" t="s">
        <v>273</v>
      </c>
      <c r="F245" s="313">
        <v>75.0</v>
      </c>
      <c r="G245" s="313">
        <v>18.0</v>
      </c>
      <c r="H245" s="313" t="s">
        <v>1056</v>
      </c>
      <c r="I245" s="313" t="s">
        <v>1057</v>
      </c>
      <c r="J245" s="313">
        <v>2.0</v>
      </c>
      <c r="K245" s="313">
        <v>8.5</v>
      </c>
      <c r="L245" s="313">
        <v>2.3</v>
      </c>
      <c r="M245" s="313">
        <v>1.2</v>
      </c>
      <c r="N245" s="313">
        <v>0.6</v>
      </c>
      <c r="O245" s="313">
        <v>0.2</v>
      </c>
      <c r="P245" s="313">
        <v>0.6</v>
      </c>
      <c r="Q245" s="313">
        <v>-3.72</v>
      </c>
    </row>
    <row r="246">
      <c r="A246" s="313">
        <v>245.0</v>
      </c>
      <c r="B246" s="320"/>
      <c r="C246" s="314" t="s">
        <v>1058</v>
      </c>
      <c r="D246" s="313" t="s">
        <v>364</v>
      </c>
      <c r="E246" s="313" t="s">
        <v>278</v>
      </c>
      <c r="F246" s="313">
        <v>58.0</v>
      </c>
      <c r="G246" s="313">
        <v>21.4</v>
      </c>
      <c r="H246" s="313" t="s">
        <v>1059</v>
      </c>
      <c r="I246" s="313" t="s">
        <v>1060</v>
      </c>
      <c r="J246" s="313">
        <v>0.9</v>
      </c>
      <c r="K246" s="313">
        <v>8.5</v>
      </c>
      <c r="L246" s="313">
        <v>3.8</v>
      </c>
      <c r="M246" s="313">
        <v>2.3</v>
      </c>
      <c r="N246" s="313">
        <v>0.8</v>
      </c>
      <c r="O246" s="313">
        <v>0.2</v>
      </c>
      <c r="P246" s="313">
        <v>1.2</v>
      </c>
      <c r="Q246" s="313">
        <v>-3.76</v>
      </c>
    </row>
    <row r="247">
      <c r="A247" s="313">
        <v>246.0</v>
      </c>
      <c r="B247" s="320"/>
      <c r="C247" s="314" t="s">
        <v>1061</v>
      </c>
      <c r="D247" s="313" t="s">
        <v>85</v>
      </c>
      <c r="E247" s="313" t="s">
        <v>490</v>
      </c>
      <c r="F247" s="313">
        <v>68.0</v>
      </c>
      <c r="G247" s="313">
        <v>28.7</v>
      </c>
      <c r="H247" s="313" t="s">
        <v>1062</v>
      </c>
      <c r="I247" s="313" t="s">
        <v>1063</v>
      </c>
      <c r="J247" s="313">
        <v>1.6</v>
      </c>
      <c r="K247" s="313">
        <v>11.0</v>
      </c>
      <c r="L247" s="313">
        <v>4.1</v>
      </c>
      <c r="M247" s="313">
        <v>3.3</v>
      </c>
      <c r="N247" s="313">
        <v>0.5</v>
      </c>
      <c r="O247" s="313">
        <v>0.2</v>
      </c>
      <c r="P247" s="313">
        <v>1.5</v>
      </c>
      <c r="Q247" s="313">
        <v>-3.76</v>
      </c>
    </row>
    <row r="248">
      <c r="A248" s="313">
        <v>247.0</v>
      </c>
      <c r="B248" s="320"/>
      <c r="C248" s="314" t="s">
        <v>1064</v>
      </c>
      <c r="D248" s="313" t="s">
        <v>277</v>
      </c>
      <c r="E248" s="313" t="s">
        <v>308</v>
      </c>
      <c r="F248" s="313">
        <v>66.0</v>
      </c>
      <c r="G248" s="313">
        <v>18.0</v>
      </c>
      <c r="H248" s="313" t="s">
        <v>1065</v>
      </c>
      <c r="I248" s="313" t="s">
        <v>821</v>
      </c>
      <c r="J248" s="313">
        <v>1.8</v>
      </c>
      <c r="K248" s="313">
        <v>10.2</v>
      </c>
      <c r="L248" s="313">
        <v>2.1</v>
      </c>
      <c r="M248" s="313">
        <v>3.0</v>
      </c>
      <c r="N248" s="313">
        <v>0.7</v>
      </c>
      <c r="O248" s="313">
        <v>0.2</v>
      </c>
      <c r="P248" s="313">
        <v>1.4</v>
      </c>
      <c r="Q248" s="313">
        <v>-3.78</v>
      </c>
    </row>
    <row r="249">
      <c r="A249" s="313">
        <v>248.0</v>
      </c>
      <c r="B249" s="320"/>
      <c r="C249" s="314" t="s">
        <v>1066</v>
      </c>
      <c r="D249" s="313" t="s">
        <v>303</v>
      </c>
      <c r="E249" s="313" t="s">
        <v>379</v>
      </c>
      <c r="F249" s="313">
        <v>64.0</v>
      </c>
      <c r="G249" s="313">
        <v>22.6</v>
      </c>
      <c r="H249" s="313" t="s">
        <v>1067</v>
      </c>
      <c r="I249" s="313" t="s">
        <v>1068</v>
      </c>
      <c r="J249" s="313">
        <v>1.9</v>
      </c>
      <c r="K249" s="313">
        <v>12.9</v>
      </c>
      <c r="L249" s="313">
        <v>3.6</v>
      </c>
      <c r="M249" s="313">
        <v>1.1</v>
      </c>
      <c r="N249" s="313">
        <v>0.5</v>
      </c>
      <c r="O249" s="313">
        <v>0.4</v>
      </c>
      <c r="P249" s="313">
        <v>1.2</v>
      </c>
      <c r="Q249" s="313">
        <v>-3.81</v>
      </c>
    </row>
    <row r="250">
      <c r="A250" s="313">
        <v>249.0</v>
      </c>
      <c r="B250" s="320"/>
      <c r="C250" s="314" t="s">
        <v>1069</v>
      </c>
      <c r="D250" s="313" t="s">
        <v>97</v>
      </c>
      <c r="E250" s="313" t="s">
        <v>304</v>
      </c>
      <c r="F250" s="313">
        <v>36.0</v>
      </c>
      <c r="G250" s="313">
        <v>12.1</v>
      </c>
      <c r="H250" s="313" t="s">
        <v>1070</v>
      </c>
      <c r="I250" s="313" t="s">
        <v>1071</v>
      </c>
      <c r="J250" s="313">
        <v>0.0</v>
      </c>
      <c r="K250" s="313">
        <v>5.6</v>
      </c>
      <c r="L250" s="313">
        <v>4.5</v>
      </c>
      <c r="M250" s="313">
        <v>0.7</v>
      </c>
      <c r="N250" s="313">
        <v>0.4</v>
      </c>
      <c r="O250" s="313">
        <v>0.8</v>
      </c>
      <c r="P250" s="313">
        <v>0.5</v>
      </c>
      <c r="Q250" s="313">
        <v>-3.84</v>
      </c>
    </row>
    <row r="251">
      <c r="A251" s="313">
        <v>250.0</v>
      </c>
      <c r="B251" s="320"/>
      <c r="C251" s="314" t="s">
        <v>1072</v>
      </c>
      <c r="D251" s="313" t="s">
        <v>277</v>
      </c>
      <c r="E251" s="313" t="s">
        <v>379</v>
      </c>
      <c r="F251" s="313">
        <v>34.0</v>
      </c>
      <c r="G251" s="313">
        <v>14.5</v>
      </c>
      <c r="H251" s="313" t="s">
        <v>1073</v>
      </c>
      <c r="I251" s="313" t="s">
        <v>1074</v>
      </c>
      <c r="J251" s="313">
        <v>0.8</v>
      </c>
      <c r="K251" s="313">
        <v>7.5</v>
      </c>
      <c r="L251" s="313">
        <v>1.9</v>
      </c>
      <c r="M251" s="313">
        <v>2.6</v>
      </c>
      <c r="N251" s="313">
        <v>1.0</v>
      </c>
      <c r="O251" s="313">
        <v>0.3</v>
      </c>
      <c r="P251" s="313">
        <v>1.5</v>
      </c>
      <c r="Q251" s="313">
        <v>-3.86</v>
      </c>
    </row>
    <row r="252">
      <c r="A252" s="313">
        <v>251.0</v>
      </c>
      <c r="B252" s="320"/>
      <c r="C252" s="314" t="s">
        <v>1075</v>
      </c>
      <c r="D252" s="313" t="s">
        <v>303</v>
      </c>
      <c r="E252" s="313" t="s">
        <v>354</v>
      </c>
      <c r="F252" s="313">
        <v>60.0</v>
      </c>
      <c r="G252" s="313">
        <v>23.4</v>
      </c>
      <c r="H252" s="313" t="s">
        <v>1076</v>
      </c>
      <c r="I252" s="313" t="s">
        <v>1077</v>
      </c>
      <c r="J252" s="313">
        <v>1.4</v>
      </c>
      <c r="K252" s="313">
        <v>9.8</v>
      </c>
      <c r="L252" s="313">
        <v>4.1</v>
      </c>
      <c r="M252" s="313">
        <v>2.2</v>
      </c>
      <c r="N252" s="313">
        <v>0.5</v>
      </c>
      <c r="O252" s="313">
        <v>0.2</v>
      </c>
      <c r="P252" s="313">
        <v>1.9</v>
      </c>
      <c r="Q252" s="313">
        <v>-3.92</v>
      </c>
    </row>
    <row r="253">
      <c r="A253" s="313">
        <v>252.0</v>
      </c>
      <c r="B253" s="313">
        <v>143.9</v>
      </c>
      <c r="C253" s="314" t="s">
        <v>1078</v>
      </c>
      <c r="D253" s="313" t="s">
        <v>282</v>
      </c>
      <c r="E253" s="313" t="s">
        <v>346</v>
      </c>
      <c r="F253" s="313">
        <v>64.0</v>
      </c>
      <c r="G253" s="313">
        <v>20.4</v>
      </c>
      <c r="H253" s="313" t="s">
        <v>1079</v>
      </c>
      <c r="I253" s="313" t="s">
        <v>1080</v>
      </c>
      <c r="J253" s="313">
        <v>0.4</v>
      </c>
      <c r="K253" s="313">
        <v>7.7</v>
      </c>
      <c r="L253" s="313">
        <v>5.8</v>
      </c>
      <c r="M253" s="313">
        <v>1.1</v>
      </c>
      <c r="N253" s="313">
        <v>0.5</v>
      </c>
      <c r="O253" s="313">
        <v>0.7</v>
      </c>
      <c r="P253" s="313">
        <v>1.0</v>
      </c>
      <c r="Q253" s="313">
        <v>-4.01</v>
      </c>
    </row>
    <row r="254">
      <c r="A254" s="313">
        <v>253.0</v>
      </c>
      <c r="B254" s="320"/>
      <c r="C254" s="314" t="s">
        <v>1081</v>
      </c>
      <c r="D254" s="313" t="s">
        <v>85</v>
      </c>
      <c r="E254" s="313" t="s">
        <v>428</v>
      </c>
      <c r="F254" s="313">
        <v>68.0</v>
      </c>
      <c r="G254" s="313">
        <v>19.0</v>
      </c>
      <c r="H254" s="313" t="s">
        <v>1082</v>
      </c>
      <c r="I254" s="313" t="s">
        <v>1083</v>
      </c>
      <c r="J254" s="313">
        <v>1.3</v>
      </c>
      <c r="K254" s="313">
        <v>8.3</v>
      </c>
      <c r="L254" s="313">
        <v>1.8</v>
      </c>
      <c r="M254" s="313">
        <v>3.4</v>
      </c>
      <c r="N254" s="313">
        <v>0.6</v>
      </c>
      <c r="O254" s="313">
        <v>0.2</v>
      </c>
      <c r="P254" s="313">
        <v>1.3</v>
      </c>
      <c r="Q254" s="313">
        <v>-4.02</v>
      </c>
    </row>
    <row r="255">
      <c r="A255" s="313">
        <v>254.0</v>
      </c>
      <c r="B255" s="320"/>
      <c r="C255" s="314" t="s">
        <v>1084</v>
      </c>
      <c r="D255" s="313" t="s">
        <v>282</v>
      </c>
      <c r="E255" s="313" t="s">
        <v>350</v>
      </c>
      <c r="F255" s="313">
        <v>62.0</v>
      </c>
      <c r="G255" s="313">
        <v>19.4</v>
      </c>
      <c r="H255" s="313" t="s">
        <v>1085</v>
      </c>
      <c r="I255" s="313" t="s">
        <v>1086</v>
      </c>
      <c r="J255" s="313">
        <v>1.4</v>
      </c>
      <c r="K255" s="313">
        <v>8.0</v>
      </c>
      <c r="L255" s="313">
        <v>4.5</v>
      </c>
      <c r="M255" s="313">
        <v>1.1</v>
      </c>
      <c r="N255" s="313">
        <v>0.4</v>
      </c>
      <c r="O255" s="313">
        <v>0.4</v>
      </c>
      <c r="P255" s="313">
        <v>0.8</v>
      </c>
      <c r="Q255" s="313">
        <v>-4.04</v>
      </c>
    </row>
    <row r="256">
      <c r="A256" s="313">
        <v>255.0</v>
      </c>
      <c r="B256" s="313">
        <v>145.1</v>
      </c>
      <c r="C256" s="314" t="s">
        <v>1087</v>
      </c>
      <c r="D256" s="313" t="s">
        <v>282</v>
      </c>
      <c r="E256" s="313" t="s">
        <v>428</v>
      </c>
      <c r="F256" s="313">
        <v>54.0</v>
      </c>
      <c r="G256" s="313">
        <v>22.0</v>
      </c>
      <c r="H256" s="313" t="s">
        <v>1088</v>
      </c>
      <c r="I256" s="313" t="s">
        <v>1089</v>
      </c>
      <c r="J256" s="313">
        <v>1.1</v>
      </c>
      <c r="K256" s="313">
        <v>8.4</v>
      </c>
      <c r="L256" s="313">
        <v>5.6</v>
      </c>
      <c r="M256" s="313">
        <v>1.1</v>
      </c>
      <c r="N256" s="313">
        <v>0.3</v>
      </c>
      <c r="O256" s="313">
        <v>0.6</v>
      </c>
      <c r="P256" s="313">
        <v>1.1</v>
      </c>
      <c r="Q256" s="313">
        <v>-4.05</v>
      </c>
    </row>
    <row r="257">
      <c r="A257" s="313">
        <v>256.0</v>
      </c>
      <c r="B257" s="320"/>
      <c r="C257" s="314" t="s">
        <v>1090</v>
      </c>
      <c r="D257" s="313" t="s">
        <v>303</v>
      </c>
      <c r="E257" s="313" t="s">
        <v>317</v>
      </c>
      <c r="F257" s="313">
        <v>78.0</v>
      </c>
      <c r="G257" s="313">
        <v>21.4</v>
      </c>
      <c r="H257" s="313" t="s">
        <v>1091</v>
      </c>
      <c r="I257" s="313" t="s">
        <v>1092</v>
      </c>
      <c r="J257" s="313">
        <v>2.0</v>
      </c>
      <c r="K257" s="313">
        <v>9.1</v>
      </c>
      <c r="L257" s="313">
        <v>3.0</v>
      </c>
      <c r="M257" s="313">
        <v>1.1</v>
      </c>
      <c r="N257" s="313">
        <v>0.4</v>
      </c>
      <c r="O257" s="313">
        <v>0.2</v>
      </c>
      <c r="P257" s="313">
        <v>0.8</v>
      </c>
      <c r="Q257" s="313">
        <v>-4.09</v>
      </c>
    </row>
    <row r="258">
      <c r="A258" s="313">
        <v>257.0</v>
      </c>
      <c r="B258" s="320"/>
      <c r="C258" s="314" t="s">
        <v>1093</v>
      </c>
      <c r="D258" s="313" t="s">
        <v>85</v>
      </c>
      <c r="E258" s="313" t="s">
        <v>414</v>
      </c>
      <c r="F258" s="313">
        <v>60.0</v>
      </c>
      <c r="G258" s="313">
        <v>18.0</v>
      </c>
      <c r="H258" s="313" t="s">
        <v>1094</v>
      </c>
      <c r="I258" s="313" t="s">
        <v>1095</v>
      </c>
      <c r="J258" s="313">
        <v>1.3</v>
      </c>
      <c r="K258" s="313">
        <v>7.4</v>
      </c>
      <c r="L258" s="313">
        <v>2.1</v>
      </c>
      <c r="M258" s="313">
        <v>2.4</v>
      </c>
      <c r="N258" s="313">
        <v>1.0</v>
      </c>
      <c r="O258" s="313">
        <v>0.2</v>
      </c>
      <c r="P258" s="313">
        <v>0.9</v>
      </c>
      <c r="Q258" s="313">
        <v>-4.12</v>
      </c>
    </row>
    <row r="259">
      <c r="A259" s="313">
        <v>258.0</v>
      </c>
      <c r="B259" s="320"/>
      <c r="C259" s="314" t="s">
        <v>1096</v>
      </c>
      <c r="D259" s="313" t="s">
        <v>303</v>
      </c>
      <c r="E259" s="313" t="s">
        <v>490</v>
      </c>
      <c r="F259" s="313">
        <v>10.0</v>
      </c>
      <c r="G259" s="313">
        <v>20.6</v>
      </c>
      <c r="H259" s="313" t="s">
        <v>1097</v>
      </c>
      <c r="I259" s="313" t="s">
        <v>1098</v>
      </c>
      <c r="J259" s="313">
        <v>1.3</v>
      </c>
      <c r="K259" s="313">
        <v>9.3</v>
      </c>
      <c r="L259" s="313">
        <v>3.7</v>
      </c>
      <c r="M259" s="313">
        <v>1.0</v>
      </c>
      <c r="N259" s="313">
        <v>0.6</v>
      </c>
      <c r="O259" s="313">
        <v>0.1</v>
      </c>
      <c r="P259" s="313">
        <v>0.6</v>
      </c>
      <c r="Q259" s="313">
        <v>-4.14</v>
      </c>
    </row>
    <row r="260">
      <c r="A260" s="313">
        <v>259.0</v>
      </c>
      <c r="B260" s="320"/>
      <c r="C260" s="314" t="s">
        <v>1099</v>
      </c>
      <c r="D260" s="313" t="s">
        <v>277</v>
      </c>
      <c r="E260" s="313" t="s">
        <v>287</v>
      </c>
      <c r="F260" s="313">
        <v>71.0</v>
      </c>
      <c r="G260" s="313">
        <v>22.4</v>
      </c>
      <c r="H260" s="313" t="s">
        <v>1100</v>
      </c>
      <c r="I260" s="313" t="s">
        <v>1101</v>
      </c>
      <c r="J260" s="313">
        <v>1.3</v>
      </c>
      <c r="K260" s="313">
        <v>9.9</v>
      </c>
      <c r="L260" s="313">
        <v>2.0</v>
      </c>
      <c r="M260" s="313">
        <v>3.5</v>
      </c>
      <c r="N260" s="313">
        <v>0.6</v>
      </c>
      <c r="O260" s="313">
        <v>0.1</v>
      </c>
      <c r="P260" s="313">
        <v>1.4</v>
      </c>
      <c r="Q260" s="313">
        <v>-4.16</v>
      </c>
    </row>
    <row r="261">
      <c r="A261" s="313">
        <v>260.0</v>
      </c>
      <c r="B261" s="320"/>
      <c r="C261" s="314" t="s">
        <v>1102</v>
      </c>
      <c r="D261" s="313" t="s">
        <v>97</v>
      </c>
      <c r="E261" s="313" t="s">
        <v>442</v>
      </c>
      <c r="F261" s="313">
        <v>60.0</v>
      </c>
      <c r="G261" s="313">
        <v>14.4</v>
      </c>
      <c r="H261" s="313" t="s">
        <v>1103</v>
      </c>
      <c r="I261" s="313" t="s">
        <v>1104</v>
      </c>
      <c r="J261" s="313">
        <v>0.1</v>
      </c>
      <c r="K261" s="313">
        <v>4.9</v>
      </c>
      <c r="L261" s="313">
        <v>4.4</v>
      </c>
      <c r="M261" s="313">
        <v>1.2</v>
      </c>
      <c r="N261" s="313">
        <v>0.5</v>
      </c>
      <c r="O261" s="313">
        <v>1.0</v>
      </c>
      <c r="P261" s="313">
        <v>0.7</v>
      </c>
      <c r="Q261" s="313">
        <v>-4.17</v>
      </c>
    </row>
    <row r="262">
      <c r="A262" s="313">
        <v>261.0</v>
      </c>
      <c r="B262" s="313">
        <v>141.7</v>
      </c>
      <c r="C262" s="314" t="s">
        <v>1105</v>
      </c>
      <c r="D262" s="313" t="s">
        <v>85</v>
      </c>
      <c r="E262" s="313" t="s">
        <v>265</v>
      </c>
      <c r="F262" s="313">
        <v>68.0</v>
      </c>
      <c r="G262" s="313">
        <v>24.0</v>
      </c>
      <c r="H262" s="313" t="s">
        <v>1106</v>
      </c>
      <c r="I262" s="313" t="s">
        <v>1107</v>
      </c>
      <c r="J262" s="313">
        <v>0.4</v>
      </c>
      <c r="K262" s="313">
        <v>7.5</v>
      </c>
      <c r="L262" s="313">
        <v>3.1</v>
      </c>
      <c r="M262" s="313">
        <v>2.6</v>
      </c>
      <c r="N262" s="313">
        <v>0.8</v>
      </c>
      <c r="O262" s="313">
        <v>0.4</v>
      </c>
      <c r="P262" s="313">
        <v>1.0</v>
      </c>
      <c r="Q262" s="313">
        <v>-4.19</v>
      </c>
    </row>
    <row r="263">
      <c r="A263" s="313">
        <v>262.0</v>
      </c>
      <c r="B263" s="320"/>
      <c r="C263" s="314" t="s">
        <v>1108</v>
      </c>
      <c r="D263" s="313" t="s">
        <v>364</v>
      </c>
      <c r="E263" s="313" t="s">
        <v>312</v>
      </c>
      <c r="F263" s="313">
        <v>42.0</v>
      </c>
      <c r="G263" s="313">
        <v>14.8</v>
      </c>
      <c r="H263" s="313" t="s">
        <v>1109</v>
      </c>
      <c r="I263" s="313" t="s">
        <v>1110</v>
      </c>
      <c r="J263" s="313">
        <v>0.5</v>
      </c>
      <c r="K263" s="313">
        <v>4.9</v>
      </c>
      <c r="L263" s="313">
        <v>2.6</v>
      </c>
      <c r="M263" s="313">
        <v>1.1</v>
      </c>
      <c r="N263" s="313">
        <v>0.9</v>
      </c>
      <c r="O263" s="313">
        <v>0.3</v>
      </c>
      <c r="P263" s="313">
        <v>0.6</v>
      </c>
      <c r="Q263" s="313">
        <v>-4.2</v>
      </c>
    </row>
    <row r="264">
      <c r="A264" s="313">
        <v>263.0</v>
      </c>
      <c r="B264" s="313">
        <v>145.3</v>
      </c>
      <c r="C264" s="314" t="s">
        <v>1111</v>
      </c>
      <c r="D264" s="313" t="s">
        <v>90</v>
      </c>
      <c r="E264" s="313" t="s">
        <v>449</v>
      </c>
      <c r="F264" s="313">
        <v>60.0</v>
      </c>
      <c r="G264" s="313">
        <v>23.8</v>
      </c>
      <c r="H264" s="313" t="s">
        <v>1112</v>
      </c>
      <c r="I264" s="313" t="s">
        <v>1113</v>
      </c>
      <c r="J264" s="313">
        <v>0.5</v>
      </c>
      <c r="K264" s="313">
        <v>7.4</v>
      </c>
      <c r="L264" s="313">
        <v>3.9</v>
      </c>
      <c r="M264" s="313">
        <v>1.1</v>
      </c>
      <c r="N264" s="313">
        <v>0.5</v>
      </c>
      <c r="O264" s="313">
        <v>1.2</v>
      </c>
      <c r="P264" s="313">
        <v>1.3</v>
      </c>
      <c r="Q264" s="313">
        <v>-4.2</v>
      </c>
    </row>
    <row r="265">
      <c r="A265" s="313">
        <v>264.0</v>
      </c>
      <c r="B265" s="320"/>
      <c r="C265" s="314" t="s">
        <v>1114</v>
      </c>
      <c r="D265" s="313" t="s">
        <v>92</v>
      </c>
      <c r="E265" s="313" t="s">
        <v>332</v>
      </c>
      <c r="F265" s="313">
        <v>50.0</v>
      </c>
      <c r="G265" s="313">
        <v>15.4</v>
      </c>
      <c r="H265" s="313" t="s">
        <v>1115</v>
      </c>
      <c r="I265" s="313" t="s">
        <v>1116</v>
      </c>
      <c r="J265" s="313">
        <v>0.0</v>
      </c>
      <c r="K265" s="313">
        <v>5.7</v>
      </c>
      <c r="L265" s="313">
        <v>4.1</v>
      </c>
      <c r="M265" s="313">
        <v>1.5</v>
      </c>
      <c r="N265" s="313">
        <v>0.6</v>
      </c>
      <c r="O265" s="313">
        <v>0.3</v>
      </c>
      <c r="P265" s="313">
        <v>0.7</v>
      </c>
      <c r="Q265" s="313">
        <v>-4.22</v>
      </c>
    </row>
    <row r="266">
      <c r="A266" s="313">
        <v>265.0</v>
      </c>
      <c r="B266" s="320"/>
      <c r="C266" s="314" t="s">
        <v>1117</v>
      </c>
      <c r="D266" s="313" t="s">
        <v>364</v>
      </c>
      <c r="E266" s="313" t="s">
        <v>312</v>
      </c>
      <c r="F266" s="313">
        <v>68.0</v>
      </c>
      <c r="G266" s="313">
        <v>19.8</v>
      </c>
      <c r="H266" s="313" t="s">
        <v>1118</v>
      </c>
      <c r="I266" s="313" t="s">
        <v>1119</v>
      </c>
      <c r="J266" s="313">
        <v>1.2</v>
      </c>
      <c r="K266" s="313">
        <v>8.5</v>
      </c>
      <c r="L266" s="313">
        <v>3.1</v>
      </c>
      <c r="M266" s="313">
        <v>1.1</v>
      </c>
      <c r="N266" s="313">
        <v>0.6</v>
      </c>
      <c r="O266" s="313">
        <v>0.3</v>
      </c>
      <c r="P266" s="313">
        <v>0.8</v>
      </c>
      <c r="Q266" s="313">
        <v>-4.25</v>
      </c>
    </row>
    <row r="267">
      <c r="A267" s="313">
        <v>266.0</v>
      </c>
      <c r="B267" s="320"/>
      <c r="C267" s="314" t="s">
        <v>1120</v>
      </c>
      <c r="D267" s="313" t="s">
        <v>277</v>
      </c>
      <c r="E267" s="313" t="s">
        <v>495</v>
      </c>
      <c r="F267" s="313">
        <v>40.0</v>
      </c>
      <c r="G267" s="313">
        <v>20.4</v>
      </c>
      <c r="H267" s="313" t="s">
        <v>1121</v>
      </c>
      <c r="I267" s="313" t="s">
        <v>1122</v>
      </c>
      <c r="J267" s="313">
        <v>0.7</v>
      </c>
      <c r="K267" s="313">
        <v>7.0</v>
      </c>
      <c r="L267" s="313">
        <v>2.2</v>
      </c>
      <c r="M267" s="313">
        <v>4.4</v>
      </c>
      <c r="N267" s="313">
        <v>0.9</v>
      </c>
      <c r="O267" s="313">
        <v>0.3</v>
      </c>
      <c r="P267" s="313">
        <v>1.5</v>
      </c>
      <c r="Q267" s="313">
        <v>-4.26</v>
      </c>
    </row>
    <row r="268">
      <c r="A268" s="313">
        <v>267.0</v>
      </c>
      <c r="B268" s="320"/>
      <c r="C268" s="314" t="s">
        <v>1123</v>
      </c>
      <c r="D268" s="313" t="s">
        <v>364</v>
      </c>
      <c r="E268" s="313" t="s">
        <v>278</v>
      </c>
      <c r="F268" s="313">
        <v>60.0</v>
      </c>
      <c r="G268" s="313">
        <v>22.1</v>
      </c>
      <c r="H268" s="313" t="s">
        <v>1124</v>
      </c>
      <c r="I268" s="313" t="s">
        <v>1125</v>
      </c>
      <c r="J268" s="313">
        <v>1.7</v>
      </c>
      <c r="K268" s="313">
        <v>8.2</v>
      </c>
      <c r="L268" s="313">
        <v>2.3</v>
      </c>
      <c r="M268" s="313">
        <v>1.5</v>
      </c>
      <c r="N268" s="313">
        <v>0.6</v>
      </c>
      <c r="O268" s="313">
        <v>0.2</v>
      </c>
      <c r="P268" s="313">
        <v>0.7</v>
      </c>
      <c r="Q268" s="313">
        <v>-4.27</v>
      </c>
    </row>
    <row r="269">
      <c r="A269" s="313">
        <v>268.0</v>
      </c>
      <c r="B269" s="320"/>
      <c r="C269" s="314" t="s">
        <v>1126</v>
      </c>
      <c r="D269" s="313" t="s">
        <v>303</v>
      </c>
      <c r="E269" s="313" t="s">
        <v>449</v>
      </c>
      <c r="F269" s="313">
        <v>58.0</v>
      </c>
      <c r="G269" s="313">
        <v>18.9</v>
      </c>
      <c r="H269" s="313" t="s">
        <v>1127</v>
      </c>
      <c r="I269" s="313" t="s">
        <v>1128</v>
      </c>
      <c r="J269" s="313">
        <v>1.0</v>
      </c>
      <c r="K269" s="313">
        <v>5.7</v>
      </c>
      <c r="L269" s="313">
        <v>4.1</v>
      </c>
      <c r="M269" s="313">
        <v>1.1</v>
      </c>
      <c r="N269" s="313">
        <v>0.5</v>
      </c>
      <c r="O269" s="313">
        <v>0.5</v>
      </c>
      <c r="P269" s="313">
        <v>0.7</v>
      </c>
      <c r="Q269" s="313">
        <v>-4.31</v>
      </c>
    </row>
    <row r="270">
      <c r="A270" s="313">
        <v>269.0</v>
      </c>
      <c r="B270" s="320"/>
      <c r="C270" s="314" t="s">
        <v>1129</v>
      </c>
      <c r="D270" s="313" t="s">
        <v>277</v>
      </c>
      <c r="E270" s="313" t="s">
        <v>283</v>
      </c>
      <c r="F270" s="313">
        <v>60.0</v>
      </c>
      <c r="G270" s="313">
        <v>24.4</v>
      </c>
      <c r="H270" s="313" t="s">
        <v>1130</v>
      </c>
      <c r="I270" s="313" t="s">
        <v>1131</v>
      </c>
      <c r="J270" s="313">
        <v>1.5</v>
      </c>
      <c r="K270" s="313">
        <v>8.4</v>
      </c>
      <c r="L270" s="313">
        <v>1.9</v>
      </c>
      <c r="M270" s="313">
        <v>2.3</v>
      </c>
      <c r="N270" s="313">
        <v>0.9</v>
      </c>
      <c r="O270" s="313">
        <v>0.1</v>
      </c>
      <c r="P270" s="313">
        <v>1.2</v>
      </c>
      <c r="Q270" s="313">
        <v>-4.32</v>
      </c>
    </row>
    <row r="271">
      <c r="A271" s="313">
        <v>270.0</v>
      </c>
      <c r="B271" s="320"/>
      <c r="C271" s="314" t="s">
        <v>1132</v>
      </c>
      <c r="D271" s="313" t="s">
        <v>303</v>
      </c>
      <c r="E271" s="313" t="s">
        <v>265</v>
      </c>
      <c r="F271" s="313">
        <v>60.0</v>
      </c>
      <c r="G271" s="313">
        <v>17.4</v>
      </c>
      <c r="H271" s="313" t="s">
        <v>1133</v>
      </c>
      <c r="I271" s="313" t="s">
        <v>1134</v>
      </c>
      <c r="J271" s="313">
        <v>1.4</v>
      </c>
      <c r="K271" s="313">
        <v>6.8</v>
      </c>
      <c r="L271" s="313">
        <v>2.7</v>
      </c>
      <c r="M271" s="313">
        <v>1.2</v>
      </c>
      <c r="N271" s="313">
        <v>0.6</v>
      </c>
      <c r="O271" s="313">
        <v>0.5</v>
      </c>
      <c r="P271" s="313">
        <v>0.7</v>
      </c>
      <c r="Q271" s="313">
        <v>-4.37</v>
      </c>
    </row>
    <row r="272">
      <c r="A272" s="313">
        <v>271.0</v>
      </c>
      <c r="B272" s="320"/>
      <c r="C272" s="314" t="s">
        <v>1135</v>
      </c>
      <c r="D272" s="313" t="s">
        <v>97</v>
      </c>
      <c r="E272" s="313" t="s">
        <v>354</v>
      </c>
      <c r="F272" s="313">
        <v>70.0</v>
      </c>
      <c r="G272" s="313">
        <v>14.6</v>
      </c>
      <c r="H272" s="313" t="s">
        <v>1136</v>
      </c>
      <c r="I272" s="313" t="s">
        <v>1137</v>
      </c>
      <c r="J272" s="313">
        <v>0.1</v>
      </c>
      <c r="K272" s="313">
        <v>4.8</v>
      </c>
      <c r="L272" s="313">
        <v>4.0</v>
      </c>
      <c r="M272" s="313">
        <v>0.9</v>
      </c>
      <c r="N272" s="313">
        <v>0.4</v>
      </c>
      <c r="O272" s="313">
        <v>0.9</v>
      </c>
      <c r="P272" s="313">
        <v>0.7</v>
      </c>
      <c r="Q272" s="313">
        <v>-4.38</v>
      </c>
    </row>
    <row r="273">
      <c r="A273" s="313">
        <v>272.0</v>
      </c>
      <c r="B273" s="320"/>
      <c r="C273" s="314" t="s">
        <v>1138</v>
      </c>
      <c r="D273" s="313" t="s">
        <v>364</v>
      </c>
      <c r="E273" s="313" t="s">
        <v>291</v>
      </c>
      <c r="F273" s="313">
        <v>70.0</v>
      </c>
      <c r="G273" s="313">
        <v>23.6</v>
      </c>
      <c r="H273" s="313" t="s">
        <v>1139</v>
      </c>
      <c r="I273" s="313" t="s">
        <v>1140</v>
      </c>
      <c r="J273" s="313">
        <v>1.3</v>
      </c>
      <c r="K273" s="313">
        <v>6.7</v>
      </c>
      <c r="L273" s="313">
        <v>4.0</v>
      </c>
      <c r="M273" s="313">
        <v>1.8</v>
      </c>
      <c r="N273" s="313">
        <v>0.6</v>
      </c>
      <c r="O273" s="313">
        <v>0.2</v>
      </c>
      <c r="P273" s="313">
        <v>0.6</v>
      </c>
      <c r="Q273" s="313">
        <v>-4.4</v>
      </c>
    </row>
    <row r="274">
      <c r="A274" s="313">
        <v>273.0</v>
      </c>
      <c r="B274" s="320"/>
      <c r="C274" s="314" t="s">
        <v>1141</v>
      </c>
      <c r="D274" s="313" t="s">
        <v>92</v>
      </c>
      <c r="E274" s="313" t="s">
        <v>465</v>
      </c>
      <c r="F274" s="313">
        <v>68.0</v>
      </c>
      <c r="G274" s="313">
        <v>20.2</v>
      </c>
      <c r="H274" s="313" t="s">
        <v>1142</v>
      </c>
      <c r="I274" s="313" t="s">
        <v>1143</v>
      </c>
      <c r="J274" s="313">
        <v>0.7</v>
      </c>
      <c r="K274" s="313">
        <v>6.2</v>
      </c>
      <c r="L274" s="313">
        <v>4.0</v>
      </c>
      <c r="M274" s="313">
        <v>1.0</v>
      </c>
      <c r="N274" s="313">
        <v>0.8</v>
      </c>
      <c r="O274" s="313">
        <v>0.4</v>
      </c>
      <c r="P274" s="313">
        <v>1.0</v>
      </c>
      <c r="Q274" s="313">
        <v>-4.41</v>
      </c>
    </row>
    <row r="275">
      <c r="A275" s="313">
        <v>274.0</v>
      </c>
      <c r="B275" s="320"/>
      <c r="C275" s="314" t="s">
        <v>1144</v>
      </c>
      <c r="D275" s="313" t="s">
        <v>364</v>
      </c>
      <c r="E275" s="313" t="s">
        <v>342</v>
      </c>
      <c r="F275" s="313">
        <v>40.0</v>
      </c>
      <c r="G275" s="313">
        <v>23.4</v>
      </c>
      <c r="H275" s="313" t="s">
        <v>1145</v>
      </c>
      <c r="I275" s="313" t="s">
        <v>1146</v>
      </c>
      <c r="J275" s="313">
        <v>0.8</v>
      </c>
      <c r="K275" s="313">
        <v>6.6</v>
      </c>
      <c r="L275" s="313">
        <v>3.6</v>
      </c>
      <c r="M275" s="313">
        <v>3.1</v>
      </c>
      <c r="N275" s="313">
        <v>1.0</v>
      </c>
      <c r="O275" s="313">
        <v>0.5</v>
      </c>
      <c r="P275" s="313">
        <v>1.2</v>
      </c>
      <c r="Q275" s="313">
        <v>-4.45</v>
      </c>
    </row>
    <row r="276">
      <c r="A276" s="313">
        <v>275.0</v>
      </c>
      <c r="B276" s="320"/>
      <c r="C276" s="314" t="s">
        <v>1147</v>
      </c>
      <c r="D276" s="313" t="s">
        <v>364</v>
      </c>
      <c r="E276" s="313" t="s">
        <v>375</v>
      </c>
      <c r="F276" s="313">
        <v>60.0</v>
      </c>
      <c r="G276" s="313">
        <v>17.2</v>
      </c>
      <c r="H276" s="313" t="s">
        <v>1148</v>
      </c>
      <c r="I276" s="313" t="s">
        <v>1149</v>
      </c>
      <c r="J276" s="313">
        <v>1.7</v>
      </c>
      <c r="K276" s="313">
        <v>10.0</v>
      </c>
      <c r="L276" s="313">
        <v>2.3</v>
      </c>
      <c r="M276" s="313">
        <v>1.5</v>
      </c>
      <c r="N276" s="313">
        <v>0.5</v>
      </c>
      <c r="O276" s="313">
        <v>0.2</v>
      </c>
      <c r="P276" s="313">
        <v>0.8</v>
      </c>
      <c r="Q276" s="313">
        <v>-4.5</v>
      </c>
    </row>
    <row r="277">
      <c r="A277" s="313">
        <v>276.0</v>
      </c>
      <c r="B277" s="320"/>
      <c r="C277" s="314" t="s">
        <v>1150</v>
      </c>
      <c r="D277" s="313" t="s">
        <v>303</v>
      </c>
      <c r="E277" s="313" t="s">
        <v>317</v>
      </c>
      <c r="F277" s="313">
        <v>44.0</v>
      </c>
      <c r="G277" s="313">
        <v>19.3</v>
      </c>
      <c r="H277" s="313" t="s">
        <v>1151</v>
      </c>
      <c r="I277" s="313" t="s">
        <v>1152</v>
      </c>
      <c r="J277" s="313">
        <v>1.2</v>
      </c>
      <c r="K277" s="313">
        <v>4.9</v>
      </c>
      <c r="L277" s="313">
        <v>3.6</v>
      </c>
      <c r="M277" s="313">
        <v>0.8</v>
      </c>
      <c r="N277" s="313">
        <v>0.7</v>
      </c>
      <c r="O277" s="313">
        <v>0.5</v>
      </c>
      <c r="P277" s="313">
        <v>0.4</v>
      </c>
      <c r="Q277" s="313">
        <v>-4.54</v>
      </c>
    </row>
    <row r="278">
      <c r="A278" s="313">
        <v>277.0</v>
      </c>
      <c r="B278" s="320"/>
      <c r="C278" s="314" t="s">
        <v>1153</v>
      </c>
      <c r="D278" s="313" t="s">
        <v>364</v>
      </c>
      <c r="E278" s="313" t="s">
        <v>273</v>
      </c>
      <c r="F278" s="313">
        <v>74.0</v>
      </c>
      <c r="G278" s="313">
        <v>15.8</v>
      </c>
      <c r="H278" s="313" t="s">
        <v>1154</v>
      </c>
      <c r="I278" s="313" t="s">
        <v>1155</v>
      </c>
      <c r="J278" s="313">
        <v>0.7</v>
      </c>
      <c r="K278" s="313">
        <v>6.5</v>
      </c>
      <c r="L278" s="313">
        <v>2.5</v>
      </c>
      <c r="M278" s="313">
        <v>1.1</v>
      </c>
      <c r="N278" s="313">
        <v>0.6</v>
      </c>
      <c r="O278" s="313">
        <v>0.2</v>
      </c>
      <c r="P278" s="313">
        <v>0.7</v>
      </c>
      <c r="Q278" s="313">
        <v>-4.57</v>
      </c>
    </row>
    <row r="279">
      <c r="A279" s="313">
        <v>278.0</v>
      </c>
      <c r="B279" s="320"/>
      <c r="C279" s="314" t="s">
        <v>1156</v>
      </c>
      <c r="D279" s="313" t="s">
        <v>277</v>
      </c>
      <c r="E279" s="313" t="s">
        <v>495</v>
      </c>
      <c r="F279" s="313">
        <v>46.0</v>
      </c>
      <c r="G279" s="313">
        <v>20.3</v>
      </c>
      <c r="H279" s="313" t="s">
        <v>1157</v>
      </c>
      <c r="I279" s="313" t="s">
        <v>1158</v>
      </c>
      <c r="J279" s="313">
        <v>0.7</v>
      </c>
      <c r="K279" s="313">
        <v>8.1</v>
      </c>
      <c r="L279" s="313">
        <v>2.5</v>
      </c>
      <c r="M279" s="313">
        <v>2.9</v>
      </c>
      <c r="N279" s="313">
        <v>0.4</v>
      </c>
      <c r="O279" s="313">
        <v>0.2</v>
      </c>
      <c r="P279" s="313">
        <v>1.2</v>
      </c>
      <c r="Q279" s="313">
        <v>-4.58</v>
      </c>
    </row>
    <row r="280">
      <c r="A280" s="313">
        <v>279.0</v>
      </c>
      <c r="B280" s="320"/>
      <c r="C280" s="314" t="s">
        <v>1159</v>
      </c>
      <c r="D280" s="313" t="s">
        <v>282</v>
      </c>
      <c r="E280" s="313" t="s">
        <v>375</v>
      </c>
      <c r="F280" s="313">
        <v>48.0</v>
      </c>
      <c r="G280" s="313">
        <v>15.5</v>
      </c>
      <c r="H280" s="313" t="s">
        <v>1160</v>
      </c>
      <c r="I280" s="313" t="s">
        <v>1161</v>
      </c>
      <c r="J280" s="313">
        <v>1.3</v>
      </c>
      <c r="K280" s="313">
        <v>7.2</v>
      </c>
      <c r="L280" s="313">
        <v>5.3</v>
      </c>
      <c r="M280" s="313">
        <v>1.7</v>
      </c>
      <c r="N280" s="313">
        <v>0.3</v>
      </c>
      <c r="O280" s="313">
        <v>0.2</v>
      </c>
      <c r="P280" s="313">
        <v>0.9</v>
      </c>
      <c r="Q280" s="313">
        <v>-4.59</v>
      </c>
    </row>
    <row r="281">
      <c r="A281" s="313">
        <v>280.0</v>
      </c>
      <c r="B281" s="320"/>
      <c r="C281" s="314" t="s">
        <v>1162</v>
      </c>
      <c r="D281" s="313" t="s">
        <v>92</v>
      </c>
      <c r="E281" s="313" t="s">
        <v>295</v>
      </c>
      <c r="F281" s="313">
        <v>42.0</v>
      </c>
      <c r="G281" s="313">
        <v>14.2</v>
      </c>
      <c r="H281" s="313" t="s">
        <v>1163</v>
      </c>
      <c r="I281" s="313" t="s">
        <v>1164</v>
      </c>
      <c r="J281" s="313">
        <v>0.9</v>
      </c>
      <c r="K281" s="313">
        <v>5.1</v>
      </c>
      <c r="L281" s="313">
        <v>2.7</v>
      </c>
      <c r="M281" s="313">
        <v>1.7</v>
      </c>
      <c r="N281" s="313">
        <v>0.6</v>
      </c>
      <c r="O281" s="313">
        <v>0.5</v>
      </c>
      <c r="P281" s="313">
        <v>0.7</v>
      </c>
      <c r="Q281" s="313">
        <v>-4.66</v>
      </c>
    </row>
    <row r="282">
      <c r="A282" s="313">
        <v>281.0</v>
      </c>
      <c r="B282" s="320"/>
      <c r="C282" s="314" t="s">
        <v>1165</v>
      </c>
      <c r="D282" s="313" t="s">
        <v>90</v>
      </c>
      <c r="E282" s="313" t="s">
        <v>490</v>
      </c>
      <c r="F282" s="313">
        <v>60.0</v>
      </c>
      <c r="G282" s="313">
        <v>16.4</v>
      </c>
      <c r="H282" s="313" t="s">
        <v>1166</v>
      </c>
      <c r="I282" s="313" t="s">
        <v>1167</v>
      </c>
      <c r="J282" s="313">
        <v>1.3</v>
      </c>
      <c r="K282" s="313">
        <v>6.0</v>
      </c>
      <c r="L282" s="313">
        <v>2.4</v>
      </c>
      <c r="M282" s="313">
        <v>1.7</v>
      </c>
      <c r="N282" s="313">
        <v>0.7</v>
      </c>
      <c r="O282" s="313">
        <v>0.3</v>
      </c>
      <c r="P282" s="313">
        <v>1.2</v>
      </c>
      <c r="Q282" s="313">
        <v>-4.67</v>
      </c>
    </row>
    <row r="283">
      <c r="A283" s="313">
        <v>282.0</v>
      </c>
      <c r="B283" s="320"/>
      <c r="C283" s="314" t="s">
        <v>1168</v>
      </c>
      <c r="D283" s="313" t="s">
        <v>303</v>
      </c>
      <c r="E283" s="313" t="s">
        <v>365</v>
      </c>
      <c r="F283" s="313">
        <v>54.0</v>
      </c>
      <c r="G283" s="313">
        <v>9.8</v>
      </c>
      <c r="H283" s="313" t="s">
        <v>1169</v>
      </c>
      <c r="I283" s="313" t="s">
        <v>1170</v>
      </c>
      <c r="J283" s="313">
        <v>0.3</v>
      </c>
      <c r="K283" s="313">
        <v>5.2</v>
      </c>
      <c r="L283" s="313">
        <v>2.3</v>
      </c>
      <c r="M283" s="313">
        <v>0.7</v>
      </c>
      <c r="N283" s="313">
        <v>0.5</v>
      </c>
      <c r="O283" s="313">
        <v>0.6</v>
      </c>
      <c r="P283" s="313">
        <v>0.3</v>
      </c>
      <c r="Q283" s="313">
        <v>-4.68</v>
      </c>
    </row>
    <row r="284">
      <c r="A284" s="313">
        <v>283.0</v>
      </c>
      <c r="B284" s="313">
        <v>142.6</v>
      </c>
      <c r="C284" s="314" t="s">
        <v>1171</v>
      </c>
      <c r="D284" s="313" t="s">
        <v>303</v>
      </c>
      <c r="E284" s="313" t="s">
        <v>386</v>
      </c>
      <c r="F284" s="313">
        <v>45.0</v>
      </c>
      <c r="G284" s="313">
        <v>17.1</v>
      </c>
      <c r="H284" s="313" t="s">
        <v>1172</v>
      </c>
      <c r="I284" s="313" t="s">
        <v>1173</v>
      </c>
      <c r="J284" s="313">
        <v>1.6</v>
      </c>
      <c r="K284" s="313">
        <v>11.4</v>
      </c>
      <c r="L284" s="313">
        <v>3.5</v>
      </c>
      <c r="M284" s="313">
        <v>0.7</v>
      </c>
      <c r="N284" s="313">
        <v>0.6</v>
      </c>
      <c r="O284" s="313">
        <v>0.3</v>
      </c>
      <c r="P284" s="313">
        <v>0.9</v>
      </c>
      <c r="Q284" s="313">
        <v>-4.72</v>
      </c>
    </row>
    <row r="285">
      <c r="A285" s="313">
        <v>284.0</v>
      </c>
      <c r="B285" s="320"/>
      <c r="C285" s="314" t="s">
        <v>1174</v>
      </c>
      <c r="D285" s="313" t="s">
        <v>97</v>
      </c>
      <c r="E285" s="313" t="s">
        <v>324</v>
      </c>
      <c r="F285" s="313">
        <v>65.0</v>
      </c>
      <c r="G285" s="313">
        <v>16.4</v>
      </c>
      <c r="H285" s="313" t="s">
        <v>1175</v>
      </c>
      <c r="I285" s="313" t="s">
        <v>1176</v>
      </c>
      <c r="J285" s="313">
        <v>0.0</v>
      </c>
      <c r="K285" s="313">
        <v>6.7</v>
      </c>
      <c r="L285" s="313">
        <v>5.7</v>
      </c>
      <c r="M285" s="313">
        <v>1.8</v>
      </c>
      <c r="N285" s="313">
        <v>0.4</v>
      </c>
      <c r="O285" s="313">
        <v>0.4</v>
      </c>
      <c r="P285" s="313">
        <v>0.9</v>
      </c>
      <c r="Q285" s="313">
        <v>-4.79</v>
      </c>
    </row>
    <row r="286">
      <c r="A286" s="313">
        <v>285.0</v>
      </c>
      <c r="B286" s="320"/>
      <c r="C286" s="314" t="s">
        <v>1177</v>
      </c>
      <c r="D286" s="313" t="s">
        <v>364</v>
      </c>
      <c r="E286" s="313" t="s">
        <v>495</v>
      </c>
      <c r="F286" s="313">
        <v>45.0</v>
      </c>
      <c r="G286" s="313">
        <v>21.5</v>
      </c>
      <c r="H286" s="313" t="s">
        <v>1178</v>
      </c>
      <c r="I286" s="313" t="s">
        <v>1179</v>
      </c>
      <c r="J286" s="313">
        <v>1.1</v>
      </c>
      <c r="K286" s="313">
        <v>8.6</v>
      </c>
      <c r="L286" s="313">
        <v>3.5</v>
      </c>
      <c r="M286" s="313">
        <v>1.5</v>
      </c>
      <c r="N286" s="313">
        <v>0.7</v>
      </c>
      <c r="O286" s="313">
        <v>0.2</v>
      </c>
      <c r="P286" s="313">
        <v>1.4</v>
      </c>
      <c r="Q286" s="313">
        <v>-4.82</v>
      </c>
    </row>
    <row r="287">
      <c r="A287" s="313">
        <v>286.0</v>
      </c>
      <c r="B287" s="320"/>
      <c r="C287" s="314" t="s">
        <v>1180</v>
      </c>
      <c r="D287" s="313" t="s">
        <v>97</v>
      </c>
      <c r="E287" s="313" t="s">
        <v>379</v>
      </c>
      <c r="F287" s="313">
        <v>22.0</v>
      </c>
      <c r="G287" s="313">
        <v>8.8</v>
      </c>
      <c r="H287" s="313" t="s">
        <v>1181</v>
      </c>
      <c r="I287" s="313" t="s">
        <v>1182</v>
      </c>
      <c r="J287" s="313">
        <v>0.6</v>
      </c>
      <c r="K287" s="313">
        <v>4.6</v>
      </c>
      <c r="L287" s="313">
        <v>2.0</v>
      </c>
      <c r="M287" s="313">
        <v>0.7</v>
      </c>
      <c r="N287" s="313">
        <v>0.3</v>
      </c>
      <c r="O287" s="313">
        <v>0.4</v>
      </c>
      <c r="P287" s="313">
        <v>0.4</v>
      </c>
      <c r="Q287" s="313">
        <v>-4.82</v>
      </c>
    </row>
    <row r="288">
      <c r="A288" s="313">
        <v>287.0</v>
      </c>
      <c r="B288" s="320"/>
      <c r="C288" s="314" t="s">
        <v>1183</v>
      </c>
      <c r="D288" s="313" t="s">
        <v>364</v>
      </c>
      <c r="E288" s="313" t="s">
        <v>283</v>
      </c>
      <c r="F288" s="313">
        <v>67.0</v>
      </c>
      <c r="G288" s="313">
        <v>22.0</v>
      </c>
      <c r="H288" s="313" t="s">
        <v>1184</v>
      </c>
      <c r="I288" s="313" t="s">
        <v>1185</v>
      </c>
      <c r="J288" s="313">
        <v>1.0</v>
      </c>
      <c r="K288" s="313">
        <v>6.5</v>
      </c>
      <c r="L288" s="313">
        <v>3.3</v>
      </c>
      <c r="M288" s="313">
        <v>1.2</v>
      </c>
      <c r="N288" s="313">
        <v>0.4</v>
      </c>
      <c r="O288" s="313">
        <v>0.4</v>
      </c>
      <c r="P288" s="313">
        <v>0.7</v>
      </c>
      <c r="Q288" s="313">
        <v>-4.9</v>
      </c>
    </row>
    <row r="289">
      <c r="A289" s="313">
        <v>288.0</v>
      </c>
      <c r="B289" s="320"/>
      <c r="C289" s="314" t="s">
        <v>1186</v>
      </c>
      <c r="D289" s="313" t="s">
        <v>90</v>
      </c>
      <c r="E289" s="313" t="s">
        <v>324</v>
      </c>
      <c r="F289" s="313">
        <v>48.0</v>
      </c>
      <c r="G289" s="313">
        <v>15.1</v>
      </c>
      <c r="H289" s="313" t="s">
        <v>1187</v>
      </c>
      <c r="I289" s="313" t="s">
        <v>1188</v>
      </c>
      <c r="J289" s="313">
        <v>0.1</v>
      </c>
      <c r="K289" s="313">
        <v>4.1</v>
      </c>
      <c r="L289" s="313">
        <v>3.4</v>
      </c>
      <c r="M289" s="313">
        <v>0.4</v>
      </c>
      <c r="N289" s="313">
        <v>0.6</v>
      </c>
      <c r="O289" s="313">
        <v>1.1</v>
      </c>
      <c r="P289" s="313">
        <v>0.4</v>
      </c>
      <c r="Q289" s="313">
        <v>-4.93</v>
      </c>
    </row>
    <row r="290">
      <c r="A290" s="313">
        <v>289.0</v>
      </c>
      <c r="B290" s="320"/>
      <c r="C290" s="314" t="s">
        <v>1189</v>
      </c>
      <c r="D290" s="313" t="s">
        <v>97</v>
      </c>
      <c r="E290" s="313" t="s">
        <v>346</v>
      </c>
      <c r="F290" s="313">
        <v>42.0</v>
      </c>
      <c r="G290" s="313">
        <v>16.4</v>
      </c>
      <c r="H290" s="313" t="s">
        <v>1190</v>
      </c>
      <c r="I290" s="313" t="s">
        <v>1191</v>
      </c>
      <c r="J290" s="313">
        <v>0.0</v>
      </c>
      <c r="K290" s="313">
        <v>3.3</v>
      </c>
      <c r="L290" s="313">
        <v>4.8</v>
      </c>
      <c r="M290" s="313">
        <v>0.6</v>
      </c>
      <c r="N290" s="313">
        <v>0.3</v>
      </c>
      <c r="O290" s="313">
        <v>0.6</v>
      </c>
      <c r="P290" s="313">
        <v>0.5</v>
      </c>
      <c r="Q290" s="313">
        <v>-4.95</v>
      </c>
    </row>
    <row r="291">
      <c r="A291" s="313">
        <v>290.0</v>
      </c>
      <c r="B291" s="320"/>
      <c r="C291" s="314" t="s">
        <v>1192</v>
      </c>
      <c r="D291" s="313" t="s">
        <v>88</v>
      </c>
      <c r="E291" s="313" t="s">
        <v>283</v>
      </c>
      <c r="F291" s="313">
        <v>64.0</v>
      </c>
      <c r="G291" s="313">
        <v>17.4</v>
      </c>
      <c r="H291" s="313" t="s">
        <v>1193</v>
      </c>
      <c r="I291" s="313" t="s">
        <v>1194</v>
      </c>
      <c r="J291" s="313">
        <v>1.1</v>
      </c>
      <c r="K291" s="313">
        <v>9.0</v>
      </c>
      <c r="L291" s="313">
        <v>3.3</v>
      </c>
      <c r="M291" s="313">
        <v>1.1</v>
      </c>
      <c r="N291" s="313">
        <v>0.3</v>
      </c>
      <c r="O291" s="313">
        <v>0.4</v>
      </c>
      <c r="P291" s="313">
        <v>0.7</v>
      </c>
      <c r="Q291" s="313">
        <v>-4.99</v>
      </c>
    </row>
    <row r="292">
      <c r="A292" s="313">
        <v>291.0</v>
      </c>
      <c r="B292" s="320"/>
      <c r="C292" s="314" t="s">
        <v>1195</v>
      </c>
      <c r="D292" s="313" t="s">
        <v>364</v>
      </c>
      <c r="E292" s="313" t="s">
        <v>324</v>
      </c>
      <c r="F292" s="313">
        <v>64.0</v>
      </c>
      <c r="G292" s="313">
        <v>17.8</v>
      </c>
      <c r="H292" s="313" t="s">
        <v>1196</v>
      </c>
      <c r="I292" s="313" t="s">
        <v>1197</v>
      </c>
      <c r="J292" s="313">
        <v>1.3</v>
      </c>
      <c r="K292" s="313">
        <v>7.2</v>
      </c>
      <c r="L292" s="313">
        <v>2.7</v>
      </c>
      <c r="M292" s="313">
        <v>1.2</v>
      </c>
      <c r="N292" s="313">
        <v>0.4</v>
      </c>
      <c r="O292" s="313">
        <v>0.1</v>
      </c>
      <c r="P292" s="313">
        <v>0.9</v>
      </c>
      <c r="Q292" s="313">
        <v>-5.03</v>
      </c>
    </row>
    <row r="293">
      <c r="A293" s="313">
        <v>292.0</v>
      </c>
      <c r="B293" s="320"/>
      <c r="C293" s="314" t="s">
        <v>1198</v>
      </c>
      <c r="D293" s="313" t="s">
        <v>282</v>
      </c>
      <c r="E293" s="313" t="s">
        <v>332</v>
      </c>
      <c r="F293" s="313">
        <v>65.0</v>
      </c>
      <c r="G293" s="313">
        <v>13.4</v>
      </c>
      <c r="H293" s="313" t="s">
        <v>1199</v>
      </c>
      <c r="I293" s="313" t="s">
        <v>915</v>
      </c>
      <c r="J293" s="313">
        <v>0.6</v>
      </c>
      <c r="K293" s="313">
        <v>6.3</v>
      </c>
      <c r="L293" s="313">
        <v>3.8</v>
      </c>
      <c r="M293" s="313">
        <v>0.3</v>
      </c>
      <c r="N293" s="313">
        <v>0.4</v>
      </c>
      <c r="O293" s="313">
        <v>0.5</v>
      </c>
      <c r="P293" s="313">
        <v>0.4</v>
      </c>
      <c r="Q293" s="313">
        <v>-5.07</v>
      </c>
    </row>
    <row r="294">
      <c r="A294" s="313">
        <v>293.0</v>
      </c>
      <c r="B294" s="323"/>
      <c r="C294" s="314" t="s">
        <v>1200</v>
      </c>
      <c r="D294" s="313" t="s">
        <v>97</v>
      </c>
      <c r="E294" s="313" t="s">
        <v>465</v>
      </c>
      <c r="F294" s="313">
        <v>58.0</v>
      </c>
      <c r="G294" s="313">
        <v>14.3</v>
      </c>
      <c r="H294" s="313" t="s">
        <v>1201</v>
      </c>
      <c r="I294" s="313" t="s">
        <v>1202</v>
      </c>
      <c r="J294" s="313">
        <v>1.1</v>
      </c>
      <c r="K294" s="313">
        <v>7.3</v>
      </c>
      <c r="L294" s="313">
        <v>3.0</v>
      </c>
      <c r="M294" s="313">
        <v>0.8</v>
      </c>
      <c r="N294" s="313">
        <v>0.4</v>
      </c>
      <c r="O294" s="313">
        <v>0.5</v>
      </c>
      <c r="P294" s="313">
        <v>0.6</v>
      </c>
      <c r="Q294" s="313">
        <v>-5.12</v>
      </c>
    </row>
    <row r="295">
      <c r="A295" s="313">
        <v>294.0</v>
      </c>
      <c r="B295" s="323"/>
      <c r="C295" s="314" t="s">
        <v>1203</v>
      </c>
      <c r="D295" s="313" t="s">
        <v>277</v>
      </c>
      <c r="E295" s="313" t="s">
        <v>442</v>
      </c>
      <c r="F295" s="313">
        <v>50.0</v>
      </c>
      <c r="G295" s="313">
        <v>18.0</v>
      </c>
      <c r="H295" s="313" t="s">
        <v>1204</v>
      </c>
      <c r="I295" s="313" t="s">
        <v>1205</v>
      </c>
      <c r="J295" s="313">
        <v>1.3</v>
      </c>
      <c r="K295" s="313">
        <v>5.6</v>
      </c>
      <c r="L295" s="313">
        <v>1.4</v>
      </c>
      <c r="M295" s="313">
        <v>1.1</v>
      </c>
      <c r="N295" s="313">
        <v>0.7</v>
      </c>
      <c r="O295" s="313">
        <v>0.2</v>
      </c>
      <c r="P295" s="313">
        <v>0.4</v>
      </c>
      <c r="Q295" s="313">
        <v>-5.15</v>
      </c>
    </row>
    <row r="296">
      <c r="A296" s="313">
        <v>295.0</v>
      </c>
      <c r="B296" s="323"/>
      <c r="C296" s="314" t="s">
        <v>1206</v>
      </c>
      <c r="D296" s="313" t="s">
        <v>277</v>
      </c>
      <c r="E296" s="313" t="s">
        <v>278</v>
      </c>
      <c r="F296" s="313">
        <v>20.0</v>
      </c>
      <c r="G296" s="313">
        <v>16.7</v>
      </c>
      <c r="H296" s="313" t="s">
        <v>1207</v>
      </c>
      <c r="I296" s="313" t="s">
        <v>1208</v>
      </c>
      <c r="J296" s="313">
        <v>0.8</v>
      </c>
      <c r="K296" s="313">
        <v>6.4</v>
      </c>
      <c r="L296" s="313">
        <v>2.2</v>
      </c>
      <c r="M296" s="313">
        <v>2.3</v>
      </c>
      <c r="N296" s="313">
        <v>0.3</v>
      </c>
      <c r="O296" s="313">
        <v>0.1</v>
      </c>
      <c r="P296" s="313">
        <v>0.7</v>
      </c>
      <c r="Q296" s="313">
        <v>-5.19</v>
      </c>
    </row>
    <row r="297">
      <c r="A297" s="313">
        <v>296.0</v>
      </c>
      <c r="B297" s="320"/>
      <c r="C297" s="314" t="s">
        <v>1209</v>
      </c>
      <c r="D297" s="313" t="s">
        <v>92</v>
      </c>
      <c r="E297" s="313" t="s">
        <v>365</v>
      </c>
      <c r="F297" s="313">
        <v>44.0</v>
      </c>
      <c r="G297" s="313">
        <v>8.8</v>
      </c>
      <c r="H297" s="313" t="s">
        <v>1210</v>
      </c>
      <c r="I297" s="313" t="s">
        <v>1211</v>
      </c>
      <c r="J297" s="313">
        <v>0.3</v>
      </c>
      <c r="K297" s="313">
        <v>4.9</v>
      </c>
      <c r="L297" s="313">
        <v>3.4</v>
      </c>
      <c r="M297" s="313">
        <v>1.4</v>
      </c>
      <c r="N297" s="313">
        <v>0.3</v>
      </c>
      <c r="O297" s="313">
        <v>0.2</v>
      </c>
      <c r="P297" s="313">
        <v>0.2</v>
      </c>
      <c r="Q297" s="313">
        <v>-5.25</v>
      </c>
    </row>
    <row r="298">
      <c r="A298" s="313">
        <v>297.0</v>
      </c>
      <c r="B298" s="313">
        <v>139.8</v>
      </c>
      <c r="C298" s="314" t="s">
        <v>1212</v>
      </c>
      <c r="D298" s="313" t="s">
        <v>97</v>
      </c>
      <c r="E298" s="313" t="s">
        <v>386</v>
      </c>
      <c r="F298" s="313">
        <v>60.0</v>
      </c>
      <c r="G298" s="313">
        <v>17.8</v>
      </c>
      <c r="H298" s="313" t="s">
        <v>1213</v>
      </c>
      <c r="I298" s="313" t="s">
        <v>1214</v>
      </c>
      <c r="J298" s="313">
        <v>0.0</v>
      </c>
      <c r="K298" s="313">
        <v>5.7</v>
      </c>
      <c r="L298" s="313">
        <v>7.7</v>
      </c>
      <c r="M298" s="313">
        <v>1.5</v>
      </c>
      <c r="N298" s="313">
        <v>0.6</v>
      </c>
      <c r="O298" s="313">
        <v>0.7</v>
      </c>
      <c r="P298" s="313">
        <v>1.3</v>
      </c>
      <c r="Q298" s="313">
        <v>-5.26</v>
      </c>
    </row>
    <row r="299">
      <c r="A299" s="313">
        <v>298.0</v>
      </c>
      <c r="B299" s="323"/>
      <c r="C299" s="314" t="s">
        <v>1215</v>
      </c>
      <c r="D299" s="313" t="s">
        <v>97</v>
      </c>
      <c r="E299" s="313" t="s">
        <v>295</v>
      </c>
      <c r="F299" s="313">
        <v>50.0</v>
      </c>
      <c r="G299" s="313">
        <v>15.4</v>
      </c>
      <c r="H299" s="313" t="s">
        <v>1216</v>
      </c>
      <c r="I299" s="313" t="s">
        <v>1217</v>
      </c>
      <c r="J299" s="313">
        <v>0.0</v>
      </c>
      <c r="K299" s="313">
        <v>7.1</v>
      </c>
      <c r="L299" s="313">
        <v>4.8</v>
      </c>
      <c r="M299" s="313">
        <v>0.7</v>
      </c>
      <c r="N299" s="313">
        <v>0.2</v>
      </c>
      <c r="O299" s="313">
        <v>0.5</v>
      </c>
      <c r="P299" s="313">
        <v>0.9</v>
      </c>
      <c r="Q299" s="313">
        <v>-5.26</v>
      </c>
    </row>
    <row r="300">
      <c r="A300" s="313">
        <v>299.0</v>
      </c>
      <c r="B300" s="320"/>
      <c r="C300" s="314" t="s">
        <v>1218</v>
      </c>
      <c r="D300" s="313" t="s">
        <v>88</v>
      </c>
      <c r="E300" s="313" t="s">
        <v>342</v>
      </c>
      <c r="F300" s="313">
        <v>60.0</v>
      </c>
      <c r="G300" s="313">
        <v>15.9</v>
      </c>
      <c r="H300" s="313" t="s">
        <v>1219</v>
      </c>
      <c r="I300" s="313" t="s">
        <v>1220</v>
      </c>
      <c r="J300" s="313">
        <v>1.2</v>
      </c>
      <c r="K300" s="313">
        <v>7.0</v>
      </c>
      <c r="L300" s="313">
        <v>1.5</v>
      </c>
      <c r="M300" s="313">
        <v>1.3</v>
      </c>
      <c r="N300" s="313">
        <v>0.5</v>
      </c>
      <c r="O300" s="313">
        <v>0.1</v>
      </c>
      <c r="P300" s="313">
        <v>0.6</v>
      </c>
      <c r="Q300" s="313">
        <v>-5.3</v>
      </c>
    </row>
    <row r="301">
      <c r="A301" s="313">
        <v>300.0</v>
      </c>
      <c r="B301" s="323"/>
      <c r="C301" s="314" t="s">
        <v>1221</v>
      </c>
      <c r="D301" s="313" t="s">
        <v>282</v>
      </c>
      <c r="E301" s="313" t="s">
        <v>273</v>
      </c>
      <c r="F301" s="313">
        <v>69.0</v>
      </c>
      <c r="G301" s="313">
        <v>14.5</v>
      </c>
      <c r="H301" s="313" t="s">
        <v>1222</v>
      </c>
      <c r="I301" s="313" t="s">
        <v>1223</v>
      </c>
      <c r="J301" s="313">
        <v>0.8</v>
      </c>
      <c r="K301" s="313">
        <v>4.6</v>
      </c>
      <c r="L301" s="313">
        <v>3.8</v>
      </c>
      <c r="M301" s="313">
        <v>1.5</v>
      </c>
      <c r="N301" s="313">
        <v>0.5</v>
      </c>
      <c r="O301" s="313">
        <v>0.3</v>
      </c>
      <c r="P301" s="313">
        <v>0.6</v>
      </c>
      <c r="Q301" s="313">
        <v>-5.34</v>
      </c>
    </row>
    <row r="302">
      <c r="A302" s="313">
        <v>301.0</v>
      </c>
      <c r="B302" s="323"/>
      <c r="C302" s="314" t="s">
        <v>1224</v>
      </c>
      <c r="D302" s="313" t="s">
        <v>97</v>
      </c>
      <c r="E302" s="313" t="s">
        <v>414</v>
      </c>
      <c r="F302" s="313">
        <v>40.0</v>
      </c>
      <c r="G302" s="313">
        <v>13.3</v>
      </c>
      <c r="H302" s="313" t="s">
        <v>1225</v>
      </c>
      <c r="I302" s="313" t="s">
        <v>1226</v>
      </c>
      <c r="J302" s="313">
        <v>0.0</v>
      </c>
      <c r="K302" s="313">
        <v>4.2</v>
      </c>
      <c r="L302" s="313">
        <v>3.3</v>
      </c>
      <c r="M302" s="313">
        <v>0.7</v>
      </c>
      <c r="N302" s="313">
        <v>0.3</v>
      </c>
      <c r="O302" s="313">
        <v>0.7</v>
      </c>
      <c r="P302" s="313">
        <v>0.8</v>
      </c>
      <c r="Q302" s="313">
        <v>-5.4</v>
      </c>
    </row>
    <row r="303">
      <c r="A303" s="313">
        <v>302.0</v>
      </c>
      <c r="B303" s="323"/>
      <c r="C303" s="314" t="s">
        <v>1227</v>
      </c>
      <c r="D303" s="313" t="s">
        <v>97</v>
      </c>
      <c r="E303" s="313" t="s">
        <v>375</v>
      </c>
      <c r="F303" s="313">
        <v>38.0</v>
      </c>
      <c r="G303" s="313">
        <v>11.4</v>
      </c>
      <c r="H303" s="313" t="s">
        <v>1228</v>
      </c>
      <c r="I303" s="313" t="s">
        <v>1229</v>
      </c>
      <c r="J303" s="313">
        <v>0.2</v>
      </c>
      <c r="K303" s="313">
        <v>6.0</v>
      </c>
      <c r="L303" s="313">
        <v>3.6</v>
      </c>
      <c r="M303" s="313">
        <v>0.4</v>
      </c>
      <c r="N303" s="313">
        <v>0.2</v>
      </c>
      <c r="O303" s="313">
        <v>0.4</v>
      </c>
      <c r="P303" s="313">
        <v>0.5</v>
      </c>
      <c r="Q303" s="313">
        <v>-5.43</v>
      </c>
    </row>
    <row r="304">
      <c r="A304" s="313">
        <v>303.0</v>
      </c>
      <c r="B304" s="320"/>
      <c r="C304" s="314" t="s">
        <v>1230</v>
      </c>
      <c r="D304" s="313" t="s">
        <v>85</v>
      </c>
      <c r="E304" s="313" t="s">
        <v>350</v>
      </c>
      <c r="F304" s="313">
        <v>30.0</v>
      </c>
      <c r="G304" s="313">
        <v>14.5</v>
      </c>
      <c r="H304" s="313" t="s">
        <v>1231</v>
      </c>
      <c r="I304" s="313" t="s">
        <v>1232</v>
      </c>
      <c r="J304" s="313">
        <v>0.8</v>
      </c>
      <c r="K304" s="313">
        <v>6.1</v>
      </c>
      <c r="L304" s="313">
        <v>2.7</v>
      </c>
      <c r="M304" s="313">
        <v>1.1</v>
      </c>
      <c r="N304" s="313">
        <v>0.5</v>
      </c>
      <c r="O304" s="313">
        <v>0.3</v>
      </c>
      <c r="P304" s="313">
        <v>0.8</v>
      </c>
      <c r="Q304" s="313">
        <v>-5.44</v>
      </c>
    </row>
    <row r="305">
      <c r="A305" s="313">
        <v>304.0</v>
      </c>
      <c r="B305" s="320"/>
      <c r="C305" s="314" t="s">
        <v>1233</v>
      </c>
      <c r="D305" s="313" t="s">
        <v>364</v>
      </c>
      <c r="E305" s="313" t="s">
        <v>365</v>
      </c>
      <c r="F305" s="313">
        <v>50.0</v>
      </c>
      <c r="G305" s="313">
        <v>15.1</v>
      </c>
      <c r="H305" s="313" t="s">
        <v>1234</v>
      </c>
      <c r="I305" s="313" t="s">
        <v>1235</v>
      </c>
      <c r="J305" s="313">
        <v>1.1</v>
      </c>
      <c r="K305" s="313">
        <v>4.2</v>
      </c>
      <c r="L305" s="313">
        <v>1.9</v>
      </c>
      <c r="M305" s="313">
        <v>2.4</v>
      </c>
      <c r="N305" s="313">
        <v>0.5</v>
      </c>
      <c r="O305" s="313">
        <v>0.1</v>
      </c>
      <c r="P305" s="313">
        <v>0.8</v>
      </c>
      <c r="Q305" s="313">
        <v>-5.48</v>
      </c>
    </row>
    <row r="306">
      <c r="A306" s="313">
        <v>305.0</v>
      </c>
      <c r="B306" s="313">
        <v>140.6</v>
      </c>
      <c r="C306" s="314" t="s">
        <v>1236</v>
      </c>
      <c r="D306" s="313" t="s">
        <v>364</v>
      </c>
      <c r="E306" s="313" t="s">
        <v>428</v>
      </c>
      <c r="F306" s="313">
        <v>65.0</v>
      </c>
      <c r="G306" s="313">
        <v>18.3</v>
      </c>
      <c r="H306" s="313" t="s">
        <v>1237</v>
      </c>
      <c r="I306" s="313" t="s">
        <v>1238</v>
      </c>
      <c r="J306" s="313">
        <v>1.8</v>
      </c>
      <c r="K306" s="313">
        <v>9.3</v>
      </c>
      <c r="L306" s="313">
        <v>2.2</v>
      </c>
      <c r="M306" s="313">
        <v>1.2</v>
      </c>
      <c r="N306" s="313">
        <v>0.4</v>
      </c>
      <c r="O306" s="313">
        <v>0.1</v>
      </c>
      <c r="P306" s="313">
        <v>0.6</v>
      </c>
      <c r="Q306" s="313">
        <v>-5.48</v>
      </c>
    </row>
    <row r="307">
      <c r="A307" s="313">
        <v>306.0</v>
      </c>
      <c r="B307" s="313">
        <v>144.0</v>
      </c>
      <c r="C307" s="314" t="s">
        <v>1239</v>
      </c>
      <c r="D307" s="313" t="s">
        <v>277</v>
      </c>
      <c r="E307" s="313" t="s">
        <v>342</v>
      </c>
      <c r="F307" s="313">
        <v>62.0</v>
      </c>
      <c r="G307" s="313">
        <v>15.7</v>
      </c>
      <c r="H307" s="313" t="s">
        <v>1240</v>
      </c>
      <c r="I307" s="313" t="s">
        <v>1241</v>
      </c>
      <c r="J307" s="313">
        <v>0.9</v>
      </c>
      <c r="K307" s="313">
        <v>6.6</v>
      </c>
      <c r="L307" s="313">
        <v>2.2</v>
      </c>
      <c r="M307" s="313">
        <v>2.1</v>
      </c>
      <c r="N307" s="313">
        <v>0.7</v>
      </c>
      <c r="O307" s="313">
        <v>0.1</v>
      </c>
      <c r="P307" s="313">
        <v>0.9</v>
      </c>
      <c r="Q307" s="313">
        <v>-5.49</v>
      </c>
    </row>
    <row r="308">
      <c r="A308" s="313">
        <v>307.0</v>
      </c>
      <c r="B308" s="323"/>
      <c r="C308" s="314" t="s">
        <v>1242</v>
      </c>
      <c r="D308" s="313" t="s">
        <v>277</v>
      </c>
      <c r="E308" s="313" t="s">
        <v>332</v>
      </c>
      <c r="F308" s="313">
        <v>70.0</v>
      </c>
      <c r="G308" s="313">
        <v>18.8</v>
      </c>
      <c r="H308" s="313" t="s">
        <v>1243</v>
      </c>
      <c r="I308" s="313" t="s">
        <v>1244</v>
      </c>
      <c r="J308" s="313">
        <v>1.0</v>
      </c>
      <c r="K308" s="313">
        <v>6.6</v>
      </c>
      <c r="L308" s="313">
        <v>1.6</v>
      </c>
      <c r="M308" s="313">
        <v>2.5</v>
      </c>
      <c r="N308" s="313">
        <v>0.5</v>
      </c>
      <c r="O308" s="313">
        <v>0.1</v>
      </c>
      <c r="P308" s="313">
        <v>0.8</v>
      </c>
      <c r="Q308" s="313">
        <v>-5.5</v>
      </c>
    </row>
    <row r="309">
      <c r="A309" s="313">
        <v>308.0</v>
      </c>
      <c r="B309" s="323"/>
      <c r="C309" s="314" t="s">
        <v>1245</v>
      </c>
      <c r="D309" s="313" t="s">
        <v>364</v>
      </c>
      <c r="E309" s="313" t="s">
        <v>324</v>
      </c>
      <c r="F309" s="313">
        <v>62.0</v>
      </c>
      <c r="G309" s="313">
        <v>16.4</v>
      </c>
      <c r="H309" s="313" t="s">
        <v>1246</v>
      </c>
      <c r="I309" s="313" t="s">
        <v>1247</v>
      </c>
      <c r="J309" s="313">
        <v>0.7</v>
      </c>
      <c r="K309" s="313">
        <v>5.8</v>
      </c>
      <c r="L309" s="313">
        <v>2.9</v>
      </c>
      <c r="M309" s="313">
        <v>1.2</v>
      </c>
      <c r="N309" s="313">
        <v>0.8</v>
      </c>
      <c r="O309" s="313">
        <v>0.4</v>
      </c>
      <c r="P309" s="313">
        <v>0.7</v>
      </c>
      <c r="Q309" s="313">
        <v>-5.51</v>
      </c>
    </row>
    <row r="310">
      <c r="A310" s="313">
        <v>309.0</v>
      </c>
      <c r="B310" s="323"/>
      <c r="C310" s="314" t="s">
        <v>1248</v>
      </c>
      <c r="D310" s="313" t="s">
        <v>88</v>
      </c>
      <c r="E310" s="313" t="s">
        <v>304</v>
      </c>
      <c r="F310" s="313">
        <v>40.0</v>
      </c>
      <c r="G310" s="313">
        <v>12.1</v>
      </c>
      <c r="H310" s="313" t="s">
        <v>1249</v>
      </c>
      <c r="I310" s="313" t="s">
        <v>1250</v>
      </c>
      <c r="J310" s="313">
        <v>0.3</v>
      </c>
      <c r="K310" s="313">
        <v>4.2</v>
      </c>
      <c r="L310" s="313">
        <v>1.9</v>
      </c>
      <c r="M310" s="313">
        <v>1.1</v>
      </c>
      <c r="N310" s="313">
        <v>0.9</v>
      </c>
      <c r="O310" s="313">
        <v>0.4</v>
      </c>
      <c r="P310" s="313">
        <v>0.8</v>
      </c>
      <c r="Q310" s="313">
        <v>-5.54</v>
      </c>
    </row>
    <row r="311">
      <c r="A311" s="313">
        <v>310.0</v>
      </c>
      <c r="B311" s="320"/>
      <c r="C311" s="314" t="s">
        <v>1251</v>
      </c>
      <c r="D311" s="313" t="s">
        <v>282</v>
      </c>
      <c r="E311" s="313" t="s">
        <v>324</v>
      </c>
      <c r="F311" s="313">
        <v>34.0</v>
      </c>
      <c r="G311" s="313">
        <v>11.1</v>
      </c>
      <c r="H311" s="313" t="s">
        <v>1252</v>
      </c>
      <c r="I311" s="313" t="s">
        <v>1253</v>
      </c>
      <c r="J311" s="313">
        <v>0.3</v>
      </c>
      <c r="K311" s="313">
        <v>4.9</v>
      </c>
      <c r="L311" s="313">
        <v>3.1</v>
      </c>
      <c r="M311" s="313">
        <v>0.5</v>
      </c>
      <c r="N311" s="313">
        <v>0.2</v>
      </c>
      <c r="O311" s="313">
        <v>0.6</v>
      </c>
      <c r="P311" s="313">
        <v>0.7</v>
      </c>
      <c r="Q311" s="313">
        <v>-5.55</v>
      </c>
    </row>
    <row r="312">
      <c r="A312" s="313">
        <v>311.0</v>
      </c>
      <c r="B312" s="323"/>
      <c r="C312" s="314" t="s">
        <v>1254</v>
      </c>
      <c r="D312" s="313" t="s">
        <v>277</v>
      </c>
      <c r="E312" s="313" t="s">
        <v>346</v>
      </c>
      <c r="F312" s="313">
        <v>50.0</v>
      </c>
      <c r="G312" s="313">
        <v>14.1</v>
      </c>
      <c r="H312" s="313" t="s">
        <v>1255</v>
      </c>
      <c r="I312" s="313" t="s">
        <v>1256</v>
      </c>
      <c r="J312" s="313">
        <v>1.1</v>
      </c>
      <c r="K312" s="313">
        <v>6.7</v>
      </c>
      <c r="L312" s="313">
        <v>1.4</v>
      </c>
      <c r="M312" s="313">
        <v>2.6</v>
      </c>
      <c r="N312" s="313">
        <v>0.5</v>
      </c>
      <c r="O312" s="313">
        <v>0.1</v>
      </c>
      <c r="P312" s="313">
        <v>0.9</v>
      </c>
      <c r="Q312" s="313">
        <v>-5.57</v>
      </c>
    </row>
    <row r="313">
      <c r="A313" s="313">
        <v>312.0</v>
      </c>
      <c r="B313" s="323"/>
      <c r="C313" s="314" t="s">
        <v>1257</v>
      </c>
      <c r="D313" s="313" t="s">
        <v>277</v>
      </c>
      <c r="E313" s="313" t="s">
        <v>324</v>
      </c>
      <c r="F313" s="313">
        <v>60.0</v>
      </c>
      <c r="G313" s="313">
        <v>14.1</v>
      </c>
      <c r="H313" s="313" t="s">
        <v>1258</v>
      </c>
      <c r="I313" s="313" t="s">
        <v>1259</v>
      </c>
      <c r="J313" s="313">
        <v>0.7</v>
      </c>
      <c r="K313" s="313">
        <v>5.3</v>
      </c>
      <c r="L313" s="313">
        <v>1.8</v>
      </c>
      <c r="M313" s="313">
        <v>2.6</v>
      </c>
      <c r="N313" s="313">
        <v>0.4</v>
      </c>
      <c r="O313" s="313">
        <v>0.2</v>
      </c>
      <c r="P313" s="313">
        <v>0.4</v>
      </c>
      <c r="Q313" s="313">
        <v>-5.57</v>
      </c>
    </row>
    <row r="314">
      <c r="A314" s="313">
        <v>313.0</v>
      </c>
      <c r="B314" s="320"/>
      <c r="C314" s="314" t="s">
        <v>1260</v>
      </c>
      <c r="D314" s="313" t="s">
        <v>303</v>
      </c>
      <c r="E314" s="313" t="s">
        <v>308</v>
      </c>
      <c r="F314" s="313">
        <v>65.0</v>
      </c>
      <c r="G314" s="313">
        <v>20.8</v>
      </c>
      <c r="H314" s="313" t="s">
        <v>1261</v>
      </c>
      <c r="I314" s="313" t="s">
        <v>1262</v>
      </c>
      <c r="J314" s="313">
        <v>0.8</v>
      </c>
      <c r="K314" s="313">
        <v>6.4</v>
      </c>
      <c r="L314" s="313">
        <v>2.0</v>
      </c>
      <c r="M314" s="313">
        <v>1.3</v>
      </c>
      <c r="N314" s="313">
        <v>0.5</v>
      </c>
      <c r="O314" s="313">
        <v>0.2</v>
      </c>
      <c r="P314" s="313">
        <v>0.5</v>
      </c>
      <c r="Q314" s="313">
        <v>-5.58</v>
      </c>
    </row>
    <row r="315">
      <c r="A315" s="313">
        <v>314.0</v>
      </c>
      <c r="B315" s="320"/>
      <c r="C315" s="314" t="s">
        <v>1263</v>
      </c>
      <c r="D315" s="313" t="s">
        <v>277</v>
      </c>
      <c r="E315" s="313" t="s">
        <v>442</v>
      </c>
      <c r="F315" s="313">
        <v>70.0</v>
      </c>
      <c r="G315" s="313">
        <v>20.0</v>
      </c>
      <c r="H315" s="313" t="s">
        <v>1264</v>
      </c>
      <c r="I315" s="313" t="s">
        <v>1265</v>
      </c>
      <c r="J315" s="313">
        <v>0.7</v>
      </c>
      <c r="K315" s="313">
        <v>6.1</v>
      </c>
      <c r="L315" s="313">
        <v>2.7</v>
      </c>
      <c r="M315" s="313">
        <v>1.7</v>
      </c>
      <c r="N315" s="313">
        <v>0.7</v>
      </c>
      <c r="O315" s="313">
        <v>0.4</v>
      </c>
      <c r="P315" s="313">
        <v>1.1</v>
      </c>
      <c r="Q315" s="313">
        <v>-5.59</v>
      </c>
    </row>
    <row r="316">
      <c r="A316" s="313">
        <v>315.0</v>
      </c>
      <c r="B316" s="323"/>
      <c r="C316" s="314" t="s">
        <v>1266</v>
      </c>
      <c r="D316" s="313" t="s">
        <v>364</v>
      </c>
      <c r="E316" s="313" t="s">
        <v>283</v>
      </c>
      <c r="F316" s="313">
        <v>40.0</v>
      </c>
      <c r="G316" s="313">
        <v>17.5</v>
      </c>
      <c r="H316" s="313" t="s">
        <v>1267</v>
      </c>
      <c r="I316" s="313" t="s">
        <v>1268</v>
      </c>
      <c r="J316" s="313">
        <v>0.7</v>
      </c>
      <c r="K316" s="313">
        <v>5.8</v>
      </c>
      <c r="L316" s="313">
        <v>1.7</v>
      </c>
      <c r="M316" s="313">
        <v>0.9</v>
      </c>
      <c r="N316" s="313">
        <v>0.8</v>
      </c>
      <c r="O316" s="313">
        <v>0.3</v>
      </c>
      <c r="P316" s="313">
        <v>0.7</v>
      </c>
      <c r="Q316" s="313">
        <v>-5.6</v>
      </c>
    </row>
    <row r="317">
      <c r="A317" s="313">
        <v>316.0</v>
      </c>
      <c r="B317" s="323"/>
      <c r="C317" s="314" t="s">
        <v>1269</v>
      </c>
      <c r="D317" s="313" t="s">
        <v>88</v>
      </c>
      <c r="E317" s="313" t="s">
        <v>317</v>
      </c>
      <c r="F317" s="313">
        <v>58.0</v>
      </c>
      <c r="G317" s="313">
        <v>14.4</v>
      </c>
      <c r="H317" s="313" t="s">
        <v>1270</v>
      </c>
      <c r="I317" s="313" t="s">
        <v>1271</v>
      </c>
      <c r="J317" s="313">
        <v>1.9</v>
      </c>
      <c r="K317" s="313">
        <v>6.6</v>
      </c>
      <c r="L317" s="313">
        <v>1.7</v>
      </c>
      <c r="M317" s="313">
        <v>1.5</v>
      </c>
      <c r="N317" s="313">
        <v>0.3</v>
      </c>
      <c r="O317" s="313">
        <v>0.1</v>
      </c>
      <c r="P317" s="313">
        <v>0.3</v>
      </c>
      <c r="Q317" s="313">
        <v>-5.63</v>
      </c>
    </row>
    <row r="318">
      <c r="A318" s="313">
        <v>317.0</v>
      </c>
      <c r="B318" s="323"/>
      <c r="C318" s="314" t="s">
        <v>1272</v>
      </c>
      <c r="D318" s="313" t="s">
        <v>364</v>
      </c>
      <c r="E318" s="313" t="s">
        <v>332</v>
      </c>
      <c r="F318" s="313">
        <v>68.0</v>
      </c>
      <c r="G318" s="313">
        <v>20.5</v>
      </c>
      <c r="H318" s="313" t="s">
        <v>1273</v>
      </c>
      <c r="I318" s="313" t="s">
        <v>1274</v>
      </c>
      <c r="J318" s="313">
        <v>1.0</v>
      </c>
      <c r="K318" s="313">
        <v>6.7</v>
      </c>
      <c r="L318" s="313">
        <v>2.5</v>
      </c>
      <c r="M318" s="313">
        <v>1.1</v>
      </c>
      <c r="N318" s="313">
        <v>0.5</v>
      </c>
      <c r="O318" s="313">
        <v>0.4</v>
      </c>
      <c r="P318" s="313">
        <v>0.8</v>
      </c>
      <c r="Q318" s="313">
        <v>-5.63</v>
      </c>
    </row>
    <row r="319">
      <c r="A319" s="313">
        <v>318.0</v>
      </c>
      <c r="B319" s="323"/>
      <c r="C319" s="314" t="s">
        <v>1275</v>
      </c>
      <c r="D319" s="313" t="s">
        <v>303</v>
      </c>
      <c r="E319" s="313" t="s">
        <v>375</v>
      </c>
      <c r="F319" s="313">
        <v>60.0</v>
      </c>
      <c r="G319" s="313">
        <v>16.6</v>
      </c>
      <c r="H319" s="313" t="s">
        <v>1276</v>
      </c>
      <c r="I319" s="313" t="s">
        <v>1277</v>
      </c>
      <c r="J319" s="313">
        <v>0.8</v>
      </c>
      <c r="K319" s="313">
        <v>4.6</v>
      </c>
      <c r="L319" s="313">
        <v>2.9</v>
      </c>
      <c r="M319" s="313">
        <v>0.8</v>
      </c>
      <c r="N319" s="313">
        <v>0.6</v>
      </c>
      <c r="O319" s="313">
        <v>0.3</v>
      </c>
      <c r="P319" s="313">
        <v>0.6</v>
      </c>
      <c r="Q319" s="313">
        <v>-5.64</v>
      </c>
    </row>
    <row r="320">
      <c r="A320" s="313">
        <v>319.0</v>
      </c>
      <c r="B320" s="323"/>
      <c r="C320" s="314" t="s">
        <v>1278</v>
      </c>
      <c r="D320" s="313" t="s">
        <v>277</v>
      </c>
      <c r="E320" s="313" t="s">
        <v>265</v>
      </c>
      <c r="F320" s="313">
        <v>65.0</v>
      </c>
      <c r="G320" s="313">
        <v>19.7</v>
      </c>
      <c r="H320" s="313" t="s">
        <v>1279</v>
      </c>
      <c r="I320" s="313" t="s">
        <v>1280</v>
      </c>
      <c r="J320" s="313">
        <v>1.1</v>
      </c>
      <c r="K320" s="313">
        <v>8.6</v>
      </c>
      <c r="L320" s="313">
        <v>2.1</v>
      </c>
      <c r="M320" s="313">
        <v>1.8</v>
      </c>
      <c r="N320" s="313">
        <v>0.4</v>
      </c>
      <c r="O320" s="313">
        <v>0.1</v>
      </c>
      <c r="P320" s="313">
        <v>1.1</v>
      </c>
      <c r="Q320" s="313">
        <v>-5.66</v>
      </c>
    </row>
    <row r="321">
      <c r="A321" s="313">
        <v>320.0</v>
      </c>
      <c r="B321" s="323"/>
      <c r="C321" s="314" t="s">
        <v>1281</v>
      </c>
      <c r="D321" s="313" t="s">
        <v>97</v>
      </c>
      <c r="E321" s="313" t="s">
        <v>265</v>
      </c>
      <c r="F321" s="313">
        <v>20.0</v>
      </c>
      <c r="G321" s="313">
        <v>8.8</v>
      </c>
      <c r="H321" s="313" t="s">
        <v>1282</v>
      </c>
      <c r="I321" s="313" t="s">
        <v>1283</v>
      </c>
      <c r="J321" s="313">
        <v>0.0</v>
      </c>
      <c r="K321" s="313">
        <v>3.3</v>
      </c>
      <c r="L321" s="313">
        <v>3.4</v>
      </c>
      <c r="M321" s="313">
        <v>0.9</v>
      </c>
      <c r="N321" s="313">
        <v>0.3</v>
      </c>
      <c r="O321" s="313">
        <v>0.6</v>
      </c>
      <c r="P321" s="313">
        <v>0.7</v>
      </c>
      <c r="Q321" s="313">
        <v>-5.7</v>
      </c>
    </row>
    <row r="322">
      <c r="A322" s="313">
        <v>321.0</v>
      </c>
      <c r="B322" s="323"/>
      <c r="C322" s="314" t="s">
        <v>1284</v>
      </c>
      <c r="D322" s="313" t="s">
        <v>282</v>
      </c>
      <c r="E322" s="313" t="s">
        <v>278</v>
      </c>
      <c r="F322" s="313">
        <v>40.0</v>
      </c>
      <c r="G322" s="313">
        <v>18.5</v>
      </c>
      <c r="H322" s="313" t="s">
        <v>1285</v>
      </c>
      <c r="I322" s="313" t="s">
        <v>1286</v>
      </c>
      <c r="J322" s="313">
        <v>0.7</v>
      </c>
      <c r="K322" s="313">
        <v>4.3</v>
      </c>
      <c r="L322" s="313">
        <v>2.9</v>
      </c>
      <c r="M322" s="313">
        <v>1.2</v>
      </c>
      <c r="N322" s="313">
        <v>0.3</v>
      </c>
      <c r="O322" s="313">
        <v>0.6</v>
      </c>
      <c r="P322" s="313">
        <v>0.6</v>
      </c>
      <c r="Q322" s="313">
        <v>-5.71</v>
      </c>
    </row>
    <row r="323">
      <c r="A323" s="313">
        <v>322.0</v>
      </c>
      <c r="B323" s="323"/>
      <c r="C323" s="314" t="s">
        <v>1287</v>
      </c>
      <c r="D323" s="320"/>
      <c r="E323" s="313" t="s">
        <v>287</v>
      </c>
      <c r="F323" s="313">
        <v>60.0</v>
      </c>
      <c r="G323" s="313">
        <v>12.4</v>
      </c>
      <c r="H323" s="313" t="s">
        <v>1288</v>
      </c>
      <c r="I323" s="313" t="s">
        <v>1289</v>
      </c>
      <c r="J323" s="313">
        <v>0.9</v>
      </c>
      <c r="K323" s="313">
        <v>5.7</v>
      </c>
      <c r="L323" s="313">
        <v>2.7</v>
      </c>
      <c r="M323" s="313">
        <v>0.8</v>
      </c>
      <c r="N323" s="313">
        <v>0.4</v>
      </c>
      <c r="O323" s="313">
        <v>0.4</v>
      </c>
      <c r="P323" s="313">
        <v>0.8</v>
      </c>
      <c r="Q323" s="313">
        <v>-5.73</v>
      </c>
    </row>
    <row r="324">
      <c r="A324" s="313">
        <v>323.0</v>
      </c>
      <c r="B324" s="323"/>
      <c r="C324" s="314" t="s">
        <v>1290</v>
      </c>
      <c r="D324" s="313" t="s">
        <v>92</v>
      </c>
      <c r="E324" s="313" t="s">
        <v>354</v>
      </c>
      <c r="F324" s="313">
        <v>54.0</v>
      </c>
      <c r="G324" s="313">
        <v>15.2</v>
      </c>
      <c r="H324" s="313" t="s">
        <v>1292</v>
      </c>
      <c r="I324" s="313" t="s">
        <v>1293</v>
      </c>
      <c r="J324" s="313">
        <v>0.4</v>
      </c>
      <c r="K324" s="313">
        <v>6.2</v>
      </c>
      <c r="L324" s="313">
        <v>3.1</v>
      </c>
      <c r="M324" s="313">
        <v>1.0</v>
      </c>
      <c r="N324" s="313">
        <v>0.4</v>
      </c>
      <c r="O324" s="313">
        <v>0.6</v>
      </c>
      <c r="P324" s="313">
        <v>0.8</v>
      </c>
      <c r="Q324" s="313">
        <v>-5.76</v>
      </c>
    </row>
    <row r="325">
      <c r="A325" s="313">
        <v>324.0</v>
      </c>
      <c r="B325" s="323"/>
      <c r="C325" s="314" t="s">
        <v>1294</v>
      </c>
      <c r="D325" s="313" t="s">
        <v>282</v>
      </c>
      <c r="E325" s="313" t="s">
        <v>283</v>
      </c>
      <c r="F325" s="313">
        <v>70.0</v>
      </c>
      <c r="G325" s="313">
        <v>13.6</v>
      </c>
      <c r="H325" s="313" t="s">
        <v>1295</v>
      </c>
      <c r="I325" s="313" t="s">
        <v>1296</v>
      </c>
      <c r="J325" s="313">
        <v>0.0</v>
      </c>
      <c r="K325" s="313">
        <v>5.0</v>
      </c>
      <c r="L325" s="313">
        <v>3.2</v>
      </c>
      <c r="M325" s="313">
        <v>0.6</v>
      </c>
      <c r="N325" s="313">
        <v>0.5</v>
      </c>
      <c r="O325" s="313">
        <v>0.4</v>
      </c>
      <c r="P325" s="313">
        <v>0.7</v>
      </c>
      <c r="Q325" s="313">
        <v>-5.76</v>
      </c>
    </row>
    <row r="326">
      <c r="A326" s="313">
        <v>325.0</v>
      </c>
      <c r="B326" s="323"/>
      <c r="C326" s="314" t="s">
        <v>1297</v>
      </c>
      <c r="D326" s="313" t="s">
        <v>97</v>
      </c>
      <c r="E326" s="313" t="s">
        <v>490</v>
      </c>
      <c r="F326" s="313">
        <v>54.0</v>
      </c>
      <c r="G326" s="313">
        <v>13.4</v>
      </c>
      <c r="H326" s="313" t="s">
        <v>1298</v>
      </c>
      <c r="I326" s="313" t="s">
        <v>1299</v>
      </c>
      <c r="J326" s="313">
        <v>0.1</v>
      </c>
      <c r="K326" s="313">
        <v>4.9</v>
      </c>
      <c r="L326" s="313">
        <v>3.9</v>
      </c>
      <c r="M326" s="313">
        <v>0.5</v>
      </c>
      <c r="N326" s="313">
        <v>0.2</v>
      </c>
      <c r="O326" s="313">
        <v>0.5</v>
      </c>
      <c r="P326" s="313">
        <v>0.6</v>
      </c>
      <c r="Q326" s="313">
        <v>-5.77</v>
      </c>
    </row>
    <row r="327">
      <c r="A327" s="313">
        <v>326.0</v>
      </c>
      <c r="B327" s="323"/>
      <c r="C327" s="314" t="s">
        <v>1300</v>
      </c>
      <c r="D327" s="313" t="s">
        <v>97</v>
      </c>
      <c r="E327" s="313" t="s">
        <v>386</v>
      </c>
      <c r="F327" s="313">
        <v>44.0</v>
      </c>
      <c r="G327" s="313">
        <v>12.4</v>
      </c>
      <c r="H327" s="313" t="s">
        <v>1301</v>
      </c>
      <c r="I327" s="313" t="s">
        <v>1302</v>
      </c>
      <c r="J327" s="313">
        <v>0.2</v>
      </c>
      <c r="K327" s="313">
        <v>5.3</v>
      </c>
      <c r="L327" s="313">
        <v>3.3</v>
      </c>
      <c r="M327" s="313">
        <v>1.0</v>
      </c>
      <c r="N327" s="313">
        <v>0.3</v>
      </c>
      <c r="O327" s="313">
        <v>0.5</v>
      </c>
      <c r="P327" s="313">
        <v>0.7</v>
      </c>
      <c r="Q327" s="313">
        <v>-5.8</v>
      </c>
    </row>
    <row r="328">
      <c r="A328" s="313">
        <v>327.0</v>
      </c>
      <c r="B328" s="323"/>
      <c r="C328" s="314" t="s">
        <v>1303</v>
      </c>
      <c r="D328" s="313" t="s">
        <v>277</v>
      </c>
      <c r="E328" s="313" t="s">
        <v>317</v>
      </c>
      <c r="F328" s="313">
        <v>55.0</v>
      </c>
      <c r="G328" s="313">
        <v>12.4</v>
      </c>
      <c r="H328" s="313" t="s">
        <v>1304</v>
      </c>
      <c r="I328" s="313" t="s">
        <v>1305</v>
      </c>
      <c r="J328" s="313">
        <v>0.2</v>
      </c>
      <c r="K328" s="313">
        <v>5.5</v>
      </c>
      <c r="L328" s="313">
        <v>2.1</v>
      </c>
      <c r="M328" s="313">
        <v>2.3</v>
      </c>
      <c r="N328" s="313">
        <v>0.4</v>
      </c>
      <c r="O328" s="313">
        <v>0.3</v>
      </c>
      <c r="P328" s="313">
        <v>0.9</v>
      </c>
      <c r="Q328" s="313">
        <v>-5.83</v>
      </c>
    </row>
    <row r="329">
      <c r="A329" s="313">
        <v>328.0</v>
      </c>
      <c r="B329" s="323"/>
      <c r="C329" s="314" t="s">
        <v>1306</v>
      </c>
      <c r="D329" s="313" t="s">
        <v>88</v>
      </c>
      <c r="E329" s="313" t="s">
        <v>414</v>
      </c>
      <c r="F329" s="313">
        <v>64.0</v>
      </c>
      <c r="G329" s="313">
        <v>18.8</v>
      </c>
      <c r="H329" s="313" t="s">
        <v>1307</v>
      </c>
      <c r="I329" s="313" t="s">
        <v>1308</v>
      </c>
      <c r="J329" s="313">
        <v>1.8</v>
      </c>
      <c r="K329" s="313">
        <v>8.6</v>
      </c>
      <c r="L329" s="313">
        <v>2.4</v>
      </c>
      <c r="M329" s="313">
        <v>1.2</v>
      </c>
      <c r="N329" s="313">
        <v>0.3</v>
      </c>
      <c r="O329" s="313">
        <v>0.1</v>
      </c>
      <c r="P329" s="313">
        <v>0.7</v>
      </c>
      <c r="Q329" s="313">
        <v>-5.83</v>
      </c>
    </row>
    <row r="330">
      <c r="A330" s="313">
        <v>329.0</v>
      </c>
      <c r="B330" s="320"/>
      <c r="C330" s="314" t="s">
        <v>1309</v>
      </c>
      <c r="D330" s="313" t="s">
        <v>303</v>
      </c>
      <c r="E330" s="313" t="s">
        <v>465</v>
      </c>
      <c r="F330" s="313">
        <v>65.0</v>
      </c>
      <c r="G330" s="313">
        <v>17.1</v>
      </c>
      <c r="H330" s="313" t="s">
        <v>1310</v>
      </c>
      <c r="I330" s="313" t="s">
        <v>1311</v>
      </c>
      <c r="J330" s="313">
        <v>0.4</v>
      </c>
      <c r="K330" s="313">
        <v>6.4</v>
      </c>
      <c r="L330" s="313">
        <v>4.8</v>
      </c>
      <c r="M330" s="313">
        <v>0.8</v>
      </c>
      <c r="N330" s="313">
        <v>0.4</v>
      </c>
      <c r="O330" s="313">
        <v>0.3</v>
      </c>
      <c r="P330" s="313">
        <v>0.7</v>
      </c>
      <c r="Q330" s="313">
        <v>-5.83</v>
      </c>
    </row>
    <row r="331">
      <c r="A331" s="313">
        <v>330.0</v>
      </c>
      <c r="B331" s="323"/>
      <c r="C331" s="314" t="s">
        <v>1312</v>
      </c>
      <c r="D331" s="313" t="s">
        <v>277</v>
      </c>
      <c r="E331" s="313" t="s">
        <v>342</v>
      </c>
      <c r="F331" s="313">
        <v>58.0</v>
      </c>
      <c r="G331" s="313">
        <v>16.5</v>
      </c>
      <c r="H331" s="313" t="s">
        <v>1313</v>
      </c>
      <c r="I331" s="313" t="s">
        <v>1134</v>
      </c>
      <c r="J331" s="313">
        <v>0.6</v>
      </c>
      <c r="K331" s="313">
        <v>6.0</v>
      </c>
      <c r="L331" s="313">
        <v>1.3</v>
      </c>
      <c r="M331" s="313">
        <v>3.7</v>
      </c>
      <c r="N331" s="313">
        <v>0.4</v>
      </c>
      <c r="O331" s="313">
        <v>0.1</v>
      </c>
      <c r="P331" s="313">
        <v>1.4</v>
      </c>
      <c r="Q331" s="313">
        <v>-5.85</v>
      </c>
    </row>
    <row r="332">
      <c r="A332" s="313">
        <v>331.0</v>
      </c>
      <c r="B332" s="323"/>
      <c r="C332" s="314" t="s">
        <v>1314</v>
      </c>
      <c r="D332" s="313" t="s">
        <v>92</v>
      </c>
      <c r="E332" s="313" t="s">
        <v>273</v>
      </c>
      <c r="F332" s="313">
        <v>58.0</v>
      </c>
      <c r="G332" s="313">
        <v>14.2</v>
      </c>
      <c r="H332" s="313" t="s">
        <v>1315</v>
      </c>
      <c r="I332" s="313" t="s">
        <v>1316</v>
      </c>
      <c r="J332" s="313">
        <v>0.7</v>
      </c>
      <c r="K332" s="313">
        <v>4.8</v>
      </c>
      <c r="L332" s="313">
        <v>3.0</v>
      </c>
      <c r="M332" s="313">
        <v>1.3</v>
      </c>
      <c r="N332" s="313">
        <v>0.5</v>
      </c>
      <c r="O332" s="313">
        <v>0.2</v>
      </c>
      <c r="P332" s="313">
        <v>0.4</v>
      </c>
      <c r="Q332" s="313">
        <v>-5.85</v>
      </c>
    </row>
    <row r="333">
      <c r="A333" s="313">
        <v>332.0</v>
      </c>
      <c r="B333" s="323"/>
      <c r="C333" s="314" t="s">
        <v>1317</v>
      </c>
      <c r="D333" s="313" t="s">
        <v>277</v>
      </c>
      <c r="E333" s="313" t="s">
        <v>350</v>
      </c>
      <c r="F333" s="313">
        <v>50.0</v>
      </c>
      <c r="G333" s="313">
        <v>12.2</v>
      </c>
      <c r="H333" s="313" t="s">
        <v>1319</v>
      </c>
      <c r="I333" s="313" t="s">
        <v>1320</v>
      </c>
      <c r="J333" s="313">
        <v>0.6</v>
      </c>
      <c r="K333" s="313">
        <v>3.4</v>
      </c>
      <c r="L333" s="313">
        <v>1.3</v>
      </c>
      <c r="M333" s="313">
        <v>2.4</v>
      </c>
      <c r="N333" s="313">
        <v>0.6</v>
      </c>
      <c r="O333" s="313">
        <v>0.1</v>
      </c>
      <c r="P333" s="313">
        <v>0.5</v>
      </c>
      <c r="Q333" s="313">
        <v>-5.87</v>
      </c>
    </row>
    <row r="334">
      <c r="A334" s="313">
        <v>333.0</v>
      </c>
      <c r="B334" s="323"/>
      <c r="C334" s="314" t="s">
        <v>1321</v>
      </c>
      <c r="D334" s="313" t="s">
        <v>88</v>
      </c>
      <c r="E334" s="313" t="s">
        <v>295</v>
      </c>
      <c r="F334" s="313">
        <v>60.0</v>
      </c>
      <c r="G334" s="313">
        <v>18.6</v>
      </c>
      <c r="H334" s="313" t="s">
        <v>1322</v>
      </c>
      <c r="I334" s="313" t="s">
        <v>1323</v>
      </c>
      <c r="J334" s="313">
        <v>0.8</v>
      </c>
      <c r="K334" s="313">
        <v>5.1</v>
      </c>
      <c r="L334" s="313">
        <v>2.8</v>
      </c>
      <c r="M334" s="313">
        <v>0.6</v>
      </c>
      <c r="N334" s="313">
        <v>0.5</v>
      </c>
      <c r="O334" s="313">
        <v>0.2</v>
      </c>
      <c r="P334" s="313">
        <v>0.5</v>
      </c>
      <c r="Q334" s="313">
        <v>-6.01</v>
      </c>
    </row>
    <row r="335">
      <c r="A335" s="313">
        <v>334.0</v>
      </c>
      <c r="B335" s="323"/>
      <c r="C335" s="314" t="s">
        <v>1324</v>
      </c>
      <c r="D335" s="313" t="s">
        <v>364</v>
      </c>
      <c r="E335" s="313" t="s">
        <v>295</v>
      </c>
      <c r="F335" s="313">
        <v>56.0</v>
      </c>
      <c r="G335" s="313">
        <v>16.4</v>
      </c>
      <c r="H335" s="313" t="s">
        <v>1325</v>
      </c>
      <c r="I335" s="313" t="s">
        <v>1326</v>
      </c>
      <c r="J335" s="313">
        <v>1.0</v>
      </c>
      <c r="K335" s="313">
        <v>5.1</v>
      </c>
      <c r="L335" s="313">
        <v>1.8</v>
      </c>
      <c r="M335" s="313">
        <v>1.1</v>
      </c>
      <c r="N335" s="313">
        <v>0.7</v>
      </c>
      <c r="O335" s="313">
        <v>0.0</v>
      </c>
      <c r="P335" s="313">
        <v>0.3</v>
      </c>
      <c r="Q335" s="313">
        <v>-6.02</v>
      </c>
    </row>
    <row r="336">
      <c r="A336" s="313">
        <v>335.0</v>
      </c>
      <c r="B336" s="320"/>
      <c r="C336" s="314" t="s">
        <v>1327</v>
      </c>
      <c r="D336" s="313" t="s">
        <v>303</v>
      </c>
      <c r="E336" s="313" t="s">
        <v>287</v>
      </c>
      <c r="F336" s="313">
        <v>44.0</v>
      </c>
      <c r="G336" s="313">
        <v>15.1</v>
      </c>
      <c r="H336" s="313" t="s">
        <v>1328</v>
      </c>
      <c r="I336" s="313" t="s">
        <v>1329</v>
      </c>
      <c r="J336" s="313">
        <v>0.4</v>
      </c>
      <c r="K336" s="313">
        <v>6.7</v>
      </c>
      <c r="L336" s="313">
        <v>3.1</v>
      </c>
      <c r="M336" s="313">
        <v>0.9</v>
      </c>
      <c r="N336" s="313">
        <v>0.3</v>
      </c>
      <c r="O336" s="313">
        <v>0.2</v>
      </c>
      <c r="P336" s="313">
        <v>0.7</v>
      </c>
      <c r="Q336" s="313">
        <v>-6.04</v>
      </c>
    </row>
    <row r="337">
      <c r="A337" s="313">
        <v>336.0</v>
      </c>
      <c r="B337" s="323"/>
      <c r="C337" s="314" t="s">
        <v>1330</v>
      </c>
      <c r="D337" s="313" t="s">
        <v>97</v>
      </c>
      <c r="E337" s="313" t="s">
        <v>278</v>
      </c>
      <c r="F337" s="313">
        <v>64.0</v>
      </c>
      <c r="G337" s="313">
        <v>13.4</v>
      </c>
      <c r="H337" s="313" t="s">
        <v>1331</v>
      </c>
      <c r="I337" s="313" t="s">
        <v>1332</v>
      </c>
      <c r="J337" s="313">
        <v>0.0</v>
      </c>
      <c r="K337" s="313">
        <v>4.2</v>
      </c>
      <c r="L337" s="313">
        <v>3.1</v>
      </c>
      <c r="M337" s="313">
        <v>0.9</v>
      </c>
      <c r="N337" s="313">
        <v>0.4</v>
      </c>
      <c r="O337" s="313">
        <v>0.3</v>
      </c>
      <c r="P337" s="313">
        <v>0.6</v>
      </c>
      <c r="Q337" s="313">
        <v>-6.11</v>
      </c>
    </row>
    <row r="338">
      <c r="A338" s="313">
        <v>337.0</v>
      </c>
      <c r="B338" s="323"/>
      <c r="C338" s="314" t="s">
        <v>1333</v>
      </c>
      <c r="D338" s="313" t="s">
        <v>97</v>
      </c>
      <c r="E338" s="313" t="s">
        <v>414</v>
      </c>
      <c r="F338" s="313">
        <v>60.0</v>
      </c>
      <c r="G338" s="313">
        <v>15.9</v>
      </c>
      <c r="H338" s="313" t="s">
        <v>1334</v>
      </c>
      <c r="I338" s="313" t="s">
        <v>1335</v>
      </c>
      <c r="J338" s="313">
        <v>0.0</v>
      </c>
      <c r="K338" s="313">
        <v>6.3</v>
      </c>
      <c r="L338" s="313">
        <v>3.3</v>
      </c>
      <c r="M338" s="313">
        <v>0.2</v>
      </c>
      <c r="N338" s="313">
        <v>0.4</v>
      </c>
      <c r="O338" s="313">
        <v>0.9</v>
      </c>
      <c r="P338" s="313">
        <v>0.7</v>
      </c>
      <c r="Q338" s="313">
        <v>-6.11</v>
      </c>
    </row>
    <row r="339">
      <c r="A339" s="313">
        <v>338.0</v>
      </c>
      <c r="B339" s="323"/>
      <c r="C339" s="314" t="s">
        <v>1336</v>
      </c>
      <c r="D339" s="313" t="s">
        <v>303</v>
      </c>
      <c r="E339" s="313" t="s">
        <v>379</v>
      </c>
      <c r="F339" s="313">
        <v>35.0</v>
      </c>
      <c r="G339" s="313">
        <v>14.8</v>
      </c>
      <c r="H339" s="313" t="s">
        <v>1337</v>
      </c>
      <c r="I339" s="313" t="s">
        <v>1338</v>
      </c>
      <c r="J339" s="313">
        <v>0.9</v>
      </c>
      <c r="K339" s="313">
        <v>5.9</v>
      </c>
      <c r="L339" s="313">
        <v>2.3</v>
      </c>
      <c r="M339" s="313">
        <v>1.0</v>
      </c>
      <c r="N339" s="313">
        <v>0.5</v>
      </c>
      <c r="O339" s="313">
        <v>0.2</v>
      </c>
      <c r="P339" s="313">
        <v>0.8</v>
      </c>
      <c r="Q339" s="313">
        <v>-6.13</v>
      </c>
    </row>
    <row r="340">
      <c r="A340" s="313">
        <v>339.0</v>
      </c>
      <c r="B340" s="313">
        <v>142.7</v>
      </c>
      <c r="C340" s="314" t="s">
        <v>1339</v>
      </c>
      <c r="D340" s="313" t="s">
        <v>97</v>
      </c>
      <c r="E340" s="313" t="s">
        <v>375</v>
      </c>
      <c r="F340" s="313">
        <v>50.0</v>
      </c>
      <c r="G340" s="313">
        <v>16.1</v>
      </c>
      <c r="H340" s="313" t="s">
        <v>1340</v>
      </c>
      <c r="I340" s="313" t="s">
        <v>1341</v>
      </c>
      <c r="J340" s="313">
        <v>0.2</v>
      </c>
      <c r="K340" s="313">
        <v>6.3</v>
      </c>
      <c r="L340" s="313">
        <v>3.9</v>
      </c>
      <c r="M340" s="313">
        <v>0.6</v>
      </c>
      <c r="N340" s="313">
        <v>0.2</v>
      </c>
      <c r="O340" s="313">
        <v>0.7</v>
      </c>
      <c r="P340" s="313">
        <v>0.6</v>
      </c>
      <c r="Q340" s="313">
        <v>-6.15</v>
      </c>
    </row>
    <row r="341">
      <c r="A341" s="313">
        <v>340.0</v>
      </c>
      <c r="B341" s="323"/>
      <c r="C341" s="314" t="s">
        <v>1342</v>
      </c>
      <c r="D341" s="313" t="s">
        <v>90</v>
      </c>
      <c r="E341" s="313" t="s">
        <v>442</v>
      </c>
      <c r="F341" s="313">
        <v>52.0</v>
      </c>
      <c r="G341" s="313">
        <v>15.2</v>
      </c>
      <c r="H341" s="313" t="s">
        <v>1343</v>
      </c>
      <c r="I341" s="313" t="s">
        <v>1344</v>
      </c>
      <c r="J341" s="313">
        <v>0.6</v>
      </c>
      <c r="K341" s="313">
        <v>5.4</v>
      </c>
      <c r="L341" s="313">
        <v>1.7</v>
      </c>
      <c r="M341" s="313">
        <v>0.8</v>
      </c>
      <c r="N341" s="313">
        <v>0.4</v>
      </c>
      <c r="O341" s="313">
        <v>0.2</v>
      </c>
      <c r="P341" s="313">
        <v>0.6</v>
      </c>
      <c r="Q341" s="313">
        <v>-6.17</v>
      </c>
    </row>
    <row r="342">
      <c r="A342" s="313">
        <v>341.0</v>
      </c>
      <c r="B342" s="313">
        <v>142.3</v>
      </c>
      <c r="C342" s="314" t="s">
        <v>1345</v>
      </c>
      <c r="D342" s="313" t="s">
        <v>303</v>
      </c>
      <c r="E342" s="313" t="s">
        <v>428</v>
      </c>
      <c r="F342" s="313">
        <v>40.0</v>
      </c>
      <c r="G342" s="313">
        <v>14.4</v>
      </c>
      <c r="H342" s="313" t="s">
        <v>1346</v>
      </c>
      <c r="I342" s="313" t="s">
        <v>1347</v>
      </c>
      <c r="J342" s="313">
        <v>1.2</v>
      </c>
      <c r="K342" s="313">
        <v>6.2</v>
      </c>
      <c r="L342" s="313">
        <v>2.0</v>
      </c>
      <c r="M342" s="313">
        <v>0.9</v>
      </c>
      <c r="N342" s="313">
        <v>0.4</v>
      </c>
      <c r="O342" s="313">
        <v>0.2</v>
      </c>
      <c r="P342" s="313">
        <v>0.7</v>
      </c>
      <c r="Q342" s="313">
        <v>-6.19</v>
      </c>
    </row>
    <row r="343">
      <c r="A343" s="313">
        <v>342.0</v>
      </c>
      <c r="B343" s="323"/>
      <c r="C343" s="314" t="s">
        <v>1348</v>
      </c>
      <c r="D343" s="313" t="s">
        <v>277</v>
      </c>
      <c r="E343" s="313" t="s">
        <v>278</v>
      </c>
      <c r="F343" s="313">
        <v>71.0</v>
      </c>
      <c r="G343" s="313">
        <v>14.2</v>
      </c>
      <c r="H343" s="313" t="s">
        <v>1349</v>
      </c>
      <c r="I343" s="313" t="s">
        <v>1350</v>
      </c>
      <c r="J343" s="313">
        <v>1.2</v>
      </c>
      <c r="K343" s="313">
        <v>8.0</v>
      </c>
      <c r="L343" s="313">
        <v>1.9</v>
      </c>
      <c r="M343" s="313">
        <v>1.5</v>
      </c>
      <c r="N343" s="313">
        <v>0.3</v>
      </c>
      <c r="O343" s="313">
        <v>0.1</v>
      </c>
      <c r="P343" s="313">
        <v>0.9</v>
      </c>
      <c r="Q343" s="313">
        <v>-6.25</v>
      </c>
    </row>
    <row r="344">
      <c r="A344" s="313">
        <v>343.0</v>
      </c>
      <c r="B344" s="323"/>
      <c r="C344" s="314" t="s">
        <v>1351</v>
      </c>
      <c r="D344" s="313" t="s">
        <v>92</v>
      </c>
      <c r="E344" s="313" t="s">
        <v>428</v>
      </c>
      <c r="F344" s="313">
        <v>44.0</v>
      </c>
      <c r="G344" s="313">
        <v>15.1</v>
      </c>
      <c r="H344" s="313" t="s">
        <v>1352</v>
      </c>
      <c r="I344" s="313" t="s">
        <v>1353</v>
      </c>
      <c r="J344" s="313">
        <v>0.7</v>
      </c>
      <c r="K344" s="313">
        <v>5.3</v>
      </c>
      <c r="L344" s="313">
        <v>2.7</v>
      </c>
      <c r="M344" s="313">
        <v>0.4</v>
      </c>
      <c r="N344" s="313">
        <v>0.4</v>
      </c>
      <c r="O344" s="313">
        <v>0.3</v>
      </c>
      <c r="P344" s="313">
        <v>0.9</v>
      </c>
      <c r="Q344" s="313">
        <v>-6.33</v>
      </c>
    </row>
    <row r="345">
      <c r="A345" s="313">
        <v>344.0</v>
      </c>
      <c r="B345" s="323"/>
      <c r="C345" s="314" t="s">
        <v>1354</v>
      </c>
      <c r="D345" s="313" t="s">
        <v>277</v>
      </c>
      <c r="E345" s="313" t="s">
        <v>449</v>
      </c>
      <c r="F345" s="313">
        <v>64.0</v>
      </c>
      <c r="G345" s="313">
        <v>13.2</v>
      </c>
      <c r="H345" s="313" t="s">
        <v>1355</v>
      </c>
      <c r="I345" s="313" t="s">
        <v>1356</v>
      </c>
      <c r="J345" s="313">
        <v>1.0</v>
      </c>
      <c r="K345" s="313">
        <v>4.8</v>
      </c>
      <c r="L345" s="313">
        <v>1.2</v>
      </c>
      <c r="M345" s="313">
        <v>1.4</v>
      </c>
      <c r="N345" s="313">
        <v>0.5</v>
      </c>
      <c r="O345" s="313">
        <v>0.2</v>
      </c>
      <c r="P345" s="313">
        <v>0.5</v>
      </c>
      <c r="Q345" s="313">
        <v>-6.35</v>
      </c>
    </row>
    <row r="346">
      <c r="A346" s="313">
        <v>345.0</v>
      </c>
      <c r="B346" s="323"/>
      <c r="C346" s="314" t="s">
        <v>1357</v>
      </c>
      <c r="D346" s="313" t="s">
        <v>92</v>
      </c>
      <c r="E346" s="313" t="s">
        <v>342</v>
      </c>
      <c r="F346" s="313">
        <v>60.0</v>
      </c>
      <c r="G346" s="313">
        <v>18.9</v>
      </c>
      <c r="H346" s="313" t="s">
        <v>1358</v>
      </c>
      <c r="I346" s="313" t="s">
        <v>1359</v>
      </c>
      <c r="J346" s="313">
        <v>0.8</v>
      </c>
      <c r="K346" s="313">
        <v>5.9</v>
      </c>
      <c r="L346" s="313">
        <v>2.4</v>
      </c>
      <c r="M346" s="313">
        <v>0.6</v>
      </c>
      <c r="N346" s="313">
        <v>0.7</v>
      </c>
      <c r="O346" s="313">
        <v>0.1</v>
      </c>
      <c r="P346" s="313">
        <v>0.8</v>
      </c>
      <c r="Q346" s="313">
        <v>-6.38</v>
      </c>
    </row>
    <row r="347">
      <c r="A347" s="313">
        <v>346.0</v>
      </c>
      <c r="B347" s="323"/>
      <c r="C347" s="314" t="s">
        <v>1360</v>
      </c>
      <c r="D347" s="313" t="s">
        <v>92</v>
      </c>
      <c r="E347" s="313" t="s">
        <v>291</v>
      </c>
      <c r="F347" s="313">
        <v>50.0</v>
      </c>
      <c r="G347" s="313">
        <v>12.1</v>
      </c>
      <c r="H347" s="313" t="s">
        <v>1361</v>
      </c>
      <c r="I347" s="313" t="s">
        <v>1362</v>
      </c>
      <c r="J347" s="313">
        <v>0.6</v>
      </c>
      <c r="K347" s="313">
        <v>5.5</v>
      </c>
      <c r="L347" s="313">
        <v>2.1</v>
      </c>
      <c r="M347" s="313">
        <v>0.5</v>
      </c>
      <c r="N347" s="313">
        <v>0.3</v>
      </c>
      <c r="O347" s="313">
        <v>0.4</v>
      </c>
      <c r="P347" s="313">
        <v>0.5</v>
      </c>
      <c r="Q347" s="313">
        <v>-6.47</v>
      </c>
    </row>
    <row r="348">
      <c r="A348" s="313">
        <v>347.0</v>
      </c>
      <c r="B348" s="323"/>
      <c r="C348" s="314" t="s">
        <v>1363</v>
      </c>
      <c r="D348" s="313" t="s">
        <v>364</v>
      </c>
      <c r="E348" s="313" t="s">
        <v>291</v>
      </c>
      <c r="F348" s="313">
        <v>50.0</v>
      </c>
      <c r="G348" s="313">
        <v>14.2</v>
      </c>
      <c r="H348" s="313" t="s">
        <v>1364</v>
      </c>
      <c r="I348" s="313" t="s">
        <v>1365</v>
      </c>
      <c r="J348" s="313">
        <v>0.4</v>
      </c>
      <c r="K348" s="313">
        <v>3.1</v>
      </c>
      <c r="L348" s="313">
        <v>2.8</v>
      </c>
      <c r="M348" s="313">
        <v>1.3</v>
      </c>
      <c r="N348" s="313">
        <v>0.4</v>
      </c>
      <c r="O348" s="313">
        <v>0.2</v>
      </c>
      <c r="P348" s="313">
        <v>0.7</v>
      </c>
      <c r="Q348" s="313">
        <v>-6.5</v>
      </c>
    </row>
    <row r="349">
      <c r="A349" s="313">
        <v>348.0</v>
      </c>
      <c r="B349" s="323"/>
      <c r="C349" s="314" t="s">
        <v>1366</v>
      </c>
      <c r="D349" s="313" t="s">
        <v>88</v>
      </c>
      <c r="E349" s="313" t="s">
        <v>317</v>
      </c>
      <c r="F349" s="313">
        <v>30.0</v>
      </c>
      <c r="G349" s="313">
        <v>15.4</v>
      </c>
      <c r="H349" s="313" t="s">
        <v>1367</v>
      </c>
      <c r="I349" s="313" t="s">
        <v>1368</v>
      </c>
      <c r="J349" s="313">
        <v>0.5</v>
      </c>
      <c r="K349" s="313">
        <v>6.4</v>
      </c>
      <c r="L349" s="313">
        <v>2.3</v>
      </c>
      <c r="M349" s="313">
        <v>1.2</v>
      </c>
      <c r="N349" s="313">
        <v>0.4</v>
      </c>
      <c r="O349" s="313">
        <v>0.2</v>
      </c>
      <c r="P349" s="313">
        <v>1.0</v>
      </c>
      <c r="Q349" s="313">
        <v>-6.53</v>
      </c>
    </row>
    <row r="350">
      <c r="A350" s="313">
        <v>349.0</v>
      </c>
      <c r="B350" s="323"/>
      <c r="C350" s="314" t="s">
        <v>1369</v>
      </c>
      <c r="D350" s="313" t="s">
        <v>277</v>
      </c>
      <c r="E350" s="313" t="s">
        <v>495</v>
      </c>
      <c r="F350" s="313">
        <v>40.0</v>
      </c>
      <c r="G350" s="313">
        <v>14.9</v>
      </c>
      <c r="H350" s="313" t="s">
        <v>1370</v>
      </c>
      <c r="I350" s="313" t="s">
        <v>1371</v>
      </c>
      <c r="J350" s="313">
        <v>1.0</v>
      </c>
      <c r="K350" s="313">
        <v>6.9</v>
      </c>
      <c r="L350" s="313">
        <v>1.6</v>
      </c>
      <c r="M350" s="313">
        <v>2.0</v>
      </c>
      <c r="N350" s="313">
        <v>0.7</v>
      </c>
      <c r="O350" s="313">
        <v>0.2</v>
      </c>
      <c r="P350" s="313">
        <v>1.5</v>
      </c>
      <c r="Q350" s="313">
        <v>-6.54</v>
      </c>
    </row>
    <row r="351">
      <c r="A351" s="313">
        <v>350.0</v>
      </c>
      <c r="B351" s="323"/>
      <c r="C351" s="314" t="s">
        <v>1372</v>
      </c>
      <c r="D351" s="313" t="s">
        <v>88</v>
      </c>
      <c r="E351" s="313" t="s">
        <v>449</v>
      </c>
      <c r="F351" s="313">
        <v>50.0</v>
      </c>
      <c r="G351" s="313">
        <v>15.0</v>
      </c>
      <c r="H351" s="313" t="s">
        <v>1373</v>
      </c>
      <c r="I351" s="313" t="s">
        <v>1374</v>
      </c>
      <c r="J351" s="313">
        <v>0.9</v>
      </c>
      <c r="K351" s="313">
        <v>5.6</v>
      </c>
      <c r="L351" s="313">
        <v>2.1</v>
      </c>
      <c r="M351" s="313">
        <v>1.0</v>
      </c>
      <c r="N351" s="313">
        <v>0.5</v>
      </c>
      <c r="O351" s="313">
        <v>0.2</v>
      </c>
      <c r="P351" s="313">
        <v>0.6</v>
      </c>
      <c r="Q351" s="313">
        <v>-6.54</v>
      </c>
    </row>
    <row r="352">
      <c r="A352" s="313">
        <v>351.0</v>
      </c>
      <c r="B352" s="323"/>
      <c r="C352" s="314" t="s">
        <v>1375</v>
      </c>
      <c r="D352" s="313" t="s">
        <v>97</v>
      </c>
      <c r="E352" s="313" t="s">
        <v>350</v>
      </c>
      <c r="F352" s="313">
        <v>54.0</v>
      </c>
      <c r="G352" s="313">
        <v>9.4</v>
      </c>
      <c r="H352" s="313" t="s">
        <v>1376</v>
      </c>
      <c r="I352" s="313" t="s">
        <v>1377</v>
      </c>
      <c r="J352" s="313">
        <v>0.0</v>
      </c>
      <c r="K352" s="313">
        <v>2.6</v>
      </c>
      <c r="L352" s="313">
        <v>3.0</v>
      </c>
      <c r="M352" s="313">
        <v>1.0</v>
      </c>
      <c r="N352" s="313">
        <v>0.2</v>
      </c>
      <c r="O352" s="313">
        <v>0.7</v>
      </c>
      <c r="P352" s="313">
        <v>0.7</v>
      </c>
      <c r="Q352" s="313">
        <v>-6.55</v>
      </c>
    </row>
    <row r="353">
      <c r="A353" s="313">
        <v>352.0</v>
      </c>
      <c r="B353" s="313">
        <v>135.6</v>
      </c>
      <c r="C353" s="314" t="s">
        <v>1378</v>
      </c>
      <c r="D353" s="313" t="s">
        <v>282</v>
      </c>
      <c r="E353" s="313" t="s">
        <v>312</v>
      </c>
      <c r="F353" s="313">
        <v>68.0</v>
      </c>
      <c r="G353" s="313">
        <v>10.4</v>
      </c>
      <c r="H353" s="313" t="s">
        <v>1379</v>
      </c>
      <c r="I353" s="313" t="s">
        <v>1380</v>
      </c>
      <c r="J353" s="313">
        <v>0.0</v>
      </c>
      <c r="K353" s="313">
        <v>3.0</v>
      </c>
      <c r="L353" s="313">
        <v>3.9</v>
      </c>
      <c r="M353" s="313">
        <v>1.1</v>
      </c>
      <c r="N353" s="313">
        <v>0.3</v>
      </c>
      <c r="O353" s="313">
        <v>0.3</v>
      </c>
      <c r="P353" s="313">
        <v>0.3</v>
      </c>
      <c r="Q353" s="313">
        <v>-6.57</v>
      </c>
    </row>
    <row r="354">
      <c r="A354" s="313">
        <v>353.0</v>
      </c>
      <c r="B354" s="323"/>
      <c r="C354" s="314" t="s">
        <v>1381</v>
      </c>
      <c r="D354" s="313" t="s">
        <v>282</v>
      </c>
      <c r="E354" s="313" t="s">
        <v>414</v>
      </c>
      <c r="F354" s="313">
        <v>36.0</v>
      </c>
      <c r="G354" s="313">
        <v>12.1</v>
      </c>
      <c r="H354" s="313" t="s">
        <v>1382</v>
      </c>
      <c r="I354" s="313" t="s">
        <v>1383</v>
      </c>
      <c r="J354" s="313">
        <v>0.5</v>
      </c>
      <c r="K354" s="313">
        <v>4.3</v>
      </c>
      <c r="L354" s="313">
        <v>2.7</v>
      </c>
      <c r="M354" s="313">
        <v>0.7</v>
      </c>
      <c r="N354" s="313">
        <v>0.4</v>
      </c>
      <c r="O354" s="313">
        <v>0.2</v>
      </c>
      <c r="P354" s="313">
        <v>0.4</v>
      </c>
      <c r="Q354" s="313">
        <v>-6.66</v>
      </c>
    </row>
    <row r="355">
      <c r="A355" s="313">
        <v>354.0</v>
      </c>
      <c r="B355" s="323"/>
      <c r="C355" s="314" t="s">
        <v>1384</v>
      </c>
      <c r="D355" s="313" t="s">
        <v>303</v>
      </c>
      <c r="E355" s="313" t="s">
        <v>414</v>
      </c>
      <c r="F355" s="313">
        <v>22.0</v>
      </c>
      <c r="G355" s="313">
        <v>11.1</v>
      </c>
      <c r="H355" s="313" t="s">
        <v>1385</v>
      </c>
      <c r="I355" s="313" t="s">
        <v>1208</v>
      </c>
      <c r="J355" s="313">
        <v>0.4</v>
      </c>
      <c r="K355" s="313">
        <v>4.4</v>
      </c>
      <c r="L355" s="313">
        <v>2.0</v>
      </c>
      <c r="M355" s="313">
        <v>0.5</v>
      </c>
      <c r="N355" s="313">
        <v>0.5</v>
      </c>
      <c r="O355" s="313">
        <v>0.1</v>
      </c>
      <c r="P355" s="313">
        <v>0.3</v>
      </c>
      <c r="Q355" s="313">
        <v>-6.74</v>
      </c>
    </row>
    <row r="356">
      <c r="A356" s="313">
        <v>355.0</v>
      </c>
      <c r="B356" s="323"/>
      <c r="C356" s="314" t="s">
        <v>1386</v>
      </c>
      <c r="D356" s="313" t="s">
        <v>277</v>
      </c>
      <c r="E356" s="313" t="s">
        <v>375</v>
      </c>
      <c r="F356" s="313">
        <v>10.0</v>
      </c>
      <c r="G356" s="313">
        <v>8.8</v>
      </c>
      <c r="H356" s="313" t="s">
        <v>1387</v>
      </c>
      <c r="I356" s="313" t="s">
        <v>1388</v>
      </c>
      <c r="J356" s="313">
        <v>0.4</v>
      </c>
      <c r="K356" s="313">
        <v>2.6</v>
      </c>
      <c r="L356" s="313">
        <v>1.2</v>
      </c>
      <c r="M356" s="313">
        <v>1.1</v>
      </c>
      <c r="N356" s="313">
        <v>0.6</v>
      </c>
      <c r="O356" s="313">
        <v>0.2</v>
      </c>
      <c r="P356" s="313">
        <v>0.3</v>
      </c>
      <c r="Q356" s="313">
        <v>-6.75</v>
      </c>
    </row>
    <row r="357">
      <c r="A357" s="313">
        <v>356.0</v>
      </c>
      <c r="B357" s="323"/>
      <c r="C357" s="314" t="s">
        <v>1389</v>
      </c>
      <c r="D357" s="313" t="s">
        <v>282</v>
      </c>
      <c r="E357" s="313" t="s">
        <v>269</v>
      </c>
      <c r="F357" s="313">
        <v>58.0</v>
      </c>
      <c r="G357" s="313">
        <v>12.1</v>
      </c>
      <c r="H357" s="313" t="s">
        <v>1390</v>
      </c>
      <c r="I357" s="313" t="s">
        <v>1391</v>
      </c>
      <c r="J357" s="313">
        <v>0.2</v>
      </c>
      <c r="K357" s="313">
        <v>4.3</v>
      </c>
      <c r="L357" s="313">
        <v>2.5</v>
      </c>
      <c r="M357" s="313">
        <v>0.5</v>
      </c>
      <c r="N357" s="313">
        <v>0.3</v>
      </c>
      <c r="O357" s="313">
        <v>0.6</v>
      </c>
      <c r="P357" s="313">
        <v>0.5</v>
      </c>
      <c r="Q357" s="313">
        <v>-6.76</v>
      </c>
    </row>
    <row r="358">
      <c r="A358" s="313">
        <v>357.0</v>
      </c>
      <c r="B358" s="323"/>
      <c r="C358" s="314" t="s">
        <v>1392</v>
      </c>
      <c r="D358" s="313" t="s">
        <v>277</v>
      </c>
      <c r="E358" s="313" t="s">
        <v>299</v>
      </c>
      <c r="F358" s="313">
        <v>40.0</v>
      </c>
      <c r="G358" s="313">
        <v>15.4</v>
      </c>
      <c r="H358" s="313" t="s">
        <v>1393</v>
      </c>
      <c r="I358" s="313" t="s">
        <v>1394</v>
      </c>
      <c r="J358" s="313">
        <v>0.7</v>
      </c>
      <c r="K358" s="313">
        <v>6.4</v>
      </c>
      <c r="L358" s="313">
        <v>2.6</v>
      </c>
      <c r="M358" s="313">
        <v>2.1</v>
      </c>
      <c r="N358" s="313">
        <v>0.6</v>
      </c>
      <c r="O358" s="313">
        <v>0.4</v>
      </c>
      <c r="P358" s="313">
        <v>0.8</v>
      </c>
      <c r="Q358" s="313">
        <v>-6.79</v>
      </c>
    </row>
    <row r="359">
      <c r="A359" s="313">
        <v>358.0</v>
      </c>
      <c r="B359" s="323"/>
      <c r="C359" s="314" t="s">
        <v>1395</v>
      </c>
      <c r="D359" s="313" t="s">
        <v>282</v>
      </c>
      <c r="E359" s="313" t="s">
        <v>495</v>
      </c>
      <c r="F359" s="313">
        <v>44.0</v>
      </c>
      <c r="G359" s="313">
        <v>10.1</v>
      </c>
      <c r="H359" s="313" t="s">
        <v>1396</v>
      </c>
      <c r="I359" s="313" t="s">
        <v>1397</v>
      </c>
      <c r="J359" s="313">
        <v>0.3</v>
      </c>
      <c r="K359" s="313">
        <v>4.5</v>
      </c>
      <c r="L359" s="313">
        <v>2.2</v>
      </c>
      <c r="M359" s="313">
        <v>1.1</v>
      </c>
      <c r="N359" s="313">
        <v>0.3</v>
      </c>
      <c r="O359" s="313">
        <v>0.2</v>
      </c>
      <c r="P359" s="313">
        <v>0.7</v>
      </c>
      <c r="Q359" s="313">
        <v>-6.83</v>
      </c>
    </row>
    <row r="360">
      <c r="A360" s="313">
        <v>359.0</v>
      </c>
      <c r="B360" s="323"/>
      <c r="C360" s="314" t="s">
        <v>1398</v>
      </c>
      <c r="D360" s="313" t="s">
        <v>364</v>
      </c>
      <c r="E360" s="313" t="s">
        <v>299</v>
      </c>
      <c r="F360" s="313">
        <v>54.0</v>
      </c>
      <c r="G360" s="313">
        <v>12.7</v>
      </c>
      <c r="H360" s="313" t="s">
        <v>1399</v>
      </c>
      <c r="I360" s="313" t="s">
        <v>1400</v>
      </c>
      <c r="J360" s="313">
        <v>1.1</v>
      </c>
      <c r="K360" s="313">
        <v>4.5</v>
      </c>
      <c r="L360" s="313">
        <v>1.3</v>
      </c>
      <c r="M360" s="313">
        <v>0.5</v>
      </c>
      <c r="N360" s="313">
        <v>0.3</v>
      </c>
      <c r="O360" s="313">
        <v>0.1</v>
      </c>
      <c r="P360" s="313">
        <v>0.3</v>
      </c>
      <c r="Q360" s="313">
        <v>-6.85</v>
      </c>
    </row>
    <row r="361">
      <c r="A361" s="313">
        <v>360.0</v>
      </c>
      <c r="B361" s="323"/>
      <c r="C361" s="314" t="s">
        <v>1401</v>
      </c>
      <c r="D361" s="313" t="s">
        <v>90</v>
      </c>
      <c r="E361" s="313" t="s">
        <v>299</v>
      </c>
      <c r="F361" s="313">
        <v>52.0</v>
      </c>
      <c r="G361" s="313">
        <v>17.4</v>
      </c>
      <c r="H361" s="313" t="s">
        <v>1402</v>
      </c>
      <c r="I361" s="313" t="s">
        <v>1403</v>
      </c>
      <c r="J361" s="313">
        <v>0.5</v>
      </c>
      <c r="K361" s="313">
        <v>6.5</v>
      </c>
      <c r="L361" s="313">
        <v>1.2</v>
      </c>
      <c r="M361" s="313">
        <v>1.5</v>
      </c>
      <c r="N361" s="313">
        <v>0.5</v>
      </c>
      <c r="O361" s="313">
        <v>0.2</v>
      </c>
      <c r="P361" s="313">
        <v>1.4</v>
      </c>
      <c r="Q361" s="313">
        <v>-6.88</v>
      </c>
    </row>
    <row r="362">
      <c r="A362" s="313">
        <v>361.0</v>
      </c>
      <c r="B362" s="323"/>
      <c r="C362" s="314" t="s">
        <v>1404</v>
      </c>
      <c r="D362" s="313" t="s">
        <v>97</v>
      </c>
      <c r="E362" s="313" t="s">
        <v>287</v>
      </c>
      <c r="F362" s="313">
        <v>44.0</v>
      </c>
      <c r="G362" s="313">
        <v>11.2</v>
      </c>
      <c r="H362" s="313" t="s">
        <v>1405</v>
      </c>
      <c r="I362" s="313" t="s">
        <v>1406</v>
      </c>
      <c r="J362" s="313">
        <v>0.0</v>
      </c>
      <c r="K362" s="313">
        <v>3.9</v>
      </c>
      <c r="L362" s="313">
        <v>1.9</v>
      </c>
      <c r="M362" s="313">
        <v>0.4</v>
      </c>
      <c r="N362" s="313">
        <v>0.4</v>
      </c>
      <c r="O362" s="313">
        <v>0.6</v>
      </c>
      <c r="P362" s="313">
        <v>0.8</v>
      </c>
      <c r="Q362" s="313">
        <v>-6.89</v>
      </c>
    </row>
    <row r="363">
      <c r="A363" s="313">
        <v>362.0</v>
      </c>
      <c r="B363" s="323"/>
      <c r="C363" s="314" t="s">
        <v>1407</v>
      </c>
      <c r="D363" s="313" t="s">
        <v>90</v>
      </c>
      <c r="E363" s="313" t="s">
        <v>354</v>
      </c>
      <c r="F363" s="313">
        <v>64.0</v>
      </c>
      <c r="G363" s="313">
        <v>17.3</v>
      </c>
      <c r="H363" s="313" t="s">
        <v>1408</v>
      </c>
      <c r="I363" s="313" t="s">
        <v>1409</v>
      </c>
      <c r="J363" s="313">
        <v>0.3</v>
      </c>
      <c r="K363" s="313">
        <v>5.5</v>
      </c>
      <c r="L363" s="313">
        <v>1.4</v>
      </c>
      <c r="M363" s="313">
        <v>0.7</v>
      </c>
      <c r="N363" s="313">
        <v>0.3</v>
      </c>
      <c r="O363" s="313">
        <v>0.3</v>
      </c>
      <c r="P363" s="313">
        <v>0.9</v>
      </c>
      <c r="Q363" s="313">
        <v>-7.0</v>
      </c>
    </row>
    <row r="364">
      <c r="A364" s="313">
        <v>363.0</v>
      </c>
      <c r="B364" s="323"/>
      <c r="C364" s="314" t="s">
        <v>1410</v>
      </c>
      <c r="D364" s="313" t="s">
        <v>364</v>
      </c>
      <c r="E364" s="313" t="s">
        <v>291</v>
      </c>
      <c r="F364" s="313">
        <v>54.0</v>
      </c>
      <c r="G364" s="313">
        <v>13.8</v>
      </c>
      <c r="H364" s="313" t="s">
        <v>1411</v>
      </c>
      <c r="I364" s="313" t="s">
        <v>1412</v>
      </c>
      <c r="J364" s="313">
        <v>0.8</v>
      </c>
      <c r="K364" s="313">
        <v>5.1</v>
      </c>
      <c r="L364" s="313">
        <v>2.3</v>
      </c>
      <c r="M364" s="313">
        <v>0.7</v>
      </c>
      <c r="N364" s="313">
        <v>0.4</v>
      </c>
      <c r="O364" s="313">
        <v>0.2</v>
      </c>
      <c r="P364" s="313">
        <v>0.8</v>
      </c>
      <c r="Q364" s="313">
        <v>-7.05</v>
      </c>
    </row>
    <row r="365">
      <c r="A365" s="313">
        <v>364.0</v>
      </c>
      <c r="B365" s="323"/>
      <c r="C365" s="314" t="s">
        <v>1413</v>
      </c>
      <c r="D365" s="313" t="s">
        <v>97</v>
      </c>
      <c r="E365" s="313" t="s">
        <v>490</v>
      </c>
      <c r="F365" s="313">
        <v>30.0</v>
      </c>
      <c r="G365" s="313">
        <v>7.9</v>
      </c>
      <c r="H365" s="313" t="s">
        <v>1414</v>
      </c>
      <c r="I365" s="313" t="s">
        <v>1415</v>
      </c>
      <c r="J365" s="313">
        <v>0.5</v>
      </c>
      <c r="K365" s="313">
        <v>4.4</v>
      </c>
      <c r="L365" s="313">
        <v>1.9</v>
      </c>
      <c r="M365" s="313">
        <v>0.7</v>
      </c>
      <c r="N365" s="313">
        <v>0.3</v>
      </c>
      <c r="O365" s="313">
        <v>0.4</v>
      </c>
      <c r="P365" s="313">
        <v>0.5</v>
      </c>
      <c r="Q365" s="313">
        <v>-7.11</v>
      </c>
    </row>
    <row r="366">
      <c r="A366" s="313">
        <v>365.0</v>
      </c>
      <c r="B366" s="323"/>
      <c r="C366" s="314" t="s">
        <v>1416</v>
      </c>
      <c r="D366" s="313" t="s">
        <v>277</v>
      </c>
      <c r="E366" s="313" t="s">
        <v>386</v>
      </c>
      <c r="F366" s="313">
        <v>40.0</v>
      </c>
      <c r="G366" s="313">
        <v>10.4</v>
      </c>
      <c r="H366" s="313" t="s">
        <v>1417</v>
      </c>
      <c r="I366" s="313" t="s">
        <v>1418</v>
      </c>
      <c r="J366" s="313">
        <v>0.6</v>
      </c>
      <c r="K366" s="313">
        <v>3.8</v>
      </c>
      <c r="L366" s="313">
        <v>1.0</v>
      </c>
      <c r="M366" s="313">
        <v>1.1</v>
      </c>
      <c r="N366" s="313">
        <v>0.4</v>
      </c>
      <c r="O366" s="313">
        <v>0.1</v>
      </c>
      <c r="P366" s="313">
        <v>0.4</v>
      </c>
      <c r="Q366" s="313">
        <v>-7.12</v>
      </c>
    </row>
    <row r="367">
      <c r="A367" s="313">
        <v>366.0</v>
      </c>
      <c r="B367" s="323"/>
      <c r="C367" s="314" t="s">
        <v>1419</v>
      </c>
      <c r="D367" s="313" t="s">
        <v>85</v>
      </c>
      <c r="E367" s="313" t="s">
        <v>379</v>
      </c>
      <c r="F367" s="313">
        <v>22.0</v>
      </c>
      <c r="G367" s="313">
        <v>11.4</v>
      </c>
      <c r="H367" s="313" t="s">
        <v>1420</v>
      </c>
      <c r="I367" s="313" t="s">
        <v>1421</v>
      </c>
      <c r="J367" s="313">
        <v>0.5</v>
      </c>
      <c r="K367" s="313">
        <v>5.4</v>
      </c>
      <c r="L367" s="313">
        <v>1.3</v>
      </c>
      <c r="M367" s="313">
        <v>1.9</v>
      </c>
      <c r="N367" s="313">
        <v>0.2</v>
      </c>
      <c r="O367" s="313">
        <v>0.1</v>
      </c>
      <c r="P367" s="313">
        <v>0.8</v>
      </c>
      <c r="Q367" s="313">
        <v>-7.12</v>
      </c>
    </row>
    <row r="368">
      <c r="A368" s="313">
        <v>367.0</v>
      </c>
      <c r="B368" s="323"/>
      <c r="C368" s="314" t="s">
        <v>1422</v>
      </c>
      <c r="D368" s="313" t="s">
        <v>364</v>
      </c>
      <c r="E368" s="313" t="s">
        <v>304</v>
      </c>
      <c r="F368" s="313">
        <v>20.0</v>
      </c>
      <c r="G368" s="313">
        <v>11.1</v>
      </c>
      <c r="H368" s="313" t="s">
        <v>1423</v>
      </c>
      <c r="I368" s="313" t="s">
        <v>1424</v>
      </c>
      <c r="J368" s="313">
        <v>0.3</v>
      </c>
      <c r="K368" s="313">
        <v>2.0</v>
      </c>
      <c r="L368" s="313">
        <v>2.7</v>
      </c>
      <c r="M368" s="313">
        <v>0.7</v>
      </c>
      <c r="N368" s="313">
        <v>0.7</v>
      </c>
      <c r="O368" s="313">
        <v>0.1</v>
      </c>
      <c r="P368" s="313">
        <v>0.4</v>
      </c>
      <c r="Q368" s="313">
        <v>-7.13</v>
      </c>
    </row>
    <row r="369">
      <c r="A369" s="313">
        <v>368.0</v>
      </c>
      <c r="B369" s="323"/>
      <c r="C369" s="314" t="s">
        <v>1425</v>
      </c>
      <c r="D369" s="313" t="s">
        <v>90</v>
      </c>
      <c r="E369" s="313" t="s">
        <v>465</v>
      </c>
      <c r="F369" s="313">
        <v>30.0</v>
      </c>
      <c r="G369" s="313">
        <v>10.0</v>
      </c>
      <c r="H369" s="313" t="s">
        <v>1426</v>
      </c>
      <c r="I369" s="313" t="s">
        <v>1427</v>
      </c>
      <c r="J369" s="313">
        <v>0.6</v>
      </c>
      <c r="K369" s="313">
        <v>5.3</v>
      </c>
      <c r="L369" s="313">
        <v>1.7</v>
      </c>
      <c r="M369" s="313">
        <v>1.2</v>
      </c>
      <c r="N369" s="313">
        <v>0.4</v>
      </c>
      <c r="O369" s="313">
        <v>0.3</v>
      </c>
      <c r="P369" s="313">
        <v>0.7</v>
      </c>
      <c r="Q369" s="313">
        <v>-7.14</v>
      </c>
    </row>
    <row r="370">
      <c r="A370" s="313">
        <v>369.0</v>
      </c>
      <c r="B370" s="323"/>
      <c r="C370" s="314" t="s">
        <v>1428</v>
      </c>
      <c r="D370" s="313" t="s">
        <v>303</v>
      </c>
      <c r="E370" s="313" t="s">
        <v>350</v>
      </c>
      <c r="F370" s="313">
        <v>60.0</v>
      </c>
      <c r="G370" s="313">
        <v>10.4</v>
      </c>
      <c r="H370" s="313" t="s">
        <v>1429</v>
      </c>
      <c r="I370" s="313" t="s">
        <v>1430</v>
      </c>
      <c r="J370" s="313">
        <v>0.4</v>
      </c>
      <c r="K370" s="313">
        <v>4.0</v>
      </c>
      <c r="L370" s="313">
        <v>1.8</v>
      </c>
      <c r="M370" s="313">
        <v>0.7</v>
      </c>
      <c r="N370" s="313">
        <v>0.4</v>
      </c>
      <c r="O370" s="313">
        <v>0.2</v>
      </c>
      <c r="P370" s="313">
        <v>0.5</v>
      </c>
      <c r="Q370" s="313">
        <v>-7.14</v>
      </c>
    </row>
    <row r="371">
      <c r="A371" s="313">
        <v>370.0</v>
      </c>
      <c r="B371" s="323"/>
      <c r="C371" s="314" t="s">
        <v>1431</v>
      </c>
      <c r="D371" s="313" t="s">
        <v>90</v>
      </c>
      <c r="E371" s="313" t="s">
        <v>495</v>
      </c>
      <c r="F371" s="313">
        <v>20.0</v>
      </c>
      <c r="G371" s="313">
        <v>13.5</v>
      </c>
      <c r="H371" s="313" t="s">
        <v>1432</v>
      </c>
      <c r="I371" s="313" t="s">
        <v>1433</v>
      </c>
      <c r="J371" s="313">
        <v>0.5</v>
      </c>
      <c r="K371" s="313">
        <v>4.4</v>
      </c>
      <c r="L371" s="313">
        <v>2.7</v>
      </c>
      <c r="M371" s="313">
        <v>0.9</v>
      </c>
      <c r="N371" s="313">
        <v>0.2</v>
      </c>
      <c r="O371" s="313">
        <v>0.1</v>
      </c>
      <c r="P371" s="313">
        <v>0.4</v>
      </c>
      <c r="Q371" s="313">
        <v>-7.18</v>
      </c>
    </row>
    <row r="372">
      <c r="A372" s="313">
        <v>371.0</v>
      </c>
      <c r="B372" s="323"/>
      <c r="C372" s="314" t="s">
        <v>1434</v>
      </c>
      <c r="D372" s="313" t="s">
        <v>277</v>
      </c>
      <c r="E372" s="313" t="s">
        <v>465</v>
      </c>
      <c r="F372" s="313">
        <v>40.0</v>
      </c>
      <c r="G372" s="313">
        <v>11.1</v>
      </c>
      <c r="H372" s="313" t="s">
        <v>1435</v>
      </c>
      <c r="I372" s="313" t="s">
        <v>1436</v>
      </c>
      <c r="J372" s="313">
        <v>1.0</v>
      </c>
      <c r="K372" s="313">
        <v>4.4</v>
      </c>
      <c r="L372" s="313">
        <v>1.1</v>
      </c>
      <c r="M372" s="313">
        <v>1.7</v>
      </c>
      <c r="N372" s="313">
        <v>0.4</v>
      </c>
      <c r="O372" s="313">
        <v>0.1</v>
      </c>
      <c r="P372" s="313">
        <v>0.5</v>
      </c>
      <c r="Q372" s="313">
        <v>-7.24</v>
      </c>
    </row>
    <row r="373">
      <c r="A373" s="313">
        <v>372.0</v>
      </c>
      <c r="B373" s="323"/>
      <c r="C373" s="314" t="s">
        <v>1437</v>
      </c>
      <c r="D373" s="313" t="s">
        <v>90</v>
      </c>
      <c r="E373" s="313" t="s">
        <v>287</v>
      </c>
      <c r="F373" s="313">
        <v>20.0</v>
      </c>
      <c r="G373" s="313">
        <v>8.4</v>
      </c>
      <c r="H373" s="313" t="s">
        <v>1438</v>
      </c>
      <c r="I373" s="313" t="s">
        <v>1439</v>
      </c>
      <c r="J373" s="313">
        <v>0.5</v>
      </c>
      <c r="K373" s="313">
        <v>4.3</v>
      </c>
      <c r="L373" s="313">
        <v>1.5</v>
      </c>
      <c r="M373" s="313">
        <v>0.4</v>
      </c>
      <c r="N373" s="313">
        <v>0.4</v>
      </c>
      <c r="O373" s="313">
        <v>0.1</v>
      </c>
      <c r="P373" s="313">
        <v>0.6</v>
      </c>
      <c r="Q373" s="313">
        <v>-7.31</v>
      </c>
    </row>
    <row r="374">
      <c r="A374" s="313">
        <v>373.0</v>
      </c>
      <c r="B374" s="323"/>
      <c r="C374" s="314" t="s">
        <v>1440</v>
      </c>
      <c r="D374" s="313" t="s">
        <v>97</v>
      </c>
      <c r="E374" s="313" t="s">
        <v>350</v>
      </c>
      <c r="F374" s="313">
        <v>40.0</v>
      </c>
      <c r="G374" s="313">
        <v>9.4</v>
      </c>
      <c r="H374" s="313" t="s">
        <v>1441</v>
      </c>
      <c r="I374" s="313" t="s">
        <v>1442</v>
      </c>
      <c r="J374" s="313">
        <v>0.1</v>
      </c>
      <c r="K374" s="313">
        <v>2.8</v>
      </c>
      <c r="L374" s="313">
        <v>2.7</v>
      </c>
      <c r="M374" s="313">
        <v>0.8</v>
      </c>
      <c r="N374" s="313">
        <v>0.3</v>
      </c>
      <c r="O374" s="313">
        <v>0.3</v>
      </c>
      <c r="P374" s="313">
        <v>0.4</v>
      </c>
      <c r="Q374" s="313">
        <v>-7.32</v>
      </c>
    </row>
    <row r="375">
      <c r="A375" s="313">
        <v>374.0</v>
      </c>
      <c r="B375" s="323"/>
      <c r="C375" s="314" t="s">
        <v>1443</v>
      </c>
      <c r="D375" s="313" t="s">
        <v>88</v>
      </c>
      <c r="E375" s="313" t="s">
        <v>304</v>
      </c>
      <c r="F375" s="313">
        <v>40.0</v>
      </c>
      <c r="G375" s="313">
        <v>11.1</v>
      </c>
      <c r="H375" s="313" t="s">
        <v>1444</v>
      </c>
      <c r="I375" s="313" t="s">
        <v>1445</v>
      </c>
      <c r="J375" s="313">
        <v>0.7</v>
      </c>
      <c r="K375" s="313">
        <v>4.1</v>
      </c>
      <c r="L375" s="313">
        <v>2.0</v>
      </c>
      <c r="M375" s="313">
        <v>0.9</v>
      </c>
      <c r="N375" s="313">
        <v>0.2</v>
      </c>
      <c r="O375" s="313">
        <v>0.0</v>
      </c>
      <c r="P375" s="313">
        <v>0.5</v>
      </c>
      <c r="Q375" s="313">
        <v>-7.37</v>
      </c>
    </row>
    <row r="376">
      <c r="A376" s="313">
        <v>375.0</v>
      </c>
      <c r="B376" s="323"/>
      <c r="C376" s="314" t="s">
        <v>1446</v>
      </c>
      <c r="D376" s="313" t="s">
        <v>277</v>
      </c>
      <c r="E376" s="313" t="s">
        <v>291</v>
      </c>
      <c r="F376" s="313">
        <v>58.0</v>
      </c>
      <c r="G376" s="313">
        <v>10.4</v>
      </c>
      <c r="H376" s="313" t="s">
        <v>1447</v>
      </c>
      <c r="I376" s="313" t="s">
        <v>1448</v>
      </c>
      <c r="J376" s="313">
        <v>1.2</v>
      </c>
      <c r="K376" s="313">
        <v>4.5</v>
      </c>
      <c r="L376" s="313">
        <v>1.2</v>
      </c>
      <c r="M376" s="313">
        <v>0.6</v>
      </c>
      <c r="N376" s="313">
        <v>0.2</v>
      </c>
      <c r="O376" s="313">
        <v>0.0</v>
      </c>
      <c r="P376" s="313">
        <v>0.2</v>
      </c>
      <c r="Q376" s="313">
        <v>-7.38</v>
      </c>
    </row>
    <row r="377">
      <c r="A377" s="313">
        <v>376.0</v>
      </c>
      <c r="B377" s="323"/>
      <c r="C377" s="314" t="s">
        <v>1449</v>
      </c>
      <c r="D377" s="313" t="s">
        <v>85</v>
      </c>
      <c r="E377" s="313" t="s">
        <v>354</v>
      </c>
      <c r="F377" s="313">
        <v>50.0</v>
      </c>
      <c r="G377" s="313">
        <v>15.5</v>
      </c>
      <c r="H377" s="313" t="s">
        <v>1450</v>
      </c>
      <c r="I377" s="313" t="s">
        <v>1451</v>
      </c>
      <c r="J377" s="313">
        <v>0.4</v>
      </c>
      <c r="K377" s="313">
        <v>6.3</v>
      </c>
      <c r="L377" s="313">
        <v>1.1</v>
      </c>
      <c r="M377" s="313">
        <v>1.7</v>
      </c>
      <c r="N377" s="313">
        <v>0.6</v>
      </c>
      <c r="O377" s="313">
        <v>0.1</v>
      </c>
      <c r="P377" s="313">
        <v>1.3</v>
      </c>
      <c r="Q377" s="313">
        <v>-7.41</v>
      </c>
    </row>
    <row r="378">
      <c r="A378" s="313">
        <v>377.0</v>
      </c>
      <c r="B378" s="323"/>
      <c r="C378" s="314" t="s">
        <v>1452</v>
      </c>
      <c r="D378" s="313" t="s">
        <v>85</v>
      </c>
      <c r="E378" s="313" t="s">
        <v>442</v>
      </c>
      <c r="F378" s="313">
        <v>20.0</v>
      </c>
      <c r="G378" s="313">
        <v>11.1</v>
      </c>
      <c r="H378" s="313" t="s">
        <v>1453</v>
      </c>
      <c r="I378" s="313" t="s">
        <v>1454</v>
      </c>
      <c r="J378" s="313">
        <v>0.6</v>
      </c>
      <c r="K378" s="313">
        <v>3.6</v>
      </c>
      <c r="L378" s="313">
        <v>1.0</v>
      </c>
      <c r="M378" s="313">
        <v>1.9</v>
      </c>
      <c r="N378" s="313">
        <v>0.3</v>
      </c>
      <c r="O378" s="313">
        <v>0.1</v>
      </c>
      <c r="P378" s="313">
        <v>0.5</v>
      </c>
      <c r="Q378" s="313">
        <v>-7.42</v>
      </c>
    </row>
    <row r="379">
      <c r="A379" s="313">
        <v>378.0</v>
      </c>
      <c r="B379" s="323"/>
      <c r="C379" s="314" t="s">
        <v>1455</v>
      </c>
      <c r="D379" s="313" t="s">
        <v>97</v>
      </c>
      <c r="E379" s="313" t="s">
        <v>269</v>
      </c>
      <c r="F379" s="313">
        <v>30.0</v>
      </c>
      <c r="G379" s="313">
        <v>10.0</v>
      </c>
      <c r="H379" s="313" t="s">
        <v>1456</v>
      </c>
      <c r="I379" s="313" t="s">
        <v>1457</v>
      </c>
      <c r="J379" s="313">
        <v>0.0</v>
      </c>
      <c r="K379" s="313">
        <v>3.5</v>
      </c>
      <c r="L379" s="313">
        <v>3.7</v>
      </c>
      <c r="M379" s="313">
        <v>0.6</v>
      </c>
      <c r="N379" s="313">
        <v>0.2</v>
      </c>
      <c r="O379" s="313">
        <v>0.4</v>
      </c>
      <c r="P379" s="313">
        <v>0.7</v>
      </c>
      <c r="Q379" s="313">
        <v>-7.44</v>
      </c>
    </row>
    <row r="380">
      <c r="A380" s="313">
        <v>379.0</v>
      </c>
      <c r="B380" s="323"/>
      <c r="C380" s="314" t="s">
        <v>1458</v>
      </c>
      <c r="D380" s="313" t="s">
        <v>88</v>
      </c>
      <c r="E380" s="313" t="s">
        <v>375</v>
      </c>
      <c r="F380" s="313">
        <v>40.0</v>
      </c>
      <c r="G380" s="313">
        <v>12.4</v>
      </c>
      <c r="H380" s="313" t="s">
        <v>1459</v>
      </c>
      <c r="I380" s="313" t="s">
        <v>1436</v>
      </c>
      <c r="J380" s="313">
        <v>0.4</v>
      </c>
      <c r="K380" s="313">
        <v>4.0</v>
      </c>
      <c r="L380" s="313">
        <v>1.3</v>
      </c>
      <c r="M380" s="313">
        <v>1.2</v>
      </c>
      <c r="N380" s="313">
        <v>0.3</v>
      </c>
      <c r="O380" s="313">
        <v>0.1</v>
      </c>
      <c r="P380" s="313">
        <v>0.6</v>
      </c>
      <c r="Q380" s="313">
        <v>-7.46</v>
      </c>
    </row>
    <row r="381">
      <c r="A381" s="313">
        <v>380.0</v>
      </c>
      <c r="B381" s="323"/>
      <c r="C381" s="314" t="s">
        <v>1460</v>
      </c>
      <c r="D381" s="313" t="s">
        <v>303</v>
      </c>
      <c r="E381" s="313" t="s">
        <v>346</v>
      </c>
      <c r="F381" s="313">
        <v>20.0</v>
      </c>
      <c r="G381" s="313">
        <v>8.8</v>
      </c>
      <c r="H381" s="313" t="s">
        <v>1461</v>
      </c>
      <c r="I381" s="313" t="s">
        <v>1462</v>
      </c>
      <c r="J381" s="313">
        <v>0.3</v>
      </c>
      <c r="K381" s="313">
        <v>3.5</v>
      </c>
      <c r="L381" s="313">
        <v>1.5</v>
      </c>
      <c r="M381" s="313">
        <v>0.6</v>
      </c>
      <c r="N381" s="313">
        <v>0.3</v>
      </c>
      <c r="O381" s="313">
        <v>0.2</v>
      </c>
      <c r="P381" s="313">
        <v>0.3</v>
      </c>
      <c r="Q381" s="313">
        <v>-7.48</v>
      </c>
    </row>
    <row r="382">
      <c r="A382" s="313">
        <v>381.0</v>
      </c>
      <c r="B382" s="323"/>
      <c r="C382" s="314" t="s">
        <v>1463</v>
      </c>
      <c r="D382" s="313" t="s">
        <v>364</v>
      </c>
      <c r="E382" s="313" t="s">
        <v>354</v>
      </c>
      <c r="F382" s="313">
        <v>30.0</v>
      </c>
      <c r="G382" s="313">
        <v>14.9</v>
      </c>
      <c r="H382" s="313" t="s">
        <v>1464</v>
      </c>
      <c r="I382" s="313" t="s">
        <v>1465</v>
      </c>
      <c r="J382" s="313">
        <v>1.2</v>
      </c>
      <c r="K382" s="313">
        <v>5.8</v>
      </c>
      <c r="L382" s="313">
        <v>1.9</v>
      </c>
      <c r="M382" s="313">
        <v>0.8</v>
      </c>
      <c r="N382" s="313">
        <v>0.2</v>
      </c>
      <c r="O382" s="313">
        <v>0.1</v>
      </c>
      <c r="P382" s="313">
        <v>0.4</v>
      </c>
      <c r="Q382" s="313">
        <v>-7.5</v>
      </c>
    </row>
    <row r="383">
      <c r="A383" s="313">
        <v>382.0</v>
      </c>
      <c r="B383" s="323"/>
      <c r="C383" s="314" t="s">
        <v>1466</v>
      </c>
      <c r="D383" s="313" t="s">
        <v>277</v>
      </c>
      <c r="E383" s="313" t="s">
        <v>342</v>
      </c>
      <c r="F383" s="313">
        <v>30.0</v>
      </c>
      <c r="G383" s="313">
        <v>13.1</v>
      </c>
      <c r="H383" s="313" t="s">
        <v>1467</v>
      </c>
      <c r="I383" s="313" t="s">
        <v>1468</v>
      </c>
      <c r="J383" s="313">
        <v>1.1</v>
      </c>
      <c r="K383" s="313">
        <v>5.5</v>
      </c>
      <c r="L383" s="313">
        <v>1.3</v>
      </c>
      <c r="M383" s="313">
        <v>1.1</v>
      </c>
      <c r="N383" s="313">
        <v>0.2</v>
      </c>
      <c r="O383" s="313">
        <v>0.1</v>
      </c>
      <c r="P383" s="313">
        <v>0.7</v>
      </c>
      <c r="Q383" s="313">
        <v>-7.51</v>
      </c>
    </row>
    <row r="384">
      <c r="A384" s="313">
        <v>383.0</v>
      </c>
      <c r="B384" s="323"/>
      <c r="C384" s="314" t="s">
        <v>1469</v>
      </c>
      <c r="D384" s="313" t="s">
        <v>92</v>
      </c>
      <c r="E384" s="313" t="s">
        <v>269</v>
      </c>
      <c r="F384" s="313">
        <v>40.0</v>
      </c>
      <c r="G384" s="313">
        <v>8.8</v>
      </c>
      <c r="H384" s="313" t="s">
        <v>1470</v>
      </c>
      <c r="I384" s="313" t="s">
        <v>1471</v>
      </c>
      <c r="J384" s="313">
        <v>0.4</v>
      </c>
      <c r="K384" s="313">
        <v>3.0</v>
      </c>
      <c r="L384" s="313">
        <v>1.3</v>
      </c>
      <c r="M384" s="313">
        <v>0.8</v>
      </c>
      <c r="N384" s="313">
        <v>0.2</v>
      </c>
      <c r="O384" s="313">
        <v>0.1</v>
      </c>
      <c r="P384" s="313">
        <v>0.4</v>
      </c>
      <c r="Q384" s="313">
        <v>-7.52</v>
      </c>
    </row>
    <row r="385">
      <c r="A385" s="313">
        <v>384.0</v>
      </c>
      <c r="B385" s="323"/>
      <c r="C385" s="314" t="s">
        <v>1472</v>
      </c>
      <c r="D385" s="313" t="s">
        <v>85</v>
      </c>
      <c r="E385" s="313" t="s">
        <v>342</v>
      </c>
      <c r="F385" s="313">
        <v>30.0</v>
      </c>
      <c r="G385" s="313">
        <v>8.4</v>
      </c>
      <c r="H385" s="313" t="s">
        <v>1473</v>
      </c>
      <c r="I385" s="313" t="s">
        <v>1474</v>
      </c>
      <c r="J385" s="313">
        <v>0.4</v>
      </c>
      <c r="K385" s="313">
        <v>3.5</v>
      </c>
      <c r="L385" s="313">
        <v>1.0</v>
      </c>
      <c r="M385" s="313">
        <v>0.9</v>
      </c>
      <c r="N385" s="313">
        <v>0.3</v>
      </c>
      <c r="O385" s="313">
        <v>0.0</v>
      </c>
      <c r="P385" s="313">
        <v>0.4</v>
      </c>
      <c r="Q385" s="313">
        <v>-7.53</v>
      </c>
    </row>
    <row r="386">
      <c r="A386" s="313">
        <v>385.0</v>
      </c>
      <c r="B386" s="323"/>
      <c r="C386" s="314" t="s">
        <v>1475</v>
      </c>
      <c r="D386" s="313" t="s">
        <v>92</v>
      </c>
      <c r="E386" s="313" t="s">
        <v>269</v>
      </c>
      <c r="F386" s="313">
        <v>10.0</v>
      </c>
      <c r="G386" s="313">
        <v>8.8</v>
      </c>
      <c r="H386" s="313" t="s">
        <v>1476</v>
      </c>
      <c r="I386" s="313" t="s">
        <v>1477</v>
      </c>
      <c r="J386" s="313">
        <v>0.2</v>
      </c>
      <c r="K386" s="313">
        <v>4.2</v>
      </c>
      <c r="L386" s="313">
        <v>1.7</v>
      </c>
      <c r="M386" s="313">
        <v>0.5</v>
      </c>
      <c r="N386" s="313">
        <v>0.2</v>
      </c>
      <c r="O386" s="313">
        <v>0.4</v>
      </c>
      <c r="P386" s="313">
        <v>0.5</v>
      </c>
      <c r="Q386" s="313">
        <v>-7.53</v>
      </c>
    </row>
    <row r="387">
      <c r="A387" s="313">
        <v>386.0</v>
      </c>
      <c r="B387" s="323"/>
      <c r="C387" s="314" t="s">
        <v>1478</v>
      </c>
      <c r="D387" s="313" t="s">
        <v>282</v>
      </c>
      <c r="E387" s="313" t="s">
        <v>386</v>
      </c>
      <c r="F387" s="313">
        <v>30.0</v>
      </c>
      <c r="G387" s="313">
        <v>11.4</v>
      </c>
      <c r="H387" s="313" t="s">
        <v>1479</v>
      </c>
      <c r="I387" s="313" t="s">
        <v>1480</v>
      </c>
      <c r="J387" s="313">
        <v>0.4</v>
      </c>
      <c r="K387" s="313">
        <v>4.5</v>
      </c>
      <c r="L387" s="313">
        <v>1.5</v>
      </c>
      <c r="M387" s="313">
        <v>0.7</v>
      </c>
      <c r="N387" s="313">
        <v>0.2</v>
      </c>
      <c r="O387" s="313">
        <v>0.2</v>
      </c>
      <c r="P387" s="313">
        <v>0.4</v>
      </c>
      <c r="Q387" s="313">
        <v>-7.57</v>
      </c>
    </row>
    <row r="388">
      <c r="A388" s="313">
        <v>387.0</v>
      </c>
      <c r="B388" s="323"/>
      <c r="C388" s="314" t="s">
        <v>1481</v>
      </c>
      <c r="D388" s="313" t="s">
        <v>364</v>
      </c>
      <c r="E388" s="313" t="s">
        <v>442</v>
      </c>
      <c r="F388" s="313">
        <v>40.0</v>
      </c>
      <c r="G388" s="313">
        <v>14.4</v>
      </c>
      <c r="H388" s="313" t="s">
        <v>1482</v>
      </c>
      <c r="I388" s="313" t="s">
        <v>1483</v>
      </c>
      <c r="J388" s="313">
        <v>1.1</v>
      </c>
      <c r="K388" s="313">
        <v>4.0</v>
      </c>
      <c r="L388" s="313">
        <v>1.6</v>
      </c>
      <c r="M388" s="313">
        <v>0.5</v>
      </c>
      <c r="N388" s="313">
        <v>0.2</v>
      </c>
      <c r="O388" s="313">
        <v>0.1</v>
      </c>
      <c r="P388" s="313">
        <v>0.3</v>
      </c>
      <c r="Q388" s="313">
        <v>-7.61</v>
      </c>
    </row>
    <row r="389">
      <c r="A389" s="313">
        <v>388.0</v>
      </c>
      <c r="B389" s="323"/>
      <c r="C389" s="314" t="s">
        <v>1484</v>
      </c>
      <c r="D389" s="313" t="s">
        <v>303</v>
      </c>
      <c r="E389" s="313" t="s">
        <v>375</v>
      </c>
      <c r="F389" s="313">
        <v>55.0</v>
      </c>
      <c r="G389" s="313">
        <v>10.2</v>
      </c>
      <c r="H389" s="313" t="s">
        <v>1485</v>
      </c>
      <c r="I389" s="313" t="s">
        <v>1486</v>
      </c>
      <c r="J389" s="313">
        <v>0.6</v>
      </c>
      <c r="K389" s="313">
        <v>3.7</v>
      </c>
      <c r="L389" s="313">
        <v>1.6</v>
      </c>
      <c r="M389" s="313">
        <v>0.5</v>
      </c>
      <c r="N389" s="313">
        <v>0.2</v>
      </c>
      <c r="O389" s="313">
        <v>0.2</v>
      </c>
      <c r="P389" s="313">
        <v>0.4</v>
      </c>
      <c r="Q389" s="313">
        <v>-7.62</v>
      </c>
    </row>
    <row r="390">
      <c r="A390" s="313">
        <v>389.0</v>
      </c>
      <c r="B390" s="323"/>
      <c r="C390" s="314" t="s">
        <v>1487</v>
      </c>
      <c r="D390" s="313" t="s">
        <v>97</v>
      </c>
      <c r="E390" s="313" t="s">
        <v>346</v>
      </c>
      <c r="F390" s="313">
        <v>28.0</v>
      </c>
      <c r="G390" s="313">
        <v>8.8</v>
      </c>
      <c r="H390" s="313" t="s">
        <v>1488</v>
      </c>
      <c r="I390" s="313" t="s">
        <v>1489</v>
      </c>
      <c r="J390" s="313">
        <v>0.0</v>
      </c>
      <c r="K390" s="313">
        <v>3.0</v>
      </c>
      <c r="L390" s="313">
        <v>2.6</v>
      </c>
      <c r="M390" s="313">
        <v>0.3</v>
      </c>
      <c r="N390" s="313">
        <v>0.2</v>
      </c>
      <c r="O390" s="313">
        <v>0.6</v>
      </c>
      <c r="P390" s="313">
        <v>0.6</v>
      </c>
      <c r="Q390" s="313">
        <v>-7.68</v>
      </c>
    </row>
    <row r="391">
      <c r="A391" s="313">
        <v>390.0</v>
      </c>
      <c r="B391" s="323"/>
      <c r="C391" s="314" t="s">
        <v>1490</v>
      </c>
      <c r="D391" s="313" t="s">
        <v>90</v>
      </c>
      <c r="E391" s="313" t="s">
        <v>414</v>
      </c>
      <c r="F391" s="313">
        <v>30.0</v>
      </c>
      <c r="G391" s="313">
        <v>11.1</v>
      </c>
      <c r="H391" s="313" t="s">
        <v>1491</v>
      </c>
      <c r="I391" s="313" t="s">
        <v>1492</v>
      </c>
      <c r="J391" s="313">
        <v>1.2</v>
      </c>
      <c r="K391" s="313">
        <v>4.4</v>
      </c>
      <c r="L391" s="313">
        <v>1.1</v>
      </c>
      <c r="M391" s="313">
        <v>0.5</v>
      </c>
      <c r="N391" s="313">
        <v>0.2</v>
      </c>
      <c r="O391" s="313">
        <v>0.0</v>
      </c>
      <c r="P391" s="313">
        <v>0.4</v>
      </c>
      <c r="Q391" s="313">
        <v>-7.7</v>
      </c>
    </row>
    <row r="392">
      <c r="A392" s="313">
        <v>391.0</v>
      </c>
      <c r="B392" s="323"/>
      <c r="C392" s="314" t="s">
        <v>1493</v>
      </c>
      <c r="D392" s="313" t="s">
        <v>303</v>
      </c>
      <c r="E392" s="313" t="s">
        <v>273</v>
      </c>
      <c r="F392" s="313">
        <v>30.0</v>
      </c>
      <c r="G392" s="313">
        <v>10.4</v>
      </c>
      <c r="H392" s="313" t="s">
        <v>1494</v>
      </c>
      <c r="I392" s="313" t="s">
        <v>1495</v>
      </c>
      <c r="J392" s="313">
        <v>0.5</v>
      </c>
      <c r="K392" s="313">
        <v>3.7</v>
      </c>
      <c r="L392" s="313">
        <v>1.8</v>
      </c>
      <c r="M392" s="313">
        <v>0.9</v>
      </c>
      <c r="N392" s="313">
        <v>0.3</v>
      </c>
      <c r="O392" s="313">
        <v>0.1</v>
      </c>
      <c r="P392" s="313">
        <v>0.5</v>
      </c>
      <c r="Q392" s="313">
        <v>-7.72</v>
      </c>
    </row>
    <row r="393">
      <c r="A393" s="313">
        <v>392.0</v>
      </c>
      <c r="B393" s="323"/>
      <c r="C393" s="314" t="s">
        <v>1496</v>
      </c>
      <c r="D393" s="313" t="s">
        <v>303</v>
      </c>
      <c r="E393" s="313" t="s">
        <v>465</v>
      </c>
      <c r="F393" s="313">
        <v>48.0</v>
      </c>
      <c r="G393" s="313">
        <v>11.2</v>
      </c>
      <c r="H393" s="313" t="s">
        <v>1497</v>
      </c>
      <c r="I393" s="313" t="s">
        <v>1498</v>
      </c>
      <c r="J393" s="313">
        <v>0.4</v>
      </c>
      <c r="K393" s="313">
        <v>3.2</v>
      </c>
      <c r="L393" s="313">
        <v>1.9</v>
      </c>
      <c r="M393" s="313">
        <v>0.7</v>
      </c>
      <c r="N393" s="313">
        <v>0.4</v>
      </c>
      <c r="O393" s="313">
        <v>0.2</v>
      </c>
      <c r="P393" s="313">
        <v>0.5</v>
      </c>
      <c r="Q393" s="313">
        <v>-7.73</v>
      </c>
    </row>
    <row r="394">
      <c r="A394" s="313">
        <v>393.0</v>
      </c>
      <c r="B394" s="323"/>
      <c r="C394" s="314" t="s">
        <v>1499</v>
      </c>
      <c r="D394" s="313" t="s">
        <v>88</v>
      </c>
      <c r="E394" s="313" t="s">
        <v>332</v>
      </c>
      <c r="F394" s="313">
        <v>57.0</v>
      </c>
      <c r="G394" s="313">
        <v>8.4</v>
      </c>
      <c r="H394" s="313" t="s">
        <v>1500</v>
      </c>
      <c r="I394" s="313" t="s">
        <v>1501</v>
      </c>
      <c r="J394" s="313">
        <v>0.4</v>
      </c>
      <c r="K394" s="313">
        <v>2.6</v>
      </c>
      <c r="L394" s="313">
        <v>1.2</v>
      </c>
      <c r="M394" s="313">
        <v>0.8</v>
      </c>
      <c r="N394" s="313">
        <v>0.4</v>
      </c>
      <c r="O394" s="313">
        <v>0.1</v>
      </c>
      <c r="P394" s="313">
        <v>0.3</v>
      </c>
      <c r="Q394" s="313">
        <v>-7.89</v>
      </c>
    </row>
    <row r="395">
      <c r="A395" s="313">
        <v>394.0</v>
      </c>
      <c r="B395" s="323"/>
      <c r="C395" s="314" t="s">
        <v>1502</v>
      </c>
      <c r="D395" s="313" t="s">
        <v>88</v>
      </c>
      <c r="E395" s="313" t="s">
        <v>365</v>
      </c>
      <c r="F395" s="313">
        <v>30.0</v>
      </c>
      <c r="G395" s="313">
        <v>8.2</v>
      </c>
      <c r="H395" s="313" t="s">
        <v>1503</v>
      </c>
      <c r="I395" s="313" t="s">
        <v>1504</v>
      </c>
      <c r="J395" s="313">
        <v>0.4</v>
      </c>
      <c r="K395" s="313">
        <v>4.2</v>
      </c>
      <c r="L395" s="313">
        <v>0.7</v>
      </c>
      <c r="M395" s="313">
        <v>0.4</v>
      </c>
      <c r="N395" s="313">
        <v>0.2</v>
      </c>
      <c r="O395" s="313">
        <v>0.2</v>
      </c>
      <c r="P395" s="313">
        <v>0.4</v>
      </c>
      <c r="Q395" s="313">
        <v>-7.92</v>
      </c>
    </row>
    <row r="396">
      <c r="A396" s="313">
        <v>395.0</v>
      </c>
      <c r="B396" s="323"/>
      <c r="C396" s="314" t="s">
        <v>1505</v>
      </c>
      <c r="D396" s="313" t="s">
        <v>85</v>
      </c>
      <c r="E396" s="313" t="s">
        <v>332</v>
      </c>
      <c r="F396" s="313">
        <v>20.0</v>
      </c>
      <c r="G396" s="313">
        <v>8.0</v>
      </c>
      <c r="H396" s="313" t="s">
        <v>1506</v>
      </c>
      <c r="I396" s="313" t="s">
        <v>1507</v>
      </c>
      <c r="J396" s="313">
        <v>0.2</v>
      </c>
      <c r="K396" s="313">
        <v>2.5</v>
      </c>
      <c r="L396" s="313">
        <v>0.7</v>
      </c>
      <c r="M396" s="313">
        <v>1.2</v>
      </c>
      <c r="N396" s="313">
        <v>0.4</v>
      </c>
      <c r="O396" s="313">
        <v>0.1</v>
      </c>
      <c r="P396" s="313">
        <v>0.4</v>
      </c>
      <c r="Q396" s="313">
        <v>-8.02</v>
      </c>
    </row>
    <row r="397">
      <c r="A397" s="313">
        <v>396.0</v>
      </c>
      <c r="B397" s="323"/>
      <c r="C397" s="314" t="s">
        <v>1508</v>
      </c>
      <c r="D397" s="313" t="s">
        <v>277</v>
      </c>
      <c r="E397" s="313" t="s">
        <v>265</v>
      </c>
      <c r="F397" s="313">
        <v>58.0</v>
      </c>
      <c r="G397" s="313">
        <v>12.4</v>
      </c>
      <c r="H397" s="313" t="s">
        <v>1509</v>
      </c>
      <c r="I397" s="313" t="s">
        <v>1510</v>
      </c>
      <c r="J397" s="313">
        <v>0.3</v>
      </c>
      <c r="K397" s="313">
        <v>3.7</v>
      </c>
      <c r="L397" s="313">
        <v>1.4</v>
      </c>
      <c r="M397" s="313">
        <v>2.2</v>
      </c>
      <c r="N397" s="313">
        <v>0.4</v>
      </c>
      <c r="O397" s="313">
        <v>0.1</v>
      </c>
      <c r="P397" s="313">
        <v>1.0</v>
      </c>
      <c r="Q397" s="313">
        <v>-8.03</v>
      </c>
    </row>
    <row r="398">
      <c r="A398" s="313">
        <v>397.0</v>
      </c>
      <c r="B398" s="323"/>
      <c r="C398" s="314" t="s">
        <v>1511</v>
      </c>
      <c r="D398" s="313" t="s">
        <v>364</v>
      </c>
      <c r="E398" s="313" t="s">
        <v>449</v>
      </c>
      <c r="F398" s="313">
        <v>20.0</v>
      </c>
      <c r="G398" s="313">
        <v>8.4</v>
      </c>
      <c r="H398" s="313" t="s">
        <v>1512</v>
      </c>
      <c r="I398" s="313" t="s">
        <v>1513</v>
      </c>
      <c r="J398" s="313">
        <v>0.2</v>
      </c>
      <c r="K398" s="313">
        <v>2.5</v>
      </c>
      <c r="L398" s="313">
        <v>1.4</v>
      </c>
      <c r="M398" s="313">
        <v>1.0</v>
      </c>
      <c r="N398" s="313">
        <v>0.4</v>
      </c>
      <c r="O398" s="313">
        <v>0.2</v>
      </c>
      <c r="P398" s="313">
        <v>0.4</v>
      </c>
      <c r="Q398" s="313">
        <v>-8.03</v>
      </c>
    </row>
    <row r="399">
      <c r="A399" s="313">
        <v>398.0</v>
      </c>
      <c r="B399" s="323"/>
      <c r="C399" s="314" t="s">
        <v>1514</v>
      </c>
      <c r="D399" s="313" t="s">
        <v>364</v>
      </c>
      <c r="E399" s="313" t="s">
        <v>299</v>
      </c>
      <c r="F399" s="313">
        <v>20.0</v>
      </c>
      <c r="G399" s="313">
        <v>8.8</v>
      </c>
      <c r="H399" s="313" t="s">
        <v>1515</v>
      </c>
      <c r="I399" s="313" t="s">
        <v>1516</v>
      </c>
      <c r="J399" s="313">
        <v>0.4</v>
      </c>
      <c r="K399" s="313">
        <v>2.2</v>
      </c>
      <c r="L399" s="313">
        <v>1.0</v>
      </c>
      <c r="M399" s="313">
        <v>0.8</v>
      </c>
      <c r="N399" s="313">
        <v>0.2</v>
      </c>
      <c r="O399" s="313">
        <v>0.1</v>
      </c>
      <c r="P399" s="313">
        <v>0.3</v>
      </c>
      <c r="Q399" s="313">
        <v>-8.11</v>
      </c>
    </row>
    <row r="400">
      <c r="A400" s="313">
        <v>399.0</v>
      </c>
      <c r="B400" s="323"/>
      <c r="C400" s="314" t="s">
        <v>1517</v>
      </c>
      <c r="D400" s="313" t="s">
        <v>282</v>
      </c>
      <c r="E400" s="313" t="s">
        <v>490</v>
      </c>
      <c r="F400" s="313">
        <v>24.0</v>
      </c>
      <c r="G400" s="313">
        <v>8.8</v>
      </c>
      <c r="H400" s="313" t="s">
        <v>1518</v>
      </c>
      <c r="I400" s="313" t="s">
        <v>1519</v>
      </c>
      <c r="J400" s="313">
        <v>0.1</v>
      </c>
      <c r="K400" s="313">
        <v>3.1</v>
      </c>
      <c r="L400" s="313">
        <v>1.6</v>
      </c>
      <c r="M400" s="313">
        <v>0.6</v>
      </c>
      <c r="N400" s="313">
        <v>0.2</v>
      </c>
      <c r="O400" s="313">
        <v>0.2</v>
      </c>
      <c r="P400" s="313">
        <v>0.3</v>
      </c>
      <c r="Q400" s="313">
        <v>-8.13</v>
      </c>
    </row>
    <row r="401">
      <c r="A401" s="313">
        <v>400.0</v>
      </c>
      <c r="B401" s="323"/>
      <c r="C401" s="314" t="s">
        <v>1520</v>
      </c>
      <c r="D401" s="313" t="s">
        <v>85</v>
      </c>
      <c r="E401" s="313" t="s">
        <v>287</v>
      </c>
      <c r="F401" s="313">
        <v>40.0</v>
      </c>
      <c r="G401" s="313">
        <v>8.4</v>
      </c>
      <c r="H401" s="313" t="s">
        <v>1521</v>
      </c>
      <c r="I401" s="313" t="s">
        <v>1522</v>
      </c>
      <c r="J401" s="313">
        <v>0.5</v>
      </c>
      <c r="K401" s="313">
        <v>2.9</v>
      </c>
      <c r="L401" s="313">
        <v>1.0</v>
      </c>
      <c r="M401" s="313">
        <v>0.4</v>
      </c>
      <c r="N401" s="313">
        <v>0.2</v>
      </c>
      <c r="O401" s="313">
        <v>0.0</v>
      </c>
      <c r="P401" s="313">
        <v>0.3</v>
      </c>
      <c r="Q401" s="313">
        <v>-8.17</v>
      </c>
    </row>
    <row r="486">
      <c r="J486" s="342"/>
    </row>
    <row r="607">
      <c r="J607" s="342"/>
    </row>
    <row r="728">
      <c r="J728" s="342"/>
    </row>
    <row r="849">
      <c r="J849" s="342"/>
    </row>
    <row r="970">
      <c r="J970" s="342"/>
    </row>
    <row r="1091">
      <c r="J1091" s="342"/>
    </row>
    <row r="1212">
      <c r="J1212" s="342"/>
    </row>
    <row r="1333">
      <c r="J1333" s="342"/>
    </row>
    <row r="1454">
      <c r="J1454" s="342"/>
    </row>
    <row r="1575">
      <c r="J1575" s="342"/>
    </row>
    <row r="1696">
      <c r="J1696" s="342"/>
    </row>
    <row r="1817">
      <c r="J1817" s="342"/>
    </row>
    <row r="1938">
      <c r="J1938" s="342"/>
    </row>
    <row r="2059">
      <c r="J2059" s="342"/>
    </row>
    <row r="2180">
      <c r="J2180" s="342"/>
    </row>
    <row r="2301">
      <c r="J2301" s="342"/>
    </row>
    <row r="2422">
      <c r="J2422" s="342"/>
    </row>
    <row r="2543">
      <c r="J2543" s="342"/>
    </row>
    <row r="2664">
      <c r="J2664" s="342"/>
    </row>
    <row r="2785">
      <c r="J2785" s="342"/>
    </row>
    <row r="2906">
      <c r="J2906" s="342"/>
    </row>
    <row r="3027">
      <c r="J3027" s="342"/>
    </row>
    <row r="3148">
      <c r="J3148" s="342"/>
    </row>
    <row r="3269">
      <c r="J3269" s="342"/>
    </row>
    <row r="3390">
      <c r="J3390" s="342"/>
    </row>
    <row r="3511">
      <c r="J3511" s="342"/>
    </row>
  </sheetData>
  <autoFilter ref="$A$1:$Q$401"/>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s>
  <drawing r:id="rId40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3" width="18.5"/>
  </cols>
  <sheetData>
    <row r="1">
      <c r="A1" s="2" t="s">
        <v>0</v>
      </c>
      <c r="B1" s="2" t="s">
        <v>2</v>
      </c>
      <c r="C1" s="2" t="s">
        <v>3</v>
      </c>
      <c r="D1" s="2" t="s">
        <v>4</v>
      </c>
      <c r="E1" s="2" t="s">
        <v>5</v>
      </c>
      <c r="F1" s="2" t="s">
        <v>6</v>
      </c>
      <c r="G1" s="2" t="s">
        <v>7</v>
      </c>
      <c r="H1" s="2" t="s">
        <v>8</v>
      </c>
      <c r="I1" s="5" t="s">
        <v>9</v>
      </c>
      <c r="J1" s="2" t="s">
        <v>10</v>
      </c>
      <c r="K1" s="5" t="s">
        <v>11</v>
      </c>
      <c r="L1" s="6" t="s">
        <v>12</v>
      </c>
      <c r="M1" s="2" t="s">
        <v>13</v>
      </c>
      <c r="N1" s="2" t="s">
        <v>14</v>
      </c>
      <c r="O1" s="2" t="s">
        <v>15</v>
      </c>
      <c r="P1" s="2" t="s">
        <v>16</v>
      </c>
      <c r="Q1" s="2" t="s">
        <v>17</v>
      </c>
      <c r="R1" s="2" t="s">
        <v>18</v>
      </c>
      <c r="S1" s="2" t="s">
        <v>19</v>
      </c>
      <c r="T1" s="2" t="s">
        <v>20</v>
      </c>
      <c r="U1" s="2"/>
      <c r="V1" s="32"/>
      <c r="W1" s="97"/>
      <c r="X1" s="32"/>
      <c r="Y1" s="32"/>
      <c r="Z1" s="32"/>
      <c r="AA1" s="32"/>
      <c r="AB1" s="32"/>
      <c r="AC1" s="32"/>
    </row>
    <row r="2">
      <c r="A2" s="2">
        <v>1.0</v>
      </c>
      <c r="B2" s="2">
        <f>PasteHashtag!B2</f>
        <v>2</v>
      </c>
      <c r="C2" s="343" t="str">
        <f>PasteHashtag!C2</f>
        <v>Victor Wembanyama</v>
      </c>
      <c r="D2" s="2" t="str">
        <f>PasteHashtag!D2</f>
        <v>C</v>
      </c>
      <c r="E2" s="2" t="str">
        <f>PasteHashtag!E2</f>
        <v>SA</v>
      </c>
      <c r="F2" s="2">
        <f>PasteHashtag!F2</f>
        <v>70</v>
      </c>
      <c r="G2" s="2">
        <f>PasteHashtag!G2</f>
        <v>31.1</v>
      </c>
      <c r="H2" s="2">
        <f>MID(PasteHashtag!H2,1+FIND("(",PasteHashtag!H2),FIND("/",PasteHashtag!H2)-FIND("(",PasteHashtag!H2)-1)*1</f>
        <v>8.8</v>
      </c>
      <c r="I2" s="2">
        <f>LEFT(PasteHashtag!H2,FIND("(",PasteHashtag!H2)-1)*1</f>
        <v>0.473</v>
      </c>
      <c r="J2" s="2">
        <f>MID(PasteHashtag!I2,1+FIND("(",PasteHashtag!I2),FIND("/",PasteHashtag!I2)-FIND("(",PasteHashtag!I2)-1)*1</f>
        <v>4.5</v>
      </c>
      <c r="K2" s="2">
        <f>LEFT(PasteHashtag!I2,FIND("(",PasteHashtag!I2)-1)*1</f>
        <v>0.802</v>
      </c>
      <c r="L2" s="2">
        <f>PasteHashtag!J2</f>
        <v>2</v>
      </c>
      <c r="M2" s="2">
        <f>PasteHashtag!K2</f>
        <v>24.1</v>
      </c>
      <c r="N2" s="2">
        <f>PasteHashtag!L2</f>
        <v>11.6</v>
      </c>
      <c r="O2" s="2">
        <f>PasteHashtag!M2</f>
        <v>4.4</v>
      </c>
      <c r="P2" s="2">
        <f>PasteHashtag!N2</f>
        <v>1.4</v>
      </c>
      <c r="Q2" s="2">
        <f>PasteHashtag!O2</f>
        <v>3.9</v>
      </c>
      <c r="R2" s="2">
        <f>PasteHashtag!P2</f>
        <v>3.4</v>
      </c>
      <c r="S2" s="2">
        <f>Mid(PasteHashtag!H2,FIND("/",PasteHashtag!H2)+1,LEN(PasteHashtag!H2)-FIND("/",PasteHashtag!H2)-1)*1</f>
        <v>18.6</v>
      </c>
      <c r="T2" s="344">
        <f>Mid(PasteHashtag!I2,FIND("/",PasteHashtag!I2)+1,LEN(PasteHashtag!I2)-FIND("/",PasteHashtag!I2)-1)*1</f>
        <v>5.6</v>
      </c>
      <c r="U2" s="344"/>
      <c r="V2" s="345"/>
      <c r="W2" s="346" t="s">
        <v>250</v>
      </c>
      <c r="X2" s="347" t="s">
        <v>251</v>
      </c>
      <c r="Y2" s="347" t="s">
        <v>252</v>
      </c>
      <c r="Z2" s="347" t="s">
        <v>253</v>
      </c>
    </row>
    <row r="3">
      <c r="A3" s="2">
        <v>2.0</v>
      </c>
      <c r="B3" s="2">
        <f>PasteHashtag!B3</f>
        <v>2.4</v>
      </c>
      <c r="C3" s="343" t="str">
        <f>PasteHashtag!C3</f>
        <v>Nikola Jokic</v>
      </c>
      <c r="D3" s="2" t="str">
        <f>PasteHashtag!D3</f>
        <v>C</v>
      </c>
      <c r="E3" s="2" t="str">
        <f>PasteHashtag!E3</f>
        <v>DEN</v>
      </c>
      <c r="F3" s="2">
        <f>PasteHashtag!F3</f>
        <v>75</v>
      </c>
      <c r="G3" s="2">
        <f>PasteHashtag!G3</f>
        <v>34.1</v>
      </c>
      <c r="H3" s="2">
        <f>MID(PasteHashtag!H3,1+FIND("(",PasteHashtag!H3),FIND("/",PasteHashtag!H3)-FIND("(",PasteHashtag!H3)-1)*1</f>
        <v>10.4</v>
      </c>
      <c r="I3" s="2">
        <f>LEFT(PasteHashtag!H3,FIND("(",PasteHashtag!H3)-1)*1</f>
        <v>0.585</v>
      </c>
      <c r="J3" s="2">
        <f>MID(PasteHashtag!I3,1+FIND("(",PasteHashtag!I3),FIND("/",PasteHashtag!I3)-FIND("(",PasteHashtag!I3)-1)*1</f>
        <v>4.8</v>
      </c>
      <c r="K3" s="2">
        <f>LEFT(PasteHashtag!I3,FIND("(",PasteHashtag!I3)-1)*1</f>
        <v>0.819</v>
      </c>
      <c r="L3" s="2">
        <f>PasteHashtag!J3</f>
        <v>1.1</v>
      </c>
      <c r="M3" s="2">
        <f>PasteHashtag!K3</f>
        <v>26.7</v>
      </c>
      <c r="N3" s="2">
        <f>PasteHashtag!L3</f>
        <v>12.1</v>
      </c>
      <c r="O3" s="2">
        <f>PasteHashtag!M3</f>
        <v>9</v>
      </c>
      <c r="P3" s="2">
        <f>PasteHashtag!N3</f>
        <v>1.4</v>
      </c>
      <c r="Q3" s="2">
        <f>PasteHashtag!O3</f>
        <v>0.9</v>
      </c>
      <c r="R3" s="2">
        <f>PasteHashtag!P3</f>
        <v>3</v>
      </c>
      <c r="S3" s="2">
        <f>Mid(PasteHashtag!H3,FIND("/",PasteHashtag!H3)+1,LEN(PasteHashtag!H3)-FIND("/",PasteHashtag!H3)-1)*1</f>
        <v>17.8</v>
      </c>
      <c r="T3" s="344">
        <f>Mid(PasteHashtag!I3,FIND("/",PasteHashtag!I3)+1,LEN(PasteHashtag!I3)-FIND("/",PasteHashtag!I3)-1)*1</f>
        <v>5.8</v>
      </c>
      <c r="U3" s="11"/>
      <c r="V3" s="348" t="s">
        <v>386</v>
      </c>
      <c r="W3" s="349">
        <v>4.0</v>
      </c>
      <c r="X3" s="313">
        <v>4.0</v>
      </c>
      <c r="Y3" s="313">
        <v>4.0</v>
      </c>
      <c r="Z3" s="313">
        <v>12.0</v>
      </c>
      <c r="AB3" s="313" t="s">
        <v>265</v>
      </c>
    </row>
    <row r="4">
      <c r="A4" s="2">
        <v>3.0</v>
      </c>
      <c r="B4" s="2">
        <f>PasteHashtag!B4</f>
        <v>4.5</v>
      </c>
      <c r="C4" s="343" t="str">
        <f>PasteHashtag!C4</f>
        <v>Shai Gilgeous-Alexander</v>
      </c>
      <c r="D4" s="2" t="str">
        <f>PasteHashtag!D4</f>
        <v>PG</v>
      </c>
      <c r="E4" s="2" t="str">
        <f>PasteHashtag!E4</f>
        <v>OKC</v>
      </c>
      <c r="F4" s="2">
        <f>PasteHashtag!F4</f>
        <v>73</v>
      </c>
      <c r="G4" s="2">
        <f>PasteHashtag!G4</f>
        <v>33.5</v>
      </c>
      <c r="H4" s="2">
        <f>MID(PasteHashtag!H4,1+FIND("(",PasteHashtag!H4),FIND("/",PasteHashtag!H4)-FIND("(",PasteHashtag!H4)-1)*1</f>
        <v>10.2</v>
      </c>
      <c r="I4" s="2">
        <f>LEFT(PasteHashtag!H4,FIND("(",PasteHashtag!H4)-1)*1</f>
        <v>0.524</v>
      </c>
      <c r="J4" s="2">
        <f>MID(PasteHashtag!I4,1+FIND("(",PasteHashtag!I4),FIND("/",PasteHashtag!I4)-FIND("(",PasteHashtag!I4)-1)*1</f>
        <v>8.1</v>
      </c>
      <c r="K4" s="2">
        <f>LEFT(PasteHashtag!I4,FIND("(",PasteHashtag!I4)-1)*1</f>
        <v>0.88</v>
      </c>
      <c r="L4" s="2">
        <f>PasteHashtag!J4</f>
        <v>1.4</v>
      </c>
      <c r="M4" s="2">
        <f>PasteHashtag!K4</f>
        <v>29.9</v>
      </c>
      <c r="N4" s="2">
        <f>PasteHashtag!L4</f>
        <v>5.1</v>
      </c>
      <c r="O4" s="2">
        <f>PasteHashtag!M4</f>
        <v>6.5</v>
      </c>
      <c r="P4" s="2">
        <f>PasteHashtag!N4</f>
        <v>1.9</v>
      </c>
      <c r="Q4" s="2">
        <f>PasteHashtag!O4</f>
        <v>0.9</v>
      </c>
      <c r="R4" s="2">
        <f>PasteHashtag!P4</f>
        <v>2.4</v>
      </c>
      <c r="S4" s="2">
        <f>Mid(PasteHashtag!H4,FIND("/",PasteHashtag!H4)+1,LEN(PasteHashtag!H4)-FIND("/",PasteHashtag!H4)-1)*1</f>
        <v>19.5</v>
      </c>
      <c r="T4" s="344">
        <f>Mid(PasteHashtag!I4,FIND("/",PasteHashtag!I4)+1,LEN(PasteHashtag!I4)-FIND("/",PasteHashtag!I4)-1)*1</f>
        <v>9.2</v>
      </c>
      <c r="U4" s="11"/>
      <c r="V4" s="348" t="s">
        <v>308</v>
      </c>
      <c r="W4" s="349">
        <v>4.0</v>
      </c>
      <c r="X4" s="313">
        <v>4.0</v>
      </c>
      <c r="Y4" s="313">
        <v>4.0</v>
      </c>
      <c r="Z4" s="313">
        <v>12.0</v>
      </c>
      <c r="AB4" s="313" t="s">
        <v>269</v>
      </c>
    </row>
    <row r="5">
      <c r="A5" s="2">
        <v>4.0</v>
      </c>
      <c r="B5" s="2">
        <f>PasteHashtag!B5</f>
        <v>3.8</v>
      </c>
      <c r="C5" s="343" t="str">
        <f>PasteHashtag!C5</f>
        <v>Luka Doncic</v>
      </c>
      <c r="D5" s="2" t="str">
        <f>PasteHashtag!D5</f>
        <v>PG,SG</v>
      </c>
      <c r="E5" s="2" t="str">
        <f>PasteHashtag!E5</f>
        <v>DAL</v>
      </c>
      <c r="F5" s="2">
        <f>PasteHashtag!F5</f>
        <v>68</v>
      </c>
      <c r="G5" s="2">
        <f>PasteHashtag!G5</f>
        <v>36.8</v>
      </c>
      <c r="H5" s="2">
        <f>MID(PasteHashtag!H5,1+FIND("(",PasteHashtag!H5),FIND("/",PasteHashtag!H5)-FIND("(",PasteHashtag!H5)-1)*1</f>
        <v>11.3</v>
      </c>
      <c r="I5" s="2">
        <f>LEFT(PasteHashtag!H5,FIND("(",PasteHashtag!H5)-1)*1</f>
        <v>0.491</v>
      </c>
      <c r="J5" s="2">
        <f>MID(PasteHashtag!I5,1+FIND("(",PasteHashtag!I5),FIND("/",PasteHashtag!I5)-FIND("(",PasteHashtag!I5)-1)*1</f>
        <v>7.6</v>
      </c>
      <c r="K5" s="2">
        <f>LEFT(PasteHashtag!I5,FIND("(",PasteHashtag!I5)-1)*1</f>
        <v>0.792</v>
      </c>
      <c r="L5" s="2">
        <f>PasteHashtag!J5</f>
        <v>4.1</v>
      </c>
      <c r="M5" s="2">
        <f>PasteHashtag!K5</f>
        <v>34.4</v>
      </c>
      <c r="N5" s="2">
        <f>PasteHashtag!L5</f>
        <v>9.3</v>
      </c>
      <c r="O5" s="2">
        <f>PasteHashtag!M5</f>
        <v>9.9</v>
      </c>
      <c r="P5" s="2">
        <f>PasteHashtag!N5</f>
        <v>1.4</v>
      </c>
      <c r="Q5" s="2">
        <f>PasteHashtag!O5</f>
        <v>0.5</v>
      </c>
      <c r="R5" s="2">
        <f>PasteHashtag!P5</f>
        <v>3.8</v>
      </c>
      <c r="S5" s="2">
        <f>Mid(PasteHashtag!H5,FIND("/",PasteHashtag!H5)+1,LEN(PasteHashtag!H5)-FIND("/",PasteHashtag!H5)-1)*1</f>
        <v>23</v>
      </c>
      <c r="T5" s="344">
        <f>Mid(PasteHashtag!I5,FIND("/",PasteHashtag!I5)+1,LEN(PasteHashtag!I5)-FIND("/",PasteHashtag!I5)-1)*1</f>
        <v>9.7</v>
      </c>
      <c r="U5" s="11"/>
      <c r="V5" s="348" t="s">
        <v>375</v>
      </c>
      <c r="W5" s="349">
        <v>4.0</v>
      </c>
      <c r="X5" s="313">
        <v>4.0</v>
      </c>
      <c r="Y5" s="313">
        <v>4.0</v>
      </c>
      <c r="Z5" s="313">
        <v>12.0</v>
      </c>
      <c r="AB5" s="313" t="s">
        <v>273</v>
      </c>
    </row>
    <row r="6">
      <c r="A6" s="2">
        <v>5.0</v>
      </c>
      <c r="B6" s="2">
        <f>PasteHashtag!B6</f>
        <v>7.4</v>
      </c>
      <c r="C6" s="343" t="str">
        <f>PasteHashtag!C6</f>
        <v>Anthony Davis</v>
      </c>
      <c r="D6" s="2" t="str">
        <f>PasteHashtag!D6</f>
        <v>PF,C</v>
      </c>
      <c r="E6" s="2" t="str">
        <f>PasteHashtag!E6</f>
        <v>LAL</v>
      </c>
      <c r="F6" s="2">
        <f>PasteHashtag!F6</f>
        <v>67</v>
      </c>
      <c r="G6" s="2">
        <f>PasteHashtag!G6</f>
        <v>34.5</v>
      </c>
      <c r="H6" s="2">
        <f>MID(PasteHashtag!H6,1+FIND("(",PasteHashtag!H6),FIND("/",PasteHashtag!H6)-FIND("(",PasteHashtag!H6)-1)*1</f>
        <v>9.5</v>
      </c>
      <c r="I6" s="2">
        <f>LEFT(PasteHashtag!H6,FIND("(",PasteHashtag!H6)-1)*1</f>
        <v>0.559</v>
      </c>
      <c r="J6" s="2">
        <f>MID(PasteHashtag!I6,1+FIND("(",PasteHashtag!I6),FIND("/",PasteHashtag!I6)-FIND("(",PasteHashtag!I6)-1)*1</f>
        <v>5.8</v>
      </c>
      <c r="K6" s="2">
        <f>LEFT(PasteHashtag!I6,FIND("(",PasteHashtag!I6)-1)*1</f>
        <v>0.802</v>
      </c>
      <c r="L6" s="2">
        <f>PasteHashtag!J6</f>
        <v>0.4</v>
      </c>
      <c r="M6" s="2">
        <f>PasteHashtag!K6</f>
        <v>25.2</v>
      </c>
      <c r="N6" s="2">
        <f>PasteHashtag!L6</f>
        <v>12.7</v>
      </c>
      <c r="O6" s="2">
        <f>PasteHashtag!M6</f>
        <v>3.6</v>
      </c>
      <c r="P6" s="2">
        <f>PasteHashtag!N6</f>
        <v>1.2</v>
      </c>
      <c r="Q6" s="2">
        <f>PasteHashtag!O6</f>
        <v>2.3</v>
      </c>
      <c r="R6" s="2">
        <f>PasteHashtag!P6</f>
        <v>2.1</v>
      </c>
      <c r="S6" s="2">
        <f>Mid(PasteHashtag!H6,FIND("/",PasteHashtag!H6)+1,LEN(PasteHashtag!H6)-FIND("/",PasteHashtag!H6)-1)*1</f>
        <v>17</v>
      </c>
      <c r="T6" s="344">
        <f>Mid(PasteHashtag!I6,FIND("/",PasteHashtag!I6)+1,LEN(PasteHashtag!I6)-FIND("/",PasteHashtag!I6)-1)*1</f>
        <v>7.3</v>
      </c>
      <c r="U6" s="11"/>
      <c r="V6" s="348" t="s">
        <v>287</v>
      </c>
      <c r="W6" s="349">
        <v>4.0</v>
      </c>
      <c r="X6" s="313">
        <v>4.0</v>
      </c>
      <c r="Y6" s="313">
        <v>4.0</v>
      </c>
      <c r="Z6" s="313">
        <v>12.0</v>
      </c>
      <c r="AB6" s="313" t="s">
        <v>278</v>
      </c>
    </row>
    <row r="7">
      <c r="A7" s="2">
        <v>6.0</v>
      </c>
      <c r="B7" s="2">
        <f>PasteHashtag!B7</f>
        <v>9.6</v>
      </c>
      <c r="C7" s="343" t="str">
        <f>PasteHashtag!C7</f>
        <v>Joel Embiid</v>
      </c>
      <c r="D7" s="2" t="str">
        <f>PasteHashtag!D7</f>
        <v>C</v>
      </c>
      <c r="E7" s="2" t="str">
        <f>PasteHashtag!E7</f>
        <v>PHI</v>
      </c>
      <c r="F7" s="2">
        <f>PasteHashtag!F7</f>
        <v>60</v>
      </c>
      <c r="G7" s="2">
        <f>PasteHashtag!G7</f>
        <v>31.4</v>
      </c>
      <c r="H7" s="2">
        <f>MID(PasteHashtag!H7,1+FIND("(",PasteHashtag!H7),FIND("/",PasteHashtag!H7)-FIND("(",PasteHashtag!H7)-1)*1</f>
        <v>9.1</v>
      </c>
      <c r="I7" s="2">
        <f>LEFT(PasteHashtag!H7,FIND("(",PasteHashtag!H7)-1)*1</f>
        <v>0.518</v>
      </c>
      <c r="J7" s="2">
        <f>MID(PasteHashtag!I7,1+FIND("(",PasteHashtag!I7),FIND("/",PasteHashtag!I7)-FIND("(",PasteHashtag!I7)-1)*1</f>
        <v>8.7</v>
      </c>
      <c r="K7" s="2">
        <f>LEFT(PasteHashtag!I7,FIND("(",PasteHashtag!I7)-1)*1</f>
        <v>0.871</v>
      </c>
      <c r="L7" s="2">
        <f>PasteHashtag!J7</f>
        <v>1.3</v>
      </c>
      <c r="M7" s="2">
        <f>PasteHashtag!K7</f>
        <v>28.1</v>
      </c>
      <c r="N7" s="2">
        <f>PasteHashtag!L7</f>
        <v>10</v>
      </c>
      <c r="O7" s="2">
        <f>PasteHashtag!M7</f>
        <v>3.9</v>
      </c>
      <c r="P7" s="2">
        <f>PasteHashtag!N7</f>
        <v>0.9</v>
      </c>
      <c r="Q7" s="2">
        <f>PasteHashtag!O7</f>
        <v>1.4</v>
      </c>
      <c r="R7" s="2">
        <f>PasteHashtag!P7</f>
        <v>3.3</v>
      </c>
      <c r="S7" s="2">
        <f>Mid(PasteHashtag!H7,FIND("/",PasteHashtag!H7)+1,LEN(PasteHashtag!H7)-FIND("/",PasteHashtag!H7)-1)*1</f>
        <v>17.6</v>
      </c>
      <c r="T7" s="344">
        <f>Mid(PasteHashtag!I7,FIND("/",PasteHashtag!I7)+1,LEN(PasteHashtag!I7)-FIND("/",PasteHashtag!I7)-1)*1</f>
        <v>9.9</v>
      </c>
      <c r="U7" s="11"/>
      <c r="V7" s="348" t="s">
        <v>354</v>
      </c>
      <c r="W7" s="349">
        <v>4.0</v>
      </c>
      <c r="X7" s="313">
        <v>4.0</v>
      </c>
      <c r="Y7" s="313">
        <v>4.0</v>
      </c>
      <c r="Z7" s="313">
        <v>12.0</v>
      </c>
      <c r="AB7" s="313" t="s">
        <v>287</v>
      </c>
    </row>
    <row r="8">
      <c r="A8" s="2">
        <v>7.0</v>
      </c>
      <c r="B8" s="2">
        <f>PasteHashtag!B8</f>
        <v>6.7</v>
      </c>
      <c r="C8" s="343" t="str">
        <f>PasteHashtag!C8</f>
        <v>Giannis Antetokounmpo</v>
      </c>
      <c r="D8" s="2" t="str">
        <f>PasteHashtag!D8</f>
        <v>PF,C</v>
      </c>
      <c r="E8" s="2" t="str">
        <f>PasteHashtag!E8</f>
        <v>MIL</v>
      </c>
      <c r="F8" s="2">
        <f>PasteHashtag!F8</f>
        <v>71</v>
      </c>
      <c r="G8" s="2">
        <f>PasteHashtag!G8</f>
        <v>34.6</v>
      </c>
      <c r="H8" s="2">
        <f>MID(PasteHashtag!H8,1+FIND("(",PasteHashtag!H8),FIND("/",PasteHashtag!H8)-FIND("(",PasteHashtag!H8)-1)*1</f>
        <v>11.8</v>
      </c>
      <c r="I8" s="2">
        <f>LEFT(PasteHashtag!H8,FIND("(",PasteHashtag!H8)-1)*1</f>
        <v>0.614</v>
      </c>
      <c r="J8" s="2">
        <f>MID(PasteHashtag!I8,1+FIND("(",PasteHashtag!I8),FIND("/",PasteHashtag!I8)-FIND("(",PasteHashtag!I8)-1)*1</f>
        <v>7</v>
      </c>
      <c r="K8" s="2">
        <f>LEFT(PasteHashtag!I8,FIND("(",PasteHashtag!I8)-1)*1</f>
        <v>0.671</v>
      </c>
      <c r="L8" s="2">
        <f>PasteHashtag!J8</f>
        <v>0.6</v>
      </c>
      <c r="M8" s="2">
        <f>PasteHashtag!K8</f>
        <v>31.1</v>
      </c>
      <c r="N8" s="2">
        <f>PasteHashtag!L8</f>
        <v>11.8</v>
      </c>
      <c r="O8" s="2">
        <f>PasteHashtag!M8</f>
        <v>6.7</v>
      </c>
      <c r="P8" s="2">
        <f>PasteHashtag!N8</f>
        <v>1.2</v>
      </c>
      <c r="Q8" s="2">
        <f>PasteHashtag!O8</f>
        <v>1.1</v>
      </c>
      <c r="R8" s="2">
        <f>PasteHashtag!P8</f>
        <v>3.4</v>
      </c>
      <c r="S8" s="2">
        <f>Mid(PasteHashtag!H8,FIND("/",PasteHashtag!H8)+1,LEN(PasteHashtag!H8)-FIND("/",PasteHashtag!H8)-1)*1</f>
        <v>19.2</v>
      </c>
      <c r="T8" s="344">
        <f>Mid(PasteHashtag!I8,FIND("/",PasteHashtag!I8)+1,LEN(PasteHashtag!I8)-FIND("/",PasteHashtag!I8)-1)*1</f>
        <v>10.5</v>
      </c>
      <c r="U8" s="11"/>
      <c r="V8" s="348" t="s">
        <v>299</v>
      </c>
      <c r="W8" s="349">
        <v>4.0</v>
      </c>
      <c r="X8" s="313">
        <v>4.0</v>
      </c>
      <c r="Y8" s="313">
        <v>3.0</v>
      </c>
      <c r="Z8" s="313">
        <v>11.0</v>
      </c>
      <c r="AB8" s="313" t="s">
        <v>283</v>
      </c>
    </row>
    <row r="9">
      <c r="A9" s="2">
        <v>8.0</v>
      </c>
      <c r="B9" s="2">
        <f>PasteHashtag!B9</f>
        <v>8.4</v>
      </c>
      <c r="C9" s="343" t="str">
        <f>PasteHashtag!C9</f>
        <v>Tyrese Haliburton</v>
      </c>
      <c r="D9" s="2" t="str">
        <f>PasteHashtag!D9</f>
        <v>PG,SG</v>
      </c>
      <c r="E9" s="2" t="str">
        <f>PasteHashtag!E9</f>
        <v>IND</v>
      </c>
      <c r="F9" s="2">
        <f>PasteHashtag!F9</f>
        <v>69</v>
      </c>
      <c r="G9" s="2">
        <f>PasteHashtag!G9</f>
        <v>33.6</v>
      </c>
      <c r="H9" s="2">
        <f>MID(PasteHashtag!H9,1+FIND("(",PasteHashtag!H9),FIND("/",PasteHashtag!H9)-FIND("(",PasteHashtag!H9)-1)*1</f>
        <v>7.5</v>
      </c>
      <c r="I9" s="2">
        <f>LEFT(PasteHashtag!H9,FIND("(",PasteHashtag!H9)-1)*1</f>
        <v>0.483</v>
      </c>
      <c r="J9" s="2">
        <f>MID(PasteHashtag!I9,1+FIND("(",PasteHashtag!I9),FIND("/",PasteHashtag!I9)-FIND("(",PasteHashtag!I9)-1)*1</f>
        <v>3.1</v>
      </c>
      <c r="K9" s="2">
        <f>LEFT(PasteHashtag!I9,FIND("(",PasteHashtag!I9)-1)*1</f>
        <v>0.862</v>
      </c>
      <c r="L9" s="2">
        <f>PasteHashtag!J9</f>
        <v>3</v>
      </c>
      <c r="M9" s="2">
        <f>PasteHashtag!K9</f>
        <v>21.1</v>
      </c>
      <c r="N9" s="2">
        <f>PasteHashtag!L9</f>
        <v>3.9</v>
      </c>
      <c r="O9" s="2">
        <f>PasteHashtag!M9</f>
        <v>11.1</v>
      </c>
      <c r="P9" s="2">
        <f>PasteHashtag!N9</f>
        <v>1.4</v>
      </c>
      <c r="Q9" s="2">
        <f>PasteHashtag!O9</f>
        <v>0.7</v>
      </c>
      <c r="R9" s="2">
        <f>PasteHashtag!P9</f>
        <v>2.5</v>
      </c>
      <c r="S9" s="2">
        <f>Mid(PasteHashtag!H9,FIND("/",PasteHashtag!H9)+1,LEN(PasteHashtag!H9)-FIND("/",PasteHashtag!H9)-1)*1</f>
        <v>15.6</v>
      </c>
      <c r="T9" s="344">
        <f>Mid(PasteHashtag!I9,FIND("/",PasteHashtag!I9)+1,LEN(PasteHashtag!I9)-FIND("/",PasteHashtag!I9)-1)*1</f>
        <v>3.5</v>
      </c>
      <c r="U9" s="11"/>
      <c r="V9" s="348" t="s">
        <v>495</v>
      </c>
      <c r="W9" s="349">
        <v>3.0</v>
      </c>
      <c r="X9" s="313">
        <v>5.0</v>
      </c>
      <c r="Y9" s="313">
        <v>3.0</v>
      </c>
      <c r="Z9" s="313">
        <v>11.0</v>
      </c>
      <c r="AB9" s="313" t="s">
        <v>291</v>
      </c>
    </row>
    <row r="10">
      <c r="A10" s="2">
        <v>9.0</v>
      </c>
      <c r="B10" s="2">
        <f>PasteHashtag!B10</f>
        <v>12.5</v>
      </c>
      <c r="C10" s="343" t="str">
        <f>PasteHashtag!C10</f>
        <v>Trae Young</v>
      </c>
      <c r="D10" s="2" t="str">
        <f>PasteHashtag!D10</f>
        <v>PG</v>
      </c>
      <c r="E10" s="2" t="str">
        <f>PasteHashtag!E10</f>
        <v>ATL</v>
      </c>
      <c r="F10" s="2">
        <f>PasteHashtag!F10</f>
        <v>72</v>
      </c>
      <c r="G10" s="2">
        <f>PasteHashtag!G10</f>
        <v>35.2</v>
      </c>
      <c r="H10" s="2">
        <f>MID(PasteHashtag!H10,1+FIND("(",PasteHashtag!H10),FIND("/",PasteHashtag!H10)-FIND("(",PasteHashtag!H10)-1)*1</f>
        <v>8.4</v>
      </c>
      <c r="I10" s="2">
        <f>LEFT(PasteHashtag!H10,FIND("(",PasteHashtag!H10)-1)*1</f>
        <v>0.432</v>
      </c>
      <c r="J10" s="2">
        <f>MID(PasteHashtag!I10,1+FIND("(",PasteHashtag!I10),FIND("/",PasteHashtag!I10)-FIND("(",PasteHashtag!I10)-1)*1</f>
        <v>7.8</v>
      </c>
      <c r="K10" s="2">
        <f>LEFT(PasteHashtag!I10,FIND("(",PasteHashtag!I10)-1)*1</f>
        <v>0.877</v>
      </c>
      <c r="L10" s="2">
        <f>PasteHashtag!J10</f>
        <v>3.4</v>
      </c>
      <c r="M10" s="2">
        <f>PasteHashtag!K10</f>
        <v>28.1</v>
      </c>
      <c r="N10" s="2">
        <f>PasteHashtag!L10</f>
        <v>2.9</v>
      </c>
      <c r="O10" s="2">
        <f>PasteHashtag!M10</f>
        <v>10.8</v>
      </c>
      <c r="P10" s="2">
        <f>PasteHashtag!N10</f>
        <v>1.2</v>
      </c>
      <c r="Q10" s="2">
        <f>PasteHashtag!O10</f>
        <v>0.2</v>
      </c>
      <c r="R10" s="2">
        <f>PasteHashtag!P10</f>
        <v>4.2</v>
      </c>
      <c r="S10" s="2">
        <f>Mid(PasteHashtag!H10,FIND("/",PasteHashtag!H10)+1,LEN(PasteHashtag!H10)-FIND("/",PasteHashtag!H10)-1)*1</f>
        <v>19.5</v>
      </c>
      <c r="T10" s="344">
        <f>Mid(PasteHashtag!I10,FIND("/",PasteHashtag!I10)+1,LEN(PasteHashtag!I10)-FIND("/",PasteHashtag!I10)-1)*1</f>
        <v>8.9</v>
      </c>
      <c r="U10" s="11"/>
      <c r="V10" s="348" t="s">
        <v>342</v>
      </c>
      <c r="W10" s="349">
        <v>4.0</v>
      </c>
      <c r="X10" s="313">
        <v>3.0</v>
      </c>
      <c r="Y10" s="313">
        <v>4.0</v>
      </c>
      <c r="Z10" s="313">
        <v>11.0</v>
      </c>
      <c r="AB10" s="313" t="s">
        <v>295</v>
      </c>
    </row>
    <row r="11">
      <c r="A11" s="2">
        <v>10.0</v>
      </c>
      <c r="B11" s="2">
        <f>PasteHashtag!B11</f>
        <v>9.5</v>
      </c>
      <c r="C11" s="343" t="str">
        <f>PasteHashtag!C11</f>
        <v>Jayson Tatum</v>
      </c>
      <c r="D11" s="2" t="str">
        <f>PasteHashtag!D11</f>
        <v>SF,PF</v>
      </c>
      <c r="E11" s="2" t="str">
        <f>PasteHashtag!E11</f>
        <v>BOS</v>
      </c>
      <c r="F11" s="2">
        <f>PasteHashtag!F11</f>
        <v>75</v>
      </c>
      <c r="G11" s="2">
        <f>PasteHashtag!G11</f>
        <v>35.8</v>
      </c>
      <c r="H11" s="2">
        <f>MID(PasteHashtag!H11,1+FIND("(",PasteHashtag!H11),FIND("/",PasteHashtag!H11)-FIND("(",PasteHashtag!H11)-1)*1</f>
        <v>9.4</v>
      </c>
      <c r="I11" s="2">
        <f>LEFT(PasteHashtag!H11,FIND("(",PasteHashtag!H11)-1)*1</f>
        <v>0.469</v>
      </c>
      <c r="J11" s="2">
        <f>MID(PasteHashtag!I11,1+FIND("(",PasteHashtag!I11),FIND("/",PasteHashtag!I11)-FIND("(",PasteHashtag!I11)-1)*1</f>
        <v>6.1</v>
      </c>
      <c r="K11" s="2">
        <f>LEFT(PasteHashtag!I11,FIND("(",PasteHashtag!I11)-1)*1</f>
        <v>0.836</v>
      </c>
      <c r="L11" s="2">
        <f>PasteHashtag!J11</f>
        <v>2.9</v>
      </c>
      <c r="M11" s="2">
        <f>PasteHashtag!K11</f>
        <v>27.9</v>
      </c>
      <c r="N11" s="2">
        <f>PasteHashtag!L11</f>
        <v>9</v>
      </c>
      <c r="O11" s="2">
        <f>PasteHashtag!M11</f>
        <v>5.1</v>
      </c>
      <c r="P11" s="2">
        <f>PasteHashtag!N11</f>
        <v>1.1</v>
      </c>
      <c r="Q11" s="2">
        <f>PasteHashtag!O11</f>
        <v>0.7</v>
      </c>
      <c r="R11" s="2">
        <f>PasteHashtag!P11</f>
        <v>2.5</v>
      </c>
      <c r="S11" s="2">
        <f>Mid(PasteHashtag!H11,FIND("/",PasteHashtag!H11)+1,LEN(PasteHashtag!H11)-FIND("/",PasteHashtag!H11)-1)*1</f>
        <v>20.1</v>
      </c>
      <c r="T11" s="344">
        <f>Mid(PasteHashtag!I11,FIND("/",PasteHashtag!I11)+1,LEN(PasteHashtag!I11)-FIND("/",PasteHashtag!I11)-1)*1</f>
        <v>7.3</v>
      </c>
      <c r="U11" s="11"/>
      <c r="V11" s="348" t="s">
        <v>317</v>
      </c>
      <c r="W11" s="349">
        <v>4.0</v>
      </c>
      <c r="X11" s="313">
        <v>3.0</v>
      </c>
      <c r="Y11" s="313">
        <v>4.0</v>
      </c>
      <c r="Z11" s="313">
        <v>11.0</v>
      </c>
      <c r="AB11" s="313" t="s">
        <v>299</v>
      </c>
    </row>
    <row r="12">
      <c r="A12" s="2">
        <v>11.0</v>
      </c>
      <c r="B12" s="2">
        <f>PasteHashtag!B12</f>
        <v>16.2</v>
      </c>
      <c r="C12" s="343" t="str">
        <f>PasteHashtag!C12</f>
        <v>James Harden</v>
      </c>
      <c r="D12" s="2" t="str">
        <f>PasteHashtag!D12</f>
        <v>PG,SG</v>
      </c>
      <c r="E12" s="2" t="str">
        <f>PasteHashtag!E12</f>
        <v>LAC</v>
      </c>
      <c r="F12" s="2">
        <f>PasteHashtag!F12</f>
        <v>68</v>
      </c>
      <c r="G12" s="2">
        <f>PasteHashtag!G12</f>
        <v>34.5</v>
      </c>
      <c r="H12" s="2">
        <f>MID(PasteHashtag!H12,1+FIND("(",PasteHashtag!H12),FIND("/",PasteHashtag!H12)-FIND("(",PasteHashtag!H12)-1)*1</f>
        <v>6.5</v>
      </c>
      <c r="I12" s="2">
        <f>LEFT(PasteHashtag!H12,FIND("(",PasteHashtag!H12)-1)*1</f>
        <v>0.438</v>
      </c>
      <c r="J12" s="2">
        <f>MID(PasteHashtag!I12,1+FIND("(",PasteHashtag!I12),FIND("/",PasteHashtag!I12)-FIND("(",PasteHashtag!I12)-1)*1</f>
        <v>4.7</v>
      </c>
      <c r="K12" s="2">
        <f>LEFT(PasteHashtag!I12,FIND("(",PasteHashtag!I12)-1)*1</f>
        <v>0.871</v>
      </c>
      <c r="L12" s="2">
        <f>PasteHashtag!J12</f>
        <v>2.8</v>
      </c>
      <c r="M12" s="2">
        <f>PasteHashtag!K12</f>
        <v>20.4</v>
      </c>
      <c r="N12" s="2">
        <f>PasteHashtag!L12</f>
        <v>6.1</v>
      </c>
      <c r="O12" s="2">
        <f>PasteHashtag!M12</f>
        <v>10.4</v>
      </c>
      <c r="P12" s="2">
        <f>PasteHashtag!N12</f>
        <v>1.1</v>
      </c>
      <c r="Q12" s="2">
        <f>PasteHashtag!O12</f>
        <v>0.7</v>
      </c>
      <c r="R12" s="2">
        <f>PasteHashtag!P12</f>
        <v>2.9</v>
      </c>
      <c r="S12" s="2">
        <f>Mid(PasteHashtag!H12,FIND("/",PasteHashtag!H12)+1,LEN(PasteHashtag!H12)-FIND("/",PasteHashtag!H12)-1)*1</f>
        <v>14.8</v>
      </c>
      <c r="T12" s="344">
        <f>Mid(PasteHashtag!I12,FIND("/",PasteHashtag!I12)+1,LEN(PasteHashtag!I12)-FIND("/",PasteHashtag!I12)-1)*1</f>
        <v>5.3</v>
      </c>
      <c r="U12" s="11"/>
      <c r="V12" s="348" t="s">
        <v>269</v>
      </c>
      <c r="W12" s="349">
        <v>3.0</v>
      </c>
      <c r="X12" s="313">
        <v>4.0</v>
      </c>
      <c r="Y12" s="313">
        <v>4.0</v>
      </c>
      <c r="Z12" s="313">
        <v>11.0</v>
      </c>
      <c r="AB12" s="313" t="s">
        <v>304</v>
      </c>
    </row>
    <row r="13">
      <c r="A13" s="2">
        <v>12.0</v>
      </c>
      <c r="B13" s="2">
        <f>PasteHashtag!B13</f>
        <v>12.4</v>
      </c>
      <c r="C13" s="343" t="str">
        <f>PasteHashtag!C13</f>
        <v>Stephen Curry</v>
      </c>
      <c r="D13" s="2" t="str">
        <f>PasteHashtag!D13</f>
        <v>PG,SG</v>
      </c>
      <c r="E13" s="2" t="str">
        <f>PasteHashtag!E13</f>
        <v>GS</v>
      </c>
      <c r="F13" s="2">
        <f>PasteHashtag!F13</f>
        <v>68</v>
      </c>
      <c r="G13" s="2">
        <f>PasteHashtag!G13</f>
        <v>31.4</v>
      </c>
      <c r="H13" s="2">
        <f>MID(PasteHashtag!H13,1+FIND("(",PasteHashtag!H13),FIND("/",PasteHashtag!H13)-FIND("(",PasteHashtag!H13)-1)*1</f>
        <v>8.8</v>
      </c>
      <c r="I13" s="2">
        <f>LEFT(PasteHashtag!H13,FIND("(",PasteHashtag!H13)-1)*1</f>
        <v>0.469</v>
      </c>
      <c r="J13" s="2">
        <f>MID(PasteHashtag!I13,1+FIND("(",PasteHashtag!I13),FIND("/",PasteHashtag!I13)-FIND("(",PasteHashtag!I13)-1)*1</f>
        <v>4</v>
      </c>
      <c r="K13" s="2">
        <f>LEFT(PasteHashtag!I13,FIND("(",PasteHashtag!I13)-1)*1</f>
        <v>0.918</v>
      </c>
      <c r="L13" s="2">
        <f>PasteHashtag!J13</f>
        <v>4.8</v>
      </c>
      <c r="M13" s="2">
        <f>PasteHashtag!K13</f>
        <v>26.4</v>
      </c>
      <c r="N13" s="2">
        <f>PasteHashtag!L13</f>
        <v>4.5</v>
      </c>
      <c r="O13" s="2">
        <f>PasteHashtag!M13</f>
        <v>5.3</v>
      </c>
      <c r="P13" s="2">
        <f>PasteHashtag!N13</f>
        <v>0.8</v>
      </c>
      <c r="Q13" s="2">
        <f>PasteHashtag!O13</f>
        <v>0.4</v>
      </c>
      <c r="R13" s="2">
        <f>PasteHashtag!P13</f>
        <v>2.8</v>
      </c>
      <c r="S13" s="2">
        <f>Mid(PasteHashtag!H13,FIND("/",PasteHashtag!H13)+1,LEN(PasteHashtag!H13)-FIND("/",PasteHashtag!H13)-1)*1</f>
        <v>18.7</v>
      </c>
      <c r="T13" s="344">
        <f>Mid(PasteHashtag!I13,FIND("/",PasteHashtag!I13)+1,LEN(PasteHashtag!I13)-FIND("/",PasteHashtag!I13)-1)*1</f>
        <v>4.4</v>
      </c>
      <c r="U13" s="11"/>
      <c r="V13" s="348" t="s">
        <v>428</v>
      </c>
      <c r="W13" s="349">
        <v>4.0</v>
      </c>
      <c r="X13" s="313">
        <v>3.0</v>
      </c>
      <c r="Y13" s="313">
        <v>4.0</v>
      </c>
      <c r="Z13" s="313">
        <v>11.0</v>
      </c>
      <c r="AB13" s="313" t="s">
        <v>308</v>
      </c>
    </row>
    <row r="14">
      <c r="A14" s="2">
        <v>13.0</v>
      </c>
      <c r="B14" s="2">
        <f>PasteHashtag!B14</f>
        <v>17</v>
      </c>
      <c r="C14" s="343" t="str">
        <f>PasteHashtag!C14</f>
        <v>Donovan Mitchell</v>
      </c>
      <c r="D14" s="2" t="str">
        <f>PasteHashtag!D14</f>
        <v>PG,SG</v>
      </c>
      <c r="E14" s="2" t="str">
        <f>PasteHashtag!E14</f>
        <v>CLE</v>
      </c>
      <c r="F14" s="2">
        <f>PasteHashtag!F14</f>
        <v>67</v>
      </c>
      <c r="G14" s="2">
        <f>PasteHashtag!G14</f>
        <v>33.7</v>
      </c>
      <c r="H14" s="2">
        <f>MID(PasteHashtag!H14,1+FIND("(",PasteHashtag!H14),FIND("/",PasteHashtag!H14)-FIND("(",PasteHashtag!H14)-1)*1</f>
        <v>9.1</v>
      </c>
      <c r="I14" s="2">
        <f>LEFT(PasteHashtag!H14,FIND("(",PasteHashtag!H14)-1)*1</f>
        <v>0.468</v>
      </c>
      <c r="J14" s="2">
        <f>MID(PasteHashtag!I14,1+FIND("(",PasteHashtag!I14),FIND("/",PasteHashtag!I14)-FIND("(",PasteHashtag!I14)-1)*1</f>
        <v>4.6</v>
      </c>
      <c r="K14" s="2">
        <f>LEFT(PasteHashtag!I14,FIND("(",PasteHashtag!I14)-1)*1</f>
        <v>0.866</v>
      </c>
      <c r="L14" s="2">
        <f>PasteHashtag!J14</f>
        <v>3.3</v>
      </c>
      <c r="M14" s="2">
        <f>PasteHashtag!K14</f>
        <v>26.2</v>
      </c>
      <c r="N14" s="2">
        <f>PasteHashtag!L14</f>
        <v>4.4</v>
      </c>
      <c r="O14" s="2">
        <f>PasteHashtag!M14</f>
        <v>5.4</v>
      </c>
      <c r="P14" s="2">
        <f>PasteHashtag!N14</f>
        <v>1.6</v>
      </c>
      <c r="Q14" s="2">
        <f>PasteHashtag!O14</f>
        <v>0.4</v>
      </c>
      <c r="R14" s="2">
        <f>PasteHashtag!P14</f>
        <v>2.8</v>
      </c>
      <c r="S14" s="2">
        <f>Mid(PasteHashtag!H14,FIND("/",PasteHashtag!H14)+1,LEN(PasteHashtag!H14)-FIND("/",PasteHashtag!H14)-1)*1</f>
        <v>19.5</v>
      </c>
      <c r="T14" s="344">
        <f>Mid(PasteHashtag!I14,FIND("/",PasteHashtag!I14)+1,LEN(PasteHashtag!I14)-FIND("/",PasteHashtag!I14)-1)*1</f>
        <v>5.4</v>
      </c>
      <c r="U14" s="11"/>
      <c r="V14" s="348" t="s">
        <v>312</v>
      </c>
      <c r="W14" s="349">
        <v>4.0</v>
      </c>
      <c r="X14" s="313">
        <v>3.0</v>
      </c>
      <c r="Y14" s="313">
        <v>4.0</v>
      </c>
      <c r="Z14" s="313">
        <v>11.0</v>
      </c>
      <c r="AB14" s="313" t="s">
        <v>312</v>
      </c>
    </row>
    <row r="15">
      <c r="A15" s="2">
        <v>14.0</v>
      </c>
      <c r="B15" s="2">
        <f>PasteHashtag!B15</f>
        <v>26.6</v>
      </c>
      <c r="C15" s="343" t="str">
        <f>PasteHashtag!C15</f>
        <v>Kyrie Irving</v>
      </c>
      <c r="D15" s="2" t="str">
        <f>PasteHashtag!D15</f>
        <v>PG,SG</v>
      </c>
      <c r="E15" s="2" t="str">
        <f>PasteHashtag!E15</f>
        <v>DAL</v>
      </c>
      <c r="F15" s="2">
        <f>PasteHashtag!F15</f>
        <v>61</v>
      </c>
      <c r="G15" s="2">
        <f>PasteHashtag!G15</f>
        <v>34.8</v>
      </c>
      <c r="H15" s="2">
        <f>MID(PasteHashtag!H15,1+FIND("(",PasteHashtag!H15),FIND("/",PasteHashtag!H15)-FIND("(",PasteHashtag!H15)-1)*1</f>
        <v>9.2</v>
      </c>
      <c r="I15" s="2">
        <f>LEFT(PasteHashtag!H15,FIND("(",PasteHashtag!H15)-1)*1</f>
        <v>0.495</v>
      </c>
      <c r="J15" s="2">
        <f>MID(PasteHashtag!I15,1+FIND("(",PasteHashtag!I15),FIND("/",PasteHashtag!I15)-FIND("(",PasteHashtag!I15)-1)*1</f>
        <v>3.2</v>
      </c>
      <c r="K15" s="2">
        <f>LEFT(PasteHashtag!I15,FIND("(",PasteHashtag!I15)-1)*1</f>
        <v>0.907</v>
      </c>
      <c r="L15" s="2">
        <f>PasteHashtag!J15</f>
        <v>3</v>
      </c>
      <c r="M15" s="2">
        <f>PasteHashtag!K15</f>
        <v>24.6</v>
      </c>
      <c r="N15" s="2">
        <f>PasteHashtag!L15</f>
        <v>4.9</v>
      </c>
      <c r="O15" s="2">
        <f>PasteHashtag!M15</f>
        <v>5.2</v>
      </c>
      <c r="P15" s="2">
        <f>PasteHashtag!N15</f>
        <v>1.2</v>
      </c>
      <c r="Q15" s="2">
        <f>PasteHashtag!O15</f>
        <v>0.6</v>
      </c>
      <c r="R15" s="2">
        <f>PasteHashtag!P15</f>
        <v>1.8</v>
      </c>
      <c r="S15" s="2">
        <f>Mid(PasteHashtag!H15,FIND("/",PasteHashtag!H15)+1,LEN(PasteHashtag!H15)-FIND("/",PasteHashtag!H15)-1)*1</f>
        <v>18.6</v>
      </c>
      <c r="T15" s="344">
        <f>Mid(PasteHashtag!I15,FIND("/",PasteHashtag!I15)+1,LEN(PasteHashtag!I15)-FIND("/",PasteHashtag!I15)-1)*1</f>
        <v>3.6</v>
      </c>
      <c r="U15" s="11"/>
      <c r="V15" s="348" t="s">
        <v>295</v>
      </c>
      <c r="W15" s="349">
        <v>3.0</v>
      </c>
      <c r="X15" s="313">
        <v>4.0</v>
      </c>
      <c r="Y15" s="313">
        <v>4.0</v>
      </c>
      <c r="Z15" s="313">
        <v>11.0</v>
      </c>
      <c r="AB15" s="313" t="s">
        <v>317</v>
      </c>
    </row>
    <row r="16">
      <c r="A16" s="2">
        <v>15.0</v>
      </c>
      <c r="B16" s="2">
        <f>PasteHashtag!B16</f>
        <v>18.3</v>
      </c>
      <c r="C16" s="343" t="str">
        <f>PasteHashtag!C16</f>
        <v>Kevin Durant</v>
      </c>
      <c r="D16" s="2" t="str">
        <f>PasteHashtag!D16</f>
        <v>SF,PF</v>
      </c>
      <c r="E16" s="2" t="str">
        <f>PasteHashtag!E16</f>
        <v>PHO</v>
      </c>
      <c r="F16" s="2">
        <f>PasteHashtag!F16</f>
        <v>65</v>
      </c>
      <c r="G16" s="2">
        <f>PasteHashtag!G16</f>
        <v>35.2</v>
      </c>
      <c r="H16" s="2">
        <f>MID(PasteHashtag!H16,1+FIND("(",PasteHashtag!H16),FIND("/",PasteHashtag!H16)-FIND("(",PasteHashtag!H16)-1)*1</f>
        <v>9.5</v>
      </c>
      <c r="I16" s="2">
        <f>LEFT(PasteHashtag!H16,FIND("(",PasteHashtag!H16)-1)*1</f>
        <v>0.52</v>
      </c>
      <c r="J16" s="2">
        <f>MID(PasteHashtag!I16,1+FIND("(",PasteHashtag!I16),FIND("/",PasteHashtag!I16)-FIND("(",PasteHashtag!I16)-1)*1</f>
        <v>4.6</v>
      </c>
      <c r="K16" s="2">
        <f>LEFT(PasteHashtag!I16,FIND("(",PasteHashtag!I16)-1)*1</f>
        <v>0.846</v>
      </c>
      <c r="L16" s="2">
        <f>PasteHashtag!J16</f>
        <v>2.1</v>
      </c>
      <c r="M16" s="2">
        <f>PasteHashtag!K16</f>
        <v>25.7</v>
      </c>
      <c r="N16" s="2">
        <f>PasteHashtag!L16</f>
        <v>6.4</v>
      </c>
      <c r="O16" s="2">
        <f>PasteHashtag!M16</f>
        <v>4.8</v>
      </c>
      <c r="P16" s="2">
        <f>PasteHashtag!N16</f>
        <v>0.8</v>
      </c>
      <c r="Q16" s="2">
        <f>PasteHashtag!O16</f>
        <v>1.2</v>
      </c>
      <c r="R16" s="2">
        <f>PasteHashtag!P16</f>
        <v>3.2</v>
      </c>
      <c r="S16" s="2">
        <f>Mid(PasteHashtag!H16,FIND("/",PasteHashtag!H16)+1,LEN(PasteHashtag!H16)-FIND("/",PasteHashtag!H16)-1)*1</f>
        <v>18.3</v>
      </c>
      <c r="T16" s="344">
        <f>Mid(PasteHashtag!I16,FIND("/",PasteHashtag!I16)+1,LEN(PasteHashtag!I16)-FIND("/",PasteHashtag!I16)-1)*1</f>
        <v>5.5</v>
      </c>
      <c r="U16" s="11"/>
      <c r="V16" s="348" t="s">
        <v>379</v>
      </c>
      <c r="W16" s="349">
        <v>4.0</v>
      </c>
      <c r="X16" s="313">
        <v>4.0</v>
      </c>
      <c r="Y16" s="313">
        <v>3.0</v>
      </c>
      <c r="Z16" s="313">
        <v>11.0</v>
      </c>
      <c r="AB16" s="313" t="s">
        <v>278</v>
      </c>
    </row>
    <row r="17">
      <c r="A17" s="2">
        <v>16.0</v>
      </c>
      <c r="B17" s="2">
        <f>PasteHashtag!B17</f>
        <v>24.2</v>
      </c>
      <c r="C17" s="343" t="str">
        <f>PasteHashtag!C17</f>
        <v>LeBron James</v>
      </c>
      <c r="D17" s="2" t="str">
        <f>PasteHashtag!D17</f>
        <v>SF,PF</v>
      </c>
      <c r="E17" s="2" t="str">
        <f>PasteHashtag!E17</f>
        <v>LAL</v>
      </c>
      <c r="F17" s="2">
        <f>PasteHashtag!F17</f>
        <v>67</v>
      </c>
      <c r="G17" s="2">
        <f>PasteHashtag!G17</f>
        <v>34</v>
      </c>
      <c r="H17" s="2">
        <f>MID(PasteHashtag!H17,1+FIND("(",PasteHashtag!H17),FIND("/",PasteHashtag!H17)-FIND("(",PasteHashtag!H17)-1)*1</f>
        <v>9.4</v>
      </c>
      <c r="I17" s="2">
        <f>LEFT(PasteHashtag!H17,FIND("(",PasteHashtag!H17)-1)*1</f>
        <v>0.535</v>
      </c>
      <c r="J17" s="2">
        <f>MID(PasteHashtag!I17,1+FIND("(",PasteHashtag!I17),FIND("/",PasteHashtag!I17)-FIND("(",PasteHashtag!I17)-1)*1</f>
        <v>4.3</v>
      </c>
      <c r="K17" s="2">
        <f>LEFT(PasteHashtag!I17,FIND("(",PasteHashtag!I17)-1)*1</f>
        <v>0.758</v>
      </c>
      <c r="L17" s="2">
        <f>PasteHashtag!J17</f>
        <v>2.1</v>
      </c>
      <c r="M17" s="2">
        <f>PasteHashtag!K17</f>
        <v>25.2</v>
      </c>
      <c r="N17" s="2">
        <f>PasteHashtag!L17</f>
        <v>7.2</v>
      </c>
      <c r="O17" s="2">
        <f>PasteHashtag!M17</f>
        <v>8.2</v>
      </c>
      <c r="P17" s="2">
        <f>PasteHashtag!N17</f>
        <v>1.1</v>
      </c>
      <c r="Q17" s="2">
        <f>PasteHashtag!O17</f>
        <v>0.5</v>
      </c>
      <c r="R17" s="2">
        <f>PasteHashtag!P17</f>
        <v>3.3</v>
      </c>
      <c r="S17" s="2">
        <f>Mid(PasteHashtag!H17,FIND("/",PasteHashtag!H17)+1,LEN(PasteHashtag!H17)-FIND("/",PasteHashtag!H17)-1)*1</f>
        <v>17.6</v>
      </c>
      <c r="T17" s="344">
        <f>Mid(PasteHashtag!I17,FIND("/",PasteHashtag!I17)+1,LEN(PasteHashtag!I17)-FIND("/",PasteHashtag!I17)-1)*1</f>
        <v>5.6</v>
      </c>
      <c r="U17" s="11"/>
      <c r="V17" s="348" t="s">
        <v>291</v>
      </c>
      <c r="W17" s="349">
        <v>4.0</v>
      </c>
      <c r="X17" s="313">
        <v>4.0</v>
      </c>
      <c r="Y17" s="313">
        <v>3.0</v>
      </c>
      <c r="Z17" s="313">
        <v>11.0</v>
      </c>
      <c r="AB17" s="313" t="s">
        <v>324</v>
      </c>
    </row>
    <row r="18">
      <c r="A18" s="2">
        <v>17.0</v>
      </c>
      <c r="B18" s="2">
        <f>PasteHashtag!B18</f>
        <v>19</v>
      </c>
      <c r="C18" s="343" t="str">
        <f>PasteHashtag!C18</f>
        <v>Scottie Barnes</v>
      </c>
      <c r="D18" s="2" t="str">
        <f>PasteHashtag!D18</f>
        <v>SG,SF,PF</v>
      </c>
      <c r="E18" s="2" t="str">
        <f>PasteHashtag!E18</f>
        <v>TOR</v>
      </c>
      <c r="F18" s="2">
        <f>PasteHashtag!F18</f>
        <v>70</v>
      </c>
      <c r="G18" s="2">
        <f>PasteHashtag!G18</f>
        <v>34.8</v>
      </c>
      <c r="H18" s="2">
        <f>MID(PasteHashtag!H18,1+FIND("(",PasteHashtag!H18),FIND("/",PasteHashtag!H18)-FIND("(",PasteHashtag!H18)-1)*1</f>
        <v>7</v>
      </c>
      <c r="I18" s="2">
        <f>LEFT(PasteHashtag!H18,FIND("(",PasteHashtag!H18)-1)*1</f>
        <v>0.479</v>
      </c>
      <c r="J18" s="2">
        <f>MID(PasteHashtag!I18,1+FIND("(",PasteHashtag!I18),FIND("/",PasteHashtag!I18)-FIND("(",PasteHashtag!I18)-1)*1</f>
        <v>3.5</v>
      </c>
      <c r="K18" s="2">
        <f>LEFT(PasteHashtag!I18,FIND("(",PasteHashtag!I18)-1)*1</f>
        <v>0.791</v>
      </c>
      <c r="L18" s="2">
        <f>PasteHashtag!J18</f>
        <v>1.7</v>
      </c>
      <c r="M18" s="2">
        <f>PasteHashtag!K18</f>
        <v>19.1</v>
      </c>
      <c r="N18" s="2">
        <f>PasteHashtag!L18</f>
        <v>8.3</v>
      </c>
      <c r="O18" s="2">
        <f>PasteHashtag!M18</f>
        <v>6</v>
      </c>
      <c r="P18" s="2">
        <f>PasteHashtag!N18</f>
        <v>1.3</v>
      </c>
      <c r="Q18" s="2">
        <f>PasteHashtag!O18</f>
        <v>1.5</v>
      </c>
      <c r="R18" s="2">
        <f>PasteHashtag!P18</f>
        <v>2.4</v>
      </c>
      <c r="S18" s="2">
        <f>Mid(PasteHashtag!H18,FIND("/",PasteHashtag!H18)+1,LEN(PasteHashtag!H18)-FIND("/",PasteHashtag!H18)-1)*1</f>
        <v>14.5</v>
      </c>
      <c r="T18" s="344">
        <f>Mid(PasteHashtag!I18,FIND("/",PasteHashtag!I18)+1,LEN(PasteHashtag!I18)-FIND("/",PasteHashtag!I18)-1)*1</f>
        <v>4.4</v>
      </c>
      <c r="U18" s="11"/>
      <c r="V18" s="348" t="s">
        <v>273</v>
      </c>
      <c r="W18" s="349">
        <v>4.0</v>
      </c>
      <c r="X18" s="313">
        <v>4.0</v>
      </c>
      <c r="Y18" s="313">
        <v>3.0</v>
      </c>
      <c r="Z18" s="313">
        <v>11.0</v>
      </c>
      <c r="AB18" s="313" t="s">
        <v>283</v>
      </c>
    </row>
    <row r="19">
      <c r="A19" s="2">
        <v>18.0</v>
      </c>
      <c r="B19" s="2">
        <f>PasteHashtag!B19</f>
        <v>24.3</v>
      </c>
      <c r="C19" s="343" t="str">
        <f>PasteHashtag!C19</f>
        <v>Damian Lillard</v>
      </c>
      <c r="D19" s="2" t="str">
        <f>PasteHashtag!D19</f>
        <v>PG</v>
      </c>
      <c r="E19" s="2" t="str">
        <f>PasteHashtag!E19</f>
        <v>MIL</v>
      </c>
      <c r="F19" s="2">
        <f>PasteHashtag!F19</f>
        <v>70</v>
      </c>
      <c r="G19" s="2">
        <f>PasteHashtag!G19</f>
        <v>35.2</v>
      </c>
      <c r="H19" s="2">
        <f>MID(PasteHashtag!H19,1+FIND("(",PasteHashtag!H19),FIND("/",PasteHashtag!H19)-FIND("(",PasteHashtag!H19)-1)*1</f>
        <v>7.7</v>
      </c>
      <c r="I19" s="2">
        <f>LEFT(PasteHashtag!H19,FIND("(",PasteHashtag!H19)-1)*1</f>
        <v>0.432</v>
      </c>
      <c r="J19" s="2">
        <f>MID(PasteHashtag!I19,1+FIND("(",PasteHashtag!I19),FIND("/",PasteHashtag!I19)-FIND("(",PasteHashtag!I19)-1)*1</f>
        <v>6.5</v>
      </c>
      <c r="K19" s="2">
        <f>LEFT(PasteHashtag!I19,FIND("(",PasteHashtag!I19)-1)*1</f>
        <v>0.918</v>
      </c>
      <c r="L19" s="2">
        <f>PasteHashtag!J19</f>
        <v>3.1</v>
      </c>
      <c r="M19" s="2">
        <f>PasteHashtag!K19</f>
        <v>24.9</v>
      </c>
      <c r="N19" s="2">
        <f>PasteHashtag!L19</f>
        <v>4.5</v>
      </c>
      <c r="O19" s="2">
        <f>PasteHashtag!M19</f>
        <v>7.1</v>
      </c>
      <c r="P19" s="2">
        <f>PasteHashtag!N19</f>
        <v>0.9</v>
      </c>
      <c r="Q19" s="2">
        <f>PasteHashtag!O19</f>
        <v>0.3</v>
      </c>
      <c r="R19" s="2">
        <f>PasteHashtag!P19</f>
        <v>2.9</v>
      </c>
      <c r="S19" s="2">
        <f>Mid(PasteHashtag!H19,FIND("/",PasteHashtag!H19)+1,LEN(PasteHashtag!H19)-FIND("/",PasteHashtag!H19)-1)*1</f>
        <v>17.8</v>
      </c>
      <c r="T19" s="344">
        <f>Mid(PasteHashtag!I19,FIND("/",PasteHashtag!I19)+1,LEN(PasteHashtag!I19)-FIND("/",PasteHashtag!I19)-1)*1</f>
        <v>7</v>
      </c>
      <c r="U19" s="11"/>
      <c r="V19" s="348" t="s">
        <v>465</v>
      </c>
      <c r="W19" s="349">
        <v>4.0</v>
      </c>
      <c r="X19" s="313">
        <v>3.0</v>
      </c>
      <c r="Y19" s="313">
        <v>4.0</v>
      </c>
      <c r="Z19" s="313">
        <v>11.0</v>
      </c>
      <c r="AB19" s="313" t="s">
        <v>332</v>
      </c>
    </row>
    <row r="20">
      <c r="A20" s="2">
        <v>19.0</v>
      </c>
      <c r="B20" s="2">
        <f>PasteHashtag!B20</f>
        <v>20</v>
      </c>
      <c r="C20" s="343" t="str">
        <f>PasteHashtag!C20</f>
        <v>Devin Booker</v>
      </c>
      <c r="D20" s="2" t="str">
        <f>PasteHashtag!D20</f>
        <v>PG,SG</v>
      </c>
      <c r="E20" s="2" t="str">
        <f>PasteHashtag!E20</f>
        <v>PHO</v>
      </c>
      <c r="F20" s="2">
        <f>PasteHashtag!F20</f>
        <v>68</v>
      </c>
      <c r="G20" s="2">
        <f>PasteHashtag!G20</f>
        <v>35.1</v>
      </c>
      <c r="H20" s="2">
        <f>MID(PasteHashtag!H20,1+FIND("(",PasteHashtag!H20),FIND("/",PasteHashtag!H20)-FIND("(",PasteHashtag!H20)-1)*1</f>
        <v>9.9</v>
      </c>
      <c r="I20" s="2">
        <f>LEFT(PasteHashtag!H20,FIND("(",PasteHashtag!H20)-1)*1</f>
        <v>0.49</v>
      </c>
      <c r="J20" s="2">
        <f>MID(PasteHashtag!I20,1+FIND("(",PasteHashtag!I20),FIND("/",PasteHashtag!I20)-FIND("(",PasteHashtag!I20)-1)*1</f>
        <v>5.9</v>
      </c>
      <c r="K20" s="2">
        <f>LEFT(PasteHashtag!I20,FIND("(",PasteHashtag!I20)-1)*1</f>
        <v>0.873</v>
      </c>
      <c r="L20" s="2">
        <f>PasteHashtag!J20</f>
        <v>2.2</v>
      </c>
      <c r="M20" s="2">
        <f>PasteHashtag!K20</f>
        <v>27.8</v>
      </c>
      <c r="N20" s="2">
        <f>PasteHashtag!L20</f>
        <v>4.5</v>
      </c>
      <c r="O20" s="2">
        <f>PasteHashtag!M20</f>
        <v>5.5</v>
      </c>
      <c r="P20" s="2">
        <f>PasteHashtag!N20</f>
        <v>1</v>
      </c>
      <c r="Q20" s="2">
        <f>PasteHashtag!O20</f>
        <v>0.4</v>
      </c>
      <c r="R20" s="2">
        <f>PasteHashtag!P20</f>
        <v>2.7</v>
      </c>
      <c r="S20" s="2">
        <f>Mid(PasteHashtag!H20,FIND("/",PasteHashtag!H20)+1,LEN(PasteHashtag!H20)-FIND("/",PasteHashtag!H20)-1)*1</f>
        <v>20.1</v>
      </c>
      <c r="T20" s="344">
        <f>Mid(PasteHashtag!I20,FIND("/",PasteHashtag!I20)+1,LEN(PasteHashtag!I20)-FIND("/",PasteHashtag!I20)-1)*1</f>
        <v>6.8</v>
      </c>
      <c r="U20" s="11"/>
      <c r="V20" s="348" t="s">
        <v>350</v>
      </c>
      <c r="W20" s="349">
        <v>4.0</v>
      </c>
      <c r="X20" s="313">
        <v>3.0</v>
      </c>
      <c r="Y20" s="313">
        <v>4.0</v>
      </c>
      <c r="Z20" s="313">
        <v>11.0</v>
      </c>
      <c r="AB20" s="313" t="s">
        <v>291</v>
      </c>
    </row>
    <row r="21">
      <c r="A21" s="2">
        <v>20.0</v>
      </c>
      <c r="B21" s="2">
        <f>PasteHashtag!B21</f>
        <v>22.3</v>
      </c>
      <c r="C21" s="343" t="str">
        <f>PasteHashtag!C21</f>
        <v>LaMelo Ball</v>
      </c>
      <c r="D21" s="2" t="str">
        <f>PasteHashtag!D21</f>
        <v>PG,SG</v>
      </c>
      <c r="E21" s="2" t="str">
        <f>PasteHashtag!E21</f>
        <v>CHA</v>
      </c>
      <c r="F21" s="2">
        <f>PasteHashtag!F21</f>
        <v>58</v>
      </c>
      <c r="G21" s="2">
        <f>PasteHashtag!G21</f>
        <v>32.4</v>
      </c>
      <c r="H21" s="2">
        <f>MID(PasteHashtag!H21,1+FIND("(",PasteHashtag!H21),FIND("/",PasteHashtag!H21)-FIND("(",PasteHashtag!H21)-1)*1</f>
        <v>8.2</v>
      </c>
      <c r="I21" s="2">
        <f>LEFT(PasteHashtag!H21,FIND("(",PasteHashtag!H21)-1)*1</f>
        <v>0.427</v>
      </c>
      <c r="J21" s="2">
        <f>MID(PasteHashtag!I21,1+FIND("(",PasteHashtag!I21),FIND("/",PasteHashtag!I21)-FIND("(",PasteHashtag!I21)-1)*1</f>
        <v>3.2</v>
      </c>
      <c r="K21" s="2">
        <f>LEFT(PasteHashtag!I21,FIND("(",PasteHashtag!I21)-1)*1</f>
        <v>0.857</v>
      </c>
      <c r="L21" s="2">
        <f>PasteHashtag!J21</f>
        <v>3.6</v>
      </c>
      <c r="M21" s="2">
        <f>PasteHashtag!K21</f>
        <v>23.2</v>
      </c>
      <c r="N21" s="2">
        <f>PasteHashtag!L21</f>
        <v>5.7</v>
      </c>
      <c r="O21" s="2">
        <f>PasteHashtag!M21</f>
        <v>8.6</v>
      </c>
      <c r="P21" s="2">
        <f>PasteHashtag!N21</f>
        <v>1.6</v>
      </c>
      <c r="Q21" s="2">
        <f>PasteHashtag!O21</f>
        <v>0.3</v>
      </c>
      <c r="R21" s="2">
        <f>PasteHashtag!P21</f>
        <v>3.5</v>
      </c>
      <c r="S21" s="2">
        <f>Mid(PasteHashtag!H21,FIND("/",PasteHashtag!H21)+1,LEN(PasteHashtag!H21)-FIND("/",PasteHashtag!H21)-1)*1</f>
        <v>19.2</v>
      </c>
      <c r="T21" s="344">
        <f>Mid(PasteHashtag!I21,FIND("/",PasteHashtag!I21)+1,LEN(PasteHashtag!I21)-FIND("/",PasteHashtag!I21)-1)*1</f>
        <v>3.7</v>
      </c>
      <c r="U21" s="11"/>
      <c r="V21" s="348" t="s">
        <v>265</v>
      </c>
      <c r="W21" s="349">
        <v>3.0</v>
      </c>
      <c r="X21" s="313">
        <v>4.0</v>
      </c>
      <c r="Y21" s="313">
        <v>4.0</v>
      </c>
      <c r="Z21" s="313">
        <v>11.0</v>
      </c>
      <c r="AB21" s="313" t="s">
        <v>324</v>
      </c>
    </row>
    <row r="22">
      <c r="A22" s="2">
        <v>21.0</v>
      </c>
      <c r="B22" s="2">
        <f>PasteHashtag!B22</f>
        <v>22.1</v>
      </c>
      <c r="C22" s="343" t="str">
        <f>PasteHashtag!C22</f>
        <v>Karl-Anthony Towns</v>
      </c>
      <c r="D22" s="2" t="str">
        <f>PasteHashtag!D22</f>
        <v>PF,C</v>
      </c>
      <c r="E22" s="2" t="str">
        <f>PasteHashtag!E22</f>
        <v>NY</v>
      </c>
      <c r="F22" s="2">
        <f>PasteHashtag!F22</f>
        <v>67</v>
      </c>
      <c r="G22" s="2">
        <f>PasteHashtag!G22</f>
        <v>33.7</v>
      </c>
      <c r="H22" s="2">
        <f>MID(PasteHashtag!H22,1+FIND("(",PasteHashtag!H22),FIND("/",PasteHashtag!H22)-FIND("(",PasteHashtag!H22)-1)*1</f>
        <v>7.4</v>
      </c>
      <c r="I22" s="2">
        <f>LEFT(PasteHashtag!H22,FIND("(",PasteHashtag!H22)-1)*1</f>
        <v>0.501</v>
      </c>
      <c r="J22" s="2">
        <f>MID(PasteHashtag!I22,1+FIND("(",PasteHashtag!I22),FIND("/",PasteHashtag!I22)-FIND("(",PasteHashtag!I22)-1)*1</f>
        <v>4.4</v>
      </c>
      <c r="K22" s="2">
        <f>LEFT(PasteHashtag!I22,FIND("(",PasteHashtag!I22)-1)*1</f>
        <v>0.873</v>
      </c>
      <c r="L22" s="2">
        <f>PasteHashtag!J22</f>
        <v>2.2</v>
      </c>
      <c r="M22" s="2">
        <f>PasteHashtag!K22</f>
        <v>21.4</v>
      </c>
      <c r="N22" s="2">
        <f>PasteHashtag!L22</f>
        <v>9.5</v>
      </c>
      <c r="O22" s="2">
        <f>PasteHashtag!M22</f>
        <v>3.3</v>
      </c>
      <c r="P22" s="2">
        <f>PasteHashtag!N22</f>
        <v>0.7</v>
      </c>
      <c r="Q22" s="2">
        <f>PasteHashtag!O22</f>
        <v>1</v>
      </c>
      <c r="R22" s="2">
        <f>PasteHashtag!P22</f>
        <v>2.9</v>
      </c>
      <c r="S22" s="2">
        <f>Mid(PasteHashtag!H22,FIND("/",PasteHashtag!H22)+1,LEN(PasteHashtag!H22)-FIND("/",PasteHashtag!H22)-1)*1</f>
        <v>14.8</v>
      </c>
      <c r="T22" s="344">
        <f>Mid(PasteHashtag!I22,FIND("/",PasteHashtag!I22)+1,LEN(PasteHashtag!I22)-FIND("/",PasteHashtag!I22)-1)*1</f>
        <v>5.1</v>
      </c>
      <c r="U22" s="11"/>
      <c r="V22" s="348" t="s">
        <v>490</v>
      </c>
      <c r="W22" s="349">
        <v>3.0</v>
      </c>
      <c r="X22" s="313">
        <v>5.0</v>
      </c>
      <c r="Y22" s="313">
        <v>3.0</v>
      </c>
      <c r="Z22" s="313">
        <v>11.0</v>
      </c>
      <c r="AB22" s="313" t="s">
        <v>342</v>
      </c>
    </row>
    <row r="23">
      <c r="A23" s="2">
        <v>22.0</v>
      </c>
      <c r="B23" s="2">
        <f>PasteHashtag!B23</f>
        <v>14.6</v>
      </c>
      <c r="C23" s="343" t="str">
        <f>PasteHashtag!C23</f>
        <v>Domantas Sabonis</v>
      </c>
      <c r="D23" s="2" t="str">
        <f>PasteHashtag!D23</f>
        <v>C</v>
      </c>
      <c r="E23" s="2" t="str">
        <f>PasteHashtag!E23</f>
        <v>SAC</v>
      </c>
      <c r="F23" s="2">
        <f>PasteHashtag!F23</f>
        <v>77</v>
      </c>
      <c r="G23" s="2">
        <f>PasteHashtag!G23</f>
        <v>35.6</v>
      </c>
      <c r="H23" s="2">
        <f>MID(PasteHashtag!H23,1+FIND("(",PasteHashtag!H23),FIND("/",PasteHashtag!H23)-FIND("(",PasteHashtag!H23)-1)*1</f>
        <v>7.2</v>
      </c>
      <c r="I23" s="2">
        <f>LEFT(PasteHashtag!H23,FIND("(",PasteHashtag!H23)-1)*1</f>
        <v>0.6</v>
      </c>
      <c r="J23" s="2">
        <f>MID(PasteHashtag!I23,1+FIND("(",PasteHashtag!I23),FIND("/",PasteHashtag!I23)-FIND("(",PasteHashtag!I23)-1)*1</f>
        <v>3.9</v>
      </c>
      <c r="K23" s="2">
        <f>LEFT(PasteHashtag!I23,FIND("(",PasteHashtag!I23)-1)*1</f>
        <v>0.725</v>
      </c>
      <c r="L23" s="2">
        <f>PasteHashtag!J23</f>
        <v>0.4</v>
      </c>
      <c r="M23" s="2">
        <f>PasteHashtag!K23</f>
        <v>18.8</v>
      </c>
      <c r="N23" s="2">
        <f>PasteHashtag!L23</f>
        <v>13.2</v>
      </c>
      <c r="O23" s="2">
        <f>PasteHashtag!M23</f>
        <v>7.9</v>
      </c>
      <c r="P23" s="2">
        <f>PasteHashtag!N23</f>
        <v>0.9</v>
      </c>
      <c r="Q23" s="2">
        <f>PasteHashtag!O23</f>
        <v>0.6</v>
      </c>
      <c r="R23" s="2">
        <f>PasteHashtag!P23</f>
        <v>3.2</v>
      </c>
      <c r="S23" s="2">
        <f>Mid(PasteHashtag!H23,FIND("/",PasteHashtag!H23)+1,LEN(PasteHashtag!H23)-FIND("/",PasteHashtag!H23)-1)*1</f>
        <v>12.1</v>
      </c>
      <c r="T23" s="344">
        <f>Mid(PasteHashtag!I23,FIND("/",PasteHashtag!I23)+1,LEN(PasteHashtag!I23)-FIND("/",PasteHashtag!I23)-1)*1</f>
        <v>5.4</v>
      </c>
      <c r="U23" s="11"/>
      <c r="V23" s="348" t="s">
        <v>304</v>
      </c>
      <c r="W23" s="349">
        <v>3.0</v>
      </c>
      <c r="X23" s="313">
        <v>4.0</v>
      </c>
      <c r="Y23" s="313">
        <v>3.0</v>
      </c>
      <c r="Z23" s="313">
        <v>10.0</v>
      </c>
      <c r="AB23" s="313" t="s">
        <v>350</v>
      </c>
    </row>
    <row r="24">
      <c r="A24" s="2">
        <v>23.0</v>
      </c>
      <c r="B24" s="2">
        <f>PasteHashtag!B24</f>
        <v>30.1</v>
      </c>
      <c r="C24" s="343" t="str">
        <f>PasteHashtag!C24</f>
        <v>Lauri Markkanen</v>
      </c>
      <c r="D24" s="2" t="str">
        <f>PasteHashtag!D24</f>
        <v>SF,PF</v>
      </c>
      <c r="E24" s="2" t="str">
        <f>PasteHashtag!E24</f>
        <v>UTA</v>
      </c>
      <c r="F24" s="2">
        <f>PasteHashtag!F24</f>
        <v>64</v>
      </c>
      <c r="G24" s="2">
        <f>PasteHashtag!G24</f>
        <v>33.5</v>
      </c>
      <c r="H24" s="2">
        <f>MID(PasteHashtag!H24,1+FIND("(",PasteHashtag!H24),FIND("/",PasteHashtag!H24)-FIND("(",PasteHashtag!H24)-1)*1</f>
        <v>8.3</v>
      </c>
      <c r="I24" s="2">
        <f>LEFT(PasteHashtag!H24,FIND("(",PasteHashtag!H24)-1)*1</f>
        <v>0.483</v>
      </c>
      <c r="J24" s="2">
        <f>MID(PasteHashtag!I24,1+FIND("(",PasteHashtag!I24),FIND("/",PasteHashtag!I24)-FIND("(",PasteHashtag!I24)-1)*1</f>
        <v>4.9</v>
      </c>
      <c r="K24" s="2">
        <f>LEFT(PasteHashtag!I24,FIND("(",PasteHashtag!I24)-1)*1</f>
        <v>0.884</v>
      </c>
      <c r="L24" s="2">
        <f>PasteHashtag!J24</f>
        <v>3.1</v>
      </c>
      <c r="M24" s="2">
        <f>PasteHashtag!K24</f>
        <v>24.5</v>
      </c>
      <c r="N24" s="2">
        <f>PasteHashtag!L24</f>
        <v>8.4</v>
      </c>
      <c r="O24" s="2">
        <f>PasteHashtag!M24</f>
        <v>1.9</v>
      </c>
      <c r="P24" s="2">
        <f>PasteHashtag!N24</f>
        <v>0.8</v>
      </c>
      <c r="Q24" s="2">
        <f>PasteHashtag!O24</f>
        <v>0.5</v>
      </c>
      <c r="R24" s="2">
        <f>PasteHashtag!P24</f>
        <v>1.7</v>
      </c>
      <c r="S24" s="2">
        <f>Mid(PasteHashtag!H24,FIND("/",PasteHashtag!H24)+1,LEN(PasteHashtag!H24)-FIND("/",PasteHashtag!H24)-1)*1</f>
        <v>17.1</v>
      </c>
      <c r="T24" s="344">
        <f>Mid(PasteHashtag!I24,FIND("/",PasteHashtag!I24)+1,LEN(PasteHashtag!I24)-FIND("/",PasteHashtag!I24)-1)*1</f>
        <v>5.6</v>
      </c>
      <c r="U24" s="11"/>
      <c r="V24" s="348" t="s">
        <v>449</v>
      </c>
      <c r="W24" s="349">
        <v>2.0</v>
      </c>
      <c r="X24" s="313">
        <v>4.0</v>
      </c>
      <c r="Y24" s="313">
        <v>4.0</v>
      </c>
      <c r="Z24" s="313">
        <v>10.0</v>
      </c>
      <c r="AB24" s="313" t="s">
        <v>346</v>
      </c>
    </row>
    <row r="25">
      <c r="A25" s="2">
        <v>24.0</v>
      </c>
      <c r="B25" s="2">
        <f>PasteHashtag!B25</f>
        <v>17.6</v>
      </c>
      <c r="C25" s="343" t="str">
        <f>PasteHashtag!C25</f>
        <v>Chet Holmgren</v>
      </c>
      <c r="D25" s="2" t="str">
        <f>PasteHashtag!D25</f>
        <v>PF,C</v>
      </c>
      <c r="E25" s="2" t="str">
        <f>PasteHashtag!E25</f>
        <v>OKC</v>
      </c>
      <c r="F25" s="2">
        <f>PasteHashtag!F25</f>
        <v>75</v>
      </c>
      <c r="G25" s="2">
        <f>PasteHashtag!G25</f>
        <v>30.6</v>
      </c>
      <c r="H25" s="2">
        <f>MID(PasteHashtag!H25,1+FIND("(",PasteHashtag!H25),FIND("/",PasteHashtag!H25)-FIND("(",PasteHashtag!H25)-1)*1</f>
        <v>6.5</v>
      </c>
      <c r="I25" s="2">
        <f>LEFT(PasteHashtag!H25,FIND("(",PasteHashtag!H25)-1)*1</f>
        <v>0.53</v>
      </c>
      <c r="J25" s="2">
        <f>MID(PasteHashtag!I25,1+FIND("(",PasteHashtag!I25),FIND("/",PasteHashtag!I25)-FIND("(",PasteHashtag!I25)-1)*1</f>
        <v>2.8</v>
      </c>
      <c r="K25" s="2">
        <f>LEFT(PasteHashtag!I25,FIND("(",PasteHashtag!I25)-1)*1</f>
        <v>0.793</v>
      </c>
      <c r="L25" s="2">
        <f>PasteHashtag!J25</f>
        <v>1.7</v>
      </c>
      <c r="M25" s="2">
        <f>PasteHashtag!K25</f>
        <v>17.4</v>
      </c>
      <c r="N25" s="2">
        <f>PasteHashtag!L25</f>
        <v>8.1</v>
      </c>
      <c r="O25" s="2">
        <f>PasteHashtag!M25</f>
        <v>2.6</v>
      </c>
      <c r="P25" s="2">
        <f>PasteHashtag!N25</f>
        <v>0.7</v>
      </c>
      <c r="Q25" s="2">
        <f>PasteHashtag!O25</f>
        <v>2.3</v>
      </c>
      <c r="R25" s="2">
        <f>PasteHashtag!P25</f>
        <v>1.7</v>
      </c>
      <c r="S25" s="2">
        <f>Mid(PasteHashtag!H25,FIND("/",PasteHashtag!H25)+1,LEN(PasteHashtag!H25)-FIND("/",PasteHashtag!H25)-1)*1</f>
        <v>12.2</v>
      </c>
      <c r="T25" s="344">
        <f>Mid(PasteHashtag!I25,FIND("/",PasteHashtag!I25)+1,LEN(PasteHashtag!I25)-FIND("/",PasteHashtag!I25)-1)*1</f>
        <v>3.5</v>
      </c>
      <c r="U25" s="11"/>
      <c r="V25" s="348" t="s">
        <v>278</v>
      </c>
      <c r="W25" s="349">
        <v>4.0</v>
      </c>
      <c r="X25" s="313">
        <v>4.0</v>
      </c>
      <c r="Y25" s="313">
        <v>2.0</v>
      </c>
      <c r="Z25" s="313">
        <v>10.0</v>
      </c>
      <c r="AB25" s="313" t="s">
        <v>354</v>
      </c>
    </row>
    <row r="26">
      <c r="A26" s="2">
        <v>25.0</v>
      </c>
      <c r="B26" s="2">
        <f>PasteHashtag!B26</f>
        <v>19.1</v>
      </c>
      <c r="C26" s="343" t="str">
        <f>PasteHashtag!C26</f>
        <v>Jalen Brunson</v>
      </c>
      <c r="D26" s="2" t="str">
        <f>PasteHashtag!D26</f>
        <v>PG</v>
      </c>
      <c r="E26" s="2" t="str">
        <f>PasteHashtag!E26</f>
        <v>NY</v>
      </c>
      <c r="F26" s="2">
        <f>PasteHashtag!F26</f>
        <v>74</v>
      </c>
      <c r="G26" s="2">
        <f>PasteHashtag!G26</f>
        <v>34.9</v>
      </c>
      <c r="H26" s="2">
        <f>MID(PasteHashtag!H26,1+FIND("(",PasteHashtag!H26),FIND("/",PasteHashtag!H26)-FIND("(",PasteHashtag!H26)-1)*1</f>
        <v>9.8</v>
      </c>
      <c r="I26" s="2">
        <f>LEFT(PasteHashtag!H26,FIND("(",PasteHashtag!H26)-1)*1</f>
        <v>0.484</v>
      </c>
      <c r="J26" s="2">
        <f>MID(PasteHashtag!I26,1+FIND("(",PasteHashtag!I26),FIND("/",PasteHashtag!I26)-FIND("(",PasteHashtag!I26)-1)*1</f>
        <v>5.3</v>
      </c>
      <c r="K26" s="2">
        <f>LEFT(PasteHashtag!I26,FIND("(",PasteHashtag!I26)-1)*1</f>
        <v>0.839</v>
      </c>
      <c r="L26" s="2">
        <f>PasteHashtag!J26</f>
        <v>2.7</v>
      </c>
      <c r="M26" s="2">
        <f>PasteHashtag!K26</f>
        <v>27.7</v>
      </c>
      <c r="N26" s="2">
        <f>PasteHashtag!L26</f>
        <v>3.7</v>
      </c>
      <c r="O26" s="2">
        <f>PasteHashtag!M26</f>
        <v>7</v>
      </c>
      <c r="P26" s="2">
        <f>PasteHashtag!N26</f>
        <v>0.9</v>
      </c>
      <c r="Q26" s="2">
        <f>PasteHashtag!O26</f>
        <v>0.2</v>
      </c>
      <c r="R26" s="2">
        <f>PasteHashtag!P26</f>
        <v>2.3</v>
      </c>
      <c r="S26" s="2">
        <f>Mid(PasteHashtag!H26,FIND("/",PasteHashtag!H26)+1,LEN(PasteHashtag!H26)-FIND("/",PasteHashtag!H26)-1)*1</f>
        <v>20.3</v>
      </c>
      <c r="T26" s="344">
        <f>Mid(PasteHashtag!I26,FIND("/",PasteHashtag!I26)+1,LEN(PasteHashtag!I26)-FIND("/",PasteHashtag!I26)-1)*1</f>
        <v>6.4</v>
      </c>
      <c r="U26" s="11"/>
      <c r="V26" s="348" t="s">
        <v>283</v>
      </c>
      <c r="W26" s="349">
        <v>3.0</v>
      </c>
      <c r="X26" s="313">
        <v>4.0</v>
      </c>
      <c r="Y26" s="313">
        <v>3.0</v>
      </c>
      <c r="Z26" s="313">
        <v>10.0</v>
      </c>
      <c r="AB26" s="313" t="s">
        <v>273</v>
      </c>
    </row>
    <row r="27">
      <c r="A27" s="2">
        <v>26.0</v>
      </c>
      <c r="B27" s="2">
        <f>PasteHashtag!B27</f>
        <v>10.1</v>
      </c>
      <c r="C27" s="343" t="str">
        <f>PasteHashtag!C27</f>
        <v>Anthony Edwards</v>
      </c>
      <c r="D27" s="2" t="str">
        <f>PasteHashtag!D27</f>
        <v>SG,SF</v>
      </c>
      <c r="E27" s="2" t="str">
        <f>PasteHashtag!E27</f>
        <v>MIN</v>
      </c>
      <c r="F27" s="2">
        <f>PasteHashtag!F27</f>
        <v>79</v>
      </c>
      <c r="G27" s="2">
        <f>PasteHashtag!G27</f>
        <v>35.4</v>
      </c>
      <c r="H27" s="2">
        <f>MID(PasteHashtag!H27,1+FIND("(",PasteHashtag!H27),FIND("/",PasteHashtag!H27)-FIND("(",PasteHashtag!H27)-1)*1</f>
        <v>9.3</v>
      </c>
      <c r="I27" s="2">
        <f>LEFT(PasteHashtag!H27,FIND("(",PasteHashtag!H27)-1)*1</f>
        <v>0.46</v>
      </c>
      <c r="J27" s="2">
        <f>MID(PasteHashtag!I27,1+FIND("(",PasteHashtag!I27),FIND("/",PasteHashtag!I27)-FIND("(",PasteHashtag!I27)-1)*1</f>
        <v>5</v>
      </c>
      <c r="K27" s="2">
        <f>LEFT(PasteHashtag!I27,FIND("(",PasteHashtag!I27)-1)*1</f>
        <v>0.823</v>
      </c>
      <c r="L27" s="2">
        <f>PasteHashtag!J27</f>
        <v>2.5</v>
      </c>
      <c r="M27" s="2">
        <f>PasteHashtag!K27</f>
        <v>26.2</v>
      </c>
      <c r="N27" s="2">
        <f>PasteHashtag!L27</f>
        <v>5.5</v>
      </c>
      <c r="O27" s="2">
        <f>PasteHashtag!M27</f>
        <v>5.2</v>
      </c>
      <c r="P27" s="2">
        <f>PasteHashtag!N27</f>
        <v>1.4</v>
      </c>
      <c r="Q27" s="2">
        <f>PasteHashtag!O27</f>
        <v>0.7</v>
      </c>
      <c r="R27" s="2">
        <f>PasteHashtag!P27</f>
        <v>3.1</v>
      </c>
      <c r="S27" s="2">
        <f>Mid(PasteHashtag!H27,FIND("/",PasteHashtag!H27)+1,LEN(PasteHashtag!H27)-FIND("/",PasteHashtag!H27)-1)*1</f>
        <v>20.3</v>
      </c>
      <c r="T27" s="344">
        <f>Mid(PasteHashtag!I27,FIND("/",PasteHashtag!I27)+1,LEN(PasteHashtag!I27)-FIND("/",PasteHashtag!I27)-1)*1</f>
        <v>6.1</v>
      </c>
      <c r="U27" s="11"/>
      <c r="V27" s="348" t="s">
        <v>365</v>
      </c>
      <c r="W27" s="349">
        <v>4.0</v>
      </c>
      <c r="X27" s="313">
        <v>3.0</v>
      </c>
      <c r="Y27" s="313">
        <v>3.0</v>
      </c>
      <c r="Z27" s="313">
        <v>10.0</v>
      </c>
      <c r="AB27" s="313" t="s">
        <v>308</v>
      </c>
    </row>
    <row r="28">
      <c r="A28" s="2">
        <v>27.0</v>
      </c>
      <c r="B28" s="2">
        <f>PasteHashtag!B28</f>
        <v>32.1</v>
      </c>
      <c r="C28" s="343" t="str">
        <f>PasteHashtag!C28</f>
        <v>Paul George</v>
      </c>
      <c r="D28" s="2" t="str">
        <f>PasteHashtag!D28</f>
        <v>SG,SF,PF</v>
      </c>
      <c r="E28" s="2" t="str">
        <f>PasteHashtag!E28</f>
        <v>PHI</v>
      </c>
      <c r="F28" s="2">
        <f>PasteHashtag!F28</f>
        <v>60</v>
      </c>
      <c r="G28" s="2">
        <f>PasteHashtag!G28</f>
        <v>33</v>
      </c>
      <c r="H28" s="2">
        <f>MID(PasteHashtag!H28,1+FIND("(",PasteHashtag!H28),FIND("/",PasteHashtag!H28)-FIND("(",PasteHashtag!H28)-1)*1</f>
        <v>7.7</v>
      </c>
      <c r="I28" s="2">
        <f>LEFT(PasteHashtag!H28,FIND("(",PasteHashtag!H28)-1)*1</f>
        <v>0.465</v>
      </c>
      <c r="J28" s="2">
        <f>MID(PasteHashtag!I28,1+FIND("(",PasteHashtag!I28),FIND("/",PasteHashtag!I28)-FIND("(",PasteHashtag!I28)-1)*1</f>
        <v>3.8</v>
      </c>
      <c r="K28" s="2">
        <f>LEFT(PasteHashtag!I28,FIND("(",PasteHashtag!I28)-1)*1</f>
        <v>0.889</v>
      </c>
      <c r="L28" s="2">
        <f>PasteHashtag!J28</f>
        <v>3</v>
      </c>
      <c r="M28" s="2">
        <f>PasteHashtag!K28</f>
        <v>22.1</v>
      </c>
      <c r="N28" s="2">
        <f>PasteHashtag!L28</f>
        <v>5</v>
      </c>
      <c r="O28" s="2">
        <f>PasteHashtag!M28</f>
        <v>3.4</v>
      </c>
      <c r="P28" s="2">
        <f>PasteHashtag!N28</f>
        <v>1.4</v>
      </c>
      <c r="Q28" s="2">
        <f>PasteHashtag!O28</f>
        <v>0.4</v>
      </c>
      <c r="R28" s="2">
        <f>PasteHashtag!P28</f>
        <v>2.4</v>
      </c>
      <c r="S28" s="2">
        <f>Mid(PasteHashtag!H28,FIND("/",PasteHashtag!H28)+1,LEN(PasteHashtag!H28)-FIND("/",PasteHashtag!H28)-1)*1</f>
        <v>16.5</v>
      </c>
      <c r="T28" s="344">
        <f>Mid(PasteHashtag!I28,FIND("/",PasteHashtag!I28)+1,LEN(PasteHashtag!I28)-FIND("/",PasteHashtag!I28)-1)*1</f>
        <v>4.3</v>
      </c>
      <c r="U28" s="11"/>
      <c r="V28" s="348" t="s">
        <v>414</v>
      </c>
      <c r="W28" s="349">
        <v>4.0</v>
      </c>
      <c r="X28" s="313">
        <v>2.0</v>
      </c>
      <c r="Y28" s="313">
        <v>4.0</v>
      </c>
      <c r="Z28" s="313">
        <v>10.0</v>
      </c>
      <c r="AB28" s="313" t="s">
        <v>346</v>
      </c>
    </row>
    <row r="29">
      <c r="A29" s="2">
        <v>28.0</v>
      </c>
      <c r="B29" s="2">
        <f>PasteHashtag!B29</f>
        <v>36</v>
      </c>
      <c r="C29" s="343" t="str">
        <f>PasteHashtag!C29</f>
        <v>Jalen Williams</v>
      </c>
      <c r="D29" s="2" t="str">
        <f>PasteHashtag!D29</f>
        <v>SG,SF,PF</v>
      </c>
      <c r="E29" s="2" t="str">
        <f>PasteHashtag!E29</f>
        <v>OKC</v>
      </c>
      <c r="F29" s="2">
        <f>PasteHashtag!F29</f>
        <v>73</v>
      </c>
      <c r="G29" s="2">
        <f>PasteHashtag!G29</f>
        <v>32.2</v>
      </c>
      <c r="H29" s="2">
        <f>MID(PasteHashtag!H29,1+FIND("(",PasteHashtag!H29),FIND("/",PasteHashtag!H29)-FIND("(",PasteHashtag!H29)-1)*1</f>
        <v>7.8</v>
      </c>
      <c r="I29" s="2">
        <f>LEFT(PasteHashtag!H29,FIND("(",PasteHashtag!H29)-1)*1</f>
        <v>0.536</v>
      </c>
      <c r="J29" s="2">
        <f>MID(PasteHashtag!I29,1+FIND("(",PasteHashtag!I29),FIND("/",PasteHashtag!I29)-FIND("(",PasteHashtag!I29)-1)*1</f>
        <v>2.8</v>
      </c>
      <c r="K29" s="2">
        <f>LEFT(PasteHashtag!I29,FIND("(",PasteHashtag!I29)-1)*1</f>
        <v>0.822</v>
      </c>
      <c r="L29" s="2">
        <f>PasteHashtag!J29</f>
        <v>1.7</v>
      </c>
      <c r="M29" s="2">
        <f>PasteHashtag!K29</f>
        <v>20</v>
      </c>
      <c r="N29" s="2">
        <f>PasteHashtag!L29</f>
        <v>4.6</v>
      </c>
      <c r="O29" s="2">
        <f>PasteHashtag!M29</f>
        <v>4.9</v>
      </c>
      <c r="P29" s="2">
        <f>PasteHashtag!N29</f>
        <v>1.2</v>
      </c>
      <c r="Q29" s="2">
        <f>PasteHashtag!O29</f>
        <v>0.6</v>
      </c>
      <c r="R29" s="2">
        <f>PasteHashtag!P29</f>
        <v>1.8</v>
      </c>
      <c r="S29" s="2">
        <f>Mid(PasteHashtag!H29,FIND("/",PasteHashtag!H29)+1,LEN(PasteHashtag!H29)-FIND("/",PasteHashtag!H29)-1)*1</f>
        <v>14.5</v>
      </c>
      <c r="T29" s="344">
        <f>Mid(PasteHashtag!I29,FIND("/",PasteHashtag!I29)+1,LEN(PasteHashtag!I29)-FIND("/",PasteHashtag!I29)-1)*1</f>
        <v>3.4</v>
      </c>
      <c r="U29" s="11"/>
      <c r="V29" s="348" t="s">
        <v>346</v>
      </c>
      <c r="W29" s="349">
        <v>3.0</v>
      </c>
      <c r="X29" s="313">
        <v>3.0</v>
      </c>
      <c r="Y29" s="313">
        <v>4.0</v>
      </c>
      <c r="Z29" s="313">
        <v>10.0</v>
      </c>
      <c r="AB29" s="313" t="s">
        <v>287</v>
      </c>
    </row>
    <row r="30">
      <c r="A30" s="2">
        <v>29.0</v>
      </c>
      <c r="B30" s="2">
        <f>PasteHashtag!B30</f>
        <v>46</v>
      </c>
      <c r="C30" s="343" t="str">
        <f>PasteHashtag!C30</f>
        <v>Jimmy Butler</v>
      </c>
      <c r="D30" s="2" t="str">
        <f>PasteHashtag!D30</f>
        <v>SF,PF</v>
      </c>
      <c r="E30" s="2" t="str">
        <f>PasteHashtag!E30</f>
        <v>MIA</v>
      </c>
      <c r="F30" s="2">
        <f>PasteHashtag!F30</f>
        <v>60</v>
      </c>
      <c r="G30" s="2">
        <f>PasteHashtag!G30</f>
        <v>33.1</v>
      </c>
      <c r="H30" s="2">
        <f>MID(PasteHashtag!H30,1+FIND("(",PasteHashtag!H30),FIND("/",PasteHashtag!H30)-FIND("(",PasteHashtag!H30)-1)*1</f>
        <v>6.5</v>
      </c>
      <c r="I30" s="2">
        <f>LEFT(PasteHashtag!H30,FIND("(",PasteHashtag!H30)-1)*1</f>
        <v>0.492</v>
      </c>
      <c r="J30" s="2">
        <f>MID(PasteHashtag!I30,1+FIND("(",PasteHashtag!I30),FIND("/",PasteHashtag!I30)-FIND("(",PasteHashtag!I30)-1)*1</f>
        <v>6.9</v>
      </c>
      <c r="K30" s="2">
        <f>LEFT(PasteHashtag!I30,FIND("(",PasteHashtag!I30)-1)*1</f>
        <v>0.855</v>
      </c>
      <c r="L30" s="2">
        <f>PasteHashtag!J30</f>
        <v>0.8</v>
      </c>
      <c r="M30" s="2">
        <f>PasteHashtag!K30</f>
        <v>20.7</v>
      </c>
      <c r="N30" s="2">
        <f>PasteHashtag!L30</f>
        <v>5.4</v>
      </c>
      <c r="O30" s="2">
        <f>PasteHashtag!M30</f>
        <v>5.1</v>
      </c>
      <c r="P30" s="2">
        <f>PasteHashtag!N30</f>
        <v>1.3</v>
      </c>
      <c r="Q30" s="2">
        <f>PasteHashtag!O30</f>
        <v>0.3</v>
      </c>
      <c r="R30" s="2">
        <f>PasteHashtag!P30</f>
        <v>1.6</v>
      </c>
      <c r="S30" s="2">
        <f>Mid(PasteHashtag!H30,FIND("/",PasteHashtag!H30)+1,LEN(PasteHashtag!H30)-FIND("/",PasteHashtag!H30)-1)*1</f>
        <v>13.2</v>
      </c>
      <c r="T30" s="344">
        <f>Mid(PasteHashtag!I30,FIND("/",PasteHashtag!I30)+1,LEN(PasteHashtag!I30)-FIND("/",PasteHashtag!I30)-1)*1</f>
        <v>8.1</v>
      </c>
      <c r="U30" s="11"/>
      <c r="V30" s="348" t="s">
        <v>324</v>
      </c>
      <c r="W30" s="349">
        <v>3.0</v>
      </c>
      <c r="X30" s="313">
        <v>4.0</v>
      </c>
      <c r="Y30" s="313">
        <v>3.0</v>
      </c>
      <c r="Z30" s="313">
        <v>10.0</v>
      </c>
      <c r="AB30" s="313" t="s">
        <v>365</v>
      </c>
    </row>
    <row r="31">
      <c r="A31" s="2">
        <v>30.0</v>
      </c>
      <c r="B31" s="2">
        <f>PasteHashtag!B31</f>
        <v>37.3</v>
      </c>
      <c r="C31" s="343" t="str">
        <f>PasteHashtag!C31</f>
        <v>Jaren Jackson Jr.</v>
      </c>
      <c r="D31" s="2" t="str">
        <f>PasteHashtag!D31</f>
        <v>PF,C</v>
      </c>
      <c r="E31" s="2" t="str">
        <f>PasteHashtag!E31</f>
        <v>MEM</v>
      </c>
      <c r="F31" s="2">
        <f>PasteHashtag!F31</f>
        <v>68</v>
      </c>
      <c r="G31" s="2">
        <f>PasteHashtag!G31</f>
        <v>31.2</v>
      </c>
      <c r="H31" s="2">
        <f>MID(PasteHashtag!H31,1+FIND("(",PasteHashtag!H31),FIND("/",PasteHashtag!H31)-FIND("(",PasteHashtag!H31)-1)*1</f>
        <v>7.5</v>
      </c>
      <c r="I31" s="2">
        <f>LEFT(PasteHashtag!H31,FIND("(",PasteHashtag!H31)-1)*1</f>
        <v>0.47</v>
      </c>
      <c r="J31" s="2">
        <f>MID(PasteHashtag!I31,1+FIND("(",PasteHashtag!I31),FIND("/",PasteHashtag!I31)-FIND("(",PasteHashtag!I31)-1)*1</f>
        <v>4.6</v>
      </c>
      <c r="K31" s="2">
        <f>LEFT(PasteHashtag!I31,FIND("(",PasteHashtag!I31)-1)*1</f>
        <v>0.8</v>
      </c>
      <c r="L31" s="2">
        <f>PasteHashtag!J31</f>
        <v>1.7</v>
      </c>
      <c r="M31" s="2">
        <f>PasteHashtag!K31</f>
        <v>21.3</v>
      </c>
      <c r="N31" s="2">
        <f>PasteHashtag!L31</f>
        <v>6.3</v>
      </c>
      <c r="O31" s="2">
        <f>PasteHashtag!M31</f>
        <v>1.7</v>
      </c>
      <c r="P31" s="2">
        <f>PasteHashtag!N31</f>
        <v>1.2</v>
      </c>
      <c r="Q31" s="2">
        <f>PasteHashtag!O31</f>
        <v>1.9</v>
      </c>
      <c r="R31" s="2">
        <f>PasteHashtag!P31</f>
        <v>2.1</v>
      </c>
      <c r="S31" s="2">
        <f>Mid(PasteHashtag!H31,FIND("/",PasteHashtag!H31)+1,LEN(PasteHashtag!H31)-FIND("/",PasteHashtag!H31)-1)*1</f>
        <v>15.9</v>
      </c>
      <c r="T31" s="344">
        <f>Mid(PasteHashtag!I31,FIND("/",PasteHashtag!I31)+1,LEN(PasteHashtag!I31)-FIND("/",PasteHashtag!I31)-1)*1</f>
        <v>5.8</v>
      </c>
      <c r="U31" s="11"/>
      <c r="V31" s="348" t="s">
        <v>332</v>
      </c>
      <c r="W31" s="349">
        <v>3.0</v>
      </c>
      <c r="X31" s="313">
        <v>4.0</v>
      </c>
      <c r="Y31" s="313">
        <v>3.0</v>
      </c>
      <c r="Z31" s="313">
        <v>10.0</v>
      </c>
      <c r="AB31" s="313" t="s">
        <v>375</v>
      </c>
    </row>
    <row r="32">
      <c r="A32" s="2">
        <v>31.0</v>
      </c>
      <c r="B32" s="2">
        <f>PasteHashtag!B32</f>
        <v>27.8</v>
      </c>
      <c r="C32" s="343" t="str">
        <f>PasteHashtag!C32</f>
        <v>Tyrese Maxey</v>
      </c>
      <c r="D32" s="2" t="str">
        <f>PasteHashtag!D32</f>
        <v>PG,SG</v>
      </c>
      <c r="E32" s="2" t="str">
        <f>PasteHashtag!E32</f>
        <v>PHI</v>
      </c>
      <c r="F32" s="2">
        <f>PasteHashtag!F32</f>
        <v>70</v>
      </c>
      <c r="G32" s="2">
        <f>PasteHashtag!G32</f>
        <v>36.2</v>
      </c>
      <c r="H32" s="2">
        <f>MID(PasteHashtag!H32,1+FIND("(",PasteHashtag!H32),FIND("/",PasteHashtag!H32)-FIND("(",PasteHashtag!H32)-1)*1</f>
        <v>8.7</v>
      </c>
      <c r="I32" s="2">
        <f>LEFT(PasteHashtag!H32,FIND("(",PasteHashtag!H32)-1)*1</f>
        <v>0.462</v>
      </c>
      <c r="J32" s="2">
        <f>MID(PasteHashtag!I32,1+FIND("(",PasteHashtag!I32),FIND("/",PasteHashtag!I32)-FIND("(",PasteHashtag!I32)-1)*1</f>
        <v>4.1</v>
      </c>
      <c r="K32" s="2">
        <f>LEFT(PasteHashtag!I32,FIND("(",PasteHashtag!I32)-1)*1</f>
        <v>0.859</v>
      </c>
      <c r="L32" s="2">
        <f>PasteHashtag!J32</f>
        <v>3</v>
      </c>
      <c r="M32" s="2">
        <f>PasteHashtag!K32</f>
        <v>24.4</v>
      </c>
      <c r="N32" s="2">
        <f>PasteHashtag!L32</f>
        <v>3.5</v>
      </c>
      <c r="O32" s="2">
        <f>PasteHashtag!M32</f>
        <v>5.9</v>
      </c>
      <c r="P32" s="2">
        <f>PasteHashtag!N32</f>
        <v>1</v>
      </c>
      <c r="Q32" s="2">
        <f>PasteHashtag!O32</f>
        <v>0.3</v>
      </c>
      <c r="R32" s="2">
        <f>PasteHashtag!P32</f>
        <v>1.6</v>
      </c>
      <c r="S32" s="2">
        <f>Mid(PasteHashtag!H32,FIND("/",PasteHashtag!H32)+1,LEN(PasteHashtag!H32)-FIND("/",PasteHashtag!H32)-1)*1</f>
        <v>18.8</v>
      </c>
      <c r="T32" s="344">
        <f>Mid(PasteHashtag!I32,FIND("/",PasteHashtag!I32)+1,LEN(PasteHashtag!I32)-FIND("/",PasteHashtag!I32)-1)*1</f>
        <v>4.8</v>
      </c>
      <c r="U32" s="11"/>
      <c r="V32" s="348" t="s">
        <v>442</v>
      </c>
      <c r="W32" s="349">
        <v>2.0</v>
      </c>
      <c r="X32" s="313">
        <v>4.0</v>
      </c>
      <c r="Y32" s="313">
        <v>3.0</v>
      </c>
      <c r="Z32" s="313">
        <v>9.0</v>
      </c>
      <c r="AB32" s="313" t="s">
        <v>386</v>
      </c>
    </row>
    <row r="33">
      <c r="A33" s="2">
        <v>32.0</v>
      </c>
      <c r="B33" s="2">
        <f>PasteHashtag!B33</f>
        <v>38.4</v>
      </c>
      <c r="C33" s="343" t="str">
        <f>PasteHashtag!C33</f>
        <v>Fred VanVleet</v>
      </c>
      <c r="D33" s="2" t="str">
        <f>PasteHashtag!D33</f>
        <v>PG</v>
      </c>
      <c r="E33" s="2" t="str">
        <f>PasteHashtag!E33</f>
        <v>HOU</v>
      </c>
      <c r="F33" s="2">
        <f>PasteHashtag!F33</f>
        <v>70</v>
      </c>
      <c r="G33" s="2">
        <f>PasteHashtag!G33</f>
        <v>36</v>
      </c>
      <c r="H33" s="2">
        <f>MID(PasteHashtag!H33,1+FIND("(",PasteHashtag!H33),FIND("/",PasteHashtag!H33)-FIND("(",PasteHashtag!H33)-1)*1</f>
        <v>5.7</v>
      </c>
      <c r="I33" s="2">
        <f>LEFT(PasteHashtag!H33,FIND("(",PasteHashtag!H33)-1)*1</f>
        <v>0.406</v>
      </c>
      <c r="J33" s="2">
        <f>MID(PasteHashtag!I33,1+FIND("(",PasteHashtag!I33),FIND("/",PasteHashtag!I33)-FIND("(",PasteHashtag!I33)-1)*1</f>
        <v>3</v>
      </c>
      <c r="K33" s="2">
        <f>LEFT(PasteHashtag!I33,FIND("(",PasteHashtag!I33)-1)*1</f>
        <v>0.874</v>
      </c>
      <c r="L33" s="2">
        <f>PasteHashtag!J33</f>
        <v>2.9</v>
      </c>
      <c r="M33" s="2">
        <f>PasteHashtag!K33</f>
        <v>17.3</v>
      </c>
      <c r="N33" s="2">
        <f>PasteHashtag!L33</f>
        <v>3.7</v>
      </c>
      <c r="O33" s="2">
        <f>PasteHashtag!M33</f>
        <v>7.6</v>
      </c>
      <c r="P33" s="2">
        <f>PasteHashtag!N33</f>
        <v>1.4</v>
      </c>
      <c r="Q33" s="2">
        <f>PasteHashtag!O33</f>
        <v>0.7</v>
      </c>
      <c r="R33" s="2">
        <f>PasteHashtag!P33</f>
        <v>1.8</v>
      </c>
      <c r="S33" s="2">
        <f>Mid(PasteHashtag!H33,FIND("/",PasteHashtag!H33)+1,LEN(PasteHashtag!H33)-FIND("/",PasteHashtag!H33)-1)*1</f>
        <v>14.1</v>
      </c>
      <c r="T33" s="344">
        <f>Mid(PasteHashtag!I33,FIND("/",PasteHashtag!I33)+1,LEN(PasteHashtag!I33)-FIND("/",PasteHashtag!I33)-1)*1</f>
        <v>3.4</v>
      </c>
      <c r="U33" s="11"/>
      <c r="V33" s="11"/>
      <c r="W33" s="11"/>
      <c r="AB33" s="313" t="s">
        <v>379</v>
      </c>
    </row>
    <row r="34">
      <c r="A34" s="2">
        <v>33.0</v>
      </c>
      <c r="B34" s="2">
        <f>PasteHashtag!B34</f>
        <v>41.4</v>
      </c>
      <c r="C34" s="343" t="str">
        <f>PasteHashtag!C34</f>
        <v>Jalen Johnson</v>
      </c>
      <c r="D34" s="2" t="str">
        <f>PasteHashtag!D34</f>
        <v>PF</v>
      </c>
      <c r="E34" s="2" t="str">
        <f>PasteHashtag!E34</f>
        <v>ATL</v>
      </c>
      <c r="F34" s="2">
        <f>PasteHashtag!F34</f>
        <v>68</v>
      </c>
      <c r="G34" s="2">
        <f>PasteHashtag!G34</f>
        <v>34.2</v>
      </c>
      <c r="H34" s="2">
        <f>MID(PasteHashtag!H34,1+FIND("(",PasteHashtag!H34),FIND("/",PasteHashtag!H34)-FIND("(",PasteHashtag!H34)-1)*1</f>
        <v>7.3</v>
      </c>
      <c r="I34" s="2">
        <f>LEFT(PasteHashtag!H34,FIND("(",PasteHashtag!H34)-1)*1</f>
        <v>0.503</v>
      </c>
      <c r="J34" s="2">
        <f>MID(PasteHashtag!I34,1+FIND("(",PasteHashtag!I34),FIND("/",PasteHashtag!I34)-FIND("(",PasteHashtag!I34)-1)*1</f>
        <v>2.1</v>
      </c>
      <c r="K34" s="2">
        <f>LEFT(PasteHashtag!I34,FIND("(",PasteHashtag!I34)-1)*1</f>
        <v>0.747</v>
      </c>
      <c r="L34" s="2">
        <f>PasteHashtag!J34</f>
        <v>1.4</v>
      </c>
      <c r="M34" s="2">
        <f>PasteHashtag!K34</f>
        <v>18.2</v>
      </c>
      <c r="N34" s="2">
        <f>PasteHashtag!L34</f>
        <v>9.2</v>
      </c>
      <c r="O34" s="2">
        <f>PasteHashtag!M34</f>
        <v>3.5</v>
      </c>
      <c r="P34" s="2">
        <f>PasteHashtag!N34</f>
        <v>1.3</v>
      </c>
      <c r="Q34" s="2">
        <f>PasteHashtag!O34</f>
        <v>1</v>
      </c>
      <c r="R34" s="2">
        <f>PasteHashtag!P34</f>
        <v>1.7</v>
      </c>
      <c r="S34" s="2">
        <f>Mid(PasteHashtag!H34,FIND("/",PasteHashtag!H34)+1,LEN(PasteHashtag!H34)-FIND("/",PasteHashtag!H34)-1)*1</f>
        <v>14.5</v>
      </c>
      <c r="T34" s="344">
        <f>Mid(PasteHashtag!I34,FIND("/",PasteHashtag!I34)+1,LEN(PasteHashtag!I34)-FIND("/",PasteHashtag!I34)-1)*1</f>
        <v>2.9</v>
      </c>
      <c r="U34" s="11"/>
      <c r="V34" s="11"/>
      <c r="W34" s="11"/>
      <c r="AB34" s="313" t="s">
        <v>287</v>
      </c>
    </row>
    <row r="35">
      <c r="A35" s="2">
        <v>34.0</v>
      </c>
      <c r="B35" s="2">
        <f>PasteHashtag!B35</f>
        <v>26.1</v>
      </c>
      <c r="C35" s="343" t="str">
        <f>PasteHashtag!C35</f>
        <v>De'Aaron Fox</v>
      </c>
      <c r="D35" s="2" t="str">
        <f>PasteHashtag!D35</f>
        <v>PG</v>
      </c>
      <c r="E35" s="2" t="str">
        <f>PasteHashtag!E35</f>
        <v>SAC</v>
      </c>
      <c r="F35" s="2">
        <f>PasteHashtag!F35</f>
        <v>72</v>
      </c>
      <c r="G35" s="2">
        <f>PasteHashtag!G35</f>
        <v>34.5</v>
      </c>
      <c r="H35" s="2">
        <f>MID(PasteHashtag!H35,1+FIND("(",PasteHashtag!H35),FIND("/",PasteHashtag!H35)-FIND("(",PasteHashtag!H35)-1)*1</f>
        <v>9.2</v>
      </c>
      <c r="I35" s="2">
        <f>LEFT(PasteHashtag!H35,FIND("(",PasteHashtag!H35)-1)*1</f>
        <v>0.472</v>
      </c>
      <c r="J35" s="2">
        <f>MID(PasteHashtag!I35,1+FIND("(",PasteHashtag!I35),FIND("/",PasteHashtag!I35)-FIND("(",PasteHashtag!I35)-1)*1</f>
        <v>4.3</v>
      </c>
      <c r="K35" s="2">
        <f>LEFT(PasteHashtag!I35,FIND("(",PasteHashtag!I35)-1)*1</f>
        <v>0.759</v>
      </c>
      <c r="L35" s="2">
        <f>PasteHashtag!J35</f>
        <v>2.5</v>
      </c>
      <c r="M35" s="2">
        <f>PasteHashtag!K35</f>
        <v>25.1</v>
      </c>
      <c r="N35" s="2">
        <f>PasteHashtag!L35</f>
        <v>4.2</v>
      </c>
      <c r="O35" s="2">
        <f>PasteHashtag!M35</f>
        <v>5.5</v>
      </c>
      <c r="P35" s="2">
        <f>PasteHashtag!N35</f>
        <v>1.7</v>
      </c>
      <c r="Q35" s="2">
        <f>PasteHashtag!O35</f>
        <v>0.4</v>
      </c>
      <c r="R35" s="2">
        <f>PasteHashtag!P35</f>
        <v>2.5</v>
      </c>
      <c r="S35" s="2">
        <f>Mid(PasteHashtag!H35,FIND("/",PasteHashtag!H35)+1,LEN(PasteHashtag!H35)-FIND("/",PasteHashtag!H35)-1)*1</f>
        <v>19.4</v>
      </c>
      <c r="T35" s="344">
        <f>Mid(PasteHashtag!I35,FIND("/",PasteHashtag!I35)+1,LEN(PasteHashtag!I35)-FIND("/",PasteHashtag!I35)-1)*1</f>
        <v>5.6</v>
      </c>
      <c r="U35" s="11"/>
      <c r="V35" s="11"/>
      <c r="W35" s="11"/>
      <c r="AB35" s="313" t="s">
        <v>350</v>
      </c>
    </row>
    <row r="36">
      <c r="A36" s="2">
        <v>35.0</v>
      </c>
      <c r="B36" s="2">
        <f>PasteHashtag!B36</f>
        <v>48.4</v>
      </c>
      <c r="C36" s="343" t="str">
        <f>PasteHashtag!C36</f>
        <v>Derrick White</v>
      </c>
      <c r="D36" s="2" t="str">
        <f>PasteHashtag!D36</f>
        <v>PG,SG</v>
      </c>
      <c r="E36" s="2" t="str">
        <f>PasteHashtag!E36</f>
        <v>BOS</v>
      </c>
      <c r="F36" s="2">
        <f>PasteHashtag!F36</f>
        <v>75</v>
      </c>
      <c r="G36" s="2">
        <f>PasteHashtag!G36</f>
        <v>32.8</v>
      </c>
      <c r="H36" s="2">
        <f>MID(PasteHashtag!H36,1+FIND("(",PasteHashtag!H36),FIND("/",PasteHashtag!H36)-FIND("(",PasteHashtag!H36)-1)*1</f>
        <v>5.2</v>
      </c>
      <c r="I36" s="2">
        <f>LEFT(PasteHashtag!H36,FIND("(",PasteHashtag!H36)-1)*1</f>
        <v>0.461</v>
      </c>
      <c r="J36" s="2">
        <f>MID(PasteHashtag!I36,1+FIND("(",PasteHashtag!I36),FIND("/",PasteHashtag!I36)-FIND("(",PasteHashtag!I36)-1)*1</f>
        <v>2.2</v>
      </c>
      <c r="K36" s="2">
        <f>LEFT(PasteHashtag!I36,FIND("(",PasteHashtag!I36)-1)*1</f>
        <v>0.888</v>
      </c>
      <c r="L36" s="2">
        <f>PasteHashtag!J36</f>
        <v>2.7</v>
      </c>
      <c r="M36" s="2">
        <f>PasteHashtag!K36</f>
        <v>15.2</v>
      </c>
      <c r="N36" s="2">
        <f>PasteHashtag!L36</f>
        <v>4.3</v>
      </c>
      <c r="O36" s="2">
        <f>PasteHashtag!M36</f>
        <v>4.9</v>
      </c>
      <c r="P36" s="2">
        <f>PasteHashtag!N36</f>
        <v>0.9</v>
      </c>
      <c r="Q36" s="2">
        <f>PasteHashtag!O36</f>
        <v>1.2</v>
      </c>
      <c r="R36" s="2">
        <f>PasteHashtag!P36</f>
        <v>1.5</v>
      </c>
      <c r="S36" s="2">
        <f>Mid(PasteHashtag!H36,FIND("/",PasteHashtag!H36)+1,LEN(PasteHashtag!H36)-FIND("/",PasteHashtag!H36)-1)*1</f>
        <v>11.3</v>
      </c>
      <c r="T36" s="344">
        <f>Mid(PasteHashtag!I36,FIND("/",PasteHashtag!I36)+1,LEN(PasteHashtag!I36)-FIND("/",PasteHashtag!I36)-1)*1</f>
        <v>2.4</v>
      </c>
      <c r="U36" s="11"/>
      <c r="V36" s="11"/>
      <c r="W36" s="11"/>
      <c r="AB36" s="313" t="s">
        <v>304</v>
      </c>
    </row>
    <row r="37">
      <c r="A37" s="2">
        <v>36.0</v>
      </c>
      <c r="B37" s="2">
        <f>PasteHashtag!B37</f>
        <v>35.2</v>
      </c>
      <c r="C37" s="343" t="str">
        <f>PasteHashtag!C37</f>
        <v>Ja Morant</v>
      </c>
      <c r="D37" s="2" t="str">
        <f>PasteHashtag!D37</f>
        <v>PG</v>
      </c>
      <c r="E37" s="2" t="str">
        <f>PasteHashtag!E37</f>
        <v>MEM</v>
      </c>
      <c r="F37" s="2">
        <f>PasteHashtag!F37</f>
        <v>63</v>
      </c>
      <c r="G37" s="2">
        <f>PasteHashtag!G37</f>
        <v>33.6</v>
      </c>
      <c r="H37" s="2">
        <f>MID(PasteHashtag!H37,1+FIND("(",PasteHashtag!H37),FIND("/",PasteHashtag!H37)-FIND("(",PasteHashtag!H37)-1)*1</f>
        <v>9.2</v>
      </c>
      <c r="I37" s="2">
        <f>LEFT(PasteHashtag!H37,FIND("(",PasteHashtag!H37)-1)*1</f>
        <v>0.47</v>
      </c>
      <c r="J37" s="2">
        <f>MID(PasteHashtag!I37,1+FIND("(",PasteHashtag!I37),FIND("/",PasteHashtag!I37)-FIND("(",PasteHashtag!I37)-1)*1</f>
        <v>5.8</v>
      </c>
      <c r="K37" s="2">
        <f>LEFT(PasteHashtag!I37,FIND("(",PasteHashtag!I37)-1)*1</f>
        <v>0.788</v>
      </c>
      <c r="L37" s="2">
        <f>PasteHashtag!J37</f>
        <v>1.5</v>
      </c>
      <c r="M37" s="2">
        <f>PasteHashtag!K37</f>
        <v>25.8</v>
      </c>
      <c r="N37" s="2">
        <f>PasteHashtag!L37</f>
        <v>5.9</v>
      </c>
      <c r="O37" s="2">
        <f>PasteHashtag!M37</f>
        <v>8.2</v>
      </c>
      <c r="P37" s="2">
        <f>PasteHashtag!N37</f>
        <v>0.9</v>
      </c>
      <c r="Q37" s="2">
        <f>PasteHashtag!O37</f>
        <v>0.5</v>
      </c>
      <c r="R37" s="2">
        <f>PasteHashtag!P37</f>
        <v>3</v>
      </c>
      <c r="S37" s="2">
        <f>Mid(PasteHashtag!H37,FIND("/",PasteHashtag!H37)+1,LEN(PasteHashtag!H37)-FIND("/",PasteHashtag!H37)-1)*1</f>
        <v>19.6</v>
      </c>
      <c r="T37" s="344">
        <f>Mid(PasteHashtag!I37,FIND("/",PasteHashtag!I37)+1,LEN(PasteHashtag!I37)-FIND("/",PasteHashtag!I37)-1)*1</f>
        <v>7.4</v>
      </c>
      <c r="U37" s="11"/>
      <c r="V37" s="11"/>
      <c r="W37" s="11"/>
      <c r="AB37" s="313" t="s">
        <v>379</v>
      </c>
    </row>
    <row r="38">
      <c r="A38" s="2">
        <v>37.0</v>
      </c>
      <c r="B38" s="2">
        <f>PasteHashtag!B38</f>
        <v>54.1</v>
      </c>
      <c r="C38" s="343" t="str">
        <f>PasteHashtag!C38</f>
        <v>DeMar DeRozan</v>
      </c>
      <c r="D38" s="2" t="str">
        <f>PasteHashtag!D38</f>
        <v>SF,PF</v>
      </c>
      <c r="E38" s="2" t="str">
        <f>PasteHashtag!E38</f>
        <v>SAC</v>
      </c>
      <c r="F38" s="2">
        <f>PasteHashtag!F38</f>
        <v>76</v>
      </c>
      <c r="G38" s="2">
        <f>PasteHashtag!G38</f>
        <v>34.9</v>
      </c>
      <c r="H38" s="2">
        <f>MID(PasteHashtag!H38,1+FIND("(",PasteHashtag!H38),FIND("/",PasteHashtag!H38)-FIND("(",PasteHashtag!H38)-1)*1</f>
        <v>7.5</v>
      </c>
      <c r="I38" s="2">
        <f>LEFT(PasteHashtag!H38,FIND("(",PasteHashtag!H38)-1)*1</f>
        <v>0.486</v>
      </c>
      <c r="J38" s="2">
        <f>MID(PasteHashtag!I38,1+FIND("(",PasteHashtag!I38),FIND("/",PasteHashtag!I38)-FIND("(",PasteHashtag!I38)-1)*1</f>
        <v>6</v>
      </c>
      <c r="K38" s="2">
        <f>LEFT(PasteHashtag!I38,FIND("(",PasteHashtag!I38)-1)*1</f>
        <v>0.863</v>
      </c>
      <c r="L38" s="2">
        <f>PasteHashtag!J38</f>
        <v>1.1</v>
      </c>
      <c r="M38" s="2">
        <f>PasteHashtag!K38</f>
        <v>22.1</v>
      </c>
      <c r="N38" s="2">
        <f>PasteHashtag!L38</f>
        <v>3.8</v>
      </c>
      <c r="O38" s="2">
        <f>PasteHashtag!M38</f>
        <v>3.9</v>
      </c>
      <c r="P38" s="2">
        <f>PasteHashtag!N38</f>
        <v>1.1</v>
      </c>
      <c r="Q38" s="2">
        <f>PasteHashtag!O38</f>
        <v>0.6</v>
      </c>
      <c r="R38" s="2">
        <f>PasteHashtag!P38</f>
        <v>1.7</v>
      </c>
      <c r="S38" s="2">
        <f>Mid(PasteHashtag!H38,FIND("/",PasteHashtag!H38)+1,LEN(PasteHashtag!H38)-FIND("/",PasteHashtag!H38)-1)*1</f>
        <v>15.4</v>
      </c>
      <c r="T38" s="344">
        <f>Mid(PasteHashtag!I38,FIND("/",PasteHashtag!I38)+1,LEN(PasteHashtag!I38)-FIND("/",PasteHashtag!I38)-1)*1</f>
        <v>7</v>
      </c>
      <c r="U38" s="11"/>
      <c r="V38" s="11"/>
      <c r="W38" s="11"/>
      <c r="AB38" s="313" t="s">
        <v>317</v>
      </c>
    </row>
    <row r="39">
      <c r="A39" s="2">
        <v>38.0</v>
      </c>
      <c r="B39" s="2">
        <f>PasteHashtag!B39</f>
        <v>39</v>
      </c>
      <c r="C39" s="343" t="str">
        <f>PasteHashtag!C39</f>
        <v>Evan Mobley</v>
      </c>
      <c r="D39" s="2" t="str">
        <f>PasteHashtag!D39</f>
        <v>PF,C</v>
      </c>
      <c r="E39" s="2" t="str">
        <f>PasteHashtag!E39</f>
        <v>CLE</v>
      </c>
      <c r="F39" s="2">
        <f>PasteHashtag!F39</f>
        <v>68</v>
      </c>
      <c r="G39" s="2">
        <f>PasteHashtag!G39</f>
        <v>32</v>
      </c>
      <c r="H39" s="2">
        <f>MID(PasteHashtag!H39,1+FIND("(",PasteHashtag!H39),FIND("/",PasteHashtag!H39)-FIND("(",PasteHashtag!H39)-1)*1</f>
        <v>6.5</v>
      </c>
      <c r="I39" s="2">
        <f>LEFT(PasteHashtag!H39,FIND("(",PasteHashtag!H39)-1)*1</f>
        <v>0.573</v>
      </c>
      <c r="J39" s="2">
        <f>MID(PasteHashtag!I39,1+FIND("(",PasteHashtag!I39),FIND("/",PasteHashtag!I39)-FIND("(",PasteHashtag!I39)-1)*1</f>
        <v>2.6</v>
      </c>
      <c r="K39" s="2">
        <f>LEFT(PasteHashtag!I39,FIND("(",PasteHashtag!I39)-1)*1</f>
        <v>0.726</v>
      </c>
      <c r="L39" s="2">
        <f>PasteHashtag!J39</f>
        <v>0.4</v>
      </c>
      <c r="M39" s="2">
        <f>PasteHashtag!K39</f>
        <v>16.1</v>
      </c>
      <c r="N39" s="2">
        <f>PasteHashtag!L39</f>
        <v>9.2</v>
      </c>
      <c r="O39" s="2">
        <f>PasteHashtag!M39</f>
        <v>3.4</v>
      </c>
      <c r="P39" s="2">
        <f>PasteHashtag!N39</f>
        <v>0.9</v>
      </c>
      <c r="Q39" s="2">
        <f>PasteHashtag!O39</f>
        <v>1.5</v>
      </c>
      <c r="R39" s="2">
        <f>PasteHashtag!P39</f>
        <v>1.8</v>
      </c>
      <c r="S39" s="2">
        <f>Mid(PasteHashtag!H39,FIND("/",PasteHashtag!H39)+1,LEN(PasteHashtag!H39)-FIND("/",PasteHashtag!H39)-1)*1</f>
        <v>11.4</v>
      </c>
      <c r="T39" s="344">
        <f>Mid(PasteHashtag!I39,FIND("/",PasteHashtag!I39)+1,LEN(PasteHashtag!I39)-FIND("/",PasteHashtag!I39)-1)*1</f>
        <v>3.6</v>
      </c>
      <c r="U39" s="11"/>
      <c r="V39" s="11"/>
      <c r="W39" s="11"/>
      <c r="AB39" s="313" t="s">
        <v>379</v>
      </c>
    </row>
    <row r="40">
      <c r="A40" s="2">
        <v>39.0</v>
      </c>
      <c r="B40" s="2">
        <f>PasteHashtag!B40</f>
        <v>49.1</v>
      </c>
      <c r="C40" s="343" t="str">
        <f>PasteHashtag!C40</f>
        <v>Kawhi Leonard</v>
      </c>
      <c r="D40" s="2" t="str">
        <f>PasteHashtag!D40</f>
        <v>SG,SF,PF</v>
      </c>
      <c r="E40" s="2" t="str">
        <f>PasteHashtag!E40</f>
        <v>LAC</v>
      </c>
      <c r="F40" s="2">
        <f>PasteHashtag!F40</f>
        <v>48</v>
      </c>
      <c r="G40" s="2">
        <f>PasteHashtag!G40</f>
        <v>30</v>
      </c>
      <c r="H40" s="2">
        <f>MID(PasteHashtag!H40,1+FIND("(",PasteHashtag!H40),FIND("/",PasteHashtag!H40)-FIND("(",PasteHashtag!H40)-1)*1</f>
        <v>7.5</v>
      </c>
      <c r="I40" s="2">
        <f>LEFT(PasteHashtag!H40,FIND("(",PasteHashtag!H40)-1)*1</f>
        <v>0.507</v>
      </c>
      <c r="J40" s="2">
        <f>MID(PasteHashtag!I40,1+FIND("(",PasteHashtag!I40),FIND("/",PasteHashtag!I40)-FIND("(",PasteHashtag!I40)-1)*1</f>
        <v>3.5</v>
      </c>
      <c r="K40" s="2">
        <f>LEFT(PasteHashtag!I40,FIND("(",PasteHashtag!I40)-1)*1</f>
        <v>0.859</v>
      </c>
      <c r="L40" s="2">
        <f>PasteHashtag!J40</f>
        <v>1.7</v>
      </c>
      <c r="M40" s="2">
        <f>PasteHashtag!K40</f>
        <v>20.2</v>
      </c>
      <c r="N40" s="2">
        <f>PasteHashtag!L40</f>
        <v>5.4</v>
      </c>
      <c r="O40" s="2">
        <f>PasteHashtag!M40</f>
        <v>3.2</v>
      </c>
      <c r="P40" s="2">
        <f>PasteHashtag!N40</f>
        <v>1.1</v>
      </c>
      <c r="Q40" s="2">
        <f>PasteHashtag!O40</f>
        <v>0.5</v>
      </c>
      <c r="R40" s="2">
        <f>PasteHashtag!P40</f>
        <v>1.6</v>
      </c>
      <c r="S40" s="2">
        <f>Mid(PasteHashtag!H40,FIND("/",PasteHashtag!H40)+1,LEN(PasteHashtag!H40)-FIND("/",PasteHashtag!H40)-1)*1</f>
        <v>14.7</v>
      </c>
      <c r="T40" s="344">
        <f>Mid(PasteHashtag!I40,FIND("/",PasteHashtag!I40)+1,LEN(PasteHashtag!I40)-FIND("/",PasteHashtag!I40)-1)*1</f>
        <v>4.1</v>
      </c>
      <c r="U40" s="11"/>
      <c r="V40" s="11"/>
      <c r="W40" s="11"/>
      <c r="AB40" s="313" t="s">
        <v>273</v>
      </c>
    </row>
    <row r="41">
      <c r="A41" s="2">
        <v>40.0</v>
      </c>
      <c r="B41" s="2">
        <f>PasteHashtag!B41</f>
        <v>44.1</v>
      </c>
      <c r="C41" s="343" t="str">
        <f>PasteHashtag!C41</f>
        <v>Desmond Bane</v>
      </c>
      <c r="D41" s="2" t="str">
        <f>PasteHashtag!D41</f>
        <v>SG,SF</v>
      </c>
      <c r="E41" s="2" t="str">
        <f>PasteHashtag!E41</f>
        <v>MEM</v>
      </c>
      <c r="F41" s="2">
        <f>PasteHashtag!F41</f>
        <v>68</v>
      </c>
      <c r="G41" s="2">
        <f>PasteHashtag!G41</f>
        <v>32.8</v>
      </c>
      <c r="H41" s="2">
        <f>MID(PasteHashtag!H41,1+FIND("(",PasteHashtag!H41),FIND("/",PasteHashtag!H41)-FIND("(",PasteHashtag!H41)-1)*1</f>
        <v>7.7</v>
      </c>
      <c r="I41" s="2">
        <f>LEFT(PasteHashtag!H41,FIND("(",PasteHashtag!H41)-1)*1</f>
        <v>0.472</v>
      </c>
      <c r="J41" s="2">
        <f>MID(PasteHashtag!I41,1+FIND("(",PasteHashtag!I41),FIND("/",PasteHashtag!I41)-FIND("(",PasteHashtag!I41)-1)*1</f>
        <v>3.1</v>
      </c>
      <c r="K41" s="2">
        <f>LEFT(PasteHashtag!I41,FIND("(",PasteHashtag!I41)-1)*1</f>
        <v>0.877</v>
      </c>
      <c r="L41" s="2">
        <f>PasteHashtag!J41</f>
        <v>2.9</v>
      </c>
      <c r="M41" s="2">
        <f>PasteHashtag!K41</f>
        <v>21.4</v>
      </c>
      <c r="N41" s="2">
        <f>PasteHashtag!L41</f>
        <v>4.5</v>
      </c>
      <c r="O41" s="2">
        <f>PasteHashtag!M41</f>
        <v>4.4</v>
      </c>
      <c r="P41" s="2">
        <f>PasteHashtag!N41</f>
        <v>1</v>
      </c>
      <c r="Q41" s="2">
        <f>PasteHashtag!O41</f>
        <v>0.4</v>
      </c>
      <c r="R41" s="2">
        <f>PasteHashtag!P41</f>
        <v>2.3</v>
      </c>
      <c r="S41" s="2">
        <f>Mid(PasteHashtag!H41,FIND("/",PasteHashtag!H41)+1,LEN(PasteHashtag!H41)-FIND("/",PasteHashtag!H41)-1)*1</f>
        <v>16.4</v>
      </c>
      <c r="T41" s="344">
        <f>Mid(PasteHashtag!I41,FIND("/",PasteHashtag!I41)+1,LEN(PasteHashtag!I41)-FIND("/",PasteHashtag!I41)-1)*1</f>
        <v>3.5</v>
      </c>
      <c r="U41" s="11"/>
      <c r="V41" s="11"/>
      <c r="W41" s="11"/>
      <c r="AB41" s="313" t="s">
        <v>299</v>
      </c>
    </row>
    <row r="42">
      <c r="A42" s="2">
        <v>41.0</v>
      </c>
      <c r="B42" s="2">
        <f>PasteHashtag!B42</f>
        <v>35.6</v>
      </c>
      <c r="C42" s="343" t="str">
        <f>PasteHashtag!C42</f>
        <v>Dejounte Murray</v>
      </c>
      <c r="D42" s="2" t="str">
        <f>PasteHashtag!D42</f>
        <v>PG,SG</v>
      </c>
      <c r="E42" s="2" t="str">
        <f>PasteHashtag!E42</f>
        <v>NO</v>
      </c>
      <c r="F42" s="2">
        <f>PasteHashtag!F42</f>
        <v>74</v>
      </c>
      <c r="G42" s="2">
        <f>PasteHashtag!G42</f>
        <v>32</v>
      </c>
      <c r="H42" s="2">
        <f>MID(PasteHashtag!H42,1+FIND("(",PasteHashtag!H42),FIND("/",PasteHashtag!H42)-FIND("(",PasteHashtag!H42)-1)*1</f>
        <v>7.6</v>
      </c>
      <c r="I42" s="2">
        <f>LEFT(PasteHashtag!H42,FIND("(",PasteHashtag!H42)-1)*1</f>
        <v>0.462</v>
      </c>
      <c r="J42" s="2">
        <f>MID(PasteHashtag!I42,1+FIND("(",PasteHashtag!I42),FIND("/",PasteHashtag!I42)-FIND("(",PasteHashtag!I42)-1)*1</f>
        <v>2.2</v>
      </c>
      <c r="K42" s="2">
        <f>LEFT(PasteHashtag!I42,FIND("(",PasteHashtag!I42)-1)*1</f>
        <v>0.809</v>
      </c>
      <c r="L42" s="2">
        <f>PasteHashtag!J42</f>
        <v>2.2</v>
      </c>
      <c r="M42" s="2">
        <f>PasteHashtag!K42</f>
        <v>19.5</v>
      </c>
      <c r="N42" s="2">
        <f>PasteHashtag!L42</f>
        <v>5.2</v>
      </c>
      <c r="O42" s="2">
        <f>PasteHashtag!M42</f>
        <v>6.5</v>
      </c>
      <c r="P42" s="2">
        <f>PasteHashtag!N42</f>
        <v>1.4</v>
      </c>
      <c r="Q42" s="2">
        <f>PasteHashtag!O42</f>
        <v>0.3</v>
      </c>
      <c r="R42" s="2">
        <f>PasteHashtag!P42</f>
        <v>2.1</v>
      </c>
      <c r="S42" s="2">
        <f>Mid(PasteHashtag!H42,FIND("/",PasteHashtag!H42)+1,LEN(PasteHashtag!H42)-FIND("/",PasteHashtag!H42)-1)*1</f>
        <v>16.4</v>
      </c>
      <c r="T42" s="344">
        <f>Mid(PasteHashtag!I42,FIND("/",PasteHashtag!I42)+1,LEN(PasteHashtag!I42)-FIND("/",PasteHashtag!I42)-1)*1</f>
        <v>2.7</v>
      </c>
      <c r="U42" s="11"/>
      <c r="V42" s="11"/>
      <c r="W42" s="11"/>
      <c r="AB42" s="313" t="s">
        <v>414</v>
      </c>
    </row>
    <row r="43">
      <c r="A43" s="2">
        <v>42.0</v>
      </c>
      <c r="B43" s="2">
        <f>PasteHashtag!B43</f>
        <v>27.7</v>
      </c>
      <c r="C43" s="343" t="str">
        <f>PasteHashtag!C43</f>
        <v>Alperen Sengün</v>
      </c>
      <c r="D43" s="2" t="str">
        <f>PasteHashtag!D43</f>
        <v>C</v>
      </c>
      <c r="E43" s="2" t="str">
        <f>PasteHashtag!E43</f>
        <v>HOU</v>
      </c>
      <c r="F43" s="2">
        <f>PasteHashtag!F43</f>
        <v>72</v>
      </c>
      <c r="G43" s="2">
        <f>PasteHashtag!G43</f>
        <v>32.6</v>
      </c>
      <c r="H43" s="2">
        <f>MID(PasteHashtag!H43,1+FIND("(",PasteHashtag!H43),FIND("/",PasteHashtag!H43)-FIND("(",PasteHashtag!H43)-1)*1</f>
        <v>7.6</v>
      </c>
      <c r="I43" s="2">
        <f>LEFT(PasteHashtag!H43,FIND("(",PasteHashtag!H43)-1)*1</f>
        <v>0.544</v>
      </c>
      <c r="J43" s="2">
        <f>MID(PasteHashtag!I43,1+FIND("(",PasteHashtag!I43),FIND("/",PasteHashtag!I43)-FIND("(",PasteHashtag!I43)-1)*1</f>
        <v>3.9</v>
      </c>
      <c r="K43" s="2">
        <f>LEFT(PasteHashtag!I43,FIND("(",PasteHashtag!I43)-1)*1</f>
        <v>0.713</v>
      </c>
      <c r="L43" s="2">
        <f>PasteHashtag!J43</f>
        <v>0.4</v>
      </c>
      <c r="M43" s="2">
        <f>PasteHashtag!K43</f>
        <v>19.4</v>
      </c>
      <c r="N43" s="2">
        <f>PasteHashtag!L43</f>
        <v>9.9</v>
      </c>
      <c r="O43" s="2">
        <f>PasteHashtag!M43</f>
        <v>5.4</v>
      </c>
      <c r="P43" s="2">
        <f>PasteHashtag!N43</f>
        <v>1.2</v>
      </c>
      <c r="Q43" s="2">
        <f>PasteHashtag!O43</f>
        <v>0.8</v>
      </c>
      <c r="R43" s="2">
        <f>PasteHashtag!P43</f>
        <v>2.8</v>
      </c>
      <c r="S43" s="2">
        <f>Mid(PasteHashtag!H43,FIND("/",PasteHashtag!H43)+1,LEN(PasteHashtag!H43)-FIND("/",PasteHashtag!H43)-1)*1</f>
        <v>13.9</v>
      </c>
      <c r="T43" s="344">
        <f>Mid(PasteHashtag!I43,FIND("/",PasteHashtag!I43)+1,LEN(PasteHashtag!I43)-FIND("/",PasteHashtag!I43)-1)*1</f>
        <v>5.4</v>
      </c>
      <c r="U43" s="11"/>
      <c r="V43" s="11"/>
      <c r="W43" s="11"/>
      <c r="AB43" s="313" t="s">
        <v>269</v>
      </c>
    </row>
    <row r="44">
      <c r="A44" s="2">
        <v>43.0</v>
      </c>
      <c r="B44" s="2">
        <f>PasteHashtag!B44</f>
        <v>32.2</v>
      </c>
      <c r="C44" s="343" t="str">
        <f>PasteHashtag!C44</f>
        <v>Bam Adebayo</v>
      </c>
      <c r="D44" s="2" t="str">
        <f>PasteHashtag!D44</f>
        <v>C</v>
      </c>
      <c r="E44" s="2" t="str">
        <f>PasteHashtag!E44</f>
        <v>MIA</v>
      </c>
      <c r="F44" s="2">
        <f>PasteHashtag!F44</f>
        <v>73</v>
      </c>
      <c r="G44" s="2">
        <f>PasteHashtag!G44</f>
        <v>34.4</v>
      </c>
      <c r="H44" s="2">
        <f>MID(PasteHashtag!H44,1+FIND("(",PasteHashtag!H44),FIND("/",PasteHashtag!H44)-FIND("(",PasteHashtag!H44)-1)*1</f>
        <v>7.8</v>
      </c>
      <c r="I44" s="2">
        <f>LEFT(PasteHashtag!H44,FIND("(",PasteHashtag!H44)-1)*1</f>
        <v>0.531</v>
      </c>
      <c r="J44" s="2">
        <f>MID(PasteHashtag!I44,1+FIND("(",PasteHashtag!I44),FIND("/",PasteHashtag!I44)-FIND("(",PasteHashtag!I44)-1)*1</f>
        <v>4.1</v>
      </c>
      <c r="K44" s="2">
        <f>LEFT(PasteHashtag!I44,FIND("(",PasteHashtag!I44)-1)*1</f>
        <v>0.743</v>
      </c>
      <c r="L44" s="2">
        <f>PasteHashtag!J44</f>
        <v>0.2</v>
      </c>
      <c r="M44" s="2">
        <f>PasteHashtag!K44</f>
        <v>20</v>
      </c>
      <c r="N44" s="2">
        <f>PasteHashtag!L44</f>
        <v>10.4</v>
      </c>
      <c r="O44" s="2">
        <f>PasteHashtag!M44</f>
        <v>3.9</v>
      </c>
      <c r="P44" s="2">
        <f>PasteHashtag!N44</f>
        <v>1.2</v>
      </c>
      <c r="Q44" s="2">
        <f>PasteHashtag!O44</f>
        <v>0.9</v>
      </c>
      <c r="R44" s="2">
        <f>PasteHashtag!P44</f>
        <v>2.4</v>
      </c>
      <c r="S44" s="2">
        <f>Mid(PasteHashtag!H44,FIND("/",PasteHashtag!H44)+1,LEN(PasteHashtag!H44)-FIND("/",PasteHashtag!H44)-1)*1</f>
        <v>14.8</v>
      </c>
      <c r="T44" s="344">
        <f>Mid(PasteHashtag!I44,FIND("/",PasteHashtag!I44)+1,LEN(PasteHashtag!I44)-FIND("/",PasteHashtag!I44)-1)*1</f>
        <v>5.5</v>
      </c>
      <c r="U44" s="11"/>
      <c r="V44" s="11"/>
      <c r="W44" s="11"/>
      <c r="AB44" s="313" t="s">
        <v>386</v>
      </c>
    </row>
    <row r="45">
      <c r="A45" s="2">
        <v>44.0</v>
      </c>
      <c r="B45" s="2">
        <f>PasteHashtag!B45</f>
        <v>103.3</v>
      </c>
      <c r="C45" s="343" t="str">
        <f>PasteHashtag!C45</f>
        <v>Kristaps Porzingis</v>
      </c>
      <c r="D45" s="2" t="str">
        <f>PasteHashtag!D45</f>
        <v>PF,C</v>
      </c>
      <c r="E45" s="2" t="str">
        <f>PasteHashtag!E45</f>
        <v>BOS</v>
      </c>
      <c r="F45" s="2">
        <f>PasteHashtag!F45</f>
        <v>40</v>
      </c>
      <c r="G45" s="2">
        <f>PasteHashtag!G45</f>
        <v>27.1</v>
      </c>
      <c r="H45" s="2">
        <f>MID(PasteHashtag!H45,1+FIND("(",PasteHashtag!H45),FIND("/",PasteHashtag!H45)-FIND("(",PasteHashtag!H45)-1)*1</f>
        <v>6.1</v>
      </c>
      <c r="I45" s="2">
        <f>LEFT(PasteHashtag!H45,FIND("(",PasteHashtag!H45)-1)*1</f>
        <v>0.484</v>
      </c>
      <c r="J45" s="2">
        <f>MID(PasteHashtag!I45,1+FIND("(",PasteHashtag!I45),FIND("/",PasteHashtag!I45)-FIND("(",PasteHashtag!I45)-1)*1</f>
        <v>3.8</v>
      </c>
      <c r="K45" s="2">
        <f>LEFT(PasteHashtag!I45,FIND("(",PasteHashtag!I45)-1)*1</f>
        <v>0.848</v>
      </c>
      <c r="L45" s="2">
        <f>PasteHashtag!J45</f>
        <v>1.8</v>
      </c>
      <c r="M45" s="2">
        <f>PasteHashtag!K45</f>
        <v>17.8</v>
      </c>
      <c r="N45" s="2">
        <f>PasteHashtag!L45</f>
        <v>6.7</v>
      </c>
      <c r="O45" s="2">
        <f>PasteHashtag!M45</f>
        <v>2</v>
      </c>
      <c r="P45" s="2">
        <f>PasteHashtag!N45</f>
        <v>0.7</v>
      </c>
      <c r="Q45" s="2">
        <f>PasteHashtag!O45</f>
        <v>1.5</v>
      </c>
      <c r="R45" s="2">
        <f>PasteHashtag!P45</f>
        <v>1.6</v>
      </c>
      <c r="S45" s="2">
        <f>Mid(PasteHashtag!H45,FIND("/",PasteHashtag!H45)+1,LEN(PasteHashtag!H45)-FIND("/",PasteHashtag!H45)-1)*1</f>
        <v>12.6</v>
      </c>
      <c r="T45" s="344">
        <f>Mid(PasteHashtag!I45,FIND("/",PasteHashtag!I45)+1,LEN(PasteHashtag!I45)-FIND("/",PasteHashtag!I45)-1)*1</f>
        <v>4.5</v>
      </c>
      <c r="U45" s="11"/>
      <c r="V45" s="11"/>
      <c r="W45" s="11"/>
      <c r="AB45" s="313" t="s">
        <v>375</v>
      </c>
    </row>
    <row r="46">
      <c r="A46" s="2">
        <v>45.0</v>
      </c>
      <c r="B46" s="2">
        <f>PasteHashtag!B46</f>
        <v>34</v>
      </c>
      <c r="C46" s="343" t="str">
        <f>PasteHashtag!C46</f>
        <v>Cade Cunningham</v>
      </c>
      <c r="D46" s="2" t="str">
        <f>PasteHashtag!D46</f>
        <v>PG,SG</v>
      </c>
      <c r="E46" s="2" t="str">
        <f>PasteHashtag!E46</f>
        <v>DET</v>
      </c>
      <c r="F46" s="2">
        <f>PasteHashtag!F46</f>
        <v>64</v>
      </c>
      <c r="G46" s="2">
        <f>PasteHashtag!G46</f>
        <v>33.7</v>
      </c>
      <c r="H46" s="2">
        <f>MID(PasteHashtag!H46,1+FIND("(",PasteHashtag!H46),FIND("/",PasteHashtag!H46)-FIND("(",PasteHashtag!H46)-1)*1</f>
        <v>8.8</v>
      </c>
      <c r="I46" s="2">
        <f>LEFT(PasteHashtag!H46,FIND("(",PasteHashtag!H46)-1)*1</f>
        <v>0.45</v>
      </c>
      <c r="J46" s="2">
        <f>MID(PasteHashtag!I46,1+FIND("(",PasteHashtag!I46),FIND("/",PasteHashtag!I46)-FIND("(",PasteHashtag!I46)-1)*1</f>
        <v>3.8</v>
      </c>
      <c r="K46" s="2">
        <f>LEFT(PasteHashtag!I46,FIND("(",PasteHashtag!I46)-1)*1</f>
        <v>0.865</v>
      </c>
      <c r="L46" s="2">
        <f>PasteHashtag!J46</f>
        <v>1.9</v>
      </c>
      <c r="M46" s="2">
        <f>PasteHashtag!K46</f>
        <v>23.2</v>
      </c>
      <c r="N46" s="2">
        <f>PasteHashtag!L46</f>
        <v>4.7</v>
      </c>
      <c r="O46" s="2">
        <f>PasteHashtag!M46</f>
        <v>7.8</v>
      </c>
      <c r="P46" s="2">
        <f>PasteHashtag!N46</f>
        <v>0.9</v>
      </c>
      <c r="Q46" s="2">
        <f>PasteHashtag!O46</f>
        <v>0.4</v>
      </c>
      <c r="R46" s="2">
        <f>PasteHashtag!P46</f>
        <v>3.5</v>
      </c>
      <c r="S46" s="2">
        <f>Mid(PasteHashtag!H46,FIND("/",PasteHashtag!H46)+1,LEN(PasteHashtag!H46)-FIND("/",PasteHashtag!H46)-1)*1</f>
        <v>19.5</v>
      </c>
      <c r="T46" s="344">
        <f>Mid(PasteHashtag!I46,FIND("/",PasteHashtag!I46)+1,LEN(PasteHashtag!I46)-FIND("/",PasteHashtag!I46)-1)*1</f>
        <v>4.4</v>
      </c>
      <c r="U46" s="11"/>
      <c r="V46" s="11"/>
      <c r="W46" s="11"/>
      <c r="AB46" s="313" t="s">
        <v>304</v>
      </c>
    </row>
    <row r="47">
      <c r="A47" s="2">
        <v>46.0</v>
      </c>
      <c r="B47" s="2">
        <f>PasteHashtag!B47</f>
        <v>45</v>
      </c>
      <c r="C47" s="343" t="str">
        <f>PasteHashtag!C47</f>
        <v>Myles Turner</v>
      </c>
      <c r="D47" s="2" t="str">
        <f>PasteHashtag!D47</f>
        <v>C</v>
      </c>
      <c r="E47" s="2" t="str">
        <f>PasteHashtag!E47</f>
        <v>IND</v>
      </c>
      <c r="F47" s="2">
        <f>PasteHashtag!F47</f>
        <v>72</v>
      </c>
      <c r="G47" s="2">
        <f>PasteHashtag!G47</f>
        <v>28.8</v>
      </c>
      <c r="H47" s="2">
        <f>MID(PasteHashtag!H47,1+FIND("(",PasteHashtag!H47),FIND("/",PasteHashtag!H47)-FIND("(",PasteHashtag!H47)-1)*1</f>
        <v>6.1</v>
      </c>
      <c r="I47" s="2">
        <f>LEFT(PasteHashtag!H47,FIND("(",PasteHashtag!H47)-1)*1</f>
        <v>0.535</v>
      </c>
      <c r="J47" s="2">
        <f>MID(PasteHashtag!I47,1+FIND("(",PasteHashtag!I47),FIND("/",PasteHashtag!I47)-FIND("(",PasteHashtag!I47)-1)*1</f>
        <v>3.2</v>
      </c>
      <c r="K47" s="2">
        <f>LEFT(PasteHashtag!I47,FIND("(",PasteHashtag!I47)-1)*1</f>
        <v>0.778</v>
      </c>
      <c r="L47" s="2">
        <f>PasteHashtag!J47</f>
        <v>1.5</v>
      </c>
      <c r="M47" s="2">
        <f>PasteHashtag!K47</f>
        <v>17</v>
      </c>
      <c r="N47" s="2">
        <f>PasteHashtag!L47</f>
        <v>7</v>
      </c>
      <c r="O47" s="2">
        <f>PasteHashtag!M47</f>
        <v>1.3</v>
      </c>
      <c r="P47" s="2">
        <f>PasteHashtag!N47</f>
        <v>0.5</v>
      </c>
      <c r="Q47" s="2">
        <f>PasteHashtag!O47</f>
        <v>2</v>
      </c>
      <c r="R47" s="2">
        <f>PasteHashtag!P47</f>
        <v>1.5</v>
      </c>
      <c r="S47" s="2">
        <f>Mid(PasteHashtag!H47,FIND("/",PasteHashtag!H47)+1,LEN(PasteHashtag!H47)-FIND("/",PasteHashtag!H47)-1)*1</f>
        <v>11.5</v>
      </c>
      <c r="T47" s="344">
        <f>Mid(PasteHashtag!I47,FIND("/",PasteHashtag!I47)+1,LEN(PasteHashtag!I47)-FIND("/",PasteHashtag!I47)-1)*1</f>
        <v>4.1</v>
      </c>
      <c r="U47" s="11"/>
      <c r="V47" s="11"/>
      <c r="W47" s="11"/>
      <c r="AB47" s="313" t="s">
        <v>295</v>
      </c>
    </row>
    <row r="48">
      <c r="A48" s="2">
        <v>47.0</v>
      </c>
      <c r="B48" s="2">
        <f>PasteHashtag!B48</f>
        <v>53.8</v>
      </c>
      <c r="C48" s="343" t="str">
        <f>PasteHashtag!C48</f>
        <v>Immanuel Quickley</v>
      </c>
      <c r="D48" s="2" t="str">
        <f>PasteHashtag!D48</f>
        <v>PG,SG</v>
      </c>
      <c r="E48" s="2" t="str">
        <f>PasteHashtag!E48</f>
        <v>TOR</v>
      </c>
      <c r="F48" s="2">
        <f>PasteHashtag!F48</f>
        <v>72</v>
      </c>
      <c r="G48" s="2">
        <f>PasteHashtag!G48</f>
        <v>33.3</v>
      </c>
      <c r="H48" s="2">
        <f>MID(PasteHashtag!H48,1+FIND("(",PasteHashtag!H48),FIND("/",PasteHashtag!H48)-FIND("(",PasteHashtag!H48)-1)*1</f>
        <v>6.4</v>
      </c>
      <c r="I48" s="2">
        <f>LEFT(PasteHashtag!H48,FIND("(",PasteHashtag!H48)-1)*1</f>
        <v>0.44</v>
      </c>
      <c r="J48" s="2">
        <f>MID(PasteHashtag!I48,1+FIND("(",PasteHashtag!I48),FIND("/",PasteHashtag!I48)-FIND("(",PasteHashtag!I48)-1)*1</f>
        <v>3.2</v>
      </c>
      <c r="K48" s="2">
        <f>LEFT(PasteHashtag!I48,FIND("(",PasteHashtag!I48)-1)*1</f>
        <v>0.849</v>
      </c>
      <c r="L48" s="2">
        <f>PasteHashtag!J48</f>
        <v>2.6</v>
      </c>
      <c r="M48" s="2">
        <f>PasteHashtag!K48</f>
        <v>18.7</v>
      </c>
      <c r="N48" s="2">
        <f>PasteHashtag!L48</f>
        <v>4.6</v>
      </c>
      <c r="O48" s="2">
        <f>PasteHashtag!M48</f>
        <v>6.8</v>
      </c>
      <c r="P48" s="2">
        <f>PasteHashtag!N48</f>
        <v>1.1</v>
      </c>
      <c r="Q48" s="2">
        <f>PasteHashtag!O48</f>
        <v>0.2</v>
      </c>
      <c r="R48" s="2">
        <f>PasteHashtag!P48</f>
        <v>1.6</v>
      </c>
      <c r="S48" s="2">
        <f>Mid(PasteHashtag!H48,FIND("/",PasteHashtag!H48)+1,LEN(PasteHashtag!H48)-FIND("/",PasteHashtag!H48)-1)*1</f>
        <v>14.7</v>
      </c>
      <c r="T48" s="344">
        <f>Mid(PasteHashtag!I48,FIND("/",PasteHashtag!I48)+1,LEN(PasteHashtag!I48)-FIND("/",PasteHashtag!I48)-1)*1</f>
        <v>3.8</v>
      </c>
      <c r="U48" s="11"/>
      <c r="V48" s="11"/>
      <c r="W48" s="11"/>
      <c r="AB48" s="313" t="s">
        <v>428</v>
      </c>
    </row>
    <row r="49">
      <c r="A49" s="2">
        <v>48.0</v>
      </c>
      <c r="B49" s="2">
        <f>PasteHashtag!B49</f>
        <v>52.7</v>
      </c>
      <c r="C49" s="343" t="str">
        <f>PasteHashtag!C49</f>
        <v>Jamal Murray</v>
      </c>
      <c r="D49" s="2" t="str">
        <f>PasteHashtag!D49</f>
        <v>PG,SG</v>
      </c>
      <c r="E49" s="2" t="str">
        <f>PasteHashtag!E49</f>
        <v>DEN</v>
      </c>
      <c r="F49" s="2">
        <f>PasteHashtag!F49</f>
        <v>60</v>
      </c>
      <c r="G49" s="2">
        <f>PasteHashtag!G49</f>
        <v>31.1</v>
      </c>
      <c r="H49" s="2">
        <f>MID(PasteHashtag!H49,1+FIND("(",PasteHashtag!H49),FIND("/",PasteHashtag!H49)-FIND("(",PasteHashtag!H49)-1)*1</f>
        <v>7.4</v>
      </c>
      <c r="I49" s="2">
        <f>LEFT(PasteHashtag!H49,FIND("(",PasteHashtag!H49)-1)*1</f>
        <v>0.471</v>
      </c>
      <c r="J49" s="2">
        <f>MID(PasteHashtag!I49,1+FIND("(",PasteHashtag!I49),FIND("/",PasteHashtag!I49)-FIND("(",PasteHashtag!I49)-1)*1</f>
        <v>2.6</v>
      </c>
      <c r="K49" s="2">
        <f>LEFT(PasteHashtag!I49,FIND("(",PasteHashtag!I49)-1)*1</f>
        <v>0.841</v>
      </c>
      <c r="L49" s="2">
        <f>PasteHashtag!J49</f>
        <v>2.5</v>
      </c>
      <c r="M49" s="2">
        <f>PasteHashtag!K49</f>
        <v>20</v>
      </c>
      <c r="N49" s="2">
        <f>PasteHashtag!L49</f>
        <v>3.9</v>
      </c>
      <c r="O49" s="2">
        <f>PasteHashtag!M49</f>
        <v>6.1</v>
      </c>
      <c r="P49" s="2">
        <f>PasteHashtag!N49</f>
        <v>1</v>
      </c>
      <c r="Q49" s="2">
        <f>PasteHashtag!O49</f>
        <v>0.5</v>
      </c>
      <c r="R49" s="2">
        <f>PasteHashtag!P49</f>
        <v>2.1</v>
      </c>
      <c r="S49" s="2">
        <f>Mid(PasteHashtag!H49,FIND("/",PasteHashtag!H49)+1,LEN(PasteHashtag!H49)-FIND("/",PasteHashtag!H49)-1)*1</f>
        <v>15.8</v>
      </c>
      <c r="T49" s="344">
        <f>Mid(PasteHashtag!I49,FIND("/",PasteHashtag!I49)+1,LEN(PasteHashtag!I49)-FIND("/",PasteHashtag!I49)-1)*1</f>
        <v>3.1</v>
      </c>
      <c r="U49" s="11"/>
      <c r="V49" s="11"/>
      <c r="W49" s="11"/>
      <c r="AB49" s="313" t="s">
        <v>332</v>
      </c>
    </row>
    <row r="50">
      <c r="A50" s="2">
        <v>49.0</v>
      </c>
      <c r="B50" s="2">
        <f>PasteHashtag!B50</f>
        <v>46.1</v>
      </c>
      <c r="C50" s="343" t="str">
        <f>PasteHashtag!C50</f>
        <v>Franz Wagner</v>
      </c>
      <c r="D50" s="2" t="str">
        <f>PasteHashtag!D50</f>
        <v>SF,PF</v>
      </c>
      <c r="E50" s="2" t="str">
        <f>PasteHashtag!E50</f>
        <v>ORL</v>
      </c>
      <c r="F50" s="2">
        <f>PasteHashtag!F50</f>
        <v>76</v>
      </c>
      <c r="G50" s="2">
        <f>PasteHashtag!G50</f>
        <v>33.1</v>
      </c>
      <c r="H50" s="2">
        <f>MID(PasteHashtag!H50,1+FIND("(",PasteHashtag!H50),FIND("/",PasteHashtag!H50)-FIND("(",PasteHashtag!H50)-1)*1</f>
        <v>7.2</v>
      </c>
      <c r="I50" s="2">
        <f>LEFT(PasteHashtag!H50,FIND("(",PasteHashtag!H50)-1)*1</f>
        <v>0.483</v>
      </c>
      <c r="J50" s="2">
        <f>MID(PasteHashtag!I50,1+FIND("(",PasteHashtag!I50),FIND("/",PasteHashtag!I50)-FIND("(",PasteHashtag!I50)-1)*1</f>
        <v>3.7</v>
      </c>
      <c r="K50" s="2">
        <f>LEFT(PasteHashtag!I50,FIND("(",PasteHashtag!I50)-1)*1</f>
        <v>0.845</v>
      </c>
      <c r="L50" s="2">
        <f>PasteHashtag!J50</f>
        <v>1.4</v>
      </c>
      <c r="M50" s="2">
        <f>PasteHashtag!K50</f>
        <v>19.6</v>
      </c>
      <c r="N50" s="2">
        <f>PasteHashtag!L50</f>
        <v>5.4</v>
      </c>
      <c r="O50" s="2">
        <f>PasteHashtag!M50</f>
        <v>3.9</v>
      </c>
      <c r="P50" s="2">
        <f>PasteHashtag!N50</f>
        <v>1.2</v>
      </c>
      <c r="Q50" s="2">
        <f>PasteHashtag!O50</f>
        <v>0.4</v>
      </c>
      <c r="R50" s="2">
        <f>PasteHashtag!P50</f>
        <v>2</v>
      </c>
      <c r="S50" s="2">
        <f>Mid(PasteHashtag!H50,FIND("/",PasteHashtag!H50)+1,LEN(PasteHashtag!H50)-FIND("/",PasteHashtag!H50)-1)*1</f>
        <v>15</v>
      </c>
      <c r="T50" s="344">
        <f>Mid(PasteHashtag!I50,FIND("/",PasteHashtag!I50)+1,LEN(PasteHashtag!I50)-FIND("/",PasteHashtag!I50)-1)*1</f>
        <v>4.3</v>
      </c>
      <c r="U50" s="11"/>
      <c r="V50" s="11"/>
      <c r="W50" s="11"/>
      <c r="AB50" s="313" t="s">
        <v>350</v>
      </c>
    </row>
    <row r="51">
      <c r="A51" s="2">
        <v>50.0</v>
      </c>
      <c r="B51" s="2">
        <f>PasteHashtag!B51</f>
        <v>66.6</v>
      </c>
      <c r="C51" s="343" t="str">
        <f>PasteHashtag!C51</f>
        <v>Tobias Harris</v>
      </c>
      <c r="D51" s="2" t="str">
        <f>PasteHashtag!D51</f>
        <v>SF,PF</v>
      </c>
      <c r="E51" s="2" t="str">
        <f>PasteHashtag!E51</f>
        <v>DET</v>
      </c>
      <c r="F51" s="2">
        <f>PasteHashtag!F51</f>
        <v>69</v>
      </c>
      <c r="G51" s="2">
        <f>PasteHashtag!G51</f>
        <v>31.9</v>
      </c>
      <c r="H51" s="2">
        <f>MID(PasteHashtag!H51,1+FIND("(",PasteHashtag!H51),FIND("/",PasteHashtag!H51)-FIND("(",PasteHashtag!H51)-1)*1</f>
        <v>6.8</v>
      </c>
      <c r="I51" s="2">
        <f>LEFT(PasteHashtag!H51,FIND("(",PasteHashtag!H51)-1)*1</f>
        <v>0.482</v>
      </c>
      <c r="J51" s="2">
        <f>MID(PasteHashtag!I51,1+FIND("(",PasteHashtag!I51),FIND("/",PasteHashtag!I51)-FIND("(",PasteHashtag!I51)-1)*1</f>
        <v>2.5</v>
      </c>
      <c r="K51" s="2">
        <f>LEFT(PasteHashtag!I51,FIND("(",PasteHashtag!I51)-1)*1</f>
        <v>0.878</v>
      </c>
      <c r="L51" s="2">
        <f>PasteHashtag!J51</f>
        <v>1.6</v>
      </c>
      <c r="M51" s="2">
        <f>PasteHashtag!K51</f>
        <v>17.6</v>
      </c>
      <c r="N51" s="2">
        <f>PasteHashtag!L51</f>
        <v>6.3</v>
      </c>
      <c r="O51" s="2">
        <f>PasteHashtag!M51</f>
        <v>3</v>
      </c>
      <c r="P51" s="2">
        <f>PasteHashtag!N51</f>
        <v>1</v>
      </c>
      <c r="Q51" s="2">
        <f>PasteHashtag!O51</f>
        <v>0.6</v>
      </c>
      <c r="R51" s="2">
        <f>PasteHashtag!P51</f>
        <v>1.3</v>
      </c>
      <c r="S51" s="2">
        <f>Mid(PasteHashtag!H51,FIND("/",PasteHashtag!H51)+1,LEN(PasteHashtag!H51)-FIND("/",PasteHashtag!H51)-1)*1</f>
        <v>14.1</v>
      </c>
      <c r="T51" s="344">
        <f>Mid(PasteHashtag!I51,FIND("/",PasteHashtag!I51)+1,LEN(PasteHashtag!I51)-FIND("/",PasteHashtag!I51)-1)*1</f>
        <v>2.9</v>
      </c>
      <c r="U51" s="11"/>
      <c r="V51" s="11"/>
      <c r="W51" s="11"/>
      <c r="AB51" s="313" t="s">
        <v>442</v>
      </c>
    </row>
    <row r="52">
      <c r="A52" s="2">
        <v>51.0</v>
      </c>
      <c r="B52" s="2">
        <f>PasteHashtag!B52</f>
        <v>55.2</v>
      </c>
      <c r="C52" s="343" t="str">
        <f>PasteHashtag!C52</f>
        <v>Nikola Vucevic</v>
      </c>
      <c r="D52" s="2" t="str">
        <f>PasteHashtag!D52</f>
        <v>PF,C</v>
      </c>
      <c r="E52" s="2" t="str">
        <f>PasteHashtag!E52</f>
        <v>CHI</v>
      </c>
      <c r="F52" s="2">
        <f>PasteHashtag!F52</f>
        <v>75</v>
      </c>
      <c r="G52" s="2">
        <f>PasteHashtag!G52</f>
        <v>33.2</v>
      </c>
      <c r="H52" s="2">
        <f>MID(PasteHashtag!H52,1+FIND("(",PasteHashtag!H52),FIND("/",PasteHashtag!H52)-FIND("(",PasteHashtag!H52)-1)*1</f>
        <v>7.1</v>
      </c>
      <c r="I52" s="2">
        <f>LEFT(PasteHashtag!H52,FIND("(",PasteHashtag!H52)-1)*1</f>
        <v>0.482</v>
      </c>
      <c r="J52" s="2">
        <f>MID(PasteHashtag!I52,1+FIND("(",PasteHashtag!I52),FIND("/",PasteHashtag!I52)-FIND("(",PasteHashtag!I52)-1)*1</f>
        <v>1.5</v>
      </c>
      <c r="K52" s="2">
        <f>LEFT(PasteHashtag!I52,FIND("(",PasteHashtag!I52)-1)*1</f>
        <v>0.817</v>
      </c>
      <c r="L52" s="2">
        <f>PasteHashtag!J52</f>
        <v>1.4</v>
      </c>
      <c r="M52" s="2">
        <f>PasteHashtag!K52</f>
        <v>17.1</v>
      </c>
      <c r="N52" s="2">
        <f>PasteHashtag!L52</f>
        <v>10.4</v>
      </c>
      <c r="O52" s="2">
        <f>PasteHashtag!M52</f>
        <v>3.3</v>
      </c>
      <c r="P52" s="2">
        <f>PasteHashtag!N52</f>
        <v>0.7</v>
      </c>
      <c r="Q52" s="2">
        <f>PasteHashtag!O52</f>
        <v>0.7</v>
      </c>
      <c r="R52" s="2">
        <f>PasteHashtag!P52</f>
        <v>1.6</v>
      </c>
      <c r="S52" s="2">
        <f>Mid(PasteHashtag!H52,FIND("/",PasteHashtag!H52)+1,LEN(PasteHashtag!H52)-FIND("/",PasteHashtag!H52)-1)*1</f>
        <v>14.8</v>
      </c>
      <c r="T52" s="344">
        <f>Mid(PasteHashtag!I52,FIND("/",PasteHashtag!I52)+1,LEN(PasteHashtag!I52)-FIND("/",PasteHashtag!I52)-1)*1</f>
        <v>1.8</v>
      </c>
      <c r="U52" s="11"/>
      <c r="V52" s="11"/>
      <c r="W52" s="11"/>
      <c r="AB52" s="313" t="s">
        <v>365</v>
      </c>
    </row>
    <row r="53">
      <c r="A53" s="2">
        <v>52.0</v>
      </c>
      <c r="B53" s="2">
        <f>PasteHashtag!B53</f>
        <v>53.2</v>
      </c>
      <c r="C53" s="343" t="str">
        <f>PasteHashtag!C53</f>
        <v>Jarrett Allen</v>
      </c>
      <c r="D53" s="2" t="str">
        <f>PasteHashtag!D53</f>
        <v>C</v>
      </c>
      <c r="E53" s="2" t="str">
        <f>PasteHashtag!E53</f>
        <v>CLE</v>
      </c>
      <c r="F53" s="2">
        <f>PasteHashtag!F53</f>
        <v>70</v>
      </c>
      <c r="G53" s="2">
        <f>PasteHashtag!G53</f>
        <v>30.8</v>
      </c>
      <c r="H53" s="2">
        <f>MID(PasteHashtag!H53,1+FIND("(",PasteHashtag!H53),FIND("/",PasteHashtag!H53)-FIND("(",PasteHashtag!H53)-1)*1</f>
        <v>6.2</v>
      </c>
      <c r="I53" s="2">
        <f>LEFT(PasteHashtag!H53,FIND("(",PasteHashtag!H53)-1)*1</f>
        <v>0.637</v>
      </c>
      <c r="J53" s="2">
        <f>MID(PasteHashtag!I53,1+FIND("(",PasteHashtag!I53),FIND("/",PasteHashtag!I53)-FIND("(",PasteHashtag!I53)-1)*1</f>
        <v>2.6</v>
      </c>
      <c r="K53" s="2">
        <f>LEFT(PasteHashtag!I53,FIND("(",PasteHashtag!I53)-1)*1</f>
        <v>0.735</v>
      </c>
      <c r="L53" s="2">
        <f>PasteHashtag!J53</f>
        <v>0</v>
      </c>
      <c r="M53" s="2">
        <f>PasteHashtag!K53</f>
        <v>14.9</v>
      </c>
      <c r="N53" s="2">
        <f>PasteHashtag!L53</f>
        <v>9.9</v>
      </c>
      <c r="O53" s="2">
        <f>PasteHashtag!M53</f>
        <v>2.2</v>
      </c>
      <c r="P53" s="2">
        <f>PasteHashtag!N53</f>
        <v>0.7</v>
      </c>
      <c r="Q53" s="2">
        <f>PasteHashtag!O53</f>
        <v>1.1</v>
      </c>
      <c r="R53" s="2">
        <f>PasteHashtag!P53</f>
        <v>1.4</v>
      </c>
      <c r="S53" s="2">
        <f>Mid(PasteHashtag!H53,FIND("/",PasteHashtag!H53)+1,LEN(PasteHashtag!H53)-FIND("/",PasteHashtag!H53)-1)*1</f>
        <v>9.7</v>
      </c>
      <c r="T53" s="344">
        <f>Mid(PasteHashtag!I53,FIND("/",PasteHashtag!I53)+1,LEN(PasteHashtag!I53)-FIND("/",PasteHashtag!I53)-1)*1</f>
        <v>3.6</v>
      </c>
      <c r="U53" s="11"/>
      <c r="V53" s="11"/>
      <c r="W53" s="11"/>
      <c r="AB53" s="313" t="s">
        <v>317</v>
      </c>
    </row>
    <row r="54">
      <c r="A54" s="2">
        <v>53.0</v>
      </c>
      <c r="B54" s="2">
        <f>PasteHashtag!B54</f>
        <v>46.4</v>
      </c>
      <c r="C54" s="343" t="str">
        <f>PasteHashtag!C54</f>
        <v>Rudy Gobert</v>
      </c>
      <c r="D54" s="2" t="str">
        <f>PasteHashtag!D54</f>
        <v>C</v>
      </c>
      <c r="E54" s="2" t="str">
        <f>PasteHashtag!E54</f>
        <v>MIN</v>
      </c>
      <c r="F54" s="2">
        <f>PasteHashtag!F54</f>
        <v>73</v>
      </c>
      <c r="G54" s="2">
        <f>PasteHashtag!G54</f>
        <v>33.6</v>
      </c>
      <c r="H54" s="2">
        <f>MID(PasteHashtag!H54,1+FIND("(",PasteHashtag!H54),FIND("/",PasteHashtag!H54)-FIND("(",PasteHashtag!H54)-1)*1</f>
        <v>5.5</v>
      </c>
      <c r="I54" s="2">
        <f>LEFT(PasteHashtag!H54,FIND("(",PasteHashtag!H54)-1)*1</f>
        <v>0.66</v>
      </c>
      <c r="J54" s="2">
        <f>MID(PasteHashtag!I54,1+FIND("(",PasteHashtag!I54),FIND("/",PasteHashtag!I54)-FIND("(",PasteHashtag!I54)-1)*1</f>
        <v>3.4</v>
      </c>
      <c r="K54" s="2">
        <f>LEFT(PasteHashtag!I54,FIND("(",PasteHashtag!I54)-1)*1</f>
        <v>0.642</v>
      </c>
      <c r="L54" s="2">
        <f>PasteHashtag!J54</f>
        <v>0</v>
      </c>
      <c r="M54" s="2">
        <f>PasteHashtag!K54</f>
        <v>14.3</v>
      </c>
      <c r="N54" s="2">
        <f>PasteHashtag!L54</f>
        <v>12.9</v>
      </c>
      <c r="O54" s="2">
        <f>PasteHashtag!M54</f>
        <v>1.4</v>
      </c>
      <c r="P54" s="2">
        <f>PasteHashtag!N54</f>
        <v>0.8</v>
      </c>
      <c r="Q54" s="2">
        <f>PasteHashtag!O54</f>
        <v>1.8</v>
      </c>
      <c r="R54" s="2">
        <f>PasteHashtag!P54</f>
        <v>1.7</v>
      </c>
      <c r="S54" s="2">
        <f>Mid(PasteHashtag!H54,FIND("/",PasteHashtag!H54)+1,LEN(PasteHashtag!H54)-FIND("/",PasteHashtag!H54)-1)*1</f>
        <v>8.3</v>
      </c>
      <c r="T54" s="344">
        <f>Mid(PasteHashtag!I54,FIND("/",PasteHashtag!I54)+1,LEN(PasteHashtag!I54)-FIND("/",PasteHashtag!I54)-1)*1</f>
        <v>5.2</v>
      </c>
      <c r="U54" s="11"/>
      <c r="V54" s="11"/>
      <c r="W54" s="11"/>
      <c r="AB54" s="313" t="s">
        <v>449</v>
      </c>
    </row>
    <row r="55">
      <c r="A55" s="2">
        <v>54.0</v>
      </c>
      <c r="B55" s="2">
        <f>PasteHashtag!B55</f>
        <v>62.6</v>
      </c>
      <c r="C55" s="343" t="str">
        <f>PasteHashtag!C55</f>
        <v>Darius Garland</v>
      </c>
      <c r="D55" s="2" t="str">
        <f>PasteHashtag!D55</f>
        <v>PG</v>
      </c>
      <c r="E55" s="2" t="str">
        <f>PasteHashtag!E55</f>
        <v>CLE</v>
      </c>
      <c r="F55" s="2">
        <f>PasteHashtag!F55</f>
        <v>68</v>
      </c>
      <c r="G55" s="2">
        <f>PasteHashtag!G55</f>
        <v>33</v>
      </c>
      <c r="H55" s="2">
        <f>MID(PasteHashtag!H55,1+FIND("(",PasteHashtag!H55),FIND("/",PasteHashtag!H55)-FIND("(",PasteHashtag!H55)-1)*1</f>
        <v>6.9</v>
      </c>
      <c r="I55" s="2">
        <f>LEFT(PasteHashtag!H55,FIND("(",PasteHashtag!H55)-1)*1</f>
        <v>0.455</v>
      </c>
      <c r="J55" s="2">
        <f>MID(PasteHashtag!I55,1+FIND("(",PasteHashtag!I55),FIND("/",PasteHashtag!I55)-FIND("(",PasteHashtag!I55)-1)*1</f>
        <v>3.2</v>
      </c>
      <c r="K55" s="2">
        <f>LEFT(PasteHashtag!I55,FIND("(",PasteHashtag!I55)-1)*1</f>
        <v>0.85</v>
      </c>
      <c r="L55" s="2">
        <f>PasteHashtag!J55</f>
        <v>2.3</v>
      </c>
      <c r="M55" s="2">
        <f>PasteHashtag!K55</f>
        <v>19.3</v>
      </c>
      <c r="N55" s="2">
        <f>PasteHashtag!L55</f>
        <v>2.6</v>
      </c>
      <c r="O55" s="2">
        <f>PasteHashtag!M55</f>
        <v>7</v>
      </c>
      <c r="P55" s="2">
        <f>PasteHashtag!N55</f>
        <v>1.2</v>
      </c>
      <c r="Q55" s="2">
        <f>PasteHashtag!O55</f>
        <v>0.1</v>
      </c>
      <c r="R55" s="2">
        <f>PasteHashtag!P55</f>
        <v>2.9</v>
      </c>
      <c r="S55" s="2">
        <f>Mid(PasteHashtag!H55,FIND("/",PasteHashtag!H55)+1,LEN(PasteHashtag!H55)-FIND("/",PasteHashtag!H55)-1)*1</f>
        <v>15.1</v>
      </c>
      <c r="T55" s="344">
        <f>Mid(PasteHashtag!I55,FIND("/",PasteHashtag!I55)+1,LEN(PasteHashtag!I55)-FIND("/",PasteHashtag!I55)-1)*1</f>
        <v>3.8</v>
      </c>
      <c r="U55" s="11"/>
      <c r="V55" s="11"/>
      <c r="W55" s="11"/>
      <c r="AB55" s="313" t="s">
        <v>317</v>
      </c>
    </row>
    <row r="56">
      <c r="A56" s="2">
        <v>55.0</v>
      </c>
      <c r="B56" s="2">
        <f>PasteHashtag!B56</f>
        <v>40.9</v>
      </c>
      <c r="C56" s="343" t="str">
        <f>PasteHashtag!C56</f>
        <v>Jaylen Brown</v>
      </c>
      <c r="D56" s="2" t="str">
        <f>PasteHashtag!D56</f>
        <v>SG,SF</v>
      </c>
      <c r="E56" s="2" t="str">
        <f>PasteHashtag!E56</f>
        <v>BOS</v>
      </c>
      <c r="F56" s="2">
        <f>PasteHashtag!F56</f>
        <v>70</v>
      </c>
      <c r="G56" s="2">
        <f>PasteHashtag!G56</f>
        <v>33.8</v>
      </c>
      <c r="H56" s="2">
        <f>MID(PasteHashtag!H56,1+FIND("(",PasteHashtag!H56),FIND("/",PasteHashtag!H56)-FIND("(",PasteHashtag!H56)-1)*1</f>
        <v>9.4</v>
      </c>
      <c r="I56" s="2">
        <f>LEFT(PasteHashtag!H56,FIND("(",PasteHashtag!H56)-1)*1</f>
        <v>0.495</v>
      </c>
      <c r="J56" s="2">
        <f>MID(PasteHashtag!I56,1+FIND("(",PasteHashtag!I56),FIND("/",PasteHashtag!I56)-FIND("(",PasteHashtag!I56)-1)*1</f>
        <v>3.4</v>
      </c>
      <c r="K56" s="2">
        <f>LEFT(PasteHashtag!I56,FIND("(",PasteHashtag!I56)-1)*1</f>
        <v>0.737</v>
      </c>
      <c r="L56" s="2">
        <f>PasteHashtag!J56</f>
        <v>2.2</v>
      </c>
      <c r="M56" s="2">
        <f>PasteHashtag!K56</f>
        <v>24.4</v>
      </c>
      <c r="N56" s="2">
        <f>PasteHashtag!L56</f>
        <v>6.1</v>
      </c>
      <c r="O56" s="2">
        <f>PasteHashtag!M56</f>
        <v>3.5</v>
      </c>
      <c r="P56" s="2">
        <f>PasteHashtag!N56</f>
        <v>1.1</v>
      </c>
      <c r="Q56" s="2">
        <f>PasteHashtag!O56</f>
        <v>0.5</v>
      </c>
      <c r="R56" s="2">
        <f>PasteHashtag!P56</f>
        <v>2.6</v>
      </c>
      <c r="S56" s="2">
        <f>Mid(PasteHashtag!H56,FIND("/",PasteHashtag!H56)+1,LEN(PasteHashtag!H56)-FIND("/",PasteHashtag!H56)-1)*1</f>
        <v>19</v>
      </c>
      <c r="T56" s="344">
        <f>Mid(PasteHashtag!I56,FIND("/",PasteHashtag!I56)+1,LEN(PasteHashtag!I56)-FIND("/",PasteHashtag!I56)-1)*1</f>
        <v>4.6</v>
      </c>
      <c r="U56" s="11"/>
      <c r="V56" s="11"/>
      <c r="W56" s="11"/>
      <c r="AB56" s="313" t="s">
        <v>304</v>
      </c>
    </row>
    <row r="57">
      <c r="A57" s="2">
        <v>56.0</v>
      </c>
      <c r="B57" s="2">
        <f>PasteHashtag!B57</f>
        <v>60.8</v>
      </c>
      <c r="C57" s="343" t="str">
        <f>PasteHashtag!C57</f>
        <v>Deandre Ayton</v>
      </c>
      <c r="D57" s="2" t="str">
        <f>PasteHashtag!D57</f>
        <v>C</v>
      </c>
      <c r="E57" s="2" t="str">
        <f>PasteHashtag!E57</f>
        <v>POR</v>
      </c>
      <c r="F57" s="2">
        <f>PasteHashtag!F57</f>
        <v>65</v>
      </c>
      <c r="G57" s="2">
        <f>PasteHashtag!G57</f>
        <v>31</v>
      </c>
      <c r="H57" s="2">
        <f>MID(PasteHashtag!H57,1+FIND("(",PasteHashtag!H57),FIND("/",PasteHashtag!H57)-FIND("(",PasteHashtag!H57)-1)*1</f>
        <v>7.6</v>
      </c>
      <c r="I57" s="2">
        <f>LEFT(PasteHashtag!H57,FIND("(",PasteHashtag!H57)-1)*1</f>
        <v>0.571</v>
      </c>
      <c r="J57" s="2">
        <f>MID(PasteHashtag!I57,1+FIND("(",PasteHashtag!I57),FIND("/",PasteHashtag!I57)-FIND("(",PasteHashtag!I57)-1)*1</f>
        <v>1.8</v>
      </c>
      <c r="K57" s="2">
        <f>LEFT(PasteHashtag!I57,FIND("(",PasteHashtag!I57)-1)*1</f>
        <v>0.778</v>
      </c>
      <c r="L57" s="2">
        <f>PasteHashtag!J57</f>
        <v>0.1</v>
      </c>
      <c r="M57" s="2">
        <f>PasteHashtag!K57</f>
        <v>17</v>
      </c>
      <c r="N57" s="2">
        <f>PasteHashtag!L57</f>
        <v>10.3</v>
      </c>
      <c r="O57" s="2">
        <f>PasteHashtag!M57</f>
        <v>1.7</v>
      </c>
      <c r="P57" s="2">
        <f>PasteHashtag!N57</f>
        <v>0.8</v>
      </c>
      <c r="Q57" s="2">
        <f>PasteHashtag!O57</f>
        <v>0.8</v>
      </c>
      <c r="R57" s="2">
        <f>PasteHashtag!P57</f>
        <v>1.8</v>
      </c>
      <c r="S57" s="2">
        <f>Mid(PasteHashtag!H57,FIND("/",PasteHashtag!H57)+1,LEN(PasteHashtag!H57)-FIND("/",PasteHashtag!H57)-1)*1</f>
        <v>13.3</v>
      </c>
      <c r="T57" s="344">
        <f>Mid(PasteHashtag!I57,FIND("/",PasteHashtag!I57)+1,LEN(PasteHashtag!I57)-FIND("/",PasteHashtag!I57)-1)*1</f>
        <v>2.3</v>
      </c>
      <c r="U57" s="11"/>
      <c r="V57" s="11"/>
      <c r="W57" s="11"/>
      <c r="AB57" s="313" t="s">
        <v>324</v>
      </c>
    </row>
    <row r="58">
      <c r="A58" s="2">
        <v>57.0</v>
      </c>
      <c r="B58" s="2">
        <f>PasteHashtag!B58</f>
        <v>72.6</v>
      </c>
      <c r="C58" s="343" t="str">
        <f>PasteHashtag!C58</f>
        <v>Bradley Beal</v>
      </c>
      <c r="D58" s="2" t="str">
        <f>PasteHashtag!D58</f>
        <v>PG,SG</v>
      </c>
      <c r="E58" s="2" t="str">
        <f>PasteHashtag!E58</f>
        <v>PHO</v>
      </c>
      <c r="F58" s="2">
        <f>PasteHashtag!F58</f>
        <v>50</v>
      </c>
      <c r="G58" s="2">
        <f>PasteHashtag!G58</f>
        <v>32</v>
      </c>
      <c r="H58" s="2">
        <f>MID(PasteHashtag!H58,1+FIND("(",PasteHashtag!H58),FIND("/",PasteHashtag!H58)-FIND("(",PasteHashtag!H58)-1)*1</f>
        <v>7.2</v>
      </c>
      <c r="I58" s="2">
        <f>LEFT(PasteHashtag!H58,FIND("(",PasteHashtag!H58)-1)*1</f>
        <v>0.509</v>
      </c>
      <c r="J58" s="2">
        <f>MID(PasteHashtag!I58,1+FIND("(",PasteHashtag!I58),FIND("/",PasteHashtag!I58)-FIND("(",PasteHashtag!I58)-1)*1</f>
        <v>2.6</v>
      </c>
      <c r="K58" s="2">
        <f>LEFT(PasteHashtag!I58,FIND("(",PasteHashtag!I58)-1)*1</f>
        <v>0.821</v>
      </c>
      <c r="L58" s="2">
        <f>PasteHashtag!J58</f>
        <v>1.9</v>
      </c>
      <c r="M58" s="2">
        <f>PasteHashtag!K58</f>
        <v>18.9</v>
      </c>
      <c r="N58" s="2">
        <f>PasteHashtag!L58</f>
        <v>3.8</v>
      </c>
      <c r="O58" s="2">
        <f>PasteHashtag!M58</f>
        <v>4.2</v>
      </c>
      <c r="P58" s="2">
        <f>PasteHashtag!N58</f>
        <v>1</v>
      </c>
      <c r="Q58" s="2">
        <f>PasteHashtag!O58</f>
        <v>0.5</v>
      </c>
      <c r="R58" s="2">
        <f>PasteHashtag!P58</f>
        <v>2.4</v>
      </c>
      <c r="S58" s="2">
        <f>Mid(PasteHashtag!H58,FIND("/",PasteHashtag!H58)+1,LEN(PasteHashtag!H58)-FIND("/",PasteHashtag!H58)-1)*1</f>
        <v>14.2</v>
      </c>
      <c r="T58" s="344">
        <f>Mid(PasteHashtag!I58,FIND("/",PasteHashtag!I58)+1,LEN(PasteHashtag!I58)-FIND("/",PasteHashtag!I58)-1)*1</f>
        <v>3.1</v>
      </c>
      <c r="U58" s="11"/>
      <c r="V58" s="11"/>
      <c r="W58" s="11"/>
      <c r="AB58" s="313" t="s">
        <v>465</v>
      </c>
    </row>
    <row r="59">
      <c r="A59" s="2">
        <v>58.0</v>
      </c>
      <c r="B59" s="2">
        <f>PasteHashtag!B59</f>
        <v>74</v>
      </c>
      <c r="C59" s="343" t="str">
        <f>PasteHashtag!C59</f>
        <v>D'Angelo Russell</v>
      </c>
      <c r="D59" s="2" t="str">
        <f>PasteHashtag!D59</f>
        <v>PG</v>
      </c>
      <c r="E59" s="2" t="str">
        <f>PasteHashtag!E59</f>
        <v>LAL</v>
      </c>
      <c r="F59" s="2">
        <f>PasteHashtag!F59</f>
        <v>72</v>
      </c>
      <c r="G59" s="2">
        <f>PasteHashtag!G59</f>
        <v>32.6</v>
      </c>
      <c r="H59" s="2">
        <f>MID(PasteHashtag!H59,1+FIND("(",PasteHashtag!H59),FIND("/",PasteHashtag!H59)-FIND("(",PasteHashtag!H59)-1)*1</f>
        <v>6.2</v>
      </c>
      <c r="I59" s="2">
        <f>LEFT(PasteHashtag!H59,FIND("(",PasteHashtag!H59)-1)*1</f>
        <v>0.457</v>
      </c>
      <c r="J59" s="2">
        <f>MID(PasteHashtag!I59,1+FIND("(",PasteHashtag!I59),FIND("/",PasteHashtag!I59)-FIND("(",PasteHashtag!I59)-1)*1</f>
        <v>2.3</v>
      </c>
      <c r="K59" s="2">
        <f>LEFT(PasteHashtag!I59,FIND("(",PasteHashtag!I59)-1)*1</f>
        <v>0.829</v>
      </c>
      <c r="L59" s="2">
        <f>PasteHashtag!J59</f>
        <v>2.9</v>
      </c>
      <c r="M59" s="2">
        <f>PasteHashtag!K59</f>
        <v>17.5</v>
      </c>
      <c r="N59" s="2">
        <f>PasteHashtag!L59</f>
        <v>3.1</v>
      </c>
      <c r="O59" s="2">
        <f>PasteHashtag!M59</f>
        <v>6</v>
      </c>
      <c r="P59" s="2">
        <f>PasteHashtag!N59</f>
        <v>1</v>
      </c>
      <c r="Q59" s="2">
        <f>PasteHashtag!O59</f>
        <v>0.5</v>
      </c>
      <c r="R59" s="2">
        <f>PasteHashtag!P59</f>
        <v>2.4</v>
      </c>
      <c r="S59" s="2">
        <f>Mid(PasteHashtag!H59,FIND("/",PasteHashtag!H59)+1,LEN(PasteHashtag!H59)-FIND("/",PasteHashtag!H59)-1)*1</f>
        <v>13.5</v>
      </c>
      <c r="T59" s="344">
        <f>Mid(PasteHashtag!I59,FIND("/",PasteHashtag!I59)+1,LEN(PasteHashtag!I59)-FIND("/",PasteHashtag!I59)-1)*1</f>
        <v>2.8</v>
      </c>
      <c r="U59" s="11"/>
      <c r="V59" s="11"/>
      <c r="W59" s="11"/>
      <c r="AB59" s="313" t="s">
        <v>283</v>
      </c>
    </row>
    <row r="60">
      <c r="A60" s="2">
        <v>59.0</v>
      </c>
      <c r="B60" s="2">
        <f>PasteHashtag!B60</f>
        <v>53.8</v>
      </c>
      <c r="C60" s="343" t="str">
        <f>PasteHashtag!C60</f>
        <v>Jalen Duren</v>
      </c>
      <c r="D60" s="2" t="str">
        <f>PasteHashtag!D60</f>
        <v>C</v>
      </c>
      <c r="E60" s="2" t="str">
        <f>PasteHashtag!E60</f>
        <v>DET</v>
      </c>
      <c r="F60" s="2">
        <f>PasteHashtag!F60</f>
        <v>68</v>
      </c>
      <c r="G60" s="2">
        <f>PasteHashtag!G60</f>
        <v>30</v>
      </c>
      <c r="H60" s="2">
        <f>MID(PasteHashtag!H60,1+FIND("(",PasteHashtag!H60),FIND("/",PasteHashtag!H60)-FIND("(",PasteHashtag!H60)-1)*1</f>
        <v>5.3</v>
      </c>
      <c r="I60" s="2">
        <f>LEFT(PasteHashtag!H60,FIND("(",PasteHashtag!H60)-1)*1</f>
        <v>0.628</v>
      </c>
      <c r="J60" s="2">
        <f>MID(PasteHashtag!I60,1+FIND("(",PasteHashtag!I60),FIND("/",PasteHashtag!I60)-FIND("(",PasteHashtag!I60)-1)*1</f>
        <v>2.1</v>
      </c>
      <c r="K60" s="2">
        <f>LEFT(PasteHashtag!I60,FIND("(",PasteHashtag!I60)-1)*1</f>
        <v>0.781</v>
      </c>
      <c r="L60" s="2">
        <f>PasteHashtag!J60</f>
        <v>0</v>
      </c>
      <c r="M60" s="2">
        <f>PasteHashtag!K60</f>
        <v>12.8</v>
      </c>
      <c r="N60" s="2">
        <f>PasteHashtag!L60</f>
        <v>10.9</v>
      </c>
      <c r="O60" s="2">
        <f>PasteHashtag!M60</f>
        <v>2</v>
      </c>
      <c r="P60" s="2">
        <f>PasteHashtag!N60</f>
        <v>0.6</v>
      </c>
      <c r="Q60" s="2">
        <f>PasteHashtag!O60</f>
        <v>0.9</v>
      </c>
      <c r="R60" s="2">
        <f>PasteHashtag!P60</f>
        <v>1.9</v>
      </c>
      <c r="S60" s="2">
        <f>Mid(PasteHashtag!H60,FIND("/",PasteHashtag!H60)+1,LEN(PasteHashtag!H60)-FIND("/",PasteHashtag!H60)-1)*1</f>
        <v>8.5</v>
      </c>
      <c r="T60" s="344">
        <f>Mid(PasteHashtag!I60,FIND("/",PasteHashtag!I60)+1,LEN(PasteHashtag!I60)-FIND("/",PasteHashtag!I60)-1)*1</f>
        <v>2.7</v>
      </c>
      <c r="U60" s="11"/>
      <c r="V60" s="11"/>
      <c r="W60" s="11"/>
      <c r="AB60" s="313" t="s">
        <v>428</v>
      </c>
    </row>
    <row r="61">
      <c r="A61" s="2">
        <v>60.0</v>
      </c>
      <c r="B61" s="2">
        <f>PasteHashtag!B61</f>
        <v>78.5</v>
      </c>
      <c r="C61" s="343" t="str">
        <f>PasteHashtag!C61</f>
        <v>Jrue Holiday</v>
      </c>
      <c r="D61" s="2" t="str">
        <f>PasteHashtag!D61</f>
        <v>PG,SG</v>
      </c>
      <c r="E61" s="2" t="str">
        <f>PasteHashtag!E61</f>
        <v>BOS</v>
      </c>
      <c r="F61" s="2">
        <f>PasteHashtag!F61</f>
        <v>68</v>
      </c>
      <c r="G61" s="2">
        <f>PasteHashtag!G61</f>
        <v>32.5</v>
      </c>
      <c r="H61" s="2">
        <f>MID(PasteHashtag!H61,1+FIND("(",PasteHashtag!H61),FIND("/",PasteHashtag!H61)-FIND("(",PasteHashtag!H61)-1)*1</f>
        <v>5.1</v>
      </c>
      <c r="I61" s="2">
        <f>LEFT(PasteHashtag!H61,FIND("(",PasteHashtag!H61)-1)*1</f>
        <v>0.477</v>
      </c>
      <c r="J61" s="2">
        <f>MID(PasteHashtag!I61,1+FIND("(",PasteHashtag!I61),FIND("/",PasteHashtag!I61)-FIND("(",PasteHashtag!I61)-1)*1</f>
        <v>1.2</v>
      </c>
      <c r="K61" s="2">
        <f>LEFT(PasteHashtag!I61,FIND("(",PasteHashtag!I61)-1)*1</f>
        <v>0.847</v>
      </c>
      <c r="L61" s="2">
        <f>PasteHashtag!J61</f>
        <v>2.2</v>
      </c>
      <c r="M61" s="2">
        <f>PasteHashtag!K61</f>
        <v>13.5</v>
      </c>
      <c r="N61" s="2">
        <f>PasteHashtag!L61</f>
        <v>5.3</v>
      </c>
      <c r="O61" s="2">
        <f>PasteHashtag!M61</f>
        <v>5.1</v>
      </c>
      <c r="P61" s="2">
        <f>PasteHashtag!N61</f>
        <v>1</v>
      </c>
      <c r="Q61" s="2">
        <f>PasteHashtag!O61</f>
        <v>0.6</v>
      </c>
      <c r="R61" s="2">
        <f>PasteHashtag!P61</f>
        <v>2.4</v>
      </c>
      <c r="S61" s="2">
        <f>Mid(PasteHashtag!H61,FIND("/",PasteHashtag!H61)+1,LEN(PasteHashtag!H61)-FIND("/",PasteHashtag!H61)-1)*1</f>
        <v>10.6</v>
      </c>
      <c r="T61" s="344">
        <f>Mid(PasteHashtag!I61,FIND("/",PasteHashtag!I61)+1,LEN(PasteHashtag!I61)-FIND("/",PasteHashtag!I61)-1)*1</f>
        <v>1.4</v>
      </c>
      <c r="U61" s="11"/>
      <c r="V61" s="11"/>
      <c r="W61" s="11"/>
      <c r="AB61" s="313" t="s">
        <v>304</v>
      </c>
    </row>
    <row r="62">
      <c r="A62" s="2">
        <v>61.0</v>
      </c>
      <c r="B62" s="2">
        <f>PasteHashtag!B62</f>
        <v>46.6</v>
      </c>
      <c r="C62" s="343" t="str">
        <f>PasteHashtag!C62</f>
        <v>Zion Williamson</v>
      </c>
      <c r="D62" s="2" t="str">
        <f>PasteHashtag!D62</f>
        <v>PF,C</v>
      </c>
      <c r="E62" s="2" t="str">
        <f>PasteHashtag!E62</f>
        <v>NO</v>
      </c>
      <c r="F62" s="2">
        <f>PasteHashtag!F62</f>
        <v>67</v>
      </c>
      <c r="G62" s="2">
        <f>PasteHashtag!G62</f>
        <v>32.1</v>
      </c>
      <c r="H62" s="2">
        <f>MID(PasteHashtag!H62,1+FIND("(",PasteHashtag!H62),FIND("/",PasteHashtag!H62)-FIND("(",PasteHashtag!H62)-1)*1</f>
        <v>8.8</v>
      </c>
      <c r="I62" s="2">
        <f>LEFT(PasteHashtag!H62,FIND("(",PasteHashtag!H62)-1)*1</f>
        <v>0.573</v>
      </c>
      <c r="J62" s="2">
        <f>MID(PasteHashtag!I62,1+FIND("(",PasteHashtag!I62),FIND("/",PasteHashtag!I62)-FIND("(",PasteHashtag!I62)-1)*1</f>
        <v>5</v>
      </c>
      <c r="K62" s="2">
        <f>LEFT(PasteHashtag!I62,FIND("(",PasteHashtag!I62)-1)*1</f>
        <v>0.714</v>
      </c>
      <c r="L62" s="2">
        <f>PasteHashtag!J62</f>
        <v>0.1</v>
      </c>
      <c r="M62" s="2">
        <f>PasteHashtag!K62</f>
        <v>22.8</v>
      </c>
      <c r="N62" s="2">
        <f>PasteHashtag!L62</f>
        <v>6.2</v>
      </c>
      <c r="O62" s="2">
        <f>PasteHashtag!M62</f>
        <v>5</v>
      </c>
      <c r="P62" s="2">
        <f>PasteHashtag!N62</f>
        <v>1.1</v>
      </c>
      <c r="Q62" s="2">
        <f>PasteHashtag!O62</f>
        <v>0.7</v>
      </c>
      <c r="R62" s="2">
        <f>PasteHashtag!P62</f>
        <v>3</v>
      </c>
      <c r="S62" s="2">
        <f>Mid(PasteHashtag!H62,FIND("/",PasteHashtag!H62)+1,LEN(PasteHashtag!H62)-FIND("/",PasteHashtag!H62)-1)*1</f>
        <v>15.4</v>
      </c>
      <c r="T62" s="344">
        <f>Mid(PasteHashtag!I62,FIND("/",PasteHashtag!I62)+1,LEN(PasteHashtag!I62)-FIND("/",PasteHashtag!I62)-1)*1</f>
        <v>7.1</v>
      </c>
      <c r="U62" s="11"/>
      <c r="V62" s="11"/>
      <c r="W62" s="11"/>
      <c r="AB62" s="313" t="s">
        <v>428</v>
      </c>
    </row>
    <row r="63">
      <c r="A63" s="2">
        <v>62.0</v>
      </c>
      <c r="B63" s="2">
        <f>PasteHashtag!B63</f>
        <v>48.3</v>
      </c>
      <c r="C63" s="343" t="str">
        <f>PasteHashtag!C63</f>
        <v>Pascal Siakam</v>
      </c>
      <c r="D63" s="2" t="str">
        <f>PasteHashtag!D63</f>
        <v>SF,PF</v>
      </c>
      <c r="E63" s="2" t="str">
        <f>PasteHashtag!E63</f>
        <v>IND</v>
      </c>
      <c r="F63" s="2">
        <f>PasteHashtag!F63</f>
        <v>74</v>
      </c>
      <c r="G63" s="2">
        <f>PasteHashtag!G63</f>
        <v>32</v>
      </c>
      <c r="H63" s="2">
        <f>MID(PasteHashtag!H63,1+FIND("(",PasteHashtag!H63),FIND("/",PasteHashtag!H63)-FIND("(",PasteHashtag!H63)-1)*1</f>
        <v>8.1</v>
      </c>
      <c r="I63" s="2">
        <f>LEFT(PasteHashtag!H63,FIND("(",PasteHashtag!H63)-1)*1</f>
        <v>0.539</v>
      </c>
      <c r="J63" s="2">
        <f>MID(PasteHashtag!I63,1+FIND("(",PasteHashtag!I63),FIND("/",PasteHashtag!I63)-FIND("(",PasteHashtag!I63)-1)*1</f>
        <v>3.8</v>
      </c>
      <c r="K63" s="2">
        <f>LEFT(PasteHashtag!I63,FIND("(",PasteHashtag!I63)-1)*1</f>
        <v>0.742</v>
      </c>
      <c r="L63" s="2">
        <f>PasteHashtag!J63</f>
        <v>1.1</v>
      </c>
      <c r="M63" s="2">
        <f>PasteHashtag!K63</f>
        <v>21.1</v>
      </c>
      <c r="N63" s="2">
        <f>PasteHashtag!L63</f>
        <v>7.5</v>
      </c>
      <c r="O63" s="2">
        <f>PasteHashtag!M63</f>
        <v>3.9</v>
      </c>
      <c r="P63" s="2">
        <f>PasteHashtag!N63</f>
        <v>0.8</v>
      </c>
      <c r="Q63" s="2">
        <f>PasteHashtag!O63</f>
        <v>0.4</v>
      </c>
      <c r="R63" s="2">
        <f>PasteHashtag!P63</f>
        <v>1.5</v>
      </c>
      <c r="S63" s="2">
        <f>Mid(PasteHashtag!H63,FIND("/",PasteHashtag!H63)+1,LEN(PasteHashtag!H63)-FIND("/",PasteHashtag!H63)-1)*1</f>
        <v>15</v>
      </c>
      <c r="T63" s="344">
        <f>Mid(PasteHashtag!I63,FIND("/",PasteHashtag!I63)+1,LEN(PasteHashtag!I63)-FIND("/",PasteHashtag!I63)-1)*1</f>
        <v>5.1</v>
      </c>
      <c r="U63" s="11"/>
      <c r="V63" s="11"/>
      <c r="W63" s="11"/>
      <c r="AB63" s="313" t="s">
        <v>414</v>
      </c>
    </row>
    <row r="64">
      <c r="A64" s="2">
        <v>63.0</v>
      </c>
      <c r="B64" s="2">
        <f>PasteHashtag!B64</f>
        <v>63</v>
      </c>
      <c r="C64" s="343" t="str">
        <f>PasteHashtag!C64</f>
        <v>Zach LaVine</v>
      </c>
      <c r="D64" s="2" t="str">
        <f>PasteHashtag!D64</f>
        <v>SG,SF</v>
      </c>
      <c r="E64" s="2" t="str">
        <f>PasteHashtag!E64</f>
        <v>CHI</v>
      </c>
      <c r="F64" s="2">
        <f>PasteHashtag!F64</f>
        <v>64</v>
      </c>
      <c r="G64" s="2">
        <f>PasteHashtag!G64</f>
        <v>34.4</v>
      </c>
      <c r="H64" s="2">
        <f>MID(PasteHashtag!H64,1+FIND("(",PasteHashtag!H64),FIND("/",PasteHashtag!H64)-FIND("(",PasteHashtag!H64)-1)*1</f>
        <v>7.5</v>
      </c>
      <c r="I64" s="2">
        <f>LEFT(PasteHashtag!H64,FIND("(",PasteHashtag!H64)-1)*1</f>
        <v>0.459</v>
      </c>
      <c r="J64" s="2">
        <f>MID(PasteHashtag!I64,1+FIND("(",PasteHashtag!I64),FIND("/",PasteHashtag!I64)-FIND("(",PasteHashtag!I64)-1)*1</f>
        <v>4.2</v>
      </c>
      <c r="K64" s="2">
        <f>LEFT(PasteHashtag!I64,FIND("(",PasteHashtag!I64)-1)*1</f>
        <v>0.845</v>
      </c>
      <c r="L64" s="2">
        <f>PasteHashtag!J64</f>
        <v>2.5</v>
      </c>
      <c r="M64" s="2">
        <f>PasteHashtag!K64</f>
        <v>21.6</v>
      </c>
      <c r="N64" s="2">
        <f>PasteHashtag!L64</f>
        <v>4.5</v>
      </c>
      <c r="O64" s="2">
        <f>PasteHashtag!M64</f>
        <v>4</v>
      </c>
      <c r="P64" s="2">
        <f>PasteHashtag!N64</f>
        <v>0.9</v>
      </c>
      <c r="Q64" s="2">
        <f>PasteHashtag!O64</f>
        <v>0.3</v>
      </c>
      <c r="R64" s="2">
        <f>PasteHashtag!P64</f>
        <v>2.3</v>
      </c>
      <c r="S64" s="2">
        <f>Mid(PasteHashtag!H64,FIND("/",PasteHashtag!H64)+1,LEN(PasteHashtag!H64)-FIND("/",PasteHashtag!H64)-1)*1</f>
        <v>16.3</v>
      </c>
      <c r="T64" s="344">
        <f>Mid(PasteHashtag!I64,FIND("/",PasteHashtag!I64)+1,LEN(PasteHashtag!I64)-FIND("/",PasteHashtag!I64)-1)*1</f>
        <v>5</v>
      </c>
      <c r="U64" s="11"/>
      <c r="V64" s="11"/>
      <c r="W64" s="11"/>
    </row>
    <row r="65">
      <c r="A65" s="2">
        <v>64.0</v>
      </c>
      <c r="B65" s="2">
        <f>PasteHashtag!B65</f>
        <v>86.4</v>
      </c>
      <c r="C65" s="343" t="str">
        <f>PasteHashtag!C65</f>
        <v>Jordan Poole</v>
      </c>
      <c r="D65" s="2" t="str">
        <f>PasteHashtag!D65</f>
        <v>PG,SG</v>
      </c>
      <c r="E65" s="2" t="str">
        <f>PasteHashtag!E65</f>
        <v>WAS</v>
      </c>
      <c r="F65" s="2">
        <f>PasteHashtag!F65</f>
        <v>77</v>
      </c>
      <c r="G65" s="2">
        <f>PasteHashtag!G65</f>
        <v>31.5</v>
      </c>
      <c r="H65" s="2">
        <f>MID(PasteHashtag!H65,1+FIND("(",PasteHashtag!H65),FIND("/",PasteHashtag!H65)-FIND("(",PasteHashtag!H65)-1)*1</f>
        <v>6.9</v>
      </c>
      <c r="I65" s="2">
        <f>LEFT(PasteHashtag!H65,FIND("(",PasteHashtag!H65)-1)*1</f>
        <v>0.422</v>
      </c>
      <c r="J65" s="2">
        <f>MID(PasteHashtag!I65,1+FIND("(",PasteHashtag!I65),FIND("/",PasteHashtag!I65)-FIND("(",PasteHashtag!I65)-1)*1</f>
        <v>3.7</v>
      </c>
      <c r="K65" s="2">
        <f>LEFT(PasteHashtag!I65,FIND("(",PasteHashtag!I65)-1)*1</f>
        <v>0.871</v>
      </c>
      <c r="L65" s="2">
        <f>PasteHashtag!J65</f>
        <v>2.6</v>
      </c>
      <c r="M65" s="2">
        <f>PasteHashtag!K65</f>
        <v>20.1</v>
      </c>
      <c r="N65" s="2">
        <f>PasteHashtag!L65</f>
        <v>2.9</v>
      </c>
      <c r="O65" s="2">
        <f>PasteHashtag!M65</f>
        <v>5.7</v>
      </c>
      <c r="P65" s="2">
        <f>PasteHashtag!N65</f>
        <v>1.1</v>
      </c>
      <c r="Q65" s="2">
        <f>PasteHashtag!O65</f>
        <v>0.3</v>
      </c>
      <c r="R65" s="2">
        <f>PasteHashtag!P65</f>
        <v>2.9</v>
      </c>
      <c r="S65" s="2">
        <f>Mid(PasteHashtag!H65,FIND("/",PasteHashtag!H65)+1,LEN(PasteHashtag!H65)-FIND("/",PasteHashtag!H65)-1)*1</f>
        <v>16.3</v>
      </c>
      <c r="T65" s="344">
        <f>Mid(PasteHashtag!I65,FIND("/",PasteHashtag!I65)+1,LEN(PasteHashtag!I65)-FIND("/",PasteHashtag!I65)-1)*1</f>
        <v>4.2</v>
      </c>
      <c r="U65" s="11"/>
      <c r="V65" s="11"/>
      <c r="W65" s="11"/>
    </row>
    <row r="66">
      <c r="A66" s="2">
        <v>65.0</v>
      </c>
      <c r="B66" s="2">
        <f>PasteHashtag!B66</f>
        <v>63.9</v>
      </c>
      <c r="C66" s="343" t="str">
        <f>PasteHashtag!C66</f>
        <v>Nicolas Claxton</v>
      </c>
      <c r="D66" s="2" t="str">
        <f>PasteHashtag!D66</f>
        <v>C</v>
      </c>
      <c r="E66" s="2" t="str">
        <f>PasteHashtag!E66</f>
        <v>BKN</v>
      </c>
      <c r="F66" s="2">
        <f>PasteHashtag!F66</f>
        <v>72</v>
      </c>
      <c r="G66" s="2">
        <f>PasteHashtag!G66</f>
        <v>30.1</v>
      </c>
      <c r="H66" s="2">
        <f>MID(PasteHashtag!H66,1+FIND("(",PasteHashtag!H66),FIND("/",PasteHashtag!H66)-FIND("(",PasteHashtag!H66)-1)*1</f>
        <v>5.4</v>
      </c>
      <c r="I66" s="2">
        <f>LEFT(PasteHashtag!H66,FIND("(",PasteHashtag!H66)-1)*1</f>
        <v>0.621</v>
      </c>
      <c r="J66" s="2">
        <f>MID(PasteHashtag!I66,1+FIND("(",PasteHashtag!I66),FIND("/",PasteHashtag!I66)-FIND("(",PasteHashtag!I66)-1)*1</f>
        <v>1.7</v>
      </c>
      <c r="K66" s="2">
        <f>LEFT(PasteHashtag!I66,FIND("(",PasteHashtag!I66)-1)*1</f>
        <v>0.555</v>
      </c>
      <c r="L66" s="2">
        <f>PasteHashtag!J66</f>
        <v>0</v>
      </c>
      <c r="M66" s="2">
        <f>PasteHashtag!K66</f>
        <v>12.5</v>
      </c>
      <c r="N66" s="2">
        <f>PasteHashtag!L66</f>
        <v>9.8</v>
      </c>
      <c r="O66" s="2">
        <f>PasteHashtag!M66</f>
        <v>2</v>
      </c>
      <c r="P66" s="2">
        <f>PasteHashtag!N66</f>
        <v>0.8</v>
      </c>
      <c r="Q66" s="2">
        <f>PasteHashtag!O66</f>
        <v>2.2</v>
      </c>
      <c r="R66" s="2">
        <f>PasteHashtag!P66</f>
        <v>1.3</v>
      </c>
      <c r="S66" s="2">
        <f>Mid(PasteHashtag!H66,FIND("/",PasteHashtag!H66)+1,LEN(PasteHashtag!H66)-FIND("/",PasteHashtag!H66)-1)*1</f>
        <v>8.7</v>
      </c>
      <c r="T66" s="344">
        <f>Mid(PasteHashtag!I66,FIND("/",PasteHashtag!I66)+1,LEN(PasteHashtag!I66)-FIND("/",PasteHashtag!I66)-1)*1</f>
        <v>3</v>
      </c>
      <c r="U66" s="11"/>
      <c r="V66" s="11"/>
      <c r="W66" s="11"/>
    </row>
    <row r="67">
      <c r="A67" s="2">
        <v>66.0</v>
      </c>
      <c r="B67" s="2">
        <f>PasteHashtag!B67</f>
        <v>58.2</v>
      </c>
      <c r="C67" s="343" t="str">
        <f>PasteHashtag!C67</f>
        <v>Miles Bridges</v>
      </c>
      <c r="D67" s="2" t="str">
        <f>PasteHashtag!D67</f>
        <v>SF,PF</v>
      </c>
      <c r="E67" s="2" t="str">
        <f>PasteHashtag!E67</f>
        <v>CHA</v>
      </c>
      <c r="F67" s="2">
        <f>PasteHashtag!F67</f>
        <v>73</v>
      </c>
      <c r="G67" s="2">
        <f>PasteHashtag!G67</f>
        <v>36.2</v>
      </c>
      <c r="H67" s="2">
        <f>MID(PasteHashtag!H67,1+FIND("(",PasteHashtag!H67),FIND("/",PasteHashtag!H67)-FIND("(",PasteHashtag!H67)-1)*1</f>
        <v>7.7</v>
      </c>
      <c r="I67" s="2">
        <f>LEFT(PasteHashtag!H67,FIND("(",PasteHashtag!H67)-1)*1</f>
        <v>0.462</v>
      </c>
      <c r="J67" s="2">
        <f>MID(PasteHashtag!I67,1+FIND("(",PasteHashtag!I67),FIND("/",PasteHashtag!I67)-FIND("(",PasteHashtag!I67)-1)*1</f>
        <v>2.4</v>
      </c>
      <c r="K67" s="2">
        <f>LEFT(PasteHashtag!I67,FIND("(",PasteHashtag!I67)-1)*1</f>
        <v>0.824</v>
      </c>
      <c r="L67" s="2">
        <f>PasteHashtag!J67</f>
        <v>2.2</v>
      </c>
      <c r="M67" s="2">
        <f>PasteHashtag!K67</f>
        <v>19.8</v>
      </c>
      <c r="N67" s="2">
        <f>PasteHashtag!L67</f>
        <v>6.9</v>
      </c>
      <c r="O67" s="2">
        <f>PasteHashtag!M67</f>
        <v>3.2</v>
      </c>
      <c r="P67" s="2">
        <f>PasteHashtag!N67</f>
        <v>0.9</v>
      </c>
      <c r="Q67" s="2">
        <f>PasteHashtag!O67</f>
        <v>0.5</v>
      </c>
      <c r="R67" s="2">
        <f>PasteHashtag!P67</f>
        <v>1.9</v>
      </c>
      <c r="S67" s="2">
        <f>Mid(PasteHashtag!H67,FIND("/",PasteHashtag!H67)+1,LEN(PasteHashtag!H67)-FIND("/",PasteHashtag!H67)-1)*1</f>
        <v>16.6</v>
      </c>
      <c r="T67" s="344">
        <f>Mid(PasteHashtag!I67,FIND("/",PasteHashtag!I67)+1,LEN(PasteHashtag!I67)-FIND("/",PasteHashtag!I67)-1)*1</f>
        <v>2.9</v>
      </c>
      <c r="U67" s="11"/>
      <c r="V67" s="11"/>
      <c r="W67" s="11"/>
    </row>
    <row r="68">
      <c r="A68" s="2">
        <v>67.0</v>
      </c>
      <c r="B68" s="2">
        <f>PasteHashtag!B68</f>
        <v>78</v>
      </c>
      <c r="C68" s="343" t="str">
        <f>PasteHashtag!C68</f>
        <v>Tyler Herro</v>
      </c>
      <c r="D68" s="2" t="str">
        <f>PasteHashtag!D68</f>
        <v>PG,SG</v>
      </c>
      <c r="E68" s="2" t="str">
        <f>PasteHashtag!E68</f>
        <v>MIA</v>
      </c>
      <c r="F68" s="2">
        <f>PasteHashtag!F68</f>
        <v>67</v>
      </c>
      <c r="G68" s="2">
        <f>PasteHashtag!G68</f>
        <v>33.6</v>
      </c>
      <c r="H68" s="2">
        <f>MID(PasteHashtag!H68,1+FIND("(",PasteHashtag!H68),FIND("/",PasteHashtag!H68)-FIND("(",PasteHashtag!H68)-1)*1</f>
        <v>7.4</v>
      </c>
      <c r="I68" s="2">
        <f>LEFT(PasteHashtag!H68,FIND("(",PasteHashtag!H68)-1)*1</f>
        <v>0.44</v>
      </c>
      <c r="J68" s="2">
        <f>MID(PasteHashtag!I68,1+FIND("(",PasteHashtag!I68),FIND("/",PasteHashtag!I68)-FIND("(",PasteHashtag!I68)-1)*1</f>
        <v>2.4</v>
      </c>
      <c r="K68" s="2">
        <f>LEFT(PasteHashtag!I68,FIND("(",PasteHashtag!I68)-1)*1</f>
        <v>0.903</v>
      </c>
      <c r="L68" s="2">
        <f>PasteHashtag!J68</f>
        <v>3.1</v>
      </c>
      <c r="M68" s="2">
        <f>PasteHashtag!K68</f>
        <v>20.2</v>
      </c>
      <c r="N68" s="2">
        <f>PasteHashtag!L68</f>
        <v>5.3</v>
      </c>
      <c r="O68" s="2">
        <f>PasteHashtag!M68</f>
        <v>4.3</v>
      </c>
      <c r="P68" s="2">
        <f>PasteHashtag!N68</f>
        <v>0.7</v>
      </c>
      <c r="Q68" s="2">
        <f>PasteHashtag!O68</f>
        <v>0.2</v>
      </c>
      <c r="R68" s="2">
        <f>PasteHashtag!P68</f>
        <v>2.3</v>
      </c>
      <c r="S68" s="2">
        <f>Mid(PasteHashtag!H68,FIND("/",PasteHashtag!H68)+1,LEN(PasteHashtag!H68)-FIND("/",PasteHashtag!H68)-1)*1</f>
        <v>16.8</v>
      </c>
      <c r="T68" s="344">
        <f>Mid(PasteHashtag!I68,FIND("/",PasteHashtag!I68)+1,LEN(PasteHashtag!I68)-FIND("/",PasteHashtag!I68)-1)*1</f>
        <v>2.7</v>
      </c>
      <c r="U68" s="11"/>
      <c r="V68" s="11"/>
      <c r="W68" s="11"/>
    </row>
    <row r="69">
      <c r="A69" s="2">
        <v>68.0</v>
      </c>
      <c r="B69" s="2">
        <f>PasteHashtag!B69</f>
        <v>96.7</v>
      </c>
      <c r="C69" s="343" t="str">
        <f>PasteHashtag!C69</f>
        <v>Trey Murphy III</v>
      </c>
      <c r="D69" s="2" t="str">
        <f>PasteHashtag!D69</f>
        <v>SF,PF</v>
      </c>
      <c r="E69" s="2" t="str">
        <f>PasteHashtag!E69</f>
        <v>NO</v>
      </c>
      <c r="F69" s="2">
        <f>PasteHashtag!F69</f>
        <v>62</v>
      </c>
      <c r="G69" s="2">
        <f>PasteHashtag!G69</f>
        <v>30</v>
      </c>
      <c r="H69" s="2">
        <f>MID(PasteHashtag!H69,1+FIND("(",PasteHashtag!H69),FIND("/",PasteHashtag!H69)-FIND("(",PasteHashtag!H69)-1)*1</f>
        <v>5</v>
      </c>
      <c r="I69" s="2">
        <f>LEFT(PasteHashtag!H69,FIND("(",PasteHashtag!H69)-1)*1</f>
        <v>0.455</v>
      </c>
      <c r="J69" s="2">
        <f>MID(PasteHashtag!I69,1+FIND("(",PasteHashtag!I69),FIND("/",PasteHashtag!I69)-FIND("(",PasteHashtag!I69)-1)*1</f>
        <v>2.3</v>
      </c>
      <c r="K69" s="2">
        <f>LEFT(PasteHashtag!I69,FIND("(",PasteHashtag!I69)-1)*1</f>
        <v>0.864</v>
      </c>
      <c r="L69" s="2">
        <f>PasteHashtag!J69</f>
        <v>2.9</v>
      </c>
      <c r="M69" s="2">
        <f>PasteHashtag!K69</f>
        <v>15.1</v>
      </c>
      <c r="N69" s="2">
        <f>PasteHashtag!L69</f>
        <v>4.3</v>
      </c>
      <c r="O69" s="2">
        <f>PasteHashtag!M69</f>
        <v>1.8</v>
      </c>
      <c r="P69" s="2">
        <f>PasteHashtag!N69</f>
        <v>1.1</v>
      </c>
      <c r="Q69" s="2">
        <f>PasteHashtag!O69</f>
        <v>0.6</v>
      </c>
      <c r="R69" s="2">
        <f>PasteHashtag!P69</f>
        <v>0.7</v>
      </c>
      <c r="S69" s="2">
        <f>Mid(PasteHashtag!H69,FIND("/",PasteHashtag!H69)+1,LEN(PasteHashtag!H69)-FIND("/",PasteHashtag!H69)-1)*1</f>
        <v>11</v>
      </c>
      <c r="T69" s="344">
        <f>Mid(PasteHashtag!I69,FIND("/",PasteHashtag!I69)+1,LEN(PasteHashtag!I69)-FIND("/",PasteHashtag!I69)-1)*1</f>
        <v>2.6</v>
      </c>
      <c r="U69" s="11"/>
      <c r="V69" s="11"/>
      <c r="W69" s="11"/>
    </row>
    <row r="70">
      <c r="A70" s="2">
        <v>69.0</v>
      </c>
      <c r="B70" s="2">
        <f>PasteHashtag!B70</f>
        <v>76.4</v>
      </c>
      <c r="C70" s="343" t="str">
        <f>PasteHashtag!C70</f>
        <v>Isaiah Hartenstein</v>
      </c>
      <c r="D70" s="2" t="str">
        <f>PasteHashtag!D70</f>
        <v>C</v>
      </c>
      <c r="E70" s="2" t="str">
        <f>PasteHashtag!E70</f>
        <v>OKC</v>
      </c>
      <c r="F70" s="2">
        <f>PasteHashtag!F70</f>
        <v>50</v>
      </c>
      <c r="G70" s="2">
        <f>PasteHashtag!G70</f>
        <v>27.9</v>
      </c>
      <c r="H70" s="2">
        <f>MID(PasteHashtag!H70,1+FIND("(",PasteHashtag!H70),FIND("/",PasteHashtag!H70)-FIND("(",PasteHashtag!H70)-1)*1</f>
        <v>3.6</v>
      </c>
      <c r="I70" s="2">
        <f>LEFT(PasteHashtag!H70,FIND("(",PasteHashtag!H70)-1)*1</f>
        <v>0.621</v>
      </c>
      <c r="J70" s="2">
        <f>MID(PasteHashtag!I70,1+FIND("(",PasteHashtag!I70),FIND("/",PasteHashtag!I70)-FIND("(",PasteHashtag!I70)-1)*1</f>
        <v>1.3</v>
      </c>
      <c r="K70" s="2">
        <f>LEFT(PasteHashtag!I70,FIND("(",PasteHashtag!I70)-1)*1</f>
        <v>0.7</v>
      </c>
      <c r="L70" s="2">
        <f>PasteHashtag!J70</f>
        <v>0.1</v>
      </c>
      <c r="M70" s="2">
        <f>PasteHashtag!K70</f>
        <v>8.7</v>
      </c>
      <c r="N70" s="2">
        <f>PasteHashtag!L70</f>
        <v>9</v>
      </c>
      <c r="O70" s="2">
        <f>PasteHashtag!M70</f>
        <v>2.4</v>
      </c>
      <c r="P70" s="2">
        <f>PasteHashtag!N70</f>
        <v>1.1</v>
      </c>
      <c r="Q70" s="2">
        <f>PasteHashtag!O70</f>
        <v>1.2</v>
      </c>
      <c r="R70" s="2">
        <f>PasteHashtag!P70</f>
        <v>1.3</v>
      </c>
      <c r="S70" s="2">
        <f>Mid(PasteHashtag!H70,FIND("/",PasteHashtag!H70)+1,LEN(PasteHashtag!H70)-FIND("/",PasteHashtag!H70)-1)*1</f>
        <v>5.9</v>
      </c>
      <c r="T70" s="344">
        <f>Mid(PasteHashtag!I70,FIND("/",PasteHashtag!I70)+1,LEN(PasteHashtag!I70)-FIND("/",PasteHashtag!I70)-1)*1</f>
        <v>1.9</v>
      </c>
      <c r="U70" s="11"/>
      <c r="V70" s="11"/>
      <c r="W70" s="11"/>
    </row>
    <row r="71">
      <c r="A71" s="2">
        <v>70.0</v>
      </c>
      <c r="B71" s="2">
        <f>PasteHashtag!B71</f>
        <v>93.2</v>
      </c>
      <c r="C71" s="343" t="str">
        <f>PasteHashtag!C71</f>
        <v>Walker Kessler</v>
      </c>
      <c r="D71" s="2" t="str">
        <f>PasteHashtag!D71</f>
        <v>C</v>
      </c>
      <c r="E71" s="2" t="str">
        <f>PasteHashtag!E71</f>
        <v>UTA</v>
      </c>
      <c r="F71" s="2">
        <f>PasteHashtag!F71</f>
        <v>69</v>
      </c>
      <c r="G71" s="2">
        <f>PasteHashtag!G71</f>
        <v>26.1</v>
      </c>
      <c r="H71" s="2">
        <f>MID(PasteHashtag!H71,1+FIND("(",PasteHashtag!H71),FIND("/",PasteHashtag!H71)-FIND("(",PasteHashtag!H71)-1)*1</f>
        <v>4.2</v>
      </c>
      <c r="I71" s="2">
        <f>LEFT(PasteHashtag!H71,FIND("(",PasteHashtag!H71)-1)*1</f>
        <v>0.662</v>
      </c>
      <c r="J71" s="2">
        <f>MID(PasteHashtag!I71,1+FIND("(",PasteHashtag!I71),FIND("/",PasteHashtag!I71)-FIND("(",PasteHashtag!I71)-1)*1</f>
        <v>1.1</v>
      </c>
      <c r="K71" s="2">
        <f>LEFT(PasteHashtag!I71,FIND("(",PasteHashtag!I71)-1)*1</f>
        <v>0.577</v>
      </c>
      <c r="L71" s="2">
        <f>PasteHashtag!J71</f>
        <v>0</v>
      </c>
      <c r="M71" s="2">
        <f>PasteHashtag!K71</f>
        <v>9.5</v>
      </c>
      <c r="N71" s="2">
        <f>PasteHashtag!L71</f>
        <v>8.7</v>
      </c>
      <c r="O71" s="2">
        <f>PasteHashtag!M71</f>
        <v>1</v>
      </c>
      <c r="P71" s="2">
        <f>PasteHashtag!N71</f>
        <v>0.4</v>
      </c>
      <c r="Q71" s="2">
        <f>PasteHashtag!O71</f>
        <v>2.5</v>
      </c>
      <c r="R71" s="2">
        <f>PasteHashtag!P71</f>
        <v>1</v>
      </c>
      <c r="S71" s="2">
        <f>Mid(PasteHashtag!H71,FIND("/",PasteHashtag!H71)+1,LEN(PasteHashtag!H71)-FIND("/",PasteHashtag!H71)-1)*1</f>
        <v>6.3</v>
      </c>
      <c r="T71" s="344">
        <f>Mid(PasteHashtag!I71,FIND("/",PasteHashtag!I71)+1,LEN(PasteHashtag!I71)-FIND("/",PasteHashtag!I71)-1)*1</f>
        <v>1.9</v>
      </c>
      <c r="U71" s="11"/>
      <c r="V71" s="11"/>
      <c r="W71" s="11"/>
    </row>
    <row r="72">
      <c r="A72" s="2">
        <v>71.0</v>
      </c>
      <c r="B72" s="2">
        <f>PasteHashtag!B72</f>
        <v>54.7</v>
      </c>
      <c r="C72" s="343" t="str">
        <f>PasteHashtag!C72</f>
        <v>Mikal Bridges</v>
      </c>
      <c r="D72" s="2" t="str">
        <f>PasteHashtag!D72</f>
        <v>SG,SF,PF</v>
      </c>
      <c r="E72" s="2" t="str">
        <f>PasteHashtag!E72</f>
        <v>NY</v>
      </c>
      <c r="F72" s="2">
        <f>PasteHashtag!F72</f>
        <v>78</v>
      </c>
      <c r="G72" s="2">
        <f>PasteHashtag!G72</f>
        <v>34</v>
      </c>
      <c r="H72" s="2">
        <f>MID(PasteHashtag!H72,1+FIND("(",PasteHashtag!H72),FIND("/",PasteHashtag!H72)-FIND("(",PasteHashtag!H72)-1)*1</f>
        <v>5.5</v>
      </c>
      <c r="I72" s="2">
        <f>LEFT(PasteHashtag!H72,FIND("(",PasteHashtag!H72)-1)*1</f>
        <v>0.454</v>
      </c>
      <c r="J72" s="2">
        <f>MID(PasteHashtag!I72,1+FIND("(",PasteHashtag!I72),FIND("/",PasteHashtag!I72)-FIND("(",PasteHashtag!I72)-1)*1</f>
        <v>2.7</v>
      </c>
      <c r="K72" s="2">
        <f>LEFT(PasteHashtag!I72,FIND("(",PasteHashtag!I72)-1)*1</f>
        <v>0.827</v>
      </c>
      <c r="L72" s="2">
        <f>PasteHashtag!J72</f>
        <v>2.4</v>
      </c>
      <c r="M72" s="2">
        <f>PasteHashtag!K72</f>
        <v>16</v>
      </c>
      <c r="N72" s="2">
        <f>PasteHashtag!L72</f>
        <v>4.1</v>
      </c>
      <c r="O72" s="2">
        <f>PasteHashtag!M72</f>
        <v>3.2</v>
      </c>
      <c r="P72" s="2">
        <f>PasteHashtag!N72</f>
        <v>1.1</v>
      </c>
      <c r="Q72" s="2">
        <f>PasteHashtag!O72</f>
        <v>0.7</v>
      </c>
      <c r="R72" s="2">
        <f>PasteHashtag!P72</f>
        <v>1.6</v>
      </c>
      <c r="S72" s="2">
        <f>Mid(PasteHashtag!H72,FIND("/",PasteHashtag!H72)+1,LEN(PasteHashtag!H72)-FIND("/",PasteHashtag!H72)-1)*1</f>
        <v>12</v>
      </c>
      <c r="T72" s="344">
        <f>Mid(PasteHashtag!I72,FIND("/",PasteHashtag!I72)+1,LEN(PasteHashtag!I72)-FIND("/",PasteHashtag!I72)-1)*1</f>
        <v>3.2</v>
      </c>
      <c r="U72" s="11"/>
      <c r="V72" s="11"/>
      <c r="W72" s="11"/>
    </row>
    <row r="73">
      <c r="A73" s="2">
        <v>72.0</v>
      </c>
      <c r="B73" s="2">
        <f>PasteHashtag!B73</f>
        <v>69.9</v>
      </c>
      <c r="C73" s="343" t="str">
        <f>PasteHashtag!C73</f>
        <v>Brandon Ingram</v>
      </c>
      <c r="D73" s="2" t="str">
        <f>PasteHashtag!D73</f>
        <v>SG,SF,PF</v>
      </c>
      <c r="E73" s="2" t="str">
        <f>PasteHashtag!E73</f>
        <v>NO</v>
      </c>
      <c r="F73" s="2">
        <f>PasteHashtag!F73</f>
        <v>60</v>
      </c>
      <c r="G73" s="2">
        <f>PasteHashtag!G73</f>
        <v>31.8</v>
      </c>
      <c r="H73" s="2">
        <f>MID(PasteHashtag!H73,1+FIND("(",PasteHashtag!H73),FIND("/",PasteHashtag!H73)-FIND("(",PasteHashtag!H73)-1)*1</f>
        <v>7.5</v>
      </c>
      <c r="I73" s="2">
        <f>LEFT(PasteHashtag!H73,FIND("(",PasteHashtag!H73)-1)*1</f>
        <v>0.492</v>
      </c>
      <c r="J73" s="2">
        <f>MID(PasteHashtag!I73,1+FIND("(",PasteHashtag!I73),FIND("/",PasteHashtag!I73)-FIND("(",PasteHashtag!I73)-1)*1</f>
        <v>3.8</v>
      </c>
      <c r="K73" s="2">
        <f>LEFT(PasteHashtag!I73,FIND("(",PasteHashtag!I73)-1)*1</f>
        <v>0.812</v>
      </c>
      <c r="L73" s="2">
        <f>PasteHashtag!J73</f>
        <v>1.3</v>
      </c>
      <c r="M73" s="2">
        <f>PasteHashtag!K73</f>
        <v>20.1</v>
      </c>
      <c r="N73" s="2">
        <f>PasteHashtag!L73</f>
        <v>4.8</v>
      </c>
      <c r="O73" s="2">
        <f>PasteHashtag!M73</f>
        <v>4.6</v>
      </c>
      <c r="P73" s="2">
        <f>PasteHashtag!N73</f>
        <v>0.8</v>
      </c>
      <c r="Q73" s="2">
        <f>PasteHashtag!O73</f>
        <v>0.6</v>
      </c>
      <c r="R73" s="2">
        <f>PasteHashtag!P73</f>
        <v>2.3</v>
      </c>
      <c r="S73" s="2">
        <f>Mid(PasteHashtag!H73,FIND("/",PasteHashtag!H73)+1,LEN(PasteHashtag!H73)-FIND("/",PasteHashtag!H73)-1)*1</f>
        <v>15.3</v>
      </c>
      <c r="T73" s="344">
        <f>Mid(PasteHashtag!I73,FIND("/",PasteHashtag!I73)+1,LEN(PasteHashtag!I73)-FIND("/",PasteHashtag!I73)-1)*1</f>
        <v>4.7</v>
      </c>
      <c r="U73" s="11"/>
      <c r="V73" s="11"/>
      <c r="W73" s="11"/>
    </row>
    <row r="74">
      <c r="A74" s="2">
        <v>73.0</v>
      </c>
      <c r="B74" s="2">
        <f>PasteHashtag!B74</f>
        <v>82</v>
      </c>
      <c r="C74" s="343" t="str">
        <f>PasteHashtag!C74</f>
        <v>Devin Vassell</v>
      </c>
      <c r="D74" s="2" t="str">
        <f>PasteHashtag!D74</f>
        <v>SG,SF</v>
      </c>
      <c r="E74" s="2" t="str">
        <f>PasteHashtag!E74</f>
        <v>SA</v>
      </c>
      <c r="F74" s="2">
        <f>PasteHashtag!F74</f>
        <v>58</v>
      </c>
      <c r="G74" s="2">
        <f>PasteHashtag!G74</f>
        <v>32.5</v>
      </c>
      <c r="H74" s="2">
        <f>MID(PasteHashtag!H74,1+FIND("(",PasteHashtag!H74),FIND("/",PasteHashtag!H74)-FIND("(",PasteHashtag!H74)-1)*1</f>
        <v>7.3</v>
      </c>
      <c r="I74" s="2">
        <f>LEFT(PasteHashtag!H74,FIND("(",PasteHashtag!H74)-1)*1</f>
        <v>0.46</v>
      </c>
      <c r="J74" s="2">
        <f>MID(PasteHashtag!I74,1+FIND("(",PasteHashtag!I74),FIND("/",PasteHashtag!I74)-FIND("(",PasteHashtag!I74)-1)*1</f>
        <v>2.3</v>
      </c>
      <c r="K74" s="2">
        <f>LEFT(PasteHashtag!I74,FIND("(",PasteHashtag!I74)-1)*1</f>
        <v>0.801</v>
      </c>
      <c r="L74" s="2">
        <f>PasteHashtag!J74</f>
        <v>2.6</v>
      </c>
      <c r="M74" s="2">
        <f>PasteHashtag!K74</f>
        <v>19.4</v>
      </c>
      <c r="N74" s="2">
        <f>PasteHashtag!L74</f>
        <v>3.9</v>
      </c>
      <c r="O74" s="2">
        <f>PasteHashtag!M74</f>
        <v>4</v>
      </c>
      <c r="P74" s="2">
        <f>PasteHashtag!N74</f>
        <v>1.1</v>
      </c>
      <c r="Q74" s="2">
        <f>PasteHashtag!O74</f>
        <v>0.4</v>
      </c>
      <c r="R74" s="2">
        <f>PasteHashtag!P74</f>
        <v>1.6</v>
      </c>
      <c r="S74" s="2">
        <f>Mid(PasteHashtag!H74,FIND("/",PasteHashtag!H74)+1,LEN(PasteHashtag!H74)-FIND("/",PasteHashtag!H74)-1)*1</f>
        <v>15.8</v>
      </c>
      <c r="T74" s="344">
        <f>Mid(PasteHashtag!I74,FIND("/",PasteHashtag!I74)+1,LEN(PasteHashtag!I74)-FIND("/",PasteHashtag!I74)-1)*1</f>
        <v>2.9</v>
      </c>
      <c r="U74" s="11"/>
      <c r="V74" s="11"/>
      <c r="W74" s="11"/>
    </row>
    <row r="75">
      <c r="A75" s="2">
        <v>74.0</v>
      </c>
      <c r="B75" s="2">
        <f>PasteHashtag!B75</f>
        <v>79.7</v>
      </c>
      <c r="C75" s="343" t="str">
        <f>PasteHashtag!C75</f>
        <v>Anfernee Simons</v>
      </c>
      <c r="D75" s="2" t="str">
        <f>PasteHashtag!D75</f>
        <v>PG,SG</v>
      </c>
      <c r="E75" s="2" t="str">
        <f>PasteHashtag!E75</f>
        <v>POR</v>
      </c>
      <c r="F75" s="2">
        <f>PasteHashtag!F75</f>
        <v>60</v>
      </c>
      <c r="G75" s="2">
        <f>PasteHashtag!G75</f>
        <v>33.9</v>
      </c>
      <c r="H75" s="2">
        <f>MID(PasteHashtag!H75,1+FIND("(",PasteHashtag!H75),FIND("/",PasteHashtag!H75)-FIND("(",PasteHashtag!H75)-1)*1</f>
        <v>7.6</v>
      </c>
      <c r="I75" s="2">
        <f>LEFT(PasteHashtag!H75,FIND("(",PasteHashtag!H75)-1)*1</f>
        <v>0.44</v>
      </c>
      <c r="J75" s="2">
        <f>MID(PasteHashtag!I75,1+FIND("(",PasteHashtag!I75),FIND("/",PasteHashtag!I75)-FIND("(",PasteHashtag!I75)-1)*1</f>
        <v>3</v>
      </c>
      <c r="K75" s="2">
        <f>LEFT(PasteHashtag!I75,FIND("(",PasteHashtag!I75)-1)*1</f>
        <v>0.905</v>
      </c>
      <c r="L75" s="2">
        <f>PasteHashtag!J75</f>
        <v>3.4</v>
      </c>
      <c r="M75" s="2">
        <f>PasteHashtag!K75</f>
        <v>21.4</v>
      </c>
      <c r="N75" s="2">
        <f>PasteHashtag!L75</f>
        <v>3</v>
      </c>
      <c r="O75" s="2">
        <f>PasteHashtag!M75</f>
        <v>4.9</v>
      </c>
      <c r="P75" s="2">
        <f>PasteHashtag!N75</f>
        <v>0.6</v>
      </c>
      <c r="Q75" s="2">
        <f>PasteHashtag!O75</f>
        <v>0.2</v>
      </c>
      <c r="R75" s="2">
        <f>PasteHashtag!P75</f>
        <v>2.3</v>
      </c>
      <c r="S75" s="2">
        <f>Mid(PasteHashtag!H75,FIND("/",PasteHashtag!H75)+1,LEN(PasteHashtag!H75)-FIND("/",PasteHashtag!H75)-1)*1</f>
        <v>17.2</v>
      </c>
      <c r="T75" s="344">
        <f>Mid(PasteHashtag!I75,FIND("/",PasteHashtag!I75)+1,LEN(PasteHashtag!I75)-FIND("/",PasteHashtag!I75)-1)*1</f>
        <v>3.3</v>
      </c>
      <c r="U75" s="11"/>
      <c r="V75" s="11"/>
      <c r="W75" s="11"/>
    </row>
    <row r="76">
      <c r="A76" s="2">
        <v>75.0</v>
      </c>
      <c r="B76" s="2">
        <f>PasteHashtag!B76</f>
        <v>108.3</v>
      </c>
      <c r="C76" s="343" t="str">
        <f>PasteHashtag!C76</f>
        <v>Dereck Lively II</v>
      </c>
      <c r="D76" s="2" t="str">
        <f>PasteHashtag!D76</f>
        <v>C</v>
      </c>
      <c r="E76" s="2" t="str">
        <f>PasteHashtag!E76</f>
        <v>DAL</v>
      </c>
      <c r="F76" s="2">
        <f>PasteHashtag!F76</f>
        <v>67</v>
      </c>
      <c r="G76" s="2">
        <f>PasteHashtag!G76</f>
        <v>25.8</v>
      </c>
      <c r="H76" s="2">
        <f>MID(PasteHashtag!H76,1+FIND("(",PasteHashtag!H76),FIND("/",PasteHashtag!H76)-FIND("(",PasteHashtag!H76)-1)*1</f>
        <v>4.7</v>
      </c>
      <c r="I76" s="2">
        <f>LEFT(PasteHashtag!H76,FIND("(",PasteHashtag!H76)-1)*1</f>
        <v>0.738</v>
      </c>
      <c r="J76" s="2">
        <f>MID(PasteHashtag!I76,1+FIND("(",PasteHashtag!I76),FIND("/",PasteHashtag!I76)-FIND("(",PasteHashtag!I76)-1)*1</f>
        <v>0.8</v>
      </c>
      <c r="K76" s="2">
        <f>LEFT(PasteHashtag!I76,FIND("(",PasteHashtag!I76)-1)*1</f>
        <v>0.535</v>
      </c>
      <c r="L76" s="2">
        <f>PasteHashtag!J76</f>
        <v>0</v>
      </c>
      <c r="M76" s="2">
        <f>PasteHashtag!K76</f>
        <v>10.1</v>
      </c>
      <c r="N76" s="2">
        <f>PasteHashtag!L76</f>
        <v>7.9</v>
      </c>
      <c r="O76" s="2">
        <f>PasteHashtag!M76</f>
        <v>1.5</v>
      </c>
      <c r="P76" s="2">
        <f>PasteHashtag!N76</f>
        <v>0.8</v>
      </c>
      <c r="Q76" s="2">
        <f>PasteHashtag!O76</f>
        <v>1.6</v>
      </c>
      <c r="R76" s="2">
        <f>PasteHashtag!P76</f>
        <v>1</v>
      </c>
      <c r="S76" s="2">
        <f>Mid(PasteHashtag!H76,FIND("/",PasteHashtag!H76)+1,LEN(PasteHashtag!H76)-FIND("/",PasteHashtag!H76)-1)*1</f>
        <v>6.3</v>
      </c>
      <c r="T76" s="344">
        <f>Mid(PasteHashtag!I76,FIND("/",PasteHashtag!I76)+1,LEN(PasteHashtag!I76)-FIND("/",PasteHashtag!I76)-1)*1</f>
        <v>1.6</v>
      </c>
      <c r="U76" s="11"/>
      <c r="V76" s="11"/>
      <c r="W76" s="11"/>
    </row>
    <row r="77">
      <c r="A77" s="2">
        <v>76.0</v>
      </c>
      <c r="B77" s="2">
        <f>PasteHashtag!B77</f>
        <v>94.9</v>
      </c>
      <c r="C77" s="343" t="str">
        <f>PasteHashtag!C77</f>
        <v>Collin Sexton</v>
      </c>
      <c r="D77" s="2" t="str">
        <f>PasteHashtag!D77</f>
        <v>PG,SG</v>
      </c>
      <c r="E77" s="2" t="str">
        <f>PasteHashtag!E77</f>
        <v>UTA</v>
      </c>
      <c r="F77" s="2">
        <f>PasteHashtag!F77</f>
        <v>70</v>
      </c>
      <c r="G77" s="2">
        <f>PasteHashtag!G77</f>
        <v>30.7</v>
      </c>
      <c r="H77" s="2">
        <f>MID(PasteHashtag!H77,1+FIND("(",PasteHashtag!H77),FIND("/",PasteHashtag!H77)-FIND("(",PasteHashtag!H77)-1)*1</f>
        <v>6.9</v>
      </c>
      <c r="I77" s="2">
        <f>LEFT(PasteHashtag!H77,FIND("(",PasteHashtag!H77)-1)*1</f>
        <v>0.487</v>
      </c>
      <c r="J77" s="2">
        <f>MID(PasteHashtag!I77,1+FIND("(",PasteHashtag!I77),FIND("/",PasteHashtag!I77)-FIND("(",PasteHashtag!I77)-1)*1</f>
        <v>4.5</v>
      </c>
      <c r="K77" s="2">
        <f>LEFT(PasteHashtag!I77,FIND("(",PasteHashtag!I77)-1)*1</f>
        <v>0.843</v>
      </c>
      <c r="L77" s="2">
        <f>PasteHashtag!J77</f>
        <v>1.7</v>
      </c>
      <c r="M77" s="2">
        <f>PasteHashtag!K77</f>
        <v>20</v>
      </c>
      <c r="N77" s="2">
        <f>PasteHashtag!L77</f>
        <v>2.9</v>
      </c>
      <c r="O77" s="2">
        <f>PasteHashtag!M77</f>
        <v>4.9</v>
      </c>
      <c r="P77" s="2">
        <f>PasteHashtag!N77</f>
        <v>0.8</v>
      </c>
      <c r="Q77" s="2">
        <f>PasteHashtag!O77</f>
        <v>0.2</v>
      </c>
      <c r="R77" s="2">
        <f>PasteHashtag!P77</f>
        <v>2.4</v>
      </c>
      <c r="S77" s="2">
        <f>Mid(PasteHashtag!H77,FIND("/",PasteHashtag!H77)+1,LEN(PasteHashtag!H77)-FIND("/",PasteHashtag!H77)-1)*1</f>
        <v>14.2</v>
      </c>
      <c r="T77" s="344">
        <f>Mid(PasteHashtag!I77,FIND("/",PasteHashtag!I77)+1,LEN(PasteHashtag!I77)-FIND("/",PasteHashtag!I77)-1)*1</f>
        <v>5.4</v>
      </c>
      <c r="U77" s="11"/>
      <c r="V77" s="11"/>
      <c r="W77" s="11"/>
    </row>
    <row r="78">
      <c r="A78" s="2">
        <v>77.0</v>
      </c>
      <c r="B78" s="2">
        <f>PasteHashtag!B78</f>
        <v>67.4</v>
      </c>
      <c r="C78" s="343" t="str">
        <f>PasteHashtag!C78</f>
        <v>Josh Giddey</v>
      </c>
      <c r="D78" s="2" t="str">
        <f>PasteHashtag!D78</f>
        <v>SG,SF</v>
      </c>
      <c r="E78" s="2" t="str">
        <f>PasteHashtag!E78</f>
        <v>CHI</v>
      </c>
      <c r="F78" s="2">
        <f>PasteHashtag!F78</f>
        <v>78</v>
      </c>
      <c r="G78" s="2">
        <f>PasteHashtag!G78</f>
        <v>31</v>
      </c>
      <c r="H78" s="2">
        <f>MID(PasteHashtag!H78,1+FIND("(",PasteHashtag!H78),FIND("/",PasteHashtag!H78)-FIND("(",PasteHashtag!H78)-1)*1</f>
        <v>6.7</v>
      </c>
      <c r="I78" s="2">
        <f>LEFT(PasteHashtag!H78,FIND("(",PasteHashtag!H78)-1)*1</f>
        <v>0.479</v>
      </c>
      <c r="J78" s="2">
        <f>MID(PasteHashtag!I78,1+FIND("(",PasteHashtag!I78),FIND("/",PasteHashtag!I78)-FIND("(",PasteHashtag!I78)-1)*1</f>
        <v>1.5</v>
      </c>
      <c r="K78" s="2">
        <f>LEFT(PasteHashtag!I78,FIND("(",PasteHashtag!I78)-1)*1</f>
        <v>0.795</v>
      </c>
      <c r="L78" s="2">
        <f>PasteHashtag!J78</f>
        <v>1.1</v>
      </c>
      <c r="M78" s="2">
        <f>PasteHashtag!K78</f>
        <v>16.1</v>
      </c>
      <c r="N78" s="2">
        <f>PasteHashtag!L78</f>
        <v>7.4</v>
      </c>
      <c r="O78" s="2">
        <f>PasteHashtag!M78</f>
        <v>6.1</v>
      </c>
      <c r="P78" s="2">
        <f>PasteHashtag!N78</f>
        <v>0.8</v>
      </c>
      <c r="Q78" s="2">
        <f>PasteHashtag!O78</f>
        <v>0.5</v>
      </c>
      <c r="R78" s="2">
        <f>PasteHashtag!P78</f>
        <v>2.7</v>
      </c>
      <c r="S78" s="2">
        <f>Mid(PasteHashtag!H78,FIND("/",PasteHashtag!H78)+1,LEN(PasteHashtag!H78)-FIND("/",PasteHashtag!H78)-1)*1</f>
        <v>14.1</v>
      </c>
      <c r="T78" s="344">
        <f>Mid(PasteHashtag!I78,FIND("/",PasteHashtag!I78)+1,LEN(PasteHashtag!I78)-FIND("/",PasteHashtag!I78)-1)*1</f>
        <v>1.9</v>
      </c>
      <c r="U78" s="11"/>
      <c r="V78" s="11"/>
      <c r="W78" s="11"/>
    </row>
    <row r="79">
      <c r="A79" s="2">
        <v>78.0</v>
      </c>
      <c r="B79" s="2">
        <f>PasteHashtag!B79</f>
        <v>99.3</v>
      </c>
      <c r="C79" s="343" t="str">
        <f>PasteHashtag!C79</f>
        <v>Mark Williams</v>
      </c>
      <c r="D79" s="2" t="str">
        <f>PasteHashtag!D79</f>
        <v>C</v>
      </c>
      <c r="E79" s="2" t="str">
        <f>PasteHashtag!E79</f>
        <v>CHA</v>
      </c>
      <c r="F79" s="2">
        <f>PasteHashtag!F79</f>
        <v>55</v>
      </c>
      <c r="G79" s="2">
        <f>PasteHashtag!G79</f>
        <v>26.8</v>
      </c>
      <c r="H79" s="2">
        <f>MID(PasteHashtag!H79,1+FIND("(",PasteHashtag!H79),FIND("/",PasteHashtag!H79)-FIND("(",PasteHashtag!H79)-1)*1</f>
        <v>5.1</v>
      </c>
      <c r="I79" s="2">
        <f>LEFT(PasteHashtag!H79,FIND("(",PasteHashtag!H79)-1)*1</f>
        <v>0.641</v>
      </c>
      <c r="J79" s="2">
        <f>MID(PasteHashtag!I79,1+FIND("(",PasteHashtag!I79),FIND("/",PasteHashtag!I79)-FIND("(",PasteHashtag!I79)-1)*1</f>
        <v>2.3</v>
      </c>
      <c r="K79" s="2">
        <f>LEFT(PasteHashtag!I79,FIND("(",PasteHashtag!I79)-1)*1</f>
        <v>0.704</v>
      </c>
      <c r="L79" s="2">
        <f>PasteHashtag!J79</f>
        <v>0</v>
      </c>
      <c r="M79" s="2">
        <f>PasteHashtag!K79</f>
        <v>12.6</v>
      </c>
      <c r="N79" s="2">
        <f>PasteHashtag!L79</f>
        <v>9.7</v>
      </c>
      <c r="O79" s="2">
        <f>PasteHashtag!M79</f>
        <v>0.8</v>
      </c>
      <c r="P79" s="2">
        <f>PasteHashtag!N79</f>
        <v>0.9</v>
      </c>
      <c r="Q79" s="2">
        <f>PasteHashtag!O79</f>
        <v>1.2</v>
      </c>
      <c r="R79" s="2">
        <f>PasteHashtag!P79</f>
        <v>1.1</v>
      </c>
      <c r="S79" s="2">
        <f>Mid(PasteHashtag!H79,FIND("/",PasteHashtag!H79)+1,LEN(PasteHashtag!H79)-FIND("/",PasteHashtag!H79)-1)*1</f>
        <v>8</v>
      </c>
      <c r="T79" s="344">
        <f>Mid(PasteHashtag!I79,FIND("/",PasteHashtag!I79)+1,LEN(PasteHashtag!I79)-FIND("/",PasteHashtag!I79)-1)*1</f>
        <v>3.2</v>
      </c>
      <c r="U79" s="11"/>
      <c r="V79" s="11"/>
      <c r="W79" s="11"/>
    </row>
    <row r="80">
      <c r="A80" s="2">
        <v>79.0</v>
      </c>
      <c r="B80" s="2">
        <f>PasteHashtag!B80</f>
        <v>101.8</v>
      </c>
      <c r="C80" s="343" t="str">
        <f>PasteHashtag!C80</f>
        <v>Jalen Suggs</v>
      </c>
      <c r="D80" s="2" t="str">
        <f>PasteHashtag!D80</f>
        <v>PG,SG</v>
      </c>
      <c r="E80" s="2" t="str">
        <f>PasteHashtag!E80</f>
        <v>ORL</v>
      </c>
      <c r="F80" s="2">
        <f>PasteHashtag!F80</f>
        <v>72</v>
      </c>
      <c r="G80" s="2">
        <f>PasteHashtag!G80</f>
        <v>30</v>
      </c>
      <c r="H80" s="2">
        <f>MID(PasteHashtag!H80,1+FIND("(",PasteHashtag!H80),FIND("/",PasteHashtag!H80)-FIND("(",PasteHashtag!H80)-1)*1</f>
        <v>5</v>
      </c>
      <c r="I80" s="2">
        <f>LEFT(PasteHashtag!H80,FIND("(",PasteHashtag!H80)-1)*1</f>
        <v>0.465</v>
      </c>
      <c r="J80" s="2">
        <f>MID(PasteHashtag!I80,1+FIND("(",PasteHashtag!I80),FIND("/",PasteHashtag!I80)-FIND("(",PasteHashtag!I80)-1)*1</f>
        <v>1.8</v>
      </c>
      <c r="K80" s="2">
        <f>LEFT(PasteHashtag!I80,FIND("(",PasteHashtag!I80)-1)*1</f>
        <v>0.758</v>
      </c>
      <c r="L80" s="2">
        <f>PasteHashtag!J80</f>
        <v>2.2</v>
      </c>
      <c r="M80" s="2">
        <f>PasteHashtag!K80</f>
        <v>14</v>
      </c>
      <c r="N80" s="2">
        <f>PasteHashtag!L80</f>
        <v>3.5</v>
      </c>
      <c r="O80" s="2">
        <f>PasteHashtag!M80</f>
        <v>3.6</v>
      </c>
      <c r="P80" s="2">
        <f>PasteHashtag!N80</f>
        <v>1.6</v>
      </c>
      <c r="Q80" s="2">
        <f>PasteHashtag!O80</f>
        <v>0.7</v>
      </c>
      <c r="R80" s="2">
        <f>PasteHashtag!P80</f>
        <v>2</v>
      </c>
      <c r="S80" s="2">
        <f>Mid(PasteHashtag!H80,FIND("/",PasteHashtag!H80)+1,LEN(PasteHashtag!H80)-FIND("/",PasteHashtag!H80)-1)*1</f>
        <v>10.7</v>
      </c>
      <c r="T80" s="344">
        <f>Mid(PasteHashtag!I80,FIND("/",PasteHashtag!I80)+1,LEN(PasteHashtag!I80)-FIND("/",PasteHashtag!I80)-1)*1</f>
        <v>2.4</v>
      </c>
      <c r="U80" s="11"/>
      <c r="V80" s="11"/>
      <c r="W80" s="11"/>
    </row>
    <row r="81">
      <c r="A81" s="2">
        <v>80.0</v>
      </c>
      <c r="B81" s="2">
        <f>PasteHashtag!B81</f>
        <v>80.8</v>
      </c>
      <c r="C81" s="343" t="str">
        <f>PasteHashtag!C81</f>
        <v>Jabari Smith Jr.</v>
      </c>
      <c r="D81" s="2" t="str">
        <f>PasteHashtag!D81</f>
        <v>PF,C</v>
      </c>
      <c r="E81" s="2" t="str">
        <f>PasteHashtag!E81</f>
        <v>HOU</v>
      </c>
      <c r="F81" s="2">
        <f>PasteHashtag!F81</f>
        <v>78</v>
      </c>
      <c r="G81" s="2">
        <f>PasteHashtag!G81</f>
        <v>32.2</v>
      </c>
      <c r="H81" s="2">
        <f>MID(PasteHashtag!H81,1+FIND("(",PasteHashtag!H81),FIND("/",PasteHashtag!H81)-FIND("(",PasteHashtag!H81)-1)*1</f>
        <v>5</v>
      </c>
      <c r="I81" s="2">
        <f>LEFT(PasteHashtag!H81,FIND("(",PasteHashtag!H81)-1)*1</f>
        <v>0.463</v>
      </c>
      <c r="J81" s="2">
        <f>MID(PasteHashtag!I81,1+FIND("(",PasteHashtag!I81),FIND("/",PasteHashtag!I81)-FIND("(",PasteHashtag!I81)-1)*1</f>
        <v>2.1</v>
      </c>
      <c r="K81" s="2">
        <f>LEFT(PasteHashtag!I81,FIND("(",PasteHashtag!I81)-1)*1</f>
        <v>0.824</v>
      </c>
      <c r="L81" s="2">
        <f>PasteHashtag!J81</f>
        <v>1.9</v>
      </c>
      <c r="M81" s="2">
        <f>PasteHashtag!K81</f>
        <v>14</v>
      </c>
      <c r="N81" s="2">
        <f>PasteHashtag!L81</f>
        <v>8.4</v>
      </c>
      <c r="O81" s="2">
        <f>PasteHashtag!M81</f>
        <v>1.5</v>
      </c>
      <c r="P81" s="2">
        <f>PasteHashtag!N81</f>
        <v>0.8</v>
      </c>
      <c r="Q81" s="2">
        <f>PasteHashtag!O81</f>
        <v>0.9</v>
      </c>
      <c r="R81" s="2">
        <f>PasteHashtag!P81</f>
        <v>1.3</v>
      </c>
      <c r="S81" s="2">
        <f>Mid(PasteHashtag!H81,FIND("/",PasteHashtag!H81)+1,LEN(PasteHashtag!H81)-FIND("/",PasteHashtag!H81)-1)*1</f>
        <v>10.8</v>
      </c>
      <c r="T81" s="344">
        <f>Mid(PasteHashtag!I81,FIND("/",PasteHashtag!I81)+1,LEN(PasteHashtag!I81)-FIND("/",PasteHashtag!I81)-1)*1</f>
        <v>2.6</v>
      </c>
      <c r="U81" s="11"/>
      <c r="V81" s="11"/>
      <c r="W81" s="11"/>
    </row>
    <row r="82">
      <c r="A82" s="2">
        <v>81.0</v>
      </c>
      <c r="B82" s="2">
        <f>PasteHashtag!B82</f>
        <v>138.9</v>
      </c>
      <c r="C82" s="343" t="str">
        <f>PasteHashtag!C82</f>
        <v>Taylor Hendricks</v>
      </c>
      <c r="D82" s="2" t="str">
        <f>PasteHashtag!D82</f>
        <v>SF,PF</v>
      </c>
      <c r="E82" s="2" t="str">
        <f>PasteHashtag!E82</f>
        <v>UTA</v>
      </c>
      <c r="F82" s="2">
        <f>PasteHashtag!F82</f>
        <v>68</v>
      </c>
      <c r="G82" s="2">
        <f>PasteHashtag!G82</f>
        <v>29.7</v>
      </c>
      <c r="H82" s="2">
        <f>MID(PasteHashtag!H82,1+FIND("(",PasteHashtag!H82),FIND("/",PasteHashtag!H82)-FIND("(",PasteHashtag!H82)-1)*1</f>
        <v>4.3</v>
      </c>
      <c r="I82" s="2">
        <f>LEFT(PasteHashtag!H82,FIND("(",PasteHashtag!H82)-1)*1</f>
        <v>0.471</v>
      </c>
      <c r="J82" s="2">
        <f>MID(PasteHashtag!I82,1+FIND("(",PasteHashtag!I82),FIND("/",PasteHashtag!I82)-FIND("(",PasteHashtag!I82)-1)*1</f>
        <v>0.9</v>
      </c>
      <c r="K82" s="2">
        <f>LEFT(PasteHashtag!I82,FIND("(",PasteHashtag!I82)-1)*1</f>
        <v>0.798</v>
      </c>
      <c r="L82" s="2">
        <f>PasteHashtag!J82</f>
        <v>2</v>
      </c>
      <c r="M82" s="2">
        <f>PasteHashtag!K82</f>
        <v>11.4</v>
      </c>
      <c r="N82" s="2">
        <f>PasteHashtag!L82</f>
        <v>7</v>
      </c>
      <c r="O82" s="2">
        <f>PasteHashtag!M82</f>
        <v>1.2</v>
      </c>
      <c r="P82" s="2">
        <f>PasteHashtag!N82</f>
        <v>1.1</v>
      </c>
      <c r="Q82" s="2">
        <f>PasteHashtag!O82</f>
        <v>1.1</v>
      </c>
      <c r="R82" s="2">
        <f>PasteHashtag!P82</f>
        <v>1</v>
      </c>
      <c r="S82" s="2">
        <f>Mid(PasteHashtag!H82,FIND("/",PasteHashtag!H82)+1,LEN(PasteHashtag!H82)-FIND("/",PasteHashtag!H82)-1)*1</f>
        <v>9</v>
      </c>
      <c r="T82" s="344">
        <f>Mid(PasteHashtag!I82,FIND("/",PasteHashtag!I82)+1,LEN(PasteHashtag!I82)-FIND("/",PasteHashtag!I82)-1)*1</f>
        <v>1.1</v>
      </c>
      <c r="U82" s="11"/>
      <c r="V82" s="11"/>
      <c r="W82" s="11"/>
    </row>
    <row r="83">
      <c r="A83" s="2">
        <v>82.0</v>
      </c>
      <c r="B83" s="2">
        <f>PasteHashtag!B83</f>
        <v>90.4</v>
      </c>
      <c r="C83" s="343" t="str">
        <f>PasteHashtag!C83</f>
        <v>Bogdan Bogdanovic</v>
      </c>
      <c r="D83" s="2" t="str">
        <f>PasteHashtag!D83</f>
        <v>SG,SF</v>
      </c>
      <c r="E83" s="2" t="str">
        <f>PasteHashtag!E83</f>
        <v>ATL</v>
      </c>
      <c r="F83" s="2">
        <f>PasteHashtag!F83</f>
        <v>68</v>
      </c>
      <c r="G83" s="2">
        <f>PasteHashtag!G83</f>
        <v>30.2</v>
      </c>
      <c r="H83" s="2">
        <f>MID(PasteHashtag!H83,1+FIND("(",PasteHashtag!H83),FIND("/",PasteHashtag!H83)-FIND("(",PasteHashtag!H83)-1)*1</f>
        <v>6</v>
      </c>
      <c r="I83" s="2">
        <f>LEFT(PasteHashtag!H83,FIND("(",PasteHashtag!H83)-1)*1</f>
        <v>0.434</v>
      </c>
      <c r="J83" s="2">
        <f>MID(PasteHashtag!I83,1+FIND("(",PasteHashtag!I83),FIND("/",PasteHashtag!I83)-FIND("(",PasteHashtag!I83)-1)*1</f>
        <v>2</v>
      </c>
      <c r="K83" s="2">
        <f>LEFT(PasteHashtag!I83,FIND("(",PasteHashtag!I83)-1)*1</f>
        <v>0.889</v>
      </c>
      <c r="L83" s="2">
        <f>PasteHashtag!J83</f>
        <v>3.1</v>
      </c>
      <c r="M83" s="2">
        <f>PasteHashtag!K83</f>
        <v>17.1</v>
      </c>
      <c r="N83" s="2">
        <f>PasteHashtag!L83</f>
        <v>3.5</v>
      </c>
      <c r="O83" s="2">
        <f>PasteHashtag!M83</f>
        <v>3.2</v>
      </c>
      <c r="P83" s="2">
        <f>PasteHashtag!N83</f>
        <v>1.1</v>
      </c>
      <c r="Q83" s="2">
        <f>PasteHashtag!O83</f>
        <v>0.4</v>
      </c>
      <c r="R83" s="2">
        <f>PasteHashtag!P83</f>
        <v>1.4</v>
      </c>
      <c r="S83" s="2">
        <f>Mid(PasteHashtag!H83,FIND("/",PasteHashtag!H83)+1,LEN(PasteHashtag!H83)-FIND("/",PasteHashtag!H83)-1)*1</f>
        <v>13.7</v>
      </c>
      <c r="T83" s="344">
        <f>Mid(PasteHashtag!I83,FIND("/",PasteHashtag!I83)+1,LEN(PasteHashtag!I83)-FIND("/",PasteHashtag!I83)-1)*1</f>
        <v>2.3</v>
      </c>
      <c r="U83" s="11"/>
      <c r="V83" s="11"/>
      <c r="W83" s="11"/>
    </row>
    <row r="84">
      <c r="A84" s="2">
        <v>83.0</v>
      </c>
      <c r="B84" s="2">
        <f>PasteHashtag!B84</f>
        <v>34.6</v>
      </c>
      <c r="C84" s="343" t="str">
        <f>PasteHashtag!C84</f>
        <v>Paolo Banchero</v>
      </c>
      <c r="D84" s="2" t="str">
        <f>PasteHashtag!D84</f>
        <v>SF,PF</v>
      </c>
      <c r="E84" s="2" t="str">
        <f>PasteHashtag!E84</f>
        <v>ORL</v>
      </c>
      <c r="F84" s="2">
        <f>PasteHashtag!F84</f>
        <v>76</v>
      </c>
      <c r="G84" s="2">
        <f>PasteHashtag!G84</f>
        <v>35.1</v>
      </c>
      <c r="H84" s="2">
        <f>MID(PasteHashtag!H84,1+FIND("(",PasteHashtag!H84),FIND("/",PasteHashtag!H84)-FIND("(",PasteHashtag!H84)-1)*1</f>
        <v>8</v>
      </c>
      <c r="I84" s="2">
        <f>LEFT(PasteHashtag!H84,FIND("(",PasteHashtag!H84)-1)*1</f>
        <v>0.462</v>
      </c>
      <c r="J84" s="2">
        <f>MID(PasteHashtag!I84,1+FIND("(",PasteHashtag!I84),FIND("/",PasteHashtag!I84)-FIND("(",PasteHashtag!I84)-1)*1</f>
        <v>5.4</v>
      </c>
      <c r="K84" s="2">
        <f>LEFT(PasteHashtag!I84,FIND("(",PasteHashtag!I84)-1)*1</f>
        <v>0.731</v>
      </c>
      <c r="L84" s="2">
        <f>PasteHashtag!J84</f>
        <v>1.6</v>
      </c>
      <c r="M84" s="2">
        <f>PasteHashtag!K84</f>
        <v>23.1</v>
      </c>
      <c r="N84" s="2">
        <f>PasteHashtag!L84</f>
        <v>7.4</v>
      </c>
      <c r="O84" s="2">
        <f>PasteHashtag!M84</f>
        <v>5.7</v>
      </c>
      <c r="P84" s="2">
        <f>PasteHashtag!N84</f>
        <v>1</v>
      </c>
      <c r="Q84" s="2">
        <f>PasteHashtag!O84</f>
        <v>0.7</v>
      </c>
      <c r="R84" s="2">
        <f>PasteHashtag!P84</f>
        <v>3</v>
      </c>
      <c r="S84" s="2">
        <f>Mid(PasteHashtag!H84,FIND("/",PasteHashtag!H84)+1,LEN(PasteHashtag!H84)-FIND("/",PasteHashtag!H84)-1)*1</f>
        <v>17.4</v>
      </c>
      <c r="T84" s="344">
        <f>Mid(PasteHashtag!I84,FIND("/",PasteHashtag!I84)+1,LEN(PasteHashtag!I84)-FIND("/",PasteHashtag!I84)-1)*1</f>
        <v>7.4</v>
      </c>
      <c r="U84" s="11"/>
      <c r="V84" s="11"/>
      <c r="W84" s="11"/>
    </row>
    <row r="85">
      <c r="A85" s="2">
        <v>84.0</v>
      </c>
      <c r="B85" s="2">
        <f>PasteHashtag!B85</f>
        <v>87.2</v>
      </c>
      <c r="C85" s="343" t="str">
        <f>PasteHashtag!C85</f>
        <v>Austin Reaves</v>
      </c>
      <c r="D85" s="2" t="str">
        <f>PasteHashtag!D85</f>
        <v>PG,SG</v>
      </c>
      <c r="E85" s="2" t="str">
        <f>PasteHashtag!E85</f>
        <v>LAL</v>
      </c>
      <c r="F85" s="2">
        <f>PasteHashtag!F85</f>
        <v>72</v>
      </c>
      <c r="G85" s="2">
        <f>PasteHashtag!G85</f>
        <v>32.6</v>
      </c>
      <c r="H85" s="2">
        <f>MID(PasteHashtag!H85,1+FIND("(",PasteHashtag!H85),FIND("/",PasteHashtag!H85)-FIND("(",PasteHashtag!H85)-1)*1</f>
        <v>5.2</v>
      </c>
      <c r="I85" s="2">
        <f>LEFT(PasteHashtag!H85,FIND("(",PasteHashtag!H85)-1)*1</f>
        <v>0.482</v>
      </c>
      <c r="J85" s="2">
        <f>MID(PasteHashtag!I85,1+FIND("(",PasteHashtag!I85),FIND("/",PasteHashtag!I85)-FIND("(",PasteHashtag!I85)-1)*1</f>
        <v>3.4</v>
      </c>
      <c r="K85" s="2">
        <f>LEFT(PasteHashtag!I85,FIND("(",PasteHashtag!I85)-1)*1</f>
        <v>0.859</v>
      </c>
      <c r="L85" s="2">
        <f>PasteHashtag!J85</f>
        <v>2</v>
      </c>
      <c r="M85" s="2">
        <f>PasteHashtag!K85</f>
        <v>15.7</v>
      </c>
      <c r="N85" s="2">
        <f>PasteHashtag!L85</f>
        <v>4</v>
      </c>
      <c r="O85" s="2">
        <f>PasteHashtag!M85</f>
        <v>5.1</v>
      </c>
      <c r="P85" s="2">
        <f>PasteHashtag!N85</f>
        <v>0.8</v>
      </c>
      <c r="Q85" s="2">
        <f>PasteHashtag!O85</f>
        <v>0.3</v>
      </c>
      <c r="R85" s="2">
        <f>PasteHashtag!P85</f>
        <v>2</v>
      </c>
      <c r="S85" s="2">
        <f>Mid(PasteHashtag!H85,FIND("/",PasteHashtag!H85)+1,LEN(PasteHashtag!H85)-FIND("/",PasteHashtag!H85)-1)*1</f>
        <v>10.8</v>
      </c>
      <c r="T85" s="344">
        <f>Mid(PasteHashtag!I85,FIND("/",PasteHashtag!I85)+1,LEN(PasteHashtag!I85)-FIND("/",PasteHashtag!I85)-1)*1</f>
        <v>3.9</v>
      </c>
      <c r="U85" s="11"/>
      <c r="V85" s="11"/>
      <c r="W85" s="11"/>
    </row>
    <row r="86">
      <c r="A86" s="2">
        <v>85.0</v>
      </c>
      <c r="B86" s="2">
        <f>PasteHashtag!B86</f>
        <v>81</v>
      </c>
      <c r="C86" s="343" t="str">
        <f>PasteHashtag!C86</f>
        <v>Keegan Murray</v>
      </c>
      <c r="D86" s="2" t="str">
        <f>PasteHashtag!D86</f>
        <v>SF,PF</v>
      </c>
      <c r="E86" s="2" t="str">
        <f>PasteHashtag!E86</f>
        <v>SAC</v>
      </c>
      <c r="F86" s="2">
        <f>PasteHashtag!F86</f>
        <v>78</v>
      </c>
      <c r="G86" s="2">
        <f>PasteHashtag!G86</f>
        <v>33.5</v>
      </c>
      <c r="H86" s="2">
        <f>MID(PasteHashtag!H86,1+FIND("(",PasteHashtag!H86),FIND("/",PasteHashtag!H86)-FIND("(",PasteHashtag!H86)-1)*1</f>
        <v>5.4</v>
      </c>
      <c r="I86" s="2">
        <f>LEFT(PasteHashtag!H86,FIND("(",PasteHashtag!H86)-1)*1</f>
        <v>0.454</v>
      </c>
      <c r="J86" s="2">
        <f>MID(PasteHashtag!I86,1+FIND("(",PasteHashtag!I86),FIND("/",PasteHashtag!I86)-FIND("(",PasteHashtag!I86)-1)*1</f>
        <v>1.1</v>
      </c>
      <c r="K86" s="2">
        <f>LEFT(PasteHashtag!I86,FIND("(",PasteHashtag!I86)-1)*1</f>
        <v>0.836</v>
      </c>
      <c r="L86" s="2">
        <f>PasteHashtag!J86</f>
        <v>2.7</v>
      </c>
      <c r="M86" s="2">
        <f>PasteHashtag!K86</f>
        <v>14.6</v>
      </c>
      <c r="N86" s="2">
        <f>PasteHashtag!L86</f>
        <v>5.4</v>
      </c>
      <c r="O86" s="2">
        <f>PasteHashtag!M86</f>
        <v>1.6</v>
      </c>
      <c r="P86" s="2">
        <f>PasteHashtag!N86</f>
        <v>1</v>
      </c>
      <c r="Q86" s="2">
        <f>PasteHashtag!O86</f>
        <v>0.8</v>
      </c>
      <c r="R86" s="2">
        <f>PasteHashtag!P86</f>
        <v>0.8</v>
      </c>
      <c r="S86" s="2">
        <f>Mid(PasteHashtag!H86,FIND("/",PasteHashtag!H86)+1,LEN(PasteHashtag!H86)-FIND("/",PasteHashtag!H86)-1)*1</f>
        <v>12</v>
      </c>
      <c r="T86" s="344">
        <f>Mid(PasteHashtag!I86,FIND("/",PasteHashtag!I86)+1,LEN(PasteHashtag!I86)-FIND("/",PasteHashtag!I86)-1)*1</f>
        <v>1.3</v>
      </c>
      <c r="U86" s="11"/>
      <c r="V86" s="11"/>
      <c r="W86" s="11"/>
    </row>
    <row r="87">
      <c r="A87" s="2">
        <v>86.0</v>
      </c>
      <c r="B87" s="2">
        <f>PasteHashtag!B87</f>
        <v>117.6</v>
      </c>
      <c r="C87" s="343" t="str">
        <f>PasteHashtag!C87</f>
        <v>Onyeka Okongwu</v>
      </c>
      <c r="D87" s="2" t="str">
        <f>PasteHashtag!D87</f>
        <v>PF,C</v>
      </c>
      <c r="E87" s="2" t="str">
        <f>PasteHashtag!E87</f>
        <v>ATL</v>
      </c>
      <c r="F87" s="2">
        <f>PasteHashtag!F87</f>
        <v>67</v>
      </c>
      <c r="G87" s="2">
        <f>PasteHashtag!G87</f>
        <v>26.8</v>
      </c>
      <c r="H87" s="2">
        <f>MID(PasteHashtag!H87,1+FIND("(",PasteHashtag!H87),FIND("/",PasteHashtag!H87)-FIND("(",PasteHashtag!H87)-1)*1</f>
        <v>4</v>
      </c>
      <c r="I87" s="2">
        <f>LEFT(PasteHashtag!H87,FIND("(",PasteHashtag!H87)-1)*1</f>
        <v>0.617</v>
      </c>
      <c r="J87" s="2">
        <f>MID(PasteHashtag!I87,1+FIND("(",PasteHashtag!I87),FIND("/",PasteHashtag!I87)-FIND("(",PasteHashtag!I87)-1)*1</f>
        <v>2</v>
      </c>
      <c r="K87" s="2">
        <f>LEFT(PasteHashtag!I87,FIND("(",PasteHashtag!I87)-1)*1</f>
        <v>0.785</v>
      </c>
      <c r="L87" s="2">
        <f>PasteHashtag!J87</f>
        <v>0.5</v>
      </c>
      <c r="M87" s="2">
        <f>PasteHashtag!K87</f>
        <v>10.6</v>
      </c>
      <c r="N87" s="2">
        <f>PasteHashtag!L87</f>
        <v>7.6</v>
      </c>
      <c r="O87" s="2">
        <f>PasteHashtag!M87</f>
        <v>1.3</v>
      </c>
      <c r="P87" s="2">
        <f>PasteHashtag!N87</f>
        <v>0.7</v>
      </c>
      <c r="Q87" s="2">
        <f>PasteHashtag!O87</f>
        <v>1.3</v>
      </c>
      <c r="R87" s="2">
        <f>PasteHashtag!P87</f>
        <v>1.1</v>
      </c>
      <c r="S87" s="2">
        <f>Mid(PasteHashtag!H87,FIND("/",PasteHashtag!H87)+1,LEN(PasteHashtag!H87)-FIND("/",PasteHashtag!H87)-1)*1</f>
        <v>6.6</v>
      </c>
      <c r="T87" s="344">
        <f>Mid(PasteHashtag!I87,FIND("/",PasteHashtag!I87)+1,LEN(PasteHashtag!I87)-FIND("/",PasteHashtag!I87)-1)*1</f>
        <v>2.6</v>
      </c>
      <c r="U87" s="11"/>
      <c r="V87" s="11"/>
      <c r="W87" s="11"/>
    </row>
    <row r="88">
      <c r="A88" s="2">
        <v>87.0</v>
      </c>
      <c r="B88" s="2">
        <f>PasteHashtag!B88</f>
        <v>82.6</v>
      </c>
      <c r="C88" s="343" t="str">
        <f>PasteHashtag!C88</f>
        <v>OG Anunoby</v>
      </c>
      <c r="D88" s="2" t="str">
        <f>PasteHashtag!D88</f>
        <v>SF,PF</v>
      </c>
      <c r="E88" s="2" t="str">
        <f>PasteHashtag!E88</f>
        <v>NY</v>
      </c>
      <c r="F88" s="2">
        <f>PasteHashtag!F88</f>
        <v>60</v>
      </c>
      <c r="G88" s="2">
        <f>PasteHashtag!G88</f>
        <v>33.1</v>
      </c>
      <c r="H88" s="2">
        <f>MID(PasteHashtag!H88,1+FIND("(",PasteHashtag!H88),FIND("/",PasteHashtag!H88)-FIND("(",PasteHashtag!H88)-1)*1</f>
        <v>5.8</v>
      </c>
      <c r="I88" s="2">
        <f>LEFT(PasteHashtag!H88,FIND("(",PasteHashtag!H88)-1)*1</f>
        <v>0.48</v>
      </c>
      <c r="J88" s="2">
        <f>MID(PasteHashtag!I88,1+FIND("(",PasteHashtag!I88),FIND("/",PasteHashtag!I88)-FIND("(",PasteHashtag!I88)-1)*1</f>
        <v>1.3</v>
      </c>
      <c r="K88" s="2">
        <f>LEFT(PasteHashtag!I88,FIND("(",PasteHashtag!I88)-1)*1</f>
        <v>0.77</v>
      </c>
      <c r="L88" s="2">
        <f>PasteHashtag!J88</f>
        <v>2</v>
      </c>
      <c r="M88" s="2">
        <f>PasteHashtag!K88</f>
        <v>14.8</v>
      </c>
      <c r="N88" s="2">
        <f>PasteHashtag!L88</f>
        <v>4.1</v>
      </c>
      <c r="O88" s="2">
        <f>PasteHashtag!M88</f>
        <v>2</v>
      </c>
      <c r="P88" s="2">
        <f>PasteHashtag!N88</f>
        <v>1.5</v>
      </c>
      <c r="Q88" s="2">
        <f>PasteHashtag!O88</f>
        <v>0.7</v>
      </c>
      <c r="R88" s="2">
        <f>PasteHashtag!P88</f>
        <v>1.8</v>
      </c>
      <c r="S88" s="2">
        <f>Mid(PasteHashtag!H88,FIND("/",PasteHashtag!H88)+1,LEN(PasteHashtag!H88)-FIND("/",PasteHashtag!H88)-1)*1</f>
        <v>12</v>
      </c>
      <c r="T88" s="344">
        <f>Mid(PasteHashtag!I88,FIND("/",PasteHashtag!I88)+1,LEN(PasteHashtag!I88)-FIND("/",PasteHashtag!I88)-1)*1</f>
        <v>1.7</v>
      </c>
      <c r="U88" s="11"/>
      <c r="V88" s="11"/>
      <c r="W88" s="11"/>
    </row>
    <row r="89">
      <c r="A89" s="2">
        <v>88.0</v>
      </c>
      <c r="B89" s="2">
        <f>PasteHashtag!B89</f>
        <v>86.5</v>
      </c>
      <c r="C89" s="343" t="str">
        <f>PasteHashtag!C89</f>
        <v>Coby White</v>
      </c>
      <c r="D89" s="2" t="str">
        <f>PasteHashtag!D89</f>
        <v>PG,SG</v>
      </c>
      <c r="E89" s="2" t="str">
        <f>PasteHashtag!E89</f>
        <v>CHI</v>
      </c>
      <c r="F89" s="2">
        <f>PasteHashtag!F89</f>
        <v>76</v>
      </c>
      <c r="G89" s="2">
        <f>PasteHashtag!G89</f>
        <v>35.5</v>
      </c>
      <c r="H89" s="2">
        <f>MID(PasteHashtag!H89,1+FIND("(",PasteHashtag!H89),FIND("/",PasteHashtag!H89)-FIND("(",PasteHashtag!H89)-1)*1</f>
        <v>6.5</v>
      </c>
      <c r="I89" s="2">
        <f>LEFT(PasteHashtag!H89,FIND("(",PasteHashtag!H89)-1)*1</f>
        <v>0.446</v>
      </c>
      <c r="J89" s="2">
        <f>MID(PasteHashtag!I89,1+FIND("(",PasteHashtag!I89),FIND("/",PasteHashtag!I89)-FIND("(",PasteHashtag!I89)-1)*1</f>
        <v>2.3</v>
      </c>
      <c r="K89" s="2">
        <f>LEFT(PasteHashtag!I89,FIND("(",PasteHashtag!I89)-1)*1</f>
        <v>0.843</v>
      </c>
      <c r="L89" s="2">
        <f>PasteHashtag!J89</f>
        <v>2.7</v>
      </c>
      <c r="M89" s="2">
        <f>PasteHashtag!K89</f>
        <v>18</v>
      </c>
      <c r="N89" s="2">
        <f>PasteHashtag!L89</f>
        <v>4.6</v>
      </c>
      <c r="O89" s="2">
        <f>PasteHashtag!M89</f>
        <v>4.9</v>
      </c>
      <c r="P89" s="2">
        <f>PasteHashtag!N89</f>
        <v>0.9</v>
      </c>
      <c r="Q89" s="2">
        <f>PasteHashtag!O89</f>
        <v>0.2</v>
      </c>
      <c r="R89" s="2">
        <f>PasteHashtag!P89</f>
        <v>2</v>
      </c>
      <c r="S89" s="2">
        <f>Mid(PasteHashtag!H89,FIND("/",PasteHashtag!H89)+1,LEN(PasteHashtag!H89)-FIND("/",PasteHashtag!H89)-1)*1</f>
        <v>14.6</v>
      </c>
      <c r="T89" s="344">
        <f>Mid(PasteHashtag!I89,FIND("/",PasteHashtag!I89)+1,LEN(PasteHashtag!I89)-FIND("/",PasteHashtag!I89)-1)*1</f>
        <v>2.7</v>
      </c>
      <c r="U89" s="11"/>
      <c r="V89" s="11"/>
      <c r="W89" s="11"/>
    </row>
    <row r="90">
      <c r="A90" s="2">
        <v>89.0</v>
      </c>
      <c r="B90" s="2">
        <f>PasteHashtag!B90</f>
        <v>73.3</v>
      </c>
      <c r="C90" s="343" t="str">
        <f>PasteHashtag!C90</f>
        <v>Michael Porter Jr.</v>
      </c>
      <c r="D90" s="2" t="str">
        <f>PasteHashtag!D90</f>
        <v>SF,PF</v>
      </c>
      <c r="E90" s="2" t="str">
        <f>PasteHashtag!E90</f>
        <v>DEN</v>
      </c>
      <c r="F90" s="2">
        <f>PasteHashtag!F90</f>
        <v>74</v>
      </c>
      <c r="G90" s="2">
        <f>PasteHashtag!G90</f>
        <v>31.8</v>
      </c>
      <c r="H90" s="2">
        <f>MID(PasteHashtag!H90,1+FIND("(",PasteHashtag!H90),FIND("/",PasteHashtag!H90)-FIND("(",PasteHashtag!H90)-1)*1</f>
        <v>6.6</v>
      </c>
      <c r="I90" s="2">
        <f>LEFT(PasteHashtag!H90,FIND("(",PasteHashtag!H90)-1)*1</f>
        <v>0.485</v>
      </c>
      <c r="J90" s="2">
        <f>MID(PasteHashtag!I90,1+FIND("(",PasteHashtag!I90),FIND("/",PasteHashtag!I90)-FIND("(",PasteHashtag!I90)-1)*1</f>
        <v>1.4</v>
      </c>
      <c r="K90" s="2">
        <f>LEFT(PasteHashtag!I90,FIND("(",PasteHashtag!I90)-1)*1</f>
        <v>0.818</v>
      </c>
      <c r="L90" s="2">
        <f>PasteHashtag!J90</f>
        <v>2.9</v>
      </c>
      <c r="M90" s="2">
        <f>PasteHashtag!K90</f>
        <v>17.5</v>
      </c>
      <c r="N90" s="2">
        <f>PasteHashtag!L90</f>
        <v>6.5</v>
      </c>
      <c r="O90" s="2">
        <f>PasteHashtag!M90</f>
        <v>1.4</v>
      </c>
      <c r="P90" s="2">
        <f>PasteHashtag!N90</f>
        <v>0.6</v>
      </c>
      <c r="Q90" s="2">
        <f>PasteHashtag!O90</f>
        <v>0.6</v>
      </c>
      <c r="R90" s="2">
        <f>PasteHashtag!P90</f>
        <v>1.2</v>
      </c>
      <c r="S90" s="2">
        <f>Mid(PasteHashtag!H90,FIND("/",PasteHashtag!H90)+1,LEN(PasteHashtag!H90)-FIND("/",PasteHashtag!H90)-1)*1</f>
        <v>13.6</v>
      </c>
      <c r="T90" s="344">
        <f>Mid(PasteHashtag!I90,FIND("/",PasteHashtag!I90)+1,LEN(PasteHashtag!I90)-FIND("/",PasteHashtag!I90)-1)*1</f>
        <v>1.7</v>
      </c>
      <c r="U90" s="11"/>
      <c r="V90" s="11"/>
      <c r="W90" s="11"/>
    </row>
    <row r="91">
      <c r="A91" s="2">
        <v>90.0</v>
      </c>
      <c r="B91" s="2">
        <f>PasteHashtag!B91</f>
        <v>102</v>
      </c>
      <c r="C91" s="343" t="str">
        <f>PasteHashtag!C91</f>
        <v>Alex Caruso</v>
      </c>
      <c r="D91" s="2" t="str">
        <f>PasteHashtag!D91</f>
        <v>SG,SF</v>
      </c>
      <c r="E91" s="2" t="str">
        <f>PasteHashtag!E91</f>
        <v>OKC</v>
      </c>
      <c r="F91" s="2">
        <f>PasteHashtag!F91</f>
        <v>68</v>
      </c>
      <c r="G91" s="2">
        <f>PasteHashtag!G91</f>
        <v>28.7</v>
      </c>
      <c r="H91" s="2">
        <f>MID(PasteHashtag!H91,1+FIND("(",PasteHashtag!H91),FIND("/",PasteHashtag!H91)-FIND("(",PasteHashtag!H91)-1)*1</f>
        <v>3.1</v>
      </c>
      <c r="I91" s="2">
        <f>LEFT(PasteHashtag!H91,FIND("(",PasteHashtag!H91)-1)*1</f>
        <v>0.463</v>
      </c>
      <c r="J91" s="2">
        <f>MID(PasteHashtag!I91,1+FIND("(",PasteHashtag!I91),FIND("/",PasteHashtag!I91)-FIND("(",PasteHashtag!I91)-1)*1</f>
        <v>1.1</v>
      </c>
      <c r="K91" s="2">
        <f>LEFT(PasteHashtag!I91,FIND("(",PasteHashtag!I91)-1)*1</f>
        <v>0.785</v>
      </c>
      <c r="L91" s="2">
        <f>PasteHashtag!J91</f>
        <v>1.5</v>
      </c>
      <c r="M91" s="2">
        <f>PasteHashtag!K91</f>
        <v>8.7</v>
      </c>
      <c r="N91" s="2">
        <f>PasteHashtag!L91</f>
        <v>3.8</v>
      </c>
      <c r="O91" s="2">
        <f>PasteHashtag!M91</f>
        <v>3.5</v>
      </c>
      <c r="P91" s="2">
        <f>PasteHashtag!N91</f>
        <v>1.6</v>
      </c>
      <c r="Q91" s="2">
        <f>PasteHashtag!O91</f>
        <v>0.9</v>
      </c>
      <c r="R91" s="2">
        <f>PasteHashtag!P91</f>
        <v>1.4</v>
      </c>
      <c r="S91" s="2">
        <f>Mid(PasteHashtag!H91,FIND("/",PasteHashtag!H91)+1,LEN(PasteHashtag!H91)-FIND("/",PasteHashtag!H91)-1)*1</f>
        <v>6.6</v>
      </c>
      <c r="T91" s="344">
        <f>Mid(PasteHashtag!I91,FIND("/",PasteHashtag!I91)+1,LEN(PasteHashtag!I91)-FIND("/",PasteHashtag!I91)-1)*1</f>
        <v>1.4</v>
      </c>
      <c r="U91" s="11"/>
      <c r="V91" s="11"/>
      <c r="W91" s="11"/>
    </row>
    <row r="92">
      <c r="A92" s="2">
        <v>91.0</v>
      </c>
      <c r="B92" s="2">
        <f>PasteHashtag!B92</f>
        <v>96.2</v>
      </c>
      <c r="C92" s="343" t="str">
        <f>PasteHashtag!C92</f>
        <v>Herbert Jones</v>
      </c>
      <c r="D92" s="2" t="str">
        <f>PasteHashtag!D92</f>
        <v>SF,PF</v>
      </c>
      <c r="E92" s="2" t="str">
        <f>PasteHashtag!E92</f>
        <v>NO</v>
      </c>
      <c r="F92" s="2">
        <f>PasteHashtag!F92</f>
        <v>71</v>
      </c>
      <c r="G92" s="2">
        <f>PasteHashtag!G92</f>
        <v>30.2</v>
      </c>
      <c r="H92" s="2">
        <f>MID(PasteHashtag!H92,1+FIND("(",PasteHashtag!H92),FIND("/",PasteHashtag!H92)-FIND("(",PasteHashtag!H92)-1)*1</f>
        <v>3.7</v>
      </c>
      <c r="I92" s="2">
        <f>LEFT(PasteHashtag!H92,FIND("(",PasteHashtag!H92)-1)*1</f>
        <v>0.484</v>
      </c>
      <c r="J92" s="2">
        <f>MID(PasteHashtag!I92,1+FIND("(",PasteHashtag!I92),FIND("/",PasteHashtag!I92)-FIND("(",PasteHashtag!I92)-1)*1</f>
        <v>1.8</v>
      </c>
      <c r="K92" s="2">
        <f>LEFT(PasteHashtag!I92,FIND("(",PasteHashtag!I92)-1)*1</f>
        <v>0.852</v>
      </c>
      <c r="L92" s="2">
        <f>PasteHashtag!J92</f>
        <v>1.2</v>
      </c>
      <c r="M92" s="2">
        <f>PasteHashtag!K92</f>
        <v>10.5</v>
      </c>
      <c r="N92" s="2">
        <f>PasteHashtag!L92</f>
        <v>4.2</v>
      </c>
      <c r="O92" s="2">
        <f>PasteHashtag!M92</f>
        <v>2.6</v>
      </c>
      <c r="P92" s="2">
        <f>PasteHashtag!N92</f>
        <v>1.4</v>
      </c>
      <c r="Q92" s="2">
        <f>PasteHashtag!O92</f>
        <v>0.9</v>
      </c>
      <c r="R92" s="2">
        <f>PasteHashtag!P92</f>
        <v>1.3</v>
      </c>
      <c r="S92" s="2">
        <f>Mid(PasteHashtag!H92,FIND("/",PasteHashtag!H92)+1,LEN(PasteHashtag!H92)-FIND("/",PasteHashtag!H92)-1)*1</f>
        <v>7.7</v>
      </c>
      <c r="T92" s="344">
        <f>Mid(PasteHashtag!I92,FIND("/",PasteHashtag!I92)+1,LEN(PasteHashtag!I92)-FIND("/",PasteHashtag!I92)-1)*1</f>
        <v>2.2</v>
      </c>
      <c r="U92" s="11"/>
      <c r="V92" s="11"/>
      <c r="W92" s="11"/>
    </row>
    <row r="93">
      <c r="A93" s="2">
        <v>92.0</v>
      </c>
      <c r="B93" s="2">
        <f>PasteHashtag!B93</f>
        <v>104.5</v>
      </c>
      <c r="C93" s="343" t="str">
        <f>PasteHashtag!C93</f>
        <v>Daniel Gafford</v>
      </c>
      <c r="D93" s="2" t="str">
        <f>PasteHashtag!D93</f>
        <v>PF,C</v>
      </c>
      <c r="E93" s="2" t="str">
        <f>PasteHashtag!E93</f>
        <v>DAL</v>
      </c>
      <c r="F93" s="2">
        <f>PasteHashtag!F93</f>
        <v>75</v>
      </c>
      <c r="G93" s="2">
        <f>PasteHashtag!G93</f>
        <v>24.5</v>
      </c>
      <c r="H93" s="2">
        <f>MID(PasteHashtag!H93,1+FIND("(",PasteHashtag!H93),FIND("/",PasteHashtag!H93)-FIND("(",PasteHashtag!H93)-1)*1</f>
        <v>4.3</v>
      </c>
      <c r="I93" s="2">
        <f>LEFT(PasteHashtag!H93,FIND("(",PasteHashtag!H93)-1)*1</f>
        <v>0.729</v>
      </c>
      <c r="J93" s="2">
        <f>MID(PasteHashtag!I93,1+FIND("(",PasteHashtag!I93),FIND("/",PasteHashtag!I93)-FIND("(",PasteHashtag!I93)-1)*1</f>
        <v>1.7</v>
      </c>
      <c r="K93" s="2">
        <f>LEFT(PasteHashtag!I93,FIND("(",PasteHashtag!I93)-1)*1</f>
        <v>0.675</v>
      </c>
      <c r="L93" s="2">
        <f>PasteHashtag!J93</f>
        <v>0</v>
      </c>
      <c r="M93" s="2">
        <f>PasteHashtag!K93</f>
        <v>10.3</v>
      </c>
      <c r="N93" s="2">
        <f>PasteHashtag!L93</f>
        <v>6.8</v>
      </c>
      <c r="O93" s="2">
        <f>PasteHashtag!M93</f>
        <v>1.4</v>
      </c>
      <c r="P93" s="2">
        <f>PasteHashtag!N93</f>
        <v>0.7</v>
      </c>
      <c r="Q93" s="2">
        <f>PasteHashtag!O93</f>
        <v>1.7</v>
      </c>
      <c r="R93" s="2">
        <f>PasteHashtag!P93</f>
        <v>1.1</v>
      </c>
      <c r="S93" s="2">
        <f>Mid(PasteHashtag!H93,FIND("/",PasteHashtag!H93)+1,LEN(PasteHashtag!H93)-FIND("/",PasteHashtag!H93)-1)*1</f>
        <v>5.9</v>
      </c>
      <c r="T93" s="344">
        <f>Mid(PasteHashtag!I93,FIND("/",PasteHashtag!I93)+1,LEN(PasteHashtag!I93)-FIND("/",PasteHashtag!I93)-1)*1</f>
        <v>2.5</v>
      </c>
      <c r="U93" s="11"/>
      <c r="V93" s="11"/>
      <c r="W93" s="11"/>
    </row>
    <row r="94">
      <c r="A94" s="2">
        <v>93.0</v>
      </c>
      <c r="B94" s="2">
        <f>PasteHashtag!B94</f>
        <v>101.4</v>
      </c>
      <c r="C94" s="343" t="str">
        <f>PasteHashtag!C94</f>
        <v>Draymond Green</v>
      </c>
      <c r="D94" s="2" t="str">
        <f>PasteHashtag!D94</f>
        <v>PF,C</v>
      </c>
      <c r="E94" s="2" t="str">
        <f>PasteHashtag!E94</f>
        <v>GS</v>
      </c>
      <c r="F94" s="2">
        <f>PasteHashtag!F94</f>
        <v>58</v>
      </c>
      <c r="G94" s="2">
        <f>PasteHashtag!G94</f>
        <v>27.3</v>
      </c>
      <c r="H94" s="2">
        <f>MID(PasteHashtag!H94,1+FIND("(",PasteHashtag!H94),FIND("/",PasteHashtag!H94)-FIND("(",PasteHashtag!H94)-1)*1</f>
        <v>3.3</v>
      </c>
      <c r="I94" s="2">
        <f>LEFT(PasteHashtag!H94,FIND("(",PasteHashtag!H94)-1)*1</f>
        <v>0.514</v>
      </c>
      <c r="J94" s="2">
        <f>MID(PasteHashtag!I94,1+FIND("(",PasteHashtag!I94),FIND("/",PasteHashtag!I94)-FIND("(",PasteHashtag!I94)-1)*1</f>
        <v>1</v>
      </c>
      <c r="K94" s="2">
        <f>LEFT(PasteHashtag!I94,FIND("(",PasteHashtag!I94)-1)*1</f>
        <v>0.713</v>
      </c>
      <c r="L94" s="2">
        <f>PasteHashtag!J94</f>
        <v>0.7</v>
      </c>
      <c r="M94" s="2">
        <f>PasteHashtag!K94</f>
        <v>8.2</v>
      </c>
      <c r="N94" s="2">
        <f>PasteHashtag!L94</f>
        <v>6.9</v>
      </c>
      <c r="O94" s="2">
        <f>PasteHashtag!M94</f>
        <v>6.2</v>
      </c>
      <c r="P94" s="2">
        <f>PasteHashtag!N94</f>
        <v>1.1</v>
      </c>
      <c r="Q94" s="2">
        <f>PasteHashtag!O94</f>
        <v>0.8</v>
      </c>
      <c r="R94" s="2">
        <f>PasteHashtag!P94</f>
        <v>2.5</v>
      </c>
      <c r="S94" s="2">
        <f>Mid(PasteHashtag!H94,FIND("/",PasteHashtag!H94)+1,LEN(PasteHashtag!H94)-FIND("/",PasteHashtag!H94)-1)*1</f>
        <v>6.3</v>
      </c>
      <c r="T94" s="344">
        <f>Mid(PasteHashtag!I94,FIND("/",PasteHashtag!I94)+1,LEN(PasteHashtag!I94)-FIND("/",PasteHashtag!I94)-1)*1</f>
        <v>1.4</v>
      </c>
      <c r="U94" s="11"/>
      <c r="V94" s="11"/>
      <c r="W94" s="11"/>
    </row>
    <row r="95">
      <c r="A95" s="2">
        <v>94.0</v>
      </c>
      <c r="B95" s="2">
        <f>PasteHashtag!B95</f>
        <v>92.7</v>
      </c>
      <c r="C95" s="343" t="str">
        <f>PasteHashtag!C95</f>
        <v>Jakob Poeltl</v>
      </c>
      <c r="D95" s="2" t="str">
        <f>PasteHashtag!D95</f>
        <v>C</v>
      </c>
      <c r="E95" s="2" t="str">
        <f>PasteHashtag!E95</f>
        <v>TOR</v>
      </c>
      <c r="F95" s="2">
        <f>PasteHashtag!F95</f>
        <v>68</v>
      </c>
      <c r="G95" s="2">
        <f>PasteHashtag!G95</f>
        <v>26.8</v>
      </c>
      <c r="H95" s="2">
        <f>MID(PasteHashtag!H95,1+FIND("(",PasteHashtag!H95),FIND("/",PasteHashtag!H95)-FIND("(",PasteHashtag!H95)-1)*1</f>
        <v>5.4</v>
      </c>
      <c r="I95" s="2">
        <f>LEFT(PasteHashtag!H95,FIND("(",PasteHashtag!H95)-1)*1</f>
        <v>0.64</v>
      </c>
      <c r="J95" s="2">
        <f>MID(PasteHashtag!I95,1+FIND("(",PasteHashtag!I95),FIND("/",PasteHashtag!I95)-FIND("(",PasteHashtag!I95)-1)*1</f>
        <v>1.5</v>
      </c>
      <c r="K95" s="2">
        <f>LEFT(PasteHashtag!I95,FIND("(",PasteHashtag!I95)-1)*1</f>
        <v>0.575</v>
      </c>
      <c r="L95" s="2">
        <f>PasteHashtag!J95</f>
        <v>0</v>
      </c>
      <c r="M95" s="2">
        <f>PasteHashtag!K95</f>
        <v>12.2</v>
      </c>
      <c r="N95" s="2">
        <f>PasteHashtag!L95</f>
        <v>9.1</v>
      </c>
      <c r="O95" s="2">
        <f>PasteHashtag!M95</f>
        <v>2.7</v>
      </c>
      <c r="P95" s="2">
        <f>PasteHashtag!N95</f>
        <v>0.9</v>
      </c>
      <c r="Q95" s="2">
        <f>PasteHashtag!O95</f>
        <v>1.4</v>
      </c>
      <c r="R95" s="2">
        <f>PasteHashtag!P95</f>
        <v>1.7</v>
      </c>
      <c r="S95" s="2">
        <f>Mid(PasteHashtag!H95,FIND("/",PasteHashtag!H95)+1,LEN(PasteHashtag!H95)-FIND("/",PasteHashtag!H95)-1)*1</f>
        <v>8.4</v>
      </c>
      <c r="T95" s="344">
        <f>Mid(PasteHashtag!I95,FIND("/",PasteHashtag!I95)+1,LEN(PasteHashtag!I95)-FIND("/",PasteHashtag!I95)-1)*1</f>
        <v>2.6</v>
      </c>
      <c r="U95" s="11"/>
      <c r="V95" s="11"/>
      <c r="W95" s="11"/>
    </row>
    <row r="96">
      <c r="A96" s="2">
        <v>95.0</v>
      </c>
      <c r="B96" s="2">
        <f>PasteHashtag!B96</f>
        <v>116.8</v>
      </c>
      <c r="C96" s="343" t="str">
        <f>PasteHashtag!C96</f>
        <v>Amen Thompson</v>
      </c>
      <c r="D96" s="2" t="str">
        <f>PasteHashtag!D96</f>
        <v>SG,SF</v>
      </c>
      <c r="E96" s="2" t="str">
        <f>PasteHashtag!E96</f>
        <v>HOU</v>
      </c>
      <c r="F96" s="2">
        <f>PasteHashtag!F96</f>
        <v>68</v>
      </c>
      <c r="G96" s="2">
        <f>PasteHashtag!G96</f>
        <v>27.2</v>
      </c>
      <c r="H96" s="2">
        <f>MID(PasteHashtag!H96,1+FIND("(",PasteHashtag!H96),FIND("/",PasteHashtag!H96)-FIND("(",PasteHashtag!H96)-1)*1</f>
        <v>4.8</v>
      </c>
      <c r="I96" s="2">
        <f>LEFT(PasteHashtag!H96,FIND("(",PasteHashtag!H96)-1)*1</f>
        <v>0.529</v>
      </c>
      <c r="J96" s="2">
        <f>MID(PasteHashtag!I96,1+FIND("(",PasteHashtag!I96),FIND("/",PasteHashtag!I96)-FIND("(",PasteHashtag!I96)-1)*1</f>
        <v>2.2</v>
      </c>
      <c r="K96" s="2">
        <f>LEFT(PasteHashtag!I96,FIND("(",PasteHashtag!I96)-1)*1</f>
        <v>0.72</v>
      </c>
      <c r="L96" s="2">
        <f>PasteHashtag!J96</f>
        <v>0.3</v>
      </c>
      <c r="M96" s="2">
        <f>PasteHashtag!K96</f>
        <v>12</v>
      </c>
      <c r="N96" s="2">
        <f>PasteHashtag!L96</f>
        <v>7.2</v>
      </c>
      <c r="O96" s="2">
        <f>PasteHashtag!M96</f>
        <v>3.2</v>
      </c>
      <c r="P96" s="2">
        <f>PasteHashtag!N96</f>
        <v>1.5</v>
      </c>
      <c r="Q96" s="2">
        <f>PasteHashtag!O96</f>
        <v>0.8</v>
      </c>
      <c r="R96" s="2">
        <f>PasteHashtag!P96</f>
        <v>1.8</v>
      </c>
      <c r="S96" s="2">
        <f>Mid(PasteHashtag!H96,FIND("/",PasteHashtag!H96)+1,LEN(PasteHashtag!H96)-FIND("/",PasteHashtag!H96)-1)*1</f>
        <v>9</v>
      </c>
      <c r="T96" s="344">
        <f>Mid(PasteHashtag!I96,FIND("/",PasteHashtag!I96)+1,LEN(PasteHashtag!I96)-FIND("/",PasteHashtag!I96)-1)*1</f>
        <v>3.1</v>
      </c>
      <c r="U96" s="11"/>
      <c r="V96" s="11"/>
      <c r="W96" s="11"/>
    </row>
    <row r="97">
      <c r="A97" s="2">
        <v>96.0</v>
      </c>
      <c r="B97" s="2">
        <f>PasteHashtag!B97</f>
        <v>86.9</v>
      </c>
      <c r="C97" s="343" t="str">
        <f>PasteHashtag!C97</f>
        <v>CJ McCollum</v>
      </c>
      <c r="D97" s="2" t="str">
        <f>PasteHashtag!D97</f>
        <v>PG,SG</v>
      </c>
      <c r="E97" s="2" t="str">
        <f>PasteHashtag!E97</f>
        <v>NO</v>
      </c>
      <c r="F97" s="2">
        <f>PasteHashtag!F97</f>
        <v>65</v>
      </c>
      <c r="G97" s="2">
        <f>PasteHashtag!G97</f>
        <v>32</v>
      </c>
      <c r="H97" s="2">
        <f>MID(PasteHashtag!H97,1+FIND("(",PasteHashtag!H97),FIND("/",PasteHashtag!H97)-FIND("(",PasteHashtag!H97)-1)*1</f>
        <v>6.8</v>
      </c>
      <c r="I97" s="2">
        <f>LEFT(PasteHashtag!H97,FIND("(",PasteHashtag!H97)-1)*1</f>
        <v>0.451</v>
      </c>
      <c r="J97" s="2">
        <f>MID(PasteHashtag!I97,1+FIND("(",PasteHashtag!I97),FIND("/",PasteHashtag!I97)-FIND("(",PasteHashtag!I97)-1)*1</f>
        <v>1.9</v>
      </c>
      <c r="K97" s="2">
        <f>LEFT(PasteHashtag!I97,FIND("(",PasteHashtag!I97)-1)*1</f>
        <v>0.814</v>
      </c>
      <c r="L97" s="2">
        <f>PasteHashtag!J97</f>
        <v>2.8</v>
      </c>
      <c r="M97" s="2">
        <f>PasteHashtag!K97</f>
        <v>18.3</v>
      </c>
      <c r="N97" s="2">
        <f>PasteHashtag!L97</f>
        <v>3.9</v>
      </c>
      <c r="O97" s="2">
        <f>PasteHashtag!M97</f>
        <v>4.1</v>
      </c>
      <c r="P97" s="2">
        <f>PasteHashtag!N97</f>
        <v>0.8</v>
      </c>
      <c r="Q97" s="2">
        <f>PasteHashtag!O97</f>
        <v>0.5</v>
      </c>
      <c r="R97" s="2">
        <f>PasteHashtag!P97</f>
        <v>1.9</v>
      </c>
      <c r="S97" s="2">
        <f>Mid(PasteHashtag!H97,FIND("/",PasteHashtag!H97)+1,LEN(PasteHashtag!H97)-FIND("/",PasteHashtag!H97)-1)*1</f>
        <v>15</v>
      </c>
      <c r="T97" s="344">
        <f>Mid(PasteHashtag!I97,FIND("/",PasteHashtag!I97)+1,LEN(PasteHashtag!I97)-FIND("/",PasteHashtag!I97)-1)*1</f>
        <v>2.3</v>
      </c>
      <c r="U97" s="11"/>
      <c r="V97" s="11"/>
      <c r="W97" s="11"/>
    </row>
    <row r="98">
      <c r="A98" s="2">
        <v>97.0</v>
      </c>
      <c r="B98" s="2">
        <f>PasteHashtag!B98</f>
        <v>70.1</v>
      </c>
      <c r="C98" s="343" t="str">
        <f>PasteHashtag!C98</f>
        <v>Cam Thomas</v>
      </c>
      <c r="D98" s="2" t="str">
        <f>PasteHashtag!D98</f>
        <v>SG</v>
      </c>
      <c r="E98" s="2" t="str">
        <f>PasteHashtag!E98</f>
        <v>BKN</v>
      </c>
      <c r="F98" s="2">
        <f>PasteHashtag!F98</f>
        <v>69</v>
      </c>
      <c r="G98" s="2">
        <f>PasteHashtag!G98</f>
        <v>32.1</v>
      </c>
      <c r="H98" s="2">
        <f>MID(PasteHashtag!H98,1+FIND("(",PasteHashtag!H98),FIND("/",PasteHashtag!H98)-FIND("(",PasteHashtag!H98)-1)*1</f>
        <v>9.1</v>
      </c>
      <c r="I98" s="2">
        <f>LEFT(PasteHashtag!H98,FIND("(",PasteHashtag!H98)-1)*1</f>
        <v>0.44</v>
      </c>
      <c r="J98" s="2">
        <f>MID(PasteHashtag!I98,1+FIND("(",PasteHashtag!I98),FIND("/",PasteHashtag!I98)-FIND("(",PasteHashtag!I98)-1)*1</f>
        <v>4.7</v>
      </c>
      <c r="K98" s="2">
        <f>LEFT(PasteHashtag!I98,FIND("(",PasteHashtag!I98)-1)*1</f>
        <v>0.861</v>
      </c>
      <c r="L98" s="2">
        <f>PasteHashtag!J98</f>
        <v>2.6</v>
      </c>
      <c r="M98" s="2">
        <f>PasteHashtag!K98</f>
        <v>25.6</v>
      </c>
      <c r="N98" s="2">
        <f>PasteHashtag!L98</f>
        <v>3.3</v>
      </c>
      <c r="O98" s="2">
        <f>PasteHashtag!M98</f>
        <v>2.9</v>
      </c>
      <c r="P98" s="2">
        <f>PasteHashtag!N98</f>
        <v>0.7</v>
      </c>
      <c r="Q98" s="2">
        <f>PasteHashtag!O98</f>
        <v>0.3</v>
      </c>
      <c r="R98" s="2">
        <f>PasteHashtag!P98</f>
        <v>2</v>
      </c>
      <c r="S98" s="2">
        <f>Mid(PasteHashtag!H98,FIND("/",PasteHashtag!H98)+1,LEN(PasteHashtag!H98)-FIND("/",PasteHashtag!H98)-1)*1</f>
        <v>20.7</v>
      </c>
      <c r="T98" s="344">
        <f>Mid(PasteHashtag!I98,FIND("/",PasteHashtag!I98)+1,LEN(PasteHashtag!I98)-FIND("/",PasteHashtag!I98)-1)*1</f>
        <v>5.5</v>
      </c>
      <c r="U98" s="11"/>
      <c r="V98" s="11"/>
      <c r="W98" s="11"/>
    </row>
    <row r="99">
      <c r="A99" s="2">
        <v>98.0</v>
      </c>
      <c r="B99" s="2">
        <f>PasteHashtag!B99</f>
        <v>136.7</v>
      </c>
      <c r="C99" s="343" t="str">
        <f>PasteHashtag!C99</f>
        <v>Al Horford</v>
      </c>
      <c r="D99" s="2" t="str">
        <f>PasteHashtag!D99</f>
        <v>PF,C</v>
      </c>
      <c r="E99" s="2" t="str">
        <f>PasteHashtag!E99</f>
        <v>BOS</v>
      </c>
      <c r="F99" s="2">
        <f>PasteHashtag!F99</f>
        <v>63</v>
      </c>
      <c r="G99" s="2">
        <f>PasteHashtag!G99</f>
        <v>27.4</v>
      </c>
      <c r="H99" s="2">
        <f>MID(PasteHashtag!H99,1+FIND("(",PasteHashtag!H99),FIND("/",PasteHashtag!H99)-FIND("(",PasteHashtag!H99)-1)*1</f>
        <v>3.7</v>
      </c>
      <c r="I99" s="2">
        <f>LEFT(PasteHashtag!H99,FIND("(",PasteHashtag!H99)-1)*1</f>
        <v>0.493</v>
      </c>
      <c r="J99" s="2">
        <f>MID(PasteHashtag!I99,1+FIND("(",PasteHashtag!I99),FIND("/",PasteHashtag!I99)-FIND("(",PasteHashtag!I99)-1)*1</f>
        <v>0.3</v>
      </c>
      <c r="K99" s="2">
        <f>LEFT(PasteHashtag!I99,FIND("(",PasteHashtag!I99)-1)*1</f>
        <v>0.791</v>
      </c>
      <c r="L99" s="2">
        <f>PasteHashtag!J99</f>
        <v>2.1</v>
      </c>
      <c r="M99" s="2">
        <f>PasteHashtag!K99</f>
        <v>9.8</v>
      </c>
      <c r="N99" s="2">
        <f>PasteHashtag!L99</f>
        <v>6.7</v>
      </c>
      <c r="O99" s="2">
        <f>PasteHashtag!M99</f>
        <v>3</v>
      </c>
      <c r="P99" s="2">
        <f>PasteHashtag!N99</f>
        <v>0.6</v>
      </c>
      <c r="Q99" s="2">
        <f>PasteHashtag!O99</f>
        <v>1</v>
      </c>
      <c r="R99" s="2">
        <f>PasteHashtag!P99</f>
        <v>0.7</v>
      </c>
      <c r="S99" s="2">
        <f>Mid(PasteHashtag!H99,FIND("/",PasteHashtag!H99)+1,LEN(PasteHashtag!H99)-FIND("/",PasteHashtag!H99)-1)*1</f>
        <v>7.4</v>
      </c>
      <c r="T99" s="344">
        <f>Mid(PasteHashtag!I99,FIND("/",PasteHashtag!I99)+1,LEN(PasteHashtag!I99)-FIND("/",PasteHashtag!I99)-1)*1</f>
        <v>0.4</v>
      </c>
      <c r="U99" s="11"/>
      <c r="V99" s="11"/>
      <c r="W99" s="11"/>
    </row>
    <row r="100">
      <c r="A100" s="2">
        <v>99.0</v>
      </c>
      <c r="B100" s="2">
        <f>PasteHashtag!B100</f>
        <v>91.6</v>
      </c>
      <c r="C100" s="343" t="str">
        <f>PasteHashtag!C100</f>
        <v>Ivica Zubac</v>
      </c>
      <c r="D100" s="2" t="str">
        <f>PasteHashtag!D100</f>
        <v>C</v>
      </c>
      <c r="E100" s="2" t="str">
        <f>PasteHashtag!E100</f>
        <v>LAC</v>
      </c>
      <c r="F100" s="2">
        <f>PasteHashtag!F100</f>
        <v>72</v>
      </c>
      <c r="G100" s="2">
        <f>PasteHashtag!G100</f>
        <v>28.5</v>
      </c>
      <c r="H100" s="2">
        <f>MID(PasteHashtag!H100,1+FIND("(",PasteHashtag!H100),FIND("/",PasteHashtag!H100)-FIND("(",PasteHashtag!H100)-1)*1</f>
        <v>5.1</v>
      </c>
      <c r="I100" s="2">
        <f>LEFT(PasteHashtag!H100,FIND("(",PasteHashtag!H100)-1)*1</f>
        <v>0.642</v>
      </c>
      <c r="J100" s="2">
        <f>MID(PasteHashtag!I100,1+FIND("(",PasteHashtag!I100),FIND("/",PasteHashtag!I100)-FIND("(",PasteHashtag!I100)-1)*1</f>
        <v>2.2</v>
      </c>
      <c r="K100" s="2">
        <f>LEFT(PasteHashtag!I100,FIND("(",PasteHashtag!I100)-1)*1</f>
        <v>0.709</v>
      </c>
      <c r="L100" s="2">
        <f>PasteHashtag!J100</f>
        <v>0</v>
      </c>
      <c r="M100" s="2">
        <f>PasteHashtag!K100</f>
        <v>12.3</v>
      </c>
      <c r="N100" s="2">
        <f>PasteHashtag!L100</f>
        <v>10.1</v>
      </c>
      <c r="O100" s="2">
        <f>PasteHashtag!M100</f>
        <v>1.3</v>
      </c>
      <c r="P100" s="2">
        <f>PasteHashtag!N100</f>
        <v>0.4</v>
      </c>
      <c r="Q100" s="2">
        <f>PasteHashtag!O100</f>
        <v>1.4</v>
      </c>
      <c r="R100" s="2">
        <f>PasteHashtag!P100</f>
        <v>1.5</v>
      </c>
      <c r="S100" s="2">
        <f>Mid(PasteHashtag!H100,FIND("/",PasteHashtag!H100)+1,LEN(PasteHashtag!H100)-FIND("/",PasteHashtag!H100)-1)*1</f>
        <v>7.9</v>
      </c>
      <c r="T100" s="344">
        <f>Mid(PasteHashtag!I100,FIND("/",PasteHashtag!I100)+1,LEN(PasteHashtag!I100)-FIND("/",PasteHashtag!I100)-1)*1</f>
        <v>3.1</v>
      </c>
      <c r="U100" s="11"/>
      <c r="V100" s="11"/>
      <c r="W100" s="11"/>
    </row>
    <row r="101">
      <c r="A101" s="2">
        <v>100.0</v>
      </c>
      <c r="B101" s="2">
        <f>PasteHashtag!B101</f>
        <v>111.1</v>
      </c>
      <c r="C101" s="343" t="str">
        <f>PasteHashtag!C101</f>
        <v>Khris Middleton</v>
      </c>
      <c r="D101" s="2" t="str">
        <f>PasteHashtag!D101</f>
        <v>SF</v>
      </c>
      <c r="E101" s="2" t="str">
        <f>PasteHashtag!E101</f>
        <v>MIL</v>
      </c>
      <c r="F101" s="2">
        <f>PasteHashtag!F101</f>
        <v>62</v>
      </c>
      <c r="G101" s="2">
        <f>PasteHashtag!G101</f>
        <v>28.1</v>
      </c>
      <c r="H101" s="2">
        <f>MID(PasteHashtag!H101,1+FIND("(",PasteHashtag!H101),FIND("/",PasteHashtag!H101)-FIND("(",PasteHashtag!H101)-1)*1</f>
        <v>6.2</v>
      </c>
      <c r="I101" s="2">
        <f>LEFT(PasteHashtag!H101,FIND("(",PasteHashtag!H101)-1)*1</f>
        <v>0.482</v>
      </c>
      <c r="J101" s="2">
        <f>MID(PasteHashtag!I101,1+FIND("(",PasteHashtag!I101),FIND("/",PasteHashtag!I101)-FIND("(",PasteHashtag!I101)-1)*1</f>
        <v>2.3</v>
      </c>
      <c r="K101" s="2">
        <f>LEFT(PasteHashtag!I101,FIND("(",PasteHashtag!I101)-1)*1</f>
        <v>0.867</v>
      </c>
      <c r="L101" s="2">
        <f>PasteHashtag!J101</f>
        <v>1.7</v>
      </c>
      <c r="M101" s="2">
        <f>PasteHashtag!K101</f>
        <v>16.4</v>
      </c>
      <c r="N101" s="2">
        <f>PasteHashtag!L101</f>
        <v>4.4</v>
      </c>
      <c r="O101" s="2">
        <f>PasteHashtag!M101</f>
        <v>4.7</v>
      </c>
      <c r="P101" s="2">
        <f>PasteHashtag!N101</f>
        <v>0.8</v>
      </c>
      <c r="Q101" s="2">
        <f>PasteHashtag!O101</f>
        <v>0.2</v>
      </c>
      <c r="R101" s="2">
        <f>PasteHashtag!P101</f>
        <v>2.4</v>
      </c>
      <c r="S101" s="2">
        <f>Mid(PasteHashtag!H101,FIND("/",PasteHashtag!H101)+1,LEN(PasteHashtag!H101)-FIND("/",PasteHashtag!H101)-1)*1</f>
        <v>12.9</v>
      </c>
      <c r="T101" s="344">
        <f>Mid(PasteHashtag!I101,FIND("/",PasteHashtag!I101)+1,LEN(PasteHashtag!I101)-FIND("/",PasteHashtag!I101)-1)*1</f>
        <v>2.6</v>
      </c>
      <c r="U101" s="11"/>
      <c r="V101" s="11"/>
      <c r="W101" s="11"/>
    </row>
    <row r="102">
      <c r="A102" s="2">
        <v>101.0</v>
      </c>
      <c r="B102" s="2">
        <f>PasteHashtag!B102</f>
        <v>132.8</v>
      </c>
      <c r="C102" s="343" t="str">
        <f>PasteHashtag!C102</f>
        <v>Mike Conley</v>
      </c>
      <c r="D102" s="2" t="str">
        <f>PasteHashtag!D102</f>
        <v>PG</v>
      </c>
      <c r="E102" s="2" t="str">
        <f>PasteHashtag!E102</f>
        <v>MIN</v>
      </c>
      <c r="F102" s="2">
        <f>PasteHashtag!F102</f>
        <v>72</v>
      </c>
      <c r="G102" s="2">
        <f>PasteHashtag!G102</f>
        <v>29.1</v>
      </c>
      <c r="H102" s="2">
        <f>MID(PasteHashtag!H102,1+FIND("(",PasteHashtag!H102),FIND("/",PasteHashtag!H102)-FIND("(",PasteHashtag!H102)-1)*1</f>
        <v>3.9</v>
      </c>
      <c r="I102" s="2">
        <f>LEFT(PasteHashtag!H102,FIND("(",PasteHashtag!H102)-1)*1</f>
        <v>0.442</v>
      </c>
      <c r="J102" s="2">
        <f>MID(PasteHashtag!I102,1+FIND("(",PasteHashtag!I102),FIND("/",PasteHashtag!I102)-FIND("(",PasteHashtag!I102)-1)*1</f>
        <v>1.7</v>
      </c>
      <c r="K102" s="2">
        <f>LEFT(PasteHashtag!I102,FIND("(",PasteHashtag!I102)-1)*1</f>
        <v>0.885</v>
      </c>
      <c r="L102" s="2">
        <f>PasteHashtag!J102</f>
        <v>2.2</v>
      </c>
      <c r="M102" s="2">
        <f>PasteHashtag!K102</f>
        <v>11.6</v>
      </c>
      <c r="N102" s="2">
        <f>PasteHashtag!L102</f>
        <v>2.8</v>
      </c>
      <c r="O102" s="2">
        <f>PasteHashtag!M102</f>
        <v>6</v>
      </c>
      <c r="P102" s="2">
        <f>PasteHashtag!N102</f>
        <v>1.1</v>
      </c>
      <c r="Q102" s="2">
        <f>PasteHashtag!O102</f>
        <v>0.2</v>
      </c>
      <c r="R102" s="2">
        <f>PasteHashtag!P102</f>
        <v>1.4</v>
      </c>
      <c r="S102" s="2">
        <f>Mid(PasteHashtag!H102,FIND("/",PasteHashtag!H102)+1,LEN(PasteHashtag!H102)-FIND("/",PasteHashtag!H102)-1)*1</f>
        <v>8.7</v>
      </c>
      <c r="T102" s="344">
        <f>Mid(PasteHashtag!I102,FIND("/",PasteHashtag!I102)+1,LEN(PasteHashtag!I102)-FIND("/",PasteHashtag!I102)-1)*1</f>
        <v>1.9</v>
      </c>
      <c r="U102" s="11"/>
      <c r="V102" s="11"/>
      <c r="W102" s="11"/>
    </row>
    <row r="103">
      <c r="A103" s="2">
        <v>102.0</v>
      </c>
      <c r="B103" s="2">
        <f>PasteHashtag!B103</f>
        <v>88.2</v>
      </c>
      <c r="C103" s="343" t="str">
        <f>PasteHashtag!C103</f>
        <v>Jonas Valanciunas</v>
      </c>
      <c r="D103" s="2" t="str">
        <f>PasteHashtag!D103</f>
        <v>C</v>
      </c>
      <c r="E103" s="2" t="str">
        <f>PasteHashtag!E103</f>
        <v>WAS</v>
      </c>
      <c r="F103" s="2">
        <f>PasteHashtag!F103</f>
        <v>74</v>
      </c>
      <c r="G103" s="2">
        <f>PasteHashtag!G103</f>
        <v>26.8</v>
      </c>
      <c r="H103" s="2">
        <f>MID(PasteHashtag!H103,1+FIND("(",PasteHashtag!H103),FIND("/",PasteHashtag!H103)-FIND("(",PasteHashtag!H103)-1)*1</f>
        <v>5.7</v>
      </c>
      <c r="I103" s="2">
        <f>LEFT(PasteHashtag!H103,FIND("(",PasteHashtag!H103)-1)*1</f>
        <v>0.548</v>
      </c>
      <c r="J103" s="2">
        <f>MID(PasteHashtag!I103,1+FIND("(",PasteHashtag!I103),FIND("/",PasteHashtag!I103)-FIND("(",PasteHashtag!I103)-1)*1</f>
        <v>2.3</v>
      </c>
      <c r="K103" s="2">
        <f>LEFT(PasteHashtag!I103,FIND("(",PasteHashtag!I103)-1)*1</f>
        <v>0.796</v>
      </c>
      <c r="L103" s="2">
        <f>PasteHashtag!J103</f>
        <v>0.5</v>
      </c>
      <c r="M103" s="2">
        <f>PasteHashtag!K103</f>
        <v>14.2</v>
      </c>
      <c r="N103" s="2">
        <f>PasteHashtag!L103</f>
        <v>10.3</v>
      </c>
      <c r="O103" s="2">
        <f>PasteHashtag!M103</f>
        <v>2.1</v>
      </c>
      <c r="P103" s="2">
        <f>PasteHashtag!N103</f>
        <v>0.4</v>
      </c>
      <c r="Q103" s="2">
        <f>PasteHashtag!O103</f>
        <v>0.8</v>
      </c>
      <c r="R103" s="2">
        <f>PasteHashtag!P103</f>
        <v>1.8</v>
      </c>
      <c r="S103" s="2">
        <f>Mid(PasteHashtag!H103,FIND("/",PasteHashtag!H103)+1,LEN(PasteHashtag!H103)-FIND("/",PasteHashtag!H103)-1)*1</f>
        <v>10.4</v>
      </c>
      <c r="T103" s="344">
        <f>Mid(PasteHashtag!I103,FIND("/",PasteHashtag!I103)+1,LEN(PasteHashtag!I103)-FIND("/",PasteHashtag!I103)-1)*1</f>
        <v>2.9</v>
      </c>
      <c r="U103" s="11"/>
      <c r="V103" s="11"/>
      <c r="W103" s="11"/>
    </row>
    <row r="104">
      <c r="A104" s="2">
        <v>103.0</v>
      </c>
      <c r="B104" s="2">
        <f>PasteHashtag!B104</f>
        <v>63</v>
      </c>
      <c r="C104" s="343" t="str">
        <f>PasteHashtag!C104</f>
        <v>Brandon Miller</v>
      </c>
      <c r="D104" s="2" t="str">
        <f>PasteHashtag!D104</f>
        <v>SG,SF</v>
      </c>
      <c r="E104" s="2" t="str">
        <f>PasteHashtag!E104</f>
        <v>CHA</v>
      </c>
      <c r="F104" s="2">
        <f>PasteHashtag!F104</f>
        <v>74</v>
      </c>
      <c r="G104" s="2">
        <f>PasteHashtag!G104</f>
        <v>33</v>
      </c>
      <c r="H104" s="2">
        <f>MID(PasteHashtag!H104,1+FIND("(",PasteHashtag!H104),FIND("/",PasteHashtag!H104)-FIND("(",PasteHashtag!H104)-1)*1</f>
        <v>6.7</v>
      </c>
      <c r="I104" s="2">
        <f>LEFT(PasteHashtag!H104,FIND("(",PasteHashtag!H104)-1)*1</f>
        <v>0.445</v>
      </c>
      <c r="J104" s="2">
        <f>MID(PasteHashtag!I104,1+FIND("(",PasteHashtag!I104),FIND("/",PasteHashtag!I104)-FIND("(",PasteHashtag!I104)-1)*1</f>
        <v>2.1</v>
      </c>
      <c r="K104" s="2">
        <f>LEFT(PasteHashtag!I104,FIND("(",PasteHashtag!I104)-1)*1</f>
        <v>0.837</v>
      </c>
      <c r="L104" s="2">
        <f>PasteHashtag!J104</f>
        <v>2.6</v>
      </c>
      <c r="M104" s="2">
        <f>PasteHashtag!K104</f>
        <v>18.1</v>
      </c>
      <c r="N104" s="2">
        <f>PasteHashtag!L104</f>
        <v>4.4</v>
      </c>
      <c r="O104" s="2">
        <f>PasteHashtag!M104</f>
        <v>2.5</v>
      </c>
      <c r="P104" s="2">
        <f>PasteHashtag!N104</f>
        <v>1</v>
      </c>
      <c r="Q104" s="2">
        <f>PasteHashtag!O104</f>
        <v>0.6</v>
      </c>
      <c r="R104" s="2">
        <f>PasteHashtag!P104</f>
        <v>1.9</v>
      </c>
      <c r="S104" s="2">
        <f>Mid(PasteHashtag!H104,FIND("/",PasteHashtag!H104)+1,LEN(PasteHashtag!H104)-FIND("/",PasteHashtag!H104)-1)*1</f>
        <v>15.1</v>
      </c>
      <c r="T104" s="344">
        <f>Mid(PasteHashtag!I104,FIND("/",PasteHashtag!I104)+1,LEN(PasteHashtag!I104)-FIND("/",PasteHashtag!I104)-1)*1</f>
        <v>2.5</v>
      </c>
      <c r="U104" s="11"/>
      <c r="V104" s="11"/>
      <c r="W104" s="11"/>
    </row>
    <row r="105">
      <c r="A105" s="2">
        <v>104.0</v>
      </c>
      <c r="B105" s="2">
        <f>PasteHashtag!B105</f>
        <v>116.1</v>
      </c>
      <c r="C105" s="343" t="str">
        <f>PasteHashtag!C105</f>
        <v>Tyus Jones</v>
      </c>
      <c r="D105" s="2" t="str">
        <f>PasteHashtag!D105</f>
        <v>PG</v>
      </c>
      <c r="E105" s="2" t="str">
        <f>PasteHashtag!E105</f>
        <v>PHO</v>
      </c>
      <c r="F105" s="2">
        <f>PasteHashtag!F105</f>
        <v>73</v>
      </c>
      <c r="G105" s="2">
        <f>PasteHashtag!G105</f>
        <v>29.4</v>
      </c>
      <c r="H105" s="2">
        <f>MID(PasteHashtag!H105,1+FIND("(",PasteHashtag!H105),FIND("/",PasteHashtag!H105)-FIND("(",PasteHashtag!H105)-1)*1</f>
        <v>4.8</v>
      </c>
      <c r="I105" s="2">
        <f>LEFT(PasteHashtag!H105,FIND("(",PasteHashtag!H105)-1)*1</f>
        <v>0.476</v>
      </c>
      <c r="J105" s="2">
        <f>MID(PasteHashtag!I105,1+FIND("(",PasteHashtag!I105),FIND("/",PasteHashtag!I105)-FIND("(",PasteHashtag!I105)-1)*1</f>
        <v>0.9</v>
      </c>
      <c r="K105" s="2">
        <f>LEFT(PasteHashtag!I105,FIND("(",PasteHashtag!I105)-1)*1</f>
        <v>0.802</v>
      </c>
      <c r="L105" s="2">
        <f>PasteHashtag!J105</f>
        <v>1.7</v>
      </c>
      <c r="M105" s="2">
        <f>PasteHashtag!K105</f>
        <v>12.2</v>
      </c>
      <c r="N105" s="2">
        <f>PasteHashtag!L105</f>
        <v>2.9</v>
      </c>
      <c r="O105" s="2">
        <f>PasteHashtag!M105</f>
        <v>6.8</v>
      </c>
      <c r="P105" s="2">
        <f>PasteHashtag!N105</f>
        <v>1.2</v>
      </c>
      <c r="Q105" s="2">
        <f>PasteHashtag!O105</f>
        <v>0.2</v>
      </c>
      <c r="R105" s="2">
        <f>PasteHashtag!P105</f>
        <v>1.1</v>
      </c>
      <c r="S105" s="2">
        <f>Mid(PasteHashtag!H105,FIND("/",PasteHashtag!H105)+1,LEN(PasteHashtag!H105)-FIND("/",PasteHashtag!H105)-1)*1</f>
        <v>10.1</v>
      </c>
      <c r="T105" s="344">
        <f>Mid(PasteHashtag!I105,FIND("/",PasteHashtag!I105)+1,LEN(PasteHashtag!I105)-FIND("/",PasteHashtag!I105)-1)*1</f>
        <v>1.1</v>
      </c>
      <c r="U105" s="11"/>
      <c r="V105" s="11"/>
      <c r="W105" s="11"/>
    </row>
    <row r="106">
      <c r="A106" s="2">
        <v>105.0</v>
      </c>
      <c r="B106" s="2">
        <f>PasteHashtag!B106</f>
        <v>76.9</v>
      </c>
      <c r="C106" s="343" t="str">
        <f>PasteHashtag!C106</f>
        <v>Brook Lopez</v>
      </c>
      <c r="D106" s="2" t="str">
        <f>PasteHashtag!D106</f>
        <v>C</v>
      </c>
      <c r="E106" s="2" t="str">
        <f>PasteHashtag!E106</f>
        <v>MIL</v>
      </c>
      <c r="F106" s="2">
        <f>PasteHashtag!F106</f>
        <v>70</v>
      </c>
      <c r="G106" s="2">
        <f>PasteHashtag!G106</f>
        <v>28.5</v>
      </c>
      <c r="H106" s="2">
        <f>MID(PasteHashtag!H106,1+FIND("(",PasteHashtag!H106),FIND("/",PasteHashtag!H106)-FIND("(",PasteHashtag!H106)-1)*1</f>
        <v>4.2</v>
      </c>
      <c r="I106" s="2">
        <f>LEFT(PasteHashtag!H106,FIND("(",PasteHashtag!H106)-1)*1</f>
        <v>0.471</v>
      </c>
      <c r="J106" s="2">
        <f>MID(PasteHashtag!I106,1+FIND("(",PasteHashtag!I106),FIND("/",PasteHashtag!I106)-FIND("(",PasteHashtag!I106)-1)*1</f>
        <v>1.4</v>
      </c>
      <c r="K106" s="2">
        <f>LEFT(PasteHashtag!I106,FIND("(",PasteHashtag!I106)-1)*1</f>
        <v>0.803</v>
      </c>
      <c r="L106" s="2">
        <f>PasteHashtag!J106</f>
        <v>1.7</v>
      </c>
      <c r="M106" s="2">
        <f>PasteHashtag!K106</f>
        <v>11.7</v>
      </c>
      <c r="N106" s="2">
        <f>PasteHashtag!L106</f>
        <v>4.9</v>
      </c>
      <c r="O106" s="2">
        <f>PasteHashtag!M106</f>
        <v>1.3</v>
      </c>
      <c r="P106" s="2">
        <f>PasteHashtag!N106</f>
        <v>0.5</v>
      </c>
      <c r="Q106" s="2">
        <f>PasteHashtag!O106</f>
        <v>2</v>
      </c>
      <c r="R106" s="2">
        <f>PasteHashtag!P106</f>
        <v>1</v>
      </c>
      <c r="S106" s="2">
        <f>Mid(PasteHashtag!H106,FIND("/",PasteHashtag!H106)+1,LEN(PasteHashtag!H106)-FIND("/",PasteHashtag!H106)-1)*1</f>
        <v>9</v>
      </c>
      <c r="T106" s="344">
        <f>Mid(PasteHashtag!I106,FIND("/",PasteHashtag!I106)+1,LEN(PasteHashtag!I106)-FIND("/",PasteHashtag!I106)-1)*1</f>
        <v>1.8</v>
      </c>
      <c r="U106" s="11"/>
      <c r="V106" s="11"/>
      <c r="W106" s="11"/>
    </row>
    <row r="107">
      <c r="A107" s="2">
        <v>106.0</v>
      </c>
      <c r="B107" s="2">
        <f>PasteHashtag!B107</f>
        <v>109.6</v>
      </c>
      <c r="C107" s="343" t="str">
        <f>PasteHashtag!C107</f>
        <v>Jerami Grant</v>
      </c>
      <c r="D107" s="2" t="str">
        <f>PasteHashtag!D107</f>
        <v>SF,PF</v>
      </c>
      <c r="E107" s="2" t="str">
        <f>PasteHashtag!E107</f>
        <v>POR</v>
      </c>
      <c r="F107" s="2">
        <f>PasteHashtag!F107</f>
        <v>55</v>
      </c>
      <c r="G107" s="2">
        <f>PasteHashtag!G107</f>
        <v>32.8</v>
      </c>
      <c r="H107" s="2">
        <f>MID(PasteHashtag!H107,1+FIND("(",PasteHashtag!H107),FIND("/",PasteHashtag!H107)-FIND("(",PasteHashtag!H107)-1)*1</f>
        <v>6.6</v>
      </c>
      <c r="I107" s="2">
        <f>LEFT(PasteHashtag!H107,FIND("(",PasteHashtag!H107)-1)*1</f>
        <v>0.463</v>
      </c>
      <c r="J107" s="2">
        <f>MID(PasteHashtag!I107,1+FIND("(",PasteHashtag!I107),FIND("/",PasteHashtag!I107)-FIND("(",PasteHashtag!I107)-1)*1</f>
        <v>4.3</v>
      </c>
      <c r="K107" s="2">
        <f>LEFT(PasteHashtag!I107,FIND("(",PasteHashtag!I107)-1)*1</f>
        <v>0.814</v>
      </c>
      <c r="L107" s="2">
        <f>PasteHashtag!J107</f>
        <v>2.1</v>
      </c>
      <c r="M107" s="2">
        <f>PasteHashtag!K107</f>
        <v>19.7</v>
      </c>
      <c r="N107" s="2">
        <f>PasteHashtag!L107</f>
        <v>3.9</v>
      </c>
      <c r="O107" s="2">
        <f>PasteHashtag!M107</f>
        <v>2.5</v>
      </c>
      <c r="P107" s="2">
        <f>PasteHashtag!N107</f>
        <v>0.8</v>
      </c>
      <c r="Q107" s="2">
        <f>PasteHashtag!O107</f>
        <v>0.7</v>
      </c>
      <c r="R107" s="2">
        <f>PasteHashtag!P107</f>
        <v>1.9</v>
      </c>
      <c r="S107" s="2">
        <f>Mid(PasteHashtag!H107,FIND("/",PasteHashtag!H107)+1,LEN(PasteHashtag!H107)-FIND("/",PasteHashtag!H107)-1)*1</f>
        <v>14.3</v>
      </c>
      <c r="T107" s="344">
        <f>Mid(PasteHashtag!I107,FIND("/",PasteHashtag!I107)+1,LEN(PasteHashtag!I107)-FIND("/",PasteHashtag!I107)-1)*1</f>
        <v>5.3</v>
      </c>
      <c r="U107" s="11"/>
      <c r="V107" s="11"/>
      <c r="W107" s="11"/>
    </row>
    <row r="108">
      <c r="A108" s="2">
        <v>107.0</v>
      </c>
      <c r="B108" s="2">
        <f>PasteHashtag!B108</f>
        <v>82.5</v>
      </c>
      <c r="C108" s="343" t="str">
        <f>PasteHashtag!C108</f>
        <v>Kyle Kuzma</v>
      </c>
      <c r="D108" s="2" t="str">
        <f>PasteHashtag!D108</f>
        <v>PF</v>
      </c>
      <c r="E108" s="2" t="str">
        <f>PasteHashtag!E108</f>
        <v>WAS</v>
      </c>
      <c r="F108" s="2">
        <f>PasteHashtag!F108</f>
        <v>69</v>
      </c>
      <c r="G108" s="2">
        <f>PasteHashtag!G108</f>
        <v>32.1</v>
      </c>
      <c r="H108" s="2">
        <f>MID(PasteHashtag!H108,1+FIND("(",PasteHashtag!H108),FIND("/",PasteHashtag!H108)-FIND("(",PasteHashtag!H108)-1)*1</f>
        <v>8.3</v>
      </c>
      <c r="I108" s="2">
        <f>LEFT(PasteHashtag!H108,FIND("(",PasteHashtag!H108)-1)*1</f>
        <v>0.456</v>
      </c>
      <c r="J108" s="2">
        <f>MID(PasteHashtag!I108,1+FIND("(",PasteHashtag!I108),FIND("/",PasteHashtag!I108)-FIND("(",PasteHashtag!I108)-1)*1</f>
        <v>2.8</v>
      </c>
      <c r="K108" s="2">
        <f>LEFT(PasteHashtag!I108,FIND("(",PasteHashtag!I108)-1)*1</f>
        <v>0.773</v>
      </c>
      <c r="L108" s="2">
        <f>PasteHashtag!J108</f>
        <v>2.3</v>
      </c>
      <c r="M108" s="2">
        <f>PasteHashtag!K108</f>
        <v>21.6</v>
      </c>
      <c r="N108" s="2">
        <f>PasteHashtag!L108</f>
        <v>6.9</v>
      </c>
      <c r="O108" s="2">
        <f>PasteHashtag!M108</f>
        <v>4</v>
      </c>
      <c r="P108" s="2">
        <f>PasteHashtag!N108</f>
        <v>0.5</v>
      </c>
      <c r="Q108" s="2">
        <f>PasteHashtag!O108</f>
        <v>0.6</v>
      </c>
      <c r="R108" s="2">
        <f>PasteHashtag!P108</f>
        <v>2.8</v>
      </c>
      <c r="S108" s="2">
        <f>Mid(PasteHashtag!H108,FIND("/",PasteHashtag!H108)+1,LEN(PasteHashtag!H108)-FIND("/",PasteHashtag!H108)-1)*1</f>
        <v>18.1</v>
      </c>
      <c r="T108" s="344">
        <f>Mid(PasteHashtag!I108,FIND("/",PasteHashtag!I108)+1,LEN(PasteHashtag!I108)-FIND("/",PasteHashtag!I108)-1)*1</f>
        <v>3.6</v>
      </c>
      <c r="U108" s="11"/>
      <c r="V108" s="11"/>
      <c r="W108" s="11"/>
    </row>
    <row r="109">
      <c r="A109" s="2">
        <v>108.0</v>
      </c>
      <c r="B109" s="2">
        <f>PasteHashtag!B109</f>
        <v>132.1</v>
      </c>
      <c r="C109" s="343" t="str">
        <f>PasteHashtag!C109</f>
        <v>Norman Powell</v>
      </c>
      <c r="D109" s="2" t="str">
        <f>PasteHashtag!D109</f>
        <v>SG,SF</v>
      </c>
      <c r="E109" s="2" t="str">
        <f>PasteHashtag!E109</f>
        <v>LAC</v>
      </c>
      <c r="F109" s="2">
        <f>PasteHashtag!F109</f>
        <v>69</v>
      </c>
      <c r="G109" s="2">
        <f>PasteHashtag!G109</f>
        <v>31.8</v>
      </c>
      <c r="H109" s="2">
        <f>MID(PasteHashtag!H109,1+FIND("(",PasteHashtag!H109),FIND("/",PasteHashtag!H109)-FIND("(",PasteHashtag!H109)-1)*1</f>
        <v>6.5</v>
      </c>
      <c r="I109" s="2">
        <f>LEFT(PasteHashtag!H109,FIND("(",PasteHashtag!H109)-1)*1</f>
        <v>0.482</v>
      </c>
      <c r="J109" s="2">
        <f>MID(PasteHashtag!I109,1+FIND("(",PasteHashtag!I109),FIND("/",PasteHashtag!I109)-FIND("(",PasteHashtag!I109)-1)*1</f>
        <v>3.3</v>
      </c>
      <c r="K109" s="2">
        <f>LEFT(PasteHashtag!I109,FIND("(",PasteHashtag!I109)-1)*1</f>
        <v>0.821</v>
      </c>
      <c r="L109" s="2">
        <f>PasteHashtag!J109</f>
        <v>2.6</v>
      </c>
      <c r="M109" s="2">
        <f>PasteHashtag!K109</f>
        <v>18.8</v>
      </c>
      <c r="N109" s="2">
        <f>PasteHashtag!L109</f>
        <v>3.4</v>
      </c>
      <c r="O109" s="2">
        <f>PasteHashtag!M109</f>
        <v>1.7</v>
      </c>
      <c r="P109" s="2">
        <f>PasteHashtag!N109</f>
        <v>0.8</v>
      </c>
      <c r="Q109" s="2">
        <f>PasteHashtag!O109</f>
        <v>0.4</v>
      </c>
      <c r="R109" s="2">
        <f>PasteHashtag!P109</f>
        <v>1.5</v>
      </c>
      <c r="S109" s="2">
        <f>Mid(PasteHashtag!H109,FIND("/",PasteHashtag!H109)+1,LEN(PasteHashtag!H109)-FIND("/",PasteHashtag!H109)-1)*1</f>
        <v>13.4</v>
      </c>
      <c r="T109" s="344">
        <f>Mid(PasteHashtag!I109,FIND("/",PasteHashtag!I109)+1,LEN(PasteHashtag!I109)-FIND("/",PasteHashtag!I109)-1)*1</f>
        <v>4.1</v>
      </c>
      <c r="U109" s="11"/>
      <c r="V109" s="11"/>
      <c r="W109" s="11"/>
    </row>
    <row r="110">
      <c r="A110" s="2">
        <v>109.0</v>
      </c>
      <c r="B110" s="2">
        <f>PasteHashtag!B110</f>
        <v>102.7</v>
      </c>
      <c r="C110" s="343" t="str">
        <f>PasteHashtag!C110</f>
        <v>Clint Capela</v>
      </c>
      <c r="D110" s="2" t="str">
        <f>PasteHashtag!D110</f>
        <v>C</v>
      </c>
      <c r="E110" s="2" t="str">
        <f>PasteHashtag!E110</f>
        <v>ATL</v>
      </c>
      <c r="F110" s="2">
        <f>PasteHashtag!F110</f>
        <v>70</v>
      </c>
      <c r="G110" s="2">
        <f>PasteHashtag!G110</f>
        <v>26</v>
      </c>
      <c r="H110" s="2">
        <f>MID(PasteHashtag!H110,1+FIND("(",PasteHashtag!H110),FIND("/",PasteHashtag!H110)-FIND("(",PasteHashtag!H110)-1)*1</f>
        <v>5</v>
      </c>
      <c r="I110" s="2">
        <f>LEFT(PasteHashtag!H110,FIND("(",PasteHashtag!H110)-1)*1</f>
        <v>0.597</v>
      </c>
      <c r="J110" s="2">
        <f>MID(PasteHashtag!I110,1+FIND("(",PasteHashtag!I110),FIND("/",PasteHashtag!I110)-FIND("(",PasteHashtag!I110)-1)*1</f>
        <v>1.5</v>
      </c>
      <c r="K110" s="2">
        <f>LEFT(PasteHashtag!I110,FIND("(",PasteHashtag!I110)-1)*1</f>
        <v>0.631</v>
      </c>
      <c r="L110" s="2">
        <f>PasteHashtag!J110</f>
        <v>0</v>
      </c>
      <c r="M110" s="2">
        <f>PasteHashtag!K110</f>
        <v>11.5</v>
      </c>
      <c r="N110" s="2">
        <f>PasteHashtag!L110</f>
        <v>10.7</v>
      </c>
      <c r="O110" s="2">
        <f>PasteHashtag!M110</f>
        <v>1.1</v>
      </c>
      <c r="P110" s="2">
        <f>PasteHashtag!N110</f>
        <v>0.6</v>
      </c>
      <c r="Q110" s="2">
        <f>PasteHashtag!O110</f>
        <v>1.3</v>
      </c>
      <c r="R110" s="2">
        <f>PasteHashtag!P110</f>
        <v>0.9</v>
      </c>
      <c r="S110" s="2">
        <f>Mid(PasteHashtag!H110,FIND("/",PasteHashtag!H110)+1,LEN(PasteHashtag!H110)-FIND("/",PasteHashtag!H110)-1)*1</f>
        <v>8.4</v>
      </c>
      <c r="T110" s="344">
        <f>Mid(PasteHashtag!I110,FIND("/",PasteHashtag!I110)+1,LEN(PasteHashtag!I110)-FIND("/",PasteHashtag!I110)-1)*1</f>
        <v>2.4</v>
      </c>
      <c r="U110" s="11"/>
      <c r="V110" s="11"/>
      <c r="W110" s="11"/>
    </row>
    <row r="111">
      <c r="A111" s="2">
        <v>110.0</v>
      </c>
      <c r="B111" s="2">
        <f>PasteHashtag!B111</f>
        <v>125.6</v>
      </c>
      <c r="C111" s="343" t="str">
        <f>PasteHashtag!C111</f>
        <v>Trayce Jackson-Davis</v>
      </c>
      <c r="D111" s="2" t="str">
        <f>PasteHashtag!D111</f>
        <v>PF,C</v>
      </c>
      <c r="E111" s="2" t="str">
        <f>PasteHashtag!E111</f>
        <v>GS</v>
      </c>
      <c r="F111" s="2">
        <f>PasteHashtag!F111</f>
        <v>70</v>
      </c>
      <c r="G111" s="2">
        <f>PasteHashtag!G111</f>
        <v>26.4</v>
      </c>
      <c r="H111" s="2">
        <f>MID(PasteHashtag!H111,1+FIND("(",PasteHashtag!H111),FIND("/",PasteHashtag!H111)-FIND("(",PasteHashtag!H111)-1)*1</f>
        <v>5.2</v>
      </c>
      <c r="I111" s="2">
        <f>LEFT(PasteHashtag!H111,FIND("(",PasteHashtag!H111)-1)*1</f>
        <v>0.703</v>
      </c>
      <c r="J111" s="2">
        <f>MID(PasteHashtag!I111,1+FIND("(",PasteHashtag!I111),FIND("/",PasteHashtag!I111)-FIND("(",PasteHashtag!I111)-1)*1</f>
        <v>1.7</v>
      </c>
      <c r="K111" s="2">
        <f>LEFT(PasteHashtag!I111,FIND("(",PasteHashtag!I111)-1)*1</f>
        <v>0.563</v>
      </c>
      <c r="L111" s="2">
        <f>PasteHashtag!J111</f>
        <v>0</v>
      </c>
      <c r="M111" s="2">
        <f>PasteHashtag!K111</f>
        <v>12.1</v>
      </c>
      <c r="N111" s="2">
        <f>PasteHashtag!L111</f>
        <v>7.6</v>
      </c>
      <c r="O111" s="2">
        <f>PasteHashtag!M111</f>
        <v>1.8</v>
      </c>
      <c r="P111" s="2">
        <f>PasteHashtag!N111</f>
        <v>0.6</v>
      </c>
      <c r="Q111" s="2">
        <f>PasteHashtag!O111</f>
        <v>1.6</v>
      </c>
      <c r="R111" s="2">
        <f>PasteHashtag!P111</f>
        <v>1.1</v>
      </c>
      <c r="S111" s="2">
        <f>Mid(PasteHashtag!H111,FIND("/",PasteHashtag!H111)+1,LEN(PasteHashtag!H111)-FIND("/",PasteHashtag!H111)-1)*1</f>
        <v>7.4</v>
      </c>
      <c r="T111" s="344">
        <f>Mid(PasteHashtag!I111,FIND("/",PasteHashtag!I111)+1,LEN(PasteHashtag!I111)-FIND("/",PasteHashtag!I111)-1)*1</f>
        <v>3</v>
      </c>
      <c r="U111" s="11"/>
      <c r="V111" s="11"/>
      <c r="W111" s="11"/>
    </row>
    <row r="112">
      <c r="A112" s="2">
        <v>111.0</v>
      </c>
      <c r="B112" s="2">
        <f>PasteHashtag!B112</f>
        <v>92.2</v>
      </c>
      <c r="C112" s="343" t="str">
        <f>PasteHashtag!C112</f>
        <v>Jalen Green</v>
      </c>
      <c r="D112" s="2" t="str">
        <f>PasteHashtag!D112</f>
        <v>PG,SG</v>
      </c>
      <c r="E112" s="2" t="str">
        <f>PasteHashtag!E112</f>
        <v>HOU</v>
      </c>
      <c r="F112" s="2">
        <f>PasteHashtag!F112</f>
        <v>76</v>
      </c>
      <c r="G112" s="2">
        <f>PasteHashtag!G112</f>
        <v>32</v>
      </c>
      <c r="H112" s="2">
        <f>MID(PasteHashtag!H112,1+FIND("(",PasteHashtag!H112),FIND("/",PasteHashtag!H112)-FIND("(",PasteHashtag!H112)-1)*1</f>
        <v>7</v>
      </c>
      <c r="I112" s="2">
        <f>LEFT(PasteHashtag!H112,FIND("(",PasteHashtag!H112)-1)*1</f>
        <v>0.429</v>
      </c>
      <c r="J112" s="2">
        <f>MID(PasteHashtag!I112,1+FIND("(",PasteHashtag!I112),FIND("/",PasteHashtag!I112)-FIND("(",PasteHashtag!I112)-1)*1</f>
        <v>4</v>
      </c>
      <c r="K112" s="2">
        <f>LEFT(PasteHashtag!I112,FIND("(",PasteHashtag!I112)-1)*1</f>
        <v>0.807</v>
      </c>
      <c r="L112" s="2">
        <f>PasteHashtag!J112</f>
        <v>2.4</v>
      </c>
      <c r="M112" s="2">
        <f>PasteHashtag!K112</f>
        <v>20.5</v>
      </c>
      <c r="N112" s="2">
        <f>PasteHashtag!L112</f>
        <v>4.9</v>
      </c>
      <c r="O112" s="2">
        <f>PasteHashtag!M112</f>
        <v>3.7</v>
      </c>
      <c r="P112" s="2">
        <f>PasteHashtag!N112</f>
        <v>0.9</v>
      </c>
      <c r="Q112" s="2">
        <f>PasteHashtag!O112</f>
        <v>0.3</v>
      </c>
      <c r="R112" s="2">
        <f>PasteHashtag!P112</f>
        <v>2.4</v>
      </c>
      <c r="S112" s="2">
        <f>Mid(PasteHashtag!H112,FIND("/",PasteHashtag!H112)+1,LEN(PasteHashtag!H112)-FIND("/",PasteHashtag!H112)-1)*1</f>
        <v>16.4</v>
      </c>
      <c r="T112" s="344">
        <f>Mid(PasteHashtag!I112,FIND("/",PasteHashtag!I112)+1,LEN(PasteHashtag!I112)-FIND("/",PasteHashtag!I112)-1)*1</f>
        <v>5</v>
      </c>
      <c r="U112" s="11"/>
      <c r="V112" s="11"/>
      <c r="W112" s="11"/>
    </row>
    <row r="113">
      <c r="A113" s="2">
        <v>112.0</v>
      </c>
      <c r="B113" s="2">
        <f>PasteHashtag!B113</f>
        <v>96.4</v>
      </c>
      <c r="C113" s="343" t="str">
        <f>PasteHashtag!C113</f>
        <v>Naz Reid</v>
      </c>
      <c r="D113" s="2" t="str">
        <f>PasteHashtag!D113</f>
        <v>PF,C</v>
      </c>
      <c r="E113" s="2" t="str">
        <f>PasteHashtag!E113</f>
        <v>MIN</v>
      </c>
      <c r="F113" s="2">
        <f>PasteHashtag!F113</f>
        <v>77</v>
      </c>
      <c r="G113" s="2">
        <f>PasteHashtag!G113</f>
        <v>27.1</v>
      </c>
      <c r="H113" s="2">
        <f>MID(PasteHashtag!H113,1+FIND("(",PasteHashtag!H113),FIND("/",PasteHashtag!H113)-FIND("(",PasteHashtag!H113)-1)*1</f>
        <v>5.5</v>
      </c>
      <c r="I113" s="2">
        <f>LEFT(PasteHashtag!H113,FIND("(",PasteHashtag!H113)-1)*1</f>
        <v>0.472</v>
      </c>
      <c r="J113" s="2">
        <f>MID(PasteHashtag!I113,1+FIND("(",PasteHashtag!I113),FIND("/",PasteHashtag!I113)-FIND("(",PasteHashtag!I113)-1)*1</f>
        <v>1.6</v>
      </c>
      <c r="K113" s="2">
        <f>LEFT(PasteHashtag!I113,FIND("(",PasteHashtag!I113)-1)*1</f>
        <v>0.735</v>
      </c>
      <c r="L113" s="2">
        <f>PasteHashtag!J113</f>
        <v>2</v>
      </c>
      <c r="M113" s="2">
        <f>PasteHashtag!K113</f>
        <v>14.7</v>
      </c>
      <c r="N113" s="2">
        <f>PasteHashtag!L113</f>
        <v>6.2</v>
      </c>
      <c r="O113" s="2">
        <f>PasteHashtag!M113</f>
        <v>1.5</v>
      </c>
      <c r="P113" s="2">
        <f>PasteHashtag!N113</f>
        <v>0.9</v>
      </c>
      <c r="Q113" s="2">
        <f>PasteHashtag!O113</f>
        <v>1</v>
      </c>
      <c r="R113" s="2">
        <f>PasteHashtag!P113</f>
        <v>1.7</v>
      </c>
      <c r="S113" s="2">
        <f>Mid(PasteHashtag!H113,FIND("/",PasteHashtag!H113)+1,LEN(PasteHashtag!H113)-FIND("/",PasteHashtag!H113)-1)*1</f>
        <v>11.7</v>
      </c>
      <c r="T113" s="344">
        <f>Mid(PasteHashtag!I113,FIND("/",PasteHashtag!I113)+1,LEN(PasteHashtag!I113)-FIND("/",PasteHashtag!I113)-1)*1</f>
        <v>2.2</v>
      </c>
      <c r="U113" s="11"/>
      <c r="V113" s="11"/>
      <c r="W113" s="11"/>
    </row>
    <row r="114">
      <c r="A114" s="2">
        <v>113.0</v>
      </c>
      <c r="B114" s="2">
        <f>PasteHashtag!B114</f>
        <v>63.6</v>
      </c>
      <c r="C114" s="343" t="str">
        <f>PasteHashtag!C114</f>
        <v>Julius Randle</v>
      </c>
      <c r="D114" s="2" t="str">
        <f>PasteHashtag!D114</f>
        <v>PF</v>
      </c>
      <c r="E114" s="2" t="str">
        <f>PasteHashtag!E114</f>
        <v>MIN</v>
      </c>
      <c r="F114" s="2">
        <f>PasteHashtag!F114</f>
        <v>68</v>
      </c>
      <c r="G114" s="2">
        <f>PasteHashtag!G114</f>
        <v>32.4</v>
      </c>
      <c r="H114" s="2">
        <f>MID(PasteHashtag!H114,1+FIND("(",PasteHashtag!H114),FIND("/",PasteHashtag!H114)-FIND("(",PasteHashtag!H114)-1)*1</f>
        <v>7.3</v>
      </c>
      <c r="I114" s="2">
        <f>LEFT(PasteHashtag!H114,FIND("(",PasteHashtag!H114)-1)*1</f>
        <v>0.477</v>
      </c>
      <c r="J114" s="2">
        <f>MID(PasteHashtag!I114,1+FIND("(",PasteHashtag!I114),FIND("/",PasteHashtag!I114)-FIND("(",PasteHashtag!I114)-1)*1</f>
        <v>4.2</v>
      </c>
      <c r="K114" s="2">
        <f>LEFT(PasteHashtag!I114,FIND("(",PasteHashtag!I114)-1)*1</f>
        <v>0.78</v>
      </c>
      <c r="L114" s="2">
        <f>PasteHashtag!J114</f>
        <v>1.4</v>
      </c>
      <c r="M114" s="2">
        <f>PasteHashtag!K114</f>
        <v>20.3</v>
      </c>
      <c r="N114" s="2">
        <f>PasteHashtag!L114</f>
        <v>8.5</v>
      </c>
      <c r="O114" s="2">
        <f>PasteHashtag!M114</f>
        <v>3.9</v>
      </c>
      <c r="P114" s="2">
        <f>PasteHashtag!N114</f>
        <v>0.5</v>
      </c>
      <c r="Q114" s="2">
        <f>PasteHashtag!O114</f>
        <v>0.2</v>
      </c>
      <c r="R114" s="2">
        <f>PasteHashtag!P114</f>
        <v>2.6</v>
      </c>
      <c r="S114" s="2">
        <f>Mid(PasteHashtag!H114,FIND("/",PasteHashtag!H114)+1,LEN(PasteHashtag!H114)-FIND("/",PasteHashtag!H114)-1)*1</f>
        <v>15.3</v>
      </c>
      <c r="T114" s="344">
        <f>Mid(PasteHashtag!I114,FIND("/",PasteHashtag!I114)+1,LEN(PasteHashtag!I114)-FIND("/",PasteHashtag!I114)-1)*1</f>
        <v>5.4</v>
      </c>
      <c r="U114" s="11"/>
      <c r="V114" s="11"/>
      <c r="W114" s="11"/>
    </row>
    <row r="115">
      <c r="A115" s="2">
        <v>114.0</v>
      </c>
      <c r="B115" s="2">
        <f>PasteHashtag!B115</f>
        <v>110.3</v>
      </c>
      <c r="C115" s="343" t="str">
        <f>PasteHashtag!C115</f>
        <v>Donte DiVincenzo</v>
      </c>
      <c r="D115" s="2" t="str">
        <f>PasteHashtag!D115</f>
        <v>SG,SF</v>
      </c>
      <c r="E115" s="2" t="str">
        <f>PasteHashtag!E115</f>
        <v>MIN</v>
      </c>
      <c r="F115" s="2">
        <f>PasteHashtag!F115</f>
        <v>73</v>
      </c>
      <c r="G115" s="2">
        <f>PasteHashtag!G115</f>
        <v>27.3</v>
      </c>
      <c r="H115" s="2">
        <f>MID(PasteHashtag!H115,1+FIND("(",PasteHashtag!H115),FIND("/",PasteHashtag!H115)-FIND("(",PasteHashtag!H115)-1)*1</f>
        <v>4.5</v>
      </c>
      <c r="I115" s="2">
        <f>LEFT(PasteHashtag!H115,FIND("(",PasteHashtag!H115)-1)*1</f>
        <v>0.444</v>
      </c>
      <c r="J115" s="2">
        <f>MID(PasteHashtag!I115,1+FIND("(",PasteHashtag!I115),FIND("/",PasteHashtag!I115)-FIND("(",PasteHashtag!I115)-1)*1</f>
        <v>0.9</v>
      </c>
      <c r="K115" s="2">
        <f>LEFT(PasteHashtag!I115,FIND("(",PasteHashtag!I115)-1)*1</f>
        <v>0.786</v>
      </c>
      <c r="L115" s="2">
        <f>PasteHashtag!J115</f>
        <v>2.7</v>
      </c>
      <c r="M115" s="2">
        <f>PasteHashtag!K115</f>
        <v>12.7</v>
      </c>
      <c r="N115" s="2">
        <f>PasteHashtag!L115</f>
        <v>3.9</v>
      </c>
      <c r="O115" s="2">
        <f>PasteHashtag!M115</f>
        <v>3</v>
      </c>
      <c r="P115" s="2">
        <f>PasteHashtag!N115</f>
        <v>1.3</v>
      </c>
      <c r="Q115" s="2">
        <f>PasteHashtag!O115</f>
        <v>0.3</v>
      </c>
      <c r="R115" s="2">
        <f>PasteHashtag!P115</f>
        <v>1.4</v>
      </c>
      <c r="S115" s="2">
        <f>Mid(PasteHashtag!H115,FIND("/",PasteHashtag!H115)+1,LEN(PasteHashtag!H115)-FIND("/",PasteHashtag!H115)-1)*1</f>
        <v>10.1</v>
      </c>
      <c r="T115" s="344">
        <f>Mid(PasteHashtag!I115,FIND("/",PasteHashtag!I115)+1,LEN(PasteHashtag!I115)-FIND("/",PasteHashtag!I115)-1)*1</f>
        <v>1.2</v>
      </c>
      <c r="U115" s="11"/>
      <c r="V115" s="11"/>
      <c r="W115" s="11"/>
    </row>
    <row r="116">
      <c r="A116" s="2">
        <v>115.0</v>
      </c>
      <c r="B116" s="2">
        <f>PasteHashtag!B116</f>
        <v>106.7</v>
      </c>
      <c r="C116" s="343" t="str">
        <f>PasteHashtag!C116</f>
        <v>John Collins</v>
      </c>
      <c r="D116" s="2" t="str">
        <f>PasteHashtag!D116</f>
        <v>PF,C</v>
      </c>
      <c r="E116" s="2" t="str">
        <f>PasteHashtag!E116</f>
        <v>UTA</v>
      </c>
      <c r="F116" s="2">
        <f>PasteHashtag!F116</f>
        <v>67</v>
      </c>
      <c r="G116" s="2">
        <f>PasteHashtag!G116</f>
        <v>27.2</v>
      </c>
      <c r="H116" s="2">
        <f>MID(PasteHashtag!H116,1+FIND("(",PasteHashtag!H116),FIND("/",PasteHashtag!H116)-FIND("(",PasteHashtag!H116)-1)*1</f>
        <v>5.3</v>
      </c>
      <c r="I116" s="2">
        <f>LEFT(PasteHashtag!H116,FIND("(",PasteHashtag!H116)-1)*1</f>
        <v>0.52</v>
      </c>
      <c r="J116" s="2">
        <f>MID(PasteHashtag!I116,1+FIND("(",PasteHashtag!I116),FIND("/",PasteHashtag!I116)-FIND("(",PasteHashtag!I116)-1)*1</f>
        <v>2</v>
      </c>
      <c r="K116" s="2">
        <f>LEFT(PasteHashtag!I116,FIND("(",PasteHashtag!I116)-1)*1</f>
        <v>0.796</v>
      </c>
      <c r="L116" s="2">
        <f>PasteHashtag!J116</f>
        <v>1.1</v>
      </c>
      <c r="M116" s="2">
        <f>PasteHashtag!K116</f>
        <v>13.7</v>
      </c>
      <c r="N116" s="2">
        <f>PasteHashtag!L116</f>
        <v>7.3</v>
      </c>
      <c r="O116" s="2">
        <f>PasteHashtag!M116</f>
        <v>1.1</v>
      </c>
      <c r="P116" s="2">
        <f>PasteHashtag!N116</f>
        <v>0.6</v>
      </c>
      <c r="Q116" s="2">
        <f>PasteHashtag!O116</f>
        <v>0.9</v>
      </c>
      <c r="R116" s="2">
        <f>PasteHashtag!P116</f>
        <v>1.2</v>
      </c>
      <c r="S116" s="2">
        <f>Mid(PasteHashtag!H116,FIND("/",PasteHashtag!H116)+1,LEN(PasteHashtag!H116)-FIND("/",PasteHashtag!H116)-1)*1</f>
        <v>10.2</v>
      </c>
      <c r="T116" s="344">
        <f>Mid(PasteHashtag!I116,FIND("/",PasteHashtag!I116)+1,LEN(PasteHashtag!I116)-FIND("/",PasteHashtag!I116)-1)*1</f>
        <v>2.6</v>
      </c>
      <c r="U116" s="11"/>
      <c r="V116" s="11"/>
      <c r="W116" s="11"/>
    </row>
    <row r="117">
      <c r="A117" s="2">
        <v>116.0</v>
      </c>
      <c r="B117" s="2">
        <f>PasteHashtag!B117</f>
        <v>103.8</v>
      </c>
      <c r="C117" s="343" t="str">
        <f>PasteHashtag!C117</f>
        <v>Chris Paul</v>
      </c>
      <c r="D117" s="2" t="str">
        <f>PasteHashtag!D117</f>
        <v>PG</v>
      </c>
      <c r="E117" s="2" t="str">
        <f>PasteHashtag!E117</f>
        <v>SA</v>
      </c>
      <c r="F117" s="2">
        <f>PasteHashtag!F117</f>
        <v>58</v>
      </c>
      <c r="G117" s="2">
        <f>PasteHashtag!G117</f>
        <v>26.4</v>
      </c>
      <c r="H117" s="2">
        <f>MID(PasteHashtag!H117,1+FIND("(",PasteHashtag!H117),FIND("/",PasteHashtag!H117)-FIND("(",PasteHashtag!H117)-1)*1</f>
        <v>3.8</v>
      </c>
      <c r="I117" s="2">
        <f>LEFT(PasteHashtag!H117,FIND("(",PasteHashtag!H117)-1)*1</f>
        <v>0.441</v>
      </c>
      <c r="J117" s="2">
        <f>MID(PasteHashtag!I117,1+FIND("(",PasteHashtag!I117),FIND("/",PasteHashtag!I117)-FIND("(",PasteHashtag!I117)-1)*1</f>
        <v>1.3</v>
      </c>
      <c r="K117" s="2">
        <f>LEFT(PasteHashtag!I117,FIND("(",PasteHashtag!I117)-1)*1</f>
        <v>0.831</v>
      </c>
      <c r="L117" s="2">
        <f>PasteHashtag!J117</f>
        <v>1.3</v>
      </c>
      <c r="M117" s="2">
        <f>PasteHashtag!K117</f>
        <v>10.2</v>
      </c>
      <c r="N117" s="2">
        <f>PasteHashtag!L117</f>
        <v>3.6</v>
      </c>
      <c r="O117" s="2">
        <f>PasteHashtag!M117</f>
        <v>6.9</v>
      </c>
      <c r="P117" s="2">
        <f>PasteHashtag!N117</f>
        <v>1.2</v>
      </c>
      <c r="Q117" s="2">
        <f>PasteHashtag!O117</f>
        <v>0.2</v>
      </c>
      <c r="R117" s="2">
        <f>PasteHashtag!P117</f>
        <v>1.4</v>
      </c>
      <c r="S117" s="2">
        <f>Mid(PasteHashtag!H117,FIND("/",PasteHashtag!H117)+1,LEN(PasteHashtag!H117)-FIND("/",PasteHashtag!H117)-1)*1</f>
        <v>8.6</v>
      </c>
      <c r="T117" s="344">
        <f>Mid(PasteHashtag!I117,FIND("/",PasteHashtag!I117)+1,LEN(PasteHashtag!I117)-FIND("/",PasteHashtag!I117)-1)*1</f>
        <v>1.6</v>
      </c>
      <c r="U117" s="11"/>
      <c r="V117" s="11"/>
      <c r="W117" s="11"/>
    </row>
    <row r="118">
      <c r="A118" s="2">
        <v>117.0</v>
      </c>
      <c r="B118" s="2">
        <f>PasteHashtag!B118</f>
        <v>84.2</v>
      </c>
      <c r="C118" s="343" t="str">
        <f>PasteHashtag!C118</f>
        <v>Jusuf Nurkic</v>
      </c>
      <c r="D118" s="2" t="str">
        <f>PasteHashtag!D118</f>
        <v>C</v>
      </c>
      <c r="E118" s="2" t="str">
        <f>PasteHashtag!E118</f>
        <v>PHO</v>
      </c>
      <c r="F118" s="2">
        <f>PasteHashtag!F118</f>
        <v>68</v>
      </c>
      <c r="G118" s="2">
        <f>PasteHashtag!G118</f>
        <v>27.5</v>
      </c>
      <c r="H118" s="2">
        <f>MID(PasteHashtag!H118,1+FIND("(",PasteHashtag!H118),FIND("/",PasteHashtag!H118)-FIND("(",PasteHashtag!H118)-1)*1</f>
        <v>4.7</v>
      </c>
      <c r="I118" s="2">
        <f>LEFT(PasteHashtag!H118,FIND("(",PasteHashtag!H118)-1)*1</f>
        <v>0.514</v>
      </c>
      <c r="J118" s="2">
        <f>MID(PasteHashtag!I118,1+FIND("(",PasteHashtag!I118),FIND("/",PasteHashtag!I118)-FIND("(",PasteHashtag!I118)-1)*1</f>
        <v>2.4</v>
      </c>
      <c r="K118" s="2">
        <f>LEFT(PasteHashtag!I118,FIND("(",PasteHashtag!I118)-1)*1</f>
        <v>0.647</v>
      </c>
      <c r="L118" s="2">
        <f>PasteHashtag!J118</f>
        <v>0.5</v>
      </c>
      <c r="M118" s="2">
        <f>PasteHashtag!K118</f>
        <v>12.2</v>
      </c>
      <c r="N118" s="2">
        <f>PasteHashtag!L118</f>
        <v>10.5</v>
      </c>
      <c r="O118" s="2">
        <f>PasteHashtag!M118</f>
        <v>3.6</v>
      </c>
      <c r="P118" s="2">
        <f>PasteHashtag!N118</f>
        <v>1</v>
      </c>
      <c r="Q118" s="2">
        <f>PasteHashtag!O118</f>
        <v>1</v>
      </c>
      <c r="R118" s="2">
        <f>PasteHashtag!P118</f>
        <v>2.4</v>
      </c>
      <c r="S118" s="2">
        <f>Mid(PasteHashtag!H118,FIND("/",PasteHashtag!H118)+1,LEN(PasteHashtag!H118)-FIND("/",PasteHashtag!H118)-1)*1</f>
        <v>9.1</v>
      </c>
      <c r="T118" s="344">
        <f>Mid(PasteHashtag!I118,FIND("/",PasteHashtag!I118)+1,LEN(PasteHashtag!I118)-FIND("/",PasteHashtag!I118)-1)*1</f>
        <v>3.6</v>
      </c>
      <c r="U118" s="11"/>
      <c r="V118" s="11"/>
      <c r="W118" s="11"/>
    </row>
    <row r="119">
      <c r="A119" s="2">
        <v>118.0</v>
      </c>
      <c r="B119" s="2">
        <f>PasteHashtag!B119</f>
        <v>124</v>
      </c>
      <c r="C119" s="343" t="str">
        <f>PasteHashtag!C119</f>
        <v>Cameron Johnson</v>
      </c>
      <c r="D119" s="2" t="str">
        <f>PasteHashtag!D119</f>
        <v>SF,PF</v>
      </c>
      <c r="E119" s="2" t="str">
        <f>PasteHashtag!E119</f>
        <v>BKN</v>
      </c>
      <c r="F119" s="2">
        <f>PasteHashtag!F119</f>
        <v>60</v>
      </c>
      <c r="G119" s="2">
        <f>PasteHashtag!G119</f>
        <v>28.6</v>
      </c>
      <c r="H119" s="2">
        <f>MID(PasteHashtag!H119,1+FIND("(",PasteHashtag!H119),FIND("/",PasteHashtag!H119)-FIND("(",PasteHashtag!H119)-1)*1</f>
        <v>5.2</v>
      </c>
      <c r="I119" s="2">
        <f>LEFT(PasteHashtag!H119,FIND("(",PasteHashtag!H119)-1)*1</f>
        <v>0.457</v>
      </c>
      <c r="J119" s="2">
        <f>MID(PasteHashtag!I119,1+FIND("(",PasteHashtag!I119),FIND("/",PasteHashtag!I119)-FIND("(",PasteHashtag!I119)-1)*1</f>
        <v>1.9</v>
      </c>
      <c r="K119" s="2">
        <f>LEFT(PasteHashtag!I119,FIND("(",PasteHashtag!I119)-1)*1</f>
        <v>0.818</v>
      </c>
      <c r="L119" s="2">
        <f>PasteHashtag!J119</f>
        <v>2.5</v>
      </c>
      <c r="M119" s="2">
        <f>PasteHashtag!K119</f>
        <v>14.7</v>
      </c>
      <c r="N119" s="2">
        <f>PasteHashtag!L119</f>
        <v>4.5</v>
      </c>
      <c r="O119" s="2">
        <f>PasteHashtag!M119</f>
        <v>2.2</v>
      </c>
      <c r="P119" s="2">
        <f>PasteHashtag!N119</f>
        <v>1</v>
      </c>
      <c r="Q119" s="2">
        <f>PasteHashtag!O119</f>
        <v>0.3</v>
      </c>
      <c r="R119" s="2">
        <f>PasteHashtag!P119</f>
        <v>1</v>
      </c>
      <c r="S119" s="2">
        <f>Mid(PasteHashtag!H119,FIND("/",PasteHashtag!H119)+1,LEN(PasteHashtag!H119)-FIND("/",PasteHashtag!H119)-1)*1</f>
        <v>11.3</v>
      </c>
      <c r="T119" s="344">
        <f>Mid(PasteHashtag!I119,FIND("/",PasteHashtag!I119)+1,LEN(PasteHashtag!I119)-FIND("/",PasteHashtag!I119)-1)*1</f>
        <v>2.4</v>
      </c>
      <c r="U119" s="11"/>
      <c r="V119" s="11"/>
      <c r="W119" s="11"/>
    </row>
    <row r="120">
      <c r="A120" s="2">
        <v>119.0</v>
      </c>
      <c r="B120" s="2">
        <f>PasteHashtag!B120</f>
        <v>105.4</v>
      </c>
      <c r="C120" s="343" t="str">
        <f>PasteHashtag!C120</f>
        <v>Terry Rozier</v>
      </c>
      <c r="D120" s="2" t="str">
        <f>PasteHashtag!D120</f>
        <v>PG</v>
      </c>
      <c r="E120" s="2" t="str">
        <f>PasteHashtag!E120</f>
        <v>MIA</v>
      </c>
      <c r="F120" s="2">
        <f>PasteHashtag!F120</f>
        <v>68</v>
      </c>
      <c r="G120" s="2">
        <f>PasteHashtag!G120</f>
        <v>31.6</v>
      </c>
      <c r="H120" s="2">
        <f>MID(PasteHashtag!H120,1+FIND("(",PasteHashtag!H120),FIND("/",PasteHashtag!H120)-FIND("(",PasteHashtag!H120)-1)*1</f>
        <v>6.5</v>
      </c>
      <c r="I120" s="2">
        <f>LEFT(PasteHashtag!H120,FIND("(",PasteHashtag!H120)-1)*1</f>
        <v>0.435</v>
      </c>
      <c r="J120" s="2">
        <f>MID(PasteHashtag!I120,1+FIND("(",PasteHashtag!I120),FIND("/",PasteHashtag!I120)-FIND("(",PasteHashtag!I120)-1)*1</f>
        <v>2.4</v>
      </c>
      <c r="K120" s="2">
        <f>LEFT(PasteHashtag!I120,FIND("(",PasteHashtag!I120)-1)*1</f>
        <v>0.842</v>
      </c>
      <c r="L120" s="2">
        <f>PasteHashtag!J120</f>
        <v>2.2</v>
      </c>
      <c r="M120" s="2">
        <f>PasteHashtag!K120</f>
        <v>17.7</v>
      </c>
      <c r="N120" s="2">
        <f>PasteHashtag!L120</f>
        <v>3.5</v>
      </c>
      <c r="O120" s="2">
        <f>PasteHashtag!M120</f>
        <v>4.5</v>
      </c>
      <c r="P120" s="2">
        <f>PasteHashtag!N120</f>
        <v>1</v>
      </c>
      <c r="Q120" s="2">
        <f>PasteHashtag!O120</f>
        <v>0.3</v>
      </c>
      <c r="R120" s="2">
        <f>PasteHashtag!P120</f>
        <v>1.7</v>
      </c>
      <c r="S120" s="2">
        <f>Mid(PasteHashtag!H120,FIND("/",PasteHashtag!H120)+1,LEN(PasteHashtag!H120)-FIND("/",PasteHashtag!H120)-1)*1</f>
        <v>15</v>
      </c>
      <c r="T120" s="344">
        <f>Mid(PasteHashtag!I120,FIND("/",PasteHashtag!I120)+1,LEN(PasteHashtag!I120)-FIND("/",PasteHashtag!I120)-1)*1</f>
        <v>2.9</v>
      </c>
      <c r="U120" s="11"/>
      <c r="V120" s="11"/>
      <c r="W120" s="11"/>
    </row>
    <row r="121">
      <c r="A121" s="2">
        <v>120.0</v>
      </c>
      <c r="B121" s="2">
        <f>PasteHashtag!B121</f>
        <v>142</v>
      </c>
      <c r="C121" s="343" t="str">
        <f>PasteHashtag!C121</f>
        <v>De'Anthony Melton</v>
      </c>
      <c r="D121" s="2" t="str">
        <f>PasteHashtag!D121</f>
        <v>PG,SG</v>
      </c>
      <c r="E121" s="2" t="str">
        <f>PasteHashtag!E121</f>
        <v>GS</v>
      </c>
      <c r="F121" s="2">
        <f>PasteHashtag!F121</f>
        <v>68</v>
      </c>
      <c r="G121" s="2">
        <f>PasteHashtag!G121</f>
        <v>25.3</v>
      </c>
      <c r="H121" s="2">
        <f>MID(PasteHashtag!H121,1+FIND("(",PasteHashtag!H121),FIND("/",PasteHashtag!H121)-FIND("(",PasteHashtag!H121)-1)*1</f>
        <v>3.5</v>
      </c>
      <c r="I121" s="2">
        <f>LEFT(PasteHashtag!H121,FIND("(",PasteHashtag!H121)-1)*1</f>
        <v>0.42</v>
      </c>
      <c r="J121" s="2">
        <f>MID(PasteHashtag!I121,1+FIND("(",PasteHashtag!I121),FIND("/",PasteHashtag!I121)-FIND("(",PasteHashtag!I121)-1)*1</f>
        <v>1.1</v>
      </c>
      <c r="K121" s="2">
        <f>LEFT(PasteHashtag!I121,FIND("(",PasteHashtag!I121)-1)*1</f>
        <v>0.819</v>
      </c>
      <c r="L121" s="2">
        <f>PasteHashtag!J121</f>
        <v>2</v>
      </c>
      <c r="M121" s="2">
        <f>PasteHashtag!K121</f>
        <v>10.1</v>
      </c>
      <c r="N121" s="2">
        <f>PasteHashtag!L121</f>
        <v>3.8</v>
      </c>
      <c r="O121" s="2">
        <f>PasteHashtag!M121</f>
        <v>2.6</v>
      </c>
      <c r="P121" s="2">
        <f>PasteHashtag!N121</f>
        <v>1.6</v>
      </c>
      <c r="Q121" s="2">
        <f>PasteHashtag!O121</f>
        <v>0.5</v>
      </c>
      <c r="R121" s="2">
        <f>PasteHashtag!P121</f>
        <v>1.2</v>
      </c>
      <c r="S121" s="2">
        <f>Mid(PasteHashtag!H121,FIND("/",PasteHashtag!H121)+1,LEN(PasteHashtag!H121)-FIND("/",PasteHashtag!H121)-1)*1</f>
        <v>8.3</v>
      </c>
      <c r="T121" s="344">
        <f>Mid(PasteHashtag!I121,FIND("/",PasteHashtag!I121)+1,LEN(PasteHashtag!I121)-FIND("/",PasteHashtag!I121)-1)*1</f>
        <v>1.4</v>
      </c>
      <c r="U121" s="11"/>
      <c r="V121" s="11"/>
      <c r="W121" s="11"/>
    </row>
    <row r="122">
      <c r="A122" s="2">
        <v>121.0</v>
      </c>
      <c r="B122" s="2">
        <f>PasteHashtag!B122</f>
        <v>146.3</v>
      </c>
      <c r="C122" s="343" t="str">
        <f>PasteHashtag!C122</f>
        <v>Keon Ellis</v>
      </c>
      <c r="D122" s="2" t="str">
        <f>PasteHashtag!D122</f>
        <v>SG,SF</v>
      </c>
      <c r="E122" s="2" t="str">
        <f>PasteHashtag!E122</f>
        <v>SAC</v>
      </c>
      <c r="F122" s="2">
        <f>PasteHashtag!F122</f>
        <v>68</v>
      </c>
      <c r="G122" s="2">
        <f>PasteHashtag!G122</f>
        <v>26.4</v>
      </c>
      <c r="H122" s="2">
        <f>MID(PasteHashtag!H122,1+FIND("(",PasteHashtag!H122),FIND("/",PasteHashtag!H122)-FIND("(",PasteHashtag!H122)-1)*1</f>
        <v>2.9</v>
      </c>
      <c r="I122" s="2">
        <f>LEFT(PasteHashtag!H122,FIND("(",PasteHashtag!H122)-1)*1</f>
        <v>0.461</v>
      </c>
      <c r="J122" s="2">
        <f>MID(PasteHashtag!I122,1+FIND("(",PasteHashtag!I122),FIND("/",PasteHashtag!I122)-FIND("(",PasteHashtag!I122)-1)*1</f>
        <v>0.8</v>
      </c>
      <c r="K122" s="2">
        <f>LEFT(PasteHashtag!I122,FIND("(",PasteHashtag!I122)-1)*1</f>
        <v>0.735</v>
      </c>
      <c r="L122" s="2">
        <f>PasteHashtag!J122</f>
        <v>1.9</v>
      </c>
      <c r="M122" s="2">
        <f>PasteHashtag!K122</f>
        <v>8.4</v>
      </c>
      <c r="N122" s="2">
        <f>PasteHashtag!L122</f>
        <v>3.3</v>
      </c>
      <c r="O122" s="2">
        <f>PasteHashtag!M122</f>
        <v>2.3</v>
      </c>
      <c r="P122" s="2">
        <f>PasteHashtag!N122</f>
        <v>1.4</v>
      </c>
      <c r="Q122" s="2">
        <f>PasteHashtag!O122</f>
        <v>0.8</v>
      </c>
      <c r="R122" s="2">
        <f>PasteHashtag!P122</f>
        <v>1</v>
      </c>
      <c r="S122" s="2">
        <f>Mid(PasteHashtag!H122,FIND("/",PasteHashtag!H122)+1,LEN(PasteHashtag!H122)-FIND("/",PasteHashtag!H122)-1)*1</f>
        <v>6.2</v>
      </c>
      <c r="T122" s="344">
        <f>Mid(PasteHashtag!I122,FIND("/",PasteHashtag!I122)+1,LEN(PasteHashtag!I122)-FIND("/",PasteHashtag!I122)-1)*1</f>
        <v>1</v>
      </c>
      <c r="U122" s="11"/>
      <c r="V122" s="11"/>
      <c r="W122" s="11"/>
    </row>
    <row r="123">
      <c r="A123" s="2">
        <v>122.0</v>
      </c>
      <c r="B123" s="2">
        <f>PasteHashtag!B123</f>
        <v>116.6</v>
      </c>
      <c r="C123" s="343" t="str">
        <f>PasteHashtag!C123</f>
        <v>Brandin Podziemski</v>
      </c>
      <c r="D123" s="2" t="str">
        <f>PasteHashtag!D123</f>
        <v>SG</v>
      </c>
      <c r="E123" s="2" t="str">
        <f>PasteHashtag!E123</f>
        <v>GS</v>
      </c>
      <c r="F123" s="2">
        <f>PasteHashtag!F123</f>
        <v>74</v>
      </c>
      <c r="G123" s="2">
        <f>PasteHashtag!G123</f>
        <v>29.5</v>
      </c>
      <c r="H123" s="2">
        <f>MID(PasteHashtag!H123,1+FIND("(",PasteHashtag!H123),FIND("/",PasteHashtag!H123)-FIND("(",PasteHashtag!H123)-1)*1</f>
        <v>4.4</v>
      </c>
      <c r="I123" s="2">
        <f>LEFT(PasteHashtag!H123,FIND("(",PasteHashtag!H123)-1)*1</f>
        <v>0.459</v>
      </c>
      <c r="J123" s="2">
        <f>MID(PasteHashtag!I123,1+FIND("(",PasteHashtag!I123),FIND("/",PasteHashtag!I123)-FIND("(",PasteHashtag!I123)-1)*1</f>
        <v>0.9</v>
      </c>
      <c r="K123" s="2">
        <f>LEFT(PasteHashtag!I123,FIND("(",PasteHashtag!I123)-1)*1</f>
        <v>0.664</v>
      </c>
      <c r="L123" s="2">
        <f>PasteHashtag!J123</f>
        <v>1.5</v>
      </c>
      <c r="M123" s="2">
        <f>PasteHashtag!K123</f>
        <v>11.2</v>
      </c>
      <c r="N123" s="2">
        <f>PasteHashtag!L123</f>
        <v>6.9</v>
      </c>
      <c r="O123" s="2">
        <f>PasteHashtag!M123</f>
        <v>4.4</v>
      </c>
      <c r="P123" s="2">
        <f>PasteHashtag!N123</f>
        <v>1.2</v>
      </c>
      <c r="Q123" s="2">
        <f>PasteHashtag!O123</f>
        <v>0.2</v>
      </c>
      <c r="R123" s="2">
        <f>PasteHashtag!P123</f>
        <v>1.4</v>
      </c>
      <c r="S123" s="2">
        <f>Mid(PasteHashtag!H123,FIND("/",PasteHashtag!H123)+1,LEN(PasteHashtag!H123)-FIND("/",PasteHashtag!H123)-1)*1</f>
        <v>9.7</v>
      </c>
      <c r="T123" s="344">
        <f>Mid(PasteHashtag!I123,FIND("/",PasteHashtag!I123)+1,LEN(PasteHashtag!I123)-FIND("/",PasteHashtag!I123)-1)*1</f>
        <v>1.3</v>
      </c>
      <c r="U123" s="11"/>
      <c r="V123" s="11"/>
      <c r="W123" s="11"/>
    </row>
    <row r="124">
      <c r="A124" s="2">
        <v>123.0</v>
      </c>
      <c r="B124" s="2">
        <f>PasteHashtag!B124</f>
        <v>139</v>
      </c>
      <c r="C124" s="343" t="str">
        <f>PasteHashtag!C124</f>
        <v>Dennis Schröder</v>
      </c>
      <c r="D124" s="2" t="str">
        <f>PasteHashtag!D124</f>
        <v>PG</v>
      </c>
      <c r="E124" s="2" t="str">
        <f>PasteHashtag!E124</f>
        <v>BKN</v>
      </c>
      <c r="F124" s="2">
        <f>PasteHashtag!F124</f>
        <v>70</v>
      </c>
      <c r="G124" s="2">
        <f>PasteHashtag!G124</f>
        <v>31</v>
      </c>
      <c r="H124" s="2">
        <f>MID(PasteHashtag!H124,1+FIND("(",PasteHashtag!H124),FIND("/",PasteHashtag!H124)-FIND("(",PasteHashtag!H124)-1)*1</f>
        <v>5.2</v>
      </c>
      <c r="I124" s="2">
        <f>LEFT(PasteHashtag!H124,FIND("(",PasteHashtag!H124)-1)*1</f>
        <v>0.435</v>
      </c>
      <c r="J124" s="2">
        <f>MID(PasteHashtag!I124,1+FIND("(",PasteHashtag!I124),FIND("/",PasteHashtag!I124)-FIND("(",PasteHashtag!I124)-1)*1</f>
        <v>2.9</v>
      </c>
      <c r="K124" s="2">
        <f>LEFT(PasteHashtag!I124,FIND("(",PasteHashtag!I124)-1)*1</f>
        <v>0.847</v>
      </c>
      <c r="L124" s="2">
        <f>PasteHashtag!J124</f>
        <v>1.7</v>
      </c>
      <c r="M124" s="2">
        <f>PasteHashtag!K124</f>
        <v>15.1</v>
      </c>
      <c r="N124" s="2">
        <f>PasteHashtag!L124</f>
        <v>3</v>
      </c>
      <c r="O124" s="2">
        <f>PasteHashtag!M124</f>
        <v>5.9</v>
      </c>
      <c r="P124" s="2">
        <f>PasteHashtag!N124</f>
        <v>0.8</v>
      </c>
      <c r="Q124" s="2">
        <f>PasteHashtag!O124</f>
        <v>0.2</v>
      </c>
      <c r="R124" s="2">
        <f>PasteHashtag!P124</f>
        <v>2</v>
      </c>
      <c r="S124" s="2">
        <f>Mid(PasteHashtag!H124,FIND("/",PasteHashtag!H124)+1,LEN(PasteHashtag!H124)-FIND("/",PasteHashtag!H124)-1)*1</f>
        <v>12</v>
      </c>
      <c r="T124" s="344">
        <f>Mid(PasteHashtag!I124,FIND("/",PasteHashtag!I124)+1,LEN(PasteHashtag!I124)-FIND("/",PasteHashtag!I124)-1)*1</f>
        <v>3.5</v>
      </c>
      <c r="U124" s="11"/>
      <c r="V124" s="11"/>
      <c r="W124" s="11"/>
    </row>
    <row r="125">
      <c r="A125" s="2">
        <v>124.0</v>
      </c>
      <c r="B125" s="2">
        <f>PasteHashtag!B125</f>
        <v>91</v>
      </c>
      <c r="C125" s="343" t="str">
        <f>PasteHashtag!C125</f>
        <v>Jonathan Kuminga</v>
      </c>
      <c r="D125" s="2" t="str">
        <f>PasteHashtag!D125</f>
        <v>PF</v>
      </c>
      <c r="E125" s="2" t="str">
        <f>PasteHashtag!E125</f>
        <v>GS</v>
      </c>
      <c r="F125" s="2">
        <f>PasteHashtag!F125</f>
        <v>72</v>
      </c>
      <c r="G125" s="2">
        <f>PasteHashtag!G125</f>
        <v>28.6</v>
      </c>
      <c r="H125" s="2">
        <f>MID(PasteHashtag!H125,1+FIND("(",PasteHashtag!H125),FIND("/",PasteHashtag!H125)-FIND("(",PasteHashtag!H125)-1)*1</f>
        <v>6.2</v>
      </c>
      <c r="I125" s="2">
        <f>LEFT(PasteHashtag!H125,FIND("(",PasteHashtag!H125)-1)*1</f>
        <v>0.527</v>
      </c>
      <c r="J125" s="2">
        <f>MID(PasteHashtag!I125,1+FIND("(",PasteHashtag!I125),FIND("/",PasteHashtag!I125)-FIND("(",PasteHashtag!I125)-1)*1</f>
        <v>2.9</v>
      </c>
      <c r="K125" s="2">
        <f>LEFT(PasteHashtag!I125,FIND("(",PasteHashtag!I125)-1)*1</f>
        <v>0.759</v>
      </c>
      <c r="L125" s="2">
        <f>PasteHashtag!J125</f>
        <v>0.9</v>
      </c>
      <c r="M125" s="2">
        <f>PasteHashtag!K125</f>
        <v>16.2</v>
      </c>
      <c r="N125" s="2">
        <f>PasteHashtag!L125</f>
        <v>5.1</v>
      </c>
      <c r="O125" s="2">
        <f>PasteHashtag!M125</f>
        <v>2.5</v>
      </c>
      <c r="P125" s="2">
        <f>PasteHashtag!N125</f>
        <v>0.8</v>
      </c>
      <c r="Q125" s="2">
        <f>PasteHashtag!O125</f>
        <v>0.6</v>
      </c>
      <c r="R125" s="2">
        <f>PasteHashtag!P125</f>
        <v>1.9</v>
      </c>
      <c r="S125" s="2">
        <f>Mid(PasteHashtag!H125,FIND("/",PasteHashtag!H125)+1,LEN(PasteHashtag!H125)-FIND("/",PasteHashtag!H125)-1)*1</f>
        <v>11.7</v>
      </c>
      <c r="T125" s="344">
        <f>Mid(PasteHashtag!I125,FIND("/",PasteHashtag!I125)+1,LEN(PasteHashtag!I125)-FIND("/",PasteHashtag!I125)-1)*1</f>
        <v>3.8</v>
      </c>
      <c r="U125" s="11"/>
      <c r="V125" s="11"/>
      <c r="W125" s="11"/>
    </row>
    <row r="126">
      <c r="A126" s="2">
        <v>125.0</v>
      </c>
      <c r="B126" s="2">
        <f>PasteHashtag!B126</f>
        <v>130.7</v>
      </c>
      <c r="C126" s="343" t="str">
        <f>PasteHashtag!C126</f>
        <v>Marcus Smart</v>
      </c>
      <c r="D126" s="2" t="str">
        <f>PasteHashtag!D126</f>
        <v>PG,SG</v>
      </c>
      <c r="E126" s="2" t="str">
        <f>PasteHashtag!E126</f>
        <v>MEM</v>
      </c>
      <c r="F126" s="2">
        <f>PasteHashtag!F126</f>
        <v>65</v>
      </c>
      <c r="G126" s="2">
        <f>PasteHashtag!G126</f>
        <v>31</v>
      </c>
      <c r="H126" s="2">
        <f>MID(PasteHashtag!H126,1+FIND("(",PasteHashtag!H126),FIND("/",PasteHashtag!H126)-FIND("(",PasteHashtag!H126)-1)*1</f>
        <v>4.3</v>
      </c>
      <c r="I126" s="2">
        <f>LEFT(PasteHashtag!H126,FIND("(",PasteHashtag!H126)-1)*1</f>
        <v>0.42</v>
      </c>
      <c r="J126" s="2">
        <f>MID(PasteHashtag!I126,1+FIND("(",PasteHashtag!I126),FIND("/",PasteHashtag!I126)-FIND("(",PasteHashtag!I126)-1)*1</f>
        <v>1.6</v>
      </c>
      <c r="K126" s="2">
        <f>LEFT(PasteHashtag!I126,FIND("(",PasteHashtag!I126)-1)*1</f>
        <v>0.751</v>
      </c>
      <c r="L126" s="2">
        <f>PasteHashtag!J126</f>
        <v>1.9</v>
      </c>
      <c r="M126" s="2">
        <f>PasteHashtag!K126</f>
        <v>12.1</v>
      </c>
      <c r="N126" s="2">
        <f>PasteHashtag!L126</f>
        <v>3</v>
      </c>
      <c r="O126" s="2">
        <f>PasteHashtag!M126</f>
        <v>4.7</v>
      </c>
      <c r="P126" s="2">
        <f>PasteHashtag!N126</f>
        <v>1.6</v>
      </c>
      <c r="Q126" s="2">
        <f>PasteHashtag!O126</f>
        <v>0.3</v>
      </c>
      <c r="R126" s="2">
        <f>PasteHashtag!P126</f>
        <v>2.5</v>
      </c>
      <c r="S126" s="2">
        <f>Mid(PasteHashtag!H126,FIND("/",PasteHashtag!H126)+1,LEN(PasteHashtag!H126)-FIND("/",PasteHashtag!H126)-1)*1</f>
        <v>10.3</v>
      </c>
      <c r="T126" s="344">
        <f>Mid(PasteHashtag!I126,FIND("/",PasteHashtag!I126)+1,LEN(PasteHashtag!I126)-FIND("/",PasteHashtag!I126)-1)*1</f>
        <v>2.1</v>
      </c>
      <c r="U126" s="11"/>
      <c r="V126" s="11"/>
      <c r="W126" s="11"/>
    </row>
    <row r="127">
      <c r="A127" s="2">
        <v>126.0</v>
      </c>
      <c r="B127" s="2">
        <f>PasteHashtag!B127</f>
        <v>144.3</v>
      </c>
      <c r="C127" s="343" t="str">
        <f>PasteHashtag!C127</f>
        <v>Jalen Smith</v>
      </c>
      <c r="D127" s="2" t="str">
        <f>PasteHashtag!D127</f>
        <v>PF,C</v>
      </c>
      <c r="E127" s="2" t="str">
        <f>PasteHashtag!E127</f>
        <v>CHI</v>
      </c>
      <c r="F127" s="2">
        <f>PasteHashtag!F127</f>
        <v>64</v>
      </c>
      <c r="G127" s="2">
        <f>PasteHashtag!G127</f>
        <v>25</v>
      </c>
      <c r="H127" s="2">
        <f>MID(PasteHashtag!H127,1+FIND("(",PasteHashtag!H127),FIND("/",PasteHashtag!H127)-FIND("(",PasteHashtag!H127)-1)*1</f>
        <v>5</v>
      </c>
      <c r="I127" s="2">
        <f>LEFT(PasteHashtag!H127,FIND("(",PasteHashtag!H127)-1)*1</f>
        <v>0.537</v>
      </c>
      <c r="J127" s="2">
        <f>MID(PasteHashtag!I127,1+FIND("(",PasteHashtag!I127),FIND("/",PasteHashtag!I127)-FIND("(",PasteHashtag!I127)-1)*1</f>
        <v>1.7</v>
      </c>
      <c r="K127" s="2">
        <f>LEFT(PasteHashtag!I127,FIND("(",PasteHashtag!I127)-1)*1</f>
        <v>0.711</v>
      </c>
      <c r="L127" s="2">
        <f>PasteHashtag!J127</f>
        <v>1.3</v>
      </c>
      <c r="M127" s="2">
        <f>PasteHashtag!K127</f>
        <v>12.9</v>
      </c>
      <c r="N127" s="2">
        <f>PasteHashtag!L127</f>
        <v>7.6</v>
      </c>
      <c r="O127" s="2">
        <f>PasteHashtag!M127</f>
        <v>1.3</v>
      </c>
      <c r="P127" s="2">
        <f>PasteHashtag!N127</f>
        <v>0.4</v>
      </c>
      <c r="Q127" s="2">
        <f>PasteHashtag!O127</f>
        <v>1</v>
      </c>
      <c r="R127" s="2">
        <f>PasteHashtag!P127</f>
        <v>1.2</v>
      </c>
      <c r="S127" s="2">
        <f>Mid(PasteHashtag!H127,FIND("/",PasteHashtag!H127)+1,LEN(PasteHashtag!H127)-FIND("/",PasteHashtag!H127)-1)*1</f>
        <v>9.2</v>
      </c>
      <c r="T127" s="344">
        <f>Mid(PasteHashtag!I127,FIND("/",PasteHashtag!I127)+1,LEN(PasteHashtag!I127)-FIND("/",PasteHashtag!I127)-1)*1</f>
        <v>2.4</v>
      </c>
      <c r="U127" s="11"/>
      <c r="V127" s="11"/>
      <c r="W127" s="11"/>
    </row>
    <row r="128">
      <c r="A128" s="2">
        <v>127.0</v>
      </c>
      <c r="B128" s="2">
        <f>PasteHashtag!B128</f>
        <v>145.4</v>
      </c>
      <c r="C128" s="343" t="str">
        <f>PasteHashtag!C128</f>
        <v>Corey Kispert</v>
      </c>
      <c r="D128" s="2" t="str">
        <f>PasteHashtag!D128</f>
        <v>SG,SF</v>
      </c>
      <c r="E128" s="2" t="str">
        <f>PasteHashtag!E128</f>
        <v>WAS</v>
      </c>
      <c r="F128" s="2">
        <f>PasteHashtag!F128</f>
        <v>77</v>
      </c>
      <c r="G128" s="2">
        <f>PasteHashtag!G128</f>
        <v>31</v>
      </c>
      <c r="H128" s="2">
        <f>MID(PasteHashtag!H128,1+FIND("(",PasteHashtag!H128),FIND("/",PasteHashtag!H128)-FIND("(",PasteHashtag!H128)-1)*1</f>
        <v>5.4</v>
      </c>
      <c r="I128" s="2">
        <f>LEFT(PasteHashtag!H128,FIND("(",PasteHashtag!H128)-1)*1</f>
        <v>0.484</v>
      </c>
      <c r="J128" s="2">
        <f>MID(PasteHashtag!I128,1+FIND("(",PasteHashtag!I128),FIND("/",PasteHashtag!I128)-FIND("(",PasteHashtag!I128)-1)*1</f>
        <v>1.7</v>
      </c>
      <c r="K128" s="2">
        <f>LEFT(PasteHashtag!I128,FIND("(",PasteHashtag!I128)-1)*1</f>
        <v>0.821</v>
      </c>
      <c r="L128" s="2">
        <f>PasteHashtag!J128</f>
        <v>2.7</v>
      </c>
      <c r="M128" s="2">
        <f>PasteHashtag!K128</f>
        <v>15.1</v>
      </c>
      <c r="N128" s="2">
        <f>PasteHashtag!L128</f>
        <v>3.4</v>
      </c>
      <c r="O128" s="2">
        <f>PasteHashtag!M128</f>
        <v>2.4</v>
      </c>
      <c r="P128" s="2">
        <f>PasteHashtag!N128</f>
        <v>0.7</v>
      </c>
      <c r="Q128" s="2">
        <f>PasteHashtag!O128</f>
        <v>0.2</v>
      </c>
      <c r="R128" s="2">
        <f>PasteHashtag!P128</f>
        <v>1.2</v>
      </c>
      <c r="S128" s="2">
        <f>Mid(PasteHashtag!H128,FIND("/",PasteHashtag!H128)+1,LEN(PasteHashtag!H128)-FIND("/",PasteHashtag!H128)-1)*1</f>
        <v>11.1</v>
      </c>
      <c r="T128" s="344">
        <f>Mid(PasteHashtag!I128,FIND("/",PasteHashtag!I128)+1,LEN(PasteHashtag!I128)-FIND("/",PasteHashtag!I128)-1)*1</f>
        <v>2</v>
      </c>
      <c r="U128" s="11"/>
      <c r="V128" s="11"/>
      <c r="W128" s="11"/>
    </row>
    <row r="129">
      <c r="A129" s="2">
        <v>128.0</v>
      </c>
      <c r="B129" s="2">
        <f>PasteHashtag!B129</f>
        <v>126.5</v>
      </c>
      <c r="C129" s="343" t="str">
        <f>PasteHashtag!C129</f>
        <v>Buddy Hield</v>
      </c>
      <c r="D129" s="2" t="str">
        <f>PasteHashtag!D129</f>
        <v>SG,SF</v>
      </c>
      <c r="E129" s="2" t="str">
        <f>PasteHashtag!E129</f>
        <v>GS</v>
      </c>
      <c r="F129" s="2">
        <f>PasteHashtag!F129</f>
        <v>78</v>
      </c>
      <c r="G129" s="2">
        <f>PasteHashtag!G129</f>
        <v>27.8</v>
      </c>
      <c r="H129" s="2">
        <f>MID(PasteHashtag!H129,1+FIND("(",PasteHashtag!H129),FIND("/",PasteHashtag!H129)-FIND("(",PasteHashtag!H129)-1)*1</f>
        <v>4.8</v>
      </c>
      <c r="I129" s="2">
        <f>LEFT(PasteHashtag!H129,FIND("(",PasteHashtag!H129)-1)*1</f>
        <v>0.445</v>
      </c>
      <c r="J129" s="2">
        <f>MID(PasteHashtag!I129,1+FIND("(",PasteHashtag!I129),FIND("/",PasteHashtag!I129)-FIND("(",PasteHashtag!I129)-1)*1</f>
        <v>0.9</v>
      </c>
      <c r="K129" s="2">
        <f>LEFT(PasteHashtag!I129,FIND("(",PasteHashtag!I129)-1)*1</f>
        <v>0.835</v>
      </c>
      <c r="L129" s="2">
        <f>PasteHashtag!J129</f>
        <v>2.7</v>
      </c>
      <c r="M129" s="2">
        <f>PasteHashtag!K129</f>
        <v>13.2</v>
      </c>
      <c r="N129" s="2">
        <f>PasteHashtag!L129</f>
        <v>3.8</v>
      </c>
      <c r="O129" s="2">
        <f>PasteHashtag!M129</f>
        <v>2.7</v>
      </c>
      <c r="P129" s="2">
        <f>PasteHashtag!N129</f>
        <v>0.9</v>
      </c>
      <c r="Q129" s="2">
        <f>PasteHashtag!O129</f>
        <v>0.4</v>
      </c>
      <c r="R129" s="2">
        <f>PasteHashtag!P129</f>
        <v>1.4</v>
      </c>
      <c r="S129" s="2">
        <f>Mid(PasteHashtag!H129,FIND("/",PasteHashtag!H129)+1,LEN(PasteHashtag!H129)-FIND("/",PasteHashtag!H129)-1)*1</f>
        <v>10.7</v>
      </c>
      <c r="T129" s="344">
        <f>Mid(PasteHashtag!I129,FIND("/",PasteHashtag!I129)+1,LEN(PasteHashtag!I129)-FIND("/",PasteHashtag!I129)-1)*1</f>
        <v>1.1</v>
      </c>
      <c r="U129" s="11"/>
      <c r="V129" s="11"/>
      <c r="W129" s="11"/>
    </row>
    <row r="130">
      <c r="A130" s="2">
        <v>129.0</v>
      </c>
      <c r="B130" s="2">
        <f>PasteHashtag!B130</f>
        <v>106.5</v>
      </c>
      <c r="C130" s="343" t="str">
        <f>PasteHashtag!C130</f>
        <v>Klay Thompson</v>
      </c>
      <c r="D130" s="2" t="str">
        <f>PasteHashtag!D130</f>
        <v>SG,SF</v>
      </c>
      <c r="E130" s="2" t="str">
        <f>PasteHashtag!E130</f>
        <v>DAL</v>
      </c>
      <c r="F130" s="2">
        <f>PasteHashtag!F130</f>
        <v>70</v>
      </c>
      <c r="G130" s="2">
        <f>PasteHashtag!G130</f>
        <v>29.4</v>
      </c>
      <c r="H130" s="2">
        <f>MID(PasteHashtag!H130,1+FIND("(",PasteHashtag!H130),FIND("/",PasteHashtag!H130)-FIND("(",PasteHashtag!H130)-1)*1</f>
        <v>6.2</v>
      </c>
      <c r="I130" s="2">
        <f>LEFT(PasteHashtag!H130,FIND("(",PasteHashtag!H130)-1)*1</f>
        <v>0.434</v>
      </c>
      <c r="J130" s="2">
        <f>MID(PasteHashtag!I130,1+FIND("(",PasteHashtag!I130),FIND("/",PasteHashtag!I130)-FIND("(",PasteHashtag!I130)-1)*1</f>
        <v>1.5</v>
      </c>
      <c r="K130" s="2">
        <f>LEFT(PasteHashtag!I130,FIND("(",PasteHashtag!I130)-1)*1</f>
        <v>0.901</v>
      </c>
      <c r="L130" s="2">
        <f>PasteHashtag!J130</f>
        <v>3.4</v>
      </c>
      <c r="M130" s="2">
        <f>PasteHashtag!K130</f>
        <v>17.2</v>
      </c>
      <c r="N130" s="2">
        <f>PasteHashtag!L130</f>
        <v>3.2</v>
      </c>
      <c r="O130" s="2">
        <f>PasteHashtag!M130</f>
        <v>2</v>
      </c>
      <c r="P130" s="2">
        <f>PasteHashtag!N130</f>
        <v>0.6</v>
      </c>
      <c r="Q130" s="2">
        <f>PasteHashtag!O130</f>
        <v>0.4</v>
      </c>
      <c r="R130" s="2">
        <f>PasteHashtag!P130</f>
        <v>1.4</v>
      </c>
      <c r="S130" s="2">
        <f>Mid(PasteHashtag!H130,FIND("/",PasteHashtag!H130)+1,LEN(PasteHashtag!H130)-FIND("/",PasteHashtag!H130)-1)*1</f>
        <v>14.3</v>
      </c>
      <c r="T130" s="344">
        <f>Mid(PasteHashtag!I130,FIND("/",PasteHashtag!I130)+1,LEN(PasteHashtag!I130)-FIND("/",PasteHashtag!I130)-1)*1</f>
        <v>1.6</v>
      </c>
      <c r="U130" s="11"/>
      <c r="V130" s="11"/>
      <c r="W130" s="11"/>
    </row>
    <row r="131">
      <c r="A131" s="2">
        <v>130.0</v>
      </c>
      <c r="B131" s="2">
        <f>PasteHashtag!B131</f>
        <v>138.2</v>
      </c>
      <c r="C131" s="343" t="str">
        <f>PasteHashtag!C131</f>
        <v>Grayson Allen</v>
      </c>
      <c r="D131" s="2" t="str">
        <f>PasteHashtag!D131</f>
        <v>PG,SG</v>
      </c>
      <c r="E131" s="2" t="str">
        <f>PasteHashtag!E131</f>
        <v>PHO</v>
      </c>
      <c r="F131" s="2">
        <f>PasteHashtag!F131</f>
        <v>73</v>
      </c>
      <c r="G131" s="2">
        <f>PasteHashtag!G131</f>
        <v>27.4</v>
      </c>
      <c r="H131" s="2">
        <f>MID(PasteHashtag!H131,1+FIND("(",PasteHashtag!H131),FIND("/",PasteHashtag!H131)-FIND("(",PasteHashtag!H131)-1)*1</f>
        <v>3.9</v>
      </c>
      <c r="I131" s="2">
        <f>LEFT(PasteHashtag!H131,FIND("(",PasteHashtag!H131)-1)*1</f>
        <v>0.485</v>
      </c>
      <c r="J131" s="2">
        <f>MID(PasteHashtag!I131,1+FIND("(",PasteHashtag!I131),FIND("/",PasteHashtag!I131)-FIND("(",PasteHashtag!I131)-1)*1</f>
        <v>1.5</v>
      </c>
      <c r="K131" s="2">
        <f>LEFT(PasteHashtag!I131,FIND("(",PasteHashtag!I131)-1)*1</f>
        <v>0.893</v>
      </c>
      <c r="L131" s="2">
        <f>PasteHashtag!J131</f>
        <v>2.2</v>
      </c>
      <c r="M131" s="2">
        <f>PasteHashtag!K131</f>
        <v>11.4</v>
      </c>
      <c r="N131" s="2">
        <f>PasteHashtag!L131</f>
        <v>3.3</v>
      </c>
      <c r="O131" s="2">
        <f>PasteHashtag!M131</f>
        <v>2.4</v>
      </c>
      <c r="P131" s="2">
        <f>PasteHashtag!N131</f>
        <v>0.8</v>
      </c>
      <c r="Q131" s="2">
        <f>PasteHashtag!O131</f>
        <v>0.4</v>
      </c>
      <c r="R131" s="2">
        <f>PasteHashtag!P131</f>
        <v>1</v>
      </c>
      <c r="S131" s="2">
        <f>Mid(PasteHashtag!H131,FIND("/",PasteHashtag!H131)+1,LEN(PasteHashtag!H131)-FIND("/",PasteHashtag!H131)-1)*1</f>
        <v>8</v>
      </c>
      <c r="T131" s="344">
        <f>Mid(PasteHashtag!I131,FIND("/",PasteHashtag!I131)+1,LEN(PasteHashtag!I131)-FIND("/",PasteHashtag!I131)-1)*1</f>
        <v>1.7</v>
      </c>
      <c r="U131" s="11"/>
      <c r="V131" s="11"/>
      <c r="W131" s="11"/>
    </row>
    <row r="132">
      <c r="A132" s="2">
        <v>131.0</v>
      </c>
      <c r="B132" s="2">
        <f>PasteHashtag!B132</f>
        <v>144.9</v>
      </c>
      <c r="C132" s="343" t="str">
        <f>PasteHashtag!C132</f>
        <v>Terance Mann</v>
      </c>
      <c r="D132" s="2" t="str">
        <f>PasteHashtag!D132</f>
        <v>SG,SF</v>
      </c>
      <c r="E132" s="2" t="str">
        <f>PasteHashtag!E132</f>
        <v>LAC</v>
      </c>
      <c r="F132" s="2">
        <f>PasteHashtag!F132</f>
        <v>76</v>
      </c>
      <c r="G132" s="2">
        <f>PasteHashtag!G132</f>
        <v>29</v>
      </c>
      <c r="H132" s="2">
        <f>MID(PasteHashtag!H132,1+FIND("(",PasteHashtag!H132),FIND("/",PasteHashtag!H132)-FIND("(",PasteHashtag!H132)-1)*1</f>
        <v>5</v>
      </c>
      <c r="I132" s="2">
        <f>LEFT(PasteHashtag!H132,FIND("(",PasteHashtag!H132)-1)*1</f>
        <v>0.513</v>
      </c>
      <c r="J132" s="2">
        <f>MID(PasteHashtag!I132,1+FIND("(",PasteHashtag!I132),FIND("/",PasteHashtag!I132)-FIND("(",PasteHashtag!I132)-1)*1</f>
        <v>1.5</v>
      </c>
      <c r="K132" s="2">
        <f>LEFT(PasteHashtag!I132,FIND("(",PasteHashtag!I132)-1)*1</f>
        <v>0.806</v>
      </c>
      <c r="L132" s="2">
        <f>PasteHashtag!J132</f>
        <v>1.3</v>
      </c>
      <c r="M132" s="2">
        <f>PasteHashtag!K132</f>
        <v>12.9</v>
      </c>
      <c r="N132" s="2">
        <f>PasteHashtag!L132</f>
        <v>4.8</v>
      </c>
      <c r="O132" s="2">
        <f>PasteHashtag!M132</f>
        <v>2.7</v>
      </c>
      <c r="P132" s="2">
        <f>PasteHashtag!N132</f>
        <v>0.8</v>
      </c>
      <c r="Q132" s="2">
        <f>PasteHashtag!O132</f>
        <v>0.4</v>
      </c>
      <c r="R132" s="2">
        <f>PasteHashtag!P132</f>
        <v>1.1</v>
      </c>
      <c r="S132" s="2">
        <f>Mid(PasteHashtag!H132,FIND("/",PasteHashtag!H132)+1,LEN(PasteHashtag!H132)-FIND("/",PasteHashtag!H132)-1)*1</f>
        <v>9.8</v>
      </c>
      <c r="T132" s="344">
        <f>Mid(PasteHashtag!I132,FIND("/",PasteHashtag!I132)+1,LEN(PasteHashtag!I132)-FIND("/",PasteHashtag!I132)-1)*1</f>
        <v>1.9</v>
      </c>
      <c r="U132" s="11"/>
      <c r="V132" s="11"/>
      <c r="W132" s="11"/>
    </row>
    <row r="133">
      <c r="A133" s="2">
        <v>132.0</v>
      </c>
      <c r="B133" s="2">
        <f>PasteHashtag!B133</f>
        <v>115.9</v>
      </c>
      <c r="C133" s="343" t="str">
        <f>PasteHashtag!C133</f>
        <v>Bobby Portis</v>
      </c>
      <c r="D133" s="2" t="str">
        <f>PasteHashtag!D133</f>
        <v>PF,C</v>
      </c>
      <c r="E133" s="2" t="str">
        <f>PasteHashtag!E133</f>
        <v>MIL</v>
      </c>
      <c r="F133" s="2">
        <f>PasteHashtag!F133</f>
        <v>74</v>
      </c>
      <c r="G133" s="2">
        <f>PasteHashtag!G133</f>
        <v>25.2</v>
      </c>
      <c r="H133" s="2">
        <f>MID(PasteHashtag!H133,1+FIND("(",PasteHashtag!H133),FIND("/",PasteHashtag!H133)-FIND("(",PasteHashtag!H133)-1)*1</f>
        <v>5.8</v>
      </c>
      <c r="I133" s="2">
        <f>LEFT(PasteHashtag!H133,FIND("(",PasteHashtag!H133)-1)*1</f>
        <v>0.502</v>
      </c>
      <c r="J133" s="2">
        <f>MID(PasteHashtag!I133,1+FIND("(",PasteHashtag!I133),FIND("/",PasteHashtag!I133)-FIND("(",PasteHashtag!I133)-1)*1</f>
        <v>1.3</v>
      </c>
      <c r="K133" s="2">
        <f>LEFT(PasteHashtag!I133,FIND("(",PasteHashtag!I133)-1)*1</f>
        <v>0.777</v>
      </c>
      <c r="L133" s="2">
        <f>PasteHashtag!J133</f>
        <v>1.3</v>
      </c>
      <c r="M133" s="2">
        <f>PasteHashtag!K133</f>
        <v>14.1</v>
      </c>
      <c r="N133" s="2">
        <f>PasteHashtag!L133</f>
        <v>8.3</v>
      </c>
      <c r="O133" s="2">
        <f>PasteHashtag!M133</f>
        <v>1.4</v>
      </c>
      <c r="P133" s="2">
        <f>PasteHashtag!N133</f>
        <v>0.7</v>
      </c>
      <c r="Q133" s="2">
        <f>PasteHashtag!O133</f>
        <v>0.3</v>
      </c>
      <c r="R133" s="2">
        <f>PasteHashtag!P133</f>
        <v>1.1</v>
      </c>
      <c r="S133" s="2">
        <f>Mid(PasteHashtag!H133,FIND("/",PasteHashtag!H133)+1,LEN(PasteHashtag!H133)-FIND("/",PasteHashtag!H133)-1)*1</f>
        <v>11.5</v>
      </c>
      <c r="T133" s="344">
        <f>Mid(PasteHashtag!I133,FIND("/",PasteHashtag!I133)+1,LEN(PasteHashtag!I133)-FIND("/",PasteHashtag!I133)-1)*1</f>
        <v>1.7</v>
      </c>
      <c r="U133" s="11"/>
      <c r="V133" s="11"/>
      <c r="W133" s="11"/>
    </row>
    <row r="134">
      <c r="A134" s="2">
        <v>133.0</v>
      </c>
      <c r="B134" s="2">
        <f>PasteHashtag!B134</f>
        <v>118.7</v>
      </c>
      <c r="C134" s="343" t="str">
        <f>PasteHashtag!C134</f>
        <v>Keyonte George</v>
      </c>
      <c r="D134" s="2" t="str">
        <f>PasteHashtag!D134</f>
        <v>PG,SG</v>
      </c>
      <c r="E134" s="2" t="str">
        <f>PasteHashtag!E134</f>
        <v>UTA</v>
      </c>
      <c r="F134" s="2">
        <f>PasteHashtag!F134</f>
        <v>73</v>
      </c>
      <c r="G134" s="2">
        <f>PasteHashtag!G134</f>
        <v>31.6</v>
      </c>
      <c r="H134" s="2">
        <f>MID(PasteHashtag!H134,1+FIND("(",PasteHashtag!H134),FIND("/",PasteHashtag!H134)-FIND("(",PasteHashtag!H134)-1)*1</f>
        <v>5.4</v>
      </c>
      <c r="I134" s="2">
        <f>LEFT(PasteHashtag!H134,FIND("(",PasteHashtag!H134)-1)*1</f>
        <v>0.422</v>
      </c>
      <c r="J134" s="2">
        <f>MID(PasteHashtag!I134,1+FIND("(",PasteHashtag!I134),FIND("/",PasteHashtag!I134)-FIND("(",PasteHashtag!I134)-1)*1</f>
        <v>3</v>
      </c>
      <c r="K134" s="2">
        <f>LEFT(PasteHashtag!I134,FIND("(",PasteHashtag!I134)-1)*1</f>
        <v>0.851</v>
      </c>
      <c r="L134" s="2">
        <f>PasteHashtag!J134</f>
        <v>2.4</v>
      </c>
      <c r="M134" s="2">
        <f>PasteHashtag!K134</f>
        <v>16.3</v>
      </c>
      <c r="N134" s="2">
        <f>PasteHashtag!L134</f>
        <v>3.3</v>
      </c>
      <c r="O134" s="2">
        <f>PasteHashtag!M134</f>
        <v>5.2</v>
      </c>
      <c r="P134" s="2">
        <f>PasteHashtag!N134</f>
        <v>0.6</v>
      </c>
      <c r="Q134" s="2">
        <f>PasteHashtag!O134</f>
        <v>0.2</v>
      </c>
      <c r="R134" s="2">
        <f>PasteHashtag!P134</f>
        <v>2.6</v>
      </c>
      <c r="S134" s="2">
        <f>Mid(PasteHashtag!H134,FIND("/",PasteHashtag!H134)+1,LEN(PasteHashtag!H134)-FIND("/",PasteHashtag!H134)-1)*1</f>
        <v>12.9</v>
      </c>
      <c r="T134" s="344">
        <f>Mid(PasteHashtag!I134,FIND("/",PasteHashtag!I134)+1,LEN(PasteHashtag!I134)-FIND("/",PasteHashtag!I134)-1)*1</f>
        <v>3.5</v>
      </c>
      <c r="U134" s="11"/>
      <c r="V134" s="11"/>
      <c r="W134" s="11"/>
    </row>
    <row r="135">
      <c r="A135" s="2">
        <v>134.0</v>
      </c>
      <c r="B135" s="2">
        <f>PasteHashtag!B135</f>
        <v>140.4</v>
      </c>
      <c r="C135" s="343" t="str">
        <f>PasteHashtag!C135</f>
        <v>Kentavious Caldwell-Pope</v>
      </c>
      <c r="D135" s="2" t="str">
        <f>PasteHashtag!D135</f>
        <v>SG,SF</v>
      </c>
      <c r="E135" s="2" t="str">
        <f>PasteHashtag!E135</f>
        <v>ORL</v>
      </c>
      <c r="F135" s="2">
        <f>PasteHashtag!F135</f>
        <v>76</v>
      </c>
      <c r="G135" s="2">
        <f>PasteHashtag!G135</f>
        <v>30.1</v>
      </c>
      <c r="H135" s="2">
        <f>MID(PasteHashtag!H135,1+FIND("(",PasteHashtag!H135),FIND("/",PasteHashtag!H135)-FIND("(",PasteHashtag!H135)-1)*1</f>
        <v>3.6</v>
      </c>
      <c r="I135" s="2">
        <f>LEFT(PasteHashtag!H135,FIND("(",PasteHashtag!H135)-1)*1</f>
        <v>0.461</v>
      </c>
      <c r="J135" s="2">
        <f>MID(PasteHashtag!I135,1+FIND("(",PasteHashtag!I135),FIND("/",PasteHashtag!I135)-FIND("(",PasteHashtag!I135)-1)*1</f>
        <v>1.3</v>
      </c>
      <c r="K135" s="2">
        <f>LEFT(PasteHashtag!I135,FIND("(",PasteHashtag!I135)-1)*1</f>
        <v>0.861</v>
      </c>
      <c r="L135" s="2">
        <f>PasteHashtag!J135</f>
        <v>1.7</v>
      </c>
      <c r="M135" s="2">
        <f>PasteHashtag!K135</f>
        <v>10.1</v>
      </c>
      <c r="N135" s="2">
        <f>PasteHashtag!L135</f>
        <v>2.5</v>
      </c>
      <c r="O135" s="2">
        <f>PasteHashtag!M135</f>
        <v>2.3</v>
      </c>
      <c r="P135" s="2">
        <f>PasteHashtag!N135</f>
        <v>1.3</v>
      </c>
      <c r="Q135" s="2">
        <f>PasteHashtag!O135</f>
        <v>0.5</v>
      </c>
      <c r="R135" s="2">
        <f>PasteHashtag!P135</f>
        <v>1</v>
      </c>
      <c r="S135" s="2">
        <f>Mid(PasteHashtag!H135,FIND("/",PasteHashtag!H135)+1,LEN(PasteHashtag!H135)-FIND("/",PasteHashtag!H135)-1)*1</f>
        <v>7.8</v>
      </c>
      <c r="T135" s="344">
        <f>Mid(PasteHashtag!I135,FIND("/",PasteHashtag!I135)+1,LEN(PasteHashtag!I135)-FIND("/",PasteHashtag!I135)-1)*1</f>
        <v>1.5</v>
      </c>
      <c r="U135" s="11"/>
      <c r="V135" s="11"/>
      <c r="W135" s="11"/>
    </row>
    <row r="136">
      <c r="A136" s="2">
        <v>135.0</v>
      </c>
      <c r="B136" s="2">
        <f>PasteHashtag!B136</f>
        <v>133.4</v>
      </c>
      <c r="C136" s="343" t="str">
        <f>PasteHashtag!C136</f>
        <v>Alexandre Sarr</v>
      </c>
      <c r="D136" s="2" t="str">
        <f>PasteHashtag!D136</f>
        <v>PF</v>
      </c>
      <c r="E136" s="2" t="str">
        <f>PasteHashtag!E136</f>
        <v>WAS</v>
      </c>
      <c r="F136" s="2">
        <f>PasteHashtag!F136</f>
        <v>69</v>
      </c>
      <c r="G136" s="2">
        <f>PasteHashtag!G136</f>
        <v>29.9</v>
      </c>
      <c r="H136" s="2">
        <f>MID(PasteHashtag!H136,1+FIND("(",PasteHashtag!H136),FIND("/",PasteHashtag!H136)-FIND("(",PasteHashtag!H136)-1)*1</f>
        <v>4.5</v>
      </c>
      <c r="I136" s="2">
        <f>LEFT(PasteHashtag!H136,FIND("(",PasteHashtag!H136)-1)*1</f>
        <v>0.448</v>
      </c>
      <c r="J136" s="2">
        <f>MID(PasteHashtag!I136,1+FIND("(",PasteHashtag!I136),FIND("/",PasteHashtag!I136)-FIND("(",PasteHashtag!I136)-1)*1</f>
        <v>2.4</v>
      </c>
      <c r="K136" s="2">
        <f>LEFT(PasteHashtag!I136,FIND("(",PasteHashtag!I136)-1)*1</f>
        <v>0.711</v>
      </c>
      <c r="L136" s="2">
        <f>PasteHashtag!J136</f>
        <v>0.9</v>
      </c>
      <c r="M136" s="2">
        <f>PasteHashtag!K136</f>
        <v>12.2</v>
      </c>
      <c r="N136" s="2">
        <f>PasteHashtag!L136</f>
        <v>6.4</v>
      </c>
      <c r="O136" s="2">
        <f>PasteHashtag!M136</f>
        <v>1.3</v>
      </c>
      <c r="P136" s="2">
        <f>PasteHashtag!N136</f>
        <v>0.8</v>
      </c>
      <c r="Q136" s="2">
        <f>PasteHashtag!O136</f>
        <v>1.9</v>
      </c>
      <c r="R136" s="2">
        <f>PasteHashtag!P136</f>
        <v>1.3</v>
      </c>
      <c r="S136" s="2">
        <f>Mid(PasteHashtag!H136,FIND("/",PasteHashtag!H136)+1,LEN(PasteHashtag!H136)-FIND("/",PasteHashtag!H136)-1)*1</f>
        <v>10</v>
      </c>
      <c r="T136" s="344">
        <f>Mid(PasteHashtag!I136,FIND("/",PasteHashtag!I136)+1,LEN(PasteHashtag!I136)-FIND("/",PasteHashtag!I136)-1)*1</f>
        <v>3.4</v>
      </c>
      <c r="U136" s="11"/>
      <c r="V136" s="11"/>
      <c r="W136" s="11"/>
    </row>
    <row r="137">
      <c r="A137" s="2">
        <v>136.0</v>
      </c>
      <c r="B137" s="2">
        <f>PasteHashtag!B137</f>
        <v>132.1</v>
      </c>
      <c r="C137" s="343" t="str">
        <f>PasteHashtag!C137</f>
        <v>Jaden Ivey</v>
      </c>
      <c r="D137" s="2" t="str">
        <f>PasteHashtag!D137</f>
        <v>PG,SG</v>
      </c>
      <c r="E137" s="2" t="str">
        <f>PasteHashtag!E137</f>
        <v>DET</v>
      </c>
      <c r="F137" s="2">
        <f>PasteHashtag!F137</f>
        <v>76</v>
      </c>
      <c r="G137" s="2">
        <f>PasteHashtag!G137</f>
        <v>30</v>
      </c>
      <c r="H137" s="2">
        <f>MID(PasteHashtag!H137,1+FIND("(",PasteHashtag!H137),FIND("/",PasteHashtag!H137)-FIND("(",PasteHashtag!H137)-1)*1</f>
        <v>6.4</v>
      </c>
      <c r="I137" s="2">
        <f>LEFT(PasteHashtag!H137,FIND("(",PasteHashtag!H137)-1)*1</f>
        <v>0.435</v>
      </c>
      <c r="J137" s="2">
        <f>MID(PasteHashtag!I137,1+FIND("(",PasteHashtag!I137),FIND("/",PasteHashtag!I137)-FIND("(",PasteHashtag!I137)-1)*1</f>
        <v>3.3</v>
      </c>
      <c r="K137" s="2">
        <f>LEFT(PasteHashtag!I137,FIND("(",PasteHashtag!I137)-1)*1</f>
        <v>0.759</v>
      </c>
      <c r="L137" s="2">
        <f>PasteHashtag!J137</f>
        <v>2.2</v>
      </c>
      <c r="M137" s="2">
        <f>PasteHashtag!K137</f>
        <v>18.4</v>
      </c>
      <c r="N137" s="2">
        <f>PasteHashtag!L137</f>
        <v>3.7</v>
      </c>
      <c r="O137" s="2">
        <f>PasteHashtag!M137</f>
        <v>4.6</v>
      </c>
      <c r="P137" s="2">
        <f>PasteHashtag!N137</f>
        <v>0.8</v>
      </c>
      <c r="Q137" s="2">
        <f>PasteHashtag!O137</f>
        <v>0.6</v>
      </c>
      <c r="R137" s="2">
        <f>PasteHashtag!P137</f>
        <v>2.7</v>
      </c>
      <c r="S137" s="2">
        <f>Mid(PasteHashtag!H137,FIND("/",PasteHashtag!H137)+1,LEN(PasteHashtag!H137)-FIND("/",PasteHashtag!H137)-1)*1</f>
        <v>14.8</v>
      </c>
      <c r="T137" s="344">
        <f>Mid(PasteHashtag!I137,FIND("/",PasteHashtag!I137)+1,LEN(PasteHashtag!I137)-FIND("/",PasteHashtag!I137)-1)*1</f>
        <v>4.4</v>
      </c>
      <c r="U137" s="11"/>
      <c r="V137" s="11"/>
      <c r="W137" s="11"/>
    </row>
    <row r="138">
      <c r="A138" s="2">
        <v>137.0</v>
      </c>
      <c r="B138" s="2">
        <f>PasteHashtag!B138</f>
        <v>107.7</v>
      </c>
      <c r="C138" s="343" t="str">
        <f>PasteHashtag!C138</f>
        <v>RJ Barrett</v>
      </c>
      <c r="D138" s="2" t="str">
        <f>PasteHashtag!D138</f>
        <v>SF,PF</v>
      </c>
      <c r="E138" s="2" t="str">
        <f>PasteHashtag!E138</f>
        <v>TOR</v>
      </c>
      <c r="F138" s="2">
        <f>PasteHashtag!F138</f>
        <v>72</v>
      </c>
      <c r="G138" s="2">
        <f>PasteHashtag!G138</f>
        <v>33.5</v>
      </c>
      <c r="H138" s="2">
        <f>MID(PasteHashtag!H138,1+FIND("(",PasteHashtag!H138),FIND("/",PasteHashtag!H138)-FIND("(",PasteHashtag!H138)-1)*1</f>
        <v>7.9</v>
      </c>
      <c r="I138" s="2">
        <f>LEFT(PasteHashtag!H138,FIND("(",PasteHashtag!H138)-1)*1</f>
        <v>0.482</v>
      </c>
      <c r="J138" s="2">
        <f>MID(PasteHashtag!I138,1+FIND("(",PasteHashtag!I138),FIND("/",PasteHashtag!I138)-FIND("(",PasteHashtag!I138)-1)*1</f>
        <v>3.9</v>
      </c>
      <c r="K138" s="2">
        <f>LEFT(PasteHashtag!I138,FIND("(",PasteHashtag!I138)-1)*1</f>
        <v>0.726</v>
      </c>
      <c r="L138" s="2">
        <f>PasteHashtag!J138</f>
        <v>1.6</v>
      </c>
      <c r="M138" s="2">
        <f>PasteHashtag!K138</f>
        <v>21.2</v>
      </c>
      <c r="N138" s="2">
        <f>PasteHashtag!L138</f>
        <v>6.4</v>
      </c>
      <c r="O138" s="2">
        <f>PasteHashtag!M138</f>
        <v>3.8</v>
      </c>
      <c r="P138" s="2">
        <f>PasteHashtag!N138</f>
        <v>0.6</v>
      </c>
      <c r="Q138" s="2">
        <f>PasteHashtag!O138</f>
        <v>0.4</v>
      </c>
      <c r="R138" s="2">
        <f>PasteHashtag!P138</f>
        <v>2.3</v>
      </c>
      <c r="S138" s="2">
        <f>Mid(PasteHashtag!H138,FIND("/",PasteHashtag!H138)+1,LEN(PasteHashtag!H138)-FIND("/",PasteHashtag!H138)-1)*1</f>
        <v>16.3</v>
      </c>
      <c r="T138" s="344">
        <f>Mid(PasteHashtag!I138,FIND("/",PasteHashtag!I138)+1,LEN(PasteHashtag!I138)-FIND("/",PasteHashtag!I138)-1)*1</f>
        <v>5.4</v>
      </c>
      <c r="U138" s="11"/>
      <c r="V138" s="11"/>
      <c r="W138" s="11"/>
    </row>
    <row r="139">
      <c r="A139" s="2">
        <v>138.0</v>
      </c>
      <c r="B139" s="2">
        <f>PasteHashtag!B139</f>
        <v>134.2</v>
      </c>
      <c r="C139" s="343" t="str">
        <f>PasteHashtag!C139</f>
        <v>P.J. Washington</v>
      </c>
      <c r="D139" s="2" t="str">
        <f>PasteHashtag!D139</f>
        <v>PF</v>
      </c>
      <c r="E139" s="2" t="str">
        <f>PasteHashtag!E139</f>
        <v>DAL</v>
      </c>
      <c r="F139" s="2">
        <f>PasteHashtag!F139</f>
        <v>73</v>
      </c>
      <c r="G139" s="2">
        <f>PasteHashtag!G139</f>
        <v>31.2</v>
      </c>
      <c r="H139" s="2">
        <f>MID(PasteHashtag!H139,1+FIND("(",PasteHashtag!H139),FIND("/",PasteHashtag!H139)-FIND("(",PasteHashtag!H139)-1)*1</f>
        <v>4.5</v>
      </c>
      <c r="I139" s="2">
        <f>LEFT(PasteHashtag!H139,FIND("(",PasteHashtag!H139)-1)*1</f>
        <v>0.431</v>
      </c>
      <c r="J139" s="2">
        <f>MID(PasteHashtag!I139,1+FIND("(",PasteHashtag!I139),FIND("/",PasteHashtag!I139)-FIND("(",PasteHashtag!I139)-1)*1</f>
        <v>1.5</v>
      </c>
      <c r="K139" s="2">
        <f>LEFT(PasteHashtag!I139,FIND("(",PasteHashtag!I139)-1)*1</f>
        <v>0.706</v>
      </c>
      <c r="L139" s="2">
        <f>PasteHashtag!J139</f>
        <v>1.9</v>
      </c>
      <c r="M139" s="2">
        <f>PasteHashtag!K139</f>
        <v>12.4</v>
      </c>
      <c r="N139" s="2">
        <f>PasteHashtag!L139</f>
        <v>5.5</v>
      </c>
      <c r="O139" s="2">
        <f>PasteHashtag!M139</f>
        <v>2.1</v>
      </c>
      <c r="P139" s="2">
        <f>PasteHashtag!N139</f>
        <v>1.1</v>
      </c>
      <c r="Q139" s="2">
        <f>PasteHashtag!O139</f>
        <v>0.9</v>
      </c>
      <c r="R139" s="2">
        <f>PasteHashtag!P139</f>
        <v>1.4</v>
      </c>
      <c r="S139" s="2">
        <f>Mid(PasteHashtag!H139,FIND("/",PasteHashtag!H139)+1,LEN(PasteHashtag!H139)-FIND("/",PasteHashtag!H139)-1)*1</f>
        <v>10.5</v>
      </c>
      <c r="T139" s="344">
        <f>Mid(PasteHashtag!I139,FIND("/",PasteHashtag!I139)+1,LEN(PasteHashtag!I139)-FIND("/",PasteHashtag!I139)-1)*1</f>
        <v>2.1</v>
      </c>
      <c r="U139" s="11"/>
      <c r="V139" s="11"/>
      <c r="W139" s="11"/>
    </row>
    <row r="140">
      <c r="A140" s="2">
        <v>139.0</v>
      </c>
      <c r="B140" s="2">
        <f>PasteHashtag!B140</f>
        <v>129.5</v>
      </c>
      <c r="C140" s="343" t="str">
        <f>PasteHashtag!C140</f>
        <v>Malik Monk</v>
      </c>
      <c r="D140" s="2" t="str">
        <f>PasteHashtag!D140</f>
        <v>SG,SF</v>
      </c>
      <c r="E140" s="2" t="str">
        <f>PasteHashtag!E140</f>
        <v>SAC</v>
      </c>
      <c r="F140" s="2">
        <f>PasteHashtag!F140</f>
        <v>74</v>
      </c>
      <c r="G140" s="2">
        <f>PasteHashtag!G140</f>
        <v>25.8</v>
      </c>
      <c r="H140" s="2">
        <f>MID(PasteHashtag!H140,1+FIND("(",PasteHashtag!H140),FIND("/",PasteHashtag!H140)-FIND("(",PasteHashtag!H140)-1)*1</f>
        <v>5.1</v>
      </c>
      <c r="I140" s="2">
        <f>LEFT(PasteHashtag!H140,FIND("(",PasteHashtag!H140)-1)*1</f>
        <v>0.446</v>
      </c>
      <c r="J140" s="2">
        <f>MID(PasteHashtag!I140,1+FIND("(",PasteHashtag!I140),FIND("/",PasteHashtag!I140)-FIND("(",PasteHashtag!I140)-1)*1</f>
        <v>2.4</v>
      </c>
      <c r="K140" s="2">
        <f>LEFT(PasteHashtag!I140,FIND("(",PasteHashtag!I140)-1)*1</f>
        <v>0.86</v>
      </c>
      <c r="L140" s="2">
        <f>PasteHashtag!J140</f>
        <v>2</v>
      </c>
      <c r="M140" s="2">
        <f>PasteHashtag!K140</f>
        <v>14.5</v>
      </c>
      <c r="N140" s="2">
        <f>PasteHashtag!L140</f>
        <v>2.8</v>
      </c>
      <c r="O140" s="2">
        <f>PasteHashtag!M140</f>
        <v>4.5</v>
      </c>
      <c r="P140" s="2">
        <f>PasteHashtag!N140</f>
        <v>0.6</v>
      </c>
      <c r="Q140" s="2">
        <f>PasteHashtag!O140</f>
        <v>0.4</v>
      </c>
      <c r="R140" s="2">
        <f>PasteHashtag!P140</f>
        <v>2</v>
      </c>
      <c r="S140" s="2">
        <f>Mid(PasteHashtag!H140,FIND("/",PasteHashtag!H140)+1,LEN(PasteHashtag!H140)-FIND("/",PasteHashtag!H140)-1)*1</f>
        <v>11.4</v>
      </c>
      <c r="T140" s="344">
        <f>Mid(PasteHashtag!I140,FIND("/",PasteHashtag!I140)+1,LEN(PasteHashtag!I140)-FIND("/",PasteHashtag!I140)-1)*1</f>
        <v>2.8</v>
      </c>
      <c r="U140" s="11"/>
      <c r="V140" s="11"/>
      <c r="W140" s="11"/>
    </row>
    <row r="141">
      <c r="A141" s="2">
        <v>140.0</v>
      </c>
      <c r="B141" s="2">
        <f>PasteHashtag!B141</f>
        <v>139.5</v>
      </c>
      <c r="C141" s="343" t="str">
        <f>PasteHashtag!C141</f>
        <v>Luguentz Dort</v>
      </c>
      <c r="D141" s="2" t="str">
        <f>PasteHashtag!D141</f>
        <v>SG,SF</v>
      </c>
      <c r="E141" s="2" t="str">
        <f>PasteHashtag!E141</f>
        <v>OKC</v>
      </c>
      <c r="F141" s="2">
        <f>PasteHashtag!F141</f>
        <v>76</v>
      </c>
      <c r="G141" s="2">
        <f>PasteHashtag!G141</f>
        <v>30</v>
      </c>
      <c r="H141" s="2">
        <f>MID(PasteHashtag!H141,1+FIND("(",PasteHashtag!H141),FIND("/",PasteHashtag!H141)-FIND("(",PasteHashtag!H141)-1)*1</f>
        <v>4.2</v>
      </c>
      <c r="I141" s="2">
        <f>LEFT(PasteHashtag!H141,FIND("(",PasteHashtag!H141)-1)*1</f>
        <v>0.433</v>
      </c>
      <c r="J141" s="2">
        <f>MID(PasteHashtag!I141,1+FIND("(",PasteHashtag!I141),FIND("/",PasteHashtag!I141)-FIND("(",PasteHashtag!I141)-1)*1</f>
        <v>1.7</v>
      </c>
      <c r="K141" s="2">
        <f>LEFT(PasteHashtag!I141,FIND("(",PasteHashtag!I141)-1)*1</f>
        <v>0.824</v>
      </c>
      <c r="L141" s="2">
        <f>PasteHashtag!J141</f>
        <v>2</v>
      </c>
      <c r="M141" s="2">
        <f>PasteHashtag!K141</f>
        <v>12</v>
      </c>
      <c r="N141" s="2">
        <f>PasteHashtag!L141</f>
        <v>4.2</v>
      </c>
      <c r="O141" s="2">
        <f>PasteHashtag!M141</f>
        <v>1.8</v>
      </c>
      <c r="P141" s="2">
        <f>PasteHashtag!N141</f>
        <v>1</v>
      </c>
      <c r="Q141" s="2">
        <f>PasteHashtag!O141</f>
        <v>0.7</v>
      </c>
      <c r="R141" s="2">
        <f>PasteHashtag!P141</f>
        <v>1.1</v>
      </c>
      <c r="S141" s="2">
        <f>Mid(PasteHashtag!H141,FIND("/",PasteHashtag!H141)+1,LEN(PasteHashtag!H141)-FIND("/",PasteHashtag!H141)-1)*1</f>
        <v>9.7</v>
      </c>
      <c r="T141" s="344">
        <f>Mid(PasteHashtag!I141,FIND("/",PasteHashtag!I141)+1,LEN(PasteHashtag!I141)-FIND("/",PasteHashtag!I141)-1)*1</f>
        <v>2.1</v>
      </c>
      <c r="U141" s="11"/>
      <c r="V141" s="11"/>
      <c r="W141" s="11"/>
    </row>
    <row r="142">
      <c r="A142" s="2">
        <v>141.0</v>
      </c>
      <c r="B142" s="2">
        <f>PasteHashtag!B142</f>
        <v>138.1</v>
      </c>
      <c r="C142" s="343" t="str">
        <f>PasteHashtag!C142</f>
        <v>Ausar Thompson</v>
      </c>
      <c r="D142" s="2" t="str">
        <f>PasteHashtag!D142</f>
        <v>SF,PF</v>
      </c>
      <c r="E142" s="2" t="str">
        <f>PasteHashtag!E142</f>
        <v>DET</v>
      </c>
      <c r="F142" s="2">
        <f>PasteHashtag!F142</f>
        <v>69</v>
      </c>
      <c r="G142" s="2">
        <f>PasteHashtag!G142</f>
        <v>28.1</v>
      </c>
      <c r="H142" s="2">
        <f>MID(PasteHashtag!H142,1+FIND("(",PasteHashtag!H142),FIND("/",PasteHashtag!H142)-FIND("(",PasteHashtag!H142)-1)*1</f>
        <v>4.4</v>
      </c>
      <c r="I142" s="2">
        <f>LEFT(PasteHashtag!H142,FIND("(",PasteHashtag!H142)-1)*1</f>
        <v>0.493</v>
      </c>
      <c r="J142" s="2">
        <f>MID(PasteHashtag!I142,1+FIND("(",PasteHashtag!I142),FIND("/",PasteHashtag!I142)-FIND("(",PasteHashtag!I142)-1)*1</f>
        <v>1.3</v>
      </c>
      <c r="K142" s="2">
        <f>LEFT(PasteHashtag!I142,FIND("(",PasteHashtag!I142)-1)*1</f>
        <v>0.624</v>
      </c>
      <c r="L142" s="2">
        <f>PasteHashtag!J142</f>
        <v>0.4</v>
      </c>
      <c r="M142" s="2">
        <f>PasteHashtag!K142</f>
        <v>10.6</v>
      </c>
      <c r="N142" s="2">
        <f>PasteHashtag!L142</f>
        <v>7.2</v>
      </c>
      <c r="O142" s="2">
        <f>PasteHashtag!M142</f>
        <v>2.2</v>
      </c>
      <c r="P142" s="2">
        <f>PasteHashtag!N142</f>
        <v>1.2</v>
      </c>
      <c r="Q142" s="2">
        <f>PasteHashtag!O142</f>
        <v>1.1</v>
      </c>
      <c r="R142" s="2">
        <f>PasteHashtag!P142</f>
        <v>1.5</v>
      </c>
      <c r="S142" s="2">
        <f>Mid(PasteHashtag!H142,FIND("/",PasteHashtag!H142)+1,LEN(PasteHashtag!H142)-FIND("/",PasteHashtag!H142)-1)*1</f>
        <v>9</v>
      </c>
      <c r="T142" s="344">
        <f>Mid(PasteHashtag!I142,FIND("/",PasteHashtag!I142)+1,LEN(PasteHashtag!I142)-FIND("/",PasteHashtag!I142)-1)*1</f>
        <v>2.1</v>
      </c>
      <c r="U142" s="11"/>
      <c r="V142" s="11"/>
      <c r="W142" s="11"/>
    </row>
    <row r="143">
      <c r="A143" s="2">
        <v>142.0</v>
      </c>
      <c r="B143" s="2">
        <f>PasteHashtag!B143</f>
        <v>136.5</v>
      </c>
      <c r="C143" s="343" t="str">
        <f>PasteHashtag!C143</f>
        <v>Rui Hachimura</v>
      </c>
      <c r="D143" s="2" t="str">
        <f>PasteHashtag!D143</f>
        <v>SF,PF</v>
      </c>
      <c r="E143" s="2" t="str">
        <f>PasteHashtag!E143</f>
        <v>LAL</v>
      </c>
      <c r="F143" s="2">
        <f>PasteHashtag!F143</f>
        <v>66</v>
      </c>
      <c r="G143" s="2">
        <f>PasteHashtag!G143</f>
        <v>29.2</v>
      </c>
      <c r="H143" s="2">
        <f>MID(PasteHashtag!H143,1+FIND("(",PasteHashtag!H143),FIND("/",PasteHashtag!H143)-FIND("(",PasteHashtag!H143)-1)*1</f>
        <v>5.8</v>
      </c>
      <c r="I143" s="2">
        <f>LEFT(PasteHashtag!H143,FIND("(",PasteHashtag!H143)-1)*1</f>
        <v>0.514</v>
      </c>
      <c r="J143" s="2">
        <f>MID(PasteHashtag!I143,1+FIND("(",PasteHashtag!I143),FIND("/",PasteHashtag!I143)-FIND("(",PasteHashtag!I143)-1)*1</f>
        <v>1.7</v>
      </c>
      <c r="K143" s="2">
        <f>LEFT(PasteHashtag!I143,FIND("(",PasteHashtag!I143)-1)*1</f>
        <v>0.74</v>
      </c>
      <c r="L143" s="2">
        <f>PasteHashtag!J143</f>
        <v>1.5</v>
      </c>
      <c r="M143" s="2">
        <f>PasteHashtag!K143</f>
        <v>14.8</v>
      </c>
      <c r="N143" s="2">
        <f>PasteHashtag!L143</f>
        <v>5.2</v>
      </c>
      <c r="O143" s="2">
        <f>PasteHashtag!M143</f>
        <v>1.3</v>
      </c>
      <c r="P143" s="2">
        <f>PasteHashtag!N143</f>
        <v>0.7</v>
      </c>
      <c r="Q143" s="2">
        <f>PasteHashtag!O143</f>
        <v>0.5</v>
      </c>
      <c r="R143" s="2">
        <f>PasteHashtag!P143</f>
        <v>0.9</v>
      </c>
      <c r="S143" s="2">
        <f>Mid(PasteHashtag!H143,FIND("/",PasteHashtag!H143)+1,LEN(PasteHashtag!H143)-FIND("/",PasteHashtag!H143)-1)*1</f>
        <v>11.3</v>
      </c>
      <c r="T143" s="344">
        <f>Mid(PasteHashtag!I143,FIND("/",PasteHashtag!I143)+1,LEN(PasteHashtag!I143)-FIND("/",PasteHashtag!I143)-1)*1</f>
        <v>2.3</v>
      </c>
      <c r="U143" s="11"/>
      <c r="V143" s="11"/>
      <c r="W143" s="11"/>
    </row>
    <row r="144">
      <c r="A144" s="2">
        <v>143.0</v>
      </c>
      <c r="B144" s="2">
        <f>PasteHashtag!B144</f>
        <v>116.3</v>
      </c>
      <c r="C144" s="343" t="str">
        <f>PasteHashtag!C144</f>
        <v>Josh Hart</v>
      </c>
      <c r="D144" s="2" t="str">
        <f>PasteHashtag!D144</f>
        <v>SF,PF</v>
      </c>
      <c r="E144" s="2" t="str">
        <f>PasteHashtag!E144</f>
        <v>NY</v>
      </c>
      <c r="F144" s="2">
        <f>PasteHashtag!F144</f>
        <v>76</v>
      </c>
      <c r="G144" s="2">
        <f>PasteHashtag!G144</f>
        <v>32.2</v>
      </c>
      <c r="H144" s="2">
        <f>MID(PasteHashtag!H144,1+FIND("(",PasteHashtag!H144),FIND("/",PasteHashtag!H144)-FIND("(",PasteHashtag!H144)-1)*1</f>
        <v>3.4</v>
      </c>
      <c r="I144" s="2">
        <f>LEFT(PasteHashtag!H144,FIND("(",PasteHashtag!H144)-1)*1</f>
        <v>0.457</v>
      </c>
      <c r="J144" s="2">
        <f>MID(PasteHashtag!I144,1+FIND("(",PasteHashtag!I144),FIND("/",PasteHashtag!I144)-FIND("(",PasteHashtag!I144)-1)*1</f>
        <v>1.4</v>
      </c>
      <c r="K144" s="2">
        <f>LEFT(PasteHashtag!I144,FIND("(",PasteHashtag!I144)-1)*1</f>
        <v>0.765</v>
      </c>
      <c r="L144" s="2">
        <f>PasteHashtag!J144</f>
        <v>0.9</v>
      </c>
      <c r="M144" s="2">
        <f>PasteHashtag!K144</f>
        <v>9.1</v>
      </c>
      <c r="N144" s="2">
        <f>PasteHashtag!L144</f>
        <v>7.9</v>
      </c>
      <c r="O144" s="2">
        <f>PasteHashtag!M144</f>
        <v>3.9</v>
      </c>
      <c r="P144" s="2">
        <f>PasteHashtag!N144</f>
        <v>1</v>
      </c>
      <c r="Q144" s="2">
        <f>PasteHashtag!O144</f>
        <v>0.3</v>
      </c>
      <c r="R144" s="2">
        <f>PasteHashtag!P144</f>
        <v>1.7</v>
      </c>
      <c r="S144" s="2">
        <f>Mid(PasteHashtag!H144,FIND("/",PasteHashtag!H144)+1,LEN(PasteHashtag!H144)-FIND("/",PasteHashtag!H144)-1)*1</f>
        <v>7.5</v>
      </c>
      <c r="T144" s="344">
        <f>Mid(PasteHashtag!I144,FIND("/",PasteHashtag!I144)+1,LEN(PasteHashtag!I144)-FIND("/",PasteHashtag!I144)-1)*1</f>
        <v>1.8</v>
      </c>
      <c r="U144" s="11"/>
      <c r="V144" s="11"/>
      <c r="W144" s="11"/>
    </row>
    <row r="145">
      <c r="A145" s="2">
        <v>144.0</v>
      </c>
      <c r="B145" s="2">
        <f>PasteHashtag!B145</f>
        <v>142.1</v>
      </c>
      <c r="C145" s="343" t="str">
        <f>PasteHashtag!C145</f>
        <v>Wendell Carter Jr.</v>
      </c>
      <c r="D145" s="2" t="str">
        <f>PasteHashtag!D145</f>
        <v>C</v>
      </c>
      <c r="E145" s="2" t="str">
        <f>PasteHashtag!E145</f>
        <v>ORL</v>
      </c>
      <c r="F145" s="2">
        <f>PasteHashtag!F145</f>
        <v>58</v>
      </c>
      <c r="G145" s="2">
        <f>PasteHashtag!G145</f>
        <v>27.1</v>
      </c>
      <c r="H145" s="2">
        <f>MID(PasteHashtag!H145,1+FIND("(",PasteHashtag!H145),FIND("/",PasteHashtag!H145)-FIND("(",PasteHashtag!H145)-1)*1</f>
        <v>4.8</v>
      </c>
      <c r="I145" s="2">
        <f>LEFT(PasteHashtag!H145,FIND("(",PasteHashtag!H145)-1)*1</f>
        <v>0.525</v>
      </c>
      <c r="J145" s="2">
        <f>MID(PasteHashtag!I145,1+FIND("(",PasteHashtag!I145),FIND("/",PasteHashtag!I145)-FIND("(",PasteHashtag!I145)-1)*1</f>
        <v>2.1</v>
      </c>
      <c r="K145" s="2">
        <f>LEFT(PasteHashtag!I145,FIND("(",PasteHashtag!I145)-1)*1</f>
        <v>0.722</v>
      </c>
      <c r="L145" s="2">
        <f>PasteHashtag!J145</f>
        <v>1.3</v>
      </c>
      <c r="M145" s="2">
        <f>PasteHashtag!K145</f>
        <v>13</v>
      </c>
      <c r="N145" s="2">
        <f>PasteHashtag!L145</f>
        <v>7.7</v>
      </c>
      <c r="O145" s="2">
        <f>PasteHashtag!M145</f>
        <v>2</v>
      </c>
      <c r="P145" s="2">
        <f>PasteHashtag!N145</f>
        <v>0.6</v>
      </c>
      <c r="Q145" s="2">
        <f>PasteHashtag!O145</f>
        <v>0.5</v>
      </c>
      <c r="R145" s="2">
        <f>PasteHashtag!P145</f>
        <v>1.5</v>
      </c>
      <c r="S145" s="2">
        <f>Mid(PasteHashtag!H145,FIND("/",PasteHashtag!H145)+1,LEN(PasteHashtag!H145)-FIND("/",PasteHashtag!H145)-1)*1</f>
        <v>9.2</v>
      </c>
      <c r="T145" s="344">
        <f>Mid(PasteHashtag!I145,FIND("/",PasteHashtag!I145)+1,LEN(PasteHashtag!I145)-FIND("/",PasteHashtag!I145)-1)*1</f>
        <v>2.9</v>
      </c>
      <c r="U145" s="11"/>
      <c r="V145" s="11"/>
      <c r="W145" s="11"/>
    </row>
    <row r="146">
      <c r="A146" s="2">
        <v>145.0</v>
      </c>
      <c r="B146" s="2">
        <f>PasteHashtag!B146</f>
        <v>141.7</v>
      </c>
      <c r="C146" s="343" t="str">
        <f>PasteHashtag!C146</f>
        <v>Jeremy Sochan</v>
      </c>
      <c r="D146" s="2" t="str">
        <f>PasteHashtag!D146</f>
        <v>SF,PF</v>
      </c>
      <c r="E146" s="2" t="str">
        <f>PasteHashtag!E146</f>
        <v>SA</v>
      </c>
      <c r="F146" s="2">
        <f>PasteHashtag!F146</f>
        <v>72</v>
      </c>
      <c r="G146" s="2">
        <f>PasteHashtag!G146</f>
        <v>31.2</v>
      </c>
      <c r="H146" s="2">
        <f>MID(PasteHashtag!H146,1+FIND("(",PasteHashtag!H146),FIND("/",PasteHashtag!H146)-FIND("(",PasteHashtag!H146)-1)*1</f>
        <v>4.9</v>
      </c>
      <c r="I146" s="2">
        <f>LEFT(PasteHashtag!H146,FIND("(",PasteHashtag!H146)-1)*1</f>
        <v>0.444</v>
      </c>
      <c r="J146" s="2">
        <f>MID(PasteHashtag!I146,1+FIND("(",PasteHashtag!I146),FIND("/",PasteHashtag!I146)-FIND("(",PasteHashtag!I146)-1)*1</f>
        <v>1.7</v>
      </c>
      <c r="K146" s="2">
        <f>LEFT(PasteHashtag!I146,FIND("(",PasteHashtag!I146)-1)*1</f>
        <v>0.77</v>
      </c>
      <c r="L146" s="2">
        <f>PasteHashtag!J146</f>
        <v>1</v>
      </c>
      <c r="M146" s="2">
        <f>PasteHashtag!K146</f>
        <v>12.4</v>
      </c>
      <c r="N146" s="2">
        <f>PasteHashtag!L146</f>
        <v>6.8</v>
      </c>
      <c r="O146" s="2">
        <f>PasteHashtag!M146</f>
        <v>3.2</v>
      </c>
      <c r="P146" s="2">
        <f>PasteHashtag!N146</f>
        <v>1</v>
      </c>
      <c r="Q146" s="2">
        <f>PasteHashtag!O146</f>
        <v>0.6</v>
      </c>
      <c r="R146" s="2">
        <f>PasteHashtag!P146</f>
        <v>2</v>
      </c>
      <c r="S146" s="2">
        <f>Mid(PasteHashtag!H146,FIND("/",PasteHashtag!H146)+1,LEN(PasteHashtag!H146)-FIND("/",PasteHashtag!H146)-1)*1</f>
        <v>11</v>
      </c>
      <c r="T146" s="344">
        <f>Mid(PasteHashtag!I146,FIND("/",PasteHashtag!I146)+1,LEN(PasteHashtag!I146)-FIND("/",PasteHashtag!I146)-1)*1</f>
        <v>2.2</v>
      </c>
      <c r="U146" s="11"/>
      <c r="V146" s="11"/>
      <c r="W146" s="11"/>
    </row>
    <row r="147">
      <c r="A147" s="2">
        <v>146.0</v>
      </c>
      <c r="B147" s="2">
        <f>PasteHashtag!B147</f>
        <v>137.4</v>
      </c>
      <c r="C147" s="343" t="str">
        <f>PasteHashtag!C147</f>
        <v>Aaron Nesmith</v>
      </c>
      <c r="D147" s="2" t="str">
        <f>PasteHashtag!D147</f>
        <v>SF,PF</v>
      </c>
      <c r="E147" s="2" t="str">
        <f>PasteHashtag!E147</f>
        <v>IND</v>
      </c>
      <c r="F147" s="2">
        <f>PasteHashtag!F147</f>
        <v>72</v>
      </c>
      <c r="G147" s="2">
        <f>PasteHashtag!G147</f>
        <v>28.7</v>
      </c>
      <c r="H147" s="2">
        <f>MID(PasteHashtag!H147,1+FIND("(",PasteHashtag!H147),FIND("/",PasteHashtag!H147)-FIND("(",PasteHashtag!H147)-1)*1</f>
        <v>4.2</v>
      </c>
      <c r="I147" s="2">
        <f>LEFT(PasteHashtag!H147,FIND("(",PasteHashtag!H147)-1)*1</f>
        <v>0.477</v>
      </c>
      <c r="J147" s="2">
        <f>MID(PasteHashtag!I147,1+FIND("(",PasteHashtag!I147),FIND("/",PasteHashtag!I147)-FIND("(",PasteHashtag!I147)-1)*1</f>
        <v>1.6</v>
      </c>
      <c r="K147" s="2">
        <f>LEFT(PasteHashtag!I147,FIND("(",PasteHashtag!I147)-1)*1</f>
        <v>0.796</v>
      </c>
      <c r="L147" s="2">
        <f>PasteHashtag!J147</f>
        <v>1.9</v>
      </c>
      <c r="M147" s="2">
        <f>PasteHashtag!K147</f>
        <v>11.9</v>
      </c>
      <c r="N147" s="2">
        <f>PasteHashtag!L147</f>
        <v>4.1</v>
      </c>
      <c r="O147" s="2">
        <f>PasteHashtag!M147</f>
        <v>1.5</v>
      </c>
      <c r="P147" s="2">
        <f>PasteHashtag!N147</f>
        <v>0.9</v>
      </c>
      <c r="Q147" s="2">
        <f>PasteHashtag!O147</f>
        <v>0.6</v>
      </c>
      <c r="R147" s="2">
        <f>PasteHashtag!P147</f>
        <v>1</v>
      </c>
      <c r="S147" s="2">
        <f>Mid(PasteHashtag!H147,FIND("/",PasteHashtag!H147)+1,LEN(PasteHashtag!H147)-FIND("/",PasteHashtag!H147)-1)*1</f>
        <v>8.8</v>
      </c>
      <c r="T147" s="344">
        <f>Mid(PasteHashtag!I147,FIND("/",PasteHashtag!I147)+1,LEN(PasteHashtag!I147)-FIND("/",PasteHashtag!I147)-1)*1</f>
        <v>2</v>
      </c>
      <c r="U147" s="11"/>
      <c r="V147" s="11"/>
      <c r="W147" s="11"/>
    </row>
    <row r="148">
      <c r="A148" s="2">
        <v>147.0</v>
      </c>
      <c r="B148" s="2">
        <f>PasteHashtag!B148</f>
        <v>138</v>
      </c>
      <c r="C148" s="343" t="str">
        <f>PasteHashtag!C148</f>
        <v>Brandon Clarke</v>
      </c>
      <c r="D148" s="2" t="str">
        <f>PasteHashtag!D148</f>
        <v>PF,C</v>
      </c>
      <c r="E148" s="2" t="str">
        <f>PasteHashtag!E148</f>
        <v>MEM</v>
      </c>
      <c r="F148" s="2">
        <f>PasteHashtag!F148</f>
        <v>60</v>
      </c>
      <c r="G148" s="2">
        <f>PasteHashtag!G148</f>
        <v>22.5</v>
      </c>
      <c r="H148" s="2">
        <f>MID(PasteHashtag!H148,1+FIND("(",PasteHashtag!H148),FIND("/",PasteHashtag!H148)-FIND("(",PasteHashtag!H148)-1)*1</f>
        <v>4.8</v>
      </c>
      <c r="I148" s="2">
        <f>LEFT(PasteHashtag!H148,FIND("(",PasteHashtag!H148)-1)*1</f>
        <v>0.642</v>
      </c>
      <c r="J148" s="2">
        <f>MID(PasteHashtag!I148,1+FIND("(",PasteHashtag!I148),FIND("/",PasteHashtag!I148)-FIND("(",PasteHashtag!I148)-1)*1</f>
        <v>1.8</v>
      </c>
      <c r="K148" s="2">
        <f>LEFT(PasteHashtag!I148,FIND("(",PasteHashtag!I148)-1)*1</f>
        <v>0.695</v>
      </c>
      <c r="L148" s="2">
        <f>PasteHashtag!J148</f>
        <v>0</v>
      </c>
      <c r="M148" s="2">
        <f>PasteHashtag!K148</f>
        <v>11.4</v>
      </c>
      <c r="N148" s="2">
        <f>PasteHashtag!L148</f>
        <v>6.2</v>
      </c>
      <c r="O148" s="2">
        <f>PasteHashtag!M148</f>
        <v>1.5</v>
      </c>
      <c r="P148" s="2">
        <f>PasteHashtag!N148</f>
        <v>0.7</v>
      </c>
      <c r="Q148" s="2">
        <f>PasteHashtag!O148</f>
        <v>0.8</v>
      </c>
      <c r="R148" s="2">
        <f>PasteHashtag!P148</f>
        <v>1.1</v>
      </c>
      <c r="S148" s="2">
        <f>Mid(PasteHashtag!H148,FIND("/",PasteHashtag!H148)+1,LEN(PasteHashtag!H148)-FIND("/",PasteHashtag!H148)-1)*1</f>
        <v>7.4</v>
      </c>
      <c r="T148" s="344">
        <f>Mid(PasteHashtag!I148,FIND("/",PasteHashtag!I148)+1,LEN(PasteHashtag!I148)-FIND("/",PasteHashtag!I148)-1)*1</f>
        <v>2.6</v>
      </c>
      <c r="U148" s="11"/>
      <c r="V148" s="11"/>
      <c r="W148" s="11"/>
    </row>
    <row r="149">
      <c r="A149" s="2">
        <v>148.0</v>
      </c>
      <c r="B149" s="2">
        <f>PasteHashtag!B149</f>
        <v>143.1</v>
      </c>
      <c r="C149" s="343" t="str">
        <f>PasteHashtag!C149</f>
        <v>Marvin Bagley III</v>
      </c>
      <c r="D149" s="2" t="str">
        <f>PasteHashtag!D149</f>
        <v>PF,C</v>
      </c>
      <c r="E149" s="2" t="str">
        <f>PasteHashtag!E149</f>
        <v>WAS</v>
      </c>
      <c r="F149" s="2">
        <f>PasteHashtag!F149</f>
        <v>55</v>
      </c>
      <c r="G149" s="2">
        <f>PasteHashtag!G149</f>
        <v>25.4</v>
      </c>
      <c r="H149" s="2">
        <f>MID(PasteHashtag!H149,1+FIND("(",PasteHashtag!H149),FIND("/",PasteHashtag!H149)-FIND("(",PasteHashtag!H149)-1)*1</f>
        <v>5.5</v>
      </c>
      <c r="I149" s="2">
        <f>LEFT(PasteHashtag!H149,FIND("(",PasteHashtag!H149)-1)*1</f>
        <v>0.558</v>
      </c>
      <c r="J149" s="2">
        <f>MID(PasteHashtag!I149,1+FIND("(",PasteHashtag!I149),FIND("/",PasteHashtag!I149)-FIND("(",PasteHashtag!I149)-1)*1</f>
        <v>2.2</v>
      </c>
      <c r="K149" s="2">
        <f>LEFT(PasteHashtag!I149,FIND("(",PasteHashtag!I149)-1)*1</f>
        <v>0.755</v>
      </c>
      <c r="L149" s="2">
        <f>PasteHashtag!J149</f>
        <v>0.3</v>
      </c>
      <c r="M149" s="2">
        <f>PasteHashtag!K149</f>
        <v>13.4</v>
      </c>
      <c r="N149" s="2">
        <f>PasteHashtag!L149</f>
        <v>7.2</v>
      </c>
      <c r="O149" s="2">
        <f>PasteHashtag!M149</f>
        <v>1.1</v>
      </c>
      <c r="P149" s="2">
        <f>PasteHashtag!N149</f>
        <v>0.5</v>
      </c>
      <c r="Q149" s="2">
        <f>PasteHashtag!O149</f>
        <v>0.8</v>
      </c>
      <c r="R149" s="2">
        <f>PasteHashtag!P149</f>
        <v>1.3</v>
      </c>
      <c r="S149" s="2">
        <f>Mid(PasteHashtag!H149,FIND("/",PasteHashtag!H149)+1,LEN(PasteHashtag!H149)-FIND("/",PasteHashtag!H149)-1)*1</f>
        <v>9.8</v>
      </c>
      <c r="T149" s="344">
        <f>Mid(PasteHashtag!I149,FIND("/",PasteHashtag!I149)+1,LEN(PasteHashtag!I149)-FIND("/",PasteHashtag!I149)-1)*1</f>
        <v>2.9</v>
      </c>
      <c r="U149" s="11"/>
      <c r="V149" s="11"/>
      <c r="W149" s="11"/>
    </row>
    <row r="150">
      <c r="A150" s="2">
        <v>149.0</v>
      </c>
      <c r="B150" s="2">
        <f>PasteHashtag!B150</f>
        <v>140.3</v>
      </c>
      <c r="C150" s="343" t="str">
        <f>PasteHashtag!C150</f>
        <v>Kelly Olynyk</v>
      </c>
      <c r="D150" s="2" t="str">
        <f>PasteHashtag!D150</f>
        <v>C</v>
      </c>
      <c r="E150" s="2" t="str">
        <f>PasteHashtag!E150</f>
        <v>TOR</v>
      </c>
      <c r="F150" s="2">
        <f>PasteHashtag!F150</f>
        <v>69</v>
      </c>
      <c r="G150" s="2">
        <f>PasteHashtag!G150</f>
        <v>22.4</v>
      </c>
      <c r="H150" s="2">
        <f>MID(PasteHashtag!H150,1+FIND("(",PasteHashtag!H150),FIND("/",PasteHashtag!H150)-FIND("(",PasteHashtag!H150)-1)*1</f>
        <v>3.3</v>
      </c>
      <c r="I150" s="2">
        <f>LEFT(PasteHashtag!H150,FIND("(",PasteHashtag!H150)-1)*1</f>
        <v>0.526</v>
      </c>
      <c r="J150" s="2">
        <f>MID(PasteHashtag!I150,1+FIND("(",PasteHashtag!I150),FIND("/",PasteHashtag!I150)-FIND("(",PasteHashtag!I150)-1)*1</f>
        <v>2</v>
      </c>
      <c r="K150" s="2">
        <f>LEFT(PasteHashtag!I150,FIND("(",PasteHashtag!I150)-1)*1</f>
        <v>0.834</v>
      </c>
      <c r="L150" s="2">
        <f>PasteHashtag!J150</f>
        <v>0.9</v>
      </c>
      <c r="M150" s="2">
        <f>PasteHashtag!K150</f>
        <v>9.6</v>
      </c>
      <c r="N150" s="2">
        <f>PasteHashtag!L150</f>
        <v>5</v>
      </c>
      <c r="O150" s="2">
        <f>PasteHashtag!M150</f>
        <v>3.4</v>
      </c>
      <c r="P150" s="2">
        <f>PasteHashtag!N150</f>
        <v>0.8</v>
      </c>
      <c r="Q150" s="2">
        <f>PasteHashtag!O150</f>
        <v>0.4</v>
      </c>
      <c r="R150" s="2">
        <f>PasteHashtag!P150</f>
        <v>1.9</v>
      </c>
      <c r="S150" s="2">
        <f>Mid(PasteHashtag!H150,FIND("/",PasteHashtag!H150)+1,LEN(PasteHashtag!H150)-FIND("/",PasteHashtag!H150)-1)*1</f>
        <v>6.3</v>
      </c>
      <c r="T150" s="344">
        <f>Mid(PasteHashtag!I150,FIND("/",PasteHashtag!I150)+1,LEN(PasteHashtag!I150)-FIND("/",PasteHashtag!I150)-1)*1</f>
        <v>2.4</v>
      </c>
      <c r="U150" s="11"/>
      <c r="V150" s="11"/>
      <c r="W150" s="11"/>
    </row>
    <row r="151">
      <c r="A151" s="2">
        <v>150.0</v>
      </c>
      <c r="B151" s="2">
        <f>PasteHashtag!B151</f>
        <v>144.6</v>
      </c>
      <c r="C151" s="343" t="str">
        <f>PasteHashtag!C151</f>
        <v>Bilal Coulibaly</v>
      </c>
      <c r="D151" s="2" t="str">
        <f>PasteHashtag!D151</f>
        <v>SG,SF</v>
      </c>
      <c r="E151" s="2" t="str">
        <f>PasteHashtag!E151</f>
        <v>WAS</v>
      </c>
      <c r="F151" s="2">
        <f>PasteHashtag!F151</f>
        <v>68</v>
      </c>
      <c r="G151" s="2">
        <f>PasteHashtag!G151</f>
        <v>30.2</v>
      </c>
      <c r="H151" s="2">
        <f>MID(PasteHashtag!H151,1+FIND("(",PasteHashtag!H151),FIND("/",PasteHashtag!H151)-FIND("(",PasteHashtag!H151)-1)*1</f>
        <v>4</v>
      </c>
      <c r="I151" s="2">
        <f>LEFT(PasteHashtag!H151,FIND("(",PasteHashtag!H151)-1)*1</f>
        <v>0.441</v>
      </c>
      <c r="J151" s="2">
        <f>MID(PasteHashtag!I151,1+FIND("(",PasteHashtag!I151),FIND("/",PasteHashtag!I151)-FIND("(",PasteHashtag!I151)-1)*1</f>
        <v>1.9</v>
      </c>
      <c r="K151" s="2">
        <f>LEFT(PasteHashtag!I151,FIND("(",PasteHashtag!I151)-1)*1</f>
        <v>0.706</v>
      </c>
      <c r="L151" s="2">
        <f>PasteHashtag!J151</f>
        <v>1.3</v>
      </c>
      <c r="M151" s="2">
        <f>PasteHashtag!K151</f>
        <v>11.2</v>
      </c>
      <c r="N151" s="2">
        <f>PasteHashtag!L151</f>
        <v>5.3</v>
      </c>
      <c r="O151" s="2">
        <f>PasteHashtag!M151</f>
        <v>2.3</v>
      </c>
      <c r="P151" s="2">
        <f>PasteHashtag!N151</f>
        <v>1.2</v>
      </c>
      <c r="Q151" s="2">
        <f>PasteHashtag!O151</f>
        <v>1</v>
      </c>
      <c r="R151" s="2">
        <f>PasteHashtag!P151</f>
        <v>1.8</v>
      </c>
      <c r="S151" s="2">
        <f>Mid(PasteHashtag!H151,FIND("/",PasteHashtag!H151)+1,LEN(PasteHashtag!H151)-FIND("/",PasteHashtag!H151)-1)*1</f>
        <v>9</v>
      </c>
      <c r="T151" s="344">
        <f>Mid(PasteHashtag!I151,FIND("/",PasteHashtag!I151)+1,LEN(PasteHashtag!I151)-FIND("/",PasteHashtag!I151)-1)*1</f>
        <v>2.7</v>
      </c>
      <c r="U151" s="11"/>
      <c r="V151" s="11"/>
      <c r="W151" s="11"/>
    </row>
    <row r="152">
      <c r="A152" s="2">
        <v>151.0</v>
      </c>
      <c r="B152" s="2">
        <f>PasteHashtag!B152</f>
        <v>144.2</v>
      </c>
      <c r="C152" s="343" t="str">
        <f>PasteHashtag!C152</f>
        <v>Kevin Porter Jr.</v>
      </c>
      <c r="D152" s="2" t="str">
        <f>PasteHashtag!D152</f>
        <v>PG</v>
      </c>
      <c r="E152" s="2" t="str">
        <f>PasteHashtag!E152</f>
        <v>LAC</v>
      </c>
      <c r="F152" s="2">
        <f>PasteHashtag!F152</f>
        <v>65</v>
      </c>
      <c r="G152" s="2">
        <f>PasteHashtag!G152</f>
        <v>26.2</v>
      </c>
      <c r="H152" s="2">
        <f>MID(PasteHashtag!H152,1+FIND("(",PasteHashtag!H152),FIND("/",PasteHashtag!H152)-FIND("(",PasteHashtag!H152)-1)*1</f>
        <v>4.9</v>
      </c>
      <c r="I152" s="2">
        <f>LEFT(PasteHashtag!H152,FIND("(",PasteHashtag!H152)-1)*1</f>
        <v>0.442</v>
      </c>
      <c r="J152" s="2">
        <f>MID(PasteHashtag!I152,1+FIND("(",PasteHashtag!I152),FIND("/",PasteHashtag!I152)-FIND("(",PasteHashtag!I152)-1)*1</f>
        <v>2.6</v>
      </c>
      <c r="K152" s="2">
        <f>LEFT(PasteHashtag!I152,FIND("(",PasteHashtag!I152)-1)*1</f>
        <v>0.785</v>
      </c>
      <c r="L152" s="2">
        <f>PasteHashtag!J152</f>
        <v>1.8</v>
      </c>
      <c r="M152" s="2">
        <f>PasteHashtag!K152</f>
        <v>14.2</v>
      </c>
      <c r="N152" s="2">
        <f>PasteHashtag!L152</f>
        <v>3.9</v>
      </c>
      <c r="O152" s="2">
        <f>PasteHashtag!M152</f>
        <v>4.3</v>
      </c>
      <c r="P152" s="2">
        <f>PasteHashtag!N152</f>
        <v>1</v>
      </c>
      <c r="Q152" s="2">
        <f>PasteHashtag!O152</f>
        <v>0.2</v>
      </c>
      <c r="R152" s="2">
        <f>PasteHashtag!P152</f>
        <v>2.4</v>
      </c>
      <c r="S152" s="2">
        <f>Mid(PasteHashtag!H152,FIND("/",PasteHashtag!H152)+1,LEN(PasteHashtag!H152)-FIND("/",PasteHashtag!H152)-1)*1</f>
        <v>11.1</v>
      </c>
      <c r="T152" s="344">
        <f>Mid(PasteHashtag!I152,FIND("/",PasteHashtag!I152)+1,LEN(PasteHashtag!I152)-FIND("/",PasteHashtag!I152)-1)*1</f>
        <v>3.3</v>
      </c>
      <c r="U152" s="11"/>
      <c r="V152" s="11"/>
      <c r="W152" s="11"/>
    </row>
    <row r="153">
      <c r="A153" s="2">
        <v>152.0</v>
      </c>
      <c r="B153" s="2">
        <f>PasteHashtag!B153</f>
        <v>149.5</v>
      </c>
      <c r="C153" s="343" t="str">
        <f>PasteHashtag!C153</f>
        <v>Bruce Brown</v>
      </c>
      <c r="D153" s="2" t="str">
        <f>PasteHashtag!D153</f>
        <v>SG,SF</v>
      </c>
      <c r="E153" s="2" t="str">
        <f>PasteHashtag!E153</f>
        <v>TOR</v>
      </c>
      <c r="F153" s="2">
        <f>PasteHashtag!F153</f>
        <v>72</v>
      </c>
      <c r="G153" s="2">
        <f>PasteHashtag!G153</f>
        <v>28.5</v>
      </c>
      <c r="H153" s="2">
        <f>MID(PasteHashtag!H153,1+FIND("(",PasteHashtag!H153),FIND("/",PasteHashtag!H153)-FIND("(",PasteHashtag!H153)-1)*1</f>
        <v>4.4</v>
      </c>
      <c r="I153" s="2">
        <f>LEFT(PasteHashtag!H153,FIND("(",PasteHashtag!H153)-1)*1</f>
        <v>0.481</v>
      </c>
      <c r="J153" s="2">
        <f>MID(PasteHashtag!I153,1+FIND("(",PasteHashtag!I153),FIND("/",PasteHashtag!I153)-FIND("(",PasteHashtag!I153)-1)*1</f>
        <v>1.6</v>
      </c>
      <c r="K153" s="2">
        <f>LEFT(PasteHashtag!I153,FIND("(",PasteHashtag!I153)-1)*1</f>
        <v>0.79</v>
      </c>
      <c r="L153" s="2">
        <f>PasteHashtag!J153</f>
        <v>1</v>
      </c>
      <c r="M153" s="2">
        <f>PasteHashtag!K153</f>
        <v>11.5</v>
      </c>
      <c r="N153" s="2">
        <f>PasteHashtag!L153</f>
        <v>4.3</v>
      </c>
      <c r="O153" s="2">
        <f>PasteHashtag!M153</f>
        <v>3.2</v>
      </c>
      <c r="P153" s="2">
        <f>PasteHashtag!N153</f>
        <v>1</v>
      </c>
      <c r="Q153" s="2">
        <f>PasteHashtag!O153</f>
        <v>0.5</v>
      </c>
      <c r="R153" s="2">
        <f>PasteHashtag!P153</f>
        <v>1.5</v>
      </c>
      <c r="S153" s="2">
        <f>Mid(PasteHashtag!H153,FIND("/",PasteHashtag!H153)+1,LEN(PasteHashtag!H153)-FIND("/",PasteHashtag!H153)-1)*1</f>
        <v>9.2</v>
      </c>
      <c r="T153" s="344">
        <f>Mid(PasteHashtag!I153,FIND("/",PasteHashtag!I153)+1,LEN(PasteHashtag!I153)-FIND("/",PasteHashtag!I153)-1)*1</f>
        <v>2.1</v>
      </c>
      <c r="U153" s="11"/>
      <c r="V153" s="11"/>
      <c r="W153" s="11"/>
    </row>
    <row r="154">
      <c r="A154" s="2">
        <v>153.0</v>
      </c>
      <c r="B154" s="2">
        <f>PasteHashtag!B154</f>
        <v>142.5</v>
      </c>
      <c r="C154" s="343" t="str">
        <f>PasteHashtag!C154</f>
        <v>Kelly Oubre Jr.</v>
      </c>
      <c r="D154" s="2" t="str">
        <f>PasteHashtag!D154</f>
        <v>SG,SF</v>
      </c>
      <c r="E154" s="2" t="str">
        <f>PasteHashtag!E154</f>
        <v>PHI</v>
      </c>
      <c r="F154" s="2">
        <f>PasteHashtag!F154</f>
        <v>65</v>
      </c>
      <c r="G154" s="2">
        <f>PasteHashtag!G154</f>
        <v>30</v>
      </c>
      <c r="H154" s="2">
        <f>MID(PasteHashtag!H154,1+FIND("(",PasteHashtag!H154),FIND("/",PasteHashtag!H154)-FIND("(",PasteHashtag!H154)-1)*1</f>
        <v>6.1</v>
      </c>
      <c r="I154" s="2">
        <f>LEFT(PasteHashtag!H154,FIND("(",PasteHashtag!H154)-1)*1</f>
        <v>0.435</v>
      </c>
      <c r="J154" s="2">
        <f>MID(PasteHashtag!I154,1+FIND("(",PasteHashtag!I154),FIND("/",PasteHashtag!I154)-FIND("(",PasteHashtag!I154)-1)*1</f>
        <v>2.6</v>
      </c>
      <c r="K154" s="2">
        <f>LEFT(PasteHashtag!I154,FIND("(",PasteHashtag!I154)-1)*1</f>
        <v>0.76</v>
      </c>
      <c r="L154" s="2">
        <f>PasteHashtag!J154</f>
        <v>1.8</v>
      </c>
      <c r="M154" s="2">
        <f>PasteHashtag!K154</f>
        <v>16.6</v>
      </c>
      <c r="N154" s="2">
        <f>PasteHashtag!L154</f>
        <v>5</v>
      </c>
      <c r="O154" s="2">
        <f>PasteHashtag!M154</f>
        <v>1.3</v>
      </c>
      <c r="P154" s="2">
        <f>PasteHashtag!N154</f>
        <v>1.2</v>
      </c>
      <c r="Q154" s="2">
        <f>PasteHashtag!O154</f>
        <v>0.6</v>
      </c>
      <c r="R154" s="2">
        <f>PasteHashtag!P154</f>
        <v>1.3</v>
      </c>
      <c r="S154" s="2">
        <f>Mid(PasteHashtag!H154,FIND("/",PasteHashtag!H154)+1,LEN(PasteHashtag!H154)-FIND("/",PasteHashtag!H154)-1)*1</f>
        <v>14.1</v>
      </c>
      <c r="T154" s="344">
        <f>Mid(PasteHashtag!I154,FIND("/",PasteHashtag!I154)+1,LEN(PasteHashtag!I154)-FIND("/",PasteHashtag!I154)-1)*1</f>
        <v>3.4</v>
      </c>
      <c r="U154" s="11"/>
      <c r="V154" s="11"/>
      <c r="W154" s="11"/>
    </row>
    <row r="155">
      <c r="A155" s="2">
        <v>154.0</v>
      </c>
      <c r="B155" s="2">
        <f>PasteHashtag!B155</f>
        <v>145.5</v>
      </c>
      <c r="C155" s="343" t="str">
        <f>PasteHashtag!C155</f>
        <v>Nick Richards</v>
      </c>
      <c r="D155" s="2" t="str">
        <f>PasteHashtag!D155</f>
        <v>C</v>
      </c>
      <c r="E155" s="2" t="str">
        <f>PasteHashtag!E155</f>
        <v>CHA</v>
      </c>
      <c r="F155" s="2">
        <f>PasteHashtag!F155</f>
        <v>67</v>
      </c>
      <c r="G155" s="2">
        <f>PasteHashtag!G155</f>
        <v>25.2</v>
      </c>
      <c r="H155" s="2">
        <f>MID(PasteHashtag!H155,1+FIND("(",PasteHashtag!H155),FIND("/",PasteHashtag!H155)-FIND("(",PasteHashtag!H155)-1)*1</f>
        <v>3.8</v>
      </c>
      <c r="I155" s="2">
        <f>LEFT(PasteHashtag!H155,FIND("(",PasteHashtag!H155)-1)*1</f>
        <v>0.656</v>
      </c>
      <c r="J155" s="2">
        <f>MID(PasteHashtag!I155,1+FIND("(",PasteHashtag!I155),FIND("/",PasteHashtag!I155)-FIND("(",PasteHashtag!I155)-1)*1</f>
        <v>2.3</v>
      </c>
      <c r="K155" s="2">
        <f>LEFT(PasteHashtag!I155,FIND("(",PasteHashtag!I155)-1)*1</f>
        <v>0.743</v>
      </c>
      <c r="L155" s="2">
        <f>PasteHashtag!J155</f>
        <v>0</v>
      </c>
      <c r="M155" s="2">
        <f>PasteHashtag!K155</f>
        <v>9.8</v>
      </c>
      <c r="N155" s="2">
        <f>PasteHashtag!L155</f>
        <v>8</v>
      </c>
      <c r="O155" s="2">
        <f>PasteHashtag!M155</f>
        <v>0.8</v>
      </c>
      <c r="P155" s="2">
        <f>PasteHashtag!N155</f>
        <v>0.3</v>
      </c>
      <c r="Q155" s="2">
        <f>PasteHashtag!O155</f>
        <v>1.1</v>
      </c>
      <c r="R155" s="2">
        <f>PasteHashtag!P155</f>
        <v>1.1</v>
      </c>
      <c r="S155" s="2">
        <f>Mid(PasteHashtag!H155,FIND("/",PasteHashtag!H155)+1,LEN(PasteHashtag!H155)-FIND("/",PasteHashtag!H155)-1)*1</f>
        <v>5.8</v>
      </c>
      <c r="T155" s="344">
        <f>Mid(PasteHashtag!I155,FIND("/",PasteHashtag!I155)+1,LEN(PasteHashtag!I155)-FIND("/",PasteHashtag!I155)-1)*1</f>
        <v>3</v>
      </c>
      <c r="U155" s="11"/>
      <c r="V155" s="11"/>
      <c r="W155" s="11"/>
    </row>
    <row r="156">
      <c r="A156" s="2">
        <v>155.0</v>
      </c>
      <c r="B156" s="2">
        <f>PasteHashtag!B156</f>
        <v>144.2</v>
      </c>
      <c r="C156" s="343" t="str">
        <f>PasteHashtag!C156</f>
        <v>Noah Clowney</v>
      </c>
      <c r="D156" s="2" t="str">
        <f>PasteHashtag!D156</f>
        <v>SF,PF,C</v>
      </c>
      <c r="E156" s="2" t="str">
        <f>PasteHashtag!E156</f>
        <v>BKN</v>
      </c>
      <c r="F156" s="2">
        <f>PasteHashtag!F156</f>
        <v>67</v>
      </c>
      <c r="G156" s="2">
        <f>PasteHashtag!G156</f>
        <v>24.2</v>
      </c>
      <c r="H156" s="2">
        <f>MID(PasteHashtag!H156,1+FIND("(",PasteHashtag!H156),FIND("/",PasteHashtag!H156)-FIND("(",PasteHashtag!H156)-1)*1</f>
        <v>3.7</v>
      </c>
      <c r="I156" s="2">
        <f>LEFT(PasteHashtag!H156,FIND("(",PasteHashtag!H156)-1)*1</f>
        <v>0.552</v>
      </c>
      <c r="J156" s="2">
        <f>MID(PasteHashtag!I156,1+FIND("(",PasteHashtag!I156),FIND("/",PasteHashtag!I156)-FIND("(",PasteHashtag!I156)-1)*1</f>
        <v>1.6</v>
      </c>
      <c r="K156" s="2">
        <f>LEFT(PasteHashtag!I156,FIND("(",PasteHashtag!I156)-1)*1</f>
        <v>0.728</v>
      </c>
      <c r="L156" s="2">
        <f>PasteHashtag!J156</f>
        <v>0.9</v>
      </c>
      <c r="M156" s="2">
        <f>PasteHashtag!K156</f>
        <v>9.7</v>
      </c>
      <c r="N156" s="2">
        <f>PasteHashtag!L156</f>
        <v>5.8</v>
      </c>
      <c r="O156" s="2">
        <f>PasteHashtag!M156</f>
        <v>1.3</v>
      </c>
      <c r="P156" s="2">
        <f>PasteHashtag!N156</f>
        <v>0.6</v>
      </c>
      <c r="Q156" s="2">
        <f>PasteHashtag!O156</f>
        <v>1.1</v>
      </c>
      <c r="R156" s="2">
        <f>PasteHashtag!P156</f>
        <v>1.1</v>
      </c>
      <c r="S156" s="2">
        <f>Mid(PasteHashtag!H156,FIND("/",PasteHashtag!H156)+1,LEN(PasteHashtag!H156)-FIND("/",PasteHashtag!H156)-1)*1</f>
        <v>6.6</v>
      </c>
      <c r="T156" s="344">
        <f>Mid(PasteHashtag!I156,FIND("/",PasteHashtag!I156)+1,LEN(PasteHashtag!I156)-FIND("/",PasteHashtag!I156)-1)*1</f>
        <v>2.1</v>
      </c>
      <c r="U156" s="11"/>
      <c r="V156" s="11"/>
      <c r="W156" s="11"/>
    </row>
    <row r="157">
      <c r="A157" s="2">
        <v>156.0</v>
      </c>
      <c r="B157" s="2">
        <f>PasteHashtag!B157</f>
        <v>140.1</v>
      </c>
      <c r="C157" s="343" t="str">
        <f>PasteHashtag!C157</f>
        <v>Mitchell Robinson</v>
      </c>
      <c r="D157" s="2" t="str">
        <f>PasteHashtag!D157</f>
        <v>C</v>
      </c>
      <c r="E157" s="2" t="str">
        <f>PasteHashtag!E157</f>
        <v>NY</v>
      </c>
      <c r="F157" s="2">
        <f>PasteHashtag!F157</f>
        <v>48</v>
      </c>
      <c r="G157" s="2">
        <f>PasteHashtag!G157</f>
        <v>26</v>
      </c>
      <c r="H157" s="2">
        <f>MID(PasteHashtag!H157,1+FIND("(",PasteHashtag!H157),FIND("/",PasteHashtag!H157)-FIND("(",PasteHashtag!H157)-1)*1</f>
        <v>2.9</v>
      </c>
      <c r="I157" s="2">
        <f>LEFT(PasteHashtag!H157,FIND("(",PasteHashtag!H157)-1)*1</f>
        <v>0.64</v>
      </c>
      <c r="J157" s="2">
        <f>MID(PasteHashtag!I157,1+FIND("(",PasteHashtag!I157),FIND("/",PasteHashtag!I157)-FIND("(",PasteHashtag!I157)-1)*1</f>
        <v>1</v>
      </c>
      <c r="K157" s="2">
        <f>LEFT(PasteHashtag!I157,FIND("(",PasteHashtag!I157)-1)*1</f>
        <v>0.459</v>
      </c>
      <c r="L157" s="2">
        <f>PasteHashtag!J157</f>
        <v>0</v>
      </c>
      <c r="M157" s="2">
        <f>PasteHashtag!K157</f>
        <v>6.8</v>
      </c>
      <c r="N157" s="2">
        <f>PasteHashtag!L157</f>
        <v>9.1</v>
      </c>
      <c r="O157" s="2">
        <f>PasteHashtag!M157</f>
        <v>0.8</v>
      </c>
      <c r="P157" s="2">
        <f>PasteHashtag!N157</f>
        <v>1</v>
      </c>
      <c r="Q157" s="2">
        <f>PasteHashtag!O157</f>
        <v>1.6</v>
      </c>
      <c r="R157" s="2">
        <f>PasteHashtag!P157</f>
        <v>0.7</v>
      </c>
      <c r="S157" s="2">
        <f>Mid(PasteHashtag!H157,FIND("/",PasteHashtag!H157)+1,LEN(PasteHashtag!H157)-FIND("/",PasteHashtag!H157)-1)*1</f>
        <v>4.5</v>
      </c>
      <c r="T157" s="344">
        <f>Mid(PasteHashtag!I157,FIND("/",PasteHashtag!I157)+1,LEN(PasteHashtag!I157)-FIND("/",PasteHashtag!I157)-1)*1</f>
        <v>2.1</v>
      </c>
      <c r="U157" s="11"/>
      <c r="V157" s="11"/>
      <c r="W157" s="11"/>
    </row>
    <row r="158">
      <c r="A158" s="2">
        <v>157.0</v>
      </c>
      <c r="B158" s="2">
        <f>PasteHashtag!B158</f>
        <v>143.3</v>
      </c>
      <c r="C158" s="343" t="str">
        <f>PasteHashtag!C158</f>
        <v>Donovan Clingan</v>
      </c>
      <c r="D158" s="2" t="str">
        <f>PasteHashtag!D158</f>
        <v>C</v>
      </c>
      <c r="E158" s="2" t="str">
        <f>PasteHashtag!E158</f>
        <v>POR</v>
      </c>
      <c r="F158" s="2">
        <f>PasteHashtag!F158</f>
        <v>67</v>
      </c>
      <c r="G158" s="2">
        <f>PasteHashtag!G158</f>
        <v>22.8</v>
      </c>
      <c r="H158" s="2">
        <f>MID(PasteHashtag!H158,1+FIND("(",PasteHashtag!H158),FIND("/",PasteHashtag!H158)-FIND("(",PasteHashtag!H158)-1)*1</f>
        <v>4.1</v>
      </c>
      <c r="I158" s="2">
        <f>LEFT(PasteHashtag!H158,FIND("(",PasteHashtag!H158)-1)*1</f>
        <v>0.639</v>
      </c>
      <c r="J158" s="2">
        <f>MID(PasteHashtag!I158,1+FIND("(",PasteHashtag!I158),FIND("/",PasteHashtag!I158)-FIND("(",PasteHashtag!I158)-1)*1</f>
        <v>1.8</v>
      </c>
      <c r="K158" s="2">
        <f>LEFT(PasteHashtag!I158,FIND("(",PasteHashtag!I158)-1)*1</f>
        <v>0.608</v>
      </c>
      <c r="L158" s="2">
        <f>PasteHashtag!J158</f>
        <v>0.3</v>
      </c>
      <c r="M158" s="2">
        <f>PasteHashtag!K158</f>
        <v>10.2</v>
      </c>
      <c r="N158" s="2">
        <f>PasteHashtag!L158</f>
        <v>5.6</v>
      </c>
      <c r="O158" s="2">
        <f>PasteHashtag!M158</f>
        <v>1.2</v>
      </c>
      <c r="P158" s="2">
        <f>PasteHashtag!N158</f>
        <v>0.4</v>
      </c>
      <c r="Q158" s="2">
        <f>PasteHashtag!O158</f>
        <v>1.9</v>
      </c>
      <c r="R158" s="2">
        <f>PasteHashtag!P158</f>
        <v>0.6</v>
      </c>
      <c r="S158" s="2">
        <f>Mid(PasteHashtag!H158,FIND("/",PasteHashtag!H158)+1,LEN(PasteHashtag!H158)-FIND("/",PasteHashtag!H158)-1)*1</f>
        <v>6.4</v>
      </c>
      <c r="T158" s="344">
        <f>Mid(PasteHashtag!I158,FIND("/",PasteHashtag!I158)+1,LEN(PasteHashtag!I158)-FIND("/",PasteHashtag!I158)-1)*1</f>
        <v>2.9</v>
      </c>
      <c r="U158" s="11"/>
      <c r="V158" s="11"/>
      <c r="W158" s="11"/>
    </row>
    <row r="159">
      <c r="A159" s="2">
        <v>158.0</v>
      </c>
      <c r="B159" s="2">
        <f>PasteHashtag!B159</f>
        <v>144</v>
      </c>
      <c r="C159" s="343" t="str">
        <f>PasteHashtag!C159</f>
        <v>Tari Eason</v>
      </c>
      <c r="D159" s="2" t="str">
        <f>PasteHashtag!D159</f>
        <v>SF,PF</v>
      </c>
      <c r="E159" s="2" t="str">
        <f>PasteHashtag!E159</f>
        <v>HOU</v>
      </c>
      <c r="F159" s="2">
        <f>PasteHashtag!F159</f>
        <v>67</v>
      </c>
      <c r="G159" s="2">
        <f>PasteHashtag!G159</f>
        <v>22.4</v>
      </c>
      <c r="H159" s="2">
        <f>MID(PasteHashtag!H159,1+FIND("(",PasteHashtag!H159),FIND("/",PasteHashtag!H159)-FIND("(",PasteHashtag!H159)-1)*1</f>
        <v>3.9</v>
      </c>
      <c r="I159" s="2">
        <f>LEFT(PasteHashtag!H159,FIND("(",PasteHashtag!H159)-1)*1</f>
        <v>0.457</v>
      </c>
      <c r="J159" s="2">
        <f>MID(PasteHashtag!I159,1+FIND("(",PasteHashtag!I159),FIND("/",PasteHashtag!I159)-FIND("(",PasteHashtag!I159)-1)*1</f>
        <v>1.3</v>
      </c>
      <c r="K159" s="2">
        <f>LEFT(PasteHashtag!I159,FIND("(",PasteHashtag!I159)-1)*1</f>
        <v>0.732</v>
      </c>
      <c r="L159" s="2">
        <f>PasteHashtag!J159</f>
        <v>0.8</v>
      </c>
      <c r="M159" s="2">
        <f>PasteHashtag!K159</f>
        <v>9.8</v>
      </c>
      <c r="N159" s="2">
        <f>PasteHashtag!L159</f>
        <v>7.1</v>
      </c>
      <c r="O159" s="2">
        <f>PasteHashtag!M159</f>
        <v>1.2</v>
      </c>
      <c r="P159" s="2">
        <f>PasteHashtag!N159</f>
        <v>1.3</v>
      </c>
      <c r="Q159" s="2">
        <f>PasteHashtag!O159</f>
        <v>0.7</v>
      </c>
      <c r="R159" s="2">
        <f>PasteHashtag!P159</f>
        <v>1.2</v>
      </c>
      <c r="S159" s="2">
        <f>Mid(PasteHashtag!H159,FIND("/",PasteHashtag!H159)+1,LEN(PasteHashtag!H159)-FIND("/",PasteHashtag!H159)-1)*1</f>
        <v>8.5</v>
      </c>
      <c r="T159" s="344">
        <f>Mid(PasteHashtag!I159,FIND("/",PasteHashtag!I159)+1,LEN(PasteHashtag!I159)-FIND("/",PasteHashtag!I159)-1)*1</f>
        <v>1.8</v>
      </c>
      <c r="U159" s="11"/>
      <c r="V159" s="11"/>
      <c r="W159" s="11"/>
    </row>
    <row r="160">
      <c r="A160" s="2">
        <v>159.0</v>
      </c>
      <c r="B160" s="2">
        <f>PasteHashtag!B160</f>
        <v>116.7</v>
      </c>
      <c r="C160" s="343" t="str">
        <f>PasteHashtag!C160</f>
        <v>Aaron Gordon</v>
      </c>
      <c r="D160" s="2" t="str">
        <f>PasteHashtag!D160</f>
        <v>PF,C</v>
      </c>
      <c r="E160" s="2" t="str">
        <f>PasteHashtag!E160</f>
        <v>DEN</v>
      </c>
      <c r="F160" s="2">
        <f>PasteHashtag!F160</f>
        <v>72</v>
      </c>
      <c r="G160" s="2">
        <f>PasteHashtag!G160</f>
        <v>31</v>
      </c>
      <c r="H160" s="2">
        <f>MID(PasteHashtag!H160,1+FIND("(",PasteHashtag!H160),FIND("/",PasteHashtag!H160)-FIND("(",PasteHashtag!H160)-1)*1</f>
        <v>6</v>
      </c>
      <c r="I160" s="2">
        <f>LEFT(PasteHashtag!H160,FIND("(",PasteHashtag!H160)-1)*1</f>
        <v>0.56</v>
      </c>
      <c r="J160" s="2">
        <f>MID(PasteHashtag!I160,1+FIND("(",PasteHashtag!I160),FIND("/",PasteHashtag!I160)-FIND("(",PasteHashtag!I160)-1)*1</f>
        <v>2.7</v>
      </c>
      <c r="K160" s="2">
        <f>LEFT(PasteHashtag!I160,FIND("(",PasteHashtag!I160)-1)*1</f>
        <v>0.632</v>
      </c>
      <c r="L160" s="2">
        <f>PasteHashtag!J160</f>
        <v>0.7</v>
      </c>
      <c r="M160" s="2">
        <f>PasteHashtag!K160</f>
        <v>15.3</v>
      </c>
      <c r="N160" s="2">
        <f>PasteHashtag!L160</f>
        <v>6.6</v>
      </c>
      <c r="O160" s="2">
        <f>PasteHashtag!M160</f>
        <v>3.3</v>
      </c>
      <c r="P160" s="2">
        <f>PasteHashtag!N160</f>
        <v>0.8</v>
      </c>
      <c r="Q160" s="2">
        <f>PasteHashtag!O160</f>
        <v>0.7</v>
      </c>
      <c r="R160" s="2">
        <f>PasteHashtag!P160</f>
        <v>1.5</v>
      </c>
      <c r="S160" s="2">
        <f>Mid(PasteHashtag!H160,FIND("/",PasteHashtag!H160)+1,LEN(PasteHashtag!H160)-FIND("/",PasteHashtag!H160)-1)*1</f>
        <v>10.6</v>
      </c>
      <c r="T160" s="344">
        <f>Mid(PasteHashtag!I160,FIND("/",PasteHashtag!I160)+1,LEN(PasteHashtag!I160)-FIND("/",PasteHashtag!I160)-1)*1</f>
        <v>4.2</v>
      </c>
      <c r="U160" s="11"/>
      <c r="V160" s="11"/>
      <c r="W160" s="11"/>
    </row>
    <row r="161">
      <c r="A161" s="2">
        <v>160.0</v>
      </c>
      <c r="B161" s="2">
        <f>PasteHashtag!B161</f>
        <v>141.5</v>
      </c>
      <c r="C161" s="343" t="str">
        <f>PasteHashtag!C161</f>
        <v>Tre Jones</v>
      </c>
      <c r="D161" s="2" t="str">
        <f>PasteHashtag!D161</f>
        <v>PG</v>
      </c>
      <c r="E161" s="2" t="str">
        <f>PasteHashtag!E161</f>
        <v>SA</v>
      </c>
      <c r="F161" s="2">
        <f>PasteHashtag!F161</f>
        <v>74</v>
      </c>
      <c r="G161" s="2">
        <f>PasteHashtag!G161</f>
        <v>24.4</v>
      </c>
      <c r="H161" s="2">
        <f>MID(PasteHashtag!H161,1+FIND("(",PasteHashtag!H161),FIND("/",PasteHashtag!H161)-FIND("(",PasteHashtag!H161)-1)*1</f>
        <v>3.9</v>
      </c>
      <c r="I161" s="2">
        <f>LEFT(PasteHashtag!H161,FIND("(",PasteHashtag!H161)-1)*1</f>
        <v>0.479</v>
      </c>
      <c r="J161" s="2">
        <f>MID(PasteHashtag!I161,1+FIND("(",PasteHashtag!I161),FIND("/",PasteHashtag!I161)-FIND("(",PasteHashtag!I161)-1)*1</f>
        <v>1.5</v>
      </c>
      <c r="K161" s="2">
        <f>LEFT(PasteHashtag!I161,FIND("(",PasteHashtag!I161)-1)*1</f>
        <v>0.861</v>
      </c>
      <c r="L161" s="2">
        <f>PasteHashtag!J161</f>
        <v>0.7</v>
      </c>
      <c r="M161" s="2">
        <f>PasteHashtag!K161</f>
        <v>9.8</v>
      </c>
      <c r="N161" s="2">
        <f>PasteHashtag!L161</f>
        <v>3.2</v>
      </c>
      <c r="O161" s="2">
        <f>PasteHashtag!M161</f>
        <v>5.5</v>
      </c>
      <c r="P161" s="2">
        <f>PasteHashtag!N161</f>
        <v>1</v>
      </c>
      <c r="Q161" s="2">
        <f>PasteHashtag!O161</f>
        <v>0.1</v>
      </c>
      <c r="R161" s="2">
        <f>PasteHashtag!P161</f>
        <v>1.4</v>
      </c>
      <c r="S161" s="2">
        <f>Mid(PasteHashtag!H161,FIND("/",PasteHashtag!H161)+1,LEN(PasteHashtag!H161)-FIND("/",PasteHashtag!H161)-1)*1</f>
        <v>8</v>
      </c>
      <c r="T161" s="344">
        <f>Mid(PasteHashtag!I161,FIND("/",PasteHashtag!I161)+1,LEN(PasteHashtag!I161)-FIND("/",PasteHashtag!I161)-1)*1</f>
        <v>1.7</v>
      </c>
      <c r="U161" s="11"/>
      <c r="V161" s="11"/>
      <c r="W161" s="11"/>
    </row>
    <row r="162">
      <c r="A162" s="2">
        <v>161.0</v>
      </c>
      <c r="B162" s="2">
        <f>PasteHashtag!B162</f>
        <v>103.5</v>
      </c>
      <c r="C162" s="343" t="str">
        <f>PasteHashtag!C162</f>
        <v>Zach Edey</v>
      </c>
      <c r="D162" s="2" t="str">
        <f>PasteHashtag!D162</f>
        <v>C</v>
      </c>
      <c r="E162" s="2" t="str">
        <f>PasteHashtag!E162</f>
        <v>MEM</v>
      </c>
      <c r="F162" s="2">
        <f>PasteHashtag!F162</f>
        <v>68</v>
      </c>
      <c r="G162" s="2">
        <f>PasteHashtag!G162</f>
        <v>26.2</v>
      </c>
      <c r="H162" s="2">
        <f>MID(PasteHashtag!H162,1+FIND("(",PasteHashtag!H162),FIND("/",PasteHashtag!H162)-FIND("(",PasteHashtag!H162)-1)*1</f>
        <v>4.2</v>
      </c>
      <c r="I162" s="2">
        <f>LEFT(PasteHashtag!H162,FIND("(",PasteHashtag!H162)-1)*1</f>
        <v>0.575</v>
      </c>
      <c r="J162" s="2">
        <f>MID(PasteHashtag!I162,1+FIND("(",PasteHashtag!I162),FIND("/",PasteHashtag!I162)-FIND("(",PasteHashtag!I162)-1)*1</f>
        <v>1.8</v>
      </c>
      <c r="K162" s="2">
        <f>LEFT(PasteHashtag!I162,FIND("(",PasteHashtag!I162)-1)*1</f>
        <v>0.729</v>
      </c>
      <c r="L162" s="2">
        <f>PasteHashtag!J162</f>
        <v>0</v>
      </c>
      <c r="M162" s="2">
        <f>PasteHashtag!K162</f>
        <v>10.2</v>
      </c>
      <c r="N162" s="2">
        <f>PasteHashtag!L162</f>
        <v>7.2</v>
      </c>
      <c r="O162" s="2">
        <f>PasteHashtag!M162</f>
        <v>1.3</v>
      </c>
      <c r="P162" s="2">
        <f>PasteHashtag!N162</f>
        <v>0.3</v>
      </c>
      <c r="Q162" s="2">
        <f>PasteHashtag!O162</f>
        <v>1.3</v>
      </c>
      <c r="R162" s="2">
        <f>PasteHashtag!P162</f>
        <v>1</v>
      </c>
      <c r="S162" s="2">
        <f>Mid(PasteHashtag!H162,FIND("/",PasteHashtag!H162)+1,LEN(PasteHashtag!H162)-FIND("/",PasteHashtag!H162)-1)*1</f>
        <v>7.3</v>
      </c>
      <c r="T162" s="344">
        <f>Mid(PasteHashtag!I162,FIND("/",PasteHashtag!I162)+1,LEN(PasteHashtag!I162)-FIND("/",PasteHashtag!I162)-1)*1</f>
        <v>2.5</v>
      </c>
      <c r="U162" s="11"/>
      <c r="V162" s="11"/>
      <c r="W162" s="11"/>
    </row>
    <row r="163">
      <c r="A163" s="2">
        <v>162.0</v>
      </c>
      <c r="B163" s="2">
        <f>PasteHashtag!B163</f>
        <v>130.8</v>
      </c>
      <c r="C163" s="343" t="str">
        <f>PasteHashtag!C163</f>
        <v>Scoot Henderson</v>
      </c>
      <c r="D163" s="2" t="str">
        <f>PasteHashtag!D163</f>
        <v>PG</v>
      </c>
      <c r="E163" s="2" t="str">
        <f>PasteHashtag!E163</f>
        <v>POR</v>
      </c>
      <c r="F163" s="2">
        <f>PasteHashtag!F163</f>
        <v>67</v>
      </c>
      <c r="G163" s="2">
        <f>PasteHashtag!G163</f>
        <v>30.1</v>
      </c>
      <c r="H163" s="2">
        <f>MID(PasteHashtag!H163,1+FIND("(",PasteHashtag!H163),FIND("/",PasteHashtag!H163)-FIND("(",PasteHashtag!H163)-1)*1</f>
        <v>5.6</v>
      </c>
      <c r="I163" s="2">
        <f>LEFT(PasteHashtag!H163,FIND("(",PasteHashtag!H163)-1)*1</f>
        <v>0.409</v>
      </c>
      <c r="J163" s="2">
        <f>MID(PasteHashtag!I163,1+FIND("(",PasteHashtag!I163),FIND("/",PasteHashtag!I163)-FIND("(",PasteHashtag!I163)-1)*1</f>
        <v>2.9</v>
      </c>
      <c r="K163" s="2">
        <f>LEFT(PasteHashtag!I163,FIND("(",PasteHashtag!I163)-1)*1</f>
        <v>0.821</v>
      </c>
      <c r="L163" s="2">
        <f>PasteHashtag!J163</f>
        <v>1.5</v>
      </c>
      <c r="M163" s="2">
        <f>PasteHashtag!K163</f>
        <v>15.7</v>
      </c>
      <c r="N163" s="2">
        <f>PasteHashtag!L163</f>
        <v>3.3</v>
      </c>
      <c r="O163" s="2">
        <f>PasteHashtag!M163</f>
        <v>5.8</v>
      </c>
      <c r="P163" s="2">
        <f>PasteHashtag!N163</f>
        <v>1</v>
      </c>
      <c r="Q163" s="2">
        <f>PasteHashtag!O163</f>
        <v>0.3</v>
      </c>
      <c r="R163" s="2">
        <f>PasteHashtag!P163</f>
        <v>3.3</v>
      </c>
      <c r="S163" s="2">
        <f>Mid(PasteHashtag!H163,FIND("/",PasteHashtag!H163)+1,LEN(PasteHashtag!H163)-FIND("/",PasteHashtag!H163)-1)*1</f>
        <v>13.8</v>
      </c>
      <c r="T163" s="344">
        <f>Mid(PasteHashtag!I163,FIND("/",PasteHashtag!I163)+1,LEN(PasteHashtag!I163)-FIND("/",PasteHashtag!I163)-1)*1</f>
        <v>3.5</v>
      </c>
      <c r="U163" s="11"/>
      <c r="V163" s="11"/>
      <c r="W163" s="11"/>
    </row>
    <row r="164">
      <c r="A164" s="2">
        <v>163.0</v>
      </c>
      <c r="B164" s="2">
        <f>PasteHashtag!B164</f>
        <v>140.2</v>
      </c>
      <c r="C164" s="343" t="str">
        <f>PasteHashtag!C164</f>
        <v>Kyle Lowry</v>
      </c>
      <c r="D164" s="2" t="str">
        <f>PasteHashtag!D164</f>
        <v>PG</v>
      </c>
      <c r="E164" s="2" t="str">
        <f>PasteHashtag!E164</f>
        <v>PHI</v>
      </c>
      <c r="F164" s="2">
        <f>PasteHashtag!F164</f>
        <v>58</v>
      </c>
      <c r="G164" s="2">
        <f>PasteHashtag!G164</f>
        <v>27.7</v>
      </c>
      <c r="H164" s="2">
        <f>MID(PasteHashtag!H164,1+FIND("(",PasteHashtag!H164),FIND("/",PasteHashtag!H164)-FIND("(",PasteHashtag!H164)-1)*1</f>
        <v>3</v>
      </c>
      <c r="I164" s="2">
        <f>LEFT(PasteHashtag!H164,FIND("(",PasteHashtag!H164)-1)*1</f>
        <v>0.417</v>
      </c>
      <c r="J164" s="2">
        <f>MID(PasteHashtag!I164,1+FIND("(",PasteHashtag!I164),FIND("/",PasteHashtag!I164)-FIND("(",PasteHashtag!I164)-1)*1</f>
        <v>1.5</v>
      </c>
      <c r="K164" s="2">
        <f>LEFT(PasteHashtag!I164,FIND("(",PasteHashtag!I164)-1)*1</f>
        <v>0.855</v>
      </c>
      <c r="L164" s="2">
        <f>PasteHashtag!J164</f>
        <v>1.7</v>
      </c>
      <c r="M164" s="2">
        <f>PasteHashtag!K164</f>
        <v>9.1</v>
      </c>
      <c r="N164" s="2">
        <f>PasteHashtag!L164</f>
        <v>3.4</v>
      </c>
      <c r="O164" s="2">
        <f>PasteHashtag!M164</f>
        <v>4.4</v>
      </c>
      <c r="P164" s="2">
        <f>PasteHashtag!N164</f>
        <v>1</v>
      </c>
      <c r="Q164" s="2">
        <f>PasteHashtag!O164</f>
        <v>0.3</v>
      </c>
      <c r="R164" s="2">
        <f>PasteHashtag!P164</f>
        <v>1.5</v>
      </c>
      <c r="S164" s="2">
        <f>Mid(PasteHashtag!H164,FIND("/",PasteHashtag!H164)+1,LEN(PasteHashtag!H164)-FIND("/",PasteHashtag!H164)-1)*1</f>
        <v>7.1</v>
      </c>
      <c r="T164" s="344">
        <f>Mid(PasteHashtag!I164,FIND("/",PasteHashtag!I164)+1,LEN(PasteHashtag!I164)-FIND("/",PasteHashtag!I164)-1)*1</f>
        <v>1.7</v>
      </c>
      <c r="U164" s="11"/>
      <c r="V164" s="11"/>
      <c r="W164" s="11"/>
    </row>
    <row r="165">
      <c r="A165" s="2">
        <v>164.0</v>
      </c>
      <c r="B165" s="2">
        <f>PasteHashtag!B165</f>
        <v>144.4</v>
      </c>
      <c r="C165" s="343" t="str">
        <f>PasteHashtag!C165</f>
        <v>Dyson Daniels</v>
      </c>
      <c r="D165" s="2" t="str">
        <f>PasteHashtag!D165</f>
        <v>PG,SG</v>
      </c>
      <c r="E165" s="2" t="str">
        <f>PasteHashtag!E165</f>
        <v>ATL</v>
      </c>
      <c r="F165" s="2">
        <f>PasteHashtag!F165</f>
        <v>68</v>
      </c>
      <c r="G165" s="2">
        <f>PasteHashtag!G165</f>
        <v>27.4</v>
      </c>
      <c r="H165" s="2">
        <f>MID(PasteHashtag!H165,1+FIND("(",PasteHashtag!H165),FIND("/",PasteHashtag!H165)-FIND("(",PasteHashtag!H165)-1)*1</f>
        <v>2.8</v>
      </c>
      <c r="I165" s="2">
        <f>LEFT(PasteHashtag!H165,FIND("(",PasteHashtag!H165)-1)*1</f>
        <v>0.453</v>
      </c>
      <c r="J165" s="2">
        <f>MID(PasteHashtag!I165,1+FIND("(",PasteHashtag!I165),FIND("/",PasteHashtag!I165)-FIND("(",PasteHashtag!I165)-1)*1</f>
        <v>0.7</v>
      </c>
      <c r="K165" s="2">
        <f>LEFT(PasteHashtag!I165,FIND("(",PasteHashtag!I165)-1)*1</f>
        <v>0.651</v>
      </c>
      <c r="L165" s="2">
        <f>PasteHashtag!J165</f>
        <v>0.8</v>
      </c>
      <c r="M165" s="2">
        <f>PasteHashtag!K165</f>
        <v>7.1</v>
      </c>
      <c r="N165" s="2">
        <f>PasteHashtag!L165</f>
        <v>5</v>
      </c>
      <c r="O165" s="2">
        <f>PasteHashtag!M165</f>
        <v>3.5</v>
      </c>
      <c r="P165" s="2">
        <f>PasteHashtag!N165</f>
        <v>1.5</v>
      </c>
      <c r="Q165" s="2">
        <f>PasteHashtag!O165</f>
        <v>0.4</v>
      </c>
      <c r="R165" s="2">
        <f>PasteHashtag!P165</f>
        <v>1.4</v>
      </c>
      <c r="S165" s="2">
        <f>Mid(PasteHashtag!H165,FIND("/",PasteHashtag!H165)+1,LEN(PasteHashtag!H165)-FIND("/",PasteHashtag!H165)-1)*1</f>
        <v>6.1</v>
      </c>
      <c r="T165" s="344">
        <f>Mid(PasteHashtag!I165,FIND("/",PasteHashtag!I165)+1,LEN(PasteHashtag!I165)-FIND("/",PasteHashtag!I165)-1)*1</f>
        <v>1.1</v>
      </c>
      <c r="U165" s="11"/>
      <c r="V165" s="11"/>
      <c r="W165" s="11"/>
    </row>
    <row r="166">
      <c r="A166" s="2">
        <v>165.0</v>
      </c>
      <c r="B166" s="2">
        <f>PasteHashtag!B166</f>
        <v>140.6</v>
      </c>
      <c r="C166" s="343" t="str">
        <f>PasteHashtag!C166</f>
        <v>Andrew Nembhard</v>
      </c>
      <c r="D166" s="2" t="str">
        <f>PasteHashtag!D166</f>
        <v>PG,SG</v>
      </c>
      <c r="E166" s="2" t="str">
        <f>PasteHashtag!E166</f>
        <v>IND</v>
      </c>
      <c r="F166" s="2">
        <f>PasteHashtag!F166</f>
        <v>72</v>
      </c>
      <c r="G166" s="2">
        <f>PasteHashtag!G166</f>
        <v>30.2</v>
      </c>
      <c r="H166" s="2">
        <f>MID(PasteHashtag!H166,1+FIND("(",PasteHashtag!H166),FIND("/",PasteHashtag!H166)-FIND("(",PasteHashtag!H166)-1)*1</f>
        <v>4.4</v>
      </c>
      <c r="I166" s="2">
        <f>LEFT(PasteHashtag!H166,FIND("(",PasteHashtag!H166)-1)*1</f>
        <v>0.477</v>
      </c>
      <c r="J166" s="2">
        <f>MID(PasteHashtag!I166,1+FIND("(",PasteHashtag!I166),FIND("/",PasteHashtag!I166)-FIND("(",PasteHashtag!I166)-1)*1</f>
        <v>0.8</v>
      </c>
      <c r="K166" s="2">
        <f>LEFT(PasteHashtag!I166,FIND("(",PasteHashtag!I166)-1)*1</f>
        <v>0.8</v>
      </c>
      <c r="L166" s="2">
        <f>PasteHashtag!J166</f>
        <v>1.2</v>
      </c>
      <c r="M166" s="2">
        <f>PasteHashtag!K166</f>
        <v>10.7</v>
      </c>
      <c r="N166" s="2">
        <f>PasteHashtag!L166</f>
        <v>2.7</v>
      </c>
      <c r="O166" s="2">
        <f>PasteHashtag!M166</f>
        <v>5</v>
      </c>
      <c r="P166" s="2">
        <f>PasteHashtag!N166</f>
        <v>1.1</v>
      </c>
      <c r="Q166" s="2">
        <f>PasteHashtag!O166</f>
        <v>0.2</v>
      </c>
      <c r="R166" s="2">
        <f>PasteHashtag!P166</f>
        <v>1.8</v>
      </c>
      <c r="S166" s="2">
        <f>Mid(PasteHashtag!H166,FIND("/",PasteHashtag!H166)+1,LEN(PasteHashtag!H166)-FIND("/",PasteHashtag!H166)-1)*1</f>
        <v>9.2</v>
      </c>
      <c r="T166" s="344">
        <f>Mid(PasteHashtag!I166,FIND("/",PasteHashtag!I166)+1,LEN(PasteHashtag!I166)-FIND("/",PasteHashtag!I166)-1)*1</f>
        <v>1</v>
      </c>
      <c r="U166" s="11"/>
      <c r="V166" s="11"/>
      <c r="W166" s="11"/>
    </row>
    <row r="167">
      <c r="A167" s="2">
        <v>166.0</v>
      </c>
      <c r="B167" s="2">
        <f>PasteHashtag!B167</f>
        <v>141.2</v>
      </c>
      <c r="C167" s="343" t="str">
        <f>PasteHashtag!C167</f>
        <v>Jaden McDaniels</v>
      </c>
      <c r="D167" s="2" t="str">
        <f>PasteHashtag!D167</f>
        <v>SF,PF</v>
      </c>
      <c r="E167" s="2" t="str">
        <f>PasteHashtag!E167</f>
        <v>MIN</v>
      </c>
      <c r="F167" s="2">
        <f>PasteHashtag!F167</f>
        <v>74</v>
      </c>
      <c r="G167" s="2">
        <f>PasteHashtag!G167</f>
        <v>29.8</v>
      </c>
      <c r="H167" s="2">
        <f>MID(PasteHashtag!H167,1+FIND("(",PasteHashtag!H167),FIND("/",PasteHashtag!H167)-FIND("(",PasteHashtag!H167)-1)*1</f>
        <v>4.5</v>
      </c>
      <c r="I167" s="2">
        <f>LEFT(PasteHashtag!H167,FIND("(",PasteHashtag!H167)-1)*1</f>
        <v>0.504</v>
      </c>
      <c r="J167" s="2">
        <f>MID(PasteHashtag!I167,1+FIND("(",PasteHashtag!I167),FIND("/",PasteHashtag!I167)-FIND("(",PasteHashtag!I167)-1)*1</f>
        <v>1.1</v>
      </c>
      <c r="K167" s="2">
        <f>LEFT(PasteHashtag!I167,FIND("(",PasteHashtag!I167)-1)*1</f>
        <v>0.732</v>
      </c>
      <c r="L167" s="2">
        <f>PasteHashtag!J167</f>
        <v>1.3</v>
      </c>
      <c r="M167" s="2">
        <f>PasteHashtag!K167</f>
        <v>11.4</v>
      </c>
      <c r="N167" s="2">
        <f>PasteHashtag!L167</f>
        <v>3.5</v>
      </c>
      <c r="O167" s="2">
        <f>PasteHashtag!M167</f>
        <v>1.7</v>
      </c>
      <c r="P167" s="2">
        <f>PasteHashtag!N167</f>
        <v>0.9</v>
      </c>
      <c r="Q167" s="2">
        <f>PasteHashtag!O167</f>
        <v>0.8</v>
      </c>
      <c r="R167" s="2">
        <f>PasteHashtag!P167</f>
        <v>1.3</v>
      </c>
      <c r="S167" s="2">
        <f>Mid(PasteHashtag!H167,FIND("/",PasteHashtag!H167)+1,LEN(PasteHashtag!H167)-FIND("/",PasteHashtag!H167)-1)*1</f>
        <v>9</v>
      </c>
      <c r="T167" s="344">
        <f>Mid(PasteHashtag!I167,FIND("/",PasteHashtag!I167)+1,LEN(PasteHashtag!I167)-FIND("/",PasteHashtag!I167)-1)*1</f>
        <v>1.5</v>
      </c>
      <c r="U167" s="11"/>
      <c r="V167" s="11"/>
      <c r="W167" s="11"/>
    </row>
    <row r="168">
      <c r="A168" s="2">
        <v>167.0</v>
      </c>
      <c r="B168" s="2">
        <f>PasteHashtag!B168</f>
        <v>147</v>
      </c>
      <c r="C168" s="343" t="str">
        <f>PasteHashtag!C168</f>
        <v>Patrick Williams</v>
      </c>
      <c r="D168" s="2" t="str">
        <f>PasteHashtag!D168</f>
        <v>PF</v>
      </c>
      <c r="E168" s="2" t="str">
        <f>PasteHashtag!E168</f>
        <v>CHI</v>
      </c>
      <c r="F168" s="2">
        <f>PasteHashtag!F168</f>
        <v>68</v>
      </c>
      <c r="G168" s="2">
        <f>PasteHashtag!G168</f>
        <v>28.3</v>
      </c>
      <c r="H168" s="2">
        <f>MID(PasteHashtag!H168,1+FIND("(",PasteHashtag!H168),FIND("/",PasteHashtag!H168)-FIND("(",PasteHashtag!H168)-1)*1</f>
        <v>3.9</v>
      </c>
      <c r="I168" s="2">
        <f>LEFT(PasteHashtag!H168,FIND("(",PasteHashtag!H168)-1)*1</f>
        <v>0.457</v>
      </c>
      <c r="J168" s="2">
        <f>MID(PasteHashtag!I168,1+FIND("(",PasteHashtag!I168),FIND("/",PasteHashtag!I168)-FIND("(",PasteHashtag!I168)-1)*1</f>
        <v>1.2</v>
      </c>
      <c r="K168" s="2">
        <f>LEFT(PasteHashtag!I168,FIND("(",PasteHashtag!I168)-1)*1</f>
        <v>0.829</v>
      </c>
      <c r="L168" s="2">
        <f>PasteHashtag!J168</f>
        <v>1.4</v>
      </c>
      <c r="M168" s="2">
        <f>PasteHashtag!K168</f>
        <v>10.3</v>
      </c>
      <c r="N168" s="2">
        <f>PasteHashtag!L168</f>
        <v>4</v>
      </c>
      <c r="O168" s="2">
        <f>PasteHashtag!M168</f>
        <v>1.4</v>
      </c>
      <c r="P168" s="2">
        <f>PasteHashtag!N168</f>
        <v>0.9</v>
      </c>
      <c r="Q168" s="2">
        <f>PasteHashtag!O168</f>
        <v>0.8</v>
      </c>
      <c r="R168" s="2">
        <f>PasteHashtag!P168</f>
        <v>1.3</v>
      </c>
      <c r="S168" s="2">
        <f>Mid(PasteHashtag!H168,FIND("/",PasteHashtag!H168)+1,LEN(PasteHashtag!H168)-FIND("/",PasteHashtag!H168)-1)*1</f>
        <v>8.5</v>
      </c>
      <c r="T168" s="344">
        <f>Mid(PasteHashtag!I168,FIND("/",PasteHashtag!I168)+1,LEN(PasteHashtag!I168)-FIND("/",PasteHashtag!I168)-1)*1</f>
        <v>1.4</v>
      </c>
      <c r="U168" s="11"/>
      <c r="V168" s="11"/>
      <c r="W168" s="11"/>
    </row>
    <row r="169">
      <c r="A169" s="2">
        <v>168.0</v>
      </c>
      <c r="B169" s="2">
        <f>PasteHashtag!B169</f>
        <v>146.9</v>
      </c>
      <c r="C169" s="343" t="str">
        <f>PasteHashtag!C169</f>
        <v>Karlo Matkovic</v>
      </c>
      <c r="D169" s="2" t="str">
        <f>PasteHashtag!D169</f>
        <v>PF</v>
      </c>
      <c r="E169" s="2" t="str">
        <f>PasteHashtag!E169</f>
        <v>NO</v>
      </c>
      <c r="F169" s="2">
        <f>PasteHashtag!F169</f>
        <v>50</v>
      </c>
      <c r="G169" s="2">
        <f>PasteHashtag!G169</f>
        <v>19.2</v>
      </c>
      <c r="H169" s="2">
        <f>MID(PasteHashtag!H169,1+FIND("(",PasteHashtag!H169),FIND("/",PasteHashtag!H169)-FIND("(",PasteHashtag!H169)-1)*1</f>
        <v>3.6</v>
      </c>
      <c r="I169" s="2">
        <f>LEFT(PasteHashtag!H169,FIND("(",PasteHashtag!H169)-1)*1</f>
        <v>0.488</v>
      </c>
      <c r="J169" s="2">
        <f>MID(PasteHashtag!I169,1+FIND("(",PasteHashtag!I169),FIND("/",PasteHashtag!I169)-FIND("(",PasteHashtag!I169)-1)*1</f>
        <v>1.4</v>
      </c>
      <c r="K169" s="2">
        <f>LEFT(PasteHashtag!I169,FIND("(",PasteHashtag!I169)-1)*1</f>
        <v>0.751</v>
      </c>
      <c r="L169" s="2">
        <f>PasteHashtag!J169</f>
        <v>1.1</v>
      </c>
      <c r="M169" s="2">
        <f>PasteHashtag!K169</f>
        <v>9.7</v>
      </c>
      <c r="N169" s="2">
        <f>PasteHashtag!L169</f>
        <v>4.6</v>
      </c>
      <c r="O169" s="2">
        <f>PasteHashtag!M169</f>
        <v>1.5</v>
      </c>
      <c r="P169" s="2">
        <f>PasteHashtag!N169</f>
        <v>0.7</v>
      </c>
      <c r="Q169" s="2">
        <f>PasteHashtag!O169</f>
        <v>1.2</v>
      </c>
      <c r="R169" s="2">
        <f>PasteHashtag!P169</f>
        <v>1.4</v>
      </c>
      <c r="S169" s="2">
        <f>Mid(PasteHashtag!H169,FIND("/",PasteHashtag!H169)+1,LEN(PasteHashtag!H169)-FIND("/",PasteHashtag!H169)-1)*1</f>
        <v>7.4</v>
      </c>
      <c r="T169" s="344">
        <f>Mid(PasteHashtag!I169,FIND("/",PasteHashtag!I169)+1,LEN(PasteHashtag!I169)-FIND("/",PasteHashtag!I169)-1)*1</f>
        <v>1.9</v>
      </c>
      <c r="U169" s="11"/>
      <c r="V169" s="11"/>
      <c r="W169" s="11"/>
    </row>
    <row r="170">
      <c r="A170" s="2">
        <v>169.0</v>
      </c>
      <c r="B170" s="2">
        <f>PasteHashtag!B170</f>
        <v>144.8</v>
      </c>
      <c r="C170" s="343" t="str">
        <f>PasteHashtag!C170</f>
        <v>Max Strus</v>
      </c>
      <c r="D170" s="2" t="str">
        <f>PasteHashtag!D170</f>
        <v>SG,SF</v>
      </c>
      <c r="E170" s="2" t="str">
        <f>PasteHashtag!E170</f>
        <v>CLE</v>
      </c>
      <c r="F170" s="2">
        <f>PasteHashtag!F170</f>
        <v>72</v>
      </c>
      <c r="G170" s="2">
        <f>PasteHashtag!G170</f>
        <v>29.4</v>
      </c>
      <c r="H170" s="2">
        <f>MID(PasteHashtag!H170,1+FIND("(",PasteHashtag!H170),FIND("/",PasteHashtag!H170)-FIND("(",PasteHashtag!H170)-1)*1</f>
        <v>4.2</v>
      </c>
      <c r="I170" s="2">
        <f>LEFT(PasteHashtag!H170,FIND("(",PasteHashtag!H170)-1)*1</f>
        <v>0.414</v>
      </c>
      <c r="J170" s="2">
        <f>MID(PasteHashtag!I170,1+FIND("(",PasteHashtag!I170),FIND("/",PasteHashtag!I170)-FIND("(",PasteHashtag!I170)-1)*1</f>
        <v>1</v>
      </c>
      <c r="K170" s="2">
        <f>LEFT(PasteHashtag!I170,FIND("(",PasteHashtag!I170)-1)*1</f>
        <v>0.829</v>
      </c>
      <c r="L170" s="2">
        <f>PasteHashtag!J170</f>
        <v>2.4</v>
      </c>
      <c r="M170" s="2">
        <f>PasteHashtag!K170</f>
        <v>11.7</v>
      </c>
      <c r="N170" s="2">
        <f>PasteHashtag!L170</f>
        <v>3.9</v>
      </c>
      <c r="O170" s="2">
        <f>PasteHashtag!M170</f>
        <v>3.4</v>
      </c>
      <c r="P170" s="2">
        <f>PasteHashtag!N170</f>
        <v>0.8</v>
      </c>
      <c r="Q170" s="2">
        <f>PasteHashtag!O170</f>
        <v>0.3</v>
      </c>
      <c r="R170" s="2">
        <f>PasteHashtag!P170</f>
        <v>1.2</v>
      </c>
      <c r="S170" s="2">
        <f>Mid(PasteHashtag!H170,FIND("/",PasteHashtag!H170)+1,LEN(PasteHashtag!H170)-FIND("/",PasteHashtag!H170)-1)*1</f>
        <v>10</v>
      </c>
      <c r="T170" s="344">
        <f>Mid(PasteHashtag!I170,FIND("/",PasteHashtag!I170)+1,LEN(PasteHashtag!I170)-FIND("/",PasteHashtag!I170)-1)*1</f>
        <v>1.2</v>
      </c>
      <c r="U170" s="11"/>
      <c r="V170" s="11"/>
      <c r="W170" s="11"/>
    </row>
    <row r="171">
      <c r="A171" s="2">
        <v>170.0</v>
      </c>
      <c r="B171" s="2">
        <f>PasteHashtag!B171</f>
        <v>143.4</v>
      </c>
      <c r="C171" s="343" t="str">
        <f>PasteHashtag!C171</f>
        <v>T.J. McConnell</v>
      </c>
      <c r="D171" s="2" t="str">
        <f>PasteHashtag!D171</f>
        <v>PG</v>
      </c>
      <c r="E171" s="2" t="str">
        <f>PasteHashtag!E171</f>
        <v>IND</v>
      </c>
      <c r="F171" s="2">
        <f>PasteHashtag!F171</f>
        <v>70</v>
      </c>
      <c r="G171" s="2">
        <f>PasteHashtag!G171</f>
        <v>18.6</v>
      </c>
      <c r="H171" s="2">
        <f>MID(PasteHashtag!H171,1+FIND("(",PasteHashtag!H171),FIND("/",PasteHashtag!H171)-FIND("(",PasteHashtag!H171)-1)*1</f>
        <v>4.1</v>
      </c>
      <c r="I171" s="2">
        <f>LEFT(PasteHashtag!H171,FIND("(",PasteHashtag!H171)-1)*1</f>
        <v>0.55</v>
      </c>
      <c r="J171" s="2">
        <f>MID(PasteHashtag!I171,1+FIND("(",PasteHashtag!I171),FIND("/",PasteHashtag!I171)-FIND("(",PasteHashtag!I171)-1)*1</f>
        <v>0.7</v>
      </c>
      <c r="K171" s="2">
        <f>LEFT(PasteHashtag!I171,FIND("(",PasteHashtag!I171)-1)*1</f>
        <v>0.816</v>
      </c>
      <c r="L171" s="2">
        <f>PasteHashtag!J171</f>
        <v>0.3</v>
      </c>
      <c r="M171" s="2">
        <f>PasteHashtag!K171</f>
        <v>9.2</v>
      </c>
      <c r="N171" s="2">
        <f>PasteHashtag!L171</f>
        <v>2.8</v>
      </c>
      <c r="O171" s="2">
        <f>PasteHashtag!M171</f>
        <v>5.3</v>
      </c>
      <c r="P171" s="2">
        <f>PasteHashtag!N171</f>
        <v>1</v>
      </c>
      <c r="Q171" s="2">
        <f>PasteHashtag!O171</f>
        <v>0.1</v>
      </c>
      <c r="R171" s="2">
        <f>PasteHashtag!P171</f>
        <v>1.7</v>
      </c>
      <c r="S171" s="2">
        <f>Mid(PasteHashtag!H171,FIND("/",PasteHashtag!H171)+1,LEN(PasteHashtag!H171)-FIND("/",PasteHashtag!H171)-1)*1</f>
        <v>7.4</v>
      </c>
      <c r="T171" s="344">
        <f>Mid(PasteHashtag!I171,FIND("/",PasteHashtag!I171)+1,LEN(PasteHashtag!I171)-FIND("/",PasteHashtag!I171)-1)*1</f>
        <v>0.9</v>
      </c>
      <c r="U171" s="11"/>
      <c r="V171" s="11"/>
      <c r="W171" s="11"/>
    </row>
    <row r="172">
      <c r="A172" s="2">
        <v>171.0</v>
      </c>
      <c r="B172" s="2" t="str">
        <f>PasteHashtag!B172</f>
        <v/>
      </c>
      <c r="C172" s="343" t="str">
        <f>PasteHashtag!C172</f>
        <v>Miles McBride</v>
      </c>
      <c r="D172" s="2" t="str">
        <f>PasteHashtag!D172</f>
        <v>PG,SG</v>
      </c>
      <c r="E172" s="2" t="str">
        <f>PasteHashtag!E172</f>
        <v>NY</v>
      </c>
      <c r="F172" s="2">
        <f>PasteHashtag!F172</f>
        <v>68</v>
      </c>
      <c r="G172" s="2">
        <f>PasteHashtag!G172</f>
        <v>24.5</v>
      </c>
      <c r="H172" s="2">
        <f>MID(PasteHashtag!H172,1+FIND("(",PasteHashtag!H172),FIND("/",PasteHashtag!H172)-FIND("(",PasteHashtag!H172)-1)*1</f>
        <v>3.9</v>
      </c>
      <c r="I172" s="2">
        <f>LEFT(PasteHashtag!H172,FIND("(",PasteHashtag!H172)-1)*1</f>
        <v>0.446</v>
      </c>
      <c r="J172" s="2">
        <f>MID(PasteHashtag!I172,1+FIND("(",PasteHashtag!I172),FIND("/",PasteHashtag!I172)-FIND("(",PasteHashtag!I172)-1)*1</f>
        <v>1</v>
      </c>
      <c r="K172" s="2">
        <f>LEFT(PasteHashtag!I172,FIND("(",PasteHashtag!I172)-1)*1</f>
        <v>0.845</v>
      </c>
      <c r="L172" s="2">
        <f>PasteHashtag!J172</f>
        <v>2.1</v>
      </c>
      <c r="M172" s="2">
        <f>PasteHashtag!K172</f>
        <v>10.8</v>
      </c>
      <c r="N172" s="2">
        <f>PasteHashtag!L172</f>
        <v>2.1</v>
      </c>
      <c r="O172" s="2">
        <f>PasteHashtag!M172</f>
        <v>2.6</v>
      </c>
      <c r="P172" s="2">
        <f>PasteHashtag!N172</f>
        <v>1.2</v>
      </c>
      <c r="Q172" s="2">
        <f>PasteHashtag!O172</f>
        <v>0.2</v>
      </c>
      <c r="R172" s="2">
        <f>PasteHashtag!P172</f>
        <v>0.8</v>
      </c>
      <c r="S172" s="2">
        <f>Mid(PasteHashtag!H172,FIND("/",PasteHashtag!H172)+1,LEN(PasteHashtag!H172)-FIND("/",PasteHashtag!H172)-1)*1</f>
        <v>8.7</v>
      </c>
      <c r="T172" s="344">
        <f>Mid(PasteHashtag!I172,FIND("/",PasteHashtag!I172)+1,LEN(PasteHashtag!I172)-FIND("/",PasteHashtag!I172)-1)*1</f>
        <v>1.2</v>
      </c>
      <c r="U172" s="11"/>
      <c r="V172" s="11"/>
      <c r="W172" s="11"/>
    </row>
    <row r="173">
      <c r="A173" s="2">
        <v>172.0</v>
      </c>
      <c r="B173" s="2">
        <f>PasteHashtag!B173</f>
        <v>123.8</v>
      </c>
      <c r="C173" s="343" t="str">
        <f>PasteHashtag!C173</f>
        <v>Deni Avdija</v>
      </c>
      <c r="D173" s="2" t="str">
        <f>PasteHashtag!D173</f>
        <v>SF,PF</v>
      </c>
      <c r="E173" s="2" t="str">
        <f>PasteHashtag!E173</f>
        <v>POR</v>
      </c>
      <c r="F173" s="2">
        <f>PasteHashtag!F173</f>
        <v>73</v>
      </c>
      <c r="G173" s="2">
        <f>PasteHashtag!G173</f>
        <v>27.4</v>
      </c>
      <c r="H173" s="2">
        <f>MID(PasteHashtag!H173,1+FIND("(",PasteHashtag!H173),FIND("/",PasteHashtag!H173)-FIND("(",PasteHashtag!H173)-1)*1</f>
        <v>4.4</v>
      </c>
      <c r="I173" s="2">
        <f>LEFT(PasteHashtag!H173,FIND("(",PasteHashtag!H173)-1)*1</f>
        <v>0.477</v>
      </c>
      <c r="J173" s="2">
        <f>MID(PasteHashtag!I173,1+FIND("(",PasteHashtag!I173),FIND("/",PasteHashtag!I173)-FIND("(",PasteHashtag!I173)-1)*1</f>
        <v>2.1</v>
      </c>
      <c r="K173" s="2">
        <f>LEFT(PasteHashtag!I173,FIND("(",PasteHashtag!I173)-1)*1</f>
        <v>0.738</v>
      </c>
      <c r="L173" s="2">
        <f>PasteHashtag!J173</f>
        <v>1</v>
      </c>
      <c r="M173" s="2">
        <f>PasteHashtag!K173</f>
        <v>11.9</v>
      </c>
      <c r="N173" s="2">
        <f>PasteHashtag!L173</f>
        <v>6.5</v>
      </c>
      <c r="O173" s="2">
        <f>PasteHashtag!M173</f>
        <v>3.3</v>
      </c>
      <c r="P173" s="2">
        <f>PasteHashtag!N173</f>
        <v>0.8</v>
      </c>
      <c r="Q173" s="2">
        <f>PasteHashtag!O173</f>
        <v>0.4</v>
      </c>
      <c r="R173" s="2">
        <f>PasteHashtag!P173</f>
        <v>1.9</v>
      </c>
      <c r="S173" s="2">
        <f>Mid(PasteHashtag!H173,FIND("/",PasteHashtag!H173)+1,LEN(PasteHashtag!H173)-FIND("/",PasteHashtag!H173)-1)*1</f>
        <v>9.1</v>
      </c>
      <c r="T173" s="344">
        <f>Mid(PasteHashtag!I173,FIND("/",PasteHashtag!I173)+1,LEN(PasteHashtag!I173)-FIND("/",PasteHashtag!I173)-1)*1</f>
        <v>2.9</v>
      </c>
      <c r="U173" s="11"/>
      <c r="V173" s="11"/>
      <c r="W173" s="11"/>
    </row>
    <row r="174">
      <c r="A174" s="2">
        <v>173.0</v>
      </c>
      <c r="B174" s="2">
        <f>PasteHashtag!B174</f>
        <v>140.6</v>
      </c>
      <c r="C174" s="343" t="str">
        <f>PasteHashtag!C174</f>
        <v>Shaedon Sharpe</v>
      </c>
      <c r="D174" s="2" t="str">
        <f>PasteHashtag!D174</f>
        <v>SG,SF</v>
      </c>
      <c r="E174" s="2" t="str">
        <f>PasteHashtag!E174</f>
        <v>POR</v>
      </c>
      <c r="F174" s="2">
        <f>PasteHashtag!F174</f>
        <v>60</v>
      </c>
      <c r="G174" s="2">
        <f>PasteHashtag!G174</f>
        <v>31.6</v>
      </c>
      <c r="H174" s="2">
        <f>MID(PasteHashtag!H174,1+FIND("(",PasteHashtag!H174),FIND("/",PasteHashtag!H174)-FIND("(",PasteHashtag!H174)-1)*1</f>
        <v>5.6</v>
      </c>
      <c r="I174" s="2">
        <f>LEFT(PasteHashtag!H174,FIND("(",PasteHashtag!H174)-1)*1</f>
        <v>0.434</v>
      </c>
      <c r="J174" s="2">
        <f>MID(PasteHashtag!I174,1+FIND("(",PasteHashtag!I174),FIND("/",PasteHashtag!I174)-FIND("(",PasteHashtag!I174)-1)*1</f>
        <v>2.8</v>
      </c>
      <c r="K174" s="2">
        <f>LEFT(PasteHashtag!I174,FIND("(",PasteHashtag!I174)-1)*1</f>
        <v>0.812</v>
      </c>
      <c r="L174" s="2">
        <f>PasteHashtag!J174</f>
        <v>1.9</v>
      </c>
      <c r="M174" s="2">
        <f>PasteHashtag!K174</f>
        <v>15.9</v>
      </c>
      <c r="N174" s="2">
        <f>PasteHashtag!L174</f>
        <v>4.6</v>
      </c>
      <c r="O174" s="2">
        <f>PasteHashtag!M174</f>
        <v>2.2</v>
      </c>
      <c r="P174" s="2">
        <f>PasteHashtag!N174</f>
        <v>0.8</v>
      </c>
      <c r="Q174" s="2">
        <f>PasteHashtag!O174</f>
        <v>0.4</v>
      </c>
      <c r="R174" s="2">
        <f>PasteHashtag!P174</f>
        <v>1.8</v>
      </c>
      <c r="S174" s="2">
        <f>Mid(PasteHashtag!H174,FIND("/",PasteHashtag!H174)+1,LEN(PasteHashtag!H174)-FIND("/",PasteHashtag!H174)-1)*1</f>
        <v>12.9</v>
      </c>
      <c r="T174" s="344">
        <f>Mid(PasteHashtag!I174,FIND("/",PasteHashtag!I174)+1,LEN(PasteHashtag!I174)-FIND("/",PasteHashtag!I174)-1)*1</f>
        <v>3.5</v>
      </c>
      <c r="U174" s="11"/>
      <c r="V174" s="11"/>
      <c r="W174" s="11"/>
    </row>
    <row r="175">
      <c r="A175" s="2">
        <v>174.0</v>
      </c>
      <c r="B175" s="2">
        <f>PasteHashtag!B175</f>
        <v>138.5</v>
      </c>
      <c r="C175" s="343" t="str">
        <f>PasteHashtag!C175</f>
        <v>Ben Simmons</v>
      </c>
      <c r="D175" s="2" t="str">
        <f>PasteHashtag!D175</f>
        <v>PG</v>
      </c>
      <c r="E175" s="2" t="str">
        <f>PasteHashtag!E175</f>
        <v>BKN</v>
      </c>
      <c r="F175" s="2">
        <f>PasteHashtag!F175</f>
        <v>28</v>
      </c>
      <c r="G175" s="2">
        <f>PasteHashtag!G175</f>
        <v>24.9</v>
      </c>
      <c r="H175" s="2">
        <f>MID(PasteHashtag!H175,1+FIND("(",PasteHashtag!H175),FIND("/",PasteHashtag!H175)-FIND("(",PasteHashtag!H175)-1)*1</f>
        <v>3</v>
      </c>
      <c r="I175" s="2">
        <f>LEFT(PasteHashtag!H175,FIND("(",PasteHashtag!H175)-1)*1</f>
        <v>0.569</v>
      </c>
      <c r="J175" s="2">
        <f>MID(PasteHashtag!I175,1+FIND("(",PasteHashtag!I175),FIND("/",PasteHashtag!I175)-FIND("(",PasteHashtag!I175)-1)*1</f>
        <v>0.5</v>
      </c>
      <c r="K175" s="2">
        <f>LEFT(PasteHashtag!I175,FIND("(",PasteHashtag!I175)-1)*1</f>
        <v>0.427</v>
      </c>
      <c r="L175" s="2">
        <f>PasteHashtag!J175</f>
        <v>0</v>
      </c>
      <c r="M175" s="2">
        <f>PasteHashtag!K175</f>
        <v>6.6</v>
      </c>
      <c r="N175" s="2">
        <f>PasteHashtag!L175</f>
        <v>6.6</v>
      </c>
      <c r="O175" s="2">
        <f>PasteHashtag!M175</f>
        <v>5.9</v>
      </c>
      <c r="P175" s="2">
        <f>PasteHashtag!N175</f>
        <v>1.1</v>
      </c>
      <c r="Q175" s="2">
        <f>PasteHashtag!O175</f>
        <v>0.6</v>
      </c>
      <c r="R175" s="2">
        <f>PasteHashtag!P175</f>
        <v>2.1</v>
      </c>
      <c r="S175" s="2">
        <f>Mid(PasteHashtag!H175,FIND("/",PasteHashtag!H175)+1,LEN(PasteHashtag!H175)-FIND("/",PasteHashtag!H175)-1)*1</f>
        <v>5.3</v>
      </c>
      <c r="T175" s="344">
        <f>Mid(PasteHashtag!I175,FIND("/",PasteHashtag!I175)+1,LEN(PasteHashtag!I175)-FIND("/",PasteHashtag!I175)-1)*1</f>
        <v>1.2</v>
      </c>
    </row>
    <row r="176">
      <c r="A176" s="2">
        <v>175.0</v>
      </c>
      <c r="B176" s="2">
        <f>PasteHashtag!B176</f>
        <v>143.7</v>
      </c>
      <c r="C176" s="343" t="str">
        <f>PasteHashtag!C176</f>
        <v>Jonathan Isaac</v>
      </c>
      <c r="D176" s="2" t="str">
        <f>PasteHashtag!D176</f>
        <v>SF,PF</v>
      </c>
      <c r="E176" s="2" t="str">
        <f>PasteHashtag!E176</f>
        <v>ORL</v>
      </c>
      <c r="F176" s="2">
        <f>PasteHashtag!F176</f>
        <v>55</v>
      </c>
      <c r="G176" s="2">
        <f>PasteHashtag!G176</f>
        <v>17.2</v>
      </c>
      <c r="H176" s="2">
        <f>MID(PasteHashtag!H176,1+FIND("(",PasteHashtag!H176),FIND("/",PasteHashtag!H176)-FIND("(",PasteHashtag!H176)-1)*1</f>
        <v>2.8</v>
      </c>
      <c r="I176" s="2">
        <f>LEFT(PasteHashtag!H176,FIND("(",PasteHashtag!H176)-1)*1</f>
        <v>0.496</v>
      </c>
      <c r="J176" s="2">
        <f>MID(PasteHashtag!I176,1+FIND("(",PasteHashtag!I176),FIND("/",PasteHashtag!I176)-FIND("(",PasteHashtag!I176)-1)*1</f>
        <v>1.1</v>
      </c>
      <c r="K176" s="2">
        <f>LEFT(PasteHashtag!I176,FIND("(",PasteHashtag!I176)-1)*1</f>
        <v>0.704</v>
      </c>
      <c r="L176" s="2">
        <f>PasteHashtag!J176</f>
        <v>0.8</v>
      </c>
      <c r="M176" s="2">
        <f>PasteHashtag!K176</f>
        <v>7.5</v>
      </c>
      <c r="N176" s="2">
        <f>PasteHashtag!L176</f>
        <v>5.1</v>
      </c>
      <c r="O176" s="2">
        <f>PasteHashtag!M176</f>
        <v>0.6</v>
      </c>
      <c r="P176" s="2">
        <f>PasteHashtag!N176</f>
        <v>1</v>
      </c>
      <c r="Q176" s="2">
        <f>PasteHashtag!O176</f>
        <v>1.2</v>
      </c>
      <c r="R176" s="2">
        <f>PasteHashtag!P176</f>
        <v>0.5</v>
      </c>
      <c r="S176" s="2">
        <f>Mid(PasteHashtag!H176,FIND("/",PasteHashtag!H176)+1,LEN(PasteHashtag!H176)-FIND("/",PasteHashtag!H176)-1)*1</f>
        <v>5.7</v>
      </c>
      <c r="T176" s="344">
        <f>Mid(PasteHashtag!I176,FIND("/",PasteHashtag!I176)+1,LEN(PasteHashtag!I176)-FIND("/",PasteHashtag!I176)-1)*1</f>
        <v>1.5</v>
      </c>
    </row>
    <row r="177">
      <c r="A177" s="2">
        <v>176.0</v>
      </c>
      <c r="B177" s="2">
        <f>PasteHashtag!B177</f>
        <v>133.6</v>
      </c>
      <c r="C177" s="343" t="str">
        <f>PasteHashtag!C177</f>
        <v>Jaime Jaquez Jr.</v>
      </c>
      <c r="D177" s="2" t="str">
        <f>PasteHashtag!D177</f>
        <v>SF</v>
      </c>
      <c r="E177" s="2" t="str">
        <f>PasteHashtag!E177</f>
        <v>MIA</v>
      </c>
      <c r="F177" s="2">
        <f>PasteHashtag!F177</f>
        <v>73</v>
      </c>
      <c r="G177" s="2">
        <f>PasteHashtag!G177</f>
        <v>28</v>
      </c>
      <c r="H177" s="2">
        <f>MID(PasteHashtag!H177,1+FIND("(",PasteHashtag!H177),FIND("/",PasteHashtag!H177)-FIND("(",PasteHashtag!H177)-1)*1</f>
        <v>4.6</v>
      </c>
      <c r="I177" s="2">
        <f>LEFT(PasteHashtag!H177,FIND("(",PasteHashtag!H177)-1)*1</f>
        <v>0.489</v>
      </c>
      <c r="J177" s="2">
        <f>MID(PasteHashtag!I177,1+FIND("(",PasteHashtag!I177),FIND("/",PasteHashtag!I177)-FIND("(",PasteHashtag!I177)-1)*1</f>
        <v>1.9</v>
      </c>
      <c r="K177" s="2">
        <f>LEFT(PasteHashtag!I177,FIND("(",PasteHashtag!I177)-1)*1</f>
        <v>0.812</v>
      </c>
      <c r="L177" s="2">
        <f>PasteHashtag!J177</f>
        <v>0.9</v>
      </c>
      <c r="M177" s="2">
        <f>PasteHashtag!K177</f>
        <v>11.9</v>
      </c>
      <c r="N177" s="2">
        <f>PasteHashtag!L177</f>
        <v>3.8</v>
      </c>
      <c r="O177" s="2">
        <f>PasteHashtag!M177</f>
        <v>2.6</v>
      </c>
      <c r="P177" s="2">
        <f>PasteHashtag!N177</f>
        <v>1</v>
      </c>
      <c r="Q177" s="2">
        <f>PasteHashtag!O177</f>
        <v>0.3</v>
      </c>
      <c r="R177" s="2">
        <f>PasteHashtag!P177</f>
        <v>1.5</v>
      </c>
      <c r="S177" s="2">
        <f>Mid(PasteHashtag!H177,FIND("/",PasteHashtag!H177)+1,LEN(PasteHashtag!H177)-FIND("/",PasteHashtag!H177)-1)*1</f>
        <v>9.3</v>
      </c>
      <c r="T177" s="344">
        <f>Mid(PasteHashtag!I177,FIND("/",PasteHashtag!I177)+1,LEN(PasteHashtag!I177)-FIND("/",PasteHashtag!I177)-1)*1</f>
        <v>2.3</v>
      </c>
    </row>
    <row r="178">
      <c r="A178" s="2">
        <v>177.0</v>
      </c>
      <c r="B178" s="2" t="str">
        <f>PasteHashtag!B178</f>
        <v/>
      </c>
      <c r="C178" s="343" t="str">
        <f>PasteHashtag!C178</f>
        <v>Kevin Huerter</v>
      </c>
      <c r="D178" s="2" t="str">
        <f>PasteHashtag!D178</f>
        <v>SG,SF</v>
      </c>
      <c r="E178" s="2" t="str">
        <f>PasteHashtag!E178</f>
        <v>SAC</v>
      </c>
      <c r="F178" s="2">
        <f>PasteHashtag!F178</f>
        <v>68</v>
      </c>
      <c r="G178" s="2">
        <f>PasteHashtag!G178</f>
        <v>24.8</v>
      </c>
      <c r="H178" s="2">
        <f>MID(PasteHashtag!H178,1+FIND("(",PasteHashtag!H178),FIND("/",PasteHashtag!H178)-FIND("(",PasteHashtag!H178)-1)*1</f>
        <v>4.5</v>
      </c>
      <c r="I178" s="2">
        <f>LEFT(PasteHashtag!H178,FIND("(",PasteHashtag!H178)-1)*1</f>
        <v>0.468</v>
      </c>
      <c r="J178" s="2">
        <f>MID(PasteHashtag!I178,1+FIND("(",PasteHashtag!I178),FIND("/",PasteHashtag!I178)-FIND("(",PasteHashtag!I178)-1)*1</f>
        <v>0.9</v>
      </c>
      <c r="K178" s="2">
        <f>LEFT(PasteHashtag!I178,FIND("(",PasteHashtag!I178)-1)*1</f>
        <v>0.75</v>
      </c>
      <c r="L178" s="2">
        <f>PasteHashtag!J178</f>
        <v>2.2</v>
      </c>
      <c r="M178" s="2">
        <f>PasteHashtag!K178</f>
        <v>12</v>
      </c>
      <c r="N178" s="2">
        <f>PasteHashtag!L178</f>
        <v>3.2</v>
      </c>
      <c r="O178" s="2">
        <f>PasteHashtag!M178</f>
        <v>2.6</v>
      </c>
      <c r="P178" s="2">
        <f>PasteHashtag!N178</f>
        <v>0.8</v>
      </c>
      <c r="Q178" s="2">
        <f>PasteHashtag!O178</f>
        <v>0.3</v>
      </c>
      <c r="R178" s="2">
        <f>PasteHashtag!P178</f>
        <v>1</v>
      </c>
      <c r="S178" s="2">
        <f>Mid(PasteHashtag!H178,FIND("/",PasteHashtag!H178)+1,LEN(PasteHashtag!H178)-FIND("/",PasteHashtag!H178)-1)*1</f>
        <v>9.5</v>
      </c>
      <c r="T178" s="344">
        <f>Mid(PasteHashtag!I178,FIND("/",PasteHashtag!I178)+1,LEN(PasteHashtag!I178)-FIND("/",PasteHashtag!I178)-1)*1</f>
        <v>1.2</v>
      </c>
    </row>
    <row r="179">
      <c r="A179" s="2">
        <v>178.0</v>
      </c>
      <c r="B179" s="2" t="str">
        <f>PasteHashtag!B179</f>
        <v/>
      </c>
      <c r="C179" s="343" t="str">
        <f>PasteHashtag!C179</f>
        <v>Lonzo Ball</v>
      </c>
      <c r="D179" s="2" t="str">
        <f>PasteHashtag!D179</f>
        <v>PG</v>
      </c>
      <c r="E179" s="2" t="str">
        <f>PasteHashtag!E179</f>
        <v>CHI</v>
      </c>
      <c r="F179" s="2">
        <f>PasteHashtag!F179</f>
        <v>44</v>
      </c>
      <c r="G179" s="2">
        <f>PasteHashtag!G179</f>
        <v>19.8</v>
      </c>
      <c r="H179" s="2">
        <f>MID(PasteHashtag!H179,1+FIND("(",PasteHashtag!H179),FIND("/",PasteHashtag!H179)-FIND("(",PasteHashtag!H179)-1)*1</f>
        <v>2.7</v>
      </c>
      <c r="I179" s="2">
        <f>LEFT(PasteHashtag!H179,FIND("(",PasteHashtag!H179)-1)*1</f>
        <v>0.423</v>
      </c>
      <c r="J179" s="2">
        <f>MID(PasteHashtag!I179,1+FIND("(",PasteHashtag!I179),FIND("/",PasteHashtag!I179)-FIND("(",PasteHashtag!I179)-1)*1</f>
        <v>0.4</v>
      </c>
      <c r="K179" s="2">
        <f>LEFT(PasteHashtag!I179,FIND("(",PasteHashtag!I179)-1)*1</f>
        <v>0.761</v>
      </c>
      <c r="L179" s="2">
        <f>PasteHashtag!J179</f>
        <v>1.8</v>
      </c>
      <c r="M179" s="2">
        <f>PasteHashtag!K179</f>
        <v>7.6</v>
      </c>
      <c r="N179" s="2">
        <f>PasteHashtag!L179</f>
        <v>3.2</v>
      </c>
      <c r="O179" s="2">
        <f>PasteHashtag!M179</f>
        <v>3.5</v>
      </c>
      <c r="P179" s="2">
        <f>PasteHashtag!N179</f>
        <v>1.1</v>
      </c>
      <c r="Q179" s="2">
        <f>PasteHashtag!O179</f>
        <v>0.5</v>
      </c>
      <c r="R179" s="2">
        <f>PasteHashtag!P179</f>
        <v>1.4</v>
      </c>
      <c r="S179" s="2">
        <f>Mid(PasteHashtag!H179,FIND("/",PasteHashtag!H179)+1,LEN(PasteHashtag!H179)-FIND("/",PasteHashtag!H179)-1)*1</f>
        <v>6.4</v>
      </c>
      <c r="T179" s="344">
        <f>Mid(PasteHashtag!I179,FIND("/",PasteHashtag!I179)+1,LEN(PasteHashtag!I179)-FIND("/",PasteHashtag!I179)-1)*1</f>
        <v>0.5</v>
      </c>
    </row>
    <row r="180">
      <c r="A180" s="2">
        <v>179.0</v>
      </c>
      <c r="B180" s="2">
        <f>PasteHashtag!B180</f>
        <v>146.7</v>
      </c>
      <c r="C180" s="343" t="str">
        <f>PasteHashtag!C180</f>
        <v>Vince Williams Jr.</v>
      </c>
      <c r="D180" s="2" t="str">
        <f>PasteHashtag!D180</f>
        <v>PG,SG,SF</v>
      </c>
      <c r="E180" s="2" t="str">
        <f>PasteHashtag!E180</f>
        <v>MEM</v>
      </c>
      <c r="F180" s="2">
        <f>PasteHashtag!F180</f>
        <v>58</v>
      </c>
      <c r="G180" s="2">
        <f>PasteHashtag!G180</f>
        <v>24</v>
      </c>
      <c r="H180" s="2">
        <f>MID(PasteHashtag!H180,1+FIND("(",PasteHashtag!H180),FIND("/",PasteHashtag!H180)-FIND("(",PasteHashtag!H180)-1)*1</f>
        <v>3</v>
      </c>
      <c r="I180" s="2">
        <f>LEFT(PasteHashtag!H180,FIND("(",PasteHashtag!H180)-1)*1</f>
        <v>0.454</v>
      </c>
      <c r="J180" s="2">
        <f>MID(PasteHashtag!I180,1+FIND("(",PasteHashtag!I180),FIND("/",PasteHashtag!I180)-FIND("(",PasteHashtag!I180)-1)*1</f>
        <v>1.7</v>
      </c>
      <c r="K180" s="2">
        <f>LEFT(PasteHashtag!I180,FIND("(",PasteHashtag!I180)-1)*1</f>
        <v>0.803</v>
      </c>
      <c r="L180" s="2">
        <f>PasteHashtag!J180</f>
        <v>1.3</v>
      </c>
      <c r="M180" s="2">
        <f>PasteHashtag!K180</f>
        <v>9</v>
      </c>
      <c r="N180" s="2">
        <f>PasteHashtag!L180</f>
        <v>4.8</v>
      </c>
      <c r="O180" s="2">
        <f>PasteHashtag!M180</f>
        <v>2.8</v>
      </c>
      <c r="P180" s="2">
        <f>PasteHashtag!N180</f>
        <v>0.8</v>
      </c>
      <c r="Q180" s="2">
        <f>PasteHashtag!O180</f>
        <v>0.6</v>
      </c>
      <c r="R180" s="2">
        <f>PasteHashtag!P180</f>
        <v>1.5</v>
      </c>
      <c r="S180" s="2">
        <f>Mid(PasteHashtag!H180,FIND("/",PasteHashtag!H180)+1,LEN(PasteHashtag!H180)-FIND("/",PasteHashtag!H180)-1)*1</f>
        <v>6.6</v>
      </c>
      <c r="T180" s="344">
        <f>Mid(PasteHashtag!I180,FIND("/",PasteHashtag!I180)+1,LEN(PasteHashtag!I180)-FIND("/",PasteHashtag!I180)-1)*1</f>
        <v>2.1</v>
      </c>
    </row>
    <row r="181">
      <c r="A181" s="2">
        <v>180.0</v>
      </c>
      <c r="B181" s="2">
        <f>PasteHashtag!B181</f>
        <v>143.9</v>
      </c>
      <c r="C181" s="343" t="str">
        <f>PasteHashtag!C181</f>
        <v>Gary Trent Jr.</v>
      </c>
      <c r="D181" s="2" t="str">
        <f>PasteHashtag!D181</f>
        <v>PG,SG</v>
      </c>
      <c r="E181" s="2" t="str">
        <f>PasteHashtag!E181</f>
        <v>MIL</v>
      </c>
      <c r="F181" s="2">
        <f>PasteHashtag!F181</f>
        <v>70</v>
      </c>
      <c r="G181" s="2">
        <f>PasteHashtag!G181</f>
        <v>30</v>
      </c>
      <c r="H181" s="2">
        <f>MID(PasteHashtag!H181,1+FIND("(",PasteHashtag!H181),FIND("/",PasteHashtag!H181)-FIND("(",PasteHashtag!H181)-1)*1</f>
        <v>5.3</v>
      </c>
      <c r="I181" s="2">
        <f>LEFT(PasteHashtag!H181,FIND("(",PasteHashtag!H181)-1)*1</f>
        <v>0.429</v>
      </c>
      <c r="J181" s="2">
        <f>MID(PasteHashtag!I181,1+FIND("(",PasteHashtag!I181),FIND("/",PasteHashtag!I181)-FIND("(",PasteHashtag!I181)-1)*1</f>
        <v>1.6</v>
      </c>
      <c r="K181" s="2">
        <f>LEFT(PasteHashtag!I181,FIND("(",PasteHashtag!I181)-1)*1</f>
        <v>0.792</v>
      </c>
      <c r="L181" s="2">
        <f>PasteHashtag!J181</f>
        <v>2.4</v>
      </c>
      <c r="M181" s="2">
        <f>PasteHashtag!K181</f>
        <v>14.5</v>
      </c>
      <c r="N181" s="2">
        <f>PasteHashtag!L181</f>
        <v>2.5</v>
      </c>
      <c r="O181" s="2">
        <f>PasteHashtag!M181</f>
        <v>1.6</v>
      </c>
      <c r="P181" s="2">
        <f>PasteHashtag!N181</f>
        <v>1.2</v>
      </c>
      <c r="Q181" s="2">
        <f>PasteHashtag!O181</f>
        <v>0.2</v>
      </c>
      <c r="R181" s="2">
        <f>PasteHashtag!P181</f>
        <v>0.7</v>
      </c>
      <c r="S181" s="2">
        <f>Mid(PasteHashtag!H181,FIND("/",PasteHashtag!H181)+1,LEN(PasteHashtag!H181)-FIND("/",PasteHashtag!H181)-1)*1</f>
        <v>12.3</v>
      </c>
      <c r="T181" s="344">
        <f>Mid(PasteHashtag!I181,FIND("/",PasteHashtag!I181)+1,LEN(PasteHashtag!I181)-FIND("/",PasteHashtag!I181)-1)*1</f>
        <v>2.1</v>
      </c>
    </row>
    <row r="182">
      <c r="A182" s="2">
        <v>181.0</v>
      </c>
      <c r="B182" s="2">
        <f>PasteHashtag!B182</f>
        <v>143.3</v>
      </c>
      <c r="C182" s="343" t="str">
        <f>PasteHashtag!C182</f>
        <v>Keldon Johnson</v>
      </c>
      <c r="D182" s="2" t="str">
        <f>PasteHashtag!D182</f>
        <v>SG,SF,PF</v>
      </c>
      <c r="E182" s="2" t="str">
        <f>PasteHashtag!E182</f>
        <v>SA</v>
      </c>
      <c r="F182" s="2">
        <f>PasteHashtag!F182</f>
        <v>67</v>
      </c>
      <c r="G182" s="2">
        <f>PasteHashtag!G182</f>
        <v>27.5</v>
      </c>
      <c r="H182" s="2">
        <f>MID(PasteHashtag!H182,1+FIND("(",PasteHashtag!H182),FIND("/",PasteHashtag!H182)-FIND("(",PasteHashtag!H182)-1)*1</f>
        <v>6.1</v>
      </c>
      <c r="I182" s="2">
        <f>LEFT(PasteHashtag!H182,FIND("(",PasteHashtag!H182)-1)*1</f>
        <v>0.453</v>
      </c>
      <c r="J182" s="2">
        <f>MID(PasteHashtag!I182,1+FIND("(",PasteHashtag!I182),FIND("/",PasteHashtag!I182)-FIND("(",PasteHashtag!I182)-1)*1</f>
        <v>2.8</v>
      </c>
      <c r="K182" s="2">
        <f>LEFT(PasteHashtag!I182,FIND("(",PasteHashtag!I182)-1)*1</f>
        <v>0.798</v>
      </c>
      <c r="L182" s="2">
        <f>PasteHashtag!J182</f>
        <v>1.8</v>
      </c>
      <c r="M182" s="2">
        <f>PasteHashtag!K182</f>
        <v>16.7</v>
      </c>
      <c r="N182" s="2">
        <f>PasteHashtag!L182</f>
        <v>4.7</v>
      </c>
      <c r="O182" s="2">
        <f>PasteHashtag!M182</f>
        <v>2.6</v>
      </c>
      <c r="P182" s="2">
        <f>PasteHashtag!N182</f>
        <v>0.7</v>
      </c>
      <c r="Q182" s="2">
        <f>PasteHashtag!O182</f>
        <v>0.2</v>
      </c>
      <c r="R182" s="2">
        <f>PasteHashtag!P182</f>
        <v>1.6</v>
      </c>
      <c r="S182" s="2">
        <f>Mid(PasteHashtag!H182,FIND("/",PasteHashtag!H182)+1,LEN(PasteHashtag!H182)-FIND("/",PasteHashtag!H182)-1)*1</f>
        <v>13.4</v>
      </c>
      <c r="T182" s="344">
        <f>Mid(PasteHashtag!I182,FIND("/",PasteHashtag!I182)+1,LEN(PasteHashtag!I182)-FIND("/",PasteHashtag!I182)-1)*1</f>
        <v>3.6</v>
      </c>
    </row>
    <row r="183">
      <c r="A183" s="2">
        <v>182.0</v>
      </c>
      <c r="B183" s="2">
        <f>PasteHashtag!B183</f>
        <v>142.5</v>
      </c>
      <c r="C183" s="343" t="str">
        <f>PasteHashtag!C183</f>
        <v>Christian Braun</v>
      </c>
      <c r="D183" s="2" t="str">
        <f>PasteHashtag!D183</f>
        <v>SG,SF</v>
      </c>
      <c r="E183" s="2" t="str">
        <f>PasteHashtag!E183</f>
        <v>DEN</v>
      </c>
      <c r="F183" s="2">
        <f>PasteHashtag!F183</f>
        <v>79</v>
      </c>
      <c r="G183" s="2">
        <f>PasteHashtag!G183</f>
        <v>30.2</v>
      </c>
      <c r="H183" s="2">
        <f>MID(PasteHashtag!H183,1+FIND("(",PasteHashtag!H183),FIND("/",PasteHashtag!H183)-FIND("(",PasteHashtag!H183)-1)*1</f>
        <v>4.1</v>
      </c>
      <c r="I183" s="2">
        <f>LEFT(PasteHashtag!H183,FIND("(",PasteHashtag!H183)-1)*1</f>
        <v>0.468</v>
      </c>
      <c r="J183" s="2">
        <f>MID(PasteHashtag!I183,1+FIND("(",PasteHashtag!I183),FIND("/",PasteHashtag!I183)-FIND("(",PasteHashtag!I183)-1)*1</f>
        <v>1.6</v>
      </c>
      <c r="K183" s="2">
        <f>LEFT(PasteHashtag!I183,FIND("(",PasteHashtag!I183)-1)*1</f>
        <v>0.731</v>
      </c>
      <c r="L183" s="2">
        <f>PasteHashtag!J183</f>
        <v>1.1</v>
      </c>
      <c r="M183" s="2">
        <f>PasteHashtag!K183</f>
        <v>11</v>
      </c>
      <c r="N183" s="2">
        <f>PasteHashtag!L183</f>
        <v>5.5</v>
      </c>
      <c r="O183" s="2">
        <f>PasteHashtag!M183</f>
        <v>2.2</v>
      </c>
      <c r="P183" s="2">
        <f>PasteHashtag!N183</f>
        <v>0.9</v>
      </c>
      <c r="Q183" s="2">
        <f>PasteHashtag!O183</f>
        <v>0.6</v>
      </c>
      <c r="R183" s="2">
        <f>PasteHashtag!P183</f>
        <v>1</v>
      </c>
      <c r="S183" s="2">
        <f>Mid(PasteHashtag!H183,FIND("/",PasteHashtag!H183)+1,LEN(PasteHashtag!H183)-FIND("/",PasteHashtag!H183)-1)*1</f>
        <v>8.8</v>
      </c>
      <c r="T183" s="344">
        <f>Mid(PasteHashtag!I183,FIND("/",PasteHashtag!I183)+1,LEN(PasteHashtag!I183)-FIND("/",PasteHashtag!I183)-1)*1</f>
        <v>2.2</v>
      </c>
    </row>
    <row r="184">
      <c r="A184" s="2">
        <v>183.0</v>
      </c>
      <c r="B184" s="2">
        <f>PasteHashtag!B184</f>
        <v>139</v>
      </c>
      <c r="C184" s="343" t="str">
        <f>PasteHashtag!C184</f>
        <v>Zaccharie Risacher</v>
      </c>
      <c r="D184" s="2" t="str">
        <f>PasteHashtag!D184</f>
        <v>SF</v>
      </c>
      <c r="E184" s="2" t="str">
        <f>PasteHashtag!E184</f>
        <v>ATL</v>
      </c>
      <c r="F184" s="2">
        <f>PasteHashtag!F184</f>
        <v>68</v>
      </c>
      <c r="G184" s="2">
        <f>PasteHashtag!G184</f>
        <v>30.4</v>
      </c>
      <c r="H184" s="2">
        <f>MID(PasteHashtag!H184,1+FIND("(",PasteHashtag!H184),FIND("/",PasteHashtag!H184)-FIND("(",PasteHashtag!H184)-1)*1</f>
        <v>5.1</v>
      </c>
      <c r="I184" s="2">
        <f>LEFT(PasteHashtag!H184,FIND("(",PasteHashtag!H184)-1)*1</f>
        <v>0.452</v>
      </c>
      <c r="J184" s="2">
        <f>MID(PasteHashtag!I184,1+FIND("(",PasteHashtag!I184),FIND("/",PasteHashtag!I184)-FIND("(",PasteHashtag!I184)-1)*1</f>
        <v>2.1</v>
      </c>
      <c r="K184" s="2">
        <f>LEFT(PasteHashtag!I184,FIND("(",PasteHashtag!I184)-1)*1</f>
        <v>0.74</v>
      </c>
      <c r="L184" s="2">
        <f>PasteHashtag!J184</f>
        <v>1.4</v>
      </c>
      <c r="M184" s="2">
        <f>PasteHashtag!K184</f>
        <v>13.6</v>
      </c>
      <c r="N184" s="2">
        <f>PasteHashtag!L184</f>
        <v>4.1</v>
      </c>
      <c r="O184" s="2">
        <f>PasteHashtag!M184</f>
        <v>1.5</v>
      </c>
      <c r="P184" s="2">
        <f>PasteHashtag!N184</f>
        <v>1.1</v>
      </c>
      <c r="Q184" s="2">
        <f>PasteHashtag!O184</f>
        <v>0.7</v>
      </c>
      <c r="R184" s="2">
        <f>PasteHashtag!P184</f>
        <v>1.6</v>
      </c>
      <c r="S184" s="2">
        <f>Mid(PasteHashtag!H184,FIND("/",PasteHashtag!H184)+1,LEN(PasteHashtag!H184)-FIND("/",PasteHashtag!H184)-1)*1</f>
        <v>11.2</v>
      </c>
      <c r="T184" s="344">
        <f>Mid(PasteHashtag!I184,FIND("/",PasteHashtag!I184)+1,LEN(PasteHashtag!I184)-FIND("/",PasteHashtag!I184)-1)*1</f>
        <v>2.8</v>
      </c>
    </row>
    <row r="185">
      <c r="A185" s="2">
        <v>184.0</v>
      </c>
      <c r="B185" s="2">
        <f>PasteHashtag!B185</f>
        <v>138.9</v>
      </c>
      <c r="C185" s="343" t="str">
        <f>PasteHashtag!C185</f>
        <v>Jordan Clarkson</v>
      </c>
      <c r="D185" s="2" t="str">
        <f>PasteHashtag!D185</f>
        <v>SG,SF</v>
      </c>
      <c r="E185" s="2" t="str">
        <f>PasteHashtag!E185</f>
        <v>UTA</v>
      </c>
      <c r="F185" s="2">
        <f>PasteHashtag!F185</f>
        <v>64</v>
      </c>
      <c r="G185" s="2">
        <f>PasteHashtag!G185</f>
        <v>28.6</v>
      </c>
      <c r="H185" s="2">
        <f>MID(PasteHashtag!H185,1+FIND("(",PasteHashtag!H185),FIND("/",PasteHashtag!H185)-FIND("(",PasteHashtag!H185)-1)*1</f>
        <v>6.3</v>
      </c>
      <c r="I185" s="2">
        <f>LEFT(PasteHashtag!H185,FIND("(",PasteHashtag!H185)-1)*1</f>
        <v>0.431</v>
      </c>
      <c r="J185" s="2">
        <f>MID(PasteHashtag!I185,1+FIND("(",PasteHashtag!I185),FIND("/",PasteHashtag!I185)-FIND("(",PasteHashtag!I185)-1)*1</f>
        <v>3</v>
      </c>
      <c r="K185" s="2">
        <f>LEFT(PasteHashtag!I185,FIND("(",PasteHashtag!I185)-1)*1</f>
        <v>0.846</v>
      </c>
      <c r="L185" s="2">
        <f>PasteHashtag!J185</f>
        <v>1.9</v>
      </c>
      <c r="M185" s="2">
        <f>PasteHashtag!K185</f>
        <v>17.4</v>
      </c>
      <c r="N185" s="2">
        <f>PasteHashtag!L185</f>
        <v>3.4</v>
      </c>
      <c r="O185" s="2">
        <f>PasteHashtag!M185</f>
        <v>4.3</v>
      </c>
      <c r="P185" s="2">
        <f>PasteHashtag!N185</f>
        <v>0.5</v>
      </c>
      <c r="Q185" s="2">
        <f>PasteHashtag!O185</f>
        <v>0.2</v>
      </c>
      <c r="R185" s="2">
        <f>PasteHashtag!P185</f>
        <v>2.6</v>
      </c>
      <c r="S185" s="2">
        <f>Mid(PasteHashtag!H185,FIND("/",PasteHashtag!H185)+1,LEN(PasteHashtag!H185)-FIND("/",PasteHashtag!H185)-1)*1</f>
        <v>14.5</v>
      </c>
      <c r="T185" s="344">
        <f>Mid(PasteHashtag!I185,FIND("/",PasteHashtag!I185)+1,LEN(PasteHashtag!I185)-FIND("/",PasteHashtag!I185)-1)*1</f>
        <v>3.5</v>
      </c>
    </row>
    <row r="186">
      <c r="A186" s="2">
        <v>185.0</v>
      </c>
      <c r="B186" s="2" t="str">
        <f>PasteHashtag!B186</f>
        <v/>
      </c>
      <c r="C186" s="343" t="str">
        <f>PasteHashtag!C186</f>
        <v>Luke Kennard</v>
      </c>
      <c r="D186" s="2" t="str">
        <f>PasteHashtag!D186</f>
        <v>SG</v>
      </c>
      <c r="E186" s="2" t="str">
        <f>PasteHashtag!E186</f>
        <v>MEM</v>
      </c>
      <c r="F186" s="2">
        <f>PasteHashtag!F186</f>
        <v>60</v>
      </c>
      <c r="G186" s="2">
        <f>PasteHashtag!G186</f>
        <v>25.4</v>
      </c>
      <c r="H186" s="2">
        <f>MID(PasteHashtag!H186,1+FIND("(",PasteHashtag!H186),FIND("/",PasteHashtag!H186)-FIND("(",PasteHashtag!H186)-1)*1</f>
        <v>3.7</v>
      </c>
      <c r="I186" s="2">
        <f>LEFT(PasteHashtag!H186,FIND("(",PasteHashtag!H186)-1)*1</f>
        <v>0.472</v>
      </c>
      <c r="J186" s="2">
        <f>MID(PasteHashtag!I186,1+FIND("(",PasteHashtag!I186),FIND("/",PasteHashtag!I186)-FIND("(",PasteHashtag!I186)-1)*1</f>
        <v>0.9</v>
      </c>
      <c r="K186" s="2">
        <f>LEFT(PasteHashtag!I186,FIND("(",PasteHashtag!I186)-1)*1</f>
        <v>0.914</v>
      </c>
      <c r="L186" s="2">
        <f>PasteHashtag!J186</f>
        <v>2.7</v>
      </c>
      <c r="M186" s="2">
        <f>PasteHashtag!K186</f>
        <v>10.8</v>
      </c>
      <c r="N186" s="2">
        <f>PasteHashtag!L186</f>
        <v>3</v>
      </c>
      <c r="O186" s="2">
        <f>PasteHashtag!M186</f>
        <v>2.5</v>
      </c>
      <c r="P186" s="2">
        <f>PasteHashtag!N186</f>
        <v>0.6</v>
      </c>
      <c r="Q186" s="2">
        <f>PasteHashtag!O186</f>
        <v>0.1</v>
      </c>
      <c r="R186" s="2">
        <f>PasteHashtag!P186</f>
        <v>1.1</v>
      </c>
      <c r="S186" s="2">
        <f>Mid(PasteHashtag!H186,FIND("/",PasteHashtag!H186)+1,LEN(PasteHashtag!H186)-FIND("/",PasteHashtag!H186)-1)*1</f>
        <v>7.7</v>
      </c>
      <c r="T186" s="344">
        <f>Mid(PasteHashtag!I186,FIND("/",PasteHashtag!I186)+1,LEN(PasteHashtag!I186)-FIND("/",PasteHashtag!I186)-1)*1</f>
        <v>0.9</v>
      </c>
    </row>
    <row r="187">
      <c r="A187" s="2">
        <v>186.0</v>
      </c>
      <c r="B187" s="2">
        <f>PasteHashtag!B187</f>
        <v>139.1</v>
      </c>
      <c r="C187" s="343" t="str">
        <f>PasteHashtag!C187</f>
        <v>Andre Drummond</v>
      </c>
      <c r="D187" s="2" t="str">
        <f>PasteHashtag!D187</f>
        <v>C</v>
      </c>
      <c r="E187" s="2" t="str">
        <f>PasteHashtag!E187</f>
        <v>PHI</v>
      </c>
      <c r="F187" s="2">
        <f>PasteHashtag!F187</f>
        <v>74</v>
      </c>
      <c r="G187" s="2">
        <f>PasteHashtag!G187</f>
        <v>20.1</v>
      </c>
      <c r="H187" s="2">
        <f>MID(PasteHashtag!H187,1+FIND("(",PasteHashtag!H187),FIND("/",PasteHashtag!H187)-FIND("(",PasteHashtag!H187)-1)*1</f>
        <v>4</v>
      </c>
      <c r="I187" s="2">
        <f>LEFT(PasteHashtag!H187,FIND("(",PasteHashtag!H187)-1)*1</f>
        <v>0.574</v>
      </c>
      <c r="J187" s="2">
        <f>MID(PasteHashtag!I187,1+FIND("(",PasteHashtag!I187),FIND("/",PasteHashtag!I187)-FIND("(",PasteHashtag!I187)-1)*1</f>
        <v>1.8</v>
      </c>
      <c r="K187" s="2">
        <f>LEFT(PasteHashtag!I187,FIND("(",PasteHashtag!I187)-1)*1</f>
        <v>0.604</v>
      </c>
      <c r="L187" s="2">
        <f>PasteHashtag!J187</f>
        <v>0</v>
      </c>
      <c r="M187" s="2">
        <f>PasteHashtag!K187</f>
        <v>9.8</v>
      </c>
      <c r="N187" s="2">
        <f>PasteHashtag!L187</f>
        <v>10.6</v>
      </c>
      <c r="O187" s="2">
        <f>PasteHashtag!M187</f>
        <v>0.6</v>
      </c>
      <c r="P187" s="2">
        <f>PasteHashtag!N187</f>
        <v>1.1</v>
      </c>
      <c r="Q187" s="2">
        <f>PasteHashtag!O187</f>
        <v>0.7</v>
      </c>
      <c r="R187" s="2">
        <f>PasteHashtag!P187</f>
        <v>1.4</v>
      </c>
      <c r="S187" s="2">
        <f>Mid(PasteHashtag!H187,FIND("/",PasteHashtag!H187)+1,LEN(PasteHashtag!H187)-FIND("/",PasteHashtag!H187)-1)*1</f>
        <v>6.9</v>
      </c>
      <c r="T187" s="344">
        <f>Mid(PasteHashtag!I187,FIND("/",PasteHashtag!I187)+1,LEN(PasteHashtag!I187)-FIND("/",PasteHashtag!I187)-1)*1</f>
        <v>3</v>
      </c>
    </row>
    <row r="188">
      <c r="A188" s="2">
        <v>187.0</v>
      </c>
      <c r="B188" s="2">
        <f>PasteHashtag!B188</f>
        <v>141.7</v>
      </c>
      <c r="C188" s="343" t="str">
        <f>PasteHashtag!C188</f>
        <v>Cole Anthony</v>
      </c>
      <c r="D188" s="2" t="str">
        <f>PasteHashtag!D188</f>
        <v>PG</v>
      </c>
      <c r="E188" s="2" t="str">
        <f>PasteHashtag!E188</f>
        <v>ORL</v>
      </c>
      <c r="F188" s="2">
        <f>PasteHashtag!F188</f>
        <v>72</v>
      </c>
      <c r="G188" s="2">
        <f>PasteHashtag!G188</f>
        <v>21.9</v>
      </c>
      <c r="H188" s="2">
        <f>MID(PasteHashtag!H188,1+FIND("(",PasteHashtag!H188),FIND("/",PasteHashtag!H188)-FIND("(",PasteHashtag!H188)-1)*1</f>
        <v>4</v>
      </c>
      <c r="I188" s="2">
        <f>LEFT(PasteHashtag!H188,FIND("(",PasteHashtag!H188)-1)*1</f>
        <v>0.444</v>
      </c>
      <c r="J188" s="2">
        <f>MID(PasteHashtag!I188,1+FIND("(",PasteHashtag!I188),FIND("/",PasteHashtag!I188)-FIND("(",PasteHashtag!I188)-1)*1</f>
        <v>2.2</v>
      </c>
      <c r="K188" s="2">
        <f>LEFT(PasteHashtag!I188,FIND("(",PasteHashtag!I188)-1)*1</f>
        <v>0.855</v>
      </c>
      <c r="L188" s="2">
        <f>PasteHashtag!J188</f>
        <v>1.3</v>
      </c>
      <c r="M188" s="2">
        <f>PasteHashtag!K188</f>
        <v>11.5</v>
      </c>
      <c r="N188" s="2">
        <f>PasteHashtag!L188</f>
        <v>3.9</v>
      </c>
      <c r="O188" s="2">
        <f>PasteHashtag!M188</f>
        <v>3.1</v>
      </c>
      <c r="P188" s="2">
        <f>PasteHashtag!N188</f>
        <v>0.7</v>
      </c>
      <c r="Q188" s="2">
        <f>PasteHashtag!O188</f>
        <v>0.5</v>
      </c>
      <c r="R188" s="2">
        <f>PasteHashtag!P188</f>
        <v>1.4</v>
      </c>
      <c r="S188" s="2">
        <f>Mid(PasteHashtag!H188,FIND("/",PasteHashtag!H188)+1,LEN(PasteHashtag!H188)-FIND("/",PasteHashtag!H188)-1)*1</f>
        <v>9</v>
      </c>
      <c r="T188" s="344">
        <f>Mid(PasteHashtag!I188,FIND("/",PasteHashtag!I188)+1,LEN(PasteHashtag!I188)-FIND("/",PasteHashtag!I188)-1)*1</f>
        <v>2.6</v>
      </c>
    </row>
    <row r="189">
      <c r="A189" s="2">
        <v>188.0</v>
      </c>
      <c r="B189" s="2">
        <f>PasteHashtag!B189</f>
        <v>140.9</v>
      </c>
      <c r="C189" s="343" t="str">
        <f>PasteHashtag!C189</f>
        <v>Reed Sheppard</v>
      </c>
      <c r="D189" s="2" t="str">
        <f>PasteHashtag!D189</f>
        <v>SG</v>
      </c>
      <c r="E189" s="2" t="str">
        <f>PasteHashtag!E189</f>
        <v>HOU</v>
      </c>
      <c r="F189" s="2">
        <f>PasteHashtag!F189</f>
        <v>67</v>
      </c>
      <c r="G189" s="2">
        <f>PasteHashtag!G189</f>
        <v>20.2</v>
      </c>
      <c r="H189" s="2">
        <f>MID(PasteHashtag!H189,1+FIND("(",PasteHashtag!H189),FIND("/",PasteHashtag!H189)-FIND("(",PasteHashtag!H189)-1)*1</f>
        <v>2.2</v>
      </c>
      <c r="I189" s="2">
        <f>LEFT(PasteHashtag!H189,FIND("(",PasteHashtag!H189)-1)*1</f>
        <v>0.472</v>
      </c>
      <c r="J189" s="2">
        <f>MID(PasteHashtag!I189,1+FIND("(",PasteHashtag!I189),FIND("/",PasteHashtag!I189)-FIND("(",PasteHashtag!I189)-1)*1</f>
        <v>0.9</v>
      </c>
      <c r="K189" s="2">
        <f>LEFT(PasteHashtag!I189,FIND("(",PasteHashtag!I189)-1)*1</f>
        <v>0.835</v>
      </c>
      <c r="L189" s="2">
        <f>PasteHashtag!J189</f>
        <v>1.3</v>
      </c>
      <c r="M189" s="2">
        <f>PasteHashtag!K189</f>
        <v>6.7</v>
      </c>
      <c r="N189" s="2">
        <f>PasteHashtag!L189</f>
        <v>2.5</v>
      </c>
      <c r="O189" s="2">
        <f>PasteHashtag!M189</f>
        <v>2.4</v>
      </c>
      <c r="P189" s="2">
        <f>PasteHashtag!N189</f>
        <v>1.3</v>
      </c>
      <c r="Q189" s="2">
        <f>PasteHashtag!O189</f>
        <v>0.4</v>
      </c>
      <c r="R189" s="2">
        <f>PasteHashtag!P189</f>
        <v>1.1</v>
      </c>
      <c r="S189" s="2">
        <f>Mid(PasteHashtag!H189,FIND("/",PasteHashtag!H189)+1,LEN(PasteHashtag!H189)-FIND("/",PasteHashtag!H189)-1)*1</f>
        <v>4.8</v>
      </c>
      <c r="T189" s="344">
        <f>Mid(PasteHashtag!I189,FIND("/",PasteHashtag!I189)+1,LEN(PasteHashtag!I189)-FIND("/",PasteHashtag!I189)-1)*1</f>
        <v>1</v>
      </c>
    </row>
    <row r="190">
      <c r="A190" s="2">
        <v>189.0</v>
      </c>
      <c r="B190" s="2">
        <f>PasteHashtag!B190</f>
        <v>139.4</v>
      </c>
      <c r="C190" s="343" t="str">
        <f>PasteHashtag!C190</f>
        <v>Andrew Wiggins</v>
      </c>
      <c r="D190" s="2" t="str">
        <f>PasteHashtag!D190</f>
        <v>SF,PF</v>
      </c>
      <c r="E190" s="2" t="str">
        <f>PasteHashtag!E190</f>
        <v>GS</v>
      </c>
      <c r="F190" s="2">
        <f>PasteHashtag!F190</f>
        <v>70</v>
      </c>
      <c r="G190" s="2">
        <f>PasteHashtag!G190</f>
        <v>28.5</v>
      </c>
      <c r="H190" s="2">
        <f>MID(PasteHashtag!H190,1+FIND("(",PasteHashtag!H190),FIND("/",PasteHashtag!H190)-FIND("(",PasteHashtag!H190)-1)*1</f>
        <v>5.6</v>
      </c>
      <c r="I190" s="2">
        <f>LEFT(PasteHashtag!H190,FIND("(",PasteHashtag!H190)-1)*1</f>
        <v>0.461</v>
      </c>
      <c r="J190" s="2">
        <f>MID(PasteHashtag!I190,1+FIND("(",PasteHashtag!I190),FIND("/",PasteHashtag!I190)-FIND("(",PasteHashtag!I190)-1)*1</f>
        <v>1.7</v>
      </c>
      <c r="K190" s="2">
        <f>LEFT(PasteHashtag!I190,FIND("(",PasteHashtag!I190)-1)*1</f>
        <v>0.711</v>
      </c>
      <c r="L190" s="2">
        <f>PasteHashtag!J190</f>
        <v>1.7</v>
      </c>
      <c r="M190" s="2">
        <f>PasteHashtag!K190</f>
        <v>14.6</v>
      </c>
      <c r="N190" s="2">
        <f>PasteHashtag!L190</f>
        <v>4.7</v>
      </c>
      <c r="O190" s="2">
        <f>PasteHashtag!M190</f>
        <v>1.9</v>
      </c>
      <c r="P190" s="2">
        <f>PasteHashtag!N190</f>
        <v>0.8</v>
      </c>
      <c r="Q190" s="2">
        <f>PasteHashtag!O190</f>
        <v>0.6</v>
      </c>
      <c r="R190" s="2">
        <f>PasteHashtag!P190</f>
        <v>1.3</v>
      </c>
      <c r="S190" s="2">
        <f>Mid(PasteHashtag!H190,FIND("/",PasteHashtag!H190)+1,LEN(PasteHashtag!H190)-FIND("/",PasteHashtag!H190)-1)*1</f>
        <v>12.1</v>
      </c>
      <c r="T190" s="344">
        <f>Mid(PasteHashtag!I190,FIND("/",PasteHashtag!I190)+1,LEN(PasteHashtag!I190)-FIND("/",PasteHashtag!I190)-1)*1</f>
        <v>2.4</v>
      </c>
    </row>
    <row r="191">
      <c r="A191" s="2">
        <v>190.0</v>
      </c>
      <c r="B191" s="2" t="str">
        <f>PasteHashtag!B191</f>
        <v/>
      </c>
      <c r="C191" s="343" t="str">
        <f>PasteHashtag!C191</f>
        <v>Jarred Vanderbilt</v>
      </c>
      <c r="D191" s="2" t="str">
        <f>PasteHashtag!D191</f>
        <v>PF</v>
      </c>
      <c r="E191" s="2" t="str">
        <f>PasteHashtag!E191</f>
        <v>LAL</v>
      </c>
      <c r="F191" s="2">
        <f>PasteHashtag!F191</f>
        <v>65</v>
      </c>
      <c r="G191" s="2">
        <f>PasteHashtag!G191</f>
        <v>24.1</v>
      </c>
      <c r="H191" s="2">
        <f>MID(PasteHashtag!H191,1+FIND("(",PasteHashtag!H191),FIND("/",PasteHashtag!H191)-FIND("(",PasteHashtag!H191)-1)*1</f>
        <v>3</v>
      </c>
      <c r="I191" s="2">
        <f>LEFT(PasteHashtag!H191,FIND("(",PasteHashtag!H191)-1)*1</f>
        <v>0.542</v>
      </c>
      <c r="J191" s="2">
        <f>MID(PasteHashtag!I191,1+FIND("(",PasteHashtag!I191),FIND("/",PasteHashtag!I191)-FIND("(",PasteHashtag!I191)-1)*1</f>
        <v>1.2</v>
      </c>
      <c r="K191" s="2">
        <f>LEFT(PasteHashtag!I191,FIND("(",PasteHashtag!I191)-1)*1</f>
        <v>0.688</v>
      </c>
      <c r="L191" s="2">
        <f>PasteHashtag!J191</f>
        <v>0.4</v>
      </c>
      <c r="M191" s="2">
        <f>PasteHashtag!K191</f>
        <v>7.6</v>
      </c>
      <c r="N191" s="2">
        <f>PasteHashtag!L191</f>
        <v>7.1</v>
      </c>
      <c r="O191" s="2">
        <f>PasteHashtag!M191</f>
        <v>2.2</v>
      </c>
      <c r="P191" s="2">
        <f>PasteHashtag!N191</f>
        <v>1.2</v>
      </c>
      <c r="Q191" s="2">
        <f>PasteHashtag!O191</f>
        <v>0.3</v>
      </c>
      <c r="R191" s="2">
        <f>PasteHashtag!P191</f>
        <v>1.2</v>
      </c>
      <c r="S191" s="2">
        <f>Mid(PasteHashtag!H191,FIND("/",PasteHashtag!H191)+1,LEN(PasteHashtag!H191)-FIND("/",PasteHashtag!H191)-1)*1</f>
        <v>5.6</v>
      </c>
      <c r="T191" s="344">
        <f>Mid(PasteHashtag!I191,FIND("/",PasteHashtag!I191)+1,LEN(PasteHashtag!I191)-FIND("/",PasteHashtag!I191)-1)*1</f>
        <v>1.7</v>
      </c>
    </row>
    <row r="192">
      <c r="A192" s="2">
        <v>191.0</v>
      </c>
      <c r="B192" s="2" t="str">
        <f>PasteHashtag!B192</f>
        <v/>
      </c>
      <c r="C192" s="343" t="str">
        <f>PasteHashtag!C192</f>
        <v>Caleb Martin</v>
      </c>
      <c r="D192" s="2" t="str">
        <f>PasteHashtag!D192</f>
        <v>SG,SF</v>
      </c>
      <c r="E192" s="2" t="str">
        <f>PasteHashtag!E192</f>
        <v>PHI</v>
      </c>
      <c r="F192" s="2">
        <f>PasteHashtag!F192</f>
        <v>68</v>
      </c>
      <c r="G192" s="2">
        <f>PasteHashtag!G192</f>
        <v>30</v>
      </c>
      <c r="H192" s="2">
        <f>MID(PasteHashtag!H192,1+FIND("(",PasteHashtag!H192),FIND("/",PasteHashtag!H192)-FIND("(",PasteHashtag!H192)-1)*1</f>
        <v>3.9</v>
      </c>
      <c r="I192" s="2">
        <f>LEFT(PasteHashtag!H192,FIND("(",PasteHashtag!H192)-1)*1</f>
        <v>0.447</v>
      </c>
      <c r="J192" s="2">
        <f>MID(PasteHashtag!I192,1+FIND("(",PasteHashtag!I192),FIND("/",PasteHashtag!I192)-FIND("(",PasteHashtag!I192)-1)*1</f>
        <v>1.3</v>
      </c>
      <c r="K192" s="2">
        <f>LEFT(PasteHashtag!I192,FIND("(",PasteHashtag!I192)-1)*1</f>
        <v>0.796</v>
      </c>
      <c r="L192" s="2">
        <f>PasteHashtag!J192</f>
        <v>1.3</v>
      </c>
      <c r="M192" s="2">
        <f>PasteHashtag!K192</f>
        <v>10.5</v>
      </c>
      <c r="N192" s="2">
        <f>PasteHashtag!L192</f>
        <v>4.9</v>
      </c>
      <c r="O192" s="2">
        <f>PasteHashtag!M192</f>
        <v>2.1</v>
      </c>
      <c r="P192" s="2">
        <f>PasteHashtag!N192</f>
        <v>0.9</v>
      </c>
      <c r="Q192" s="2">
        <f>PasteHashtag!O192</f>
        <v>0.5</v>
      </c>
      <c r="R192" s="2">
        <f>PasteHashtag!P192</f>
        <v>1.2</v>
      </c>
      <c r="S192" s="2">
        <f>Mid(PasteHashtag!H192,FIND("/",PasteHashtag!H192)+1,LEN(PasteHashtag!H192)-FIND("/",PasteHashtag!H192)-1)*1</f>
        <v>8.8</v>
      </c>
      <c r="T192" s="344">
        <f>Mid(PasteHashtag!I192,FIND("/",PasteHashtag!I192)+1,LEN(PasteHashtag!I192)-FIND("/",PasteHashtag!I192)-1)*1</f>
        <v>1.7</v>
      </c>
    </row>
    <row r="193">
      <c r="A193" s="2">
        <v>192.0</v>
      </c>
      <c r="B193" s="2">
        <f>PasteHashtag!B193</f>
        <v>139.1</v>
      </c>
      <c r="C193" s="343" t="str">
        <f>PasteHashtag!C193</f>
        <v>Russell Westbrook</v>
      </c>
      <c r="D193" s="2" t="str">
        <f>PasteHashtag!D193</f>
        <v>PG</v>
      </c>
      <c r="E193" s="2" t="str">
        <f>PasteHashtag!E193</f>
        <v>DEN</v>
      </c>
      <c r="F193" s="2">
        <f>PasteHashtag!F193</f>
        <v>72</v>
      </c>
      <c r="G193" s="2">
        <f>PasteHashtag!G193</f>
        <v>29.2</v>
      </c>
      <c r="H193" s="2">
        <f>MID(PasteHashtag!H193,1+FIND("(",PasteHashtag!H193),FIND("/",PasteHashtag!H193)-FIND("(",PasteHashtag!H193)-1)*1</f>
        <v>5.7</v>
      </c>
      <c r="I193" s="2">
        <f>LEFT(PasteHashtag!H193,FIND("(",PasteHashtag!H193)-1)*1</f>
        <v>0.444</v>
      </c>
      <c r="J193" s="2">
        <f>MID(PasteHashtag!I193,1+FIND("(",PasteHashtag!I193),FIND("/",PasteHashtag!I193)-FIND("(",PasteHashtag!I193)-1)*1</f>
        <v>2.5</v>
      </c>
      <c r="K193" s="2">
        <f>LEFT(PasteHashtag!I193,FIND("(",PasteHashtag!I193)-1)*1</f>
        <v>0.668</v>
      </c>
      <c r="L193" s="2">
        <f>PasteHashtag!J193</f>
        <v>1</v>
      </c>
      <c r="M193" s="2">
        <f>PasteHashtag!K193</f>
        <v>14.8</v>
      </c>
      <c r="N193" s="2">
        <f>PasteHashtag!L193</f>
        <v>5.9</v>
      </c>
      <c r="O193" s="2">
        <f>PasteHashtag!M193</f>
        <v>5.4</v>
      </c>
      <c r="P193" s="2">
        <f>PasteHashtag!N193</f>
        <v>1.2</v>
      </c>
      <c r="Q193" s="2">
        <f>PasteHashtag!O193</f>
        <v>0.4</v>
      </c>
      <c r="R193" s="2">
        <f>PasteHashtag!P193</f>
        <v>3.1</v>
      </c>
      <c r="S193" s="2">
        <f>Mid(PasteHashtag!H193,FIND("/",PasteHashtag!H193)+1,LEN(PasteHashtag!H193)-FIND("/",PasteHashtag!H193)-1)*1</f>
        <v>12.8</v>
      </c>
      <c r="T193" s="344">
        <f>Mid(PasteHashtag!I193,FIND("/",PasteHashtag!I193)+1,LEN(PasteHashtag!I193)-FIND("/",PasteHashtag!I193)-1)*1</f>
        <v>3.7</v>
      </c>
    </row>
    <row r="194">
      <c r="A194" s="2">
        <v>193.0</v>
      </c>
      <c r="B194" s="2">
        <f>PasteHashtag!B194</f>
        <v>138.6</v>
      </c>
      <c r="C194" s="343" t="str">
        <f>PasteHashtag!C194</f>
        <v>Malcolm Brogdon</v>
      </c>
      <c r="D194" s="2" t="str">
        <f>PasteHashtag!D194</f>
        <v>PG,SG</v>
      </c>
      <c r="E194" s="2" t="str">
        <f>PasteHashtag!E194</f>
        <v>WAS</v>
      </c>
      <c r="F194" s="2">
        <f>PasteHashtag!F194</f>
        <v>43</v>
      </c>
      <c r="G194" s="2">
        <f>PasteHashtag!G194</f>
        <v>26.7</v>
      </c>
      <c r="H194" s="2">
        <f>MID(PasteHashtag!H194,1+FIND("(",PasteHashtag!H194),FIND("/",PasteHashtag!H194)-FIND("(",PasteHashtag!H194)-1)*1</f>
        <v>4.3</v>
      </c>
      <c r="I194" s="2">
        <f>LEFT(PasteHashtag!H194,FIND("(",PasteHashtag!H194)-1)*1</f>
        <v>0.466</v>
      </c>
      <c r="J194" s="2">
        <f>MID(PasteHashtag!I194,1+FIND("(",PasteHashtag!I194),FIND("/",PasteHashtag!I194)-FIND("(",PasteHashtag!I194)-1)*1</f>
        <v>1.9</v>
      </c>
      <c r="K194" s="2">
        <f>LEFT(PasteHashtag!I194,FIND("(",PasteHashtag!I194)-1)*1</f>
        <v>0.849</v>
      </c>
      <c r="L194" s="2">
        <f>PasteHashtag!J194</f>
        <v>1.6</v>
      </c>
      <c r="M194" s="2">
        <f>PasteHashtag!K194</f>
        <v>12.1</v>
      </c>
      <c r="N194" s="2">
        <f>PasteHashtag!L194</f>
        <v>3.2</v>
      </c>
      <c r="O194" s="2">
        <f>PasteHashtag!M194</f>
        <v>3.5</v>
      </c>
      <c r="P194" s="2">
        <f>PasteHashtag!N194</f>
        <v>0.5</v>
      </c>
      <c r="Q194" s="2">
        <f>PasteHashtag!O194</f>
        <v>0.2</v>
      </c>
      <c r="R194" s="2">
        <f>PasteHashtag!P194</f>
        <v>1.2</v>
      </c>
      <c r="S194" s="2">
        <f>Mid(PasteHashtag!H194,FIND("/",PasteHashtag!H194)+1,LEN(PasteHashtag!H194)-FIND("/",PasteHashtag!H194)-1)*1</f>
        <v>9.2</v>
      </c>
      <c r="T194" s="344">
        <f>Mid(PasteHashtag!I194,FIND("/",PasteHashtag!I194)+1,LEN(PasteHashtag!I194)-FIND("/",PasteHashtag!I194)-1)*1</f>
        <v>2.3</v>
      </c>
    </row>
    <row r="195">
      <c r="A195" s="2">
        <v>194.0</v>
      </c>
      <c r="B195" s="2">
        <f>PasteHashtag!B195</f>
        <v>144.9</v>
      </c>
      <c r="C195" s="343" t="str">
        <f>PasteHashtag!C195</f>
        <v>Caris LeVert</v>
      </c>
      <c r="D195" s="2" t="str">
        <f>PasteHashtag!D195</f>
        <v>SG,SF</v>
      </c>
      <c r="E195" s="2" t="str">
        <f>PasteHashtag!E195</f>
        <v>CLE</v>
      </c>
      <c r="F195" s="2">
        <f>PasteHashtag!F195</f>
        <v>69</v>
      </c>
      <c r="G195" s="2">
        <f>PasteHashtag!G195</f>
        <v>27.5</v>
      </c>
      <c r="H195" s="2">
        <f>MID(PasteHashtag!H195,1+FIND("(",PasteHashtag!H195),FIND("/",PasteHashtag!H195)-FIND("(",PasteHashtag!H195)-1)*1</f>
        <v>4.4</v>
      </c>
      <c r="I195" s="2">
        <f>LEFT(PasteHashtag!H195,FIND("(",PasteHashtag!H195)-1)*1</f>
        <v>0.426</v>
      </c>
      <c r="J195" s="2">
        <f>MID(PasteHashtag!I195,1+FIND("(",PasteHashtag!I195),FIND("/",PasteHashtag!I195)-FIND("(",PasteHashtag!I195)-1)*1</f>
        <v>1.9</v>
      </c>
      <c r="K195" s="2">
        <f>LEFT(PasteHashtag!I195,FIND("(",PasteHashtag!I195)-1)*1</f>
        <v>0.746</v>
      </c>
      <c r="L195" s="2">
        <f>PasteHashtag!J195</f>
        <v>1.6</v>
      </c>
      <c r="M195" s="2">
        <f>PasteHashtag!K195</f>
        <v>12.2</v>
      </c>
      <c r="N195" s="2">
        <f>PasteHashtag!L195</f>
        <v>3.7</v>
      </c>
      <c r="O195" s="2">
        <f>PasteHashtag!M195</f>
        <v>4.2</v>
      </c>
      <c r="P195" s="2">
        <f>PasteHashtag!N195</f>
        <v>1</v>
      </c>
      <c r="Q195" s="2">
        <f>PasteHashtag!O195</f>
        <v>0.4</v>
      </c>
      <c r="R195" s="2">
        <f>PasteHashtag!P195</f>
        <v>1.5</v>
      </c>
      <c r="S195" s="2">
        <f>Mid(PasteHashtag!H195,FIND("/",PasteHashtag!H195)+1,LEN(PasteHashtag!H195)-FIND("/",PasteHashtag!H195)-1)*1</f>
        <v>10.3</v>
      </c>
      <c r="T195" s="344">
        <f>Mid(PasteHashtag!I195,FIND("/",PasteHashtag!I195)+1,LEN(PasteHashtag!I195)-FIND("/",PasteHashtag!I195)-1)*1</f>
        <v>2.5</v>
      </c>
    </row>
    <row r="196">
      <c r="A196" s="2">
        <v>195.0</v>
      </c>
      <c r="B196" s="2">
        <f>PasteHashtag!B196</f>
        <v>144.6</v>
      </c>
      <c r="C196" s="343" t="str">
        <f>PasteHashtag!C196</f>
        <v>Duncan Robinson</v>
      </c>
      <c r="D196" s="2" t="str">
        <f>PasteHashtag!D196</f>
        <v>SG,SF</v>
      </c>
      <c r="E196" s="2" t="str">
        <f>PasteHashtag!E196</f>
        <v>MIA</v>
      </c>
      <c r="F196" s="2">
        <f>PasteHashtag!F196</f>
        <v>67</v>
      </c>
      <c r="G196" s="2">
        <f>PasteHashtag!G196</f>
        <v>26.4</v>
      </c>
      <c r="H196" s="2">
        <f>MID(PasteHashtag!H196,1+FIND("(",PasteHashtag!H196),FIND("/",PasteHashtag!H196)-FIND("(",PasteHashtag!H196)-1)*1</f>
        <v>4.4</v>
      </c>
      <c r="I196" s="2">
        <f>LEFT(PasteHashtag!H196,FIND("(",PasteHashtag!H196)-1)*1</f>
        <v>0.447</v>
      </c>
      <c r="J196" s="2">
        <f>MID(PasteHashtag!I196,1+FIND("(",PasteHashtag!I196),FIND("/",PasteHashtag!I196)-FIND("(",PasteHashtag!I196)-1)*1</f>
        <v>1.1</v>
      </c>
      <c r="K196" s="2">
        <f>LEFT(PasteHashtag!I196,FIND("(",PasteHashtag!I196)-1)*1</f>
        <v>0.889</v>
      </c>
      <c r="L196" s="2">
        <f>PasteHashtag!J196</f>
        <v>2.6</v>
      </c>
      <c r="M196" s="2">
        <f>PasteHashtag!K196</f>
        <v>12.5</v>
      </c>
      <c r="N196" s="2">
        <f>PasteHashtag!L196</f>
        <v>2.5</v>
      </c>
      <c r="O196" s="2">
        <f>PasteHashtag!M196</f>
        <v>2.5</v>
      </c>
      <c r="P196" s="2">
        <f>PasteHashtag!N196</f>
        <v>0.6</v>
      </c>
      <c r="Q196" s="2">
        <f>PasteHashtag!O196</f>
        <v>0.2</v>
      </c>
      <c r="R196" s="2">
        <f>PasteHashtag!P196</f>
        <v>1.3</v>
      </c>
      <c r="S196" s="2">
        <f>Mid(PasteHashtag!H196,FIND("/",PasteHashtag!H196)+1,LEN(PasteHashtag!H196)-FIND("/",PasteHashtag!H196)-1)*1</f>
        <v>9.8</v>
      </c>
      <c r="T196" s="344">
        <f>Mid(PasteHashtag!I196,FIND("/",PasteHashtag!I196)+1,LEN(PasteHashtag!I196)-FIND("/",PasteHashtag!I196)-1)*1</f>
        <v>1.3</v>
      </c>
    </row>
    <row r="197">
      <c r="A197" s="2">
        <v>196.0</v>
      </c>
      <c r="B197" s="2">
        <f>PasteHashtag!B197</f>
        <v>142.6</v>
      </c>
      <c r="C197" s="343" t="str">
        <f>PasteHashtag!C197</f>
        <v>Nikola Jovic</v>
      </c>
      <c r="D197" s="2" t="str">
        <f>PasteHashtag!D197</f>
        <v>PF,C</v>
      </c>
      <c r="E197" s="2" t="str">
        <f>PasteHashtag!E197</f>
        <v>MIA</v>
      </c>
      <c r="F197" s="2">
        <f>PasteHashtag!F197</f>
        <v>52</v>
      </c>
      <c r="G197" s="2">
        <f>PasteHashtag!G197</f>
        <v>25.4</v>
      </c>
      <c r="H197" s="2">
        <f>MID(PasteHashtag!H197,1+FIND("(",PasteHashtag!H197),FIND("/",PasteHashtag!H197)-FIND("(",PasteHashtag!H197)-1)*1</f>
        <v>3.7</v>
      </c>
      <c r="I197" s="2">
        <f>LEFT(PasteHashtag!H197,FIND("(",PasteHashtag!H197)-1)*1</f>
        <v>0.443</v>
      </c>
      <c r="J197" s="2">
        <f>MID(PasteHashtag!I197,1+FIND("(",PasteHashtag!I197),FIND("/",PasteHashtag!I197)-FIND("(",PasteHashtag!I197)-1)*1</f>
        <v>1.2</v>
      </c>
      <c r="K197" s="2">
        <f>LEFT(PasteHashtag!I197,FIND("(",PasteHashtag!I197)-1)*1</f>
        <v>0.766</v>
      </c>
      <c r="L197" s="2">
        <f>PasteHashtag!J197</f>
        <v>1.8</v>
      </c>
      <c r="M197" s="2">
        <f>PasteHashtag!K197</f>
        <v>10.4</v>
      </c>
      <c r="N197" s="2">
        <f>PasteHashtag!L197</f>
        <v>5.3</v>
      </c>
      <c r="O197" s="2">
        <f>PasteHashtag!M197</f>
        <v>2.4</v>
      </c>
      <c r="P197" s="2">
        <f>PasteHashtag!N197</f>
        <v>0.8</v>
      </c>
      <c r="Q197" s="2">
        <f>PasteHashtag!O197</f>
        <v>0.4</v>
      </c>
      <c r="R197" s="2">
        <f>PasteHashtag!P197</f>
        <v>1.2</v>
      </c>
      <c r="S197" s="2">
        <f>Mid(PasteHashtag!H197,FIND("/",PasteHashtag!H197)+1,LEN(PasteHashtag!H197)-FIND("/",PasteHashtag!H197)-1)*1</f>
        <v>8.4</v>
      </c>
      <c r="T197" s="344">
        <f>Mid(PasteHashtag!I197,FIND("/",PasteHashtag!I197)+1,LEN(PasteHashtag!I197)-FIND("/",PasteHashtag!I197)-1)*1</f>
        <v>1.6</v>
      </c>
    </row>
    <row r="198">
      <c r="A198" s="2">
        <v>197.0</v>
      </c>
      <c r="B198" s="2" t="str">
        <f>PasteHashtag!B198</f>
        <v/>
      </c>
      <c r="C198" s="343" t="str">
        <f>PasteHashtag!C198</f>
        <v>Josh Richardson</v>
      </c>
      <c r="D198" s="2" t="str">
        <f>PasteHashtag!D198</f>
        <v>PG,SG</v>
      </c>
      <c r="E198" s="2" t="str">
        <f>PasteHashtag!E198</f>
        <v>MIA</v>
      </c>
      <c r="F198" s="2">
        <f>PasteHashtag!F198</f>
        <v>60</v>
      </c>
      <c r="G198" s="2">
        <f>PasteHashtag!G198</f>
        <v>25.2</v>
      </c>
      <c r="H198" s="2">
        <f>MID(PasteHashtag!H198,1+FIND("(",PasteHashtag!H198),FIND("/",PasteHashtag!H198)-FIND("(",PasteHashtag!H198)-1)*1</f>
        <v>3.8</v>
      </c>
      <c r="I198" s="2">
        <f>LEFT(PasteHashtag!H198,FIND("(",PasteHashtag!H198)-1)*1</f>
        <v>0.436</v>
      </c>
      <c r="J198" s="2">
        <f>MID(PasteHashtag!I198,1+FIND("(",PasteHashtag!I198),FIND("/",PasteHashtag!I198)-FIND("(",PasteHashtag!I198)-1)*1</f>
        <v>1.2</v>
      </c>
      <c r="K198" s="2">
        <f>LEFT(PasteHashtag!I198,FIND("(",PasteHashtag!I198)-1)*1</f>
        <v>0.885</v>
      </c>
      <c r="L198" s="2">
        <f>PasteHashtag!J198</f>
        <v>1.7</v>
      </c>
      <c r="M198" s="2">
        <f>PasteHashtag!K198</f>
        <v>10.4</v>
      </c>
      <c r="N198" s="2">
        <f>PasteHashtag!L198</f>
        <v>2.9</v>
      </c>
      <c r="O198" s="2">
        <f>PasteHashtag!M198</f>
        <v>2.7</v>
      </c>
      <c r="P198" s="2">
        <f>PasteHashtag!N198</f>
        <v>0.9</v>
      </c>
      <c r="Q198" s="2">
        <f>PasteHashtag!O198</f>
        <v>0.3</v>
      </c>
      <c r="R198" s="2">
        <f>PasteHashtag!P198</f>
        <v>1.2</v>
      </c>
      <c r="S198" s="2">
        <f>Mid(PasteHashtag!H198,FIND("/",PasteHashtag!H198)+1,LEN(PasteHashtag!H198)-FIND("/",PasteHashtag!H198)-1)*1</f>
        <v>8.7</v>
      </c>
      <c r="T198" s="344">
        <f>Mid(PasteHashtag!I198,FIND("/",PasteHashtag!I198)+1,LEN(PasteHashtag!I198)-FIND("/",PasteHashtag!I198)-1)*1</f>
        <v>1.3</v>
      </c>
    </row>
    <row r="199">
      <c r="A199" s="2">
        <v>198.0</v>
      </c>
      <c r="B199" s="2" t="str">
        <f>PasteHashtag!B199</f>
        <v/>
      </c>
      <c r="C199" s="343" t="str">
        <f>PasteHashtag!C199</f>
        <v>Kris Dunn</v>
      </c>
      <c r="D199" s="2" t="str">
        <f>PasteHashtag!D199</f>
        <v>PG,SG</v>
      </c>
      <c r="E199" s="2" t="str">
        <f>PasteHashtag!E199</f>
        <v>LAC</v>
      </c>
      <c r="F199" s="2">
        <f>PasteHashtag!F199</f>
        <v>64</v>
      </c>
      <c r="G199" s="2">
        <f>PasteHashtag!G199</f>
        <v>20.4</v>
      </c>
      <c r="H199" s="2">
        <f>MID(PasteHashtag!H199,1+FIND("(",PasteHashtag!H199),FIND("/",PasteHashtag!H199)-FIND("(",PasteHashtag!H199)-1)*1</f>
        <v>2.9</v>
      </c>
      <c r="I199" s="2">
        <f>LEFT(PasteHashtag!H199,FIND("(",PasteHashtag!H199)-1)*1</f>
        <v>0.498</v>
      </c>
      <c r="J199" s="2">
        <f>MID(PasteHashtag!I199,1+FIND("(",PasteHashtag!I199),FIND("/",PasteHashtag!I199)-FIND("(",PasteHashtag!I199)-1)*1</f>
        <v>0.7</v>
      </c>
      <c r="K199" s="2">
        <f>LEFT(PasteHashtag!I199,FIND("(",PasteHashtag!I199)-1)*1</f>
        <v>0.734</v>
      </c>
      <c r="L199" s="2">
        <f>PasteHashtag!J199</f>
        <v>0.6</v>
      </c>
      <c r="M199" s="2">
        <f>PasteHashtag!K199</f>
        <v>7.2</v>
      </c>
      <c r="N199" s="2">
        <f>PasteHashtag!L199</f>
        <v>3.2</v>
      </c>
      <c r="O199" s="2">
        <f>PasteHashtag!M199</f>
        <v>4.2</v>
      </c>
      <c r="P199" s="2">
        <f>PasteHashtag!N199</f>
        <v>1</v>
      </c>
      <c r="Q199" s="2">
        <f>PasteHashtag!O199</f>
        <v>0.4</v>
      </c>
      <c r="R199" s="2">
        <f>PasteHashtag!P199</f>
        <v>1.3</v>
      </c>
      <c r="S199" s="2">
        <f>Mid(PasteHashtag!H199,FIND("/",PasteHashtag!H199)+1,LEN(PasteHashtag!H199)-FIND("/",PasteHashtag!H199)-1)*1</f>
        <v>5.9</v>
      </c>
      <c r="T199" s="344">
        <f>Mid(PasteHashtag!I199,FIND("/",PasteHashtag!I199)+1,LEN(PasteHashtag!I199)-FIND("/",PasteHashtag!I199)-1)*1</f>
        <v>0.9</v>
      </c>
    </row>
    <row r="200">
      <c r="A200" s="2">
        <v>199.0</v>
      </c>
      <c r="B200" s="2">
        <f>PasteHashtag!B200</f>
        <v>139.1</v>
      </c>
      <c r="C200" s="343" t="str">
        <f>PasteHashtag!C200</f>
        <v>Ayo Dosunmu</v>
      </c>
      <c r="D200" s="2" t="str">
        <f>PasteHashtag!D200</f>
        <v>SG,SF</v>
      </c>
      <c r="E200" s="2" t="str">
        <f>PasteHashtag!E200</f>
        <v>CHI</v>
      </c>
      <c r="F200" s="2">
        <f>PasteHashtag!F200</f>
        <v>78</v>
      </c>
      <c r="G200" s="2">
        <f>PasteHashtag!G200</f>
        <v>27.2</v>
      </c>
      <c r="H200" s="2">
        <f>MID(PasteHashtag!H200,1+FIND("(",PasteHashtag!H200),FIND("/",PasteHashtag!H200)-FIND("(",PasteHashtag!H200)-1)*1</f>
        <v>4.1</v>
      </c>
      <c r="I200" s="2">
        <f>LEFT(PasteHashtag!H200,FIND("(",PasteHashtag!H200)-1)*1</f>
        <v>0.498</v>
      </c>
      <c r="J200" s="2">
        <f>MID(PasteHashtag!I200,1+FIND("(",PasteHashtag!I200),FIND("/",PasteHashtag!I200)-FIND("(",PasteHashtag!I200)-1)*1</f>
        <v>1</v>
      </c>
      <c r="K200" s="2">
        <f>LEFT(PasteHashtag!I200,FIND("(",PasteHashtag!I200)-1)*1</f>
        <v>0.814</v>
      </c>
      <c r="L200" s="2">
        <f>PasteHashtag!J200</f>
        <v>1.1</v>
      </c>
      <c r="M200" s="2">
        <f>PasteHashtag!K200</f>
        <v>10.2</v>
      </c>
      <c r="N200" s="2">
        <f>PasteHashtag!L200</f>
        <v>2.8</v>
      </c>
      <c r="O200" s="2">
        <f>PasteHashtag!M200</f>
        <v>2.8</v>
      </c>
      <c r="P200" s="2">
        <f>PasteHashtag!N200</f>
        <v>0.8</v>
      </c>
      <c r="Q200" s="2">
        <f>PasteHashtag!O200</f>
        <v>0.4</v>
      </c>
      <c r="R200" s="2">
        <f>PasteHashtag!P200</f>
        <v>1.3</v>
      </c>
      <c r="S200" s="2">
        <f>Mid(PasteHashtag!H200,FIND("/",PasteHashtag!H200)+1,LEN(PasteHashtag!H200)-FIND("/",PasteHashtag!H200)-1)*1</f>
        <v>8.2</v>
      </c>
      <c r="T200" s="344">
        <f>Mid(PasteHashtag!I200,FIND("/",PasteHashtag!I200)+1,LEN(PasteHashtag!I200)-FIND("/",PasteHashtag!I200)-1)*1</f>
        <v>1.2</v>
      </c>
    </row>
    <row r="201">
      <c r="A201" s="2">
        <v>200.0</v>
      </c>
      <c r="B201" s="2">
        <f>PasteHashtag!B201</f>
        <v>143</v>
      </c>
      <c r="C201" s="343" t="str">
        <f>PasteHashtag!C201</f>
        <v>Bennedict Mathurin</v>
      </c>
      <c r="D201" s="2" t="str">
        <f>PasteHashtag!D201</f>
        <v>SG,SF</v>
      </c>
      <c r="E201" s="2" t="str">
        <f>PasteHashtag!E201</f>
        <v>IND</v>
      </c>
      <c r="F201" s="2">
        <f>PasteHashtag!F201</f>
        <v>68</v>
      </c>
      <c r="G201" s="2">
        <f>PasteHashtag!G201</f>
        <v>29</v>
      </c>
      <c r="H201" s="2">
        <f>MID(PasteHashtag!H201,1+FIND("(",PasteHashtag!H201),FIND("/",PasteHashtag!H201)-FIND("(",PasteHashtag!H201)-1)*1</f>
        <v>5.5</v>
      </c>
      <c r="I201" s="2">
        <f>LEFT(PasteHashtag!H201,FIND("(",PasteHashtag!H201)-1)*1</f>
        <v>0.443</v>
      </c>
      <c r="J201" s="2">
        <f>MID(PasteHashtag!I201,1+FIND("(",PasteHashtag!I201),FIND("/",PasteHashtag!I201)-FIND("(",PasteHashtag!I201)-1)*1</f>
        <v>4.4</v>
      </c>
      <c r="K201" s="2">
        <f>LEFT(PasteHashtag!I201,FIND("(",PasteHashtag!I201)-1)*1</f>
        <v>0.826</v>
      </c>
      <c r="L201" s="2">
        <f>PasteHashtag!J201</f>
        <v>1.4</v>
      </c>
      <c r="M201" s="2">
        <f>PasteHashtag!K201</f>
        <v>16.8</v>
      </c>
      <c r="N201" s="2">
        <f>PasteHashtag!L201</f>
        <v>4.3</v>
      </c>
      <c r="O201" s="2">
        <f>PasteHashtag!M201</f>
        <v>1.8</v>
      </c>
      <c r="P201" s="2">
        <f>PasteHashtag!N201</f>
        <v>0.7</v>
      </c>
      <c r="Q201" s="2">
        <f>PasteHashtag!O201</f>
        <v>0.2</v>
      </c>
      <c r="R201" s="2">
        <f>PasteHashtag!P201</f>
        <v>1.9</v>
      </c>
      <c r="S201" s="2">
        <f>Mid(PasteHashtag!H201,FIND("/",PasteHashtag!H201)+1,LEN(PasteHashtag!H201)-FIND("/",PasteHashtag!H201)-1)*1</f>
        <v>12.5</v>
      </c>
      <c r="T201" s="344">
        <f>Mid(PasteHashtag!I201,FIND("/",PasteHashtag!I201)+1,LEN(PasteHashtag!I201)-FIND("/",PasteHashtag!I201)-1)*1</f>
        <v>5.3</v>
      </c>
    </row>
    <row r="202">
      <c r="A202" s="2">
        <v>201.0</v>
      </c>
      <c r="B202" s="2" t="str">
        <f>PasteHashtag!B202</f>
        <v/>
      </c>
      <c r="C202" s="343" t="str">
        <f>PasteHashtag!C202</f>
        <v>Josh Green</v>
      </c>
      <c r="D202" s="2" t="str">
        <f>PasteHashtag!D202</f>
        <v>SG,SF</v>
      </c>
      <c r="E202" s="2" t="str">
        <f>PasteHashtag!E202</f>
        <v>CHA</v>
      </c>
      <c r="F202" s="2">
        <f>PasteHashtag!F202</f>
        <v>64</v>
      </c>
      <c r="G202" s="2">
        <f>PasteHashtag!G202</f>
        <v>28.9</v>
      </c>
      <c r="H202" s="2">
        <f>MID(PasteHashtag!H202,1+FIND("(",PasteHashtag!H202),FIND("/",PasteHashtag!H202)-FIND("(",PasteHashtag!H202)-1)*1</f>
        <v>4.2</v>
      </c>
      <c r="I202" s="2">
        <f>LEFT(PasteHashtag!H202,FIND("(",PasteHashtag!H202)-1)*1</f>
        <v>0.472</v>
      </c>
      <c r="J202" s="2">
        <f>MID(PasteHashtag!I202,1+FIND("(",PasteHashtag!I202),FIND("/",PasteHashtag!I202)-FIND("(",PasteHashtag!I202)-1)*1</f>
        <v>1.1</v>
      </c>
      <c r="K202" s="2">
        <f>LEFT(PasteHashtag!I202,FIND("(",PasteHashtag!I202)-1)*1</f>
        <v>0.709</v>
      </c>
      <c r="L202" s="2">
        <f>PasteHashtag!J202</f>
        <v>1.6</v>
      </c>
      <c r="M202" s="2">
        <f>PasteHashtag!K202</f>
        <v>11</v>
      </c>
      <c r="N202" s="2">
        <f>PasteHashtag!L202</f>
        <v>3.6</v>
      </c>
      <c r="O202" s="2">
        <f>PasteHashtag!M202</f>
        <v>2.3</v>
      </c>
      <c r="P202" s="2">
        <f>PasteHashtag!N202</f>
        <v>1</v>
      </c>
      <c r="Q202" s="2">
        <f>PasteHashtag!O202</f>
        <v>0.3</v>
      </c>
      <c r="R202" s="2">
        <f>PasteHashtag!P202</f>
        <v>1.3</v>
      </c>
      <c r="S202" s="2">
        <f>Mid(PasteHashtag!H202,FIND("/",PasteHashtag!H202)+1,LEN(PasteHashtag!H202)-FIND("/",PasteHashtag!H202)-1)*1</f>
        <v>8.9</v>
      </c>
      <c r="T202" s="344">
        <f>Mid(PasteHashtag!I202,FIND("/",PasteHashtag!I202)+1,LEN(PasteHashtag!I202)-FIND("/",PasteHashtag!I202)-1)*1</f>
        <v>1.5</v>
      </c>
    </row>
    <row r="203">
      <c r="A203" s="2">
        <v>202.0</v>
      </c>
      <c r="B203" s="2" t="str">
        <f>PasteHashtag!B203</f>
        <v/>
      </c>
      <c r="C203" s="343" t="str">
        <f>PasteHashtag!C203</f>
        <v>Peyton Watson</v>
      </c>
      <c r="D203" s="2" t="str">
        <f>PasteHashtag!D203</f>
        <v>SF,PF</v>
      </c>
      <c r="E203" s="2" t="str">
        <f>PasteHashtag!E203</f>
        <v>DEN</v>
      </c>
      <c r="F203" s="2">
        <f>PasteHashtag!F203</f>
        <v>78</v>
      </c>
      <c r="G203" s="2">
        <f>PasteHashtag!G203</f>
        <v>24.5</v>
      </c>
      <c r="H203" s="2">
        <f>MID(PasteHashtag!H203,1+FIND("(",PasteHashtag!H203),FIND("/",PasteHashtag!H203)-FIND("(",PasteHashtag!H203)-1)*1</f>
        <v>3.7</v>
      </c>
      <c r="I203" s="2">
        <f>LEFT(PasteHashtag!H203,FIND("(",PasteHashtag!H203)-1)*1</f>
        <v>0.467</v>
      </c>
      <c r="J203" s="2">
        <f>MID(PasteHashtag!I203,1+FIND("(",PasteHashtag!I203),FIND("/",PasteHashtag!I203)-FIND("(",PasteHashtag!I203)-1)*1</f>
        <v>1.3</v>
      </c>
      <c r="K203" s="2">
        <f>LEFT(PasteHashtag!I203,FIND("(",PasteHashtag!I203)-1)*1</f>
        <v>0.65</v>
      </c>
      <c r="L203" s="2">
        <f>PasteHashtag!J203</f>
        <v>0.8</v>
      </c>
      <c r="M203" s="2">
        <f>PasteHashtag!K203</f>
        <v>9.5</v>
      </c>
      <c r="N203" s="2">
        <f>PasteHashtag!L203</f>
        <v>4.6</v>
      </c>
      <c r="O203" s="2">
        <f>PasteHashtag!M203</f>
        <v>1.5</v>
      </c>
      <c r="P203" s="2">
        <f>PasteHashtag!N203</f>
        <v>0.7</v>
      </c>
      <c r="Q203" s="2">
        <f>PasteHashtag!O203</f>
        <v>1.5</v>
      </c>
      <c r="R203" s="2">
        <f>PasteHashtag!P203</f>
        <v>1</v>
      </c>
      <c r="S203" s="2">
        <f>Mid(PasteHashtag!H203,FIND("/",PasteHashtag!H203)+1,LEN(PasteHashtag!H203)-FIND("/",PasteHashtag!H203)-1)*1</f>
        <v>7.9</v>
      </c>
      <c r="T203" s="344">
        <f>Mid(PasteHashtag!I203,FIND("/",PasteHashtag!I203)+1,LEN(PasteHashtag!I203)-FIND("/",PasteHashtag!I203)-1)*1</f>
        <v>2</v>
      </c>
    </row>
    <row r="204">
      <c r="A204" s="2">
        <v>203.0</v>
      </c>
      <c r="B204" s="2" t="str">
        <f>PasteHashtag!B204</f>
        <v/>
      </c>
      <c r="C204" s="343" t="str">
        <f>PasteHashtag!C204</f>
        <v>Daniel Theis</v>
      </c>
      <c r="D204" s="2" t="str">
        <f>PasteHashtag!D204</f>
        <v>C</v>
      </c>
      <c r="E204" s="2" t="str">
        <f>PasteHashtag!E204</f>
        <v>NO</v>
      </c>
      <c r="F204" s="2">
        <f>PasteHashtag!F204</f>
        <v>67</v>
      </c>
      <c r="G204" s="2">
        <f>PasteHashtag!G204</f>
        <v>22</v>
      </c>
      <c r="H204" s="2">
        <f>MID(PasteHashtag!H204,1+FIND("(",PasteHashtag!H204),FIND("/",PasteHashtag!H204)-FIND("(",PasteHashtag!H204)-1)*1</f>
        <v>3.5</v>
      </c>
      <c r="I204" s="2">
        <f>LEFT(PasteHashtag!H204,FIND("(",PasteHashtag!H204)-1)*1</f>
        <v>0.524</v>
      </c>
      <c r="J204" s="2">
        <f>MID(PasteHashtag!I204,1+FIND("(",PasteHashtag!I204),FIND("/",PasteHashtag!I204)-FIND("(",PasteHashtag!I204)-1)*1</f>
        <v>0.9</v>
      </c>
      <c r="K204" s="2">
        <f>LEFT(PasteHashtag!I204,FIND("(",PasteHashtag!I204)-1)*1</f>
        <v>0.762</v>
      </c>
      <c r="L204" s="2">
        <f>PasteHashtag!J204</f>
        <v>0.6</v>
      </c>
      <c r="M204" s="2">
        <f>PasteHashtag!K204</f>
        <v>8.5</v>
      </c>
      <c r="N204" s="2">
        <f>PasteHashtag!L204</f>
        <v>5.2</v>
      </c>
      <c r="O204" s="2">
        <f>PasteHashtag!M204</f>
        <v>1.4</v>
      </c>
      <c r="P204" s="2">
        <f>PasteHashtag!N204</f>
        <v>0.5</v>
      </c>
      <c r="Q204" s="2">
        <f>PasteHashtag!O204</f>
        <v>1</v>
      </c>
      <c r="R204" s="2">
        <f>PasteHashtag!P204</f>
        <v>0.9</v>
      </c>
      <c r="S204" s="2">
        <f>Mid(PasteHashtag!H204,FIND("/",PasteHashtag!H204)+1,LEN(PasteHashtag!H204)-FIND("/",PasteHashtag!H204)-1)*1</f>
        <v>6.7</v>
      </c>
      <c r="T204" s="344">
        <f>Mid(PasteHashtag!I204,FIND("/",PasteHashtag!I204)+1,LEN(PasteHashtag!I204)-FIND("/",PasteHashtag!I204)-1)*1</f>
        <v>1.2</v>
      </c>
    </row>
    <row r="205">
      <c r="A205" s="2">
        <v>204.0</v>
      </c>
      <c r="B205" s="2" t="str">
        <f>PasteHashtag!B205</f>
        <v/>
      </c>
      <c r="C205" s="343" t="str">
        <f>PasteHashtag!C205</f>
        <v>Nickeil Alexander-Walker</v>
      </c>
      <c r="D205" s="2" t="str">
        <f>PasteHashtag!D205</f>
        <v>SG,SF</v>
      </c>
      <c r="E205" s="2" t="str">
        <f>PasteHashtag!E205</f>
        <v>MIN</v>
      </c>
      <c r="F205" s="2">
        <f>PasteHashtag!F205</f>
        <v>74</v>
      </c>
      <c r="G205" s="2">
        <f>PasteHashtag!G205</f>
        <v>25.8</v>
      </c>
      <c r="H205" s="2">
        <f>MID(PasteHashtag!H205,1+FIND("(",PasteHashtag!H205),FIND("/",PasteHashtag!H205)-FIND("(",PasteHashtag!H205)-1)*1</f>
        <v>3.4</v>
      </c>
      <c r="I205" s="2">
        <f>LEFT(PasteHashtag!H205,FIND("(",PasteHashtag!H205)-1)*1</f>
        <v>0.441</v>
      </c>
      <c r="J205" s="2">
        <f>MID(PasteHashtag!I205,1+FIND("(",PasteHashtag!I205),FIND("/",PasteHashtag!I205)-FIND("(",PasteHashtag!I205)-1)*1</f>
        <v>0.9</v>
      </c>
      <c r="K205" s="2">
        <f>LEFT(PasteHashtag!I205,FIND("(",PasteHashtag!I205)-1)*1</f>
        <v>0.733</v>
      </c>
      <c r="L205" s="2">
        <f>PasteHashtag!J205</f>
        <v>1.8</v>
      </c>
      <c r="M205" s="2">
        <f>PasteHashtag!K205</f>
        <v>9.5</v>
      </c>
      <c r="N205" s="2">
        <f>PasteHashtag!L205</f>
        <v>2.5</v>
      </c>
      <c r="O205" s="2">
        <f>PasteHashtag!M205</f>
        <v>2.9</v>
      </c>
      <c r="P205" s="2">
        <f>PasteHashtag!N205</f>
        <v>0.9</v>
      </c>
      <c r="Q205" s="2">
        <f>PasteHashtag!O205</f>
        <v>0.6</v>
      </c>
      <c r="R205" s="2">
        <f>PasteHashtag!P205</f>
        <v>1.2</v>
      </c>
      <c r="S205" s="2">
        <f>Mid(PasteHashtag!H205,FIND("/",PasteHashtag!H205)+1,LEN(PasteHashtag!H205)-FIND("/",PasteHashtag!H205)-1)*1</f>
        <v>7.7</v>
      </c>
      <c r="T205" s="344">
        <f>Mid(PasteHashtag!I205,FIND("/",PasteHashtag!I205)+1,LEN(PasteHashtag!I205)-FIND("/",PasteHashtag!I205)-1)*1</f>
        <v>1.2</v>
      </c>
    </row>
    <row r="206">
      <c r="A206" s="2">
        <v>205.0</v>
      </c>
      <c r="B206" s="2" t="str">
        <f>PasteHashtag!B206</f>
        <v/>
      </c>
      <c r="C206" s="343" t="str">
        <f>PasteHashtag!C206</f>
        <v>Isaiah Jackson</v>
      </c>
      <c r="D206" s="2" t="str">
        <f>PasteHashtag!D206</f>
        <v>PF,C</v>
      </c>
      <c r="E206" s="2" t="str">
        <f>PasteHashtag!E206</f>
        <v>IND</v>
      </c>
      <c r="F206" s="2">
        <f>PasteHashtag!F206</f>
        <v>60</v>
      </c>
      <c r="G206" s="2">
        <f>PasteHashtag!G206</f>
        <v>16.5</v>
      </c>
      <c r="H206" s="2">
        <f>MID(PasteHashtag!H206,1+FIND("(",PasteHashtag!H206),FIND("/",PasteHashtag!H206)-FIND("(",PasteHashtag!H206)-1)*1</f>
        <v>3.1</v>
      </c>
      <c r="I206" s="2">
        <f>LEFT(PasteHashtag!H206,FIND("(",PasteHashtag!H206)-1)*1</f>
        <v>0.607</v>
      </c>
      <c r="J206" s="2">
        <f>MID(PasteHashtag!I206,1+FIND("(",PasteHashtag!I206),FIND("/",PasteHashtag!I206)-FIND("(",PasteHashtag!I206)-1)*1</f>
        <v>1.5</v>
      </c>
      <c r="K206" s="2">
        <f>LEFT(PasteHashtag!I206,FIND("(",PasteHashtag!I206)-1)*1</f>
        <v>0.675</v>
      </c>
      <c r="L206" s="2">
        <f>PasteHashtag!J206</f>
        <v>0</v>
      </c>
      <c r="M206" s="2">
        <f>PasteHashtag!K206</f>
        <v>7.7</v>
      </c>
      <c r="N206" s="2">
        <f>PasteHashtag!L206</f>
        <v>4.8</v>
      </c>
      <c r="O206" s="2">
        <f>PasteHashtag!M206</f>
        <v>0.9</v>
      </c>
      <c r="P206" s="2">
        <f>PasteHashtag!N206</f>
        <v>0.6</v>
      </c>
      <c r="Q206" s="2">
        <f>PasteHashtag!O206</f>
        <v>1.4</v>
      </c>
      <c r="R206" s="2">
        <f>PasteHashtag!P206</f>
        <v>0.8</v>
      </c>
      <c r="S206" s="2">
        <f>Mid(PasteHashtag!H206,FIND("/",PasteHashtag!H206)+1,LEN(PasteHashtag!H206)-FIND("/",PasteHashtag!H206)-1)*1</f>
        <v>5.1</v>
      </c>
      <c r="T206" s="344">
        <f>Mid(PasteHashtag!I206,FIND("/",PasteHashtag!I206)+1,LEN(PasteHashtag!I206)-FIND("/",PasteHashtag!I206)-1)*1</f>
        <v>2.3</v>
      </c>
    </row>
    <row r="207">
      <c r="A207" s="2">
        <v>206.0</v>
      </c>
      <c r="B207" s="2">
        <f>PasteHashtag!B207</f>
        <v>146</v>
      </c>
      <c r="C207" s="343" t="str">
        <f>PasteHashtag!C207</f>
        <v>Sam Hauser</v>
      </c>
      <c r="D207" s="2" t="str">
        <f>PasteHashtag!D207</f>
        <v>SF,PF</v>
      </c>
      <c r="E207" s="2" t="str">
        <f>PasteHashtag!E207</f>
        <v>BOS</v>
      </c>
      <c r="F207" s="2">
        <f>PasteHashtag!F207</f>
        <v>80</v>
      </c>
      <c r="G207" s="2">
        <f>PasteHashtag!G207</f>
        <v>23.5</v>
      </c>
      <c r="H207" s="2">
        <f>MID(PasteHashtag!H207,1+FIND("(",PasteHashtag!H207),FIND("/",PasteHashtag!H207)-FIND("(",PasteHashtag!H207)-1)*1</f>
        <v>3.4</v>
      </c>
      <c r="I207" s="2">
        <f>LEFT(PasteHashtag!H207,FIND("(",PasteHashtag!H207)-1)*1</f>
        <v>0.45</v>
      </c>
      <c r="J207" s="2">
        <f>MID(PasteHashtag!I207,1+FIND("(",PasteHashtag!I207),FIND("/",PasteHashtag!I207)-FIND("(",PasteHashtag!I207)-1)*1</f>
        <v>0.2</v>
      </c>
      <c r="K207" s="2">
        <f>LEFT(PasteHashtag!I207,FIND("(",PasteHashtag!I207)-1)*1</f>
        <v>0.821</v>
      </c>
      <c r="L207" s="2">
        <f>PasteHashtag!J207</f>
        <v>2.6</v>
      </c>
      <c r="M207" s="2">
        <f>PasteHashtag!K207</f>
        <v>9.6</v>
      </c>
      <c r="N207" s="2">
        <f>PasteHashtag!L207</f>
        <v>3.8</v>
      </c>
      <c r="O207" s="2">
        <f>PasteHashtag!M207</f>
        <v>1.2</v>
      </c>
      <c r="P207" s="2">
        <f>PasteHashtag!N207</f>
        <v>0.5</v>
      </c>
      <c r="Q207" s="2">
        <f>PasteHashtag!O207</f>
        <v>0.4</v>
      </c>
      <c r="R207" s="2">
        <f>PasteHashtag!P207</f>
        <v>0.5</v>
      </c>
      <c r="S207" s="2">
        <f>Mid(PasteHashtag!H207,FIND("/",PasteHashtag!H207)+1,LEN(PasteHashtag!H207)-FIND("/",PasteHashtag!H207)-1)*1</f>
        <v>7.5</v>
      </c>
      <c r="T207" s="344">
        <f>Mid(PasteHashtag!I207,FIND("/",PasteHashtag!I207)+1,LEN(PasteHashtag!I207)-FIND("/",PasteHashtag!I207)-1)*1</f>
        <v>0.3</v>
      </c>
    </row>
    <row r="208">
      <c r="A208" s="2">
        <v>207.0</v>
      </c>
      <c r="B208" s="2" t="str">
        <f>PasteHashtag!B208</f>
        <v/>
      </c>
      <c r="C208" s="343" t="str">
        <f>PasteHashtag!C208</f>
        <v>Eric Gordon</v>
      </c>
      <c r="D208" s="2" t="str">
        <f>PasteHashtag!D208</f>
        <v>SG,SF</v>
      </c>
      <c r="E208" s="2" t="str">
        <f>PasteHashtag!E208</f>
        <v>PHI</v>
      </c>
      <c r="F208" s="2">
        <f>PasteHashtag!F208</f>
        <v>68</v>
      </c>
      <c r="G208" s="2">
        <f>PasteHashtag!G208</f>
        <v>27.6</v>
      </c>
      <c r="H208" s="2">
        <f>MID(PasteHashtag!H208,1+FIND("(",PasteHashtag!H208),FIND("/",PasteHashtag!H208)-FIND("(",PasteHashtag!H208)-1)*1</f>
        <v>4.1</v>
      </c>
      <c r="I208" s="2">
        <f>LEFT(PasteHashtag!H208,FIND("(",PasteHashtag!H208)-1)*1</f>
        <v>0.444</v>
      </c>
      <c r="J208" s="2">
        <f>MID(PasteHashtag!I208,1+FIND("(",PasteHashtag!I208),FIND("/",PasteHashtag!I208)-FIND("(",PasteHashtag!I208)-1)*1</f>
        <v>1.4</v>
      </c>
      <c r="K208" s="2">
        <f>LEFT(PasteHashtag!I208,FIND("(",PasteHashtag!I208)-1)*1</f>
        <v>0.813</v>
      </c>
      <c r="L208" s="2">
        <f>PasteHashtag!J208</f>
        <v>2</v>
      </c>
      <c r="M208" s="2">
        <f>PasteHashtag!K208</f>
        <v>11.6</v>
      </c>
      <c r="N208" s="2">
        <f>PasteHashtag!L208</f>
        <v>1.9</v>
      </c>
      <c r="O208" s="2">
        <f>PasteHashtag!M208</f>
        <v>2.3</v>
      </c>
      <c r="P208" s="2">
        <f>PasteHashtag!N208</f>
        <v>0.8</v>
      </c>
      <c r="Q208" s="2">
        <f>PasteHashtag!O208</f>
        <v>0.4</v>
      </c>
      <c r="R208" s="2">
        <f>PasteHashtag!P208</f>
        <v>1.3</v>
      </c>
      <c r="S208" s="2">
        <f>Mid(PasteHashtag!H208,FIND("/",PasteHashtag!H208)+1,LEN(PasteHashtag!H208)-FIND("/",PasteHashtag!H208)-1)*1</f>
        <v>9.2</v>
      </c>
      <c r="T208" s="344">
        <f>Mid(PasteHashtag!I208,FIND("/",PasteHashtag!I208)+1,LEN(PasteHashtag!I208)-FIND("/",PasteHashtag!I208)-1)*1</f>
        <v>1.7</v>
      </c>
    </row>
    <row r="209">
      <c r="A209" s="2">
        <v>208.0</v>
      </c>
      <c r="B209" s="2">
        <f>PasteHashtag!B209</f>
        <v>146.5</v>
      </c>
      <c r="C209" s="343" t="str">
        <f>PasteHashtag!C209</f>
        <v>De'Andre Hunter</v>
      </c>
      <c r="D209" s="2" t="str">
        <f>PasteHashtag!D209</f>
        <v>SF,PF</v>
      </c>
      <c r="E209" s="2" t="str">
        <f>PasteHashtag!E209</f>
        <v>ATL</v>
      </c>
      <c r="F209" s="2">
        <f>PasteHashtag!F209</f>
        <v>60</v>
      </c>
      <c r="G209" s="2">
        <f>PasteHashtag!G209</f>
        <v>27.4</v>
      </c>
      <c r="H209" s="2">
        <f>MID(PasteHashtag!H209,1+FIND("(",PasteHashtag!H209),FIND("/",PasteHashtag!H209)-FIND("(",PasteHashtag!H209)-1)*1</f>
        <v>5.1</v>
      </c>
      <c r="I209" s="2">
        <f>LEFT(PasteHashtag!H209,FIND("(",PasteHashtag!H209)-1)*1</f>
        <v>0.46</v>
      </c>
      <c r="J209" s="2">
        <f>MID(PasteHashtag!I209,1+FIND("(",PasteHashtag!I209),FIND("/",PasteHashtag!I209)-FIND("(",PasteHashtag!I209)-1)*1</f>
        <v>2.5</v>
      </c>
      <c r="K209" s="2">
        <f>LEFT(PasteHashtag!I209,FIND("(",PasteHashtag!I209)-1)*1</f>
        <v>0.836</v>
      </c>
      <c r="L209" s="2">
        <f>PasteHashtag!J209</f>
        <v>1.6</v>
      </c>
      <c r="M209" s="2">
        <f>PasteHashtag!K209</f>
        <v>14.3</v>
      </c>
      <c r="N209" s="2">
        <f>PasteHashtag!L209</f>
        <v>3.8</v>
      </c>
      <c r="O209" s="2">
        <f>PasteHashtag!M209</f>
        <v>1.4</v>
      </c>
      <c r="P209" s="2">
        <f>PasteHashtag!N209</f>
        <v>0.6</v>
      </c>
      <c r="Q209" s="2">
        <f>PasteHashtag!O209</f>
        <v>0.3</v>
      </c>
      <c r="R209" s="2">
        <f>PasteHashtag!P209</f>
        <v>1.2</v>
      </c>
      <c r="S209" s="2">
        <f>Mid(PasteHashtag!H209,FIND("/",PasteHashtag!H209)+1,LEN(PasteHashtag!H209)-FIND("/",PasteHashtag!H209)-1)*1</f>
        <v>11</v>
      </c>
      <c r="T209" s="344">
        <f>Mid(PasteHashtag!I209,FIND("/",PasteHashtag!I209)+1,LEN(PasteHashtag!I209)-FIND("/",PasteHashtag!I209)-1)*1</f>
        <v>3</v>
      </c>
    </row>
    <row r="210">
      <c r="A210" s="2">
        <v>209.0</v>
      </c>
      <c r="B210" s="2" t="str">
        <f>PasteHashtag!B210</f>
        <v/>
      </c>
      <c r="C210" s="343" t="str">
        <f>PasteHashtag!C210</f>
        <v>Cason Wallace</v>
      </c>
      <c r="D210" s="2" t="str">
        <f>PasteHashtag!D210</f>
        <v>PG,SG</v>
      </c>
      <c r="E210" s="2" t="str">
        <f>PasteHashtag!E210</f>
        <v>OKC</v>
      </c>
      <c r="F210" s="2">
        <f>PasteHashtag!F210</f>
        <v>78</v>
      </c>
      <c r="G210" s="2">
        <f>PasteHashtag!G210</f>
        <v>22.1</v>
      </c>
      <c r="H210" s="2">
        <f>MID(PasteHashtag!H210,1+FIND("(",PasteHashtag!H210),FIND("/",PasteHashtag!H210)-FIND("(",PasteHashtag!H210)-1)*1</f>
        <v>2.9</v>
      </c>
      <c r="I210" s="2">
        <f>LEFT(PasteHashtag!H210,FIND("(",PasteHashtag!H210)-1)*1</f>
        <v>0.491</v>
      </c>
      <c r="J210" s="2">
        <f>MID(PasteHashtag!I210,1+FIND("(",PasteHashtag!I210),FIND("/",PasteHashtag!I210)-FIND("(",PasteHashtag!I210)-1)*1</f>
        <v>0.4</v>
      </c>
      <c r="K210" s="2">
        <f>LEFT(PasteHashtag!I210,FIND("(",PasteHashtag!I210)-1)*1</f>
        <v>0.776</v>
      </c>
      <c r="L210" s="2">
        <f>PasteHashtag!J210</f>
        <v>1.3</v>
      </c>
      <c r="M210" s="2">
        <f>PasteHashtag!K210</f>
        <v>7.4</v>
      </c>
      <c r="N210" s="2">
        <f>PasteHashtag!L210</f>
        <v>2.5</v>
      </c>
      <c r="O210" s="2">
        <f>PasteHashtag!M210</f>
        <v>1.6</v>
      </c>
      <c r="P210" s="2">
        <f>PasteHashtag!N210</f>
        <v>1</v>
      </c>
      <c r="Q210" s="2">
        <f>PasteHashtag!O210</f>
        <v>0.5</v>
      </c>
      <c r="R210" s="2">
        <f>PasteHashtag!P210</f>
        <v>0.6</v>
      </c>
      <c r="S210" s="2">
        <f>Mid(PasteHashtag!H210,FIND("/",PasteHashtag!H210)+1,LEN(PasteHashtag!H210)-FIND("/",PasteHashtag!H210)-1)*1</f>
        <v>5.8</v>
      </c>
      <c r="T210" s="344">
        <f>Mid(PasteHashtag!I210,FIND("/",PasteHashtag!I210)+1,LEN(PasteHashtag!I210)-FIND("/",PasteHashtag!I210)-1)*1</f>
        <v>0.5</v>
      </c>
    </row>
    <row r="211">
      <c r="A211" s="2">
        <v>210.0</v>
      </c>
      <c r="B211" s="2" t="str">
        <f>PasteHashtag!B211</f>
        <v/>
      </c>
      <c r="C211" s="343" t="str">
        <f>PasteHashtag!C211</f>
        <v>Nicolas Batum</v>
      </c>
      <c r="D211" s="2" t="str">
        <f>PasteHashtag!D211</f>
        <v>SF,PF</v>
      </c>
      <c r="E211" s="2" t="str">
        <f>PasteHashtag!E211</f>
        <v>LAC</v>
      </c>
      <c r="F211" s="2">
        <f>PasteHashtag!F211</f>
        <v>62</v>
      </c>
      <c r="G211" s="2">
        <f>PasteHashtag!G211</f>
        <v>24.8</v>
      </c>
      <c r="H211" s="2">
        <f>MID(PasteHashtag!H211,1+FIND("(",PasteHashtag!H211),FIND("/",PasteHashtag!H211)-FIND("(",PasteHashtag!H211)-1)*1</f>
        <v>2.1</v>
      </c>
      <c r="I211" s="2">
        <f>LEFT(PasteHashtag!H211,FIND("(",PasteHashtag!H211)-1)*1</f>
        <v>0.432</v>
      </c>
      <c r="J211" s="2">
        <f>MID(PasteHashtag!I211,1+FIND("(",PasteHashtag!I211),FIND("/",PasteHashtag!I211)-FIND("(",PasteHashtag!I211)-1)*1</f>
        <v>0.4</v>
      </c>
      <c r="K211" s="2">
        <f>LEFT(PasteHashtag!I211,FIND("(",PasteHashtag!I211)-1)*1</f>
        <v>0.717</v>
      </c>
      <c r="L211" s="2">
        <f>PasteHashtag!J211</f>
        <v>1.5</v>
      </c>
      <c r="M211" s="2">
        <f>PasteHashtag!K211</f>
        <v>6.2</v>
      </c>
      <c r="N211" s="2">
        <f>PasteHashtag!L211</f>
        <v>4.2</v>
      </c>
      <c r="O211" s="2">
        <f>PasteHashtag!M211</f>
        <v>1.9</v>
      </c>
      <c r="P211" s="2">
        <f>PasteHashtag!N211</f>
        <v>0.8</v>
      </c>
      <c r="Q211" s="2">
        <f>PasteHashtag!O211</f>
        <v>0.6</v>
      </c>
      <c r="R211" s="2">
        <f>PasteHashtag!P211</f>
        <v>0.7</v>
      </c>
      <c r="S211" s="2">
        <f>Mid(PasteHashtag!H211,FIND("/",PasteHashtag!H211)+1,LEN(PasteHashtag!H211)-FIND("/",PasteHashtag!H211)-1)*1</f>
        <v>4.9</v>
      </c>
      <c r="T211" s="344">
        <f>Mid(PasteHashtag!I211,FIND("/",PasteHashtag!I211)+1,LEN(PasteHashtag!I211)-FIND("/",PasteHashtag!I211)-1)*1</f>
        <v>0.5</v>
      </c>
    </row>
    <row r="212">
      <c r="A212" s="2">
        <v>211.0</v>
      </c>
      <c r="B212" s="2">
        <f>PasteHashtag!B212</f>
        <v>142.2</v>
      </c>
      <c r="C212" s="343" t="str">
        <f>PasteHashtag!C212</f>
        <v>Harrison Barnes</v>
      </c>
      <c r="D212" s="2" t="str">
        <f>PasteHashtag!D212</f>
        <v>SF,PF</v>
      </c>
      <c r="E212" s="2" t="str">
        <f>PasteHashtag!E212</f>
        <v>SA</v>
      </c>
      <c r="F212" s="2">
        <f>PasteHashtag!F212</f>
        <v>80</v>
      </c>
      <c r="G212" s="2">
        <f>PasteHashtag!G212</f>
        <v>27.3</v>
      </c>
      <c r="H212" s="2">
        <f>MID(PasteHashtag!H212,1+FIND("(",PasteHashtag!H212),FIND("/",PasteHashtag!H212)-FIND("(",PasteHashtag!H212)-1)*1</f>
        <v>4</v>
      </c>
      <c r="I212" s="2">
        <f>LEFT(PasteHashtag!H212,FIND("(",PasteHashtag!H212)-1)*1</f>
        <v>0.473</v>
      </c>
      <c r="J212" s="2">
        <f>MID(PasteHashtag!I212,1+FIND("(",PasteHashtag!I212),FIND("/",PasteHashtag!I212)-FIND("(",PasteHashtag!I212)-1)*1</f>
        <v>2.8</v>
      </c>
      <c r="K212" s="2">
        <f>LEFT(PasteHashtag!I212,FIND("(",PasteHashtag!I212)-1)*1</f>
        <v>0.832</v>
      </c>
      <c r="L212" s="2">
        <f>PasteHashtag!J212</f>
        <v>1.5</v>
      </c>
      <c r="M212" s="2">
        <f>PasteHashtag!K212</f>
        <v>12.2</v>
      </c>
      <c r="N212" s="2">
        <f>PasteHashtag!L212</f>
        <v>3.4</v>
      </c>
      <c r="O212" s="2">
        <f>PasteHashtag!M212</f>
        <v>1.2</v>
      </c>
      <c r="P212" s="2">
        <f>PasteHashtag!N212</f>
        <v>0.6</v>
      </c>
      <c r="Q212" s="2">
        <f>PasteHashtag!O212</f>
        <v>0.1</v>
      </c>
      <c r="R212" s="2">
        <f>PasteHashtag!P212</f>
        <v>0.8</v>
      </c>
      <c r="S212" s="2">
        <f>Mid(PasteHashtag!H212,FIND("/",PasteHashtag!H212)+1,LEN(PasteHashtag!H212)-FIND("/",PasteHashtag!H212)-1)*1</f>
        <v>8.4</v>
      </c>
      <c r="T212" s="344">
        <f>Mid(PasteHashtag!I212,FIND("/",PasteHashtag!I212)+1,LEN(PasteHashtag!I212)-FIND("/",PasteHashtag!I212)-1)*1</f>
        <v>3.3</v>
      </c>
    </row>
    <row r="213">
      <c r="A213" s="2">
        <v>212.0</v>
      </c>
      <c r="B213" s="2" t="str">
        <f>PasteHashtag!B213</f>
        <v/>
      </c>
      <c r="C213" s="343" t="str">
        <f>PasteHashtag!C213</f>
        <v>Larry Nance Jr.</v>
      </c>
      <c r="D213" s="2" t="str">
        <f>PasteHashtag!D213</f>
        <v>C</v>
      </c>
      <c r="E213" s="2" t="str">
        <f>PasteHashtag!E213</f>
        <v>ATL</v>
      </c>
      <c r="F213" s="2">
        <f>PasteHashtag!F213</f>
        <v>59</v>
      </c>
      <c r="G213" s="2">
        <f>PasteHashtag!G213</f>
        <v>18.6</v>
      </c>
      <c r="H213" s="2">
        <f>MID(PasteHashtag!H213,1+FIND("(",PasteHashtag!H213),FIND("/",PasteHashtag!H213)-FIND("(",PasteHashtag!H213)-1)*1</f>
        <v>2.4</v>
      </c>
      <c r="I213" s="2">
        <f>LEFT(PasteHashtag!H213,FIND("(",PasteHashtag!H213)-1)*1</f>
        <v>0.593</v>
      </c>
      <c r="J213" s="2">
        <f>MID(PasteHashtag!I213,1+FIND("(",PasteHashtag!I213),FIND("/",PasteHashtag!I213)-FIND("(",PasteHashtag!I213)-1)*1</f>
        <v>0.8</v>
      </c>
      <c r="K213" s="2">
        <f>LEFT(PasteHashtag!I213,FIND("(",PasteHashtag!I213)-1)*1</f>
        <v>0.745</v>
      </c>
      <c r="L213" s="2">
        <f>PasteHashtag!J213</f>
        <v>0.3</v>
      </c>
      <c r="M213" s="2">
        <f>PasteHashtag!K213</f>
        <v>5.9</v>
      </c>
      <c r="N213" s="2">
        <f>PasteHashtag!L213</f>
        <v>4.9</v>
      </c>
      <c r="O213" s="2">
        <f>PasteHashtag!M213</f>
        <v>1.7</v>
      </c>
      <c r="P213" s="2">
        <f>PasteHashtag!N213</f>
        <v>0.9</v>
      </c>
      <c r="Q213" s="2">
        <f>PasteHashtag!O213</f>
        <v>0.4</v>
      </c>
      <c r="R213" s="2">
        <f>PasteHashtag!P213</f>
        <v>0.7</v>
      </c>
      <c r="S213" s="2">
        <f>Mid(PasteHashtag!H213,FIND("/",PasteHashtag!H213)+1,LEN(PasteHashtag!H213)-FIND("/",PasteHashtag!H213)-1)*1</f>
        <v>4.1</v>
      </c>
      <c r="T213" s="344">
        <f>Mid(PasteHashtag!I213,FIND("/",PasteHashtag!I213)+1,LEN(PasteHashtag!I213)-FIND("/",PasteHashtag!I213)-1)*1</f>
        <v>1</v>
      </c>
    </row>
    <row r="214">
      <c r="A214" s="2">
        <v>213.0</v>
      </c>
      <c r="B214" s="2">
        <f>PasteHashtag!B214</f>
        <v>143</v>
      </c>
      <c r="C214" s="343" t="str">
        <f>PasteHashtag!C214</f>
        <v>Payton Pritchard</v>
      </c>
      <c r="D214" s="2" t="str">
        <f>PasteHashtag!D214</f>
        <v>PG</v>
      </c>
      <c r="E214" s="2" t="str">
        <f>PasteHashtag!E214</f>
        <v>BOS</v>
      </c>
      <c r="F214" s="2">
        <f>PasteHashtag!F214</f>
        <v>74</v>
      </c>
      <c r="G214" s="2">
        <f>PasteHashtag!G214</f>
        <v>24.3</v>
      </c>
      <c r="H214" s="2">
        <f>MID(PasteHashtag!H214,1+FIND("(",PasteHashtag!H214),FIND("/",PasteHashtag!H214)-FIND("(",PasteHashtag!H214)-1)*1</f>
        <v>4</v>
      </c>
      <c r="I214" s="2">
        <f>LEFT(PasteHashtag!H214,FIND("(",PasteHashtag!H214)-1)*1</f>
        <v>0.453</v>
      </c>
      <c r="J214" s="2">
        <f>MID(PasteHashtag!I214,1+FIND("(",PasteHashtag!I214),FIND("/",PasteHashtag!I214)-FIND("(",PasteHashtag!I214)-1)*1</f>
        <v>0.6</v>
      </c>
      <c r="K214" s="2">
        <f>LEFT(PasteHashtag!I214,FIND("(",PasteHashtag!I214)-1)*1</f>
        <v>0.806</v>
      </c>
      <c r="L214" s="2">
        <f>PasteHashtag!J214</f>
        <v>2</v>
      </c>
      <c r="M214" s="2">
        <f>PasteHashtag!K214</f>
        <v>10.5</v>
      </c>
      <c r="N214" s="2">
        <f>PasteHashtag!L214</f>
        <v>3.5</v>
      </c>
      <c r="O214" s="2">
        <f>PasteHashtag!M214</f>
        <v>3.4</v>
      </c>
      <c r="P214" s="2">
        <f>PasteHashtag!N214</f>
        <v>0.5</v>
      </c>
      <c r="Q214" s="2">
        <f>PasteHashtag!O214</f>
        <v>0.1</v>
      </c>
      <c r="R214" s="2">
        <f>PasteHashtag!P214</f>
        <v>1</v>
      </c>
      <c r="S214" s="2">
        <f>Mid(PasteHashtag!H214,FIND("/",PasteHashtag!H214)+1,LEN(PasteHashtag!H214)-FIND("/",PasteHashtag!H214)-1)*1</f>
        <v>8.8</v>
      </c>
      <c r="T214" s="344">
        <f>Mid(PasteHashtag!I214,FIND("/",PasteHashtag!I214)+1,LEN(PasteHashtag!I214)-FIND("/",PasteHashtag!I214)-1)*1</f>
        <v>0.7</v>
      </c>
    </row>
    <row r="215">
      <c r="A215" s="2">
        <v>214.0</v>
      </c>
      <c r="B215" s="2">
        <f>PasteHashtag!B215</f>
        <v>140.4</v>
      </c>
      <c r="C215" s="343" t="str">
        <f>PasteHashtag!C215</f>
        <v>Obi Toppin</v>
      </c>
      <c r="D215" s="2" t="str">
        <f>PasteHashtag!D215</f>
        <v>PF</v>
      </c>
      <c r="E215" s="2" t="str">
        <f>PasteHashtag!E215</f>
        <v>IND</v>
      </c>
      <c r="F215" s="2">
        <f>PasteHashtag!F215</f>
        <v>68</v>
      </c>
      <c r="G215" s="2">
        <f>PasteHashtag!G215</f>
        <v>20.6</v>
      </c>
      <c r="H215" s="2">
        <f>MID(PasteHashtag!H215,1+FIND("(",PasteHashtag!H215),FIND("/",PasteHashtag!H215)-FIND("(",PasteHashtag!H215)-1)*1</f>
        <v>3.8</v>
      </c>
      <c r="I215" s="2">
        <f>LEFT(PasteHashtag!H215,FIND("(",PasteHashtag!H215)-1)*1</f>
        <v>0.52</v>
      </c>
      <c r="J215" s="2">
        <f>MID(PasteHashtag!I215,1+FIND("(",PasteHashtag!I215),FIND("/",PasteHashtag!I215)-FIND("(",PasteHashtag!I215)-1)*1</f>
        <v>0.8</v>
      </c>
      <c r="K215" s="2">
        <f>LEFT(PasteHashtag!I215,FIND("(",PasteHashtag!I215)-1)*1</f>
        <v>0.792</v>
      </c>
      <c r="L215" s="2">
        <f>PasteHashtag!J215</f>
        <v>1.4</v>
      </c>
      <c r="M215" s="2">
        <f>PasteHashtag!K215</f>
        <v>9.7</v>
      </c>
      <c r="N215" s="2">
        <f>PasteHashtag!L215</f>
        <v>3.7</v>
      </c>
      <c r="O215" s="2">
        <f>PasteHashtag!M215</f>
        <v>1.4</v>
      </c>
      <c r="P215" s="2">
        <f>PasteHashtag!N215</f>
        <v>0.5</v>
      </c>
      <c r="Q215" s="2">
        <f>PasteHashtag!O215</f>
        <v>0.4</v>
      </c>
      <c r="R215" s="2">
        <f>PasteHashtag!P215</f>
        <v>0.8</v>
      </c>
      <c r="S215" s="2">
        <f>Mid(PasteHashtag!H215,FIND("/",PasteHashtag!H215)+1,LEN(PasteHashtag!H215)-FIND("/",PasteHashtag!H215)-1)*1</f>
        <v>7.3</v>
      </c>
      <c r="T215" s="344">
        <f>Mid(PasteHashtag!I215,FIND("/",PasteHashtag!I215)+1,LEN(PasteHashtag!I215)-FIND("/",PasteHashtag!I215)-1)*1</f>
        <v>1.1</v>
      </c>
    </row>
    <row r="216">
      <c r="A216" s="2">
        <v>215.0</v>
      </c>
      <c r="B216" s="2">
        <f>PasteHashtag!B216</f>
        <v>140</v>
      </c>
      <c r="C216" s="343" t="str">
        <f>PasteHashtag!C216</f>
        <v>Moritz Wagner</v>
      </c>
      <c r="D216" s="2" t="str">
        <f>PasteHashtag!D216</f>
        <v>C</v>
      </c>
      <c r="E216" s="2" t="str">
        <f>PasteHashtag!E216</f>
        <v>ORL</v>
      </c>
      <c r="F216" s="2">
        <f>PasteHashtag!F216</f>
        <v>67</v>
      </c>
      <c r="G216" s="2">
        <f>PasteHashtag!G216</f>
        <v>17.5</v>
      </c>
      <c r="H216" s="2">
        <f>MID(PasteHashtag!H216,1+FIND("(",PasteHashtag!H216),FIND("/",PasteHashtag!H216)-FIND("(",PasteHashtag!H216)-1)*1</f>
        <v>3.7</v>
      </c>
      <c r="I216" s="2">
        <f>LEFT(PasteHashtag!H216,FIND("(",PasteHashtag!H216)-1)*1</f>
        <v>0.56</v>
      </c>
      <c r="J216" s="2">
        <f>MID(PasteHashtag!I216,1+FIND("(",PasteHashtag!I216),FIND("/",PasteHashtag!I216)-FIND("(",PasteHashtag!I216)-1)*1</f>
        <v>2.2</v>
      </c>
      <c r="K216" s="2">
        <f>LEFT(PasteHashtag!I216,FIND("(",PasteHashtag!I216)-1)*1</f>
        <v>0.826</v>
      </c>
      <c r="L216" s="2">
        <f>PasteHashtag!J216</f>
        <v>0.6</v>
      </c>
      <c r="M216" s="2">
        <f>PasteHashtag!K216</f>
        <v>10.3</v>
      </c>
      <c r="N216" s="2">
        <f>PasteHashtag!L216</f>
        <v>4.2</v>
      </c>
      <c r="O216" s="2">
        <f>PasteHashtag!M216</f>
        <v>1.3</v>
      </c>
      <c r="P216" s="2">
        <f>PasteHashtag!N216</f>
        <v>0.5</v>
      </c>
      <c r="Q216" s="2">
        <f>PasteHashtag!O216</f>
        <v>0.2</v>
      </c>
      <c r="R216" s="2">
        <f>PasteHashtag!P216</f>
        <v>1.2</v>
      </c>
      <c r="S216" s="2">
        <f>Mid(PasteHashtag!H216,FIND("/",PasteHashtag!H216)+1,LEN(PasteHashtag!H216)-FIND("/",PasteHashtag!H216)-1)*1</f>
        <v>6.6</v>
      </c>
      <c r="T216" s="344">
        <f>Mid(PasteHashtag!I216,FIND("/",PasteHashtag!I216)+1,LEN(PasteHashtag!I216)-FIND("/",PasteHashtag!I216)-1)*1</f>
        <v>2.7</v>
      </c>
    </row>
    <row r="217">
      <c r="A217" s="2">
        <v>216.0</v>
      </c>
      <c r="B217" s="2" t="str">
        <f>PasteHashtag!B217</f>
        <v/>
      </c>
      <c r="C217" s="343" t="str">
        <f>PasteHashtag!C217</f>
        <v>Santi Aldama</v>
      </c>
      <c r="D217" s="2" t="str">
        <f>PasteHashtag!D217</f>
        <v>PF,C</v>
      </c>
      <c r="E217" s="2" t="str">
        <f>PasteHashtag!E217</f>
        <v>MEM</v>
      </c>
      <c r="F217" s="2">
        <f>PasteHashtag!F217</f>
        <v>64</v>
      </c>
      <c r="G217" s="2">
        <f>PasteHashtag!G217</f>
        <v>22.8</v>
      </c>
      <c r="H217" s="2">
        <f>MID(PasteHashtag!H217,1+FIND("(",PasteHashtag!H217),FIND("/",PasteHashtag!H217)-FIND("(",PasteHashtag!H217)-1)*1</f>
        <v>3.5</v>
      </c>
      <c r="I217" s="2">
        <f>LEFT(PasteHashtag!H217,FIND("(",PasteHashtag!H217)-1)*1</f>
        <v>0.452</v>
      </c>
      <c r="J217" s="2">
        <f>MID(PasteHashtag!I217,1+FIND("(",PasteHashtag!I217),FIND("/",PasteHashtag!I217)-FIND("(",PasteHashtag!I217)-1)*1</f>
        <v>1.1</v>
      </c>
      <c r="K217" s="2">
        <f>LEFT(PasteHashtag!I217,FIND("(",PasteHashtag!I217)-1)*1</f>
        <v>0.702</v>
      </c>
      <c r="L217" s="2">
        <f>PasteHashtag!J217</f>
        <v>1.4</v>
      </c>
      <c r="M217" s="2">
        <f>PasteHashtag!K217</f>
        <v>9.4</v>
      </c>
      <c r="N217" s="2">
        <f>PasteHashtag!L217</f>
        <v>5.1</v>
      </c>
      <c r="O217" s="2">
        <f>PasteHashtag!M217</f>
        <v>1.6</v>
      </c>
      <c r="P217" s="2">
        <f>PasteHashtag!N217</f>
        <v>0.6</v>
      </c>
      <c r="Q217" s="2">
        <f>PasteHashtag!O217</f>
        <v>0.7</v>
      </c>
      <c r="R217" s="2">
        <f>PasteHashtag!P217</f>
        <v>0.9</v>
      </c>
      <c r="S217" s="2">
        <f>Mid(PasteHashtag!H217,FIND("/",PasteHashtag!H217)+1,LEN(PasteHashtag!H217)-FIND("/",PasteHashtag!H217)-1)*1</f>
        <v>7.6</v>
      </c>
      <c r="T217" s="344">
        <f>Mid(PasteHashtag!I217,FIND("/",PasteHashtag!I217)+1,LEN(PasteHashtag!I217)-FIND("/",PasteHashtag!I217)-1)*1</f>
        <v>1.6</v>
      </c>
    </row>
    <row r="218">
      <c r="A218" s="2">
        <v>217.0</v>
      </c>
      <c r="B218" s="2" t="str">
        <f>PasteHashtag!B218</f>
        <v/>
      </c>
      <c r="C218" s="343" t="str">
        <f>PasteHashtag!C218</f>
        <v>Matisse Thybulle</v>
      </c>
      <c r="D218" s="2" t="str">
        <f>PasteHashtag!D218</f>
        <v>SG,SF</v>
      </c>
      <c r="E218" s="2" t="str">
        <f>PasteHashtag!E218</f>
        <v>POR</v>
      </c>
      <c r="F218" s="2">
        <f>PasteHashtag!F218</f>
        <v>63</v>
      </c>
      <c r="G218" s="2">
        <f>PasteHashtag!G218</f>
        <v>20</v>
      </c>
      <c r="H218" s="2">
        <f>MID(PasteHashtag!H218,1+FIND("(",PasteHashtag!H218),FIND("/",PasteHashtag!H218)-FIND("(",PasteHashtag!H218)-1)*1</f>
        <v>1.8</v>
      </c>
      <c r="I218" s="2">
        <f>LEFT(PasteHashtag!H218,FIND("(",PasteHashtag!H218)-1)*1</f>
        <v>0.414</v>
      </c>
      <c r="J218" s="2">
        <f>MID(PasteHashtag!I218,1+FIND("(",PasteHashtag!I218),FIND("/",PasteHashtag!I218)-FIND("(",PasteHashtag!I218)-1)*1</f>
        <v>0.3</v>
      </c>
      <c r="K218" s="2">
        <f>LEFT(PasteHashtag!I218,FIND("(",PasteHashtag!I218)-1)*1</f>
        <v>0.721</v>
      </c>
      <c r="L218" s="2">
        <f>PasteHashtag!J218</f>
        <v>1</v>
      </c>
      <c r="M218" s="2">
        <f>PasteHashtag!K218</f>
        <v>4.9</v>
      </c>
      <c r="N218" s="2">
        <f>PasteHashtag!L218</f>
        <v>2.1</v>
      </c>
      <c r="O218" s="2">
        <f>PasteHashtag!M218</f>
        <v>1.1</v>
      </c>
      <c r="P218" s="2">
        <f>PasteHashtag!N218</f>
        <v>1.5</v>
      </c>
      <c r="Q218" s="2">
        <f>PasteHashtag!O218</f>
        <v>0.6</v>
      </c>
      <c r="R218" s="2">
        <f>PasteHashtag!P218</f>
        <v>0.5</v>
      </c>
      <c r="S218" s="2">
        <f>Mid(PasteHashtag!H218,FIND("/",PasteHashtag!H218)+1,LEN(PasteHashtag!H218)-FIND("/",PasteHashtag!H218)-1)*1</f>
        <v>4.3</v>
      </c>
      <c r="T218" s="344">
        <f>Mid(PasteHashtag!I218,FIND("/",PasteHashtag!I218)+1,LEN(PasteHashtag!I218)-FIND("/",PasteHashtag!I218)-1)*1</f>
        <v>0.4</v>
      </c>
    </row>
    <row r="219">
      <c r="A219" s="2">
        <v>218.0</v>
      </c>
      <c r="B219" s="2" t="str">
        <f>PasteHashtag!B219</f>
        <v/>
      </c>
      <c r="C219" s="343" t="str">
        <f>PasteHashtag!C219</f>
        <v>Robert Williams III</v>
      </c>
      <c r="D219" s="2" t="str">
        <f>PasteHashtag!D219</f>
        <v>C</v>
      </c>
      <c r="E219" s="2" t="str">
        <f>PasteHashtag!E219</f>
        <v>POR</v>
      </c>
      <c r="F219" s="2">
        <f>PasteHashtag!F219</f>
        <v>38</v>
      </c>
      <c r="G219" s="2">
        <f>PasteHashtag!G219</f>
        <v>15.4</v>
      </c>
      <c r="H219" s="2">
        <f>MID(PasteHashtag!H219,1+FIND("(",PasteHashtag!H219),FIND("/",PasteHashtag!H219)-FIND("(",PasteHashtag!H219)-1)*1</f>
        <v>2.4</v>
      </c>
      <c r="I219" s="2">
        <f>LEFT(PasteHashtag!H219,FIND("(",PasteHashtag!H219)-1)*1</f>
        <v>0.737</v>
      </c>
      <c r="J219" s="2">
        <f>MID(PasteHashtag!I219,1+FIND("(",PasteHashtag!I219),FIND("/",PasteHashtag!I219)-FIND("(",PasteHashtag!I219)-1)*1</f>
        <v>0.5</v>
      </c>
      <c r="K219" s="2">
        <f>LEFT(PasteHashtag!I219,FIND("(",PasteHashtag!I219)-1)*1</f>
        <v>0.639</v>
      </c>
      <c r="L219" s="2">
        <f>PasteHashtag!J219</f>
        <v>0</v>
      </c>
      <c r="M219" s="2">
        <f>PasteHashtag!K219</f>
        <v>5.3</v>
      </c>
      <c r="N219" s="2">
        <f>PasteHashtag!L219</f>
        <v>5.5</v>
      </c>
      <c r="O219" s="2">
        <f>PasteHashtag!M219</f>
        <v>0.9</v>
      </c>
      <c r="P219" s="2">
        <f>PasteHashtag!N219</f>
        <v>0.5</v>
      </c>
      <c r="Q219" s="2">
        <f>PasteHashtag!O219</f>
        <v>0.9</v>
      </c>
      <c r="R219" s="2">
        <f>PasteHashtag!P219</f>
        <v>0.7</v>
      </c>
      <c r="S219" s="2">
        <f>Mid(PasteHashtag!H219,FIND("/",PasteHashtag!H219)+1,LEN(PasteHashtag!H219)-FIND("/",PasteHashtag!H219)-1)*1</f>
        <v>3.2</v>
      </c>
      <c r="T219" s="344">
        <f>Mid(PasteHashtag!I219,FIND("/",PasteHashtag!I219)+1,LEN(PasteHashtag!I219)-FIND("/",PasteHashtag!I219)-1)*1</f>
        <v>0.8</v>
      </c>
    </row>
    <row r="220">
      <c r="A220" s="2">
        <v>219.0</v>
      </c>
      <c r="B220" s="2" t="str">
        <f>PasteHashtag!B220</f>
        <v/>
      </c>
      <c r="C220" s="343" t="str">
        <f>PasteHashtag!C220</f>
        <v>Taurean Prince</v>
      </c>
      <c r="D220" s="2" t="str">
        <f>PasteHashtag!D220</f>
        <v>SG,SF</v>
      </c>
      <c r="E220" s="2" t="str">
        <f>PasteHashtag!E220</f>
        <v>MIL</v>
      </c>
      <c r="F220" s="2">
        <f>PasteHashtag!F220</f>
        <v>68</v>
      </c>
      <c r="G220" s="2">
        <f>PasteHashtag!G220</f>
        <v>27.1</v>
      </c>
      <c r="H220" s="2">
        <f>MID(PasteHashtag!H220,1+FIND("(",PasteHashtag!H220),FIND("/",PasteHashtag!H220)-FIND("(",PasteHashtag!H220)-1)*1</f>
        <v>3.6</v>
      </c>
      <c r="I220" s="2">
        <f>LEFT(PasteHashtag!H220,FIND("(",PasteHashtag!H220)-1)*1</f>
        <v>0.453</v>
      </c>
      <c r="J220" s="2">
        <f>MID(PasteHashtag!I220,1+FIND("(",PasteHashtag!I220),FIND("/",PasteHashtag!I220)-FIND("(",PasteHashtag!I220)-1)*1</f>
        <v>1</v>
      </c>
      <c r="K220" s="2">
        <f>LEFT(PasteHashtag!I220,FIND("(",PasteHashtag!I220)-1)*1</f>
        <v>0.792</v>
      </c>
      <c r="L220" s="2">
        <f>PasteHashtag!J220</f>
        <v>1.8</v>
      </c>
      <c r="M220" s="2">
        <f>PasteHashtag!K220</f>
        <v>9.8</v>
      </c>
      <c r="N220" s="2">
        <f>PasteHashtag!L220</f>
        <v>3</v>
      </c>
      <c r="O220" s="2">
        <f>PasteHashtag!M220</f>
        <v>1.7</v>
      </c>
      <c r="P220" s="2">
        <f>PasteHashtag!N220</f>
        <v>0.7</v>
      </c>
      <c r="Q220" s="2">
        <f>PasteHashtag!O220</f>
        <v>0.4</v>
      </c>
      <c r="R220" s="2">
        <f>PasteHashtag!P220</f>
        <v>1.2</v>
      </c>
      <c r="S220" s="2">
        <f>Mid(PasteHashtag!H220,FIND("/",PasteHashtag!H220)+1,LEN(PasteHashtag!H220)-FIND("/",PasteHashtag!H220)-1)*1</f>
        <v>7.9</v>
      </c>
      <c r="T220" s="344">
        <f>Mid(PasteHashtag!I220,FIND("/",PasteHashtag!I220)+1,LEN(PasteHashtag!I220)-FIND("/",PasteHashtag!I220)-1)*1</f>
        <v>1.2</v>
      </c>
    </row>
    <row r="221">
      <c r="A221" s="2">
        <v>220.0</v>
      </c>
      <c r="B221" s="2" t="str">
        <f>PasteHashtag!B221</f>
        <v/>
      </c>
      <c r="C221" s="343" t="str">
        <f>PasteHashtag!C221</f>
        <v>Spencer Dinwiddie</v>
      </c>
      <c r="D221" s="2" t="str">
        <f>PasteHashtag!D221</f>
        <v>PG,SG</v>
      </c>
      <c r="E221" s="2" t="str">
        <f>PasteHashtag!E221</f>
        <v>DAL</v>
      </c>
      <c r="F221" s="2">
        <f>PasteHashtag!F221</f>
        <v>74</v>
      </c>
      <c r="G221" s="2">
        <f>PasteHashtag!G221</f>
        <v>24.2</v>
      </c>
      <c r="H221" s="2">
        <f>MID(PasteHashtag!H221,1+FIND("(",PasteHashtag!H221),FIND("/",PasteHashtag!H221)-FIND("(",PasteHashtag!H221)-1)*1</f>
        <v>3.6</v>
      </c>
      <c r="I221" s="2">
        <f>LEFT(PasteHashtag!H221,FIND("(",PasteHashtag!H221)-1)*1</f>
        <v>0.421</v>
      </c>
      <c r="J221" s="2">
        <f>MID(PasteHashtag!I221,1+FIND("(",PasteHashtag!I221),FIND("/",PasteHashtag!I221)-FIND("(",PasteHashtag!I221)-1)*1</f>
        <v>2.2</v>
      </c>
      <c r="K221" s="2">
        <f>LEFT(PasteHashtag!I221,FIND("(",PasteHashtag!I221)-1)*1</f>
        <v>0.809</v>
      </c>
      <c r="L221" s="2">
        <f>PasteHashtag!J221</f>
        <v>1.5</v>
      </c>
      <c r="M221" s="2">
        <f>PasteHashtag!K221</f>
        <v>10.9</v>
      </c>
      <c r="N221" s="2">
        <f>PasteHashtag!L221</f>
        <v>2.4</v>
      </c>
      <c r="O221" s="2">
        <f>PasteHashtag!M221</f>
        <v>4.4</v>
      </c>
      <c r="P221" s="2">
        <f>PasteHashtag!N221</f>
        <v>0.6</v>
      </c>
      <c r="Q221" s="2">
        <f>PasteHashtag!O221</f>
        <v>0.2</v>
      </c>
      <c r="R221" s="2">
        <f>PasteHashtag!P221</f>
        <v>1.2</v>
      </c>
      <c r="S221" s="2">
        <f>Mid(PasteHashtag!H221,FIND("/",PasteHashtag!H221)+1,LEN(PasteHashtag!H221)-FIND("/",PasteHashtag!H221)-1)*1</f>
        <v>8.5</v>
      </c>
      <c r="T221" s="344">
        <f>Mid(PasteHashtag!I221,FIND("/",PasteHashtag!I221)+1,LEN(PasteHashtag!I221)-FIND("/",PasteHashtag!I221)-1)*1</f>
        <v>2.7</v>
      </c>
    </row>
    <row r="222">
      <c r="A222" s="2">
        <v>221.0</v>
      </c>
      <c r="B222" s="2">
        <f>PasteHashtag!B222</f>
        <v>138.6</v>
      </c>
      <c r="C222" s="343" t="str">
        <f>PasteHashtag!C222</f>
        <v>Dillon Brooks</v>
      </c>
      <c r="D222" s="2" t="str">
        <f>PasteHashtag!D222</f>
        <v>SG,SF</v>
      </c>
      <c r="E222" s="2" t="str">
        <f>PasteHashtag!E222</f>
        <v>HOU</v>
      </c>
      <c r="F222" s="2">
        <f>PasteHashtag!F222</f>
        <v>70</v>
      </c>
      <c r="G222" s="2">
        <f>PasteHashtag!G222</f>
        <v>29</v>
      </c>
      <c r="H222" s="2">
        <f>MID(PasteHashtag!H222,1+FIND("(",PasteHashtag!H222),FIND("/",PasteHashtag!H222)-FIND("(",PasteHashtag!H222)-1)*1</f>
        <v>4.8</v>
      </c>
      <c r="I222" s="2">
        <f>LEFT(PasteHashtag!H222,FIND("(",PasteHashtag!H222)-1)*1</f>
        <v>0.425</v>
      </c>
      <c r="J222" s="2">
        <f>MID(PasteHashtag!I222,1+FIND("(",PasteHashtag!I222),FIND("/",PasteHashtag!I222)-FIND("(",PasteHashtag!I222)-1)*1</f>
        <v>1.6</v>
      </c>
      <c r="K222" s="2">
        <f>LEFT(PasteHashtag!I222,FIND("(",PasteHashtag!I222)-1)*1</f>
        <v>0.809</v>
      </c>
      <c r="L222" s="2">
        <f>PasteHashtag!J222</f>
        <v>1.8</v>
      </c>
      <c r="M222" s="2">
        <f>PasteHashtag!K222</f>
        <v>13</v>
      </c>
      <c r="N222" s="2">
        <f>PasteHashtag!L222</f>
        <v>3.2</v>
      </c>
      <c r="O222" s="2">
        <f>PasteHashtag!M222</f>
        <v>2</v>
      </c>
      <c r="P222" s="2">
        <f>PasteHashtag!N222</f>
        <v>0.9</v>
      </c>
      <c r="Q222" s="2">
        <f>PasteHashtag!O222</f>
        <v>0.2</v>
      </c>
      <c r="R222" s="2">
        <f>PasteHashtag!P222</f>
        <v>1.3</v>
      </c>
      <c r="S222" s="2">
        <f>Mid(PasteHashtag!H222,FIND("/",PasteHashtag!H222)+1,LEN(PasteHashtag!H222)-FIND("/",PasteHashtag!H222)-1)*1</f>
        <v>11.2</v>
      </c>
      <c r="T222" s="344">
        <f>Mid(PasteHashtag!I222,FIND("/",PasteHashtag!I222)+1,LEN(PasteHashtag!I222)-FIND("/",PasteHashtag!I222)-1)*1</f>
        <v>2</v>
      </c>
    </row>
    <row r="223">
      <c r="A223" s="2">
        <v>222.0</v>
      </c>
      <c r="B223" s="2" t="str">
        <f>PasteHashtag!B223</f>
        <v/>
      </c>
      <c r="C223" s="343" t="str">
        <f>PasteHashtag!C223</f>
        <v>John Konchar</v>
      </c>
      <c r="D223" s="2" t="str">
        <f>PasteHashtag!D223</f>
        <v>SG,SF</v>
      </c>
      <c r="E223" s="2" t="str">
        <f>PasteHashtag!E223</f>
        <v>MEM</v>
      </c>
      <c r="F223" s="2">
        <f>PasteHashtag!F223</f>
        <v>64</v>
      </c>
      <c r="G223" s="2">
        <f>PasteHashtag!G223</f>
        <v>20.7</v>
      </c>
      <c r="H223" s="2">
        <f>MID(PasteHashtag!H223,1+FIND("(",PasteHashtag!H223),FIND("/",PasteHashtag!H223)-FIND("(",PasteHashtag!H223)-1)*1</f>
        <v>1.8</v>
      </c>
      <c r="I223" s="2">
        <f>LEFT(PasteHashtag!H223,FIND("(",PasteHashtag!H223)-1)*1</f>
        <v>0.428</v>
      </c>
      <c r="J223" s="2">
        <f>MID(PasteHashtag!I223,1+FIND("(",PasteHashtag!I223),FIND("/",PasteHashtag!I223)-FIND("(",PasteHashtag!I223)-1)*1</f>
        <v>0.4</v>
      </c>
      <c r="K223" s="2">
        <f>LEFT(PasteHashtag!I223,FIND("(",PasteHashtag!I223)-1)*1</f>
        <v>0.792</v>
      </c>
      <c r="L223" s="2">
        <f>PasteHashtag!J223</f>
        <v>0.8</v>
      </c>
      <c r="M223" s="2">
        <f>PasteHashtag!K223</f>
        <v>4.7</v>
      </c>
      <c r="N223" s="2">
        <f>PasteHashtag!L223</f>
        <v>4.4</v>
      </c>
      <c r="O223" s="2">
        <f>PasteHashtag!M223</f>
        <v>1.7</v>
      </c>
      <c r="P223" s="2">
        <f>PasteHashtag!N223</f>
        <v>1</v>
      </c>
      <c r="Q223" s="2">
        <f>PasteHashtag!O223</f>
        <v>0.6</v>
      </c>
      <c r="R223" s="2">
        <f>PasteHashtag!P223</f>
        <v>0.7</v>
      </c>
      <c r="S223" s="2">
        <f>Mid(PasteHashtag!H223,FIND("/",PasteHashtag!H223)+1,LEN(PasteHashtag!H223)-FIND("/",PasteHashtag!H223)-1)*1</f>
        <v>4.1</v>
      </c>
      <c r="T223" s="344">
        <f>Mid(PasteHashtag!I223,FIND("/",PasteHashtag!I223)+1,LEN(PasteHashtag!I223)-FIND("/",PasteHashtag!I223)-1)*1</f>
        <v>0.5</v>
      </c>
    </row>
    <row r="224">
      <c r="A224" s="2">
        <v>223.0</v>
      </c>
      <c r="B224" s="2" t="str">
        <f>PasteHashtag!B224</f>
        <v/>
      </c>
      <c r="C224" s="343" t="str">
        <f>PasteHashtag!C224</f>
        <v>Royce O'Neale</v>
      </c>
      <c r="D224" s="2" t="str">
        <f>PasteHashtag!D224</f>
        <v>SF,PF</v>
      </c>
      <c r="E224" s="2" t="str">
        <f>PasteHashtag!E224</f>
        <v>PHO</v>
      </c>
      <c r="F224" s="2">
        <f>PasteHashtag!F224</f>
        <v>76</v>
      </c>
      <c r="G224" s="2">
        <f>PasteHashtag!G224</f>
        <v>24.2</v>
      </c>
      <c r="H224" s="2">
        <f>MID(PasteHashtag!H224,1+FIND("(",PasteHashtag!H224),FIND("/",PasteHashtag!H224)-FIND("(",PasteHashtag!H224)-1)*1</f>
        <v>2.5</v>
      </c>
      <c r="I224" s="2">
        <f>LEFT(PasteHashtag!H224,FIND("(",PasteHashtag!H224)-1)*1</f>
        <v>0.391</v>
      </c>
      <c r="J224" s="2">
        <f>MID(PasteHashtag!I224,1+FIND("(",PasteHashtag!I224),FIND("/",PasteHashtag!I224)-FIND("(",PasteHashtag!I224)-1)*1</f>
        <v>0.4</v>
      </c>
      <c r="K224" s="2">
        <f>LEFT(PasteHashtag!I224,FIND("(",PasteHashtag!I224)-1)*1</f>
        <v>0.707</v>
      </c>
      <c r="L224" s="2">
        <f>PasteHashtag!J224</f>
        <v>1.8</v>
      </c>
      <c r="M224" s="2">
        <f>PasteHashtag!K224</f>
        <v>7.2</v>
      </c>
      <c r="N224" s="2">
        <f>PasteHashtag!L224</f>
        <v>4.3</v>
      </c>
      <c r="O224" s="2">
        <f>PasteHashtag!M224</f>
        <v>2.8</v>
      </c>
      <c r="P224" s="2">
        <f>PasteHashtag!N224</f>
        <v>0.7</v>
      </c>
      <c r="Q224" s="2">
        <f>PasteHashtag!O224</f>
        <v>0.5</v>
      </c>
      <c r="R224" s="2">
        <f>PasteHashtag!P224</f>
        <v>1.1</v>
      </c>
      <c r="S224" s="2">
        <f>Mid(PasteHashtag!H224,FIND("/",PasteHashtag!H224)+1,LEN(PasteHashtag!H224)-FIND("/",PasteHashtag!H224)-1)*1</f>
        <v>6.3</v>
      </c>
      <c r="T224" s="344">
        <f>Mid(PasteHashtag!I224,FIND("/",PasteHashtag!I224)+1,LEN(PasteHashtag!I224)-FIND("/",PasteHashtag!I224)-1)*1</f>
        <v>0.6</v>
      </c>
    </row>
    <row r="225">
      <c r="A225" s="2">
        <v>224.0</v>
      </c>
      <c r="B225" s="2">
        <f>PasteHashtag!B225</f>
        <v>142.2</v>
      </c>
      <c r="C225" s="343" t="str">
        <f>PasteHashtag!C225</f>
        <v>Kyle Anderson</v>
      </c>
      <c r="D225" s="2" t="str">
        <f>PasteHashtag!D225</f>
        <v>SF,PF</v>
      </c>
      <c r="E225" s="2" t="str">
        <f>PasteHashtag!E225</f>
        <v>GS</v>
      </c>
      <c r="F225" s="2">
        <f>PasteHashtag!F225</f>
        <v>69</v>
      </c>
      <c r="G225" s="2">
        <f>PasteHashtag!G225</f>
        <v>20.5</v>
      </c>
      <c r="H225" s="2">
        <f>MID(PasteHashtag!H225,1+FIND("(",PasteHashtag!H225),FIND("/",PasteHashtag!H225)-FIND("(",PasteHashtag!H225)-1)*1</f>
        <v>2.5</v>
      </c>
      <c r="I225" s="2">
        <f>LEFT(PasteHashtag!H225,FIND("(",PasteHashtag!H225)-1)*1</f>
        <v>0.486</v>
      </c>
      <c r="J225" s="2">
        <f>MID(PasteHashtag!I225,1+FIND("(",PasteHashtag!I225),FIND("/",PasteHashtag!I225)-FIND("(",PasteHashtag!I225)-1)*1</f>
        <v>1.1</v>
      </c>
      <c r="K225" s="2">
        <f>LEFT(PasteHashtag!I225,FIND("(",PasteHashtag!I225)-1)*1</f>
        <v>0.724</v>
      </c>
      <c r="L225" s="2">
        <f>PasteHashtag!J225</f>
        <v>0.3</v>
      </c>
      <c r="M225" s="2">
        <f>PasteHashtag!K225</f>
        <v>6.4</v>
      </c>
      <c r="N225" s="2">
        <f>PasteHashtag!L225</f>
        <v>3.6</v>
      </c>
      <c r="O225" s="2">
        <f>PasteHashtag!M225</f>
        <v>3.7</v>
      </c>
      <c r="P225" s="2">
        <f>PasteHashtag!N225</f>
        <v>0.8</v>
      </c>
      <c r="Q225" s="2">
        <f>PasteHashtag!O225</f>
        <v>0.6</v>
      </c>
      <c r="R225" s="2">
        <f>PasteHashtag!P225</f>
        <v>1.1</v>
      </c>
      <c r="S225" s="2">
        <f>Mid(PasteHashtag!H225,FIND("/",PasteHashtag!H225)+1,LEN(PasteHashtag!H225)-FIND("/",PasteHashtag!H225)-1)*1</f>
        <v>5.2</v>
      </c>
      <c r="T225" s="344">
        <f>Mid(PasteHashtag!I225,FIND("/",PasteHashtag!I225)+1,LEN(PasteHashtag!I225)-FIND("/",PasteHashtag!I225)-1)*1</f>
        <v>1.5</v>
      </c>
    </row>
    <row r="226">
      <c r="A226" s="2">
        <v>225.0</v>
      </c>
      <c r="B226" s="2" t="str">
        <f>PasteHashtag!B226</f>
        <v/>
      </c>
      <c r="C226" s="343" t="str">
        <f>PasteHashtag!C226</f>
        <v>Luke Kornet</v>
      </c>
      <c r="D226" s="2" t="str">
        <f>PasteHashtag!D226</f>
        <v>C</v>
      </c>
      <c r="E226" s="2" t="str">
        <f>PasteHashtag!E226</f>
        <v>BOS</v>
      </c>
      <c r="F226" s="2">
        <f>PasteHashtag!F226</f>
        <v>67</v>
      </c>
      <c r="G226" s="2">
        <f>PasteHashtag!G226</f>
        <v>15.6</v>
      </c>
      <c r="H226" s="2">
        <f>MID(PasteHashtag!H226,1+FIND("(",PasteHashtag!H226),FIND("/",PasteHashtag!H226)-FIND("(",PasteHashtag!H226)-1)*1</f>
        <v>2.3</v>
      </c>
      <c r="I226" s="2">
        <f>LEFT(PasteHashtag!H226,FIND("(",PasteHashtag!H226)-1)*1</f>
        <v>0.684</v>
      </c>
      <c r="J226" s="2">
        <f>MID(PasteHashtag!I226,1+FIND("(",PasteHashtag!I226),FIND("/",PasteHashtag!I226)-FIND("(",PasteHashtag!I226)-1)*1</f>
        <v>0.7</v>
      </c>
      <c r="K226" s="2">
        <f>LEFT(PasteHashtag!I226,FIND("(",PasteHashtag!I226)-1)*1</f>
        <v>0.866</v>
      </c>
      <c r="L226" s="2">
        <f>PasteHashtag!J226</f>
        <v>0</v>
      </c>
      <c r="M226" s="2">
        <f>PasteHashtag!K226</f>
        <v>5.3</v>
      </c>
      <c r="N226" s="2">
        <f>PasteHashtag!L226</f>
        <v>4</v>
      </c>
      <c r="O226" s="2">
        <f>PasteHashtag!M226</f>
        <v>1.1</v>
      </c>
      <c r="P226" s="2">
        <f>PasteHashtag!N226</f>
        <v>0.3</v>
      </c>
      <c r="Q226" s="2">
        <f>PasteHashtag!O226</f>
        <v>0.9</v>
      </c>
      <c r="R226" s="2">
        <f>PasteHashtag!P226</f>
        <v>0.4</v>
      </c>
      <c r="S226" s="2">
        <f>Mid(PasteHashtag!H226,FIND("/",PasteHashtag!H226)+1,LEN(PasteHashtag!H226)-FIND("/",PasteHashtag!H226)-1)*1</f>
        <v>3.3</v>
      </c>
      <c r="T226" s="344">
        <f>Mid(PasteHashtag!I226,FIND("/",PasteHashtag!I226)+1,LEN(PasteHashtag!I226)-FIND("/",PasteHashtag!I226)-1)*1</f>
        <v>0.8</v>
      </c>
    </row>
    <row r="227">
      <c r="A227" s="2">
        <v>226.0</v>
      </c>
      <c r="B227" s="2">
        <f>PasteHashtag!B227</f>
        <v>144.4</v>
      </c>
      <c r="C227" s="343" t="str">
        <f>PasteHashtag!C227</f>
        <v>Bojan Bogdanovic</v>
      </c>
      <c r="D227" s="2" t="str">
        <f>PasteHashtag!D227</f>
        <v>SF,PF</v>
      </c>
      <c r="E227" s="2" t="str">
        <f>PasteHashtag!E227</f>
        <v>BKN</v>
      </c>
      <c r="F227" s="2">
        <f>PasteHashtag!F227</f>
        <v>62</v>
      </c>
      <c r="G227" s="2">
        <f>PasteHashtag!G227</f>
        <v>26.9</v>
      </c>
      <c r="H227" s="2">
        <f>MID(PasteHashtag!H227,1+FIND("(",PasteHashtag!H227),FIND("/",PasteHashtag!H227)-FIND("(",PasteHashtag!H227)-1)*1</f>
        <v>5.8</v>
      </c>
      <c r="I227" s="2">
        <f>LEFT(PasteHashtag!H227,FIND("(",PasteHashtag!H227)-1)*1</f>
        <v>0.449</v>
      </c>
      <c r="J227" s="2">
        <f>MID(PasteHashtag!I227,1+FIND("(",PasteHashtag!I227),FIND("/",PasteHashtag!I227)-FIND("(",PasteHashtag!I227)-1)*1</f>
        <v>2.8</v>
      </c>
      <c r="K227" s="2">
        <f>LEFT(PasteHashtag!I227,FIND("(",PasteHashtag!I227)-1)*1</f>
        <v>0.793</v>
      </c>
      <c r="L227" s="2">
        <f>PasteHashtag!J227</f>
        <v>2.2</v>
      </c>
      <c r="M227" s="2">
        <f>PasteHashtag!K227</f>
        <v>16.5</v>
      </c>
      <c r="N227" s="2">
        <f>PasteHashtag!L227</f>
        <v>2.9</v>
      </c>
      <c r="O227" s="2">
        <f>PasteHashtag!M227</f>
        <v>1.9</v>
      </c>
      <c r="P227" s="2">
        <f>PasteHashtag!N227</f>
        <v>0.5</v>
      </c>
      <c r="Q227" s="2">
        <f>PasteHashtag!O227</f>
        <v>0.1</v>
      </c>
      <c r="R227" s="2">
        <f>PasteHashtag!P227</f>
        <v>1.8</v>
      </c>
      <c r="S227" s="2">
        <f>Mid(PasteHashtag!H227,FIND("/",PasteHashtag!H227)+1,LEN(PasteHashtag!H227)-FIND("/",PasteHashtag!H227)-1)*1</f>
        <v>12.8</v>
      </c>
      <c r="T227" s="344">
        <f>Mid(PasteHashtag!I227,FIND("/",PasteHashtag!I227)+1,LEN(PasteHashtag!I227)-FIND("/",PasteHashtag!I227)-1)*1</f>
        <v>3.5</v>
      </c>
    </row>
    <row r="228">
      <c r="A228" s="2">
        <v>227.0</v>
      </c>
      <c r="B228" s="2" t="str">
        <f>PasteHashtag!B228</f>
        <v/>
      </c>
      <c r="C228" s="343" t="str">
        <f>PasteHashtag!C228</f>
        <v>Day'Ron Sharpe</v>
      </c>
      <c r="D228" s="2" t="str">
        <f>PasteHashtag!D228</f>
        <v>C</v>
      </c>
      <c r="E228" s="2" t="str">
        <f>PasteHashtag!E228</f>
        <v>BKN</v>
      </c>
      <c r="F228" s="2">
        <f>PasteHashtag!F228</f>
        <v>64</v>
      </c>
      <c r="G228" s="2">
        <f>PasteHashtag!G228</f>
        <v>18</v>
      </c>
      <c r="H228" s="2">
        <f>MID(PasteHashtag!H228,1+FIND("(",PasteHashtag!H228),FIND("/",PasteHashtag!H228)-FIND("(",PasteHashtag!H228)-1)*1</f>
        <v>3.2</v>
      </c>
      <c r="I228" s="2">
        <f>LEFT(PasteHashtag!H228,FIND("(",PasteHashtag!H228)-1)*1</f>
        <v>0.561</v>
      </c>
      <c r="J228" s="2">
        <f>MID(PasteHashtag!I228,1+FIND("(",PasteHashtag!I228),FIND("/",PasteHashtag!I228)-FIND("(",PasteHashtag!I228)-1)*1</f>
        <v>1.4</v>
      </c>
      <c r="K228" s="2">
        <f>LEFT(PasteHashtag!I228,FIND("(",PasteHashtag!I228)-1)*1</f>
        <v>0.635</v>
      </c>
      <c r="L228" s="2">
        <f>PasteHashtag!J228</f>
        <v>0.1</v>
      </c>
      <c r="M228" s="2">
        <f>PasteHashtag!K228</f>
        <v>8</v>
      </c>
      <c r="N228" s="2">
        <f>PasteHashtag!L228</f>
        <v>7.3</v>
      </c>
      <c r="O228" s="2">
        <f>PasteHashtag!M228</f>
        <v>1.5</v>
      </c>
      <c r="P228" s="2">
        <f>PasteHashtag!N228</f>
        <v>0.5</v>
      </c>
      <c r="Q228" s="2">
        <f>PasteHashtag!O228</f>
        <v>0.9</v>
      </c>
      <c r="R228" s="2">
        <f>PasteHashtag!P228</f>
        <v>1.4</v>
      </c>
      <c r="S228" s="2">
        <f>Mid(PasteHashtag!H228,FIND("/",PasteHashtag!H228)+1,LEN(PasteHashtag!H228)-FIND("/",PasteHashtag!H228)-1)*1</f>
        <v>5.7</v>
      </c>
      <c r="T228" s="344">
        <f>Mid(PasteHashtag!I228,FIND("/",PasteHashtag!I228)+1,LEN(PasteHashtag!I228)-FIND("/",PasteHashtag!I228)-1)*1</f>
        <v>2.2</v>
      </c>
    </row>
    <row r="229">
      <c r="A229" s="2">
        <v>228.0</v>
      </c>
      <c r="B229" s="2" t="str">
        <f>PasteHashtag!B229</f>
        <v/>
      </c>
      <c r="C229" s="343" t="str">
        <f>PasteHashtag!C229</f>
        <v>Isaac Okoro</v>
      </c>
      <c r="D229" s="2" t="str">
        <f>PasteHashtag!D229</f>
        <v>SF,PF</v>
      </c>
      <c r="E229" s="2" t="str">
        <f>PasteHashtag!E229</f>
        <v>CLE</v>
      </c>
      <c r="F229" s="2">
        <f>PasteHashtag!F229</f>
        <v>71</v>
      </c>
      <c r="G229" s="2">
        <f>PasteHashtag!G229</f>
        <v>27</v>
      </c>
      <c r="H229" s="2">
        <f>MID(PasteHashtag!H229,1+FIND("(",PasteHashtag!H229),FIND("/",PasteHashtag!H229)-FIND("(",PasteHashtag!H229)-1)*1</f>
        <v>3.2</v>
      </c>
      <c r="I229" s="2">
        <f>LEFT(PasteHashtag!H229,FIND("(",PasteHashtag!H229)-1)*1</f>
        <v>0.491</v>
      </c>
      <c r="J229" s="2">
        <f>MID(PasteHashtag!I229,1+FIND("(",PasteHashtag!I229),FIND("/",PasteHashtag!I229)-FIND("(",PasteHashtag!I229)-1)*1</f>
        <v>1.3</v>
      </c>
      <c r="K229" s="2">
        <f>LEFT(PasteHashtag!I229,FIND("(",PasteHashtag!I229)-1)*1</f>
        <v>0.714</v>
      </c>
      <c r="L229" s="2">
        <f>PasteHashtag!J229</f>
        <v>1.1</v>
      </c>
      <c r="M229" s="2">
        <f>PasteHashtag!K229</f>
        <v>8.8</v>
      </c>
      <c r="N229" s="2">
        <f>PasteHashtag!L229</f>
        <v>3</v>
      </c>
      <c r="O229" s="2">
        <f>PasteHashtag!M229</f>
        <v>1.7</v>
      </c>
      <c r="P229" s="2">
        <f>PasteHashtag!N229</f>
        <v>0.9</v>
      </c>
      <c r="Q229" s="2">
        <f>PasteHashtag!O229</f>
        <v>0.5</v>
      </c>
      <c r="R229" s="2">
        <f>PasteHashtag!P229</f>
        <v>0.7</v>
      </c>
      <c r="S229" s="2">
        <f>Mid(PasteHashtag!H229,FIND("/",PasteHashtag!H229)+1,LEN(PasteHashtag!H229)-FIND("/",PasteHashtag!H229)-1)*1</f>
        <v>6.4</v>
      </c>
      <c r="T229" s="344">
        <f>Mid(PasteHashtag!I229,FIND("/",PasteHashtag!I229)+1,LEN(PasteHashtag!I229)-FIND("/",PasteHashtag!I229)-1)*1</f>
        <v>1.9</v>
      </c>
    </row>
    <row r="230">
      <c r="A230" s="2">
        <v>229.0</v>
      </c>
      <c r="B230" s="2" t="str">
        <f>PasteHashtag!B230</f>
        <v/>
      </c>
      <c r="C230" s="343" t="str">
        <f>PasteHashtag!C230</f>
        <v>Delon Wright</v>
      </c>
      <c r="D230" s="2" t="str">
        <f>PasteHashtag!D230</f>
        <v>PG,SG</v>
      </c>
      <c r="E230" s="2" t="str">
        <f>PasteHashtag!E230</f>
        <v>MIL</v>
      </c>
      <c r="F230" s="2">
        <f>PasteHashtag!F230</f>
        <v>62</v>
      </c>
      <c r="G230" s="2">
        <f>PasteHashtag!G230</f>
        <v>16.8</v>
      </c>
      <c r="H230" s="2">
        <f>MID(PasteHashtag!H230,1+FIND("(",PasteHashtag!H230),FIND("/",PasteHashtag!H230)-FIND("(",PasteHashtag!H230)-1)*1</f>
        <v>1.8</v>
      </c>
      <c r="I230" s="2">
        <f>LEFT(PasteHashtag!H230,FIND("(",PasteHashtag!H230)-1)*1</f>
        <v>0.442</v>
      </c>
      <c r="J230" s="2">
        <f>MID(PasteHashtag!I230,1+FIND("(",PasteHashtag!I230),FIND("/",PasteHashtag!I230)-FIND("(",PasteHashtag!I230)-1)*1</f>
        <v>0.8</v>
      </c>
      <c r="K230" s="2">
        <f>LEFT(PasteHashtag!I230,FIND("(",PasteHashtag!I230)-1)*1</f>
        <v>0.846</v>
      </c>
      <c r="L230" s="2">
        <f>PasteHashtag!J230</f>
        <v>0.6</v>
      </c>
      <c r="M230" s="2">
        <f>PasteHashtag!K230</f>
        <v>5</v>
      </c>
      <c r="N230" s="2">
        <f>PasteHashtag!L230</f>
        <v>2.3</v>
      </c>
      <c r="O230" s="2">
        <f>PasteHashtag!M230</f>
        <v>2.7</v>
      </c>
      <c r="P230" s="2">
        <f>PasteHashtag!N230</f>
        <v>1.3</v>
      </c>
      <c r="Q230" s="2">
        <f>PasteHashtag!O230</f>
        <v>0.2</v>
      </c>
      <c r="R230" s="2">
        <f>PasteHashtag!P230</f>
        <v>0.5</v>
      </c>
      <c r="S230" s="2">
        <f>Mid(PasteHashtag!H230,FIND("/",PasteHashtag!H230)+1,LEN(PasteHashtag!H230)-FIND("/",PasteHashtag!H230)-1)*1</f>
        <v>4.1</v>
      </c>
      <c r="T230" s="344">
        <f>Mid(PasteHashtag!I230,FIND("/",PasteHashtag!I230)+1,LEN(PasteHashtag!I230)-FIND("/",PasteHashtag!I230)-1)*1</f>
        <v>0.9</v>
      </c>
    </row>
    <row r="231">
      <c r="A231" s="2">
        <v>230.0</v>
      </c>
      <c r="B231" s="2">
        <f>PasteHashtag!B231</f>
        <v>143.8</v>
      </c>
      <c r="C231" s="343" t="str">
        <f>PasteHashtag!C231</f>
        <v>Malik Beasley</v>
      </c>
      <c r="D231" s="2" t="str">
        <f>PasteHashtag!D231</f>
        <v>SG</v>
      </c>
      <c r="E231" s="2" t="str">
        <f>PasteHashtag!E231</f>
        <v>DET</v>
      </c>
      <c r="F231" s="2">
        <f>PasteHashtag!F231</f>
        <v>74</v>
      </c>
      <c r="G231" s="2">
        <f>PasteHashtag!G231</f>
        <v>25.1</v>
      </c>
      <c r="H231" s="2">
        <f>MID(PasteHashtag!H231,1+FIND("(",PasteHashtag!H231),FIND("/",PasteHashtag!H231)-FIND("(",PasteHashtag!H231)-1)*1</f>
        <v>4</v>
      </c>
      <c r="I231" s="2">
        <f>LEFT(PasteHashtag!H231,FIND("(",PasteHashtag!H231)-1)*1</f>
        <v>0.425</v>
      </c>
      <c r="J231" s="2">
        <f>MID(PasteHashtag!I231,1+FIND("(",PasteHashtag!I231),FIND("/",PasteHashtag!I231)-FIND("(",PasteHashtag!I231)-1)*1</f>
        <v>0.4</v>
      </c>
      <c r="K231" s="2">
        <f>LEFT(PasteHashtag!I231,FIND("(",PasteHashtag!I231)-1)*1</f>
        <v>0.754</v>
      </c>
      <c r="L231" s="2">
        <f>PasteHashtag!J231</f>
        <v>2.6</v>
      </c>
      <c r="M231" s="2">
        <f>PasteHashtag!K231</f>
        <v>11.1</v>
      </c>
      <c r="N231" s="2">
        <f>PasteHashtag!L231</f>
        <v>3.3</v>
      </c>
      <c r="O231" s="2">
        <f>PasteHashtag!M231</f>
        <v>1.3</v>
      </c>
      <c r="P231" s="2">
        <f>PasteHashtag!N231</f>
        <v>0.7</v>
      </c>
      <c r="Q231" s="2">
        <f>PasteHashtag!O231</f>
        <v>0.1</v>
      </c>
      <c r="R231" s="2">
        <f>PasteHashtag!P231</f>
        <v>0.8</v>
      </c>
      <c r="S231" s="2">
        <f>Mid(PasteHashtag!H231,FIND("/",PasteHashtag!H231)+1,LEN(PasteHashtag!H231)-FIND("/",PasteHashtag!H231)-1)*1</f>
        <v>9.5</v>
      </c>
      <c r="T231" s="344">
        <f>Mid(PasteHashtag!I231,FIND("/",PasteHashtag!I231)+1,LEN(PasteHashtag!I231)-FIND("/",PasteHashtag!I231)-1)*1</f>
        <v>0.6</v>
      </c>
    </row>
    <row r="232">
      <c r="A232" s="2">
        <v>231.0</v>
      </c>
      <c r="B232" s="2" t="str">
        <f>PasteHashtag!B232</f>
        <v/>
      </c>
      <c r="C232" s="343" t="str">
        <f>PasteHashtag!C232</f>
        <v>Julian Strawther</v>
      </c>
      <c r="D232" s="2" t="str">
        <f>PasteHashtag!D232</f>
        <v>SG</v>
      </c>
      <c r="E232" s="2" t="str">
        <f>PasteHashtag!E232</f>
        <v>DEN</v>
      </c>
      <c r="F232" s="2">
        <f>PasteHashtag!F232</f>
        <v>64</v>
      </c>
      <c r="G232" s="2">
        <f>PasteHashtag!G232</f>
        <v>23</v>
      </c>
      <c r="H232" s="2">
        <f>MID(PasteHashtag!H232,1+FIND("(",PasteHashtag!H232),FIND("/",PasteHashtag!H232)-FIND("(",PasteHashtag!H232)-1)*1</f>
        <v>3.8</v>
      </c>
      <c r="I232" s="2">
        <f>LEFT(PasteHashtag!H232,FIND("(",PasteHashtag!H232)-1)*1</f>
        <v>0.435</v>
      </c>
      <c r="J232" s="2">
        <f>MID(PasteHashtag!I232,1+FIND("(",PasteHashtag!I232),FIND("/",PasteHashtag!I232)-FIND("(",PasteHashtag!I232)-1)*1</f>
        <v>1</v>
      </c>
      <c r="K232" s="2">
        <f>LEFT(PasteHashtag!I232,FIND("(",PasteHashtag!I232)-1)*1</f>
        <v>0.729</v>
      </c>
      <c r="L232" s="2">
        <f>PasteHashtag!J232</f>
        <v>1.9</v>
      </c>
      <c r="M232" s="2">
        <f>PasteHashtag!K232</f>
        <v>10.5</v>
      </c>
      <c r="N232" s="2">
        <f>PasteHashtag!L232</f>
        <v>2.8</v>
      </c>
      <c r="O232" s="2">
        <f>PasteHashtag!M232</f>
        <v>2.2</v>
      </c>
      <c r="P232" s="2">
        <f>PasteHashtag!N232</f>
        <v>0.8</v>
      </c>
      <c r="Q232" s="2">
        <f>PasteHashtag!O232</f>
        <v>0.3</v>
      </c>
      <c r="R232" s="2">
        <f>PasteHashtag!P232</f>
        <v>1.1</v>
      </c>
      <c r="S232" s="2">
        <f>Mid(PasteHashtag!H232,FIND("/",PasteHashtag!H232)+1,LEN(PasteHashtag!H232)-FIND("/",PasteHashtag!H232)-1)*1</f>
        <v>8.7</v>
      </c>
      <c r="T232" s="344">
        <f>Mid(PasteHashtag!I232,FIND("/",PasteHashtag!I232)+1,LEN(PasteHashtag!I232)-FIND("/",PasteHashtag!I232)-1)*1</f>
        <v>1.4</v>
      </c>
    </row>
    <row r="233">
      <c r="A233" s="2">
        <v>232.0</v>
      </c>
      <c r="B233" s="2">
        <f>PasteHashtag!B233</f>
        <v>143.2</v>
      </c>
      <c r="C233" s="343" t="str">
        <f>PasteHashtag!C233</f>
        <v>Zach Collins</v>
      </c>
      <c r="D233" s="2" t="str">
        <f>PasteHashtag!D233</f>
        <v>PF,C</v>
      </c>
      <c r="E233" s="2" t="str">
        <f>PasteHashtag!E233</f>
        <v>SA</v>
      </c>
      <c r="F233" s="2">
        <f>PasteHashtag!F233</f>
        <v>60</v>
      </c>
      <c r="G233" s="2">
        <f>PasteHashtag!G233</f>
        <v>17.7</v>
      </c>
      <c r="H233" s="2">
        <f>MID(PasteHashtag!H233,1+FIND("(",PasteHashtag!H233),FIND("/",PasteHashtag!H233)-FIND("(",PasteHashtag!H233)-1)*1</f>
        <v>3.5</v>
      </c>
      <c r="I233" s="2">
        <f>LEFT(PasteHashtag!H233,FIND("(",PasteHashtag!H233)-1)*1</f>
        <v>0.501</v>
      </c>
      <c r="J233" s="2">
        <f>MID(PasteHashtag!I233,1+FIND("(",PasteHashtag!I233),FIND("/",PasteHashtag!I233)-FIND("(",PasteHashtag!I233)-1)*1</f>
        <v>1.4</v>
      </c>
      <c r="K233" s="2">
        <f>LEFT(PasteHashtag!I233,FIND("(",PasteHashtag!I233)-1)*1</f>
        <v>0.76</v>
      </c>
      <c r="L233" s="2">
        <f>PasteHashtag!J233</f>
        <v>0.7</v>
      </c>
      <c r="M233" s="2">
        <f>PasteHashtag!K233</f>
        <v>9.1</v>
      </c>
      <c r="N233" s="2">
        <f>PasteHashtag!L233</f>
        <v>4.7</v>
      </c>
      <c r="O233" s="2">
        <f>PasteHashtag!M233</f>
        <v>2.3</v>
      </c>
      <c r="P233" s="2">
        <f>PasteHashtag!N233</f>
        <v>0.4</v>
      </c>
      <c r="Q233" s="2">
        <f>PasteHashtag!O233</f>
        <v>0.6</v>
      </c>
      <c r="R233" s="2">
        <f>PasteHashtag!P233</f>
        <v>1.6</v>
      </c>
      <c r="S233" s="2">
        <f>Mid(PasteHashtag!H233,FIND("/",PasteHashtag!H233)+1,LEN(PasteHashtag!H233)-FIND("/",PasteHashtag!H233)-1)*1</f>
        <v>7</v>
      </c>
      <c r="T233" s="344">
        <f>Mid(PasteHashtag!I233,FIND("/",PasteHashtag!I233)+1,LEN(PasteHashtag!I233)-FIND("/",PasteHashtag!I233)-1)*1</f>
        <v>1.8</v>
      </c>
    </row>
    <row r="234">
      <c r="A234" s="2">
        <v>233.0</v>
      </c>
      <c r="B234" s="2">
        <f>PasteHashtag!B234</f>
        <v>143.1</v>
      </c>
      <c r="C234" s="343" t="str">
        <f>PasteHashtag!C234</f>
        <v>Grant Williams</v>
      </c>
      <c r="D234" s="2" t="str">
        <f>PasteHashtag!D234</f>
        <v>PF,C</v>
      </c>
      <c r="E234" s="2" t="str">
        <f>PasteHashtag!E234</f>
        <v>CHA</v>
      </c>
      <c r="F234" s="2">
        <f>PasteHashtag!F234</f>
        <v>77</v>
      </c>
      <c r="G234" s="2">
        <f>PasteHashtag!G234</f>
        <v>25.9</v>
      </c>
      <c r="H234" s="2">
        <f>MID(PasteHashtag!H234,1+FIND("(",PasteHashtag!H234),FIND("/",PasteHashtag!H234)-FIND("(",PasteHashtag!H234)-1)*1</f>
        <v>3.1</v>
      </c>
      <c r="I234" s="2">
        <f>LEFT(PasteHashtag!H234,FIND("(",PasteHashtag!H234)-1)*1</f>
        <v>0.455</v>
      </c>
      <c r="J234" s="2">
        <f>MID(PasteHashtag!I234,1+FIND("(",PasteHashtag!I234),FIND("/",PasteHashtag!I234)-FIND("(",PasteHashtag!I234)-1)*1</f>
        <v>1.3</v>
      </c>
      <c r="K234" s="2">
        <f>LEFT(PasteHashtag!I234,FIND("(",PasteHashtag!I234)-1)*1</f>
        <v>0.762</v>
      </c>
      <c r="L234" s="2">
        <f>PasteHashtag!J234</f>
        <v>1.5</v>
      </c>
      <c r="M234" s="2">
        <f>PasteHashtag!K234</f>
        <v>8.9</v>
      </c>
      <c r="N234" s="2">
        <f>PasteHashtag!L234</f>
        <v>4.3</v>
      </c>
      <c r="O234" s="2">
        <f>PasteHashtag!M234</f>
        <v>1.9</v>
      </c>
      <c r="P234" s="2">
        <f>PasteHashtag!N234</f>
        <v>0.5</v>
      </c>
      <c r="Q234" s="2">
        <f>PasteHashtag!O234</f>
        <v>0.4</v>
      </c>
      <c r="R234" s="2">
        <f>PasteHashtag!P234</f>
        <v>1.2</v>
      </c>
      <c r="S234" s="2">
        <f>Mid(PasteHashtag!H234,FIND("/",PasteHashtag!H234)+1,LEN(PasteHashtag!H234)-FIND("/",PasteHashtag!H234)-1)*1</f>
        <v>6.8</v>
      </c>
      <c r="T234" s="344">
        <f>Mid(PasteHashtag!I234,FIND("/",PasteHashtag!I234)+1,LEN(PasteHashtag!I234)-FIND("/",PasteHashtag!I234)-1)*1</f>
        <v>1.6</v>
      </c>
    </row>
    <row r="235">
      <c r="A235" s="2">
        <v>234.0</v>
      </c>
      <c r="B235" s="2">
        <f>PasteHashtag!B235</f>
        <v>140.3</v>
      </c>
      <c r="C235" s="343" t="str">
        <f>PasteHashtag!C235</f>
        <v>Dorian Finney-Smith</v>
      </c>
      <c r="D235" s="2" t="str">
        <f>PasteHashtag!D235</f>
        <v>SF,PF,C</v>
      </c>
      <c r="E235" s="2" t="str">
        <f>PasteHashtag!E235</f>
        <v>BKN</v>
      </c>
      <c r="F235" s="2">
        <f>PasteHashtag!F235</f>
        <v>68</v>
      </c>
      <c r="G235" s="2">
        <f>PasteHashtag!G235</f>
        <v>27.4</v>
      </c>
      <c r="H235" s="2">
        <f>MID(PasteHashtag!H235,1+FIND("(",PasteHashtag!H235),FIND("/",PasteHashtag!H235)-FIND("(",PasteHashtag!H235)-1)*1</f>
        <v>2.8</v>
      </c>
      <c r="I235" s="2">
        <f>LEFT(PasteHashtag!H235,FIND("(",PasteHashtag!H235)-1)*1</f>
        <v>0.406</v>
      </c>
      <c r="J235" s="2">
        <f>MID(PasteHashtag!I235,1+FIND("(",PasteHashtag!I235),FIND("/",PasteHashtag!I235)-FIND("(",PasteHashtag!I235)-1)*1</f>
        <v>0.5</v>
      </c>
      <c r="K235" s="2">
        <f>LEFT(PasteHashtag!I235,FIND("(",PasteHashtag!I235)-1)*1</f>
        <v>0.75</v>
      </c>
      <c r="L235" s="2">
        <f>PasteHashtag!J235</f>
        <v>1.6</v>
      </c>
      <c r="M235" s="2">
        <f>PasteHashtag!K235</f>
        <v>7.8</v>
      </c>
      <c r="N235" s="2">
        <f>PasteHashtag!L235</f>
        <v>4.4</v>
      </c>
      <c r="O235" s="2">
        <f>PasteHashtag!M235</f>
        <v>1.4</v>
      </c>
      <c r="P235" s="2">
        <f>PasteHashtag!N235</f>
        <v>0.8</v>
      </c>
      <c r="Q235" s="2">
        <f>PasteHashtag!O235</f>
        <v>0.5</v>
      </c>
      <c r="R235" s="2">
        <f>PasteHashtag!P235</f>
        <v>0.8</v>
      </c>
      <c r="S235" s="2">
        <f>Mid(PasteHashtag!H235,FIND("/",PasteHashtag!H235)+1,LEN(PasteHashtag!H235)-FIND("/",PasteHashtag!H235)-1)*1</f>
        <v>7</v>
      </c>
      <c r="T235" s="344">
        <f>Mid(PasteHashtag!I235,FIND("/",PasteHashtag!I235)+1,LEN(PasteHashtag!I235)-FIND("/",PasteHashtag!I235)-1)*1</f>
        <v>0.7</v>
      </c>
    </row>
    <row r="236">
      <c r="A236" s="2">
        <v>235.0</v>
      </c>
      <c r="B236" s="2" t="str">
        <f>PasteHashtag!B236</f>
        <v/>
      </c>
      <c r="C236" s="343" t="str">
        <f>PasteHashtag!C236</f>
        <v>Paul Reed</v>
      </c>
      <c r="D236" s="2" t="str">
        <f>PasteHashtag!D236</f>
        <v>PF,C</v>
      </c>
      <c r="E236" s="2" t="str">
        <f>PasteHashtag!E236</f>
        <v>DET</v>
      </c>
      <c r="F236" s="2">
        <f>PasteHashtag!F236</f>
        <v>62</v>
      </c>
      <c r="G236" s="2">
        <f>PasteHashtag!G236</f>
        <v>14.2</v>
      </c>
      <c r="H236" s="2">
        <f>MID(PasteHashtag!H236,1+FIND("(",PasteHashtag!H236),FIND("/",PasteHashtag!H236)-FIND("(",PasteHashtag!H236)-1)*1</f>
        <v>2.3</v>
      </c>
      <c r="I236" s="2">
        <f>LEFT(PasteHashtag!H236,FIND("(",PasteHashtag!H236)-1)*1</f>
        <v>0.555</v>
      </c>
      <c r="J236" s="2">
        <f>MID(PasteHashtag!I236,1+FIND("(",PasteHashtag!I236),FIND("/",PasteHashtag!I236)-FIND("(",PasteHashtag!I236)-1)*1</f>
        <v>0.6</v>
      </c>
      <c r="K236" s="2">
        <f>LEFT(PasteHashtag!I236,FIND("(",PasteHashtag!I236)-1)*1</f>
        <v>0.735</v>
      </c>
      <c r="L236" s="2">
        <f>PasteHashtag!J236</f>
        <v>0.1</v>
      </c>
      <c r="M236" s="2">
        <f>PasteHashtag!K236</f>
        <v>5.4</v>
      </c>
      <c r="N236" s="2">
        <f>PasteHashtag!L236</f>
        <v>4.6</v>
      </c>
      <c r="O236" s="2">
        <f>PasteHashtag!M236</f>
        <v>0.8</v>
      </c>
      <c r="P236" s="2">
        <f>PasteHashtag!N236</f>
        <v>0.7</v>
      </c>
      <c r="Q236" s="2">
        <f>PasteHashtag!O236</f>
        <v>0.8</v>
      </c>
      <c r="R236" s="2">
        <f>PasteHashtag!P236</f>
        <v>0.7</v>
      </c>
      <c r="S236" s="2">
        <f>Mid(PasteHashtag!H236,FIND("/",PasteHashtag!H236)+1,LEN(PasteHashtag!H236)-FIND("/",PasteHashtag!H236)-1)*1</f>
        <v>4.2</v>
      </c>
      <c r="T236" s="344">
        <f>Mid(PasteHashtag!I236,FIND("/",PasteHashtag!I236)+1,LEN(PasteHashtag!I236)-FIND("/",PasteHashtag!I236)-1)*1</f>
        <v>0.8</v>
      </c>
    </row>
    <row r="237">
      <c r="A237" s="2">
        <v>236.0</v>
      </c>
      <c r="B237" s="2" t="str">
        <f>PasteHashtag!B237</f>
        <v/>
      </c>
      <c r="C237" s="343" t="str">
        <f>PasteHashtag!C237</f>
        <v>Dario Saric</v>
      </c>
      <c r="D237" s="2" t="str">
        <f>PasteHashtag!D237</f>
        <v>PF,C</v>
      </c>
      <c r="E237" s="2" t="str">
        <f>PasteHashtag!E237</f>
        <v>DEN</v>
      </c>
      <c r="F237" s="2">
        <f>PasteHashtag!F237</f>
        <v>65</v>
      </c>
      <c r="G237" s="2">
        <f>PasteHashtag!G237</f>
        <v>18.4</v>
      </c>
      <c r="H237" s="2">
        <f>MID(PasteHashtag!H237,1+FIND("(",PasteHashtag!H237),FIND("/",PasteHashtag!H237)-FIND("(",PasteHashtag!H237)-1)*1</f>
        <v>3</v>
      </c>
      <c r="I237" s="2">
        <f>LEFT(PasteHashtag!H237,FIND("(",PasteHashtag!H237)-1)*1</f>
        <v>0.464</v>
      </c>
      <c r="J237" s="2">
        <f>MID(PasteHashtag!I237,1+FIND("(",PasteHashtag!I237),FIND("/",PasteHashtag!I237)-FIND("(",PasteHashtag!I237)-1)*1</f>
        <v>1.4</v>
      </c>
      <c r="K237" s="2">
        <f>LEFT(PasteHashtag!I237,FIND("(",PasteHashtag!I237)-1)*1</f>
        <v>0.842</v>
      </c>
      <c r="L237" s="2">
        <f>PasteHashtag!J237</f>
        <v>1.2</v>
      </c>
      <c r="M237" s="2">
        <f>PasteHashtag!K237</f>
        <v>8.6</v>
      </c>
      <c r="N237" s="2">
        <f>PasteHashtag!L237</f>
        <v>4.8</v>
      </c>
      <c r="O237" s="2">
        <f>PasteHashtag!M237</f>
        <v>2.1</v>
      </c>
      <c r="P237" s="2">
        <f>PasteHashtag!N237</f>
        <v>0.5</v>
      </c>
      <c r="Q237" s="2">
        <f>PasteHashtag!O237</f>
        <v>0.2</v>
      </c>
      <c r="R237" s="2">
        <f>PasteHashtag!P237</f>
        <v>1.3</v>
      </c>
      <c r="S237" s="2">
        <f>Mid(PasteHashtag!H237,FIND("/",PasteHashtag!H237)+1,LEN(PasteHashtag!H237)-FIND("/",PasteHashtag!H237)-1)*1</f>
        <v>6.5</v>
      </c>
      <c r="T237" s="344">
        <f>Mid(PasteHashtag!I237,FIND("/",PasteHashtag!I237)+1,LEN(PasteHashtag!I237)-FIND("/",PasteHashtag!I237)-1)*1</f>
        <v>1.7</v>
      </c>
    </row>
    <row r="238">
      <c r="A238" s="2">
        <v>237.0</v>
      </c>
      <c r="B238" s="2" t="str">
        <f>PasteHashtag!B238</f>
        <v/>
      </c>
      <c r="C238" s="343" t="str">
        <f>PasteHashtag!C238</f>
        <v>Christian Wood</v>
      </c>
      <c r="D238" s="2" t="str">
        <f>PasteHashtag!D238</f>
        <v>PF,C</v>
      </c>
      <c r="E238" s="2" t="str">
        <f>PasteHashtag!E238</f>
        <v>LAL</v>
      </c>
      <c r="F238" s="2">
        <f>PasteHashtag!F238</f>
        <v>52</v>
      </c>
      <c r="G238" s="2">
        <f>PasteHashtag!G238</f>
        <v>17.2</v>
      </c>
      <c r="H238" s="2">
        <f>MID(PasteHashtag!H238,1+FIND("(",PasteHashtag!H238),FIND("/",PasteHashtag!H238)-FIND("(",PasteHashtag!H238)-1)*1</f>
        <v>3.5</v>
      </c>
      <c r="I238" s="2">
        <f>LEFT(PasteHashtag!H238,FIND("(",PasteHashtag!H238)-1)*1</f>
        <v>0.502</v>
      </c>
      <c r="J238" s="2">
        <f>MID(PasteHashtag!I238,1+FIND("(",PasteHashtag!I238),FIND("/",PasteHashtag!I238)-FIND("(",PasteHashtag!I238)-1)*1</f>
        <v>1.9</v>
      </c>
      <c r="K238" s="2">
        <f>LEFT(PasteHashtag!I238,FIND("(",PasteHashtag!I238)-1)*1</f>
        <v>0.752</v>
      </c>
      <c r="L238" s="2">
        <f>PasteHashtag!J238</f>
        <v>0.9</v>
      </c>
      <c r="M238" s="2">
        <f>PasteHashtag!K238</f>
        <v>9.7</v>
      </c>
      <c r="N238" s="2">
        <f>PasteHashtag!L238</f>
        <v>5</v>
      </c>
      <c r="O238" s="2">
        <f>PasteHashtag!M238</f>
        <v>1.1</v>
      </c>
      <c r="P238" s="2">
        <f>PasteHashtag!N238</f>
        <v>0.3</v>
      </c>
      <c r="Q238" s="2">
        <f>PasteHashtag!O238</f>
        <v>0.7</v>
      </c>
      <c r="R238" s="2">
        <f>PasteHashtag!P238</f>
        <v>1.1</v>
      </c>
      <c r="S238" s="2">
        <f>Mid(PasteHashtag!H238,FIND("/",PasteHashtag!H238)+1,LEN(PasteHashtag!H238)-FIND("/",PasteHashtag!H238)-1)*1</f>
        <v>6.9</v>
      </c>
      <c r="T238" s="344">
        <f>Mid(PasteHashtag!I238,FIND("/",PasteHashtag!I238)+1,LEN(PasteHashtag!I238)-FIND("/",PasteHashtag!I238)-1)*1</f>
        <v>2.5</v>
      </c>
    </row>
    <row r="239">
      <c r="A239" s="2">
        <v>238.0</v>
      </c>
      <c r="B239" s="2" t="str">
        <f>PasteHashtag!B239</f>
        <v/>
      </c>
      <c r="C239" s="343" t="str">
        <f>PasteHashtag!C239</f>
        <v>Rob Dillingham</v>
      </c>
      <c r="D239" s="2" t="str">
        <f>PasteHashtag!D239</f>
        <v>PG</v>
      </c>
      <c r="E239" s="2" t="str">
        <f>PasteHashtag!E239</f>
        <v>MIN</v>
      </c>
      <c r="F239" s="2">
        <f>PasteHashtag!F239</f>
        <v>68</v>
      </c>
      <c r="G239" s="2">
        <f>PasteHashtag!G239</f>
        <v>22.8</v>
      </c>
      <c r="H239" s="2">
        <f>MID(PasteHashtag!H239,1+FIND("(",PasteHashtag!H239),FIND("/",PasteHashtag!H239)-FIND("(",PasteHashtag!H239)-1)*1</f>
        <v>3.8</v>
      </c>
      <c r="I239" s="2">
        <f>LEFT(PasteHashtag!H239,FIND("(",PasteHashtag!H239)-1)*1</f>
        <v>0.454</v>
      </c>
      <c r="J239" s="2">
        <f>MID(PasteHashtag!I239,1+FIND("(",PasteHashtag!I239),FIND("/",PasteHashtag!I239)-FIND("(",PasteHashtag!I239)-1)*1</f>
        <v>1.7</v>
      </c>
      <c r="K239" s="2">
        <f>LEFT(PasteHashtag!I239,FIND("(",PasteHashtag!I239)-1)*1</f>
        <v>0.802</v>
      </c>
      <c r="L239" s="2">
        <f>PasteHashtag!J239</f>
        <v>1.6</v>
      </c>
      <c r="M239" s="2">
        <f>PasteHashtag!K239</f>
        <v>11</v>
      </c>
      <c r="N239" s="2">
        <f>PasteHashtag!L239</f>
        <v>2.1</v>
      </c>
      <c r="O239" s="2">
        <f>PasteHashtag!M239</f>
        <v>2.8</v>
      </c>
      <c r="P239" s="2">
        <f>PasteHashtag!N239</f>
        <v>0.7</v>
      </c>
      <c r="Q239" s="2">
        <f>PasteHashtag!O239</f>
        <v>0</v>
      </c>
      <c r="R239" s="2">
        <f>PasteHashtag!P239</f>
        <v>1.4</v>
      </c>
      <c r="S239" s="2">
        <f>Mid(PasteHashtag!H239,FIND("/",PasteHashtag!H239)+1,LEN(PasteHashtag!H239)-FIND("/",PasteHashtag!H239)-1)*1</f>
        <v>8.4</v>
      </c>
      <c r="T239" s="344">
        <f>Mid(PasteHashtag!I239,FIND("/",PasteHashtag!I239)+1,LEN(PasteHashtag!I239)-FIND("/",PasteHashtag!I239)-1)*1</f>
        <v>2.2</v>
      </c>
    </row>
    <row r="240">
      <c r="A240" s="2">
        <v>239.0</v>
      </c>
      <c r="B240" s="2" t="str">
        <f>PasteHashtag!B240</f>
        <v/>
      </c>
      <c r="C240" s="343" t="str">
        <f>PasteHashtag!C240</f>
        <v>Xavier Tillman Sr.</v>
      </c>
      <c r="D240" s="2" t="str">
        <f>PasteHashtag!D240</f>
        <v>PF,C</v>
      </c>
      <c r="E240" s="2" t="str">
        <f>PasteHashtag!E240</f>
        <v>BOS</v>
      </c>
      <c r="F240" s="2">
        <f>PasteHashtag!F240</f>
        <v>62</v>
      </c>
      <c r="G240" s="2">
        <f>PasteHashtag!G240</f>
        <v>20.2</v>
      </c>
      <c r="H240" s="2">
        <f>MID(PasteHashtag!H240,1+FIND("(",PasteHashtag!H240),FIND("/",PasteHashtag!H240)-FIND("(",PasteHashtag!H240)-1)*1</f>
        <v>2.9</v>
      </c>
      <c r="I240" s="2">
        <f>LEFT(PasteHashtag!H240,FIND("(",PasteHashtag!H240)-1)*1</f>
        <v>0.473</v>
      </c>
      <c r="J240" s="2">
        <f>MID(PasteHashtag!I240,1+FIND("(",PasteHashtag!I240),FIND("/",PasteHashtag!I240)-FIND("(",PasteHashtag!I240)-1)*1</f>
        <v>0.7</v>
      </c>
      <c r="K240" s="2">
        <f>LEFT(PasteHashtag!I240,FIND("(",PasteHashtag!I240)-1)*1</f>
        <v>0.515</v>
      </c>
      <c r="L240" s="2">
        <f>PasteHashtag!J240</f>
        <v>0.7</v>
      </c>
      <c r="M240" s="2">
        <f>PasteHashtag!K240</f>
        <v>7.2</v>
      </c>
      <c r="N240" s="2">
        <f>PasteHashtag!L240</f>
        <v>4.9</v>
      </c>
      <c r="O240" s="2">
        <f>PasteHashtag!M240</f>
        <v>1.6</v>
      </c>
      <c r="P240" s="2">
        <f>PasteHashtag!N240</f>
        <v>1</v>
      </c>
      <c r="Q240" s="2">
        <f>PasteHashtag!O240</f>
        <v>0.7</v>
      </c>
      <c r="R240" s="2">
        <f>PasteHashtag!P240</f>
        <v>0.7</v>
      </c>
      <c r="S240" s="2">
        <f>Mid(PasteHashtag!H240,FIND("/",PasteHashtag!H240)+1,LEN(PasteHashtag!H240)-FIND("/",PasteHashtag!H240)-1)*1</f>
        <v>6.1</v>
      </c>
      <c r="T240" s="344">
        <f>Mid(PasteHashtag!I240,FIND("/",PasteHashtag!I240)+1,LEN(PasteHashtag!I240)-FIND("/",PasteHashtag!I240)-1)*1</f>
        <v>1.3</v>
      </c>
    </row>
    <row r="241">
      <c r="A241" s="2">
        <v>240.0</v>
      </c>
      <c r="B241" s="2">
        <f>PasteHashtag!B241</f>
        <v>143.5</v>
      </c>
      <c r="C241" s="343" t="str">
        <f>PasteHashtag!C241</f>
        <v>Gradey Dick</v>
      </c>
      <c r="D241" s="2" t="str">
        <f>PasteHashtag!D241</f>
        <v>SG,SF</v>
      </c>
      <c r="E241" s="2" t="str">
        <f>PasteHashtag!E241</f>
        <v>TOR</v>
      </c>
      <c r="F241" s="2">
        <f>PasteHashtag!F241</f>
        <v>68</v>
      </c>
      <c r="G241" s="2">
        <f>PasteHashtag!G241</f>
        <v>28.2</v>
      </c>
      <c r="H241" s="2">
        <f>MID(PasteHashtag!H241,1+FIND("(",PasteHashtag!H241),FIND("/",PasteHashtag!H241)-FIND("(",PasteHashtag!H241)-1)*1</f>
        <v>4.2</v>
      </c>
      <c r="I241" s="2">
        <f>LEFT(PasteHashtag!H241,FIND("(",PasteHashtag!H241)-1)*1</f>
        <v>0.424</v>
      </c>
      <c r="J241" s="2">
        <f>MID(PasteHashtag!I241,1+FIND("(",PasteHashtag!I241),FIND("/",PasteHashtag!I241)-FIND("(",PasteHashtag!I241)-1)*1</f>
        <v>1</v>
      </c>
      <c r="K241" s="2">
        <f>LEFT(PasteHashtag!I241,FIND("(",PasteHashtag!I241)-1)*1</f>
        <v>0.86</v>
      </c>
      <c r="L241" s="2">
        <f>PasteHashtag!J241</f>
        <v>2</v>
      </c>
      <c r="M241" s="2">
        <f>PasteHashtag!K241</f>
        <v>11.4</v>
      </c>
      <c r="N241" s="2">
        <f>PasteHashtag!L241</f>
        <v>2.9</v>
      </c>
      <c r="O241" s="2">
        <f>PasteHashtag!M241</f>
        <v>1.5</v>
      </c>
      <c r="P241" s="2">
        <f>PasteHashtag!N241</f>
        <v>0.8</v>
      </c>
      <c r="Q241" s="2">
        <f>PasteHashtag!O241</f>
        <v>0</v>
      </c>
      <c r="R241" s="2">
        <f>PasteHashtag!P241</f>
        <v>1.1</v>
      </c>
      <c r="S241" s="2">
        <f>Mid(PasteHashtag!H241,FIND("/",PasteHashtag!H241)+1,LEN(PasteHashtag!H241)-FIND("/",PasteHashtag!H241)-1)*1</f>
        <v>9.9</v>
      </c>
      <c r="T241" s="344">
        <f>Mid(PasteHashtag!I241,FIND("/",PasteHashtag!I241)+1,LEN(PasteHashtag!I241)-FIND("/",PasteHashtag!I241)-1)*1</f>
        <v>1.1</v>
      </c>
    </row>
    <row r="242">
      <c r="A242" s="2">
        <v>241.0</v>
      </c>
      <c r="B242" s="2" t="str">
        <f>PasteHashtag!B242</f>
        <v/>
      </c>
      <c r="C242" s="343" t="str">
        <f>PasteHashtag!C242</f>
        <v>Ron Holland II</v>
      </c>
      <c r="D242" s="2" t="str">
        <f>PasteHashtag!D242</f>
        <v>SF</v>
      </c>
      <c r="E242" s="2" t="str">
        <f>PasteHashtag!E242</f>
        <v>DET</v>
      </c>
      <c r="F242" s="2">
        <f>PasteHashtag!F242</f>
        <v>67</v>
      </c>
      <c r="G242" s="2">
        <f>PasteHashtag!G242</f>
        <v>25.4</v>
      </c>
      <c r="H242" s="2">
        <f>MID(PasteHashtag!H242,1+FIND("(",PasteHashtag!H242),FIND("/",PasteHashtag!H242)-FIND("(",PasteHashtag!H242)-1)*1</f>
        <v>3.9</v>
      </c>
      <c r="I242" s="2">
        <f>LEFT(PasteHashtag!H242,FIND("(",PasteHashtag!H242)-1)*1</f>
        <v>0.44</v>
      </c>
      <c r="J242" s="2">
        <f>MID(PasteHashtag!I242,1+FIND("(",PasteHashtag!I242),FIND("/",PasteHashtag!I242)-FIND("(",PasteHashtag!I242)-1)*1</f>
        <v>2.1</v>
      </c>
      <c r="K242" s="2">
        <f>LEFT(PasteHashtag!I242,FIND("(",PasteHashtag!I242)-1)*1</f>
        <v>0.74</v>
      </c>
      <c r="L242" s="2">
        <f>PasteHashtag!J242</f>
        <v>0.5</v>
      </c>
      <c r="M242" s="2">
        <f>PasteHashtag!K242</f>
        <v>10.3</v>
      </c>
      <c r="N242" s="2">
        <f>PasteHashtag!L242</f>
        <v>3.7</v>
      </c>
      <c r="O242" s="2">
        <f>PasteHashtag!M242</f>
        <v>1.7</v>
      </c>
      <c r="P242" s="2">
        <f>PasteHashtag!N242</f>
        <v>1.3</v>
      </c>
      <c r="Q242" s="2">
        <f>PasteHashtag!O242</f>
        <v>0.4</v>
      </c>
      <c r="R242" s="2">
        <f>PasteHashtag!P242</f>
        <v>1.6</v>
      </c>
      <c r="S242" s="2">
        <f>Mid(PasteHashtag!H242,FIND("/",PasteHashtag!H242)+1,LEN(PasteHashtag!H242)-FIND("/",PasteHashtag!H242)-1)*1</f>
        <v>8.8</v>
      </c>
      <c r="T242" s="344">
        <f>Mid(PasteHashtag!I242,FIND("/",PasteHashtag!I242)+1,LEN(PasteHashtag!I242)-FIND("/",PasteHashtag!I242)-1)*1</f>
        <v>2.9</v>
      </c>
    </row>
    <row r="243">
      <c r="A243" s="2">
        <v>242.0</v>
      </c>
      <c r="B243" s="2" t="str">
        <f>PasteHashtag!B243</f>
        <v/>
      </c>
      <c r="C243" s="343" t="str">
        <f>PasteHashtag!C243</f>
        <v>Mo Bamba</v>
      </c>
      <c r="D243" s="2" t="str">
        <f>PasteHashtag!D243</f>
        <v>C</v>
      </c>
      <c r="E243" s="2" t="str">
        <f>PasteHashtag!E243</f>
        <v>LAC</v>
      </c>
      <c r="F243" s="2">
        <f>PasteHashtag!F243</f>
        <v>58</v>
      </c>
      <c r="G243" s="2">
        <f>PasteHashtag!G243</f>
        <v>15.8</v>
      </c>
      <c r="H243" s="2">
        <f>MID(PasteHashtag!H243,1+FIND("(",PasteHashtag!H243),FIND("/",PasteHashtag!H243)-FIND("(",PasteHashtag!H243)-1)*1</f>
        <v>2.3</v>
      </c>
      <c r="I243" s="2">
        <f>LEFT(PasteHashtag!H243,FIND("(",PasteHashtag!H243)-1)*1</f>
        <v>0.487</v>
      </c>
      <c r="J243" s="2">
        <f>MID(PasteHashtag!I243,1+FIND("(",PasteHashtag!I243),FIND("/",PasteHashtag!I243)-FIND("(",PasteHashtag!I243)-1)*1</f>
        <v>0.8</v>
      </c>
      <c r="K243" s="2">
        <f>LEFT(PasteHashtag!I243,FIND("(",PasteHashtag!I243)-1)*1</f>
        <v>0.669</v>
      </c>
      <c r="L243" s="2">
        <f>PasteHashtag!J243</f>
        <v>0.8</v>
      </c>
      <c r="M243" s="2">
        <f>PasteHashtag!K243</f>
        <v>6.1</v>
      </c>
      <c r="N243" s="2">
        <f>PasteHashtag!L243</f>
        <v>4.9</v>
      </c>
      <c r="O243" s="2">
        <f>PasteHashtag!M243</f>
        <v>0.9</v>
      </c>
      <c r="P243" s="2">
        <f>PasteHashtag!N243</f>
        <v>0.4</v>
      </c>
      <c r="Q243" s="2">
        <f>PasteHashtag!O243</f>
        <v>1.1</v>
      </c>
      <c r="R243" s="2">
        <f>PasteHashtag!P243</f>
        <v>0.7</v>
      </c>
      <c r="S243" s="2">
        <f>Mid(PasteHashtag!H243,FIND("/",PasteHashtag!H243)+1,LEN(PasteHashtag!H243)-FIND("/",PasteHashtag!H243)-1)*1</f>
        <v>4.6</v>
      </c>
      <c r="T243" s="344">
        <f>Mid(PasteHashtag!I243,FIND("/",PasteHashtag!I243)+1,LEN(PasteHashtag!I243)-FIND("/",PasteHashtag!I243)-1)*1</f>
        <v>1.2</v>
      </c>
    </row>
    <row r="244">
      <c r="A244" s="2">
        <v>243.0</v>
      </c>
      <c r="B244" s="2" t="str">
        <f>PasteHashtag!B244</f>
        <v/>
      </c>
      <c r="C244" s="343" t="str">
        <f>PasteHashtag!C244</f>
        <v>Derrick Jones Jr.</v>
      </c>
      <c r="D244" s="2" t="str">
        <f>PasteHashtag!D244</f>
        <v>SF,PF</v>
      </c>
      <c r="E244" s="2" t="str">
        <f>PasteHashtag!E244</f>
        <v>LAC</v>
      </c>
      <c r="F244" s="2">
        <f>PasteHashtag!F244</f>
        <v>64</v>
      </c>
      <c r="G244" s="2">
        <f>PasteHashtag!G244</f>
        <v>21.8</v>
      </c>
      <c r="H244" s="2">
        <f>MID(PasteHashtag!H244,1+FIND("(",PasteHashtag!H244),FIND("/",PasteHashtag!H244)-FIND("(",PasteHashtag!H244)-1)*1</f>
        <v>2.9</v>
      </c>
      <c r="I244" s="2">
        <f>LEFT(PasteHashtag!H244,FIND("(",PasteHashtag!H244)-1)*1</f>
        <v>0.488</v>
      </c>
      <c r="J244" s="2">
        <f>MID(PasteHashtag!I244,1+FIND("(",PasteHashtag!I244),FIND("/",PasteHashtag!I244)-FIND("(",PasteHashtag!I244)-1)*1</f>
        <v>1.3</v>
      </c>
      <c r="K244" s="2">
        <f>LEFT(PasteHashtag!I244,FIND("(",PasteHashtag!I244)-1)*1</f>
        <v>0.724</v>
      </c>
      <c r="L244" s="2">
        <f>PasteHashtag!J244</f>
        <v>0.9</v>
      </c>
      <c r="M244" s="2">
        <f>PasteHashtag!K244</f>
        <v>8</v>
      </c>
      <c r="N244" s="2">
        <f>PasteHashtag!L244</f>
        <v>3.3</v>
      </c>
      <c r="O244" s="2">
        <f>PasteHashtag!M244</f>
        <v>0.9</v>
      </c>
      <c r="P244" s="2">
        <f>PasteHashtag!N244</f>
        <v>0.7</v>
      </c>
      <c r="Q244" s="2">
        <f>PasteHashtag!O244</f>
        <v>0.7</v>
      </c>
      <c r="R244" s="2">
        <f>PasteHashtag!P244</f>
        <v>0.7</v>
      </c>
      <c r="S244" s="2">
        <f>Mid(PasteHashtag!H244,FIND("/",PasteHashtag!H244)+1,LEN(PasteHashtag!H244)-FIND("/",PasteHashtag!H244)-1)*1</f>
        <v>6</v>
      </c>
      <c r="T244" s="344">
        <f>Mid(PasteHashtag!I244,FIND("/",PasteHashtag!I244)+1,LEN(PasteHashtag!I244)-FIND("/",PasteHashtag!I244)-1)*1</f>
        <v>1.8</v>
      </c>
    </row>
    <row r="245">
      <c r="A245" s="2">
        <v>244.0</v>
      </c>
      <c r="B245" s="2" t="str">
        <f>PasteHashtag!B245</f>
        <v/>
      </c>
      <c r="C245" s="343" t="str">
        <f>PasteHashtag!C245</f>
        <v>Isaiah Joe</v>
      </c>
      <c r="D245" s="2" t="str">
        <f>PasteHashtag!D245</f>
        <v>PG,SG</v>
      </c>
      <c r="E245" s="2" t="str">
        <f>PasteHashtag!E245</f>
        <v>OKC</v>
      </c>
      <c r="F245" s="2">
        <f>PasteHashtag!F245</f>
        <v>75</v>
      </c>
      <c r="G245" s="2">
        <f>PasteHashtag!G245</f>
        <v>18</v>
      </c>
      <c r="H245" s="2">
        <f>MID(PasteHashtag!H245,1+FIND("(",PasteHashtag!H245),FIND("/",PasteHashtag!H245)-FIND("(",PasteHashtag!H245)-1)*1</f>
        <v>2.9</v>
      </c>
      <c r="I245" s="2">
        <f>LEFT(PasteHashtag!H245,FIND("(",PasteHashtag!H245)-1)*1</f>
        <v>0.449</v>
      </c>
      <c r="J245" s="2">
        <f>MID(PasteHashtag!I245,1+FIND("(",PasteHashtag!I245),FIND("/",PasteHashtag!I245)-FIND("(",PasteHashtag!I245)-1)*1</f>
        <v>0.8</v>
      </c>
      <c r="K245" s="2">
        <f>LEFT(PasteHashtag!I245,FIND("(",PasteHashtag!I245)-1)*1</f>
        <v>0.827</v>
      </c>
      <c r="L245" s="2">
        <f>PasteHashtag!J245</f>
        <v>2</v>
      </c>
      <c r="M245" s="2">
        <f>PasteHashtag!K245</f>
        <v>8.5</v>
      </c>
      <c r="N245" s="2">
        <f>PasteHashtag!L245</f>
        <v>2.3</v>
      </c>
      <c r="O245" s="2">
        <f>PasteHashtag!M245</f>
        <v>1.2</v>
      </c>
      <c r="P245" s="2">
        <f>PasteHashtag!N245</f>
        <v>0.6</v>
      </c>
      <c r="Q245" s="2">
        <f>PasteHashtag!O245</f>
        <v>0.2</v>
      </c>
      <c r="R245" s="2">
        <f>PasteHashtag!P245</f>
        <v>0.6</v>
      </c>
      <c r="S245" s="2">
        <f>Mid(PasteHashtag!H245,FIND("/",PasteHashtag!H245)+1,LEN(PasteHashtag!H245)-FIND("/",PasteHashtag!H245)-1)*1</f>
        <v>6.4</v>
      </c>
      <c r="T245" s="344">
        <f>Mid(PasteHashtag!I245,FIND("/",PasteHashtag!I245)+1,LEN(PasteHashtag!I245)-FIND("/",PasteHashtag!I245)-1)*1</f>
        <v>1</v>
      </c>
    </row>
    <row r="246">
      <c r="A246" s="2">
        <v>245.0</v>
      </c>
      <c r="B246" s="2" t="str">
        <f>PasteHashtag!B246</f>
        <v/>
      </c>
      <c r="C246" s="343" t="str">
        <f>PasteHashtag!C246</f>
        <v>Naji Marshall</v>
      </c>
      <c r="D246" s="2" t="str">
        <f>PasteHashtag!D246</f>
        <v>SG,SF</v>
      </c>
      <c r="E246" s="2" t="str">
        <f>PasteHashtag!E246</f>
        <v>DAL</v>
      </c>
      <c r="F246" s="2">
        <f>PasteHashtag!F246</f>
        <v>58</v>
      </c>
      <c r="G246" s="2">
        <f>PasteHashtag!G246</f>
        <v>21.4</v>
      </c>
      <c r="H246" s="2">
        <f>MID(PasteHashtag!H246,1+FIND("(",PasteHashtag!H246),FIND("/",PasteHashtag!H246)-FIND("(",PasteHashtag!H246)-1)*1</f>
        <v>3.1</v>
      </c>
      <c r="I246" s="2">
        <f>LEFT(PasteHashtag!H246,FIND("(",PasteHashtag!H246)-1)*1</f>
        <v>0.446</v>
      </c>
      <c r="J246" s="2">
        <f>MID(PasteHashtag!I246,1+FIND("(",PasteHashtag!I246),FIND("/",PasteHashtag!I246)-FIND("(",PasteHashtag!I246)-1)*1</f>
        <v>1.5</v>
      </c>
      <c r="K246" s="2">
        <f>LEFT(PasteHashtag!I246,FIND("(",PasteHashtag!I246)-1)*1</f>
        <v>0.789</v>
      </c>
      <c r="L246" s="2">
        <f>PasteHashtag!J246</f>
        <v>0.9</v>
      </c>
      <c r="M246" s="2">
        <f>PasteHashtag!K246</f>
        <v>8.5</v>
      </c>
      <c r="N246" s="2">
        <f>PasteHashtag!L246</f>
        <v>3.8</v>
      </c>
      <c r="O246" s="2">
        <f>PasteHashtag!M246</f>
        <v>2.3</v>
      </c>
      <c r="P246" s="2">
        <f>PasteHashtag!N246</f>
        <v>0.8</v>
      </c>
      <c r="Q246" s="2">
        <f>PasteHashtag!O246</f>
        <v>0.2</v>
      </c>
      <c r="R246" s="2">
        <f>PasteHashtag!P246</f>
        <v>1.2</v>
      </c>
      <c r="S246" s="2">
        <f>Mid(PasteHashtag!H246,FIND("/",PasteHashtag!H246)+1,LEN(PasteHashtag!H246)-FIND("/",PasteHashtag!H246)-1)*1</f>
        <v>6.8</v>
      </c>
      <c r="T246" s="344">
        <f>Mid(PasteHashtag!I246,FIND("/",PasteHashtag!I246)+1,LEN(PasteHashtag!I246)-FIND("/",PasteHashtag!I246)-1)*1</f>
        <v>1.9</v>
      </c>
    </row>
    <row r="247">
      <c r="A247" s="2">
        <v>246.0</v>
      </c>
      <c r="B247" s="2" t="str">
        <f>PasteHashtag!B247</f>
        <v/>
      </c>
      <c r="C247" s="343" t="str">
        <f>PasteHashtag!C247</f>
        <v>Carlton Carrington</v>
      </c>
      <c r="D247" s="2" t="str">
        <f>PasteHashtag!D247</f>
        <v>PG</v>
      </c>
      <c r="E247" s="2" t="str">
        <f>PasteHashtag!E247</f>
        <v>WAS</v>
      </c>
      <c r="F247" s="2">
        <f>PasteHashtag!F247</f>
        <v>68</v>
      </c>
      <c r="G247" s="2">
        <f>PasteHashtag!G247</f>
        <v>28.7</v>
      </c>
      <c r="H247" s="2">
        <f>MID(PasteHashtag!H247,1+FIND("(",PasteHashtag!H247),FIND("/",PasteHashtag!H247)-FIND("(",PasteHashtag!H247)-1)*1</f>
        <v>3.8</v>
      </c>
      <c r="I247" s="2">
        <f>LEFT(PasteHashtag!H247,FIND("(",PasteHashtag!H247)-1)*1</f>
        <v>0.412</v>
      </c>
      <c r="J247" s="2">
        <f>MID(PasteHashtag!I247,1+FIND("(",PasteHashtag!I247),FIND("/",PasteHashtag!I247)-FIND("(",PasteHashtag!I247)-1)*1</f>
        <v>1.8</v>
      </c>
      <c r="K247" s="2">
        <f>LEFT(PasteHashtag!I247,FIND("(",PasteHashtag!I247)-1)*1</f>
        <v>0.785</v>
      </c>
      <c r="L247" s="2">
        <f>PasteHashtag!J247</f>
        <v>1.6</v>
      </c>
      <c r="M247" s="2">
        <f>PasteHashtag!K247</f>
        <v>11</v>
      </c>
      <c r="N247" s="2">
        <f>PasteHashtag!L247</f>
        <v>4.1</v>
      </c>
      <c r="O247" s="2">
        <f>PasteHashtag!M247</f>
        <v>3.3</v>
      </c>
      <c r="P247" s="2">
        <f>PasteHashtag!N247</f>
        <v>0.5</v>
      </c>
      <c r="Q247" s="2">
        <f>PasteHashtag!O247</f>
        <v>0.2</v>
      </c>
      <c r="R247" s="2">
        <f>PasteHashtag!P247</f>
        <v>1.5</v>
      </c>
      <c r="S247" s="2">
        <f>Mid(PasteHashtag!H247,FIND("/",PasteHashtag!H247)+1,LEN(PasteHashtag!H247)-FIND("/",PasteHashtag!H247)-1)*1</f>
        <v>9.3</v>
      </c>
      <c r="T247" s="344">
        <f>Mid(PasteHashtag!I247,FIND("/",PasteHashtag!I247)+1,LEN(PasteHashtag!I247)-FIND("/",PasteHashtag!I247)-1)*1</f>
        <v>2.2</v>
      </c>
    </row>
    <row r="248">
      <c r="A248" s="2">
        <v>247.0</v>
      </c>
      <c r="B248" s="2" t="str">
        <f>PasteHashtag!B248</f>
        <v/>
      </c>
      <c r="C248" s="343" t="str">
        <f>PasteHashtag!C248</f>
        <v>Bones Hyland</v>
      </c>
      <c r="D248" s="2" t="str">
        <f>PasteHashtag!D248</f>
        <v>PG,SG</v>
      </c>
      <c r="E248" s="2" t="str">
        <f>PasteHashtag!E248</f>
        <v>LAC</v>
      </c>
      <c r="F248" s="2">
        <f>PasteHashtag!F248</f>
        <v>66</v>
      </c>
      <c r="G248" s="2">
        <f>PasteHashtag!G248</f>
        <v>18</v>
      </c>
      <c r="H248" s="2">
        <f>MID(PasteHashtag!H248,1+FIND("(",PasteHashtag!H248),FIND("/",PasteHashtag!H248)-FIND("(",PasteHashtag!H248)-1)*1</f>
        <v>3.6</v>
      </c>
      <c r="I248" s="2">
        <f>LEFT(PasteHashtag!H248,FIND("(",PasteHashtag!H248)-1)*1</f>
        <v>0.395</v>
      </c>
      <c r="J248" s="2">
        <f>MID(PasteHashtag!I248,1+FIND("(",PasteHashtag!I248),FIND("/",PasteHashtag!I248)-FIND("(",PasteHashtag!I248)-1)*1</f>
        <v>1.2</v>
      </c>
      <c r="K248" s="2">
        <f>LEFT(PasteHashtag!I248,FIND("(",PasteHashtag!I248)-1)*1</f>
        <v>0.829</v>
      </c>
      <c r="L248" s="2">
        <f>PasteHashtag!J248</f>
        <v>1.8</v>
      </c>
      <c r="M248" s="2">
        <f>PasteHashtag!K248</f>
        <v>10.2</v>
      </c>
      <c r="N248" s="2">
        <f>PasteHashtag!L248</f>
        <v>2.1</v>
      </c>
      <c r="O248" s="2">
        <f>PasteHashtag!M248</f>
        <v>3</v>
      </c>
      <c r="P248" s="2">
        <f>PasteHashtag!N248</f>
        <v>0.7</v>
      </c>
      <c r="Q248" s="2">
        <f>PasteHashtag!O248</f>
        <v>0.2</v>
      </c>
      <c r="R248" s="2">
        <f>PasteHashtag!P248</f>
        <v>1.4</v>
      </c>
      <c r="S248" s="2">
        <f>Mid(PasteHashtag!H248,FIND("/",PasteHashtag!H248)+1,LEN(PasteHashtag!H248)-FIND("/",PasteHashtag!H248)-1)*1</f>
        <v>9.2</v>
      </c>
      <c r="T248" s="344">
        <f>Mid(PasteHashtag!I248,FIND("/",PasteHashtag!I248)+1,LEN(PasteHashtag!I248)-FIND("/",PasteHashtag!I248)-1)*1</f>
        <v>1.4</v>
      </c>
    </row>
    <row r="249">
      <c r="A249" s="2">
        <v>248.0</v>
      </c>
      <c r="B249" s="2" t="str">
        <f>PasteHashtag!B249</f>
        <v/>
      </c>
      <c r="C249" s="343" t="str">
        <f>PasteHashtag!C249</f>
        <v>GG Jackson II</v>
      </c>
      <c r="D249" s="2" t="str">
        <f>PasteHashtag!D249</f>
        <v>SF,PF</v>
      </c>
      <c r="E249" s="2" t="str">
        <f>PasteHashtag!E249</f>
        <v>MEM</v>
      </c>
      <c r="F249" s="2">
        <f>PasteHashtag!F249</f>
        <v>64</v>
      </c>
      <c r="G249" s="2">
        <f>PasteHashtag!G249</f>
        <v>22.6</v>
      </c>
      <c r="H249" s="2">
        <f>MID(PasteHashtag!H249,1+FIND("(",PasteHashtag!H249),FIND("/",PasteHashtag!H249)-FIND("(",PasteHashtag!H249)-1)*1</f>
        <v>4.5</v>
      </c>
      <c r="I249" s="2">
        <f>LEFT(PasteHashtag!H249,FIND("(",PasteHashtag!H249)-1)*1</f>
        <v>0.428</v>
      </c>
      <c r="J249" s="2">
        <f>MID(PasteHashtag!I249,1+FIND("(",PasteHashtag!I249),FIND("/",PasteHashtag!I249)-FIND("(",PasteHashtag!I249)-1)*1</f>
        <v>2.1</v>
      </c>
      <c r="K249" s="2">
        <f>LEFT(PasteHashtag!I249,FIND("(",PasteHashtag!I249)-1)*1</f>
        <v>0.753</v>
      </c>
      <c r="L249" s="2">
        <f>PasteHashtag!J249</f>
        <v>1.9</v>
      </c>
      <c r="M249" s="2">
        <f>PasteHashtag!K249</f>
        <v>12.9</v>
      </c>
      <c r="N249" s="2">
        <f>PasteHashtag!L249</f>
        <v>3.6</v>
      </c>
      <c r="O249" s="2">
        <f>PasteHashtag!M249</f>
        <v>1.1</v>
      </c>
      <c r="P249" s="2">
        <f>PasteHashtag!N249</f>
        <v>0.5</v>
      </c>
      <c r="Q249" s="2">
        <f>PasteHashtag!O249</f>
        <v>0.4</v>
      </c>
      <c r="R249" s="2">
        <f>PasteHashtag!P249</f>
        <v>1.2</v>
      </c>
      <c r="S249" s="2">
        <f>Mid(PasteHashtag!H249,FIND("/",PasteHashtag!H249)+1,LEN(PasteHashtag!H249)-FIND("/",PasteHashtag!H249)-1)*1</f>
        <v>10.4</v>
      </c>
      <c r="T249" s="344">
        <f>Mid(PasteHashtag!I249,FIND("/",PasteHashtag!I249)+1,LEN(PasteHashtag!I249)-FIND("/",PasteHashtag!I249)-1)*1</f>
        <v>2.8</v>
      </c>
    </row>
    <row r="250">
      <c r="A250" s="2">
        <v>249.0</v>
      </c>
      <c r="B250" s="2" t="str">
        <f>PasteHashtag!B250</f>
        <v/>
      </c>
      <c r="C250" s="343" t="str">
        <f>PasteHashtag!C250</f>
        <v>Neemias Queta</v>
      </c>
      <c r="D250" s="2" t="str">
        <f>PasteHashtag!D250</f>
        <v>C</v>
      </c>
      <c r="E250" s="2" t="str">
        <f>PasteHashtag!E250</f>
        <v>BOS</v>
      </c>
      <c r="F250" s="2">
        <f>PasteHashtag!F250</f>
        <v>36</v>
      </c>
      <c r="G250" s="2">
        <f>PasteHashtag!G250</f>
        <v>12.1</v>
      </c>
      <c r="H250" s="2">
        <f>MID(PasteHashtag!H250,1+FIND("(",PasteHashtag!H250),FIND("/",PasteHashtag!H250)-FIND("(",PasteHashtag!H250)-1)*1</f>
        <v>2.5</v>
      </c>
      <c r="I250" s="2">
        <f>LEFT(PasteHashtag!H250,FIND("(",PasteHashtag!H250)-1)*1</f>
        <v>0.647</v>
      </c>
      <c r="J250" s="2">
        <f>MID(PasteHashtag!I250,1+FIND("(",PasteHashtag!I250),FIND("/",PasteHashtag!I250)-FIND("(",PasteHashtag!I250)-1)*1</f>
        <v>0.7</v>
      </c>
      <c r="K250" s="2">
        <f>LEFT(PasteHashtag!I250,FIND("(",PasteHashtag!I250)-1)*1</f>
        <v>0.673</v>
      </c>
      <c r="L250" s="2">
        <f>PasteHashtag!J250</f>
        <v>0</v>
      </c>
      <c r="M250" s="2">
        <f>PasteHashtag!K250</f>
        <v>5.6</v>
      </c>
      <c r="N250" s="2">
        <f>PasteHashtag!L250</f>
        <v>4.5</v>
      </c>
      <c r="O250" s="2">
        <f>PasteHashtag!M250</f>
        <v>0.7</v>
      </c>
      <c r="P250" s="2">
        <f>PasteHashtag!N250</f>
        <v>0.4</v>
      </c>
      <c r="Q250" s="2">
        <f>PasteHashtag!O250</f>
        <v>0.8</v>
      </c>
      <c r="R250" s="2">
        <f>PasteHashtag!P250</f>
        <v>0.5</v>
      </c>
      <c r="S250" s="2">
        <f>Mid(PasteHashtag!H250,FIND("/",PasteHashtag!H250)+1,LEN(PasteHashtag!H250)-FIND("/",PasteHashtag!H250)-1)*1</f>
        <v>3.8</v>
      </c>
      <c r="T250" s="344">
        <f>Mid(PasteHashtag!I250,FIND("/",PasteHashtag!I250)+1,LEN(PasteHashtag!I250)-FIND("/",PasteHashtag!I250)-1)*1</f>
        <v>1</v>
      </c>
    </row>
    <row r="251">
      <c r="A251" s="2">
        <v>250.0</v>
      </c>
      <c r="B251" s="2" t="str">
        <f>PasteHashtag!B251</f>
        <v/>
      </c>
      <c r="C251" s="343" t="str">
        <f>PasteHashtag!C251</f>
        <v>Scotty Pippen Jr.</v>
      </c>
      <c r="D251" s="2" t="str">
        <f>PasteHashtag!D251</f>
        <v>PG,SG</v>
      </c>
      <c r="E251" s="2" t="str">
        <f>PasteHashtag!E251</f>
        <v>MEM</v>
      </c>
      <c r="F251" s="2">
        <f>PasteHashtag!F251</f>
        <v>34</v>
      </c>
      <c r="G251" s="2">
        <f>PasteHashtag!G251</f>
        <v>14.5</v>
      </c>
      <c r="H251" s="2">
        <f>MID(PasteHashtag!H251,1+FIND("(",PasteHashtag!H251),FIND("/",PasteHashtag!H251)-FIND("(",PasteHashtag!H251)-1)*1</f>
        <v>2.7</v>
      </c>
      <c r="I251" s="2">
        <f>LEFT(PasteHashtag!H251,FIND("(",PasteHashtag!H251)-1)*1</f>
        <v>0.484</v>
      </c>
      <c r="J251" s="2">
        <f>MID(PasteHashtag!I251,1+FIND("(",PasteHashtag!I251),FIND("/",PasteHashtag!I251)-FIND("(",PasteHashtag!I251)-1)*1</f>
        <v>1.2</v>
      </c>
      <c r="K251" s="2">
        <f>LEFT(PasteHashtag!I251,FIND("(",PasteHashtag!I251)-1)*1</f>
        <v>0.72</v>
      </c>
      <c r="L251" s="2">
        <f>PasteHashtag!J251</f>
        <v>0.8</v>
      </c>
      <c r="M251" s="2">
        <f>PasteHashtag!K251</f>
        <v>7.5</v>
      </c>
      <c r="N251" s="2">
        <f>PasteHashtag!L251</f>
        <v>1.9</v>
      </c>
      <c r="O251" s="2">
        <f>PasteHashtag!M251</f>
        <v>2.6</v>
      </c>
      <c r="P251" s="2">
        <f>PasteHashtag!N251</f>
        <v>1</v>
      </c>
      <c r="Q251" s="2">
        <f>PasteHashtag!O251</f>
        <v>0.3</v>
      </c>
      <c r="R251" s="2">
        <f>PasteHashtag!P251</f>
        <v>1.5</v>
      </c>
      <c r="S251" s="2">
        <f>Mid(PasteHashtag!H251,FIND("/",PasteHashtag!H251)+1,LEN(PasteHashtag!H251)-FIND("/",PasteHashtag!H251)-1)*1</f>
        <v>5.6</v>
      </c>
      <c r="T251" s="344">
        <f>Mid(PasteHashtag!I251,FIND("/",PasteHashtag!I251)+1,LEN(PasteHashtag!I251)-FIND("/",PasteHashtag!I251)-1)*1</f>
        <v>1.7</v>
      </c>
    </row>
    <row r="252">
      <c r="A252" s="2">
        <v>251.0</v>
      </c>
      <c r="B252" s="2" t="str">
        <f>PasteHashtag!B252</f>
        <v/>
      </c>
      <c r="C252" s="343" t="str">
        <f>PasteHashtag!C252</f>
        <v>Brice Sensabaugh</v>
      </c>
      <c r="D252" s="2" t="str">
        <f>PasteHashtag!D252</f>
        <v>SF,PF</v>
      </c>
      <c r="E252" s="2" t="str">
        <f>PasteHashtag!E252</f>
        <v>UTA</v>
      </c>
      <c r="F252" s="2">
        <f>PasteHashtag!F252</f>
        <v>60</v>
      </c>
      <c r="G252" s="2">
        <f>PasteHashtag!G252</f>
        <v>23.4</v>
      </c>
      <c r="H252" s="2">
        <f>MID(PasteHashtag!H252,1+FIND("(",PasteHashtag!H252),FIND("/",PasteHashtag!H252)-FIND("(",PasteHashtag!H252)-1)*1</f>
        <v>3.4</v>
      </c>
      <c r="I252" s="2">
        <f>LEFT(PasteHashtag!H252,FIND("(",PasteHashtag!H252)-1)*1</f>
        <v>0.39</v>
      </c>
      <c r="J252" s="2">
        <f>MID(PasteHashtag!I252,1+FIND("(",PasteHashtag!I252),FIND("/",PasteHashtag!I252)-FIND("(",PasteHashtag!I252)-1)*1</f>
        <v>1.5</v>
      </c>
      <c r="K252" s="2">
        <f>LEFT(PasteHashtag!I252,FIND("(",PasteHashtag!I252)-1)*1</f>
        <v>0.904</v>
      </c>
      <c r="L252" s="2">
        <f>PasteHashtag!J252</f>
        <v>1.4</v>
      </c>
      <c r="M252" s="2">
        <f>PasteHashtag!K252</f>
        <v>9.8</v>
      </c>
      <c r="N252" s="2">
        <f>PasteHashtag!L252</f>
        <v>4.1</v>
      </c>
      <c r="O252" s="2">
        <f>PasteHashtag!M252</f>
        <v>2.2</v>
      </c>
      <c r="P252" s="2">
        <f>PasteHashtag!N252</f>
        <v>0.5</v>
      </c>
      <c r="Q252" s="2">
        <f>PasteHashtag!O252</f>
        <v>0.2</v>
      </c>
      <c r="R252" s="2">
        <f>PasteHashtag!P252</f>
        <v>1.9</v>
      </c>
      <c r="S252" s="2">
        <f>Mid(PasteHashtag!H252,FIND("/",PasteHashtag!H252)+1,LEN(PasteHashtag!H252)-FIND("/",PasteHashtag!H252)-1)*1</f>
        <v>8.8</v>
      </c>
      <c r="T252" s="344">
        <f>Mid(PasteHashtag!I252,FIND("/",PasteHashtag!I252)+1,LEN(PasteHashtag!I252)-FIND("/",PasteHashtag!I252)-1)*1</f>
        <v>1.7</v>
      </c>
    </row>
    <row r="253">
      <c r="A253" s="2">
        <v>252.0</v>
      </c>
      <c r="B253" s="2">
        <f>PasteHashtag!B253</f>
        <v>143.9</v>
      </c>
      <c r="C253" s="343" t="str">
        <f>PasteHashtag!C253</f>
        <v>Precious Achiuwa</v>
      </c>
      <c r="D253" s="2" t="str">
        <f>PasteHashtag!D253</f>
        <v>PF,C</v>
      </c>
      <c r="E253" s="2" t="str">
        <f>PasteHashtag!E253</f>
        <v>NY</v>
      </c>
      <c r="F253" s="2">
        <f>PasteHashtag!F253</f>
        <v>64</v>
      </c>
      <c r="G253" s="2">
        <f>PasteHashtag!G253</f>
        <v>20.4</v>
      </c>
      <c r="H253" s="2">
        <f>MID(PasteHashtag!H253,1+FIND("(",PasteHashtag!H253),FIND("/",PasteHashtag!H253)-FIND("(",PasteHashtag!H253)-1)*1</f>
        <v>3.1</v>
      </c>
      <c r="I253" s="2">
        <f>LEFT(PasteHashtag!H253,FIND("(",PasteHashtag!H253)-1)*1</f>
        <v>0.494</v>
      </c>
      <c r="J253" s="2">
        <f>MID(PasteHashtag!I253,1+FIND("(",PasteHashtag!I253),FIND("/",PasteHashtag!I253)-FIND("(",PasteHashtag!I253)-1)*1</f>
        <v>1.1</v>
      </c>
      <c r="K253" s="2">
        <f>LEFT(PasteHashtag!I253,FIND("(",PasteHashtag!I253)-1)*1</f>
        <v>0.661</v>
      </c>
      <c r="L253" s="2">
        <f>PasteHashtag!J253</f>
        <v>0.4</v>
      </c>
      <c r="M253" s="2">
        <f>PasteHashtag!K253</f>
        <v>7.7</v>
      </c>
      <c r="N253" s="2">
        <f>PasteHashtag!L253</f>
        <v>5.8</v>
      </c>
      <c r="O253" s="2">
        <f>PasteHashtag!M253</f>
        <v>1.1</v>
      </c>
      <c r="P253" s="2">
        <f>PasteHashtag!N253</f>
        <v>0.5</v>
      </c>
      <c r="Q253" s="2">
        <f>PasteHashtag!O253</f>
        <v>0.7</v>
      </c>
      <c r="R253" s="2">
        <f>PasteHashtag!P253</f>
        <v>1</v>
      </c>
      <c r="S253" s="2">
        <f>Mid(PasteHashtag!H253,FIND("/",PasteHashtag!H253)+1,LEN(PasteHashtag!H253)-FIND("/",PasteHashtag!H253)-1)*1</f>
        <v>6.2</v>
      </c>
      <c r="T253" s="344">
        <f>Mid(PasteHashtag!I253,FIND("/",PasteHashtag!I253)+1,LEN(PasteHashtag!I253)-FIND("/",PasteHashtag!I253)-1)*1</f>
        <v>1.7</v>
      </c>
    </row>
    <row r="254">
      <c r="A254" s="2">
        <v>253.0</v>
      </c>
      <c r="B254" s="2" t="str">
        <f>PasteHashtag!B254</f>
        <v/>
      </c>
      <c r="C254" s="343" t="str">
        <f>PasteHashtag!C254</f>
        <v>Marcus Sasser</v>
      </c>
      <c r="D254" s="2" t="str">
        <f>PasteHashtag!D254</f>
        <v>PG</v>
      </c>
      <c r="E254" s="2" t="str">
        <f>PasteHashtag!E254</f>
        <v>DET</v>
      </c>
      <c r="F254" s="2">
        <f>PasteHashtag!F254</f>
        <v>68</v>
      </c>
      <c r="G254" s="2">
        <f>PasteHashtag!G254</f>
        <v>19</v>
      </c>
      <c r="H254" s="2">
        <f>MID(PasteHashtag!H254,1+FIND("(",PasteHashtag!H254),FIND("/",PasteHashtag!H254)-FIND("(",PasteHashtag!H254)-1)*1</f>
        <v>3.1</v>
      </c>
      <c r="I254" s="2">
        <f>LEFT(PasteHashtag!H254,FIND("(",PasteHashtag!H254)-1)*1</f>
        <v>0.428</v>
      </c>
      <c r="J254" s="2">
        <f>MID(PasteHashtag!I254,1+FIND("(",PasteHashtag!I254),FIND("/",PasteHashtag!I254)-FIND("(",PasteHashtag!I254)-1)*1</f>
        <v>0.8</v>
      </c>
      <c r="K254" s="2">
        <f>LEFT(PasteHashtag!I254,FIND("(",PasteHashtag!I254)-1)*1</f>
        <v>0.872</v>
      </c>
      <c r="L254" s="2">
        <f>PasteHashtag!J254</f>
        <v>1.3</v>
      </c>
      <c r="M254" s="2">
        <f>PasteHashtag!K254</f>
        <v>8.3</v>
      </c>
      <c r="N254" s="2">
        <f>PasteHashtag!L254</f>
        <v>1.8</v>
      </c>
      <c r="O254" s="2">
        <f>PasteHashtag!M254</f>
        <v>3.4</v>
      </c>
      <c r="P254" s="2">
        <f>PasteHashtag!N254</f>
        <v>0.6</v>
      </c>
      <c r="Q254" s="2">
        <f>PasteHashtag!O254</f>
        <v>0.2</v>
      </c>
      <c r="R254" s="2">
        <f>PasteHashtag!P254</f>
        <v>1.3</v>
      </c>
      <c r="S254" s="2">
        <f>Mid(PasteHashtag!H254,FIND("/",PasteHashtag!H254)+1,LEN(PasteHashtag!H254)-FIND("/",PasteHashtag!H254)-1)*1</f>
        <v>7.3</v>
      </c>
      <c r="T254" s="344">
        <f>Mid(PasteHashtag!I254,FIND("/",PasteHashtag!I254)+1,LEN(PasteHashtag!I254)-FIND("/",PasteHashtag!I254)-1)*1</f>
        <v>0.9</v>
      </c>
    </row>
    <row r="255">
      <c r="A255" s="2">
        <v>254.0</v>
      </c>
      <c r="B255" s="2" t="str">
        <f>PasteHashtag!B255</f>
        <v/>
      </c>
      <c r="C255" s="343" t="str">
        <f>PasteHashtag!C255</f>
        <v>Trey Lyles</v>
      </c>
      <c r="D255" s="2" t="str">
        <f>PasteHashtag!D255</f>
        <v>PF,C</v>
      </c>
      <c r="E255" s="2" t="str">
        <f>PasteHashtag!E255</f>
        <v>SAC</v>
      </c>
      <c r="F255" s="2">
        <f>PasteHashtag!F255</f>
        <v>62</v>
      </c>
      <c r="G255" s="2">
        <f>PasteHashtag!G255</f>
        <v>19.4</v>
      </c>
      <c r="H255" s="2">
        <f>MID(PasteHashtag!H255,1+FIND("(",PasteHashtag!H255),FIND("/",PasteHashtag!H255)-FIND("(",PasteHashtag!H255)-1)*1</f>
        <v>2.7</v>
      </c>
      <c r="I255" s="2">
        <f>LEFT(PasteHashtag!H255,FIND("(",PasteHashtag!H255)-1)*1</f>
        <v>0.453</v>
      </c>
      <c r="J255" s="2">
        <f>MID(PasteHashtag!I255,1+FIND("(",PasteHashtag!I255),FIND("/",PasteHashtag!I255)-FIND("(",PasteHashtag!I255)-1)*1</f>
        <v>1.2</v>
      </c>
      <c r="K255" s="2">
        <f>LEFT(PasteHashtag!I255,FIND("(",PasteHashtag!I255)-1)*1</f>
        <v>0.772</v>
      </c>
      <c r="L255" s="2">
        <f>PasteHashtag!J255</f>
        <v>1.4</v>
      </c>
      <c r="M255" s="2">
        <f>PasteHashtag!K255</f>
        <v>8</v>
      </c>
      <c r="N255" s="2">
        <f>PasteHashtag!L255</f>
        <v>4.5</v>
      </c>
      <c r="O255" s="2">
        <f>PasteHashtag!M255</f>
        <v>1.1</v>
      </c>
      <c r="P255" s="2">
        <f>PasteHashtag!N255</f>
        <v>0.4</v>
      </c>
      <c r="Q255" s="2">
        <f>PasteHashtag!O255</f>
        <v>0.4</v>
      </c>
      <c r="R255" s="2">
        <f>PasteHashtag!P255</f>
        <v>0.8</v>
      </c>
      <c r="S255" s="2">
        <f>Mid(PasteHashtag!H255,FIND("/",PasteHashtag!H255)+1,LEN(PasteHashtag!H255)-FIND("/",PasteHashtag!H255)-1)*1</f>
        <v>5.9</v>
      </c>
      <c r="T255" s="344">
        <f>Mid(PasteHashtag!I255,FIND("/",PasteHashtag!I255)+1,LEN(PasteHashtag!I255)-FIND("/",PasteHashtag!I255)-1)*1</f>
        <v>1.6</v>
      </c>
    </row>
    <row r="256">
      <c r="A256" s="2">
        <v>255.0</v>
      </c>
      <c r="B256" s="2">
        <f>PasteHashtag!B256</f>
        <v>145.1</v>
      </c>
      <c r="C256" s="343" t="str">
        <f>PasteHashtag!C256</f>
        <v>Isaiah Stewart</v>
      </c>
      <c r="D256" s="2" t="str">
        <f>PasteHashtag!D256</f>
        <v>PF,C</v>
      </c>
      <c r="E256" s="2" t="str">
        <f>PasteHashtag!E256</f>
        <v>DET</v>
      </c>
      <c r="F256" s="2">
        <f>PasteHashtag!F256</f>
        <v>54</v>
      </c>
      <c r="G256" s="2">
        <f>PasteHashtag!G256</f>
        <v>22</v>
      </c>
      <c r="H256" s="2">
        <f>MID(PasteHashtag!H256,1+FIND("(",PasteHashtag!H256),FIND("/",PasteHashtag!H256)-FIND("(",PasteHashtag!H256)-1)*1</f>
        <v>3</v>
      </c>
      <c r="I256" s="2">
        <f>LEFT(PasteHashtag!H256,FIND("(",PasteHashtag!H256)-1)*1</f>
        <v>0.462</v>
      </c>
      <c r="J256" s="2">
        <f>MID(PasteHashtag!I256,1+FIND("(",PasteHashtag!I256),FIND("/",PasteHashtag!I256)-FIND("(",PasteHashtag!I256)-1)*1</f>
        <v>1.4</v>
      </c>
      <c r="K256" s="2">
        <f>LEFT(PasteHashtag!I256,FIND("(",PasteHashtag!I256)-1)*1</f>
        <v>0.743</v>
      </c>
      <c r="L256" s="2">
        <f>PasteHashtag!J256</f>
        <v>1.1</v>
      </c>
      <c r="M256" s="2">
        <f>PasteHashtag!K256</f>
        <v>8.4</v>
      </c>
      <c r="N256" s="2">
        <f>PasteHashtag!L256</f>
        <v>5.6</v>
      </c>
      <c r="O256" s="2">
        <f>PasteHashtag!M256</f>
        <v>1.1</v>
      </c>
      <c r="P256" s="2">
        <f>PasteHashtag!N256</f>
        <v>0.3</v>
      </c>
      <c r="Q256" s="2">
        <f>PasteHashtag!O256</f>
        <v>0.6</v>
      </c>
      <c r="R256" s="2">
        <f>PasteHashtag!P256</f>
        <v>1.1</v>
      </c>
      <c r="S256" s="2">
        <f>Mid(PasteHashtag!H256,FIND("/",PasteHashtag!H256)+1,LEN(PasteHashtag!H256)-FIND("/",PasteHashtag!H256)-1)*1</f>
        <v>6.5</v>
      </c>
      <c r="T256" s="344">
        <f>Mid(PasteHashtag!I256,FIND("/",PasteHashtag!I256)+1,LEN(PasteHashtag!I256)-FIND("/",PasteHashtag!I256)-1)*1</f>
        <v>1.8</v>
      </c>
    </row>
    <row r="257">
      <c r="A257" s="2">
        <v>256.0</v>
      </c>
      <c r="B257" s="2" t="str">
        <f>PasteHashtag!B257</f>
        <v/>
      </c>
      <c r="C257" s="343" t="str">
        <f>PasteHashtag!C257</f>
        <v>Georges Niang</v>
      </c>
      <c r="D257" s="2" t="str">
        <f>PasteHashtag!D257</f>
        <v>SF,PF</v>
      </c>
      <c r="E257" s="2" t="str">
        <f>PasteHashtag!E257</f>
        <v>CLE</v>
      </c>
      <c r="F257" s="2">
        <f>PasteHashtag!F257</f>
        <v>78</v>
      </c>
      <c r="G257" s="2">
        <f>PasteHashtag!G257</f>
        <v>21.4</v>
      </c>
      <c r="H257" s="2">
        <f>MID(PasteHashtag!H257,1+FIND("(",PasteHashtag!H257),FIND("/",PasteHashtag!H257)-FIND("(",PasteHashtag!H257)-1)*1</f>
        <v>3.3</v>
      </c>
      <c r="I257" s="2">
        <f>LEFT(PasteHashtag!H257,FIND("(",PasteHashtag!H257)-1)*1</f>
        <v>0.446</v>
      </c>
      <c r="J257" s="2">
        <f>MID(PasteHashtag!I257,1+FIND("(",PasteHashtag!I257),FIND("/",PasteHashtag!I257)-FIND("(",PasteHashtag!I257)-1)*1</f>
        <v>0.6</v>
      </c>
      <c r="K257" s="2">
        <f>LEFT(PasteHashtag!I257,FIND("(",PasteHashtag!I257)-1)*1</f>
        <v>0.853</v>
      </c>
      <c r="L257" s="2">
        <f>PasteHashtag!J257</f>
        <v>2</v>
      </c>
      <c r="M257" s="2">
        <f>PasteHashtag!K257</f>
        <v>9.1</v>
      </c>
      <c r="N257" s="2">
        <f>PasteHashtag!L257</f>
        <v>3</v>
      </c>
      <c r="O257" s="2">
        <f>PasteHashtag!M257</f>
        <v>1.1</v>
      </c>
      <c r="P257" s="2">
        <f>PasteHashtag!N257</f>
        <v>0.4</v>
      </c>
      <c r="Q257" s="2">
        <f>PasteHashtag!O257</f>
        <v>0.2</v>
      </c>
      <c r="R257" s="2">
        <f>PasteHashtag!P257</f>
        <v>0.8</v>
      </c>
      <c r="S257" s="2">
        <f>Mid(PasteHashtag!H257,FIND("/",PasteHashtag!H257)+1,LEN(PasteHashtag!H257)-FIND("/",PasteHashtag!H257)-1)*1</f>
        <v>7.3</v>
      </c>
      <c r="T257" s="344">
        <f>Mid(PasteHashtag!I257,FIND("/",PasteHashtag!I257)+1,LEN(PasteHashtag!I257)-FIND("/",PasteHashtag!I257)-1)*1</f>
        <v>0.7</v>
      </c>
    </row>
    <row r="258">
      <c r="A258" s="2">
        <v>257.0</v>
      </c>
      <c r="B258" s="2" t="str">
        <f>PasteHashtag!B258</f>
        <v/>
      </c>
      <c r="C258" s="343" t="str">
        <f>PasteHashtag!C258</f>
        <v>Jose Alvarado</v>
      </c>
      <c r="D258" s="2" t="str">
        <f>PasteHashtag!D258</f>
        <v>PG</v>
      </c>
      <c r="E258" s="2" t="str">
        <f>PasteHashtag!E258</f>
        <v>NO</v>
      </c>
      <c r="F258" s="2">
        <f>PasteHashtag!F258</f>
        <v>60</v>
      </c>
      <c r="G258" s="2">
        <f>PasteHashtag!G258</f>
        <v>18</v>
      </c>
      <c r="H258" s="2">
        <f>MID(PasteHashtag!H258,1+FIND("(",PasteHashtag!H258),FIND("/",PasteHashtag!H258)-FIND("(",PasteHashtag!H258)-1)*1</f>
        <v>2.7</v>
      </c>
      <c r="I258" s="2">
        <f>LEFT(PasteHashtag!H258,FIND("(",PasteHashtag!H258)-1)*1</f>
        <v>0.411</v>
      </c>
      <c r="J258" s="2">
        <f>MID(PasteHashtag!I258,1+FIND("(",PasteHashtag!I258),FIND("/",PasteHashtag!I258)-FIND("(",PasteHashtag!I258)-1)*1</f>
        <v>0.8</v>
      </c>
      <c r="K258" s="2">
        <f>LEFT(PasteHashtag!I258,FIND("(",PasteHashtag!I258)-1)*1</f>
        <v>0.757</v>
      </c>
      <c r="L258" s="2">
        <f>PasteHashtag!J258</f>
        <v>1.3</v>
      </c>
      <c r="M258" s="2">
        <f>PasteHashtag!K258</f>
        <v>7.4</v>
      </c>
      <c r="N258" s="2">
        <f>PasteHashtag!L258</f>
        <v>2.1</v>
      </c>
      <c r="O258" s="2">
        <f>PasteHashtag!M258</f>
        <v>2.4</v>
      </c>
      <c r="P258" s="2">
        <f>PasteHashtag!N258</f>
        <v>1</v>
      </c>
      <c r="Q258" s="2">
        <f>PasteHashtag!O258</f>
        <v>0.2</v>
      </c>
      <c r="R258" s="2">
        <f>PasteHashtag!P258</f>
        <v>0.9</v>
      </c>
      <c r="S258" s="2">
        <f>Mid(PasteHashtag!H258,FIND("/",PasteHashtag!H258)+1,LEN(PasteHashtag!H258)-FIND("/",PasteHashtag!H258)-1)*1</f>
        <v>6.5</v>
      </c>
      <c r="T258" s="344">
        <f>Mid(PasteHashtag!I258,FIND("/",PasteHashtag!I258)+1,LEN(PasteHashtag!I258)-FIND("/",PasteHashtag!I258)-1)*1</f>
        <v>1</v>
      </c>
    </row>
    <row r="259">
      <c r="A259" s="2">
        <v>258.0</v>
      </c>
      <c r="B259" s="2" t="str">
        <f>PasteHashtag!B259</f>
        <v/>
      </c>
      <c r="C259" s="343" t="str">
        <f>PasteHashtag!C259</f>
        <v>Saddiq Bey</v>
      </c>
      <c r="D259" s="2" t="str">
        <f>PasteHashtag!D259</f>
        <v>SF,PF</v>
      </c>
      <c r="E259" s="2" t="str">
        <f>PasteHashtag!E259</f>
        <v>WAS</v>
      </c>
      <c r="F259" s="2">
        <f>PasteHashtag!F259</f>
        <v>10</v>
      </c>
      <c r="G259" s="2">
        <f>PasteHashtag!G259</f>
        <v>20.6</v>
      </c>
      <c r="H259" s="2">
        <f>MID(PasteHashtag!H259,1+FIND("(",PasteHashtag!H259),FIND("/",PasteHashtag!H259)-FIND("(",PasteHashtag!H259)-1)*1</f>
        <v>3.1</v>
      </c>
      <c r="I259" s="2">
        <f>LEFT(PasteHashtag!H259,FIND("(",PasteHashtag!H259)-1)*1</f>
        <v>0.419</v>
      </c>
      <c r="J259" s="2">
        <f>MID(PasteHashtag!I259,1+FIND("(",PasteHashtag!I259),FIND("/",PasteHashtag!I259)-FIND("(",PasteHashtag!I259)-1)*1</f>
        <v>1.8</v>
      </c>
      <c r="K259" s="2">
        <f>LEFT(PasteHashtag!I259,FIND("(",PasteHashtag!I259)-1)*1</f>
        <v>0.854</v>
      </c>
      <c r="L259" s="2">
        <f>PasteHashtag!J259</f>
        <v>1.3</v>
      </c>
      <c r="M259" s="2">
        <f>PasteHashtag!K259</f>
        <v>9.3</v>
      </c>
      <c r="N259" s="2">
        <f>PasteHashtag!L259</f>
        <v>3.7</v>
      </c>
      <c r="O259" s="2">
        <f>PasteHashtag!M259</f>
        <v>1</v>
      </c>
      <c r="P259" s="2">
        <f>PasteHashtag!N259</f>
        <v>0.6</v>
      </c>
      <c r="Q259" s="2">
        <f>PasteHashtag!O259</f>
        <v>0.1</v>
      </c>
      <c r="R259" s="2">
        <f>PasteHashtag!P259</f>
        <v>0.6</v>
      </c>
      <c r="S259" s="2">
        <f>Mid(PasteHashtag!H259,FIND("/",PasteHashtag!H259)+1,LEN(PasteHashtag!H259)-FIND("/",PasteHashtag!H259)-1)*1</f>
        <v>7.4</v>
      </c>
      <c r="T259" s="344">
        <f>Mid(PasteHashtag!I259,FIND("/",PasteHashtag!I259)+1,LEN(PasteHashtag!I259)-FIND("/",PasteHashtag!I259)-1)*1</f>
        <v>2.1</v>
      </c>
    </row>
    <row r="260">
      <c r="A260" s="2">
        <v>259.0</v>
      </c>
      <c r="B260" s="2" t="str">
        <f>PasteHashtag!B260</f>
        <v/>
      </c>
      <c r="C260" s="343" t="str">
        <f>PasteHashtag!C260</f>
        <v>Reggie Jackson</v>
      </c>
      <c r="D260" s="2" t="str">
        <f>PasteHashtag!D260</f>
        <v>PG,SG</v>
      </c>
      <c r="E260" s="2" t="str">
        <f>PasteHashtag!E260</f>
        <v>PHI</v>
      </c>
      <c r="F260" s="2">
        <f>PasteHashtag!F260</f>
        <v>71</v>
      </c>
      <c r="G260" s="2">
        <f>PasteHashtag!G260</f>
        <v>22.4</v>
      </c>
      <c r="H260" s="2">
        <f>MID(PasteHashtag!H260,1+FIND("(",PasteHashtag!H260),FIND("/",PasteHashtag!H260)-FIND("(",PasteHashtag!H260)-1)*1</f>
        <v>3.8</v>
      </c>
      <c r="I260" s="2">
        <f>LEFT(PasteHashtag!H260,FIND("(",PasteHashtag!H260)-1)*1</f>
        <v>0.422</v>
      </c>
      <c r="J260" s="2">
        <f>MID(PasteHashtag!I260,1+FIND("(",PasteHashtag!I260),FIND("/",PasteHashtag!I260)-FIND("(",PasteHashtag!I260)-1)*1</f>
        <v>1</v>
      </c>
      <c r="K260" s="2">
        <f>LEFT(PasteHashtag!I260,FIND("(",PasteHashtag!I260)-1)*1</f>
        <v>0.852</v>
      </c>
      <c r="L260" s="2">
        <f>PasteHashtag!J260</f>
        <v>1.3</v>
      </c>
      <c r="M260" s="2">
        <f>PasteHashtag!K260</f>
        <v>9.9</v>
      </c>
      <c r="N260" s="2">
        <f>PasteHashtag!L260</f>
        <v>2</v>
      </c>
      <c r="O260" s="2">
        <f>PasteHashtag!M260</f>
        <v>3.5</v>
      </c>
      <c r="P260" s="2">
        <f>PasteHashtag!N260</f>
        <v>0.6</v>
      </c>
      <c r="Q260" s="2">
        <f>PasteHashtag!O260</f>
        <v>0.1</v>
      </c>
      <c r="R260" s="2">
        <f>PasteHashtag!P260</f>
        <v>1.4</v>
      </c>
      <c r="S260" s="2">
        <f>Mid(PasteHashtag!H260,FIND("/",PasteHashtag!H260)+1,LEN(PasteHashtag!H260)-FIND("/",PasteHashtag!H260)-1)*1</f>
        <v>9.1</v>
      </c>
      <c r="T260" s="344">
        <f>Mid(PasteHashtag!I260,FIND("/",PasteHashtag!I260)+1,LEN(PasteHashtag!I260)-FIND("/",PasteHashtag!I260)-1)*1</f>
        <v>1.2</v>
      </c>
    </row>
    <row r="261">
      <c r="A261" s="2">
        <v>260.0</v>
      </c>
      <c r="B261" s="2" t="str">
        <f>PasteHashtag!B261</f>
        <v/>
      </c>
      <c r="C261" s="343" t="str">
        <f>PasteHashtag!C261</f>
        <v>Goga Bitadze</v>
      </c>
      <c r="D261" s="2" t="str">
        <f>PasteHashtag!D261</f>
        <v>C</v>
      </c>
      <c r="E261" s="2" t="str">
        <f>PasteHashtag!E261</f>
        <v>ORL</v>
      </c>
      <c r="F261" s="2">
        <f>PasteHashtag!F261</f>
        <v>60</v>
      </c>
      <c r="G261" s="2">
        <f>PasteHashtag!G261</f>
        <v>14.4</v>
      </c>
      <c r="H261" s="2">
        <f>MID(PasteHashtag!H261,1+FIND("(",PasteHashtag!H261),FIND("/",PasteHashtag!H261)-FIND("(",PasteHashtag!H261)-1)*1</f>
        <v>2</v>
      </c>
      <c r="I261" s="2">
        <f>LEFT(PasteHashtag!H261,FIND("(",PasteHashtag!H261)-1)*1</f>
        <v>0.583</v>
      </c>
      <c r="J261" s="2">
        <f>MID(PasteHashtag!I261,1+FIND("(",PasteHashtag!I261),FIND("/",PasteHashtag!I261)-FIND("(",PasteHashtag!I261)-1)*1</f>
        <v>0.8</v>
      </c>
      <c r="K261" s="2">
        <f>LEFT(PasteHashtag!I261,FIND("(",PasteHashtag!I261)-1)*1</f>
        <v>0.617</v>
      </c>
      <c r="L261" s="2">
        <f>PasteHashtag!J261</f>
        <v>0.1</v>
      </c>
      <c r="M261" s="2">
        <f>PasteHashtag!K261</f>
        <v>4.9</v>
      </c>
      <c r="N261" s="2">
        <f>PasteHashtag!L261</f>
        <v>4.4</v>
      </c>
      <c r="O261" s="2">
        <f>PasteHashtag!M261</f>
        <v>1.2</v>
      </c>
      <c r="P261" s="2">
        <f>PasteHashtag!N261</f>
        <v>0.5</v>
      </c>
      <c r="Q261" s="2">
        <f>PasteHashtag!O261</f>
        <v>1</v>
      </c>
      <c r="R261" s="2">
        <f>PasteHashtag!P261</f>
        <v>0.7</v>
      </c>
      <c r="S261" s="2">
        <f>Mid(PasteHashtag!H261,FIND("/",PasteHashtag!H261)+1,LEN(PasteHashtag!H261)-FIND("/",PasteHashtag!H261)-1)*1</f>
        <v>3.4</v>
      </c>
      <c r="T261" s="344">
        <f>Mid(PasteHashtag!I261,FIND("/",PasteHashtag!I261)+1,LEN(PasteHashtag!I261)-FIND("/",PasteHashtag!I261)-1)*1</f>
        <v>1.3</v>
      </c>
    </row>
    <row r="262">
      <c r="A262" s="2">
        <v>261.0</v>
      </c>
      <c r="B262" s="2">
        <f>PasteHashtag!B262</f>
        <v>141.7</v>
      </c>
      <c r="C262" s="343" t="str">
        <f>PasteHashtag!C262</f>
        <v>Stephon Castle</v>
      </c>
      <c r="D262" s="2" t="str">
        <f>PasteHashtag!D262</f>
        <v>PG</v>
      </c>
      <c r="E262" s="2" t="str">
        <f>PasteHashtag!E262</f>
        <v>SA</v>
      </c>
      <c r="F262" s="2">
        <f>PasteHashtag!F262</f>
        <v>68</v>
      </c>
      <c r="G262" s="2">
        <f>PasteHashtag!G262</f>
        <v>24</v>
      </c>
      <c r="H262" s="2">
        <f>MID(PasteHashtag!H262,1+FIND("(",PasteHashtag!H262),FIND("/",PasteHashtag!H262)-FIND("(",PasteHashtag!H262)-1)*1</f>
        <v>2.7</v>
      </c>
      <c r="I262" s="2">
        <f>LEFT(PasteHashtag!H262,FIND("(",PasteHashtag!H262)-1)*1</f>
        <v>0.465</v>
      </c>
      <c r="J262" s="2">
        <f>MID(PasteHashtag!I262,1+FIND("(",PasteHashtag!I262),FIND("/",PasteHashtag!I262)-FIND("(",PasteHashtag!I262)-1)*1</f>
        <v>1.6</v>
      </c>
      <c r="K262" s="2">
        <f>LEFT(PasteHashtag!I262,FIND("(",PasteHashtag!I262)-1)*1</f>
        <v>0.755</v>
      </c>
      <c r="L262" s="2">
        <f>PasteHashtag!J262</f>
        <v>0.4</v>
      </c>
      <c r="M262" s="2">
        <f>PasteHashtag!K262</f>
        <v>7.5</v>
      </c>
      <c r="N262" s="2">
        <f>PasteHashtag!L262</f>
        <v>3.1</v>
      </c>
      <c r="O262" s="2">
        <f>PasteHashtag!M262</f>
        <v>2.6</v>
      </c>
      <c r="P262" s="2">
        <f>PasteHashtag!N262</f>
        <v>0.8</v>
      </c>
      <c r="Q262" s="2">
        <f>PasteHashtag!O262</f>
        <v>0.4</v>
      </c>
      <c r="R262" s="2">
        <f>PasteHashtag!P262</f>
        <v>1</v>
      </c>
      <c r="S262" s="2">
        <f>Mid(PasteHashtag!H262,FIND("/",PasteHashtag!H262)+1,LEN(PasteHashtag!H262)-FIND("/",PasteHashtag!H262)-1)*1</f>
        <v>5.8</v>
      </c>
      <c r="T262" s="344">
        <f>Mid(PasteHashtag!I262,FIND("/",PasteHashtag!I262)+1,LEN(PasteHashtag!I262)-FIND("/",PasteHashtag!I262)-1)*1</f>
        <v>2.2</v>
      </c>
    </row>
    <row r="263">
      <c r="A263" s="2">
        <v>262.0</v>
      </c>
      <c r="B263" s="2" t="str">
        <f>PasteHashtag!B263</f>
        <v/>
      </c>
      <c r="C263" s="343" t="str">
        <f>PasteHashtag!C263</f>
        <v>Gary Payton II</v>
      </c>
      <c r="D263" s="2" t="str">
        <f>PasteHashtag!D263</f>
        <v>SG,SF</v>
      </c>
      <c r="E263" s="2" t="str">
        <f>PasteHashtag!E263</f>
        <v>GS</v>
      </c>
      <c r="F263" s="2">
        <f>PasteHashtag!F263</f>
        <v>42</v>
      </c>
      <c r="G263" s="2">
        <f>PasteHashtag!G263</f>
        <v>14.8</v>
      </c>
      <c r="H263" s="2">
        <f>MID(PasteHashtag!H263,1+FIND("(",PasteHashtag!H263),FIND("/",PasteHashtag!H263)-FIND("(",PasteHashtag!H263)-1)*1</f>
        <v>2.1</v>
      </c>
      <c r="I263" s="2">
        <f>LEFT(PasteHashtag!H263,FIND("(",PasteHashtag!H263)-1)*1</f>
        <v>0.572</v>
      </c>
      <c r="J263" s="2">
        <f>MID(PasteHashtag!I263,1+FIND("(",PasteHashtag!I263),FIND("/",PasteHashtag!I263)-FIND("(",PasteHashtag!I263)-1)*1</f>
        <v>0.3</v>
      </c>
      <c r="K263" s="2">
        <f>LEFT(PasteHashtag!I263,FIND("(",PasteHashtag!I263)-1)*1</f>
        <v>0.674</v>
      </c>
      <c r="L263" s="2">
        <f>PasteHashtag!J263</f>
        <v>0.5</v>
      </c>
      <c r="M263" s="2">
        <f>PasteHashtag!K263</f>
        <v>4.9</v>
      </c>
      <c r="N263" s="2">
        <f>PasteHashtag!L263</f>
        <v>2.6</v>
      </c>
      <c r="O263" s="2">
        <f>PasteHashtag!M263</f>
        <v>1.1</v>
      </c>
      <c r="P263" s="2">
        <f>PasteHashtag!N263</f>
        <v>0.9</v>
      </c>
      <c r="Q263" s="2">
        <f>PasteHashtag!O263</f>
        <v>0.3</v>
      </c>
      <c r="R263" s="2">
        <f>PasteHashtag!P263</f>
        <v>0.6</v>
      </c>
      <c r="S263" s="2">
        <f>Mid(PasteHashtag!H263,FIND("/",PasteHashtag!H263)+1,LEN(PasteHashtag!H263)-FIND("/",PasteHashtag!H263)-1)*1</f>
        <v>3.6</v>
      </c>
      <c r="T263" s="344">
        <f>Mid(PasteHashtag!I263,FIND("/",PasteHashtag!I263)+1,LEN(PasteHashtag!I263)-FIND("/",PasteHashtag!I263)-1)*1</f>
        <v>0.4</v>
      </c>
    </row>
    <row r="264">
      <c r="A264" s="2">
        <v>263.0</v>
      </c>
      <c r="B264" s="2">
        <f>PasteHashtag!B264</f>
        <v>145.3</v>
      </c>
      <c r="C264" s="343" t="str">
        <f>PasteHashtag!C264</f>
        <v>Matas Buzelis</v>
      </c>
      <c r="D264" s="2" t="str">
        <f>PasteHashtag!D264</f>
        <v>SF</v>
      </c>
      <c r="E264" s="2" t="str">
        <f>PasteHashtag!E264</f>
        <v>CHI</v>
      </c>
      <c r="F264" s="2">
        <f>PasteHashtag!F264</f>
        <v>60</v>
      </c>
      <c r="G264" s="2">
        <f>PasteHashtag!G264</f>
        <v>23.8</v>
      </c>
      <c r="H264" s="2">
        <f>MID(PasteHashtag!H264,1+FIND("(",PasteHashtag!H264),FIND("/",PasteHashtag!H264)-FIND("(",PasteHashtag!H264)-1)*1</f>
        <v>3.1</v>
      </c>
      <c r="I264" s="2">
        <f>LEFT(PasteHashtag!H264,FIND("(",PasteHashtag!H264)-1)*1</f>
        <v>0.447</v>
      </c>
      <c r="J264" s="2">
        <f>MID(PasteHashtag!I264,1+FIND("(",PasteHashtag!I264),FIND("/",PasteHashtag!I264)-FIND("(",PasteHashtag!I264)-1)*1</f>
        <v>0.8</v>
      </c>
      <c r="K264" s="2">
        <f>LEFT(PasteHashtag!I264,FIND("(",PasteHashtag!I264)-1)*1</f>
        <v>0.678</v>
      </c>
      <c r="L264" s="2">
        <f>PasteHashtag!J264</f>
        <v>0.5</v>
      </c>
      <c r="M264" s="2">
        <f>PasteHashtag!K264</f>
        <v>7.4</v>
      </c>
      <c r="N264" s="2">
        <f>PasteHashtag!L264</f>
        <v>3.9</v>
      </c>
      <c r="O264" s="2">
        <f>PasteHashtag!M264</f>
        <v>1.1</v>
      </c>
      <c r="P264" s="2">
        <f>PasteHashtag!N264</f>
        <v>0.5</v>
      </c>
      <c r="Q264" s="2">
        <f>PasteHashtag!O264</f>
        <v>1.2</v>
      </c>
      <c r="R264" s="2">
        <f>PasteHashtag!P264</f>
        <v>1.3</v>
      </c>
      <c r="S264" s="2">
        <f>Mid(PasteHashtag!H264,FIND("/",PasteHashtag!H264)+1,LEN(PasteHashtag!H264)-FIND("/",PasteHashtag!H264)-1)*1</f>
        <v>6.8</v>
      </c>
      <c r="T264" s="344">
        <f>Mid(PasteHashtag!I264,FIND("/",PasteHashtag!I264)+1,LEN(PasteHashtag!I264)-FIND("/",PasteHashtag!I264)-1)*1</f>
        <v>1.2</v>
      </c>
    </row>
    <row r="265">
      <c r="A265" s="2">
        <v>264.0</v>
      </c>
      <c r="B265" s="2" t="str">
        <f>PasteHashtag!B265</f>
        <v/>
      </c>
      <c r="C265" s="343" t="str">
        <f>PasteHashtag!C265</f>
        <v>Jonathan Mogbo</v>
      </c>
      <c r="D265" s="2" t="str">
        <f>PasteHashtag!D265</f>
        <v>PF</v>
      </c>
      <c r="E265" s="2" t="str">
        <f>PasteHashtag!E265</f>
        <v>TOR</v>
      </c>
      <c r="F265" s="2">
        <f>PasteHashtag!F265</f>
        <v>50</v>
      </c>
      <c r="G265" s="2">
        <f>PasteHashtag!G265</f>
        <v>15.4</v>
      </c>
      <c r="H265" s="2">
        <f>MID(PasteHashtag!H265,1+FIND("(",PasteHashtag!H265),FIND("/",PasteHashtag!H265)-FIND("(",PasteHashtag!H265)-1)*1</f>
        <v>2.4</v>
      </c>
      <c r="I265" s="2">
        <f>LEFT(PasteHashtag!H265,FIND("(",PasteHashtag!H265)-1)*1</f>
        <v>0.635</v>
      </c>
      <c r="J265" s="2">
        <f>MID(PasteHashtag!I265,1+FIND("(",PasteHashtag!I265),FIND("/",PasteHashtag!I265)-FIND("(",PasteHashtag!I265)-1)*1</f>
        <v>0.9</v>
      </c>
      <c r="K265" s="2">
        <f>LEFT(PasteHashtag!I265,FIND("(",PasteHashtag!I265)-1)*1</f>
        <v>0.697</v>
      </c>
      <c r="L265" s="2">
        <f>PasteHashtag!J265</f>
        <v>0</v>
      </c>
      <c r="M265" s="2">
        <f>PasteHashtag!K265</f>
        <v>5.7</v>
      </c>
      <c r="N265" s="2">
        <f>PasteHashtag!L265</f>
        <v>4.1</v>
      </c>
      <c r="O265" s="2">
        <f>PasteHashtag!M265</f>
        <v>1.5</v>
      </c>
      <c r="P265" s="2">
        <f>PasteHashtag!N265</f>
        <v>0.6</v>
      </c>
      <c r="Q265" s="2">
        <f>PasteHashtag!O265</f>
        <v>0.3</v>
      </c>
      <c r="R265" s="2">
        <f>PasteHashtag!P265</f>
        <v>0.7</v>
      </c>
      <c r="S265" s="2">
        <f>Mid(PasteHashtag!H265,FIND("/",PasteHashtag!H265)+1,LEN(PasteHashtag!H265)-FIND("/",PasteHashtag!H265)-1)*1</f>
        <v>3.8</v>
      </c>
      <c r="T265" s="344">
        <f>Mid(PasteHashtag!I265,FIND("/",PasteHashtag!I265)+1,LEN(PasteHashtag!I265)-FIND("/",PasteHashtag!I265)-1)*1</f>
        <v>1.2</v>
      </c>
    </row>
    <row r="266">
      <c r="A266" s="2">
        <v>265.0</v>
      </c>
      <c r="B266" s="2" t="str">
        <f>PasteHashtag!B266</f>
        <v/>
      </c>
      <c r="C266" s="343" t="str">
        <f>PasteHashtag!C266</f>
        <v>Moses Moody</v>
      </c>
      <c r="D266" s="2" t="str">
        <f>PasteHashtag!D266</f>
        <v>SG,SF</v>
      </c>
      <c r="E266" s="2" t="str">
        <f>PasteHashtag!E266</f>
        <v>GS</v>
      </c>
      <c r="F266" s="2">
        <f>PasteHashtag!F266</f>
        <v>68</v>
      </c>
      <c r="G266" s="2">
        <f>PasteHashtag!G266</f>
        <v>19.8</v>
      </c>
      <c r="H266" s="2">
        <f>MID(PasteHashtag!H266,1+FIND("(",PasteHashtag!H266),FIND("/",PasteHashtag!H266)-FIND("(",PasteHashtag!H266)-1)*1</f>
        <v>3.1</v>
      </c>
      <c r="I266" s="2">
        <f>LEFT(PasteHashtag!H266,FIND("(",PasteHashtag!H266)-1)*1</f>
        <v>0.466</v>
      </c>
      <c r="J266" s="2">
        <f>MID(PasteHashtag!I266,1+FIND("(",PasteHashtag!I266),FIND("/",PasteHashtag!I266)-FIND("(",PasteHashtag!I266)-1)*1</f>
        <v>1.1</v>
      </c>
      <c r="K266" s="2">
        <f>LEFT(PasteHashtag!I266,FIND("(",PasteHashtag!I266)-1)*1</f>
        <v>0.757</v>
      </c>
      <c r="L266" s="2">
        <f>PasteHashtag!J266</f>
        <v>1.2</v>
      </c>
      <c r="M266" s="2">
        <f>PasteHashtag!K266</f>
        <v>8.5</v>
      </c>
      <c r="N266" s="2">
        <f>PasteHashtag!L266</f>
        <v>3.1</v>
      </c>
      <c r="O266" s="2">
        <f>PasteHashtag!M266</f>
        <v>1.1</v>
      </c>
      <c r="P266" s="2">
        <f>PasteHashtag!N266</f>
        <v>0.6</v>
      </c>
      <c r="Q266" s="2">
        <f>PasteHashtag!O266</f>
        <v>0.3</v>
      </c>
      <c r="R266" s="2">
        <f>PasteHashtag!P266</f>
        <v>0.8</v>
      </c>
      <c r="S266" s="2">
        <f>Mid(PasteHashtag!H266,FIND("/",PasteHashtag!H266)+1,LEN(PasteHashtag!H266)-FIND("/",PasteHashtag!H266)-1)*1</f>
        <v>6.6</v>
      </c>
      <c r="T266" s="344">
        <f>Mid(PasteHashtag!I266,FIND("/",PasteHashtag!I266)+1,LEN(PasteHashtag!I266)-FIND("/",PasteHashtag!I266)-1)*1</f>
        <v>1.5</v>
      </c>
    </row>
    <row r="267">
      <c r="A267" s="2">
        <v>266.0</v>
      </c>
      <c r="B267" s="2" t="str">
        <f>PasteHashtag!B267</f>
        <v/>
      </c>
      <c r="C267" s="343" t="str">
        <f>PasteHashtag!C267</f>
        <v>Killian Hayes</v>
      </c>
      <c r="D267" s="2" t="str">
        <f>PasteHashtag!D267</f>
        <v>PG,SG</v>
      </c>
      <c r="E267" s="2" t="str">
        <f>PasteHashtag!E267</f>
        <v>BKN</v>
      </c>
      <c r="F267" s="2">
        <f>PasteHashtag!F267</f>
        <v>40</v>
      </c>
      <c r="G267" s="2">
        <f>PasteHashtag!G267</f>
        <v>20.4</v>
      </c>
      <c r="H267" s="2">
        <f>MID(PasteHashtag!H267,1+FIND("(",PasteHashtag!H267),FIND("/",PasteHashtag!H267)-FIND("(",PasteHashtag!H267)-1)*1</f>
        <v>2.8</v>
      </c>
      <c r="I267" s="2">
        <f>LEFT(PasteHashtag!H267,FIND("(",PasteHashtag!H267)-1)*1</f>
        <v>0.385</v>
      </c>
      <c r="J267" s="2">
        <f>MID(PasteHashtag!I267,1+FIND("(",PasteHashtag!I267),FIND("/",PasteHashtag!I267)-FIND("(",PasteHashtag!I267)-1)*1</f>
        <v>0.8</v>
      </c>
      <c r="K267" s="2">
        <f>LEFT(PasteHashtag!I267,FIND("(",PasteHashtag!I267)-1)*1</f>
        <v>0.764</v>
      </c>
      <c r="L267" s="2">
        <f>PasteHashtag!J267</f>
        <v>0.7</v>
      </c>
      <c r="M267" s="2">
        <f>PasteHashtag!K267</f>
        <v>7</v>
      </c>
      <c r="N267" s="2">
        <f>PasteHashtag!L267</f>
        <v>2.2</v>
      </c>
      <c r="O267" s="2">
        <f>PasteHashtag!M267</f>
        <v>4.4</v>
      </c>
      <c r="P267" s="2">
        <f>PasteHashtag!N267</f>
        <v>0.9</v>
      </c>
      <c r="Q267" s="2">
        <f>PasteHashtag!O267</f>
        <v>0.3</v>
      </c>
      <c r="R267" s="2">
        <f>PasteHashtag!P267</f>
        <v>1.5</v>
      </c>
      <c r="S267" s="2">
        <f>Mid(PasteHashtag!H267,FIND("/",PasteHashtag!H267)+1,LEN(PasteHashtag!H267)-FIND("/",PasteHashtag!H267)-1)*1</f>
        <v>7.2</v>
      </c>
      <c r="T267" s="344">
        <f>Mid(PasteHashtag!I267,FIND("/",PasteHashtag!I267)+1,LEN(PasteHashtag!I267)-FIND("/",PasteHashtag!I267)-1)*1</f>
        <v>1.1</v>
      </c>
    </row>
    <row r="268">
      <c r="A268" s="2">
        <v>267.0</v>
      </c>
      <c r="B268" s="2" t="str">
        <f>PasteHashtag!B268</f>
        <v/>
      </c>
      <c r="C268" s="343" t="str">
        <f>PasteHashtag!C268</f>
        <v>Quentin Grimes</v>
      </c>
      <c r="D268" s="2" t="str">
        <f>PasteHashtag!D268</f>
        <v>SG,SF</v>
      </c>
      <c r="E268" s="2" t="str">
        <f>PasteHashtag!E268</f>
        <v>DAL</v>
      </c>
      <c r="F268" s="2">
        <f>PasteHashtag!F268</f>
        <v>60</v>
      </c>
      <c r="G268" s="2">
        <f>PasteHashtag!G268</f>
        <v>22.1</v>
      </c>
      <c r="H268" s="2">
        <f>MID(PasteHashtag!H268,1+FIND("(",PasteHashtag!H268),FIND("/",PasteHashtag!H268)-FIND("(",PasteHashtag!H268)-1)*1</f>
        <v>2.9</v>
      </c>
      <c r="I268" s="2">
        <f>LEFT(PasteHashtag!H268,FIND("(",PasteHashtag!H268)-1)*1</f>
        <v>0.435</v>
      </c>
      <c r="J268" s="2">
        <f>MID(PasteHashtag!I268,1+FIND("(",PasteHashtag!I268),FIND("/",PasteHashtag!I268)-FIND("(",PasteHashtag!I268)-1)*1</f>
        <v>0.8</v>
      </c>
      <c r="K268" s="2">
        <f>LEFT(PasteHashtag!I268,FIND("(",PasteHashtag!I268)-1)*1</f>
        <v>0.792</v>
      </c>
      <c r="L268" s="2">
        <f>PasteHashtag!J268</f>
        <v>1.7</v>
      </c>
      <c r="M268" s="2">
        <f>PasteHashtag!K268</f>
        <v>8.2</v>
      </c>
      <c r="N268" s="2">
        <f>PasteHashtag!L268</f>
        <v>2.3</v>
      </c>
      <c r="O268" s="2">
        <f>PasteHashtag!M268</f>
        <v>1.5</v>
      </c>
      <c r="P268" s="2">
        <f>PasteHashtag!N268</f>
        <v>0.6</v>
      </c>
      <c r="Q268" s="2">
        <f>PasteHashtag!O268</f>
        <v>0.2</v>
      </c>
      <c r="R268" s="2">
        <f>PasteHashtag!P268</f>
        <v>0.7</v>
      </c>
      <c r="S268" s="2">
        <f>Mid(PasteHashtag!H268,FIND("/",PasteHashtag!H268)+1,LEN(PasteHashtag!H268)-FIND("/",PasteHashtag!H268)-1)*1</f>
        <v>6.6</v>
      </c>
      <c r="T268" s="344">
        <f>Mid(PasteHashtag!I268,FIND("/",PasteHashtag!I268)+1,LEN(PasteHashtag!I268)-FIND("/",PasteHashtag!I268)-1)*1</f>
        <v>1</v>
      </c>
    </row>
    <row r="269">
      <c r="A269" s="2">
        <v>268.0</v>
      </c>
      <c r="B269" s="2" t="str">
        <f>PasteHashtag!B269</f>
        <v/>
      </c>
      <c r="C269" s="343" t="str">
        <f>PasteHashtag!C269</f>
        <v>Torrey Craig</v>
      </c>
      <c r="D269" s="2" t="str">
        <f>PasteHashtag!D269</f>
        <v>SF,PF</v>
      </c>
      <c r="E269" s="2" t="str">
        <f>PasteHashtag!E269</f>
        <v>CHI</v>
      </c>
      <c r="F269" s="2">
        <f>PasteHashtag!F269</f>
        <v>58</v>
      </c>
      <c r="G269" s="2">
        <f>PasteHashtag!G269</f>
        <v>18.9</v>
      </c>
      <c r="H269" s="2">
        <f>MID(PasteHashtag!H269,1+FIND("(",PasteHashtag!H269),FIND("/",PasteHashtag!H269)-FIND("(",PasteHashtag!H269)-1)*1</f>
        <v>2.1</v>
      </c>
      <c r="I269" s="2">
        <f>LEFT(PasteHashtag!H269,FIND("(",PasteHashtag!H269)-1)*1</f>
        <v>0.447</v>
      </c>
      <c r="J269" s="2">
        <f>MID(PasteHashtag!I269,1+FIND("(",PasteHashtag!I269),FIND("/",PasteHashtag!I269)-FIND("(",PasteHashtag!I269)-1)*1</f>
        <v>0.4</v>
      </c>
      <c r="K269" s="2">
        <f>LEFT(PasteHashtag!I269,FIND("(",PasteHashtag!I269)-1)*1</f>
        <v>0.731</v>
      </c>
      <c r="L269" s="2">
        <f>PasteHashtag!J269</f>
        <v>1</v>
      </c>
      <c r="M269" s="2">
        <f>PasteHashtag!K269</f>
        <v>5.7</v>
      </c>
      <c r="N269" s="2">
        <f>PasteHashtag!L269</f>
        <v>4.1</v>
      </c>
      <c r="O269" s="2">
        <f>PasteHashtag!M269</f>
        <v>1.1</v>
      </c>
      <c r="P269" s="2">
        <f>PasteHashtag!N269</f>
        <v>0.5</v>
      </c>
      <c r="Q269" s="2">
        <f>PasteHashtag!O269</f>
        <v>0.5</v>
      </c>
      <c r="R269" s="2">
        <f>PasteHashtag!P269</f>
        <v>0.7</v>
      </c>
      <c r="S269" s="2">
        <f>Mid(PasteHashtag!H269,FIND("/",PasteHashtag!H269)+1,LEN(PasteHashtag!H269)-FIND("/",PasteHashtag!H269)-1)*1</f>
        <v>4.8</v>
      </c>
      <c r="T269" s="344">
        <f>Mid(PasteHashtag!I269,FIND("/",PasteHashtag!I269)+1,LEN(PasteHashtag!I269)-FIND("/",PasteHashtag!I269)-1)*1</f>
        <v>0.5</v>
      </c>
    </row>
    <row r="270">
      <c r="A270" s="2">
        <v>269.0</v>
      </c>
      <c r="B270" s="2" t="str">
        <f>PasteHashtag!B270</f>
        <v/>
      </c>
      <c r="C270" s="343" t="str">
        <f>PasteHashtag!C270</f>
        <v>Gabe Vincent</v>
      </c>
      <c r="D270" s="2" t="str">
        <f>PasteHashtag!D270</f>
        <v>PG,SG</v>
      </c>
      <c r="E270" s="2" t="str">
        <f>PasteHashtag!E270</f>
        <v>LAL</v>
      </c>
      <c r="F270" s="2">
        <f>PasteHashtag!F270</f>
        <v>60</v>
      </c>
      <c r="G270" s="2">
        <f>PasteHashtag!G270</f>
        <v>24.4</v>
      </c>
      <c r="H270" s="2">
        <f>MID(PasteHashtag!H270,1+FIND("(",PasteHashtag!H270),FIND("/",PasteHashtag!H270)-FIND("(",PasteHashtag!H270)-1)*1</f>
        <v>3</v>
      </c>
      <c r="I270" s="2">
        <f>LEFT(PasteHashtag!H270,FIND("(",PasteHashtag!H270)-1)*1</f>
        <v>0.395</v>
      </c>
      <c r="J270" s="2">
        <f>MID(PasteHashtag!I270,1+FIND("(",PasteHashtag!I270),FIND("/",PasteHashtag!I270)-FIND("(",PasteHashtag!I270)-1)*1</f>
        <v>0.9</v>
      </c>
      <c r="K270" s="2">
        <f>LEFT(PasteHashtag!I270,FIND("(",PasteHashtag!I270)-1)*1</f>
        <v>0.86</v>
      </c>
      <c r="L270" s="2">
        <f>PasteHashtag!J270</f>
        <v>1.5</v>
      </c>
      <c r="M270" s="2">
        <f>PasteHashtag!K270</f>
        <v>8.4</v>
      </c>
      <c r="N270" s="2">
        <f>PasteHashtag!L270</f>
        <v>1.9</v>
      </c>
      <c r="O270" s="2">
        <f>PasteHashtag!M270</f>
        <v>2.3</v>
      </c>
      <c r="P270" s="2">
        <f>PasteHashtag!N270</f>
        <v>0.9</v>
      </c>
      <c r="Q270" s="2">
        <f>PasteHashtag!O270</f>
        <v>0.1</v>
      </c>
      <c r="R270" s="2">
        <f>PasteHashtag!P270</f>
        <v>1.2</v>
      </c>
      <c r="S270" s="2">
        <f>Mid(PasteHashtag!H270,FIND("/",PasteHashtag!H270)+1,LEN(PasteHashtag!H270)-FIND("/",PasteHashtag!H270)-1)*1</f>
        <v>7.7</v>
      </c>
      <c r="T270" s="344">
        <f>Mid(PasteHashtag!I270,FIND("/",PasteHashtag!I270)+1,LEN(PasteHashtag!I270)-FIND("/",PasteHashtag!I270)-1)*1</f>
        <v>1</v>
      </c>
    </row>
    <row r="271">
      <c r="A271" s="2">
        <v>270.0</v>
      </c>
      <c r="B271" s="2" t="str">
        <f>PasteHashtag!B271</f>
        <v/>
      </c>
      <c r="C271" s="343" t="str">
        <f>PasteHashtag!C271</f>
        <v>Julian Champagnie</v>
      </c>
      <c r="D271" s="2" t="str">
        <f>PasteHashtag!D271</f>
        <v>SF,PF</v>
      </c>
      <c r="E271" s="2" t="str">
        <f>PasteHashtag!E271</f>
        <v>SA</v>
      </c>
      <c r="F271" s="2">
        <f>PasteHashtag!F271</f>
        <v>60</v>
      </c>
      <c r="G271" s="2">
        <f>PasteHashtag!G271</f>
        <v>17.4</v>
      </c>
      <c r="H271" s="2">
        <f>MID(PasteHashtag!H271,1+FIND("(",PasteHashtag!H271),FIND("/",PasteHashtag!H271)-FIND("(",PasteHashtag!H271)-1)*1</f>
        <v>2.3</v>
      </c>
      <c r="I271" s="2">
        <f>LEFT(PasteHashtag!H271,FIND("(",PasteHashtag!H271)-1)*1</f>
        <v>0.42</v>
      </c>
      <c r="J271" s="2">
        <f>MID(PasteHashtag!I271,1+FIND("(",PasteHashtag!I271),FIND("/",PasteHashtag!I271)-FIND("(",PasteHashtag!I271)-1)*1</f>
        <v>0.9</v>
      </c>
      <c r="K271" s="2">
        <f>LEFT(PasteHashtag!I271,FIND("(",PasteHashtag!I271)-1)*1</f>
        <v>0.811</v>
      </c>
      <c r="L271" s="2">
        <f>PasteHashtag!J271</f>
        <v>1.4</v>
      </c>
      <c r="M271" s="2">
        <f>PasteHashtag!K271</f>
        <v>6.8</v>
      </c>
      <c r="N271" s="2">
        <f>PasteHashtag!L271</f>
        <v>2.7</v>
      </c>
      <c r="O271" s="2">
        <f>PasteHashtag!M271</f>
        <v>1.2</v>
      </c>
      <c r="P271" s="2">
        <f>PasteHashtag!N271</f>
        <v>0.6</v>
      </c>
      <c r="Q271" s="2">
        <f>PasteHashtag!O271</f>
        <v>0.5</v>
      </c>
      <c r="R271" s="2">
        <f>PasteHashtag!P271</f>
        <v>0.7</v>
      </c>
      <c r="S271" s="2">
        <f>Mid(PasteHashtag!H271,FIND("/",PasteHashtag!H271)+1,LEN(PasteHashtag!H271)-FIND("/",PasteHashtag!H271)-1)*1</f>
        <v>5.4</v>
      </c>
      <c r="T271" s="344">
        <f>Mid(PasteHashtag!I271,FIND("/",PasteHashtag!I271)+1,LEN(PasteHashtag!I271)-FIND("/",PasteHashtag!I271)-1)*1</f>
        <v>1.1</v>
      </c>
    </row>
    <row r="272">
      <c r="A272" s="2">
        <v>271.0</v>
      </c>
      <c r="B272" s="2" t="str">
        <f>PasteHashtag!B272</f>
        <v/>
      </c>
      <c r="C272" s="343" t="str">
        <f>PasteHashtag!C272</f>
        <v>Drew Eubanks</v>
      </c>
      <c r="D272" s="2" t="str">
        <f>PasteHashtag!D272</f>
        <v>C</v>
      </c>
      <c r="E272" s="2" t="str">
        <f>PasteHashtag!E272</f>
        <v>UTA</v>
      </c>
      <c r="F272" s="2">
        <f>PasteHashtag!F272</f>
        <v>70</v>
      </c>
      <c r="G272" s="2">
        <f>PasteHashtag!G272</f>
        <v>14.6</v>
      </c>
      <c r="H272" s="2">
        <f>MID(PasteHashtag!H272,1+FIND("(",PasteHashtag!H272),FIND("/",PasteHashtag!H272)-FIND("(",PasteHashtag!H272)-1)*1</f>
        <v>2</v>
      </c>
      <c r="I272" s="2">
        <f>LEFT(PasteHashtag!H272,FIND("(",PasteHashtag!H272)-1)*1</f>
        <v>0.622</v>
      </c>
      <c r="J272" s="2">
        <f>MID(PasteHashtag!I272,1+FIND("(",PasteHashtag!I272),FIND("/",PasteHashtag!I272)-FIND("(",PasteHashtag!I272)-1)*1</f>
        <v>0.8</v>
      </c>
      <c r="K272" s="2">
        <f>LEFT(PasteHashtag!I272,FIND("(",PasteHashtag!I272)-1)*1</f>
        <v>0.709</v>
      </c>
      <c r="L272" s="2">
        <f>PasteHashtag!J272</f>
        <v>0.1</v>
      </c>
      <c r="M272" s="2">
        <f>PasteHashtag!K272</f>
        <v>4.8</v>
      </c>
      <c r="N272" s="2">
        <f>PasteHashtag!L272</f>
        <v>4</v>
      </c>
      <c r="O272" s="2">
        <f>PasteHashtag!M272</f>
        <v>0.9</v>
      </c>
      <c r="P272" s="2">
        <f>PasteHashtag!N272</f>
        <v>0.4</v>
      </c>
      <c r="Q272" s="2">
        <f>PasteHashtag!O272</f>
        <v>0.9</v>
      </c>
      <c r="R272" s="2">
        <f>PasteHashtag!P272</f>
        <v>0.7</v>
      </c>
      <c r="S272" s="2">
        <f>Mid(PasteHashtag!H272,FIND("/",PasteHashtag!H272)+1,LEN(PasteHashtag!H272)-FIND("/",PasteHashtag!H272)-1)*1</f>
        <v>3.2</v>
      </c>
      <c r="T272" s="344">
        <f>Mid(PasteHashtag!I272,FIND("/",PasteHashtag!I272)+1,LEN(PasteHashtag!I272)-FIND("/",PasteHashtag!I272)-1)*1</f>
        <v>1.2</v>
      </c>
    </row>
    <row r="273">
      <c r="A273" s="2">
        <v>272.0</v>
      </c>
      <c r="B273" s="2" t="str">
        <f>PasteHashtag!B273</f>
        <v/>
      </c>
      <c r="C273" s="343" t="str">
        <f>PasteHashtag!C273</f>
        <v>Pat Connaughton</v>
      </c>
      <c r="D273" s="2" t="str">
        <f>PasteHashtag!D273</f>
        <v>SG,SF</v>
      </c>
      <c r="E273" s="2" t="str">
        <f>PasteHashtag!E273</f>
        <v>MIL</v>
      </c>
      <c r="F273" s="2">
        <f>PasteHashtag!F273</f>
        <v>70</v>
      </c>
      <c r="G273" s="2">
        <f>PasteHashtag!G273</f>
        <v>23.6</v>
      </c>
      <c r="H273" s="2">
        <f>MID(PasteHashtag!H273,1+FIND("(",PasteHashtag!H273),FIND("/",PasteHashtag!H273)-FIND("(",PasteHashtag!H273)-1)*1</f>
        <v>2.4</v>
      </c>
      <c r="I273" s="2">
        <f>LEFT(PasteHashtag!H273,FIND("(",PasteHashtag!H273)-1)*1</f>
        <v>0.417</v>
      </c>
      <c r="J273" s="2">
        <f>MID(PasteHashtag!I273,1+FIND("(",PasteHashtag!I273),FIND("/",PasteHashtag!I273)-FIND("(",PasteHashtag!I273)-1)*1</f>
        <v>0.5</v>
      </c>
      <c r="K273" s="2">
        <f>LEFT(PasteHashtag!I273,FIND("(",PasteHashtag!I273)-1)*1</f>
        <v>0.74</v>
      </c>
      <c r="L273" s="2">
        <f>PasteHashtag!J273</f>
        <v>1.3</v>
      </c>
      <c r="M273" s="2">
        <f>PasteHashtag!K273</f>
        <v>6.7</v>
      </c>
      <c r="N273" s="2">
        <f>PasteHashtag!L273</f>
        <v>4</v>
      </c>
      <c r="O273" s="2">
        <f>PasteHashtag!M273</f>
        <v>1.8</v>
      </c>
      <c r="P273" s="2">
        <f>PasteHashtag!N273</f>
        <v>0.6</v>
      </c>
      <c r="Q273" s="2">
        <f>PasteHashtag!O273</f>
        <v>0.2</v>
      </c>
      <c r="R273" s="2">
        <f>PasteHashtag!P273</f>
        <v>0.6</v>
      </c>
      <c r="S273" s="2">
        <f>Mid(PasteHashtag!H273,FIND("/",PasteHashtag!H273)+1,LEN(PasteHashtag!H273)-FIND("/",PasteHashtag!H273)-1)*1</f>
        <v>5.8</v>
      </c>
      <c r="T273" s="344">
        <f>Mid(PasteHashtag!I273,FIND("/",PasteHashtag!I273)+1,LEN(PasteHashtag!I273)-FIND("/",PasteHashtag!I273)-1)*1</f>
        <v>0.7</v>
      </c>
    </row>
    <row r="274">
      <c r="A274" s="2">
        <v>273.0</v>
      </c>
      <c r="B274" s="2" t="str">
        <f>PasteHashtag!B274</f>
        <v/>
      </c>
      <c r="C274" s="343" t="str">
        <f>PasteHashtag!C274</f>
        <v>Toumani Camara</v>
      </c>
      <c r="D274" s="2" t="str">
        <f>PasteHashtag!D274</f>
        <v>PF</v>
      </c>
      <c r="E274" s="2" t="str">
        <f>PasteHashtag!E274</f>
        <v>POR</v>
      </c>
      <c r="F274" s="2">
        <f>PasteHashtag!F274</f>
        <v>68</v>
      </c>
      <c r="G274" s="2">
        <f>PasteHashtag!G274</f>
        <v>20.2</v>
      </c>
      <c r="H274" s="2">
        <f>MID(PasteHashtag!H274,1+FIND("(",PasteHashtag!H274),FIND("/",PasteHashtag!H274)-FIND("(",PasteHashtag!H274)-1)*1</f>
        <v>2.3</v>
      </c>
      <c r="I274" s="2">
        <f>LEFT(PasteHashtag!H274,FIND("(",PasteHashtag!H274)-1)*1</f>
        <v>0.449</v>
      </c>
      <c r="J274" s="2">
        <f>MID(PasteHashtag!I274,1+FIND("(",PasteHashtag!I274),FIND("/",PasteHashtag!I274)-FIND("(",PasteHashtag!I274)-1)*1</f>
        <v>0.9</v>
      </c>
      <c r="K274" s="2">
        <f>LEFT(PasteHashtag!I274,FIND("(",PasteHashtag!I274)-1)*1</f>
        <v>0.759</v>
      </c>
      <c r="L274" s="2">
        <f>PasteHashtag!J274</f>
        <v>0.7</v>
      </c>
      <c r="M274" s="2">
        <f>PasteHashtag!K274</f>
        <v>6.2</v>
      </c>
      <c r="N274" s="2">
        <f>PasteHashtag!L274</f>
        <v>4</v>
      </c>
      <c r="O274" s="2">
        <f>PasteHashtag!M274</f>
        <v>1</v>
      </c>
      <c r="P274" s="2">
        <f>PasteHashtag!N274</f>
        <v>0.8</v>
      </c>
      <c r="Q274" s="2">
        <f>PasteHashtag!O274</f>
        <v>0.4</v>
      </c>
      <c r="R274" s="2">
        <f>PasteHashtag!P274</f>
        <v>1</v>
      </c>
      <c r="S274" s="2">
        <f>Mid(PasteHashtag!H274,FIND("/",PasteHashtag!H274)+1,LEN(PasteHashtag!H274)-FIND("/",PasteHashtag!H274)-1)*1</f>
        <v>5.1</v>
      </c>
      <c r="T274" s="344">
        <f>Mid(PasteHashtag!I274,FIND("/",PasteHashtag!I274)+1,LEN(PasteHashtag!I274)-FIND("/",PasteHashtag!I274)-1)*1</f>
        <v>1.2</v>
      </c>
    </row>
    <row r="275">
      <c r="A275" s="2">
        <v>274.0</v>
      </c>
      <c r="B275" s="2" t="str">
        <f>PasteHashtag!B275</f>
        <v/>
      </c>
      <c r="C275" s="343" t="str">
        <f>PasteHashtag!C275</f>
        <v>Cody Martin</v>
      </c>
      <c r="D275" s="2" t="str">
        <f>PasteHashtag!D275</f>
        <v>SG,SF</v>
      </c>
      <c r="E275" s="2" t="str">
        <f>PasteHashtag!E275</f>
        <v>CHA</v>
      </c>
      <c r="F275" s="2">
        <f>PasteHashtag!F275</f>
        <v>40</v>
      </c>
      <c r="G275" s="2">
        <f>PasteHashtag!G275</f>
        <v>23.4</v>
      </c>
      <c r="H275" s="2">
        <f>MID(PasteHashtag!H275,1+FIND("(",PasteHashtag!H275),FIND("/",PasteHashtag!H275)-FIND("(",PasteHashtag!H275)-1)*1</f>
        <v>2.6</v>
      </c>
      <c r="I275" s="2">
        <f>LEFT(PasteHashtag!H275,FIND("(",PasteHashtag!H275)-1)*1</f>
        <v>0.383</v>
      </c>
      <c r="J275" s="2">
        <f>MID(PasteHashtag!I275,1+FIND("(",PasteHashtag!I275),FIND("/",PasteHashtag!I275)-FIND("(",PasteHashtag!I275)-1)*1</f>
        <v>0.6</v>
      </c>
      <c r="K275" s="2">
        <f>LEFT(PasteHashtag!I275,FIND("(",PasteHashtag!I275)-1)*1</f>
        <v>0.598</v>
      </c>
      <c r="L275" s="2">
        <f>PasteHashtag!J275</f>
        <v>0.8</v>
      </c>
      <c r="M275" s="2">
        <f>PasteHashtag!K275</f>
        <v>6.6</v>
      </c>
      <c r="N275" s="2">
        <f>PasteHashtag!L275</f>
        <v>3.6</v>
      </c>
      <c r="O275" s="2">
        <f>PasteHashtag!M275</f>
        <v>3.1</v>
      </c>
      <c r="P275" s="2">
        <f>PasteHashtag!N275</f>
        <v>1</v>
      </c>
      <c r="Q275" s="2">
        <f>PasteHashtag!O275</f>
        <v>0.5</v>
      </c>
      <c r="R275" s="2">
        <f>PasteHashtag!P275</f>
        <v>1.2</v>
      </c>
      <c r="S275" s="2">
        <f>Mid(PasteHashtag!H275,FIND("/",PasteHashtag!H275)+1,LEN(PasteHashtag!H275)-FIND("/",PasteHashtag!H275)-1)*1</f>
        <v>6.7</v>
      </c>
      <c r="T275" s="344">
        <f>Mid(PasteHashtag!I275,FIND("/",PasteHashtag!I275)+1,LEN(PasteHashtag!I275)-FIND("/",PasteHashtag!I275)-1)*1</f>
        <v>1.1</v>
      </c>
    </row>
    <row r="276">
      <c r="A276" s="2">
        <v>275.0</v>
      </c>
      <c r="B276" s="2" t="str">
        <f>PasteHashtag!B276</f>
        <v/>
      </c>
      <c r="C276" s="343" t="str">
        <f>PasteHashtag!C276</f>
        <v>Alec Burks</v>
      </c>
      <c r="D276" s="2" t="str">
        <f>PasteHashtag!D276</f>
        <v>SG,SF</v>
      </c>
      <c r="E276" s="2" t="str">
        <f>PasteHashtag!E276</f>
        <v>MIA</v>
      </c>
      <c r="F276" s="2">
        <f>PasteHashtag!F276</f>
        <v>60</v>
      </c>
      <c r="G276" s="2">
        <f>PasteHashtag!G276</f>
        <v>17.2</v>
      </c>
      <c r="H276" s="2">
        <f>MID(PasteHashtag!H276,1+FIND("(",PasteHashtag!H276),FIND("/",PasteHashtag!H276)-FIND("(",PasteHashtag!H276)-1)*1</f>
        <v>3.1</v>
      </c>
      <c r="I276" s="2">
        <f>LEFT(PasteHashtag!H276,FIND("(",PasteHashtag!H276)-1)*1</f>
        <v>0.399</v>
      </c>
      <c r="J276" s="2">
        <f>MID(PasteHashtag!I276,1+FIND("(",PasteHashtag!I276),FIND("/",PasteHashtag!I276)-FIND("(",PasteHashtag!I276)-1)*1</f>
        <v>2.2</v>
      </c>
      <c r="K276" s="2">
        <f>LEFT(PasteHashtag!I276,FIND("(",PasteHashtag!I276)-1)*1</f>
        <v>0.841</v>
      </c>
      <c r="L276" s="2">
        <f>PasteHashtag!J276</f>
        <v>1.7</v>
      </c>
      <c r="M276" s="2">
        <f>PasteHashtag!K276</f>
        <v>10</v>
      </c>
      <c r="N276" s="2">
        <f>PasteHashtag!L276</f>
        <v>2.3</v>
      </c>
      <c r="O276" s="2">
        <f>PasteHashtag!M276</f>
        <v>1.5</v>
      </c>
      <c r="P276" s="2">
        <f>PasteHashtag!N276</f>
        <v>0.5</v>
      </c>
      <c r="Q276" s="2">
        <f>PasteHashtag!O276</f>
        <v>0.2</v>
      </c>
      <c r="R276" s="2">
        <f>PasteHashtag!P276</f>
        <v>0.8</v>
      </c>
      <c r="S276" s="2">
        <f>Mid(PasteHashtag!H276,FIND("/",PasteHashtag!H276)+1,LEN(PasteHashtag!H276)-FIND("/",PasteHashtag!H276)-1)*1</f>
        <v>7.7</v>
      </c>
      <c r="T276" s="344">
        <f>Mid(PasteHashtag!I276,FIND("/",PasteHashtag!I276)+1,LEN(PasteHashtag!I276)-FIND("/",PasteHashtag!I276)-1)*1</f>
        <v>2.6</v>
      </c>
    </row>
    <row r="277">
      <c r="A277" s="2">
        <v>276.0</v>
      </c>
      <c r="B277" s="2" t="str">
        <f>PasteHashtag!B277</f>
        <v/>
      </c>
      <c r="C277" s="343" t="str">
        <f>PasteHashtag!C277</f>
        <v>Dean Wade</v>
      </c>
      <c r="D277" s="2" t="str">
        <f>PasteHashtag!D277</f>
        <v>SF,PF</v>
      </c>
      <c r="E277" s="2" t="str">
        <f>PasteHashtag!E277</f>
        <v>CLE</v>
      </c>
      <c r="F277" s="2">
        <f>PasteHashtag!F277</f>
        <v>44</v>
      </c>
      <c r="G277" s="2">
        <f>PasteHashtag!G277</f>
        <v>19.3</v>
      </c>
      <c r="H277" s="2">
        <f>MID(PasteHashtag!H277,1+FIND("(",PasteHashtag!H277),FIND("/",PasteHashtag!H277)-FIND("(",PasteHashtag!H277)-1)*1</f>
        <v>1.7</v>
      </c>
      <c r="I277" s="2">
        <f>LEFT(PasteHashtag!H277,FIND("(",PasteHashtag!H277)-1)*1</f>
        <v>0.414</v>
      </c>
      <c r="J277" s="2">
        <f>MID(PasteHashtag!I277,1+FIND("(",PasteHashtag!I277),FIND("/",PasteHashtag!I277)-FIND("(",PasteHashtag!I277)-1)*1</f>
        <v>0.3</v>
      </c>
      <c r="K277" s="2">
        <f>LEFT(PasteHashtag!I277,FIND("(",PasteHashtag!I277)-1)*1</f>
        <v>0.708</v>
      </c>
      <c r="L277" s="2">
        <f>PasteHashtag!J277</f>
        <v>1.2</v>
      </c>
      <c r="M277" s="2">
        <f>PasteHashtag!K277</f>
        <v>4.9</v>
      </c>
      <c r="N277" s="2">
        <f>PasteHashtag!L277</f>
        <v>3.6</v>
      </c>
      <c r="O277" s="2">
        <f>PasteHashtag!M277</f>
        <v>0.8</v>
      </c>
      <c r="P277" s="2">
        <f>PasteHashtag!N277</f>
        <v>0.7</v>
      </c>
      <c r="Q277" s="2">
        <f>PasteHashtag!O277</f>
        <v>0.5</v>
      </c>
      <c r="R277" s="2">
        <f>PasteHashtag!P277</f>
        <v>0.4</v>
      </c>
      <c r="S277" s="2">
        <f>Mid(PasteHashtag!H277,FIND("/",PasteHashtag!H277)+1,LEN(PasteHashtag!H277)-FIND("/",PasteHashtag!H277)-1)*1</f>
        <v>4</v>
      </c>
      <c r="T277" s="344">
        <f>Mid(PasteHashtag!I277,FIND("/",PasteHashtag!I277)+1,LEN(PasteHashtag!I277)-FIND("/",PasteHashtag!I277)-1)*1</f>
        <v>0.5</v>
      </c>
    </row>
    <row r="278">
      <c r="A278" s="2">
        <v>277.0</v>
      </c>
      <c r="B278" s="2" t="str">
        <f>PasteHashtag!B278</f>
        <v/>
      </c>
      <c r="C278" s="343" t="str">
        <f>PasteHashtag!C278</f>
        <v>Aaron Wiggins</v>
      </c>
      <c r="D278" s="2" t="str">
        <f>PasteHashtag!D278</f>
        <v>SG,SF</v>
      </c>
      <c r="E278" s="2" t="str">
        <f>PasteHashtag!E278</f>
        <v>OKC</v>
      </c>
      <c r="F278" s="2">
        <f>PasteHashtag!F278</f>
        <v>74</v>
      </c>
      <c r="G278" s="2">
        <f>PasteHashtag!G278</f>
        <v>15.8</v>
      </c>
      <c r="H278" s="2">
        <f>MID(PasteHashtag!H278,1+FIND("(",PasteHashtag!H278),FIND("/",PasteHashtag!H278)-FIND("(",PasteHashtag!H278)-1)*1</f>
        <v>2.5</v>
      </c>
      <c r="I278" s="2">
        <f>LEFT(PasteHashtag!H278,FIND("(",PasteHashtag!H278)-1)*1</f>
        <v>0.538</v>
      </c>
      <c r="J278" s="2">
        <f>MID(PasteHashtag!I278,1+FIND("(",PasteHashtag!I278),FIND("/",PasteHashtag!I278)-FIND("(",PasteHashtag!I278)-1)*1</f>
        <v>0.7</v>
      </c>
      <c r="K278" s="2">
        <f>LEFT(PasteHashtag!I278,FIND("(",PasteHashtag!I278)-1)*1</f>
        <v>0.811</v>
      </c>
      <c r="L278" s="2">
        <f>PasteHashtag!J278</f>
        <v>0.7</v>
      </c>
      <c r="M278" s="2">
        <f>PasteHashtag!K278</f>
        <v>6.5</v>
      </c>
      <c r="N278" s="2">
        <f>PasteHashtag!L278</f>
        <v>2.5</v>
      </c>
      <c r="O278" s="2">
        <f>PasteHashtag!M278</f>
        <v>1.1</v>
      </c>
      <c r="P278" s="2">
        <f>PasteHashtag!N278</f>
        <v>0.6</v>
      </c>
      <c r="Q278" s="2">
        <f>PasteHashtag!O278</f>
        <v>0.2</v>
      </c>
      <c r="R278" s="2">
        <f>PasteHashtag!P278</f>
        <v>0.7</v>
      </c>
      <c r="S278" s="2">
        <f>Mid(PasteHashtag!H278,FIND("/",PasteHashtag!H278)+1,LEN(PasteHashtag!H278)-FIND("/",PasteHashtag!H278)-1)*1</f>
        <v>4.7</v>
      </c>
      <c r="T278" s="344">
        <f>Mid(PasteHashtag!I278,FIND("/",PasteHashtag!I278)+1,LEN(PasteHashtag!I278)-FIND("/",PasteHashtag!I278)-1)*1</f>
        <v>0.9</v>
      </c>
    </row>
    <row r="279">
      <c r="A279" s="2">
        <v>278.0</v>
      </c>
      <c r="B279" s="2" t="str">
        <f>PasteHashtag!B279</f>
        <v/>
      </c>
      <c r="C279" s="343" t="str">
        <f>PasteHashtag!C279</f>
        <v>Shake Milton</v>
      </c>
      <c r="D279" s="2" t="str">
        <f>PasteHashtag!D279</f>
        <v>PG,SG</v>
      </c>
      <c r="E279" s="2" t="str">
        <f>PasteHashtag!E279</f>
        <v>BKN</v>
      </c>
      <c r="F279" s="2">
        <f>PasteHashtag!F279</f>
        <v>46</v>
      </c>
      <c r="G279" s="2">
        <f>PasteHashtag!G279</f>
        <v>20.3</v>
      </c>
      <c r="H279" s="2">
        <f>MID(PasteHashtag!H279,1+FIND("(",PasteHashtag!H279),FIND("/",PasteHashtag!H279)-FIND("(",PasteHashtag!H279)-1)*1</f>
        <v>3</v>
      </c>
      <c r="I279" s="2">
        <f>LEFT(PasteHashtag!H279,FIND("(",PasteHashtag!H279)-1)*1</f>
        <v>0.457</v>
      </c>
      <c r="J279" s="2">
        <f>MID(PasteHashtag!I279,1+FIND("(",PasteHashtag!I279),FIND("/",PasteHashtag!I279)-FIND("(",PasteHashtag!I279)-1)*1</f>
        <v>1.3</v>
      </c>
      <c r="K279" s="2">
        <f>LEFT(PasteHashtag!I279,FIND("(",PasteHashtag!I279)-1)*1</f>
        <v>0.847</v>
      </c>
      <c r="L279" s="2">
        <f>PasteHashtag!J279</f>
        <v>0.7</v>
      </c>
      <c r="M279" s="2">
        <f>PasteHashtag!K279</f>
        <v>8.1</v>
      </c>
      <c r="N279" s="2">
        <f>PasteHashtag!L279</f>
        <v>2.5</v>
      </c>
      <c r="O279" s="2">
        <f>PasteHashtag!M279</f>
        <v>2.9</v>
      </c>
      <c r="P279" s="2">
        <f>PasteHashtag!N279</f>
        <v>0.4</v>
      </c>
      <c r="Q279" s="2">
        <f>PasteHashtag!O279</f>
        <v>0.2</v>
      </c>
      <c r="R279" s="2">
        <f>PasteHashtag!P279</f>
        <v>1.2</v>
      </c>
      <c r="S279" s="2">
        <f>Mid(PasteHashtag!H279,FIND("/",PasteHashtag!H279)+1,LEN(PasteHashtag!H279)-FIND("/",PasteHashtag!H279)-1)*1</f>
        <v>6.7</v>
      </c>
      <c r="T279" s="344">
        <f>Mid(PasteHashtag!I279,FIND("/",PasteHashtag!I279)+1,LEN(PasteHashtag!I279)-FIND("/",PasteHashtag!I279)-1)*1</f>
        <v>1.6</v>
      </c>
    </row>
    <row r="280">
      <c r="A280" s="2">
        <v>279.0</v>
      </c>
      <c r="B280" s="2" t="str">
        <f>PasteHashtag!B280</f>
        <v/>
      </c>
      <c r="C280" s="343" t="str">
        <f>PasteHashtag!C280</f>
        <v>Kevin Love</v>
      </c>
      <c r="D280" s="2" t="str">
        <f>PasteHashtag!D280</f>
        <v>PF,C</v>
      </c>
      <c r="E280" s="2" t="str">
        <f>PasteHashtag!E280</f>
        <v>MIA</v>
      </c>
      <c r="F280" s="2">
        <f>PasteHashtag!F280</f>
        <v>48</v>
      </c>
      <c r="G280" s="2">
        <f>PasteHashtag!G280</f>
        <v>15.5</v>
      </c>
      <c r="H280" s="2">
        <f>MID(PasteHashtag!H280,1+FIND("(",PasteHashtag!H280),FIND("/",PasteHashtag!H280)-FIND("(",PasteHashtag!H280)-1)*1</f>
        <v>2.3</v>
      </c>
      <c r="I280" s="2">
        <f>LEFT(PasteHashtag!H280,FIND("(",PasteHashtag!H280)-1)*1</f>
        <v>0.412</v>
      </c>
      <c r="J280" s="2">
        <f>MID(PasteHashtag!I280,1+FIND("(",PasteHashtag!I280),FIND("/",PasteHashtag!I280)-FIND("(",PasteHashtag!I280)-1)*1</f>
        <v>1.2</v>
      </c>
      <c r="K280" s="2">
        <f>LEFT(PasteHashtag!I280,FIND("(",PasteHashtag!I280)-1)*1</f>
        <v>0.826</v>
      </c>
      <c r="L280" s="2">
        <f>PasteHashtag!J280</f>
        <v>1.3</v>
      </c>
      <c r="M280" s="2">
        <f>PasteHashtag!K280</f>
        <v>7.2</v>
      </c>
      <c r="N280" s="2">
        <f>PasteHashtag!L280</f>
        <v>5.3</v>
      </c>
      <c r="O280" s="2">
        <f>PasteHashtag!M280</f>
        <v>1.7</v>
      </c>
      <c r="P280" s="2">
        <f>PasteHashtag!N280</f>
        <v>0.3</v>
      </c>
      <c r="Q280" s="2">
        <f>PasteHashtag!O280</f>
        <v>0.2</v>
      </c>
      <c r="R280" s="2">
        <f>PasteHashtag!P280</f>
        <v>0.9</v>
      </c>
      <c r="S280" s="2">
        <f>Mid(PasteHashtag!H280,FIND("/",PasteHashtag!H280)+1,LEN(PasteHashtag!H280)-FIND("/",PasteHashtag!H280)-1)*1</f>
        <v>5.7</v>
      </c>
      <c r="T280" s="344">
        <f>Mid(PasteHashtag!I280,FIND("/",PasteHashtag!I280)+1,LEN(PasteHashtag!I280)-FIND("/",PasteHashtag!I280)-1)*1</f>
        <v>1.4</v>
      </c>
    </row>
    <row r="281">
      <c r="A281" s="2">
        <v>280.0</v>
      </c>
      <c r="B281" s="2" t="str">
        <f>PasteHashtag!B281</f>
        <v/>
      </c>
      <c r="C281" s="343" t="str">
        <f>PasteHashtag!C281</f>
        <v>Jarace Walker</v>
      </c>
      <c r="D281" s="2" t="str">
        <f>PasteHashtag!D281</f>
        <v>PF</v>
      </c>
      <c r="E281" s="2" t="str">
        <f>PasteHashtag!E281</f>
        <v>IND</v>
      </c>
      <c r="F281" s="2">
        <f>PasteHashtag!F281</f>
        <v>42</v>
      </c>
      <c r="G281" s="2">
        <f>PasteHashtag!G281</f>
        <v>14.2</v>
      </c>
      <c r="H281" s="2">
        <f>MID(PasteHashtag!H281,1+FIND("(",PasteHashtag!H281),FIND("/",PasteHashtag!H281)-FIND("(",PasteHashtag!H281)-1)*1</f>
        <v>1.9</v>
      </c>
      <c r="I281" s="2">
        <f>LEFT(PasteHashtag!H281,FIND("(",PasteHashtag!H281)-1)*1</f>
        <v>0.409</v>
      </c>
      <c r="J281" s="2">
        <f>MID(PasteHashtag!I281,1+FIND("(",PasteHashtag!I281),FIND("/",PasteHashtag!I281)-FIND("(",PasteHashtag!I281)-1)*1</f>
        <v>0.3</v>
      </c>
      <c r="K281" s="2">
        <f>LEFT(PasteHashtag!I281,FIND("(",PasteHashtag!I281)-1)*1</f>
        <v>0.895</v>
      </c>
      <c r="L281" s="2">
        <f>PasteHashtag!J281</f>
        <v>0.9</v>
      </c>
      <c r="M281" s="2">
        <f>PasteHashtag!K281</f>
        <v>5.1</v>
      </c>
      <c r="N281" s="2">
        <f>PasteHashtag!L281</f>
        <v>2.7</v>
      </c>
      <c r="O281" s="2">
        <f>PasteHashtag!M281</f>
        <v>1.7</v>
      </c>
      <c r="P281" s="2">
        <f>PasteHashtag!N281</f>
        <v>0.6</v>
      </c>
      <c r="Q281" s="2">
        <f>PasteHashtag!O281</f>
        <v>0.5</v>
      </c>
      <c r="R281" s="2">
        <f>PasteHashtag!P281</f>
        <v>0.7</v>
      </c>
      <c r="S281" s="2">
        <f>Mid(PasteHashtag!H281,FIND("/",PasteHashtag!H281)+1,LEN(PasteHashtag!H281)-FIND("/",PasteHashtag!H281)-1)*1</f>
        <v>4.6</v>
      </c>
      <c r="T281" s="344">
        <f>Mid(PasteHashtag!I281,FIND("/",PasteHashtag!I281)+1,LEN(PasteHashtag!I281)-FIND("/",PasteHashtag!I281)-1)*1</f>
        <v>0.4</v>
      </c>
    </row>
    <row r="282">
      <c r="A282" s="2">
        <v>281.0</v>
      </c>
      <c r="B282" s="2" t="str">
        <f>PasteHashtag!B282</f>
        <v/>
      </c>
      <c r="C282" s="343" t="str">
        <f>PasteHashtag!C282</f>
        <v>Kyshawn George</v>
      </c>
      <c r="D282" s="2" t="str">
        <f>PasteHashtag!D282</f>
        <v>SF</v>
      </c>
      <c r="E282" s="2" t="str">
        <f>PasteHashtag!E282</f>
        <v>WAS</v>
      </c>
      <c r="F282" s="2">
        <f>PasteHashtag!F282</f>
        <v>60</v>
      </c>
      <c r="G282" s="2">
        <f>PasteHashtag!G282</f>
        <v>16.4</v>
      </c>
      <c r="H282" s="2">
        <f>MID(PasteHashtag!H282,1+FIND("(",PasteHashtag!H282),FIND("/",PasteHashtag!H282)-FIND("(",PasteHashtag!H282)-1)*1</f>
        <v>2.1</v>
      </c>
      <c r="I282" s="2">
        <f>LEFT(PasteHashtag!H282,FIND("(",PasteHashtag!H282)-1)*1</f>
        <v>0.425</v>
      </c>
      <c r="J282" s="2">
        <f>MID(PasteHashtag!I282,1+FIND("(",PasteHashtag!I282),FIND("/",PasteHashtag!I282)-FIND("(",PasteHashtag!I282)-1)*1</f>
        <v>0.5</v>
      </c>
      <c r="K282" s="2">
        <f>LEFT(PasteHashtag!I282,FIND("(",PasteHashtag!I282)-1)*1</f>
        <v>0.768</v>
      </c>
      <c r="L282" s="2">
        <f>PasteHashtag!J282</f>
        <v>1.3</v>
      </c>
      <c r="M282" s="2">
        <f>PasteHashtag!K282</f>
        <v>6</v>
      </c>
      <c r="N282" s="2">
        <f>PasteHashtag!L282</f>
        <v>2.4</v>
      </c>
      <c r="O282" s="2">
        <f>PasteHashtag!M282</f>
        <v>1.7</v>
      </c>
      <c r="P282" s="2">
        <f>PasteHashtag!N282</f>
        <v>0.7</v>
      </c>
      <c r="Q282" s="2">
        <f>PasteHashtag!O282</f>
        <v>0.3</v>
      </c>
      <c r="R282" s="2">
        <f>PasteHashtag!P282</f>
        <v>1.2</v>
      </c>
      <c r="S282" s="2">
        <f>Mid(PasteHashtag!H282,FIND("/",PasteHashtag!H282)+1,LEN(PasteHashtag!H282)-FIND("/",PasteHashtag!H282)-1)*1</f>
        <v>4.8</v>
      </c>
      <c r="T282" s="344">
        <f>Mid(PasteHashtag!I282,FIND("/",PasteHashtag!I282)+1,LEN(PasteHashtag!I282)-FIND("/",PasteHashtag!I282)-1)*1</f>
        <v>0.7</v>
      </c>
    </row>
    <row r="283">
      <c r="A283" s="2">
        <v>282.0</v>
      </c>
      <c r="B283" s="2" t="str">
        <f>PasteHashtag!B283</f>
        <v/>
      </c>
      <c r="C283" s="343" t="str">
        <f>PasteHashtag!C283</f>
        <v>Josh Minott</v>
      </c>
      <c r="D283" s="2" t="str">
        <f>PasteHashtag!D283</f>
        <v>SF,PF</v>
      </c>
      <c r="E283" s="2" t="str">
        <f>PasteHashtag!E283</f>
        <v>MIN</v>
      </c>
      <c r="F283" s="2">
        <f>PasteHashtag!F283</f>
        <v>54</v>
      </c>
      <c r="G283" s="2">
        <f>PasteHashtag!G283</f>
        <v>9.8</v>
      </c>
      <c r="H283" s="2">
        <f>MID(PasteHashtag!H283,1+FIND("(",PasteHashtag!H283),FIND("/",PasteHashtag!H283)-FIND("(",PasteHashtag!H283)-1)*1</f>
        <v>1.9</v>
      </c>
      <c r="I283" s="2">
        <f>LEFT(PasteHashtag!H283,FIND("(",PasteHashtag!H283)-1)*1</f>
        <v>0.487</v>
      </c>
      <c r="J283" s="2">
        <f>MID(PasteHashtag!I283,1+FIND("(",PasteHashtag!I283),FIND("/",PasteHashtag!I283)-FIND("(",PasteHashtag!I283)-1)*1</f>
        <v>1.1</v>
      </c>
      <c r="K283" s="2">
        <f>LEFT(PasteHashtag!I283,FIND("(",PasteHashtag!I283)-1)*1</f>
        <v>0.915</v>
      </c>
      <c r="L283" s="2">
        <f>PasteHashtag!J283</f>
        <v>0.3</v>
      </c>
      <c r="M283" s="2">
        <f>PasteHashtag!K283</f>
        <v>5.2</v>
      </c>
      <c r="N283" s="2">
        <f>PasteHashtag!L283</f>
        <v>2.3</v>
      </c>
      <c r="O283" s="2">
        <f>PasteHashtag!M283</f>
        <v>0.7</v>
      </c>
      <c r="P283" s="2">
        <f>PasteHashtag!N283</f>
        <v>0.5</v>
      </c>
      <c r="Q283" s="2">
        <f>PasteHashtag!O283</f>
        <v>0.6</v>
      </c>
      <c r="R283" s="2">
        <f>PasteHashtag!P283</f>
        <v>0.3</v>
      </c>
      <c r="S283" s="2">
        <f>Mid(PasteHashtag!H283,FIND("/",PasteHashtag!H283)+1,LEN(PasteHashtag!H283)-FIND("/",PasteHashtag!H283)-1)*1</f>
        <v>3.9</v>
      </c>
      <c r="T283" s="344">
        <f>Mid(PasteHashtag!I283,FIND("/",PasteHashtag!I283)+1,LEN(PasteHashtag!I283)-FIND("/",PasteHashtag!I283)-1)*1</f>
        <v>1.2</v>
      </c>
    </row>
    <row r="284">
      <c r="A284" s="2">
        <v>283.0</v>
      </c>
      <c r="B284" s="2">
        <f>PasteHashtag!B284</f>
        <v>142.6</v>
      </c>
      <c r="C284" s="343" t="str">
        <f>PasteHashtag!C284</f>
        <v>Cam Whitmore</v>
      </c>
      <c r="D284" s="2" t="str">
        <f>PasteHashtag!D284</f>
        <v>SF,PF</v>
      </c>
      <c r="E284" s="2" t="str">
        <f>PasteHashtag!E284</f>
        <v>HOU</v>
      </c>
      <c r="F284" s="2">
        <f>PasteHashtag!F284</f>
        <v>45</v>
      </c>
      <c r="G284" s="2">
        <f>PasteHashtag!G284</f>
        <v>17.1</v>
      </c>
      <c r="H284" s="2">
        <f>MID(PasteHashtag!H284,1+FIND("(",PasteHashtag!H284),FIND("/",PasteHashtag!H284)-FIND("(",PasteHashtag!H284)-1)*1</f>
        <v>4.2</v>
      </c>
      <c r="I284" s="2">
        <f>LEFT(PasteHashtag!H284,FIND("(",PasteHashtag!H284)-1)*1</f>
        <v>0.454</v>
      </c>
      <c r="J284" s="2">
        <f>MID(PasteHashtag!I284,1+FIND("(",PasteHashtag!I284),FIND("/",PasteHashtag!I284)-FIND("(",PasteHashtag!I284)-1)*1</f>
        <v>1.5</v>
      </c>
      <c r="K284" s="2">
        <f>LEFT(PasteHashtag!I284,FIND("(",PasteHashtag!I284)-1)*1</f>
        <v>0.677</v>
      </c>
      <c r="L284" s="2">
        <f>PasteHashtag!J284</f>
        <v>1.6</v>
      </c>
      <c r="M284" s="2">
        <f>PasteHashtag!K284</f>
        <v>11.4</v>
      </c>
      <c r="N284" s="2">
        <f>PasteHashtag!L284</f>
        <v>3.5</v>
      </c>
      <c r="O284" s="2">
        <f>PasteHashtag!M284</f>
        <v>0.7</v>
      </c>
      <c r="P284" s="2">
        <f>PasteHashtag!N284</f>
        <v>0.6</v>
      </c>
      <c r="Q284" s="2">
        <f>PasteHashtag!O284</f>
        <v>0.3</v>
      </c>
      <c r="R284" s="2">
        <f>PasteHashtag!P284</f>
        <v>0.9</v>
      </c>
      <c r="S284" s="2">
        <f>Mid(PasteHashtag!H284,FIND("/",PasteHashtag!H284)+1,LEN(PasteHashtag!H284)-FIND("/",PasteHashtag!H284)-1)*1</f>
        <v>9.2</v>
      </c>
      <c r="T284" s="344">
        <f>Mid(PasteHashtag!I284,FIND("/",PasteHashtag!I284)+1,LEN(PasteHashtag!I284)-FIND("/",PasteHashtag!I284)-1)*1</f>
        <v>2.2</v>
      </c>
    </row>
    <row r="285">
      <c r="A285" s="2">
        <v>284.0</v>
      </c>
      <c r="B285" s="2" t="str">
        <f>PasteHashtag!B285</f>
        <v/>
      </c>
      <c r="C285" s="343" t="str">
        <f>PasteHashtag!C285</f>
        <v>Mason Plumlee</v>
      </c>
      <c r="D285" s="2" t="str">
        <f>PasteHashtag!D285</f>
        <v>C</v>
      </c>
      <c r="E285" s="2" t="str">
        <f>PasteHashtag!E285</f>
        <v>PHO</v>
      </c>
      <c r="F285" s="2">
        <f>PasteHashtag!F285</f>
        <v>65</v>
      </c>
      <c r="G285" s="2">
        <f>PasteHashtag!G285</f>
        <v>16.4</v>
      </c>
      <c r="H285" s="2">
        <f>MID(PasteHashtag!H285,1+FIND("(",PasteHashtag!H285),FIND("/",PasteHashtag!H285)-FIND("(",PasteHashtag!H285)-1)*1</f>
        <v>2.5</v>
      </c>
      <c r="I285" s="2">
        <f>LEFT(PasteHashtag!H285,FIND("(",PasteHashtag!H285)-1)*1</f>
        <v>0.654</v>
      </c>
      <c r="J285" s="2">
        <f>MID(PasteHashtag!I285,1+FIND("(",PasteHashtag!I285),FIND("/",PasteHashtag!I285)-FIND("(",PasteHashtag!I285)-1)*1</f>
        <v>1.6</v>
      </c>
      <c r="K285" s="2">
        <f>LEFT(PasteHashtag!I285,FIND("(",PasteHashtag!I285)-1)*1</f>
        <v>0.652</v>
      </c>
      <c r="L285" s="2">
        <f>PasteHashtag!J285</f>
        <v>0</v>
      </c>
      <c r="M285" s="2">
        <f>PasteHashtag!K285</f>
        <v>6.7</v>
      </c>
      <c r="N285" s="2">
        <f>PasteHashtag!L285</f>
        <v>5.7</v>
      </c>
      <c r="O285" s="2">
        <f>PasteHashtag!M285</f>
        <v>1.8</v>
      </c>
      <c r="P285" s="2">
        <f>PasteHashtag!N285</f>
        <v>0.4</v>
      </c>
      <c r="Q285" s="2">
        <f>PasteHashtag!O285</f>
        <v>0.4</v>
      </c>
      <c r="R285" s="2">
        <f>PasteHashtag!P285</f>
        <v>0.9</v>
      </c>
      <c r="S285" s="2">
        <f>Mid(PasteHashtag!H285,FIND("/",PasteHashtag!H285)+1,LEN(PasteHashtag!H285)-FIND("/",PasteHashtag!H285)-1)*1</f>
        <v>3.9</v>
      </c>
      <c r="T285" s="344">
        <f>Mid(PasteHashtag!I285,FIND("/",PasteHashtag!I285)+1,LEN(PasteHashtag!I285)-FIND("/",PasteHashtag!I285)-1)*1</f>
        <v>2.5</v>
      </c>
    </row>
    <row r="286">
      <c r="A286" s="2">
        <v>285.0</v>
      </c>
      <c r="B286" s="2" t="str">
        <f>PasteHashtag!B286</f>
        <v/>
      </c>
      <c r="C286" s="343" t="str">
        <f>PasteHashtag!C286</f>
        <v>Ziaire Williams</v>
      </c>
      <c r="D286" s="2" t="str">
        <f>PasteHashtag!D286</f>
        <v>SG,SF</v>
      </c>
      <c r="E286" s="2" t="str">
        <f>PasteHashtag!E286</f>
        <v>BKN</v>
      </c>
      <c r="F286" s="2">
        <f>PasteHashtag!F286</f>
        <v>45</v>
      </c>
      <c r="G286" s="2">
        <f>PasteHashtag!G286</f>
        <v>21.5</v>
      </c>
      <c r="H286" s="2">
        <f>MID(PasteHashtag!H286,1+FIND("(",PasteHashtag!H286),FIND("/",PasteHashtag!H286)-FIND("(",PasteHashtag!H286)-1)*1</f>
        <v>3.2</v>
      </c>
      <c r="I286" s="2">
        <f>LEFT(PasteHashtag!H286,FIND("(",PasteHashtag!H286)-1)*1</f>
        <v>0.408</v>
      </c>
      <c r="J286" s="2">
        <f>MID(PasteHashtag!I286,1+FIND("(",PasteHashtag!I286),FIND("/",PasteHashtag!I286)-FIND("(",PasteHashtag!I286)-1)*1</f>
        <v>1.1</v>
      </c>
      <c r="K286" s="2">
        <f>LEFT(PasteHashtag!I286,FIND("(",PasteHashtag!I286)-1)*1</f>
        <v>0.811</v>
      </c>
      <c r="L286" s="2">
        <f>PasteHashtag!J286</f>
        <v>1.1</v>
      </c>
      <c r="M286" s="2">
        <f>PasteHashtag!K286</f>
        <v>8.6</v>
      </c>
      <c r="N286" s="2">
        <f>PasteHashtag!L286</f>
        <v>3.5</v>
      </c>
      <c r="O286" s="2">
        <f>PasteHashtag!M286</f>
        <v>1.5</v>
      </c>
      <c r="P286" s="2">
        <f>PasteHashtag!N286</f>
        <v>0.7</v>
      </c>
      <c r="Q286" s="2">
        <f>PasteHashtag!O286</f>
        <v>0.2</v>
      </c>
      <c r="R286" s="2">
        <f>PasteHashtag!P286</f>
        <v>1.4</v>
      </c>
      <c r="S286" s="2">
        <f>Mid(PasteHashtag!H286,FIND("/",PasteHashtag!H286)+1,LEN(PasteHashtag!H286)-FIND("/",PasteHashtag!H286)-1)*1</f>
        <v>7.8</v>
      </c>
      <c r="T286" s="344">
        <f>Mid(PasteHashtag!I286,FIND("/",PasteHashtag!I286)+1,LEN(PasteHashtag!I286)-FIND("/",PasteHashtag!I286)-1)*1</f>
        <v>1.3</v>
      </c>
    </row>
    <row r="287">
      <c r="A287" s="2">
        <v>286.0</v>
      </c>
      <c r="B287" s="2" t="str">
        <f>PasteHashtag!B287</f>
        <v/>
      </c>
      <c r="C287" s="343" t="str">
        <f>PasteHashtag!C287</f>
        <v>Jay Huff</v>
      </c>
      <c r="D287" s="2" t="str">
        <f>PasteHashtag!D287</f>
        <v>C</v>
      </c>
      <c r="E287" s="2" t="str">
        <f>PasteHashtag!E287</f>
        <v>MEM</v>
      </c>
      <c r="F287" s="2">
        <f>PasteHashtag!F287</f>
        <v>22</v>
      </c>
      <c r="G287" s="2">
        <f>PasteHashtag!G287</f>
        <v>8.8</v>
      </c>
      <c r="H287" s="2">
        <f>MID(PasteHashtag!H287,1+FIND("(",PasteHashtag!H287),FIND("/",PasteHashtag!H287)-FIND("(",PasteHashtag!H287)-1)*1</f>
        <v>1.5</v>
      </c>
      <c r="I287" s="2">
        <f>LEFT(PasteHashtag!H287,FIND("(",PasteHashtag!H287)-1)*1</f>
        <v>0.599</v>
      </c>
      <c r="J287" s="2">
        <f>MID(PasteHashtag!I287,1+FIND("(",PasteHashtag!I287),FIND("/",PasteHashtag!I287)-FIND("(",PasteHashtag!I287)-1)*1</f>
        <v>1.1</v>
      </c>
      <c r="K287" s="2">
        <f>LEFT(PasteHashtag!I287,FIND("(",PasteHashtag!I287)-1)*1</f>
        <v>0.946</v>
      </c>
      <c r="L287" s="2">
        <f>PasteHashtag!J287</f>
        <v>0.6</v>
      </c>
      <c r="M287" s="2">
        <f>PasteHashtag!K287</f>
        <v>4.6</v>
      </c>
      <c r="N287" s="2">
        <f>PasteHashtag!L287</f>
        <v>2</v>
      </c>
      <c r="O287" s="2">
        <f>PasteHashtag!M287</f>
        <v>0.7</v>
      </c>
      <c r="P287" s="2">
        <f>PasteHashtag!N287</f>
        <v>0.3</v>
      </c>
      <c r="Q287" s="2">
        <f>PasteHashtag!O287</f>
        <v>0.4</v>
      </c>
      <c r="R287" s="2">
        <f>PasteHashtag!P287</f>
        <v>0.4</v>
      </c>
      <c r="S287" s="2">
        <f>Mid(PasteHashtag!H287,FIND("/",PasteHashtag!H287)+1,LEN(PasteHashtag!H287)-FIND("/",PasteHashtag!H287)-1)*1</f>
        <v>2.5</v>
      </c>
      <c r="T287" s="344">
        <f>Mid(PasteHashtag!I287,FIND("/",PasteHashtag!I287)+1,LEN(PasteHashtag!I287)-FIND("/",PasteHashtag!I287)-1)*1</f>
        <v>1.1</v>
      </c>
    </row>
    <row r="288">
      <c r="A288" s="2">
        <v>287.0</v>
      </c>
      <c r="B288" s="2" t="str">
        <f>PasteHashtag!B288</f>
        <v/>
      </c>
      <c r="C288" s="343" t="str">
        <f>PasteHashtag!C288</f>
        <v>Max Christie</v>
      </c>
      <c r="D288" s="2" t="str">
        <f>PasteHashtag!D288</f>
        <v>SG,SF</v>
      </c>
      <c r="E288" s="2" t="str">
        <f>PasteHashtag!E288</f>
        <v>LAL</v>
      </c>
      <c r="F288" s="2">
        <f>PasteHashtag!F288</f>
        <v>67</v>
      </c>
      <c r="G288" s="2">
        <f>PasteHashtag!G288</f>
        <v>22</v>
      </c>
      <c r="H288" s="2">
        <f>MID(PasteHashtag!H288,1+FIND("(",PasteHashtag!H288),FIND("/",PasteHashtag!H288)-FIND("(",PasteHashtag!H288)-1)*1</f>
        <v>2.3</v>
      </c>
      <c r="I288" s="2">
        <f>LEFT(PasteHashtag!H288,FIND("(",PasteHashtag!H288)-1)*1</f>
        <v>0.439</v>
      </c>
      <c r="J288" s="2">
        <f>MID(PasteHashtag!I288,1+FIND("(",PasteHashtag!I288),FIND("/",PasteHashtag!I288)-FIND("(",PasteHashtag!I288)-1)*1</f>
        <v>0.8</v>
      </c>
      <c r="K288" s="2">
        <f>LEFT(PasteHashtag!I288,FIND("(",PasteHashtag!I288)-1)*1</f>
        <v>0.809</v>
      </c>
      <c r="L288" s="2">
        <f>PasteHashtag!J288</f>
        <v>1</v>
      </c>
      <c r="M288" s="2">
        <f>PasteHashtag!K288</f>
        <v>6.5</v>
      </c>
      <c r="N288" s="2">
        <f>PasteHashtag!L288</f>
        <v>3.3</v>
      </c>
      <c r="O288" s="2">
        <f>PasteHashtag!M288</f>
        <v>1.2</v>
      </c>
      <c r="P288" s="2">
        <f>PasteHashtag!N288</f>
        <v>0.4</v>
      </c>
      <c r="Q288" s="2">
        <f>PasteHashtag!O288</f>
        <v>0.4</v>
      </c>
      <c r="R288" s="2">
        <f>PasteHashtag!P288</f>
        <v>0.7</v>
      </c>
      <c r="S288" s="2">
        <f>Mid(PasteHashtag!H288,FIND("/",PasteHashtag!H288)+1,LEN(PasteHashtag!H288)-FIND("/",PasteHashtag!H288)-1)*1</f>
        <v>5.3</v>
      </c>
      <c r="T288" s="344">
        <f>Mid(PasteHashtag!I288,FIND("/",PasteHashtag!I288)+1,LEN(PasteHashtag!I288)-FIND("/",PasteHashtag!I288)-1)*1</f>
        <v>0.9</v>
      </c>
    </row>
    <row r="289">
      <c r="A289" s="2">
        <v>288.0</v>
      </c>
      <c r="B289" s="2" t="str">
        <f>PasteHashtag!B289</f>
        <v/>
      </c>
      <c r="C289" s="343" t="str">
        <f>PasteHashtag!C289</f>
        <v>Ryan Dunn</v>
      </c>
      <c r="D289" s="2" t="str">
        <f>PasteHashtag!D289</f>
        <v>SF</v>
      </c>
      <c r="E289" s="2" t="str">
        <f>PasteHashtag!E289</f>
        <v>PHO</v>
      </c>
      <c r="F289" s="2">
        <f>PasteHashtag!F289</f>
        <v>48</v>
      </c>
      <c r="G289" s="2">
        <f>PasteHashtag!G289</f>
        <v>15.1</v>
      </c>
      <c r="H289" s="2">
        <f>MID(PasteHashtag!H289,1+FIND("(",PasteHashtag!H289),FIND("/",PasteHashtag!H289)-FIND("(",PasteHashtag!H289)-1)*1</f>
        <v>1.7</v>
      </c>
      <c r="I289" s="2">
        <f>LEFT(PasteHashtag!H289,FIND("(",PasteHashtag!H289)-1)*1</f>
        <v>0.498</v>
      </c>
      <c r="J289" s="2">
        <f>MID(PasteHashtag!I289,1+FIND("(",PasteHashtag!I289),FIND("/",PasteHashtag!I289)-FIND("(",PasteHashtag!I289)-1)*1</f>
        <v>0.7</v>
      </c>
      <c r="K289" s="2">
        <f>LEFT(PasteHashtag!I289,FIND("(",PasteHashtag!I289)-1)*1</f>
        <v>0.589</v>
      </c>
      <c r="L289" s="2">
        <f>PasteHashtag!J289</f>
        <v>0.1</v>
      </c>
      <c r="M289" s="2">
        <f>PasteHashtag!K289</f>
        <v>4.1</v>
      </c>
      <c r="N289" s="2">
        <f>PasteHashtag!L289</f>
        <v>3.4</v>
      </c>
      <c r="O289" s="2">
        <f>PasteHashtag!M289</f>
        <v>0.4</v>
      </c>
      <c r="P289" s="2">
        <f>PasteHashtag!N289</f>
        <v>0.6</v>
      </c>
      <c r="Q289" s="2">
        <f>PasteHashtag!O289</f>
        <v>1.1</v>
      </c>
      <c r="R289" s="2">
        <f>PasteHashtag!P289</f>
        <v>0.4</v>
      </c>
      <c r="S289" s="2">
        <f>Mid(PasteHashtag!H289,FIND("/",PasteHashtag!H289)+1,LEN(PasteHashtag!H289)-FIND("/",PasteHashtag!H289)-1)*1</f>
        <v>3.3</v>
      </c>
      <c r="T289" s="344">
        <f>Mid(PasteHashtag!I289,FIND("/",PasteHashtag!I289)+1,LEN(PasteHashtag!I289)-FIND("/",PasteHashtag!I289)-1)*1</f>
        <v>1.1</v>
      </c>
    </row>
    <row r="290">
      <c r="A290" s="2">
        <v>289.0</v>
      </c>
      <c r="B290" s="2" t="str">
        <f>PasteHashtag!B290</f>
        <v/>
      </c>
      <c r="C290" s="343" t="str">
        <f>PasteHashtag!C290</f>
        <v>Jericho Sims</v>
      </c>
      <c r="D290" s="2" t="str">
        <f>PasteHashtag!D290</f>
        <v>C</v>
      </c>
      <c r="E290" s="2" t="str">
        <f>PasteHashtag!E290</f>
        <v>NY</v>
      </c>
      <c r="F290" s="2">
        <f>PasteHashtag!F290</f>
        <v>42</v>
      </c>
      <c r="G290" s="2">
        <f>PasteHashtag!G290</f>
        <v>16.4</v>
      </c>
      <c r="H290" s="2">
        <f>MID(PasteHashtag!H290,1+FIND("(",PasteHashtag!H290),FIND("/",PasteHashtag!H290)-FIND("(",PasteHashtag!H290)-1)*1</f>
        <v>1.5</v>
      </c>
      <c r="I290" s="2">
        <f>LEFT(PasteHashtag!H290,FIND("(",PasteHashtag!H290)-1)*1</f>
        <v>0.744</v>
      </c>
      <c r="J290" s="2">
        <f>MID(PasteHashtag!I290,1+FIND("(",PasteHashtag!I290),FIND("/",PasteHashtag!I290)-FIND("(",PasteHashtag!I290)-1)*1</f>
        <v>0.3</v>
      </c>
      <c r="K290" s="2">
        <f>LEFT(PasteHashtag!I290,FIND("(",PasteHashtag!I290)-1)*1</f>
        <v>0.694</v>
      </c>
      <c r="L290" s="2">
        <f>PasteHashtag!J290</f>
        <v>0</v>
      </c>
      <c r="M290" s="2">
        <f>PasteHashtag!K290</f>
        <v>3.3</v>
      </c>
      <c r="N290" s="2">
        <f>PasteHashtag!L290</f>
        <v>4.8</v>
      </c>
      <c r="O290" s="2">
        <f>PasteHashtag!M290</f>
        <v>0.6</v>
      </c>
      <c r="P290" s="2">
        <f>PasteHashtag!N290</f>
        <v>0.3</v>
      </c>
      <c r="Q290" s="2">
        <f>PasteHashtag!O290</f>
        <v>0.6</v>
      </c>
      <c r="R290" s="2">
        <f>PasteHashtag!P290</f>
        <v>0.5</v>
      </c>
      <c r="S290" s="2">
        <f>Mid(PasteHashtag!H290,FIND("/",PasteHashtag!H290)+1,LEN(PasteHashtag!H290)-FIND("/",PasteHashtag!H290)-1)*1</f>
        <v>2</v>
      </c>
      <c r="T290" s="344">
        <f>Mid(PasteHashtag!I290,FIND("/",PasteHashtag!I290)+1,LEN(PasteHashtag!I290)-FIND("/",PasteHashtag!I290)-1)*1</f>
        <v>0.5</v>
      </c>
    </row>
    <row r="291">
      <c r="A291" s="2">
        <v>290.0</v>
      </c>
      <c r="B291" s="2" t="str">
        <f>PasteHashtag!B291</f>
        <v/>
      </c>
      <c r="C291" s="343" t="str">
        <f>PasteHashtag!C291</f>
        <v>Dalton Knecht</v>
      </c>
      <c r="D291" s="2" t="str">
        <f>PasteHashtag!D291</f>
        <v>SG</v>
      </c>
      <c r="E291" s="2" t="str">
        <f>PasteHashtag!E291</f>
        <v>LAL</v>
      </c>
      <c r="F291" s="2">
        <f>PasteHashtag!F291</f>
        <v>64</v>
      </c>
      <c r="G291" s="2">
        <f>PasteHashtag!G291</f>
        <v>17.4</v>
      </c>
      <c r="H291" s="2">
        <f>MID(PasteHashtag!H291,1+FIND("(",PasteHashtag!H291),FIND("/",PasteHashtag!H291)-FIND("(",PasteHashtag!H291)-1)*1</f>
        <v>3</v>
      </c>
      <c r="I291" s="2">
        <f>LEFT(PasteHashtag!H291,FIND("(",PasteHashtag!H291)-1)*1</f>
        <v>0.444</v>
      </c>
      <c r="J291" s="2">
        <f>MID(PasteHashtag!I291,1+FIND("(",PasteHashtag!I291),FIND("/",PasteHashtag!I291)-FIND("(",PasteHashtag!I291)-1)*1</f>
        <v>1.9</v>
      </c>
      <c r="K291" s="2">
        <f>LEFT(PasteHashtag!I291,FIND("(",PasteHashtag!I291)-1)*1</f>
        <v>0.77</v>
      </c>
      <c r="L291" s="2">
        <f>PasteHashtag!J291</f>
        <v>1.1</v>
      </c>
      <c r="M291" s="2">
        <f>PasteHashtag!K291</f>
        <v>9</v>
      </c>
      <c r="N291" s="2">
        <f>PasteHashtag!L291</f>
        <v>3.3</v>
      </c>
      <c r="O291" s="2">
        <f>PasteHashtag!M291</f>
        <v>1.1</v>
      </c>
      <c r="P291" s="2">
        <f>PasteHashtag!N291</f>
        <v>0.3</v>
      </c>
      <c r="Q291" s="2">
        <f>PasteHashtag!O291</f>
        <v>0.4</v>
      </c>
      <c r="R291" s="2">
        <f>PasteHashtag!P291</f>
        <v>0.7</v>
      </c>
      <c r="S291" s="2">
        <f>Mid(PasteHashtag!H291,FIND("/",PasteHashtag!H291)+1,LEN(PasteHashtag!H291)-FIND("/",PasteHashtag!H291)-1)*1</f>
        <v>6.8</v>
      </c>
      <c r="T291" s="344">
        <f>Mid(PasteHashtag!I291,FIND("/",PasteHashtag!I291)+1,LEN(PasteHashtag!I291)-FIND("/",PasteHashtag!I291)-1)*1</f>
        <v>2.4</v>
      </c>
    </row>
    <row r="292">
      <c r="A292" s="2">
        <v>291.0</v>
      </c>
      <c r="B292" s="2" t="str">
        <f>PasteHashtag!B292</f>
        <v/>
      </c>
      <c r="C292" s="343" t="str">
        <f>PasteHashtag!C292</f>
        <v>Damion Lee</v>
      </c>
      <c r="D292" s="2" t="str">
        <f>PasteHashtag!D292</f>
        <v>SG,SF</v>
      </c>
      <c r="E292" s="2" t="str">
        <f>PasteHashtag!E292</f>
        <v>PHO</v>
      </c>
      <c r="F292" s="2">
        <f>PasteHashtag!F292</f>
        <v>64</v>
      </c>
      <c r="G292" s="2">
        <f>PasteHashtag!G292</f>
        <v>17.8</v>
      </c>
      <c r="H292" s="2">
        <f>MID(PasteHashtag!H292,1+FIND("(",PasteHashtag!H292),FIND("/",PasteHashtag!H292)-FIND("(",PasteHashtag!H292)-1)*1</f>
        <v>2.4</v>
      </c>
      <c r="I292" s="2">
        <f>LEFT(PasteHashtag!H292,FIND("(",PasteHashtag!H292)-1)*1</f>
        <v>0.443</v>
      </c>
      <c r="J292" s="2">
        <f>MID(PasteHashtag!I292,1+FIND("(",PasteHashtag!I292),FIND("/",PasteHashtag!I292)-FIND("(",PasteHashtag!I292)-1)*1</f>
        <v>1.1</v>
      </c>
      <c r="K292" s="2">
        <f>LEFT(PasteHashtag!I292,FIND("(",PasteHashtag!I292)-1)*1</f>
        <v>0.903</v>
      </c>
      <c r="L292" s="2">
        <f>PasteHashtag!J292</f>
        <v>1.3</v>
      </c>
      <c r="M292" s="2">
        <f>PasteHashtag!K292</f>
        <v>7.2</v>
      </c>
      <c r="N292" s="2">
        <f>PasteHashtag!L292</f>
        <v>2.7</v>
      </c>
      <c r="O292" s="2">
        <f>PasteHashtag!M292</f>
        <v>1.2</v>
      </c>
      <c r="P292" s="2">
        <f>PasteHashtag!N292</f>
        <v>0.4</v>
      </c>
      <c r="Q292" s="2">
        <f>PasteHashtag!O292</f>
        <v>0.1</v>
      </c>
      <c r="R292" s="2">
        <f>PasteHashtag!P292</f>
        <v>0.9</v>
      </c>
      <c r="S292" s="2">
        <f>Mid(PasteHashtag!H292,FIND("/",PasteHashtag!H292)+1,LEN(PasteHashtag!H292)-FIND("/",PasteHashtag!H292)-1)*1</f>
        <v>5.4</v>
      </c>
      <c r="T292" s="344">
        <f>Mid(PasteHashtag!I292,FIND("/",PasteHashtag!I292)+1,LEN(PasteHashtag!I292)-FIND("/",PasteHashtag!I292)-1)*1</f>
        <v>1.2</v>
      </c>
    </row>
    <row r="293">
      <c r="A293" s="2">
        <v>292.0</v>
      </c>
      <c r="B293" s="2" t="str">
        <f>PasteHashtag!B293</f>
        <v/>
      </c>
      <c r="C293" s="343" t="str">
        <f>PasteHashtag!C293</f>
        <v>Chris Boucher</v>
      </c>
      <c r="D293" s="2" t="str">
        <f>PasteHashtag!D293</f>
        <v>PF,C</v>
      </c>
      <c r="E293" s="2" t="str">
        <f>PasteHashtag!E293</f>
        <v>TOR</v>
      </c>
      <c r="F293" s="2">
        <f>PasteHashtag!F293</f>
        <v>65</v>
      </c>
      <c r="G293" s="2">
        <f>PasteHashtag!G293</f>
        <v>13.4</v>
      </c>
      <c r="H293" s="2">
        <f>MID(PasteHashtag!H293,1+FIND("(",PasteHashtag!H293),FIND("/",PasteHashtag!H293)-FIND("(",PasteHashtag!H293)-1)*1</f>
        <v>2.3</v>
      </c>
      <c r="I293" s="2">
        <f>LEFT(PasteHashtag!H293,FIND("(",PasteHashtag!H293)-1)*1</f>
        <v>0.497</v>
      </c>
      <c r="J293" s="2">
        <f>MID(PasteHashtag!I293,1+FIND("(",PasteHashtag!I293),FIND("/",PasteHashtag!I293)-FIND("(",PasteHashtag!I293)-1)*1</f>
        <v>1.2</v>
      </c>
      <c r="K293" s="2">
        <f>LEFT(PasteHashtag!I293,FIND("(",PasteHashtag!I293)-1)*1</f>
        <v>0.766</v>
      </c>
      <c r="L293" s="2">
        <f>PasteHashtag!J293</f>
        <v>0.6</v>
      </c>
      <c r="M293" s="2">
        <f>PasteHashtag!K293</f>
        <v>6.3</v>
      </c>
      <c r="N293" s="2">
        <f>PasteHashtag!L293</f>
        <v>3.8</v>
      </c>
      <c r="O293" s="2">
        <f>PasteHashtag!M293</f>
        <v>0.3</v>
      </c>
      <c r="P293" s="2">
        <f>PasteHashtag!N293</f>
        <v>0.4</v>
      </c>
      <c r="Q293" s="2">
        <f>PasteHashtag!O293</f>
        <v>0.5</v>
      </c>
      <c r="R293" s="2">
        <f>PasteHashtag!P293</f>
        <v>0.4</v>
      </c>
      <c r="S293" s="2">
        <f>Mid(PasteHashtag!H293,FIND("/",PasteHashtag!H293)+1,LEN(PasteHashtag!H293)-FIND("/",PasteHashtag!H293)-1)*1</f>
        <v>4.5</v>
      </c>
      <c r="T293" s="344">
        <f>Mid(PasteHashtag!I293,FIND("/",PasteHashtag!I293)+1,LEN(PasteHashtag!I293)-FIND("/",PasteHashtag!I293)-1)*1</f>
        <v>1.6</v>
      </c>
    </row>
    <row r="294">
      <c r="A294" s="2">
        <v>293.0</v>
      </c>
      <c r="B294" s="2" t="str">
        <f>PasteHashtag!B294</f>
        <v/>
      </c>
      <c r="C294" s="343" t="str">
        <f>PasteHashtag!C294</f>
        <v>Duop Reath</v>
      </c>
      <c r="D294" s="2" t="str">
        <f>PasteHashtag!D294</f>
        <v>C</v>
      </c>
      <c r="E294" s="2" t="str">
        <f>PasteHashtag!E294</f>
        <v>POR</v>
      </c>
      <c r="F294" s="2">
        <f>PasteHashtag!F294</f>
        <v>58</v>
      </c>
      <c r="G294" s="2">
        <f>PasteHashtag!G294</f>
        <v>14.3</v>
      </c>
      <c r="H294" s="2">
        <f>MID(PasteHashtag!H294,1+FIND("(",PasteHashtag!H294),FIND("/",PasteHashtag!H294)-FIND("(",PasteHashtag!H294)-1)*1</f>
        <v>2.7</v>
      </c>
      <c r="I294" s="2">
        <f>LEFT(PasteHashtag!H294,FIND("(",PasteHashtag!H294)-1)*1</f>
        <v>0.461</v>
      </c>
      <c r="J294" s="2">
        <f>MID(PasteHashtag!I294,1+FIND("(",PasteHashtag!I294),FIND("/",PasteHashtag!I294)-FIND("(",PasteHashtag!I294)-1)*1</f>
        <v>0.8</v>
      </c>
      <c r="K294" s="2">
        <f>LEFT(PasteHashtag!I294,FIND("(",PasteHashtag!I294)-1)*1</f>
        <v>0.739</v>
      </c>
      <c r="L294" s="2">
        <f>PasteHashtag!J294</f>
        <v>1.1</v>
      </c>
      <c r="M294" s="2">
        <f>PasteHashtag!K294</f>
        <v>7.3</v>
      </c>
      <c r="N294" s="2">
        <f>PasteHashtag!L294</f>
        <v>3</v>
      </c>
      <c r="O294" s="2">
        <f>PasteHashtag!M294</f>
        <v>0.8</v>
      </c>
      <c r="P294" s="2">
        <f>PasteHashtag!N294</f>
        <v>0.4</v>
      </c>
      <c r="Q294" s="2">
        <f>PasteHashtag!O294</f>
        <v>0.5</v>
      </c>
      <c r="R294" s="2">
        <f>PasteHashtag!P294</f>
        <v>0.6</v>
      </c>
      <c r="S294" s="2">
        <f>Mid(PasteHashtag!H294,FIND("/",PasteHashtag!H294)+1,LEN(PasteHashtag!H294)-FIND("/",PasteHashtag!H294)-1)*1</f>
        <v>5.9</v>
      </c>
      <c r="T294" s="344">
        <f>Mid(PasteHashtag!I294,FIND("/",PasteHashtag!I294)+1,LEN(PasteHashtag!I294)-FIND("/",PasteHashtag!I294)-1)*1</f>
        <v>1.1</v>
      </c>
    </row>
    <row r="295">
      <c r="A295" s="2">
        <v>294.0</v>
      </c>
      <c r="B295" s="2" t="str">
        <f>PasteHashtag!B295</f>
        <v/>
      </c>
      <c r="C295" s="343" t="str">
        <f>PasteHashtag!C295</f>
        <v>Gary Harris</v>
      </c>
      <c r="D295" s="2" t="str">
        <f>PasteHashtag!D295</f>
        <v>PG,SG</v>
      </c>
      <c r="E295" s="2" t="str">
        <f>PasteHashtag!E295</f>
        <v>ORL</v>
      </c>
      <c r="F295" s="2">
        <f>PasteHashtag!F295</f>
        <v>50</v>
      </c>
      <c r="G295" s="2">
        <f>PasteHashtag!G295</f>
        <v>18</v>
      </c>
      <c r="H295" s="2">
        <f>MID(PasteHashtag!H295,1+FIND("(",PasteHashtag!H295),FIND("/",PasteHashtag!H295)-FIND("(",PasteHashtag!H295)-1)*1</f>
        <v>2</v>
      </c>
      <c r="I295" s="2">
        <f>LEFT(PasteHashtag!H295,FIND("(",PasteHashtag!H295)-1)*1</f>
        <v>0.445</v>
      </c>
      <c r="J295" s="2">
        <f>MID(PasteHashtag!I295,1+FIND("(",PasteHashtag!I295),FIND("/",PasteHashtag!I295)-FIND("(",PasteHashtag!I295)-1)*1</f>
        <v>0.5</v>
      </c>
      <c r="K295" s="2">
        <f>LEFT(PasteHashtag!I295,FIND("(",PasteHashtag!I295)-1)*1</f>
        <v>0.818</v>
      </c>
      <c r="L295" s="2">
        <f>PasteHashtag!J295</f>
        <v>1.3</v>
      </c>
      <c r="M295" s="2">
        <f>PasteHashtag!K295</f>
        <v>5.6</v>
      </c>
      <c r="N295" s="2">
        <f>PasteHashtag!L295</f>
        <v>1.4</v>
      </c>
      <c r="O295" s="2">
        <f>PasteHashtag!M295</f>
        <v>1.1</v>
      </c>
      <c r="P295" s="2">
        <f>PasteHashtag!N295</f>
        <v>0.7</v>
      </c>
      <c r="Q295" s="2">
        <f>PasteHashtag!O295</f>
        <v>0.2</v>
      </c>
      <c r="R295" s="2">
        <f>PasteHashtag!P295</f>
        <v>0.4</v>
      </c>
      <c r="S295" s="2">
        <f>Mid(PasteHashtag!H295,FIND("/",PasteHashtag!H295)+1,LEN(PasteHashtag!H295)-FIND("/",PasteHashtag!H295)-1)*1</f>
        <v>4.4</v>
      </c>
      <c r="T295" s="344">
        <f>Mid(PasteHashtag!I295,FIND("/",PasteHashtag!I295)+1,LEN(PasteHashtag!I295)-FIND("/",PasteHashtag!I295)-1)*1</f>
        <v>0.6</v>
      </c>
    </row>
    <row r="296">
      <c r="A296" s="2">
        <v>295.0</v>
      </c>
      <c r="B296" s="2" t="str">
        <f>PasteHashtag!B296</f>
        <v/>
      </c>
      <c r="C296" s="343" t="str">
        <f>PasteHashtag!C296</f>
        <v>Dante Exum</v>
      </c>
      <c r="D296" s="2" t="str">
        <f>PasteHashtag!D296</f>
        <v>PG,SG</v>
      </c>
      <c r="E296" s="2" t="str">
        <f>PasteHashtag!E296</f>
        <v>DAL</v>
      </c>
      <c r="F296" s="2">
        <f>PasteHashtag!F296</f>
        <v>20</v>
      </c>
      <c r="G296" s="2">
        <f>PasteHashtag!G296</f>
        <v>16.7</v>
      </c>
      <c r="H296" s="2">
        <f>MID(PasteHashtag!H296,1+FIND("(",PasteHashtag!H296),FIND("/",PasteHashtag!H296)-FIND("(",PasteHashtag!H296)-1)*1</f>
        <v>2.4</v>
      </c>
      <c r="I296" s="2">
        <f>LEFT(PasteHashtag!H296,FIND("(",PasteHashtag!H296)-1)*1</f>
        <v>0.535</v>
      </c>
      <c r="J296" s="2">
        <f>MID(PasteHashtag!I296,1+FIND("(",PasteHashtag!I296),FIND("/",PasteHashtag!I296)-FIND("(",PasteHashtag!I296)-1)*1</f>
        <v>0.8</v>
      </c>
      <c r="K296" s="2">
        <f>LEFT(PasteHashtag!I296,FIND("(",PasteHashtag!I296)-1)*1</f>
        <v>0.782</v>
      </c>
      <c r="L296" s="2">
        <f>PasteHashtag!J296</f>
        <v>0.8</v>
      </c>
      <c r="M296" s="2">
        <f>PasteHashtag!K296</f>
        <v>6.4</v>
      </c>
      <c r="N296" s="2">
        <f>PasteHashtag!L296</f>
        <v>2.2</v>
      </c>
      <c r="O296" s="2">
        <f>PasteHashtag!M296</f>
        <v>2.3</v>
      </c>
      <c r="P296" s="2">
        <f>PasteHashtag!N296</f>
        <v>0.3</v>
      </c>
      <c r="Q296" s="2">
        <f>PasteHashtag!O296</f>
        <v>0.1</v>
      </c>
      <c r="R296" s="2">
        <f>PasteHashtag!P296</f>
        <v>0.7</v>
      </c>
      <c r="S296" s="2">
        <f>Mid(PasteHashtag!H296,FIND("/",PasteHashtag!H296)+1,LEN(PasteHashtag!H296)-FIND("/",PasteHashtag!H296)-1)*1</f>
        <v>4.5</v>
      </c>
      <c r="T296" s="344">
        <f>Mid(PasteHashtag!I296,FIND("/",PasteHashtag!I296)+1,LEN(PasteHashtag!I296)-FIND("/",PasteHashtag!I296)-1)*1</f>
        <v>1</v>
      </c>
    </row>
    <row r="297">
      <c r="A297" s="2">
        <v>296.0</v>
      </c>
      <c r="B297" s="2" t="str">
        <f>PasteHashtag!B297</f>
        <v/>
      </c>
      <c r="C297" s="343" t="str">
        <f>PasteHashtag!C297</f>
        <v>Leonard Miller</v>
      </c>
      <c r="D297" s="2" t="str">
        <f>PasteHashtag!D297</f>
        <v>PF</v>
      </c>
      <c r="E297" s="2" t="str">
        <f>PasteHashtag!E297</f>
        <v>MIN</v>
      </c>
      <c r="F297" s="2">
        <f>PasteHashtag!F297</f>
        <v>44</v>
      </c>
      <c r="G297" s="2">
        <f>PasteHashtag!G297</f>
        <v>8.8</v>
      </c>
      <c r="H297" s="2">
        <f>MID(PasteHashtag!H297,1+FIND("(",PasteHashtag!H297),FIND("/",PasteHashtag!H297)-FIND("(",PasteHashtag!H297)-1)*1</f>
        <v>2.2</v>
      </c>
      <c r="I297" s="2">
        <f>LEFT(PasteHashtag!H297,FIND("(",PasteHashtag!H297)-1)*1</f>
        <v>0.652</v>
      </c>
      <c r="J297" s="2">
        <f>MID(PasteHashtag!I297,1+FIND("(",PasteHashtag!I297),FIND("/",PasteHashtag!I297)-FIND("(",PasteHashtag!I297)-1)*1</f>
        <v>0.2</v>
      </c>
      <c r="K297" s="2">
        <f>LEFT(PasteHashtag!I297,FIND("(",PasteHashtag!I297)-1)*1</f>
        <v>0.5</v>
      </c>
      <c r="L297" s="2">
        <f>PasteHashtag!J297</f>
        <v>0.3</v>
      </c>
      <c r="M297" s="2">
        <f>PasteHashtag!K297</f>
        <v>4.9</v>
      </c>
      <c r="N297" s="2">
        <f>PasteHashtag!L297</f>
        <v>3.4</v>
      </c>
      <c r="O297" s="2">
        <f>PasteHashtag!M297</f>
        <v>1.4</v>
      </c>
      <c r="P297" s="2">
        <f>PasteHashtag!N297</f>
        <v>0.3</v>
      </c>
      <c r="Q297" s="2">
        <f>PasteHashtag!O297</f>
        <v>0.2</v>
      </c>
      <c r="R297" s="2">
        <f>PasteHashtag!P297</f>
        <v>0.2</v>
      </c>
      <c r="S297" s="2">
        <f>Mid(PasteHashtag!H297,FIND("/",PasteHashtag!H297)+1,LEN(PasteHashtag!H297)-FIND("/",PasteHashtag!H297)-1)*1</f>
        <v>3.4</v>
      </c>
      <c r="T297" s="344">
        <f>Mid(PasteHashtag!I297,FIND("/",PasteHashtag!I297)+1,LEN(PasteHashtag!I297)-FIND("/",PasteHashtag!I297)-1)*1</f>
        <v>0.3</v>
      </c>
    </row>
    <row r="298">
      <c r="A298" s="2">
        <v>297.0</v>
      </c>
      <c r="B298" s="2">
        <f>PasteHashtag!B298</f>
        <v>139.8</v>
      </c>
      <c r="C298" s="343" t="str">
        <f>PasteHashtag!C298</f>
        <v>Steven Adams</v>
      </c>
      <c r="D298" s="2" t="str">
        <f>PasteHashtag!D298</f>
        <v>C</v>
      </c>
      <c r="E298" s="2" t="str">
        <f>PasteHashtag!E298</f>
        <v>HOU</v>
      </c>
      <c r="F298" s="2">
        <f>PasteHashtag!F298</f>
        <v>60</v>
      </c>
      <c r="G298" s="2">
        <f>PasteHashtag!G298</f>
        <v>17.8</v>
      </c>
      <c r="H298" s="2">
        <f>MID(PasteHashtag!H298,1+FIND("(",PasteHashtag!H298),FIND("/",PasteHashtag!H298)-FIND("(",PasteHashtag!H298)-1)*1</f>
        <v>2.5</v>
      </c>
      <c r="I298" s="2">
        <f>LEFT(PasteHashtag!H298,FIND("(",PasteHashtag!H298)-1)*1</f>
        <v>0.597</v>
      </c>
      <c r="J298" s="2">
        <f>MID(PasteHashtag!I298,1+FIND("(",PasteHashtag!I298),FIND("/",PasteHashtag!I298)-FIND("(",PasteHashtag!I298)-1)*1</f>
        <v>0.8</v>
      </c>
      <c r="K298" s="2">
        <f>LEFT(PasteHashtag!I298,FIND("(",PasteHashtag!I298)-1)*1</f>
        <v>0.366</v>
      </c>
      <c r="L298" s="2">
        <f>PasteHashtag!J298</f>
        <v>0</v>
      </c>
      <c r="M298" s="2">
        <f>PasteHashtag!K298</f>
        <v>5.7</v>
      </c>
      <c r="N298" s="2">
        <f>PasteHashtag!L298</f>
        <v>7.7</v>
      </c>
      <c r="O298" s="2">
        <f>PasteHashtag!M298</f>
        <v>1.5</v>
      </c>
      <c r="P298" s="2">
        <f>PasteHashtag!N298</f>
        <v>0.6</v>
      </c>
      <c r="Q298" s="2">
        <f>PasteHashtag!O298</f>
        <v>0.7</v>
      </c>
      <c r="R298" s="2">
        <f>PasteHashtag!P298</f>
        <v>1.3</v>
      </c>
      <c r="S298" s="2">
        <f>Mid(PasteHashtag!H298,FIND("/",PasteHashtag!H298)+1,LEN(PasteHashtag!H298)-FIND("/",PasteHashtag!H298)-1)*1</f>
        <v>4.2</v>
      </c>
      <c r="T298" s="344">
        <f>Mid(PasteHashtag!I298,FIND("/",PasteHashtag!I298)+1,LEN(PasteHashtag!I298)-FIND("/",PasteHashtag!I298)-1)*1</f>
        <v>2.1</v>
      </c>
    </row>
    <row r="299">
      <c r="A299" s="2">
        <v>298.0</v>
      </c>
      <c r="B299" s="2" t="str">
        <f>PasteHashtag!B299</f>
        <v/>
      </c>
      <c r="C299" s="343" t="str">
        <f>PasteHashtag!C299</f>
        <v>James Wiseman</v>
      </c>
      <c r="D299" s="2" t="str">
        <f>PasteHashtag!D299</f>
        <v>C</v>
      </c>
      <c r="E299" s="2" t="str">
        <f>PasteHashtag!E299</f>
        <v>IND</v>
      </c>
      <c r="F299" s="2">
        <f>PasteHashtag!F299</f>
        <v>50</v>
      </c>
      <c r="G299" s="2">
        <f>PasteHashtag!G299</f>
        <v>15.4</v>
      </c>
      <c r="H299" s="2">
        <f>MID(PasteHashtag!H299,1+FIND("(",PasteHashtag!H299),FIND("/",PasteHashtag!H299)-FIND("(",PasteHashtag!H299)-1)*1</f>
        <v>3</v>
      </c>
      <c r="I299" s="2">
        <f>LEFT(PasteHashtag!H299,FIND("(",PasteHashtag!H299)-1)*1</f>
        <v>0.584</v>
      </c>
      <c r="J299" s="2">
        <f>MID(PasteHashtag!I299,1+FIND("(",PasteHashtag!I299),FIND("/",PasteHashtag!I299)-FIND("(",PasteHashtag!I299)-1)*1</f>
        <v>1.1</v>
      </c>
      <c r="K299" s="2">
        <f>LEFT(PasteHashtag!I299,FIND("(",PasteHashtag!I299)-1)*1</f>
        <v>0.703</v>
      </c>
      <c r="L299" s="2">
        <f>PasteHashtag!J299</f>
        <v>0</v>
      </c>
      <c r="M299" s="2">
        <f>PasteHashtag!K299</f>
        <v>7.1</v>
      </c>
      <c r="N299" s="2">
        <f>PasteHashtag!L299</f>
        <v>4.8</v>
      </c>
      <c r="O299" s="2">
        <f>PasteHashtag!M299</f>
        <v>0.7</v>
      </c>
      <c r="P299" s="2">
        <f>PasteHashtag!N299</f>
        <v>0.2</v>
      </c>
      <c r="Q299" s="2">
        <f>PasteHashtag!O299</f>
        <v>0.5</v>
      </c>
      <c r="R299" s="2">
        <f>PasteHashtag!P299</f>
        <v>0.9</v>
      </c>
      <c r="S299" s="2">
        <f>Mid(PasteHashtag!H299,FIND("/",PasteHashtag!H299)+1,LEN(PasteHashtag!H299)-FIND("/",PasteHashtag!H299)-1)*1</f>
        <v>5.1</v>
      </c>
      <c r="T299" s="344">
        <f>Mid(PasteHashtag!I299,FIND("/",PasteHashtag!I299)+1,LEN(PasteHashtag!I299)-FIND("/",PasteHashtag!I299)-1)*1</f>
        <v>1.6</v>
      </c>
    </row>
    <row r="300">
      <c r="A300" s="2">
        <v>299.0</v>
      </c>
      <c r="B300" s="2" t="str">
        <f>PasteHashtag!B300</f>
        <v/>
      </c>
      <c r="C300" s="343" t="str">
        <f>PasteHashtag!C300</f>
        <v>Seth Curry</v>
      </c>
      <c r="D300" s="2" t="str">
        <f>PasteHashtag!D300</f>
        <v>SG</v>
      </c>
      <c r="E300" s="2" t="str">
        <f>PasteHashtag!E300</f>
        <v>CHA</v>
      </c>
      <c r="F300" s="2">
        <f>PasteHashtag!F300</f>
        <v>60</v>
      </c>
      <c r="G300" s="2">
        <f>PasteHashtag!G300</f>
        <v>15.9</v>
      </c>
      <c r="H300" s="2">
        <f>MID(PasteHashtag!H300,1+FIND("(",PasteHashtag!H300),FIND("/",PasteHashtag!H300)-FIND("(",PasteHashtag!H300)-1)*1</f>
        <v>2.6</v>
      </c>
      <c r="I300" s="2">
        <f>LEFT(PasteHashtag!H300,FIND("(",PasteHashtag!H300)-1)*1</f>
        <v>0.441</v>
      </c>
      <c r="J300" s="2">
        <f>MID(PasteHashtag!I300,1+FIND("(",PasteHashtag!I300),FIND("/",PasteHashtag!I300)-FIND("(",PasteHashtag!I300)-1)*1</f>
        <v>0.7</v>
      </c>
      <c r="K300" s="2">
        <f>LEFT(PasteHashtag!I300,FIND("(",PasteHashtag!I300)-1)*1</f>
        <v>0.921</v>
      </c>
      <c r="L300" s="2">
        <f>PasteHashtag!J300</f>
        <v>1.2</v>
      </c>
      <c r="M300" s="2">
        <f>PasteHashtag!K300</f>
        <v>7</v>
      </c>
      <c r="N300" s="2">
        <f>PasteHashtag!L300</f>
        <v>1.5</v>
      </c>
      <c r="O300" s="2">
        <f>PasteHashtag!M300</f>
        <v>1.3</v>
      </c>
      <c r="P300" s="2">
        <f>PasteHashtag!N300</f>
        <v>0.5</v>
      </c>
      <c r="Q300" s="2">
        <f>PasteHashtag!O300</f>
        <v>0.1</v>
      </c>
      <c r="R300" s="2">
        <f>PasteHashtag!P300</f>
        <v>0.6</v>
      </c>
      <c r="S300" s="2">
        <f>Mid(PasteHashtag!H300,FIND("/",PasteHashtag!H300)+1,LEN(PasteHashtag!H300)-FIND("/",PasteHashtag!H300)-1)*1</f>
        <v>5.8</v>
      </c>
      <c r="T300" s="344">
        <f>Mid(PasteHashtag!I300,FIND("/",PasteHashtag!I300)+1,LEN(PasteHashtag!I300)-FIND("/",PasteHashtag!I300)-1)*1</f>
        <v>0.8</v>
      </c>
    </row>
    <row r="301">
      <c r="A301" s="2">
        <v>300.0</v>
      </c>
      <c r="B301" s="2" t="str">
        <f>PasteHashtag!B301</f>
        <v/>
      </c>
      <c r="C301" s="343" t="str">
        <f>PasteHashtag!C301</f>
        <v>Jaylin Williams</v>
      </c>
      <c r="D301" s="2" t="str">
        <f>PasteHashtag!D301</f>
        <v>PF,C</v>
      </c>
      <c r="E301" s="2" t="str">
        <f>PasteHashtag!E301</f>
        <v>OKC</v>
      </c>
      <c r="F301" s="2">
        <f>PasteHashtag!F301</f>
        <v>69</v>
      </c>
      <c r="G301" s="2">
        <f>PasteHashtag!G301</f>
        <v>14.5</v>
      </c>
      <c r="H301" s="2">
        <f>MID(PasteHashtag!H301,1+FIND("(",PasteHashtag!H301),FIND("/",PasteHashtag!H301)-FIND("(",PasteHashtag!H301)-1)*1</f>
        <v>1.6</v>
      </c>
      <c r="I301" s="2">
        <f>LEFT(PasteHashtag!H301,FIND("(",PasteHashtag!H301)-1)*1</f>
        <v>0.426</v>
      </c>
      <c r="J301" s="2">
        <f>MID(PasteHashtag!I301,1+FIND("(",PasteHashtag!I301),FIND("/",PasteHashtag!I301)-FIND("(",PasteHashtag!I301)-1)*1</f>
        <v>0.6</v>
      </c>
      <c r="K301" s="2">
        <f>LEFT(PasteHashtag!I301,FIND("(",PasteHashtag!I301)-1)*1</f>
        <v>0.74</v>
      </c>
      <c r="L301" s="2">
        <f>PasteHashtag!J301</f>
        <v>0.8</v>
      </c>
      <c r="M301" s="2">
        <f>PasteHashtag!K301</f>
        <v>4.6</v>
      </c>
      <c r="N301" s="2">
        <f>PasteHashtag!L301</f>
        <v>3.8</v>
      </c>
      <c r="O301" s="2">
        <f>PasteHashtag!M301</f>
        <v>1.5</v>
      </c>
      <c r="P301" s="2">
        <f>PasteHashtag!N301</f>
        <v>0.5</v>
      </c>
      <c r="Q301" s="2">
        <f>PasteHashtag!O301</f>
        <v>0.3</v>
      </c>
      <c r="R301" s="2">
        <f>PasteHashtag!P301</f>
        <v>0.6</v>
      </c>
      <c r="S301" s="2">
        <f>Mid(PasteHashtag!H301,FIND("/",PasteHashtag!H301)+1,LEN(PasteHashtag!H301)-FIND("/",PasteHashtag!H301)-1)*1</f>
        <v>3.7</v>
      </c>
      <c r="T301" s="344">
        <f>Mid(PasteHashtag!I301,FIND("/",PasteHashtag!I301)+1,LEN(PasteHashtag!I301)-FIND("/",PasteHashtag!I301)-1)*1</f>
        <v>0.8</v>
      </c>
    </row>
    <row r="302">
      <c r="A302" s="2">
        <v>301.0</v>
      </c>
      <c r="B302" s="2" t="str">
        <f>PasteHashtag!B302</f>
        <v/>
      </c>
      <c r="C302" s="343" t="str">
        <f>PasteHashtag!C302</f>
        <v>Trey Jemison</v>
      </c>
      <c r="D302" s="2" t="str">
        <f>PasteHashtag!D302</f>
        <v>C</v>
      </c>
      <c r="E302" s="2" t="str">
        <f>PasteHashtag!E302</f>
        <v>NO</v>
      </c>
      <c r="F302" s="2">
        <f>PasteHashtag!F302</f>
        <v>40</v>
      </c>
      <c r="G302" s="2">
        <f>PasteHashtag!G302</f>
        <v>13.3</v>
      </c>
      <c r="H302" s="2">
        <f>MID(PasteHashtag!H302,1+FIND("(",PasteHashtag!H302),FIND("/",PasteHashtag!H302)-FIND("(",PasteHashtag!H302)-1)*1</f>
        <v>1.9</v>
      </c>
      <c r="I302" s="2">
        <f>LEFT(PasteHashtag!H302,FIND("(",PasteHashtag!H302)-1)*1</f>
        <v>0.552</v>
      </c>
      <c r="J302" s="2">
        <f>MID(PasteHashtag!I302,1+FIND("(",PasteHashtag!I302),FIND("/",PasteHashtag!I302)-FIND("(",PasteHashtag!I302)-1)*1</f>
        <v>0.5</v>
      </c>
      <c r="K302" s="2">
        <f>LEFT(PasteHashtag!I302,FIND("(",PasteHashtag!I302)-1)*1</f>
        <v>0.839</v>
      </c>
      <c r="L302" s="2">
        <f>PasteHashtag!J302</f>
        <v>0</v>
      </c>
      <c r="M302" s="2">
        <f>PasteHashtag!K302</f>
        <v>4.2</v>
      </c>
      <c r="N302" s="2">
        <f>PasteHashtag!L302</f>
        <v>3.3</v>
      </c>
      <c r="O302" s="2">
        <f>PasteHashtag!M302</f>
        <v>0.7</v>
      </c>
      <c r="P302" s="2">
        <f>PasteHashtag!N302</f>
        <v>0.3</v>
      </c>
      <c r="Q302" s="2">
        <f>PasteHashtag!O302</f>
        <v>0.7</v>
      </c>
      <c r="R302" s="2">
        <f>PasteHashtag!P302</f>
        <v>0.8</v>
      </c>
      <c r="S302" s="2">
        <f>Mid(PasteHashtag!H302,FIND("/",PasteHashtag!H302)+1,LEN(PasteHashtag!H302)-FIND("/",PasteHashtag!H302)-1)*1</f>
        <v>3.4</v>
      </c>
      <c r="T302" s="344">
        <f>Mid(PasteHashtag!I302,FIND("/",PasteHashtag!I302)+1,LEN(PasteHashtag!I302)-FIND("/",PasteHashtag!I302)-1)*1</f>
        <v>0.6</v>
      </c>
    </row>
    <row r="303">
      <c r="A303" s="2">
        <v>302.0</v>
      </c>
      <c r="B303" s="2" t="str">
        <f>PasteHashtag!B303</f>
        <v/>
      </c>
      <c r="C303" s="343" t="str">
        <f>PasteHashtag!C303</f>
        <v>Thomas Bryant</v>
      </c>
      <c r="D303" s="2" t="str">
        <f>PasteHashtag!D303</f>
        <v>C</v>
      </c>
      <c r="E303" s="2" t="str">
        <f>PasteHashtag!E303</f>
        <v>MIA</v>
      </c>
      <c r="F303" s="2">
        <f>PasteHashtag!F303</f>
        <v>38</v>
      </c>
      <c r="G303" s="2">
        <f>PasteHashtag!G303</f>
        <v>11.4</v>
      </c>
      <c r="H303" s="2">
        <f>MID(PasteHashtag!H303,1+FIND("(",PasteHashtag!H303),FIND("/",PasteHashtag!H303)-FIND("(",PasteHashtag!H303)-1)*1</f>
        <v>2.4</v>
      </c>
      <c r="I303" s="2">
        <f>LEFT(PasteHashtag!H303,FIND("(",PasteHashtag!H303)-1)*1</f>
        <v>0.61</v>
      </c>
      <c r="J303" s="2">
        <f>MID(PasteHashtag!I303,1+FIND("(",PasteHashtag!I303),FIND("/",PasteHashtag!I303)-FIND("(",PasteHashtag!I303)-1)*1</f>
        <v>1</v>
      </c>
      <c r="K303" s="2">
        <f>LEFT(PasteHashtag!I303,FIND("(",PasteHashtag!I303)-1)*1</f>
        <v>0.771</v>
      </c>
      <c r="L303" s="2">
        <f>PasteHashtag!J303</f>
        <v>0.2</v>
      </c>
      <c r="M303" s="2">
        <f>PasteHashtag!K303</f>
        <v>6</v>
      </c>
      <c r="N303" s="2">
        <f>PasteHashtag!L303</f>
        <v>3.6</v>
      </c>
      <c r="O303" s="2">
        <f>PasteHashtag!M303</f>
        <v>0.4</v>
      </c>
      <c r="P303" s="2">
        <f>PasteHashtag!N303</f>
        <v>0.2</v>
      </c>
      <c r="Q303" s="2">
        <f>PasteHashtag!O303</f>
        <v>0.4</v>
      </c>
      <c r="R303" s="2">
        <f>PasteHashtag!P303</f>
        <v>0.5</v>
      </c>
      <c r="S303" s="2">
        <f>Mid(PasteHashtag!H303,FIND("/",PasteHashtag!H303)+1,LEN(PasteHashtag!H303)-FIND("/",PasteHashtag!H303)-1)*1</f>
        <v>3.9</v>
      </c>
      <c r="T303" s="344">
        <f>Mid(PasteHashtag!I303,FIND("/",PasteHashtag!I303)+1,LEN(PasteHashtag!I303)-FIND("/",PasteHashtag!I303)-1)*1</f>
        <v>1.3</v>
      </c>
    </row>
    <row r="304">
      <c r="A304" s="2">
        <v>303.0</v>
      </c>
      <c r="B304" s="2" t="str">
        <f>PasteHashtag!B304</f>
        <v/>
      </c>
      <c r="C304" s="343" t="str">
        <f>PasteHashtag!C304</f>
        <v>Devin Carter</v>
      </c>
      <c r="D304" s="2" t="str">
        <f>PasteHashtag!D304</f>
        <v>PG</v>
      </c>
      <c r="E304" s="2" t="str">
        <f>PasteHashtag!E304</f>
        <v>SAC</v>
      </c>
      <c r="F304" s="2">
        <f>PasteHashtag!F304</f>
        <v>30</v>
      </c>
      <c r="G304" s="2">
        <f>PasteHashtag!G304</f>
        <v>14.5</v>
      </c>
      <c r="H304" s="2">
        <f>MID(PasteHashtag!H304,1+FIND("(",PasteHashtag!H304),FIND("/",PasteHashtag!H304)-FIND("(",PasteHashtag!H304)-1)*1</f>
        <v>2</v>
      </c>
      <c r="I304" s="2">
        <f>LEFT(PasteHashtag!H304,FIND("(",PasteHashtag!H304)-1)*1</f>
        <v>0.472</v>
      </c>
      <c r="J304" s="2">
        <f>MID(PasteHashtag!I304,1+FIND("(",PasteHashtag!I304),FIND("/",PasteHashtag!I304)-FIND("(",PasteHashtag!I304)-1)*1</f>
        <v>1.2</v>
      </c>
      <c r="K304" s="2">
        <f>LEFT(PasteHashtag!I304,FIND("(",PasteHashtag!I304)-1)*1</f>
        <v>0.748</v>
      </c>
      <c r="L304" s="2">
        <f>PasteHashtag!J304</f>
        <v>0.8</v>
      </c>
      <c r="M304" s="2">
        <f>PasteHashtag!K304</f>
        <v>6.1</v>
      </c>
      <c r="N304" s="2">
        <f>PasteHashtag!L304</f>
        <v>2.7</v>
      </c>
      <c r="O304" s="2">
        <f>PasteHashtag!M304</f>
        <v>1.1</v>
      </c>
      <c r="P304" s="2">
        <f>PasteHashtag!N304</f>
        <v>0.5</v>
      </c>
      <c r="Q304" s="2">
        <f>PasteHashtag!O304</f>
        <v>0.3</v>
      </c>
      <c r="R304" s="2">
        <f>PasteHashtag!P304</f>
        <v>0.8</v>
      </c>
      <c r="S304" s="2">
        <f>Mid(PasteHashtag!H304,FIND("/",PasteHashtag!H304)+1,LEN(PasteHashtag!H304)-FIND("/",PasteHashtag!H304)-1)*1</f>
        <v>4.3</v>
      </c>
      <c r="T304" s="344">
        <f>Mid(PasteHashtag!I304,FIND("/",PasteHashtag!I304)+1,LEN(PasteHashtag!I304)-FIND("/",PasteHashtag!I304)-1)*1</f>
        <v>1.6</v>
      </c>
    </row>
    <row r="305">
      <c r="A305" s="2">
        <v>304.0</v>
      </c>
      <c r="B305" s="2" t="str">
        <f>PasteHashtag!B305</f>
        <v/>
      </c>
      <c r="C305" s="343" t="str">
        <f>PasteHashtag!C305</f>
        <v>Joe Ingles</v>
      </c>
      <c r="D305" s="2" t="str">
        <f>PasteHashtag!D305</f>
        <v>SG,SF</v>
      </c>
      <c r="E305" s="2" t="str">
        <f>PasteHashtag!E305</f>
        <v>MIN</v>
      </c>
      <c r="F305" s="2">
        <f>PasteHashtag!F305</f>
        <v>50</v>
      </c>
      <c r="G305" s="2">
        <f>PasteHashtag!G305</f>
        <v>15.1</v>
      </c>
      <c r="H305" s="2">
        <f>MID(PasteHashtag!H305,1+FIND("(",PasteHashtag!H305),FIND("/",PasteHashtag!H305)-FIND("(",PasteHashtag!H305)-1)*1</f>
        <v>1.4</v>
      </c>
      <c r="I305" s="2">
        <f>LEFT(PasteHashtag!H305,FIND("(",PasteHashtag!H305)-1)*1</f>
        <v>0.437</v>
      </c>
      <c r="J305" s="2">
        <f>MID(PasteHashtag!I305,1+FIND("(",PasteHashtag!I305),FIND("/",PasteHashtag!I305)-FIND("(",PasteHashtag!I305)-1)*1</f>
        <v>0.3</v>
      </c>
      <c r="K305" s="2">
        <f>LEFT(PasteHashtag!I305,FIND("(",PasteHashtag!I305)-1)*1</f>
        <v>0.842</v>
      </c>
      <c r="L305" s="2">
        <f>PasteHashtag!J305</f>
        <v>1.1</v>
      </c>
      <c r="M305" s="2">
        <f>PasteHashtag!K305</f>
        <v>4.2</v>
      </c>
      <c r="N305" s="2">
        <f>PasteHashtag!L305</f>
        <v>1.9</v>
      </c>
      <c r="O305" s="2">
        <f>PasteHashtag!M305</f>
        <v>2.4</v>
      </c>
      <c r="P305" s="2">
        <f>PasteHashtag!N305</f>
        <v>0.5</v>
      </c>
      <c r="Q305" s="2">
        <f>PasteHashtag!O305</f>
        <v>0.1</v>
      </c>
      <c r="R305" s="2">
        <f>PasteHashtag!P305</f>
        <v>0.8</v>
      </c>
      <c r="S305" s="2">
        <f>Mid(PasteHashtag!H305,FIND("/",PasteHashtag!H305)+1,LEN(PasteHashtag!H305)-FIND("/",PasteHashtag!H305)-1)*1</f>
        <v>3.3</v>
      </c>
      <c r="T305" s="344">
        <f>Mid(PasteHashtag!I305,FIND("/",PasteHashtag!I305)+1,LEN(PasteHashtag!I305)-FIND("/",PasteHashtag!I305)-1)*1</f>
        <v>0.4</v>
      </c>
    </row>
    <row r="306">
      <c r="A306" s="2">
        <v>305.0</v>
      </c>
      <c r="B306" s="2">
        <f>PasteHashtag!B306</f>
        <v>140.6</v>
      </c>
      <c r="C306" s="343" t="str">
        <f>PasteHashtag!C306</f>
        <v>Tim Hardaway Jr.</v>
      </c>
      <c r="D306" s="2" t="str">
        <f>PasteHashtag!D306</f>
        <v>SG,SF</v>
      </c>
      <c r="E306" s="2" t="str">
        <f>PasteHashtag!E306</f>
        <v>DET</v>
      </c>
      <c r="F306" s="2">
        <f>PasteHashtag!F306</f>
        <v>65</v>
      </c>
      <c r="G306" s="2">
        <f>PasteHashtag!G306</f>
        <v>18.3</v>
      </c>
      <c r="H306" s="2">
        <f>MID(PasteHashtag!H306,1+FIND("(",PasteHashtag!H306),FIND("/",PasteHashtag!H306)-FIND("(",PasteHashtag!H306)-1)*1</f>
        <v>3.2</v>
      </c>
      <c r="I306" s="2">
        <f>LEFT(PasteHashtag!H306,FIND("(",PasteHashtag!H306)-1)*1</f>
        <v>0.402</v>
      </c>
      <c r="J306" s="2">
        <f>MID(PasteHashtag!I306,1+FIND("(",PasteHashtag!I306),FIND("/",PasteHashtag!I306)-FIND("(",PasteHashtag!I306)-1)*1</f>
        <v>1.2</v>
      </c>
      <c r="K306" s="2">
        <f>LEFT(PasteHashtag!I306,FIND("(",PasteHashtag!I306)-1)*1</f>
        <v>0.813</v>
      </c>
      <c r="L306" s="2">
        <f>PasteHashtag!J306</f>
        <v>1.8</v>
      </c>
      <c r="M306" s="2">
        <f>PasteHashtag!K306</f>
        <v>9.3</v>
      </c>
      <c r="N306" s="2">
        <f>PasteHashtag!L306</f>
        <v>2.2</v>
      </c>
      <c r="O306" s="2">
        <f>PasteHashtag!M306</f>
        <v>1.2</v>
      </c>
      <c r="P306" s="2">
        <f>PasteHashtag!N306</f>
        <v>0.4</v>
      </c>
      <c r="Q306" s="2">
        <f>PasteHashtag!O306</f>
        <v>0.1</v>
      </c>
      <c r="R306" s="2">
        <f>PasteHashtag!P306</f>
        <v>0.6</v>
      </c>
      <c r="S306" s="2">
        <f>Mid(PasteHashtag!H306,FIND("/",PasteHashtag!H306)+1,LEN(PasteHashtag!H306)-FIND("/",PasteHashtag!H306)-1)*1</f>
        <v>7.9</v>
      </c>
      <c r="T306" s="344">
        <f>Mid(PasteHashtag!I306,FIND("/",PasteHashtag!I306)+1,LEN(PasteHashtag!I306)-FIND("/",PasteHashtag!I306)-1)*1</f>
        <v>1.4</v>
      </c>
    </row>
    <row r="307">
      <c r="A307" s="2">
        <v>306.0</v>
      </c>
      <c r="B307" s="2">
        <f>PasteHashtag!B307</f>
        <v>144</v>
      </c>
      <c r="C307" s="343" t="str">
        <f>PasteHashtag!C307</f>
        <v>Tre Mann</v>
      </c>
      <c r="D307" s="2" t="str">
        <f>PasteHashtag!D307</f>
        <v>PG,SG</v>
      </c>
      <c r="E307" s="2" t="str">
        <f>PasteHashtag!E307</f>
        <v>CHA</v>
      </c>
      <c r="F307" s="2">
        <f>PasteHashtag!F307</f>
        <v>62</v>
      </c>
      <c r="G307" s="2">
        <f>PasteHashtag!G307</f>
        <v>15.7</v>
      </c>
      <c r="H307" s="2">
        <f>MID(PasteHashtag!H307,1+FIND("(",PasteHashtag!H307),FIND("/",PasteHashtag!H307)-FIND("(",PasteHashtag!H307)-1)*1</f>
        <v>2.5</v>
      </c>
      <c r="I307" s="2">
        <f>LEFT(PasteHashtag!H307,FIND("(",PasteHashtag!H307)-1)*1</f>
        <v>0.419</v>
      </c>
      <c r="J307" s="2">
        <f>MID(PasteHashtag!I307,1+FIND("(",PasteHashtag!I307),FIND("/",PasteHashtag!I307)-FIND("(",PasteHashtag!I307)-1)*1</f>
        <v>0.6</v>
      </c>
      <c r="K307" s="2">
        <f>LEFT(PasteHashtag!I307,FIND("(",PasteHashtag!I307)-1)*1</f>
        <v>0.771</v>
      </c>
      <c r="L307" s="2">
        <f>PasteHashtag!J307</f>
        <v>0.9</v>
      </c>
      <c r="M307" s="2">
        <f>PasteHashtag!K307</f>
        <v>6.6</v>
      </c>
      <c r="N307" s="2">
        <f>PasteHashtag!L307</f>
        <v>2.2</v>
      </c>
      <c r="O307" s="2">
        <f>PasteHashtag!M307</f>
        <v>2.1</v>
      </c>
      <c r="P307" s="2">
        <f>PasteHashtag!N307</f>
        <v>0.7</v>
      </c>
      <c r="Q307" s="2">
        <f>PasteHashtag!O307</f>
        <v>0.1</v>
      </c>
      <c r="R307" s="2">
        <f>PasteHashtag!P307</f>
        <v>0.9</v>
      </c>
      <c r="S307" s="2">
        <f>Mid(PasteHashtag!H307,FIND("/",PasteHashtag!H307)+1,LEN(PasteHashtag!H307)-FIND("/",PasteHashtag!H307)-1)*1</f>
        <v>6</v>
      </c>
      <c r="T307" s="344">
        <f>Mid(PasteHashtag!I307,FIND("/",PasteHashtag!I307)+1,LEN(PasteHashtag!I307)-FIND("/",PasteHashtag!I307)-1)*1</f>
        <v>0.8</v>
      </c>
    </row>
    <row r="308">
      <c r="A308" s="2">
        <v>307.0</v>
      </c>
      <c r="B308" s="2" t="str">
        <f>PasteHashtag!B308</f>
        <v/>
      </c>
      <c r="C308" s="343" t="str">
        <f>PasteHashtag!C308</f>
        <v>Davion Mitchell</v>
      </c>
      <c r="D308" s="2" t="str">
        <f>PasteHashtag!D308</f>
        <v>PG,SG</v>
      </c>
      <c r="E308" s="2" t="str">
        <f>PasteHashtag!E308</f>
        <v>TOR</v>
      </c>
      <c r="F308" s="2">
        <f>PasteHashtag!F308</f>
        <v>70</v>
      </c>
      <c r="G308" s="2">
        <f>PasteHashtag!G308</f>
        <v>18.8</v>
      </c>
      <c r="H308" s="2">
        <f>MID(PasteHashtag!H308,1+FIND("(",PasteHashtag!H308),FIND("/",PasteHashtag!H308)-FIND("(",PasteHashtag!H308)-1)*1</f>
        <v>2.6</v>
      </c>
      <c r="I308" s="2">
        <f>LEFT(PasteHashtag!H308,FIND("(",PasteHashtag!H308)-1)*1</f>
        <v>0.453</v>
      </c>
      <c r="J308" s="2">
        <f>MID(PasteHashtag!I308,1+FIND("(",PasteHashtag!I308),FIND("/",PasteHashtag!I308)-FIND("(",PasteHashtag!I308)-1)*1</f>
        <v>0.4</v>
      </c>
      <c r="K308" s="2">
        <f>LEFT(PasteHashtag!I308,FIND("(",PasteHashtag!I308)-1)*1</f>
        <v>0.741</v>
      </c>
      <c r="L308" s="2">
        <f>PasteHashtag!J308</f>
        <v>1</v>
      </c>
      <c r="M308" s="2">
        <f>PasteHashtag!K308</f>
        <v>6.6</v>
      </c>
      <c r="N308" s="2">
        <f>PasteHashtag!L308</f>
        <v>1.6</v>
      </c>
      <c r="O308" s="2">
        <f>PasteHashtag!M308</f>
        <v>2.5</v>
      </c>
      <c r="P308" s="2">
        <f>PasteHashtag!N308</f>
        <v>0.5</v>
      </c>
      <c r="Q308" s="2">
        <f>PasteHashtag!O308</f>
        <v>0.1</v>
      </c>
      <c r="R308" s="2">
        <f>PasteHashtag!P308</f>
        <v>0.8</v>
      </c>
      <c r="S308" s="2">
        <f>Mid(PasteHashtag!H308,FIND("/",PasteHashtag!H308)+1,LEN(PasteHashtag!H308)-FIND("/",PasteHashtag!H308)-1)*1</f>
        <v>5.7</v>
      </c>
      <c r="T308" s="344">
        <f>Mid(PasteHashtag!I308,FIND("/",PasteHashtag!I308)+1,LEN(PasteHashtag!I308)-FIND("/",PasteHashtag!I308)-1)*1</f>
        <v>0.6</v>
      </c>
    </row>
    <row r="309">
      <c r="A309" s="2">
        <v>308.0</v>
      </c>
      <c r="B309" s="2" t="str">
        <f>PasteHashtag!B309</f>
        <v/>
      </c>
      <c r="C309" s="343" t="str">
        <f>PasteHashtag!C309</f>
        <v>Josh Okogie</v>
      </c>
      <c r="D309" s="2" t="str">
        <f>PasteHashtag!D309</f>
        <v>SG,SF</v>
      </c>
      <c r="E309" s="2" t="str">
        <f>PasteHashtag!E309</f>
        <v>PHO</v>
      </c>
      <c r="F309" s="2">
        <f>PasteHashtag!F309</f>
        <v>62</v>
      </c>
      <c r="G309" s="2">
        <f>PasteHashtag!G309</f>
        <v>16.4</v>
      </c>
      <c r="H309" s="2">
        <f>MID(PasteHashtag!H309,1+FIND("(",PasteHashtag!H309),FIND("/",PasteHashtag!H309)-FIND("(",PasteHashtag!H309)-1)*1</f>
        <v>1.8</v>
      </c>
      <c r="I309" s="2">
        <f>LEFT(PasteHashtag!H309,FIND("(",PasteHashtag!H309)-1)*1</f>
        <v>0.4</v>
      </c>
      <c r="J309" s="2">
        <f>MID(PasteHashtag!I309,1+FIND("(",PasteHashtag!I309),FIND("/",PasteHashtag!I309)-FIND("(",PasteHashtag!I309)-1)*1</f>
        <v>1.5</v>
      </c>
      <c r="K309" s="2">
        <f>LEFT(PasteHashtag!I309,FIND("(",PasteHashtag!I309)-1)*1</f>
        <v>0.73</v>
      </c>
      <c r="L309" s="2">
        <f>PasteHashtag!J309</f>
        <v>0.7</v>
      </c>
      <c r="M309" s="2">
        <f>PasteHashtag!K309</f>
        <v>5.8</v>
      </c>
      <c r="N309" s="2">
        <f>PasteHashtag!L309</f>
        <v>2.9</v>
      </c>
      <c r="O309" s="2">
        <f>PasteHashtag!M309</f>
        <v>1.2</v>
      </c>
      <c r="P309" s="2">
        <f>PasteHashtag!N309</f>
        <v>0.8</v>
      </c>
      <c r="Q309" s="2">
        <f>PasteHashtag!O309</f>
        <v>0.4</v>
      </c>
      <c r="R309" s="2">
        <f>PasteHashtag!P309</f>
        <v>0.7</v>
      </c>
      <c r="S309" s="2">
        <f>Mid(PasteHashtag!H309,FIND("/",PasteHashtag!H309)+1,LEN(PasteHashtag!H309)-FIND("/",PasteHashtag!H309)-1)*1</f>
        <v>4.5</v>
      </c>
      <c r="T309" s="344">
        <f>Mid(PasteHashtag!I309,FIND("/",PasteHashtag!I309)+1,LEN(PasteHashtag!I309)-FIND("/",PasteHashtag!I309)-1)*1</f>
        <v>2.1</v>
      </c>
    </row>
    <row r="310">
      <c r="A310" s="2">
        <v>309.0</v>
      </c>
      <c r="B310" s="2" t="str">
        <f>PasteHashtag!B310</f>
        <v/>
      </c>
      <c r="C310" s="343" t="str">
        <f>PasteHashtag!C310</f>
        <v>Jaden Springer</v>
      </c>
      <c r="D310" s="2" t="str">
        <f>PasteHashtag!D310</f>
        <v>SG</v>
      </c>
      <c r="E310" s="2" t="str">
        <f>PasteHashtag!E310</f>
        <v>BOS</v>
      </c>
      <c r="F310" s="2">
        <f>PasteHashtag!F310</f>
        <v>40</v>
      </c>
      <c r="G310" s="2">
        <f>PasteHashtag!G310</f>
        <v>12.1</v>
      </c>
      <c r="H310" s="2">
        <f>MID(PasteHashtag!H310,1+FIND("(",PasteHashtag!H310),FIND("/",PasteHashtag!H310)-FIND("(",PasteHashtag!H310)-1)*1</f>
        <v>1.6</v>
      </c>
      <c r="I310" s="2">
        <f>LEFT(PasteHashtag!H310,FIND("(",PasteHashtag!H310)-1)*1</f>
        <v>0.416</v>
      </c>
      <c r="J310" s="2">
        <f>MID(PasteHashtag!I310,1+FIND("(",PasteHashtag!I310),FIND("/",PasteHashtag!I310)-FIND("(",PasteHashtag!I310)-1)*1</f>
        <v>0.8</v>
      </c>
      <c r="K310" s="2">
        <f>LEFT(PasteHashtag!I310,FIND("(",PasteHashtag!I310)-1)*1</f>
        <v>0.824</v>
      </c>
      <c r="L310" s="2">
        <f>PasteHashtag!J310</f>
        <v>0.3</v>
      </c>
      <c r="M310" s="2">
        <f>PasteHashtag!K310</f>
        <v>4.2</v>
      </c>
      <c r="N310" s="2">
        <f>PasteHashtag!L310</f>
        <v>1.9</v>
      </c>
      <c r="O310" s="2">
        <f>PasteHashtag!M310</f>
        <v>1.1</v>
      </c>
      <c r="P310" s="2">
        <f>PasteHashtag!N310</f>
        <v>0.9</v>
      </c>
      <c r="Q310" s="2">
        <f>PasteHashtag!O310</f>
        <v>0.4</v>
      </c>
      <c r="R310" s="2">
        <f>PasteHashtag!P310</f>
        <v>0.8</v>
      </c>
      <c r="S310" s="2">
        <f>Mid(PasteHashtag!H310,FIND("/",PasteHashtag!H310)+1,LEN(PasteHashtag!H310)-FIND("/",PasteHashtag!H310)-1)*1</f>
        <v>3.8</v>
      </c>
      <c r="T310" s="344">
        <f>Mid(PasteHashtag!I310,FIND("/",PasteHashtag!I310)+1,LEN(PasteHashtag!I310)-FIND("/",PasteHashtag!I310)-1)*1</f>
        <v>1</v>
      </c>
    </row>
    <row r="311">
      <c r="A311" s="2">
        <v>310.0</v>
      </c>
      <c r="B311" s="2" t="str">
        <f>PasteHashtag!B311</f>
        <v/>
      </c>
      <c r="C311" s="343" t="str">
        <f>PasteHashtag!C311</f>
        <v>Bol Bol</v>
      </c>
      <c r="D311" s="2" t="str">
        <f>PasteHashtag!D311</f>
        <v>PF,C</v>
      </c>
      <c r="E311" s="2" t="str">
        <f>PasteHashtag!E311</f>
        <v>PHO</v>
      </c>
      <c r="F311" s="2">
        <f>PasteHashtag!F311</f>
        <v>34</v>
      </c>
      <c r="G311" s="2">
        <f>PasteHashtag!G311</f>
        <v>11.1</v>
      </c>
      <c r="H311" s="2">
        <f>MID(PasteHashtag!H311,1+FIND("(",PasteHashtag!H311),FIND("/",PasteHashtag!H311)-FIND("(",PasteHashtag!H311)-1)*1</f>
        <v>2</v>
      </c>
      <c r="I311" s="2">
        <f>LEFT(PasteHashtag!H311,FIND("(",PasteHashtag!H311)-1)*1</f>
        <v>0.563</v>
      </c>
      <c r="J311" s="2">
        <f>MID(PasteHashtag!I311,1+FIND("(",PasteHashtag!I311),FIND("/",PasteHashtag!I311)-FIND("(",PasteHashtag!I311)-1)*1</f>
        <v>0.6</v>
      </c>
      <c r="K311" s="2">
        <f>LEFT(PasteHashtag!I311,FIND("(",PasteHashtag!I311)-1)*1</f>
        <v>0.764</v>
      </c>
      <c r="L311" s="2">
        <f>PasteHashtag!J311</f>
        <v>0.3</v>
      </c>
      <c r="M311" s="2">
        <f>PasteHashtag!K311</f>
        <v>4.9</v>
      </c>
      <c r="N311" s="2">
        <f>PasteHashtag!L311</f>
        <v>3.1</v>
      </c>
      <c r="O311" s="2">
        <f>PasteHashtag!M311</f>
        <v>0.5</v>
      </c>
      <c r="P311" s="2">
        <f>PasteHashtag!N311</f>
        <v>0.2</v>
      </c>
      <c r="Q311" s="2">
        <f>PasteHashtag!O311</f>
        <v>0.6</v>
      </c>
      <c r="R311" s="2">
        <f>PasteHashtag!P311</f>
        <v>0.7</v>
      </c>
      <c r="S311" s="2">
        <f>Mid(PasteHashtag!H311,FIND("/",PasteHashtag!H311)+1,LEN(PasteHashtag!H311)-FIND("/",PasteHashtag!H311)-1)*1</f>
        <v>3.6</v>
      </c>
      <c r="T311" s="344">
        <f>Mid(PasteHashtag!I311,FIND("/",PasteHashtag!I311)+1,LEN(PasteHashtag!I311)-FIND("/",PasteHashtag!I311)-1)*1</f>
        <v>0.7</v>
      </c>
    </row>
    <row r="312">
      <c r="A312" s="2">
        <v>311.0</v>
      </c>
      <c r="B312" s="2" t="str">
        <f>PasteHashtag!B312</f>
        <v/>
      </c>
      <c r="C312" s="343" t="str">
        <f>PasteHashtag!C312</f>
        <v>Cameron Payne</v>
      </c>
      <c r="D312" s="2" t="str">
        <f>PasteHashtag!D312</f>
        <v>PG,SG</v>
      </c>
      <c r="E312" s="2" t="str">
        <f>PasteHashtag!E312</f>
        <v>NY</v>
      </c>
      <c r="F312" s="2">
        <f>PasteHashtag!F312</f>
        <v>50</v>
      </c>
      <c r="G312" s="2">
        <f>PasteHashtag!G312</f>
        <v>14.1</v>
      </c>
      <c r="H312" s="2">
        <f>MID(PasteHashtag!H312,1+FIND("(",PasteHashtag!H312),FIND("/",PasteHashtag!H312)-FIND("(",PasteHashtag!H312)-1)*1</f>
        <v>2.5</v>
      </c>
      <c r="I312" s="2">
        <f>LEFT(PasteHashtag!H312,FIND("(",PasteHashtag!H312)-1)*1</f>
        <v>0.424</v>
      </c>
      <c r="J312" s="2">
        <f>MID(PasteHashtag!I312,1+FIND("(",PasteHashtag!I312),FIND("/",PasteHashtag!I312)-FIND("(",PasteHashtag!I312)-1)*1</f>
        <v>0.7</v>
      </c>
      <c r="K312" s="2">
        <f>LEFT(PasteHashtag!I312,FIND("(",PasteHashtag!I312)-1)*1</f>
        <v>0.817</v>
      </c>
      <c r="L312" s="2">
        <f>PasteHashtag!J312</f>
        <v>1.1</v>
      </c>
      <c r="M312" s="2">
        <f>PasteHashtag!K312</f>
        <v>6.7</v>
      </c>
      <c r="N312" s="2">
        <f>PasteHashtag!L312</f>
        <v>1.4</v>
      </c>
      <c r="O312" s="2">
        <f>PasteHashtag!M312</f>
        <v>2.6</v>
      </c>
      <c r="P312" s="2">
        <f>PasteHashtag!N312</f>
        <v>0.5</v>
      </c>
      <c r="Q312" s="2">
        <f>PasteHashtag!O312</f>
        <v>0.1</v>
      </c>
      <c r="R312" s="2">
        <f>PasteHashtag!P312</f>
        <v>0.9</v>
      </c>
      <c r="S312" s="2">
        <f>Mid(PasteHashtag!H312,FIND("/",PasteHashtag!H312)+1,LEN(PasteHashtag!H312)-FIND("/",PasteHashtag!H312)-1)*1</f>
        <v>5.9</v>
      </c>
      <c r="T312" s="344">
        <f>Mid(PasteHashtag!I312,FIND("/",PasteHashtag!I312)+1,LEN(PasteHashtag!I312)-FIND("/",PasteHashtag!I312)-1)*1</f>
        <v>0.8</v>
      </c>
    </row>
    <row r="313">
      <c r="A313" s="2">
        <v>312.0</v>
      </c>
      <c r="B313" s="2" t="str">
        <f>PasteHashtag!B313</f>
        <v/>
      </c>
      <c r="C313" s="343" t="str">
        <f>PasteHashtag!C313</f>
        <v>Monte Morris</v>
      </c>
      <c r="D313" s="2" t="str">
        <f>PasteHashtag!D313</f>
        <v>PG,SG</v>
      </c>
      <c r="E313" s="2" t="str">
        <f>PasteHashtag!E313</f>
        <v>PHO</v>
      </c>
      <c r="F313" s="2">
        <f>PasteHashtag!F313</f>
        <v>60</v>
      </c>
      <c r="G313" s="2">
        <f>PasteHashtag!G313</f>
        <v>14.1</v>
      </c>
      <c r="H313" s="2">
        <f>MID(PasteHashtag!H313,1+FIND("(",PasteHashtag!H313),FIND("/",PasteHashtag!H313)-FIND("(",PasteHashtag!H313)-1)*1</f>
        <v>2</v>
      </c>
      <c r="I313" s="2">
        <f>LEFT(PasteHashtag!H313,FIND("(",PasteHashtag!H313)-1)*1</f>
        <v>0.463</v>
      </c>
      <c r="J313" s="2">
        <f>MID(PasteHashtag!I313,1+FIND("(",PasteHashtag!I313),FIND("/",PasteHashtag!I313)-FIND("(",PasteHashtag!I313)-1)*1</f>
        <v>0.5</v>
      </c>
      <c r="K313" s="2">
        <f>LEFT(PasteHashtag!I313,FIND("(",PasteHashtag!I313)-1)*1</f>
        <v>0.81</v>
      </c>
      <c r="L313" s="2">
        <f>PasteHashtag!J313</f>
        <v>0.7</v>
      </c>
      <c r="M313" s="2">
        <f>PasteHashtag!K313</f>
        <v>5.3</v>
      </c>
      <c r="N313" s="2">
        <f>PasteHashtag!L313</f>
        <v>1.8</v>
      </c>
      <c r="O313" s="2">
        <f>PasteHashtag!M313</f>
        <v>2.6</v>
      </c>
      <c r="P313" s="2">
        <f>PasteHashtag!N313</f>
        <v>0.4</v>
      </c>
      <c r="Q313" s="2">
        <f>PasteHashtag!O313</f>
        <v>0.2</v>
      </c>
      <c r="R313" s="2">
        <f>PasteHashtag!P313</f>
        <v>0.4</v>
      </c>
      <c r="S313" s="2">
        <f>Mid(PasteHashtag!H313,FIND("/",PasteHashtag!H313)+1,LEN(PasteHashtag!H313)-FIND("/",PasteHashtag!H313)-1)*1</f>
        <v>4.4</v>
      </c>
      <c r="T313" s="344">
        <f>Mid(PasteHashtag!I313,FIND("/",PasteHashtag!I313)+1,LEN(PasteHashtag!I313)-FIND("/",PasteHashtag!I313)-1)*1</f>
        <v>0.6</v>
      </c>
    </row>
    <row r="314">
      <c r="A314" s="2">
        <v>313.0</v>
      </c>
      <c r="B314" s="2" t="str">
        <f>PasteHashtag!B314</f>
        <v/>
      </c>
      <c r="C314" s="343" t="str">
        <f>PasteHashtag!C314</f>
        <v>Amir Coffey</v>
      </c>
      <c r="D314" s="2" t="str">
        <f>PasteHashtag!D314</f>
        <v>SF,PF</v>
      </c>
      <c r="E314" s="2" t="str">
        <f>PasteHashtag!E314</f>
        <v>LAC</v>
      </c>
      <c r="F314" s="2">
        <f>PasteHashtag!F314</f>
        <v>65</v>
      </c>
      <c r="G314" s="2">
        <f>PasteHashtag!G314</f>
        <v>20.8</v>
      </c>
      <c r="H314" s="2">
        <f>MID(PasteHashtag!H314,1+FIND("(",PasteHashtag!H314),FIND("/",PasteHashtag!H314)-FIND("(",PasteHashtag!H314)-1)*1</f>
        <v>2.2</v>
      </c>
      <c r="I314" s="2">
        <f>LEFT(PasteHashtag!H314,FIND("(",PasteHashtag!H314)-1)*1</f>
        <v>0.447</v>
      </c>
      <c r="J314" s="2">
        <f>MID(PasteHashtag!I314,1+FIND("(",PasteHashtag!I314),FIND("/",PasteHashtag!I314)-FIND("(",PasteHashtag!I314)-1)*1</f>
        <v>1.1</v>
      </c>
      <c r="K314" s="2">
        <f>LEFT(PasteHashtag!I314,FIND("(",PasteHashtag!I314)-1)*1</f>
        <v>0.822</v>
      </c>
      <c r="L314" s="2">
        <f>PasteHashtag!J314</f>
        <v>0.8</v>
      </c>
      <c r="M314" s="2">
        <f>PasteHashtag!K314</f>
        <v>6.4</v>
      </c>
      <c r="N314" s="2">
        <f>PasteHashtag!L314</f>
        <v>2</v>
      </c>
      <c r="O314" s="2">
        <f>PasteHashtag!M314</f>
        <v>1.3</v>
      </c>
      <c r="P314" s="2">
        <f>PasteHashtag!N314</f>
        <v>0.5</v>
      </c>
      <c r="Q314" s="2">
        <f>PasteHashtag!O314</f>
        <v>0.2</v>
      </c>
      <c r="R314" s="2">
        <f>PasteHashtag!P314</f>
        <v>0.5</v>
      </c>
      <c r="S314" s="2">
        <f>Mid(PasteHashtag!H314,FIND("/",PasteHashtag!H314)+1,LEN(PasteHashtag!H314)-FIND("/",PasteHashtag!H314)-1)*1</f>
        <v>5</v>
      </c>
      <c r="T314" s="344">
        <f>Mid(PasteHashtag!I314,FIND("/",PasteHashtag!I314)+1,LEN(PasteHashtag!I314)-FIND("/",PasteHashtag!I314)-1)*1</f>
        <v>1.4</v>
      </c>
    </row>
    <row r="315">
      <c r="A315" s="2">
        <v>314.0</v>
      </c>
      <c r="B315" s="2" t="str">
        <f>PasteHashtag!B315</f>
        <v/>
      </c>
      <c r="C315" s="343" t="str">
        <f>PasteHashtag!C315</f>
        <v>Anthony Black</v>
      </c>
      <c r="D315" s="2" t="str">
        <f>PasteHashtag!D315</f>
        <v>PG,SG</v>
      </c>
      <c r="E315" s="2" t="str">
        <f>PasteHashtag!E315</f>
        <v>ORL</v>
      </c>
      <c r="F315" s="2">
        <f>PasteHashtag!F315</f>
        <v>70</v>
      </c>
      <c r="G315" s="2">
        <f>PasteHashtag!G315</f>
        <v>20</v>
      </c>
      <c r="H315" s="2">
        <f>MID(PasteHashtag!H315,1+FIND("(",PasteHashtag!H315),FIND("/",PasteHashtag!H315)-FIND("(",PasteHashtag!H315)-1)*1</f>
        <v>2.2</v>
      </c>
      <c r="I315" s="2">
        <f>LEFT(PasteHashtag!H315,FIND("(",PasteHashtag!H315)-1)*1</f>
        <v>0.466</v>
      </c>
      <c r="J315" s="2">
        <f>MID(PasteHashtag!I315,1+FIND("(",PasteHashtag!I315),FIND("/",PasteHashtag!I315)-FIND("(",PasteHashtag!I315)-1)*1</f>
        <v>1</v>
      </c>
      <c r="K315" s="2">
        <f>LEFT(PasteHashtag!I315,FIND("(",PasteHashtag!I315)-1)*1</f>
        <v>0.634</v>
      </c>
      <c r="L315" s="2">
        <f>PasteHashtag!J315</f>
        <v>0.7</v>
      </c>
      <c r="M315" s="2">
        <f>PasteHashtag!K315</f>
        <v>6.1</v>
      </c>
      <c r="N315" s="2">
        <f>PasteHashtag!L315</f>
        <v>2.7</v>
      </c>
      <c r="O315" s="2">
        <f>PasteHashtag!M315</f>
        <v>1.7</v>
      </c>
      <c r="P315" s="2">
        <f>PasteHashtag!N315</f>
        <v>0.7</v>
      </c>
      <c r="Q315" s="2">
        <f>PasteHashtag!O315</f>
        <v>0.4</v>
      </c>
      <c r="R315" s="2">
        <f>PasteHashtag!P315</f>
        <v>1.1</v>
      </c>
      <c r="S315" s="2">
        <f>Mid(PasteHashtag!H315,FIND("/",PasteHashtag!H315)+1,LEN(PasteHashtag!H315)-FIND("/",PasteHashtag!H315)-1)*1</f>
        <v>4.7</v>
      </c>
      <c r="T315" s="344">
        <f>Mid(PasteHashtag!I315,FIND("/",PasteHashtag!I315)+1,LEN(PasteHashtag!I315)-FIND("/",PasteHashtag!I315)-1)*1</f>
        <v>1.5</v>
      </c>
    </row>
    <row r="316">
      <c r="A316" s="2">
        <v>315.0</v>
      </c>
      <c r="B316" s="2" t="str">
        <f>PasteHashtag!B316</f>
        <v/>
      </c>
      <c r="C316" s="343" t="str">
        <f>PasteHashtag!C316</f>
        <v>Cam Reddish</v>
      </c>
      <c r="D316" s="2" t="str">
        <f>PasteHashtag!D316</f>
        <v>SG,SF</v>
      </c>
      <c r="E316" s="2" t="str">
        <f>PasteHashtag!E316</f>
        <v>LAL</v>
      </c>
      <c r="F316" s="2">
        <f>PasteHashtag!F316</f>
        <v>40</v>
      </c>
      <c r="G316" s="2">
        <f>PasteHashtag!G316</f>
        <v>17.5</v>
      </c>
      <c r="H316" s="2">
        <f>MID(PasteHashtag!H316,1+FIND("(",PasteHashtag!H316),FIND("/",PasteHashtag!H316)-FIND("(",PasteHashtag!H316)-1)*1</f>
        <v>2.1</v>
      </c>
      <c r="I316" s="2">
        <f>LEFT(PasteHashtag!H316,FIND("(",PasteHashtag!H316)-1)*1</f>
        <v>0.421</v>
      </c>
      <c r="J316" s="2">
        <f>MID(PasteHashtag!I316,1+FIND("(",PasteHashtag!I316),FIND("/",PasteHashtag!I316)-FIND("(",PasteHashtag!I316)-1)*1</f>
        <v>0.9</v>
      </c>
      <c r="K316" s="2">
        <f>LEFT(PasteHashtag!I316,FIND("(",PasteHashtag!I316)-1)*1</f>
        <v>0.81</v>
      </c>
      <c r="L316" s="2">
        <f>PasteHashtag!J316</f>
        <v>0.7</v>
      </c>
      <c r="M316" s="2">
        <f>PasteHashtag!K316</f>
        <v>5.8</v>
      </c>
      <c r="N316" s="2">
        <f>PasteHashtag!L316</f>
        <v>1.7</v>
      </c>
      <c r="O316" s="2">
        <f>PasteHashtag!M316</f>
        <v>0.9</v>
      </c>
      <c r="P316" s="2">
        <f>PasteHashtag!N316</f>
        <v>0.8</v>
      </c>
      <c r="Q316" s="2">
        <f>PasteHashtag!O316</f>
        <v>0.3</v>
      </c>
      <c r="R316" s="2">
        <f>PasteHashtag!P316</f>
        <v>0.7</v>
      </c>
      <c r="S316" s="2">
        <f>Mid(PasteHashtag!H316,FIND("/",PasteHashtag!H316)+1,LEN(PasteHashtag!H316)-FIND("/",PasteHashtag!H316)-1)*1</f>
        <v>4.9</v>
      </c>
      <c r="T316" s="344">
        <f>Mid(PasteHashtag!I316,FIND("/",PasteHashtag!I316)+1,LEN(PasteHashtag!I316)-FIND("/",PasteHashtag!I316)-1)*1</f>
        <v>1.2</v>
      </c>
    </row>
    <row r="317">
      <c r="A317" s="2">
        <v>316.0</v>
      </c>
      <c r="B317" s="2" t="str">
        <f>PasteHashtag!B317</f>
        <v/>
      </c>
      <c r="C317" s="343" t="str">
        <f>PasteHashtag!C317</f>
        <v>Sam Merrill</v>
      </c>
      <c r="D317" s="2" t="str">
        <f>PasteHashtag!D317</f>
        <v>SG</v>
      </c>
      <c r="E317" s="2" t="str">
        <f>PasteHashtag!E317</f>
        <v>CLE</v>
      </c>
      <c r="F317" s="2">
        <f>PasteHashtag!F317</f>
        <v>58</v>
      </c>
      <c r="G317" s="2">
        <f>PasteHashtag!G317</f>
        <v>14.4</v>
      </c>
      <c r="H317" s="2">
        <f>MID(PasteHashtag!H317,1+FIND("(",PasteHashtag!H317),FIND("/",PasteHashtag!H317)-FIND("(",PasteHashtag!H317)-1)*1</f>
        <v>2.2</v>
      </c>
      <c r="I317" s="2">
        <f>LEFT(PasteHashtag!H317,FIND("(",PasteHashtag!H317)-1)*1</f>
        <v>0.402</v>
      </c>
      <c r="J317" s="2">
        <f>MID(PasteHashtag!I317,1+FIND("(",PasteHashtag!I317),FIND("/",PasteHashtag!I317)-FIND("(",PasteHashtag!I317)-1)*1</f>
        <v>0.4</v>
      </c>
      <c r="K317" s="2">
        <f>LEFT(PasteHashtag!I317,FIND("(",PasteHashtag!I317)-1)*1</f>
        <v>0.923</v>
      </c>
      <c r="L317" s="2">
        <f>PasteHashtag!J317</f>
        <v>1.9</v>
      </c>
      <c r="M317" s="2">
        <f>PasteHashtag!K317</f>
        <v>6.6</v>
      </c>
      <c r="N317" s="2">
        <f>PasteHashtag!L317</f>
        <v>1.7</v>
      </c>
      <c r="O317" s="2">
        <f>PasteHashtag!M317</f>
        <v>1.5</v>
      </c>
      <c r="P317" s="2">
        <f>PasteHashtag!N317</f>
        <v>0.3</v>
      </c>
      <c r="Q317" s="2">
        <f>PasteHashtag!O317</f>
        <v>0.1</v>
      </c>
      <c r="R317" s="2">
        <f>PasteHashtag!P317</f>
        <v>0.3</v>
      </c>
      <c r="S317" s="2">
        <f>Mid(PasteHashtag!H317,FIND("/",PasteHashtag!H317)+1,LEN(PasteHashtag!H317)-FIND("/",PasteHashtag!H317)-1)*1</f>
        <v>5.4</v>
      </c>
      <c r="T317" s="344">
        <f>Mid(PasteHashtag!I317,FIND("/",PasteHashtag!I317)+1,LEN(PasteHashtag!I317)-FIND("/",PasteHashtag!I317)-1)*1</f>
        <v>0.4</v>
      </c>
    </row>
    <row r="318">
      <c r="A318" s="2">
        <v>317.0</v>
      </c>
      <c r="B318" s="2" t="str">
        <f>PasteHashtag!B318</f>
        <v/>
      </c>
      <c r="C318" s="343" t="str">
        <f>PasteHashtag!C318</f>
        <v>Ochai Agbaji</v>
      </c>
      <c r="D318" s="2" t="str">
        <f>PasteHashtag!D318</f>
        <v>SG,SF</v>
      </c>
      <c r="E318" s="2" t="str">
        <f>PasteHashtag!E318</f>
        <v>TOR</v>
      </c>
      <c r="F318" s="2">
        <f>PasteHashtag!F318</f>
        <v>68</v>
      </c>
      <c r="G318" s="2">
        <f>PasteHashtag!G318</f>
        <v>20.5</v>
      </c>
      <c r="H318" s="2">
        <f>MID(PasteHashtag!H318,1+FIND("(",PasteHashtag!H318),FIND("/",PasteHashtag!H318)-FIND("(",PasteHashtag!H318)-1)*1</f>
        <v>2.5</v>
      </c>
      <c r="I318" s="2">
        <f>LEFT(PasteHashtag!H318,FIND("(",PasteHashtag!H318)-1)*1</f>
        <v>0.418</v>
      </c>
      <c r="J318" s="2">
        <f>MID(PasteHashtag!I318,1+FIND("(",PasteHashtag!I318),FIND("/",PasteHashtag!I318)-FIND("(",PasteHashtag!I318)-1)*1</f>
        <v>0.7</v>
      </c>
      <c r="K318" s="2">
        <f>LEFT(PasteHashtag!I318,FIND("(",PasteHashtag!I318)-1)*1</f>
        <v>0.747</v>
      </c>
      <c r="L318" s="2">
        <f>PasteHashtag!J318</f>
        <v>1</v>
      </c>
      <c r="M318" s="2">
        <f>PasteHashtag!K318</f>
        <v>6.7</v>
      </c>
      <c r="N318" s="2">
        <f>PasteHashtag!L318</f>
        <v>2.5</v>
      </c>
      <c r="O318" s="2">
        <f>PasteHashtag!M318</f>
        <v>1.1</v>
      </c>
      <c r="P318" s="2">
        <f>PasteHashtag!N318</f>
        <v>0.5</v>
      </c>
      <c r="Q318" s="2">
        <f>PasteHashtag!O318</f>
        <v>0.4</v>
      </c>
      <c r="R318" s="2">
        <f>PasteHashtag!P318</f>
        <v>0.8</v>
      </c>
      <c r="S318" s="2">
        <f>Mid(PasteHashtag!H318,FIND("/",PasteHashtag!H318)+1,LEN(PasteHashtag!H318)-FIND("/",PasteHashtag!H318)-1)*1</f>
        <v>6</v>
      </c>
      <c r="T318" s="344">
        <f>Mid(PasteHashtag!I318,FIND("/",PasteHashtag!I318)+1,LEN(PasteHashtag!I318)-FIND("/",PasteHashtag!I318)-1)*1</f>
        <v>0.9</v>
      </c>
    </row>
    <row r="319">
      <c r="A319" s="2">
        <v>318.0</v>
      </c>
      <c r="B319" s="2" t="str">
        <f>PasteHashtag!B319</f>
        <v/>
      </c>
      <c r="C319" s="343" t="str">
        <f>PasteHashtag!C319</f>
        <v>Haywood Highsmith</v>
      </c>
      <c r="D319" s="2" t="str">
        <f>PasteHashtag!D319</f>
        <v>SF,PF</v>
      </c>
      <c r="E319" s="2" t="str">
        <f>PasteHashtag!E319</f>
        <v>MIA</v>
      </c>
      <c r="F319" s="2">
        <f>PasteHashtag!F319</f>
        <v>60</v>
      </c>
      <c r="G319" s="2">
        <f>PasteHashtag!G319</f>
        <v>16.6</v>
      </c>
      <c r="H319" s="2">
        <f>MID(PasteHashtag!H319,1+FIND("(",PasteHashtag!H319),FIND("/",PasteHashtag!H319)-FIND("(",PasteHashtag!H319)-1)*1</f>
        <v>1.8</v>
      </c>
      <c r="I319" s="2">
        <f>LEFT(PasteHashtag!H319,FIND("(",PasteHashtag!H319)-1)*1</f>
        <v>0.453</v>
      </c>
      <c r="J319" s="2">
        <f>MID(PasteHashtag!I319,1+FIND("(",PasteHashtag!I319),FIND("/",PasteHashtag!I319)-FIND("(",PasteHashtag!I319)-1)*1</f>
        <v>0.3</v>
      </c>
      <c r="K319" s="2">
        <f>LEFT(PasteHashtag!I319,FIND("(",PasteHashtag!I319)-1)*1</f>
        <v>0.565</v>
      </c>
      <c r="L319" s="2">
        <f>PasteHashtag!J319</f>
        <v>0.8</v>
      </c>
      <c r="M319" s="2">
        <f>PasteHashtag!K319</f>
        <v>4.6</v>
      </c>
      <c r="N319" s="2">
        <f>PasteHashtag!L319</f>
        <v>2.9</v>
      </c>
      <c r="O319" s="2">
        <f>PasteHashtag!M319</f>
        <v>0.8</v>
      </c>
      <c r="P319" s="2">
        <f>PasteHashtag!N319</f>
        <v>0.6</v>
      </c>
      <c r="Q319" s="2">
        <f>PasteHashtag!O319</f>
        <v>0.3</v>
      </c>
      <c r="R319" s="2">
        <f>PasteHashtag!P319</f>
        <v>0.6</v>
      </c>
      <c r="S319" s="2">
        <f>Mid(PasteHashtag!H319,FIND("/",PasteHashtag!H319)+1,LEN(PasteHashtag!H319)-FIND("/",PasteHashtag!H319)-1)*1</f>
        <v>3.9</v>
      </c>
      <c r="T319" s="344">
        <f>Mid(PasteHashtag!I319,FIND("/",PasteHashtag!I319)+1,LEN(PasteHashtag!I319)-FIND("/",PasteHashtag!I319)-1)*1</f>
        <v>0.5</v>
      </c>
    </row>
    <row r="320">
      <c r="A320" s="2">
        <v>319.0</v>
      </c>
      <c r="B320" s="2" t="str">
        <f>PasteHashtag!B320</f>
        <v/>
      </c>
      <c r="C320" s="343" t="str">
        <f>PasteHashtag!C320</f>
        <v>Malaki Branham</v>
      </c>
      <c r="D320" s="2" t="str">
        <f>PasteHashtag!D320</f>
        <v>PG,SG</v>
      </c>
      <c r="E320" s="2" t="str">
        <f>PasteHashtag!E320</f>
        <v>SA</v>
      </c>
      <c r="F320" s="2">
        <f>PasteHashtag!F320</f>
        <v>65</v>
      </c>
      <c r="G320" s="2">
        <f>PasteHashtag!G320</f>
        <v>19.7</v>
      </c>
      <c r="H320" s="2">
        <f>MID(PasteHashtag!H320,1+FIND("(",PasteHashtag!H320),FIND("/",PasteHashtag!H320)-FIND("(",PasteHashtag!H320)-1)*1</f>
        <v>3.4</v>
      </c>
      <c r="I320" s="2">
        <f>LEFT(PasteHashtag!H320,FIND("(",PasteHashtag!H320)-1)*1</f>
        <v>0.436</v>
      </c>
      <c r="J320" s="2">
        <f>MID(PasteHashtag!I320,1+FIND("(",PasteHashtag!I320),FIND("/",PasteHashtag!I320)-FIND("(",PasteHashtag!I320)-1)*1</f>
        <v>0.7</v>
      </c>
      <c r="K320" s="2">
        <f>LEFT(PasteHashtag!I320,FIND("(",PasteHashtag!I320)-1)*1</f>
        <v>0.857</v>
      </c>
      <c r="L320" s="2">
        <f>PasteHashtag!J320</f>
        <v>1.1</v>
      </c>
      <c r="M320" s="2">
        <f>PasteHashtag!K320</f>
        <v>8.6</v>
      </c>
      <c r="N320" s="2">
        <f>PasteHashtag!L320</f>
        <v>2.1</v>
      </c>
      <c r="O320" s="2">
        <f>PasteHashtag!M320</f>
        <v>1.8</v>
      </c>
      <c r="P320" s="2">
        <f>PasteHashtag!N320</f>
        <v>0.4</v>
      </c>
      <c r="Q320" s="2">
        <f>PasteHashtag!O320</f>
        <v>0.1</v>
      </c>
      <c r="R320" s="2">
        <f>PasteHashtag!P320</f>
        <v>1.1</v>
      </c>
      <c r="S320" s="2">
        <f>Mid(PasteHashtag!H320,FIND("/",PasteHashtag!H320)+1,LEN(PasteHashtag!H320)-FIND("/",PasteHashtag!H320)-1)*1</f>
        <v>7.8</v>
      </c>
      <c r="T320" s="344">
        <f>Mid(PasteHashtag!I320,FIND("/",PasteHashtag!I320)+1,LEN(PasteHashtag!I320)-FIND("/",PasteHashtag!I320)-1)*1</f>
        <v>0.8</v>
      </c>
    </row>
    <row r="321">
      <c r="A321" s="2">
        <v>320.0</v>
      </c>
      <c r="B321" s="2" t="str">
        <f>PasteHashtag!B321</f>
        <v/>
      </c>
      <c r="C321" s="343" t="str">
        <f>PasteHashtag!C321</f>
        <v>Charles Bassey</v>
      </c>
      <c r="D321" s="2" t="str">
        <f>PasteHashtag!D321</f>
        <v>C</v>
      </c>
      <c r="E321" s="2" t="str">
        <f>PasteHashtag!E321</f>
        <v>SA</v>
      </c>
      <c r="F321" s="2">
        <f>PasteHashtag!F321</f>
        <v>20</v>
      </c>
      <c r="G321" s="2">
        <f>PasteHashtag!G321</f>
        <v>8.8</v>
      </c>
      <c r="H321" s="2">
        <f>MID(PasteHashtag!H321,1+FIND("(",PasteHashtag!H321),FIND("/",PasteHashtag!H321)-FIND("(",PasteHashtag!H321)-1)*1</f>
        <v>1.5</v>
      </c>
      <c r="I321" s="2">
        <f>LEFT(PasteHashtag!H321,FIND("(",PasteHashtag!H321)-1)*1</f>
        <v>0.665</v>
      </c>
      <c r="J321" s="2">
        <f>MID(PasteHashtag!I321,1+FIND("(",PasteHashtag!I321),FIND("/",PasteHashtag!I321)-FIND("(",PasteHashtag!I321)-1)*1</f>
        <v>0.3</v>
      </c>
      <c r="K321" s="2">
        <f>LEFT(PasteHashtag!I321,FIND("(",PasteHashtag!I321)-1)*1</f>
        <v>0.63</v>
      </c>
      <c r="L321" s="2">
        <f>PasteHashtag!J321</f>
        <v>0</v>
      </c>
      <c r="M321" s="2">
        <f>PasteHashtag!K321</f>
        <v>3.3</v>
      </c>
      <c r="N321" s="2">
        <f>PasteHashtag!L321</f>
        <v>3.4</v>
      </c>
      <c r="O321" s="2">
        <f>PasteHashtag!M321</f>
        <v>0.9</v>
      </c>
      <c r="P321" s="2">
        <f>PasteHashtag!N321</f>
        <v>0.3</v>
      </c>
      <c r="Q321" s="2">
        <f>PasteHashtag!O321</f>
        <v>0.6</v>
      </c>
      <c r="R321" s="2">
        <f>PasteHashtag!P321</f>
        <v>0.7</v>
      </c>
      <c r="S321" s="2">
        <f>Mid(PasteHashtag!H321,FIND("/",PasteHashtag!H321)+1,LEN(PasteHashtag!H321)-FIND("/",PasteHashtag!H321)-1)*1</f>
        <v>2.2</v>
      </c>
      <c r="T321" s="344">
        <f>Mid(PasteHashtag!I321,FIND("/",PasteHashtag!I321)+1,LEN(PasteHashtag!I321)-FIND("/",PasteHashtag!I321)-1)*1</f>
        <v>0.5</v>
      </c>
    </row>
    <row r="322">
      <c r="A322" s="2">
        <v>321.0</v>
      </c>
      <c r="B322" s="2" t="str">
        <f>PasteHashtag!B322</f>
        <v/>
      </c>
      <c r="C322" s="343" t="str">
        <f>PasteHashtag!C322</f>
        <v>Maxi Kleber</v>
      </c>
      <c r="D322" s="2" t="str">
        <f>PasteHashtag!D322</f>
        <v>PF,C</v>
      </c>
      <c r="E322" s="2" t="str">
        <f>PasteHashtag!E322</f>
        <v>DAL</v>
      </c>
      <c r="F322" s="2">
        <f>PasteHashtag!F322</f>
        <v>40</v>
      </c>
      <c r="G322" s="2">
        <f>PasteHashtag!G322</f>
        <v>18.5</v>
      </c>
      <c r="H322" s="2">
        <f>MID(PasteHashtag!H322,1+FIND("(",PasteHashtag!H322),FIND("/",PasteHashtag!H322)-FIND("(",PasteHashtag!H322)-1)*1</f>
        <v>1.5</v>
      </c>
      <c r="I322" s="2">
        <f>LEFT(PasteHashtag!H322,FIND("(",PasteHashtag!H322)-1)*1</f>
        <v>0.443</v>
      </c>
      <c r="J322" s="2">
        <f>MID(PasteHashtag!I322,1+FIND("(",PasteHashtag!I322),FIND("/",PasteHashtag!I322)-FIND("(",PasteHashtag!I322)-1)*1</f>
        <v>0.6</v>
      </c>
      <c r="K322" s="2">
        <f>LEFT(PasteHashtag!I322,FIND("(",PasteHashtag!I322)-1)*1</f>
        <v>0.705</v>
      </c>
      <c r="L322" s="2">
        <f>PasteHashtag!J322</f>
        <v>0.7</v>
      </c>
      <c r="M322" s="2">
        <f>PasteHashtag!K322</f>
        <v>4.3</v>
      </c>
      <c r="N322" s="2">
        <f>PasteHashtag!L322</f>
        <v>2.9</v>
      </c>
      <c r="O322" s="2">
        <f>PasteHashtag!M322</f>
        <v>1.2</v>
      </c>
      <c r="P322" s="2">
        <f>PasteHashtag!N322</f>
        <v>0.3</v>
      </c>
      <c r="Q322" s="2">
        <f>PasteHashtag!O322</f>
        <v>0.6</v>
      </c>
      <c r="R322" s="2">
        <f>PasteHashtag!P322</f>
        <v>0.6</v>
      </c>
      <c r="S322" s="2">
        <f>Mid(PasteHashtag!H322,FIND("/",PasteHashtag!H322)+1,LEN(PasteHashtag!H322)-FIND("/",PasteHashtag!H322)-1)*1</f>
        <v>3.3</v>
      </c>
      <c r="T322" s="344">
        <f>Mid(PasteHashtag!I322,FIND("/",PasteHashtag!I322)+1,LEN(PasteHashtag!I322)-FIND("/",PasteHashtag!I322)-1)*1</f>
        <v>0.9</v>
      </c>
    </row>
    <row r="323">
      <c r="A323" s="2">
        <v>322.0</v>
      </c>
      <c r="B323" s="2" t="str">
        <f>PasteHashtag!B323</f>
        <v/>
      </c>
      <c r="C323" s="343" t="str">
        <f>PasteHashtag!C323</f>
        <v>Guerschon Yabusele</v>
      </c>
      <c r="D323" s="2" t="str">
        <f>PasteHashtag!D323</f>
        <v/>
      </c>
      <c r="E323" s="2" t="str">
        <f>PasteHashtag!E323</f>
        <v>PHI</v>
      </c>
      <c r="F323" s="2">
        <f>PasteHashtag!F323</f>
        <v>60</v>
      </c>
      <c r="G323" s="2">
        <f>PasteHashtag!G323</f>
        <v>12.4</v>
      </c>
      <c r="H323" s="2">
        <f>MID(PasteHashtag!H323,1+FIND("(",PasteHashtag!H323),FIND("/",PasteHashtag!H323)-FIND("(",PasteHashtag!H323)-1)*1</f>
        <v>2</v>
      </c>
      <c r="I323" s="2">
        <f>LEFT(PasteHashtag!H323,FIND("(",PasteHashtag!H323)-1)*1</f>
        <v>0.466</v>
      </c>
      <c r="J323" s="2">
        <f>MID(PasteHashtag!I323,1+FIND("(",PasteHashtag!I323),FIND("/",PasteHashtag!I323)-FIND("(",PasteHashtag!I323)-1)*1</f>
        <v>0.9</v>
      </c>
      <c r="K323" s="2">
        <f>LEFT(PasteHashtag!I323,FIND("(",PasteHashtag!I323)-1)*1</f>
        <v>0.77</v>
      </c>
      <c r="L323" s="2">
        <f>PasteHashtag!J323</f>
        <v>0.9</v>
      </c>
      <c r="M323" s="2">
        <f>PasteHashtag!K323</f>
        <v>5.7</v>
      </c>
      <c r="N323" s="2">
        <f>PasteHashtag!L323</f>
        <v>2.7</v>
      </c>
      <c r="O323" s="2">
        <f>PasteHashtag!M323</f>
        <v>0.8</v>
      </c>
      <c r="P323" s="2">
        <f>PasteHashtag!N323</f>
        <v>0.4</v>
      </c>
      <c r="Q323" s="2">
        <f>PasteHashtag!O323</f>
        <v>0.4</v>
      </c>
      <c r="R323" s="2">
        <f>PasteHashtag!P323</f>
        <v>0.8</v>
      </c>
      <c r="S323" s="2">
        <f>Mid(PasteHashtag!H323,FIND("/",PasteHashtag!H323)+1,LEN(PasteHashtag!H323)-FIND("/",PasteHashtag!H323)-1)*1</f>
        <v>4.3</v>
      </c>
      <c r="T323" s="344">
        <f>Mid(PasteHashtag!I323,FIND("/",PasteHashtag!I323)+1,LEN(PasteHashtag!I323)-FIND("/",PasteHashtag!I323)-1)*1</f>
        <v>1.1</v>
      </c>
    </row>
    <row r="324">
      <c r="A324" s="2">
        <v>323.0</v>
      </c>
      <c r="B324" s="2" t="str">
        <f>PasteHashtag!B324</f>
        <v/>
      </c>
      <c r="C324" s="343" t="str">
        <f>PasteHashtag!C324</f>
        <v>Kyle Filipowski</v>
      </c>
      <c r="D324" s="2" t="str">
        <f>PasteHashtag!D324</f>
        <v>PF</v>
      </c>
      <c r="E324" s="2" t="str">
        <f>PasteHashtag!E324</f>
        <v>UTA</v>
      </c>
      <c r="F324" s="2">
        <f>PasteHashtag!F324</f>
        <v>54</v>
      </c>
      <c r="G324" s="2">
        <f>PasteHashtag!G324</f>
        <v>15.2</v>
      </c>
      <c r="H324" s="2">
        <f>MID(PasteHashtag!H324,1+FIND("(",PasteHashtag!H324),FIND("/",PasteHashtag!H324)-FIND("(",PasteHashtag!H324)-1)*1</f>
        <v>2.3</v>
      </c>
      <c r="I324" s="2">
        <f>LEFT(PasteHashtag!H324,FIND("(",PasteHashtag!H324)-1)*1</f>
        <v>0.506</v>
      </c>
      <c r="J324" s="2">
        <f>MID(PasteHashtag!I324,1+FIND("(",PasteHashtag!I324),FIND("/",PasteHashtag!I324)-FIND("(",PasteHashtag!I324)-1)*1</f>
        <v>1.2</v>
      </c>
      <c r="K324" s="2">
        <f>LEFT(PasteHashtag!I324,FIND("(",PasteHashtag!I324)-1)*1</f>
        <v>0.672</v>
      </c>
      <c r="L324" s="2">
        <f>PasteHashtag!J324</f>
        <v>0.4</v>
      </c>
      <c r="M324" s="2">
        <f>PasteHashtag!K324</f>
        <v>6.2</v>
      </c>
      <c r="N324" s="2">
        <f>PasteHashtag!L324</f>
        <v>3.1</v>
      </c>
      <c r="O324" s="2">
        <f>PasteHashtag!M324</f>
        <v>1</v>
      </c>
      <c r="P324" s="2">
        <f>PasteHashtag!N324</f>
        <v>0.4</v>
      </c>
      <c r="Q324" s="2">
        <f>PasteHashtag!O324</f>
        <v>0.6</v>
      </c>
      <c r="R324" s="2">
        <f>PasteHashtag!P324</f>
        <v>0.8</v>
      </c>
      <c r="S324" s="2">
        <f>Mid(PasteHashtag!H324,FIND("/",PasteHashtag!H324)+1,LEN(PasteHashtag!H324)-FIND("/",PasteHashtag!H324)-1)*1</f>
        <v>4.5</v>
      </c>
      <c r="T324" s="344">
        <f>Mid(PasteHashtag!I324,FIND("/",PasteHashtag!I324)+1,LEN(PasteHashtag!I324)-FIND("/",PasteHashtag!I324)-1)*1</f>
        <v>1.7</v>
      </c>
    </row>
    <row r="325">
      <c r="A325" s="2">
        <v>324.0</v>
      </c>
      <c r="B325" s="2" t="str">
        <f>PasteHashtag!B325</f>
        <v/>
      </c>
      <c r="C325" s="343" t="str">
        <f>PasteHashtag!C325</f>
        <v>Jaxson Hayes</v>
      </c>
      <c r="D325" s="2" t="str">
        <f>PasteHashtag!D325</f>
        <v>PF,C</v>
      </c>
      <c r="E325" s="2" t="str">
        <f>PasteHashtag!E325</f>
        <v>LAL</v>
      </c>
      <c r="F325" s="2">
        <f>PasteHashtag!F325</f>
        <v>70</v>
      </c>
      <c r="G325" s="2">
        <f>PasteHashtag!G325</f>
        <v>13.6</v>
      </c>
      <c r="H325" s="2">
        <f>MID(PasteHashtag!H325,1+FIND("(",PasteHashtag!H325),FIND("/",PasteHashtag!H325)-FIND("(",PasteHashtag!H325)-1)*1</f>
        <v>2</v>
      </c>
      <c r="I325" s="2">
        <f>LEFT(PasteHashtag!H325,FIND("(",PasteHashtag!H325)-1)*1</f>
        <v>0.641</v>
      </c>
      <c r="J325" s="2">
        <f>MID(PasteHashtag!I325,1+FIND("(",PasteHashtag!I325),FIND("/",PasteHashtag!I325)-FIND("(",PasteHashtag!I325)-1)*1</f>
        <v>1</v>
      </c>
      <c r="K325" s="2">
        <f>LEFT(PasteHashtag!I325,FIND("(",PasteHashtag!I325)-1)*1</f>
        <v>0.664</v>
      </c>
      <c r="L325" s="2">
        <f>PasteHashtag!J325</f>
        <v>0</v>
      </c>
      <c r="M325" s="2">
        <f>PasteHashtag!K325</f>
        <v>5</v>
      </c>
      <c r="N325" s="2">
        <f>PasteHashtag!L325</f>
        <v>3.2</v>
      </c>
      <c r="O325" s="2">
        <f>PasteHashtag!M325</f>
        <v>0.6</v>
      </c>
      <c r="P325" s="2">
        <f>PasteHashtag!N325</f>
        <v>0.5</v>
      </c>
      <c r="Q325" s="2">
        <f>PasteHashtag!O325</f>
        <v>0.4</v>
      </c>
      <c r="R325" s="2">
        <f>PasteHashtag!P325</f>
        <v>0.7</v>
      </c>
      <c r="S325" s="2">
        <f>Mid(PasteHashtag!H325,FIND("/",PasteHashtag!H325)+1,LEN(PasteHashtag!H325)-FIND("/",PasteHashtag!H325)-1)*1</f>
        <v>3.1</v>
      </c>
      <c r="T325" s="344">
        <f>Mid(PasteHashtag!I325,FIND("/",PasteHashtag!I325)+1,LEN(PasteHashtag!I325)-FIND("/",PasteHashtag!I325)-1)*1</f>
        <v>1.5</v>
      </c>
    </row>
    <row r="326">
      <c r="A326" s="2">
        <v>325.0</v>
      </c>
      <c r="B326" s="2" t="str">
        <f>PasteHashtag!B326</f>
        <v/>
      </c>
      <c r="C326" s="343" t="str">
        <f>PasteHashtag!C326</f>
        <v>Richaun Holmes</v>
      </c>
      <c r="D326" s="2" t="str">
        <f>PasteHashtag!D326</f>
        <v>C</v>
      </c>
      <c r="E326" s="2" t="str">
        <f>PasteHashtag!E326</f>
        <v>WAS</v>
      </c>
      <c r="F326" s="2">
        <f>PasteHashtag!F326</f>
        <v>54</v>
      </c>
      <c r="G326" s="2">
        <f>PasteHashtag!G326</f>
        <v>13.4</v>
      </c>
      <c r="H326" s="2">
        <f>MID(PasteHashtag!H326,1+FIND("(",PasteHashtag!H326),FIND("/",PasteHashtag!H326)-FIND("(",PasteHashtag!H326)-1)*1</f>
        <v>2.1</v>
      </c>
      <c r="I326" s="2">
        <f>LEFT(PasteHashtag!H326,FIND("(",PasteHashtag!H326)-1)*1</f>
        <v>0.582</v>
      </c>
      <c r="J326" s="2">
        <f>MID(PasteHashtag!I326,1+FIND("(",PasteHashtag!I326),FIND("/",PasteHashtag!I326)-FIND("(",PasteHashtag!I326)-1)*1</f>
        <v>0.7</v>
      </c>
      <c r="K326" s="2">
        <f>LEFT(PasteHashtag!I326,FIND("(",PasteHashtag!I326)-1)*1</f>
        <v>0.747</v>
      </c>
      <c r="L326" s="2">
        <f>PasteHashtag!J326</f>
        <v>0.1</v>
      </c>
      <c r="M326" s="2">
        <f>PasteHashtag!K326</f>
        <v>4.9</v>
      </c>
      <c r="N326" s="2">
        <f>PasteHashtag!L326</f>
        <v>3.9</v>
      </c>
      <c r="O326" s="2">
        <f>PasteHashtag!M326</f>
        <v>0.5</v>
      </c>
      <c r="P326" s="2">
        <f>PasteHashtag!N326</f>
        <v>0.2</v>
      </c>
      <c r="Q326" s="2">
        <f>PasteHashtag!O326</f>
        <v>0.5</v>
      </c>
      <c r="R326" s="2">
        <f>PasteHashtag!P326</f>
        <v>0.6</v>
      </c>
      <c r="S326" s="2">
        <f>Mid(PasteHashtag!H326,FIND("/",PasteHashtag!H326)+1,LEN(PasteHashtag!H326)-FIND("/",PasteHashtag!H326)-1)*1</f>
        <v>3.5</v>
      </c>
      <c r="T326" s="344">
        <f>Mid(PasteHashtag!I326,FIND("/",PasteHashtag!I326)+1,LEN(PasteHashtag!I326)-FIND("/",PasteHashtag!I326)-1)*1</f>
        <v>1</v>
      </c>
    </row>
    <row r="327">
      <c r="A327" s="2">
        <v>326.0</v>
      </c>
      <c r="B327" s="2" t="str">
        <f>PasteHashtag!B327</f>
        <v/>
      </c>
      <c r="C327" s="343" t="str">
        <f>PasteHashtag!C327</f>
        <v>Jock Landale</v>
      </c>
      <c r="D327" s="2" t="str">
        <f>PasteHashtag!D327</f>
        <v>C</v>
      </c>
      <c r="E327" s="2" t="str">
        <f>PasteHashtag!E327</f>
        <v>HOU</v>
      </c>
      <c r="F327" s="2">
        <f>PasteHashtag!F327</f>
        <v>44</v>
      </c>
      <c r="G327" s="2">
        <f>PasteHashtag!G327</f>
        <v>12.4</v>
      </c>
      <c r="H327" s="2">
        <f>MID(PasteHashtag!H327,1+FIND("(",PasteHashtag!H327),FIND("/",PasteHashtag!H327)-FIND("(",PasteHashtag!H327)-1)*1</f>
        <v>2</v>
      </c>
      <c r="I327" s="2">
        <f>LEFT(PasteHashtag!H327,FIND("(",PasteHashtag!H327)-1)*1</f>
        <v>0.523</v>
      </c>
      <c r="J327" s="2">
        <f>MID(PasteHashtag!I327,1+FIND("(",PasteHashtag!I327),FIND("/",PasteHashtag!I327)-FIND("(",PasteHashtag!I327)-1)*1</f>
        <v>0.9</v>
      </c>
      <c r="K327" s="2">
        <f>LEFT(PasteHashtag!I327,FIND("(",PasteHashtag!I327)-1)*1</f>
        <v>0.77</v>
      </c>
      <c r="L327" s="2">
        <f>PasteHashtag!J327</f>
        <v>0.2</v>
      </c>
      <c r="M327" s="2">
        <f>PasteHashtag!K327</f>
        <v>5.3</v>
      </c>
      <c r="N327" s="2">
        <f>PasteHashtag!L327</f>
        <v>3.3</v>
      </c>
      <c r="O327" s="2">
        <f>PasteHashtag!M327</f>
        <v>1</v>
      </c>
      <c r="P327" s="2">
        <f>PasteHashtag!N327</f>
        <v>0.3</v>
      </c>
      <c r="Q327" s="2">
        <f>PasteHashtag!O327</f>
        <v>0.5</v>
      </c>
      <c r="R327" s="2">
        <f>PasteHashtag!P327</f>
        <v>0.7</v>
      </c>
      <c r="S327" s="2">
        <f>Mid(PasteHashtag!H327,FIND("/",PasteHashtag!H327)+1,LEN(PasteHashtag!H327)-FIND("/",PasteHashtag!H327)-1)*1</f>
        <v>3.9</v>
      </c>
      <c r="T327" s="344">
        <f>Mid(PasteHashtag!I327,FIND("/",PasteHashtag!I327)+1,LEN(PasteHashtag!I327)-FIND("/",PasteHashtag!I327)-1)*1</f>
        <v>1.2</v>
      </c>
    </row>
    <row r="328">
      <c r="A328" s="2">
        <v>327.0</v>
      </c>
      <c r="B328" s="2" t="str">
        <f>PasteHashtag!B328</f>
        <v/>
      </c>
      <c r="C328" s="343" t="str">
        <f>PasteHashtag!C328</f>
        <v>Craig Porter Jr.</v>
      </c>
      <c r="D328" s="2" t="str">
        <f>PasteHashtag!D328</f>
        <v>PG,SG</v>
      </c>
      <c r="E328" s="2" t="str">
        <f>PasteHashtag!E328</f>
        <v>CLE</v>
      </c>
      <c r="F328" s="2">
        <f>PasteHashtag!F328</f>
        <v>55</v>
      </c>
      <c r="G328" s="2">
        <f>PasteHashtag!G328</f>
        <v>12.4</v>
      </c>
      <c r="H328" s="2">
        <f>MID(PasteHashtag!H328,1+FIND("(",PasteHashtag!H328),FIND("/",PasteHashtag!H328)-FIND("(",PasteHashtag!H328)-1)*1</f>
        <v>2.2</v>
      </c>
      <c r="I328" s="2">
        <f>LEFT(PasteHashtag!H328,FIND("(",PasteHashtag!H328)-1)*1</f>
        <v>0.509</v>
      </c>
      <c r="J328" s="2">
        <f>MID(PasteHashtag!I328,1+FIND("(",PasteHashtag!I328),FIND("/",PasteHashtag!I328)-FIND("(",PasteHashtag!I328)-1)*1</f>
        <v>0.8</v>
      </c>
      <c r="K328" s="2">
        <f>LEFT(PasteHashtag!I328,FIND("(",PasteHashtag!I328)-1)*1</f>
        <v>0.731</v>
      </c>
      <c r="L328" s="2">
        <f>PasteHashtag!J328</f>
        <v>0.2</v>
      </c>
      <c r="M328" s="2">
        <f>PasteHashtag!K328</f>
        <v>5.5</v>
      </c>
      <c r="N328" s="2">
        <f>PasteHashtag!L328</f>
        <v>2.1</v>
      </c>
      <c r="O328" s="2">
        <f>PasteHashtag!M328</f>
        <v>2.3</v>
      </c>
      <c r="P328" s="2">
        <f>PasteHashtag!N328</f>
        <v>0.4</v>
      </c>
      <c r="Q328" s="2">
        <f>PasteHashtag!O328</f>
        <v>0.3</v>
      </c>
      <c r="R328" s="2">
        <f>PasteHashtag!P328</f>
        <v>0.9</v>
      </c>
      <c r="S328" s="2">
        <f>Mid(PasteHashtag!H328,FIND("/",PasteHashtag!H328)+1,LEN(PasteHashtag!H328)-FIND("/",PasteHashtag!H328)-1)*1</f>
        <v>4.4</v>
      </c>
      <c r="T328" s="344">
        <f>Mid(PasteHashtag!I328,FIND("/",PasteHashtag!I328)+1,LEN(PasteHashtag!I328)-FIND("/",PasteHashtag!I328)-1)*1</f>
        <v>1.1</v>
      </c>
    </row>
    <row r="329">
      <c r="A329" s="2">
        <v>328.0</v>
      </c>
      <c r="B329" s="2" t="str">
        <f>PasteHashtag!B329</f>
        <v/>
      </c>
      <c r="C329" s="343" t="str">
        <f>PasteHashtag!C329</f>
        <v>Jordan Hawkins</v>
      </c>
      <c r="D329" s="2" t="str">
        <f>PasteHashtag!D329</f>
        <v>SG</v>
      </c>
      <c r="E329" s="2" t="str">
        <f>PasteHashtag!E329</f>
        <v>NO</v>
      </c>
      <c r="F329" s="2">
        <f>PasteHashtag!F329</f>
        <v>64</v>
      </c>
      <c r="G329" s="2">
        <f>PasteHashtag!G329</f>
        <v>18.8</v>
      </c>
      <c r="H329" s="2">
        <f>MID(PasteHashtag!H329,1+FIND("(",PasteHashtag!H329),FIND("/",PasteHashtag!H329)-FIND("(",PasteHashtag!H329)-1)*1</f>
        <v>2.9</v>
      </c>
      <c r="I329" s="2">
        <f>LEFT(PasteHashtag!H329,FIND("(",PasteHashtag!H329)-1)*1</f>
        <v>0.382</v>
      </c>
      <c r="J329" s="2">
        <f>MID(PasteHashtag!I329,1+FIND("(",PasteHashtag!I329),FIND("/",PasteHashtag!I329)-FIND("(",PasteHashtag!I329)-1)*1</f>
        <v>1.1</v>
      </c>
      <c r="K329" s="2">
        <f>LEFT(PasteHashtag!I329,FIND("(",PasteHashtag!I329)-1)*1</f>
        <v>0.84</v>
      </c>
      <c r="L329" s="2">
        <f>PasteHashtag!J329</f>
        <v>1.8</v>
      </c>
      <c r="M329" s="2">
        <f>PasteHashtag!K329</f>
        <v>8.6</v>
      </c>
      <c r="N329" s="2">
        <f>PasteHashtag!L329</f>
        <v>2.4</v>
      </c>
      <c r="O329" s="2">
        <f>PasteHashtag!M329</f>
        <v>1.2</v>
      </c>
      <c r="P329" s="2">
        <f>PasteHashtag!N329</f>
        <v>0.3</v>
      </c>
      <c r="Q329" s="2">
        <f>PasteHashtag!O329</f>
        <v>0.1</v>
      </c>
      <c r="R329" s="2">
        <f>PasteHashtag!P329</f>
        <v>0.7</v>
      </c>
      <c r="S329" s="2">
        <f>Mid(PasteHashtag!H329,FIND("/",PasteHashtag!H329)+1,LEN(PasteHashtag!H329)-FIND("/",PasteHashtag!H329)-1)*1</f>
        <v>7.5</v>
      </c>
      <c r="T329" s="344">
        <f>Mid(PasteHashtag!I329,FIND("/",PasteHashtag!I329)+1,LEN(PasteHashtag!I329)-FIND("/",PasteHashtag!I329)-1)*1</f>
        <v>1.3</v>
      </c>
    </row>
    <row r="330">
      <c r="A330" s="2">
        <v>329.0</v>
      </c>
      <c r="B330" s="2" t="str">
        <f>PasteHashtag!B330</f>
        <v/>
      </c>
      <c r="C330" s="343" t="str">
        <f>PasteHashtag!C330</f>
        <v>Jabari Walker</v>
      </c>
      <c r="D330" s="2" t="str">
        <f>PasteHashtag!D330</f>
        <v>SF,PF</v>
      </c>
      <c r="E330" s="2" t="str">
        <f>PasteHashtag!E330</f>
        <v>POR</v>
      </c>
      <c r="F330" s="2">
        <f>PasteHashtag!F330</f>
        <v>65</v>
      </c>
      <c r="G330" s="2">
        <f>PasteHashtag!G330</f>
        <v>17.1</v>
      </c>
      <c r="H330" s="2">
        <f>MID(PasteHashtag!H330,1+FIND("(",PasteHashtag!H330),FIND("/",PasteHashtag!H330)-FIND("(",PasteHashtag!H330)-1)*1</f>
        <v>2.4</v>
      </c>
      <c r="I330" s="2">
        <f>LEFT(PasteHashtag!H330,FIND("(",PasteHashtag!H330)-1)*1</f>
        <v>0.449</v>
      </c>
      <c r="J330" s="2">
        <f>MID(PasteHashtag!I330,1+FIND("(",PasteHashtag!I330),FIND("/",PasteHashtag!I330)-FIND("(",PasteHashtag!I330)-1)*1</f>
        <v>1.2</v>
      </c>
      <c r="K330" s="2">
        <f>LEFT(PasteHashtag!I330,FIND("(",PasteHashtag!I330)-1)*1</f>
        <v>0.752</v>
      </c>
      <c r="L330" s="2">
        <f>PasteHashtag!J330</f>
        <v>0.4</v>
      </c>
      <c r="M330" s="2">
        <f>PasteHashtag!K330</f>
        <v>6.4</v>
      </c>
      <c r="N330" s="2">
        <f>PasteHashtag!L330</f>
        <v>4.8</v>
      </c>
      <c r="O330" s="2">
        <f>PasteHashtag!M330</f>
        <v>0.8</v>
      </c>
      <c r="P330" s="2">
        <f>PasteHashtag!N330</f>
        <v>0.4</v>
      </c>
      <c r="Q330" s="2">
        <f>PasteHashtag!O330</f>
        <v>0.3</v>
      </c>
      <c r="R330" s="2">
        <f>PasteHashtag!P330</f>
        <v>0.7</v>
      </c>
      <c r="S330" s="2">
        <f>Mid(PasteHashtag!H330,FIND("/",PasteHashtag!H330)+1,LEN(PasteHashtag!H330)-FIND("/",PasteHashtag!H330)-1)*1</f>
        <v>5.3</v>
      </c>
      <c r="T330" s="344">
        <f>Mid(PasteHashtag!I330,FIND("/",PasteHashtag!I330)+1,LEN(PasteHashtag!I330)-FIND("/",PasteHashtag!I330)-1)*1</f>
        <v>1.6</v>
      </c>
    </row>
    <row r="331">
      <c r="A331" s="2">
        <v>330.0</v>
      </c>
      <c r="B331" s="2" t="str">
        <f>PasteHashtag!B331</f>
        <v/>
      </c>
      <c r="C331" s="343" t="str">
        <f>PasteHashtag!C331</f>
        <v>Vasilije Micic</v>
      </c>
      <c r="D331" s="2" t="str">
        <f>PasteHashtag!D331</f>
        <v>PG,SG</v>
      </c>
      <c r="E331" s="2" t="str">
        <f>PasteHashtag!E331</f>
        <v>CHA</v>
      </c>
      <c r="F331" s="2">
        <f>PasteHashtag!F331</f>
        <v>58</v>
      </c>
      <c r="G331" s="2">
        <f>PasteHashtag!G331</f>
        <v>16.5</v>
      </c>
      <c r="H331" s="2">
        <f>MID(PasteHashtag!H331,1+FIND("(",PasteHashtag!H331),FIND("/",PasteHashtag!H331)-FIND("(",PasteHashtag!H331)-1)*1</f>
        <v>2.3</v>
      </c>
      <c r="I331" s="2">
        <f>LEFT(PasteHashtag!H331,FIND("(",PasteHashtag!H331)-1)*1</f>
        <v>0.429</v>
      </c>
      <c r="J331" s="2">
        <f>MID(PasteHashtag!I331,1+FIND("(",PasteHashtag!I331),FIND("/",PasteHashtag!I331)-FIND("(",PasteHashtag!I331)-1)*1</f>
        <v>0.9</v>
      </c>
      <c r="K331" s="2">
        <f>LEFT(PasteHashtag!I331,FIND("(",PasteHashtag!I331)-1)*1</f>
        <v>0.811</v>
      </c>
      <c r="L331" s="2">
        <f>PasteHashtag!J331</f>
        <v>0.6</v>
      </c>
      <c r="M331" s="2">
        <f>PasteHashtag!K331</f>
        <v>6</v>
      </c>
      <c r="N331" s="2">
        <f>PasteHashtag!L331</f>
        <v>1.3</v>
      </c>
      <c r="O331" s="2">
        <f>PasteHashtag!M331</f>
        <v>3.7</v>
      </c>
      <c r="P331" s="2">
        <f>PasteHashtag!N331</f>
        <v>0.4</v>
      </c>
      <c r="Q331" s="2">
        <f>PasteHashtag!O331</f>
        <v>0.1</v>
      </c>
      <c r="R331" s="2">
        <f>PasteHashtag!P331</f>
        <v>1.4</v>
      </c>
      <c r="S331" s="2">
        <f>Mid(PasteHashtag!H331,FIND("/",PasteHashtag!H331)+1,LEN(PasteHashtag!H331)-FIND("/",PasteHashtag!H331)-1)*1</f>
        <v>5.2</v>
      </c>
      <c r="T331" s="344">
        <f>Mid(PasteHashtag!I331,FIND("/",PasteHashtag!I331)+1,LEN(PasteHashtag!I331)-FIND("/",PasteHashtag!I331)-1)*1</f>
        <v>1.1</v>
      </c>
    </row>
    <row r="332">
      <c r="A332" s="2">
        <v>331.0</v>
      </c>
      <c r="B332" s="2" t="str">
        <f>PasteHashtag!B332</f>
        <v/>
      </c>
      <c r="C332" s="343" t="str">
        <f>PasteHashtag!C332</f>
        <v>Kenrich Williams</v>
      </c>
      <c r="D332" s="2" t="str">
        <f>PasteHashtag!D332</f>
        <v>PF</v>
      </c>
      <c r="E332" s="2" t="str">
        <f>PasteHashtag!E332</f>
        <v>OKC</v>
      </c>
      <c r="F332" s="2">
        <f>PasteHashtag!F332</f>
        <v>58</v>
      </c>
      <c r="G332" s="2">
        <f>PasteHashtag!G332</f>
        <v>14.2</v>
      </c>
      <c r="H332" s="2">
        <f>MID(PasteHashtag!H332,1+FIND("(",PasteHashtag!H332),FIND("/",PasteHashtag!H332)-FIND("(",PasteHashtag!H332)-1)*1</f>
        <v>2</v>
      </c>
      <c r="I332" s="2">
        <f>LEFT(PasteHashtag!H332,FIND("(",PasteHashtag!H332)-1)*1</f>
        <v>0.495</v>
      </c>
      <c r="J332" s="2">
        <f>MID(PasteHashtag!I332,1+FIND("(",PasteHashtag!I332),FIND("/",PasteHashtag!I332)-FIND("(",PasteHashtag!I332)-1)*1</f>
        <v>0.2</v>
      </c>
      <c r="K332" s="2">
        <f>LEFT(PasteHashtag!I332,FIND("(",PasteHashtag!I332)-1)*1</f>
        <v>0.441</v>
      </c>
      <c r="L332" s="2">
        <f>PasteHashtag!J332</f>
        <v>0.7</v>
      </c>
      <c r="M332" s="2">
        <f>PasteHashtag!K332</f>
        <v>4.8</v>
      </c>
      <c r="N332" s="2">
        <f>PasteHashtag!L332</f>
        <v>3</v>
      </c>
      <c r="O332" s="2">
        <f>PasteHashtag!M332</f>
        <v>1.3</v>
      </c>
      <c r="P332" s="2">
        <f>PasteHashtag!N332</f>
        <v>0.5</v>
      </c>
      <c r="Q332" s="2">
        <f>PasteHashtag!O332</f>
        <v>0.2</v>
      </c>
      <c r="R332" s="2">
        <f>PasteHashtag!P332</f>
        <v>0.4</v>
      </c>
      <c r="S332" s="2">
        <f>Mid(PasteHashtag!H332,FIND("/",PasteHashtag!H332)+1,LEN(PasteHashtag!H332)-FIND("/",PasteHashtag!H332)-1)*1</f>
        <v>4</v>
      </c>
      <c r="T332" s="344">
        <f>Mid(PasteHashtag!I332,FIND("/",PasteHashtag!I332)+1,LEN(PasteHashtag!I332)-FIND("/",PasteHashtag!I332)-1)*1</f>
        <v>0.3</v>
      </c>
    </row>
    <row r="333">
      <c r="A333" s="2">
        <v>332.0</v>
      </c>
      <c r="B333" s="2" t="str">
        <f>PasteHashtag!B333</f>
        <v/>
      </c>
      <c r="C333" s="343" t="str">
        <f>PasteHashtag!C333</f>
        <v>Jordan McLaughlin</v>
      </c>
      <c r="D333" s="2" t="str">
        <f>PasteHashtag!D333</f>
        <v>PG,SG</v>
      </c>
      <c r="E333" s="2" t="str">
        <f>PasteHashtag!E333</f>
        <v>SAC</v>
      </c>
      <c r="F333" s="2">
        <f>PasteHashtag!F333</f>
        <v>50</v>
      </c>
      <c r="G333" s="2">
        <f>PasteHashtag!G333</f>
        <v>12.2</v>
      </c>
      <c r="H333" s="2">
        <f>MID(PasteHashtag!H333,1+FIND("(",PasteHashtag!H333),FIND("/",PasteHashtag!H333)-FIND("(",PasteHashtag!H333)-1)*1</f>
        <v>1.2</v>
      </c>
      <c r="I333" s="2">
        <f>LEFT(PasteHashtag!H333,FIND("(",PasteHashtag!H333)-1)*1</f>
        <v>0.453</v>
      </c>
      <c r="J333" s="2">
        <f>MID(PasteHashtag!I333,1+FIND("(",PasteHashtag!I333),FIND("/",PasteHashtag!I333)-FIND("(",PasteHashtag!I333)-1)*1</f>
        <v>0.3</v>
      </c>
      <c r="K333" s="2">
        <f>LEFT(PasteHashtag!I333,FIND("(",PasteHashtag!I333)-1)*1</f>
        <v>0.765</v>
      </c>
      <c r="L333" s="2">
        <f>PasteHashtag!J333</f>
        <v>0.6</v>
      </c>
      <c r="M333" s="2">
        <f>PasteHashtag!K333</f>
        <v>3.4</v>
      </c>
      <c r="N333" s="2">
        <f>PasteHashtag!L333</f>
        <v>1.3</v>
      </c>
      <c r="O333" s="2">
        <f>PasteHashtag!M333</f>
        <v>2.4</v>
      </c>
      <c r="P333" s="2">
        <f>PasteHashtag!N333</f>
        <v>0.6</v>
      </c>
      <c r="Q333" s="2">
        <f>PasteHashtag!O333</f>
        <v>0.1</v>
      </c>
      <c r="R333" s="2">
        <f>PasteHashtag!P333</f>
        <v>0.5</v>
      </c>
      <c r="S333" s="2">
        <f>Mid(PasteHashtag!H333,FIND("/",PasteHashtag!H333)+1,LEN(PasteHashtag!H333)-FIND("/",PasteHashtag!H333)-1)*1</f>
        <v>2.7</v>
      </c>
      <c r="T333" s="344">
        <f>Mid(PasteHashtag!I333,FIND("/",PasteHashtag!I333)+1,LEN(PasteHashtag!I333)-FIND("/",PasteHashtag!I333)-1)*1</f>
        <v>0.3</v>
      </c>
    </row>
    <row r="334">
      <c r="A334" s="2">
        <v>333.0</v>
      </c>
      <c r="B334" s="2" t="str">
        <f>PasteHashtag!B334</f>
        <v/>
      </c>
      <c r="C334" s="343" t="str">
        <f>PasteHashtag!C334</f>
        <v>Johnny Furphy</v>
      </c>
      <c r="D334" s="2" t="str">
        <f>PasteHashtag!D334</f>
        <v>SG</v>
      </c>
      <c r="E334" s="2" t="str">
        <f>PasteHashtag!E334</f>
        <v>IND</v>
      </c>
      <c r="F334" s="2">
        <f>PasteHashtag!F334</f>
        <v>60</v>
      </c>
      <c r="G334" s="2">
        <f>PasteHashtag!G334</f>
        <v>18.6</v>
      </c>
      <c r="H334" s="2">
        <f>MID(PasteHashtag!H334,1+FIND("(",PasteHashtag!H334),FIND("/",PasteHashtag!H334)-FIND("(",PasteHashtag!H334)-1)*1</f>
        <v>1.7</v>
      </c>
      <c r="I334" s="2">
        <f>LEFT(PasteHashtag!H334,FIND("(",PasteHashtag!H334)-1)*1</f>
        <v>0.457</v>
      </c>
      <c r="J334" s="2">
        <f>MID(PasteHashtag!I334,1+FIND("(",PasteHashtag!I334),FIND("/",PasteHashtag!I334)-FIND("(",PasteHashtag!I334)-1)*1</f>
        <v>1.1</v>
      </c>
      <c r="K334" s="2">
        <f>LEFT(PasteHashtag!I334,FIND("(",PasteHashtag!I334)-1)*1</f>
        <v>0.761</v>
      </c>
      <c r="L334" s="2">
        <f>PasteHashtag!J334</f>
        <v>0.8</v>
      </c>
      <c r="M334" s="2">
        <f>PasteHashtag!K334</f>
        <v>5.1</v>
      </c>
      <c r="N334" s="2">
        <f>PasteHashtag!L334</f>
        <v>2.8</v>
      </c>
      <c r="O334" s="2">
        <f>PasteHashtag!M334</f>
        <v>0.6</v>
      </c>
      <c r="P334" s="2">
        <f>PasteHashtag!N334</f>
        <v>0.5</v>
      </c>
      <c r="Q334" s="2">
        <f>PasteHashtag!O334</f>
        <v>0.2</v>
      </c>
      <c r="R334" s="2">
        <f>PasteHashtag!P334</f>
        <v>0.5</v>
      </c>
      <c r="S334" s="2">
        <f>Mid(PasteHashtag!H334,FIND("/",PasteHashtag!H334)+1,LEN(PasteHashtag!H334)-FIND("/",PasteHashtag!H334)-1)*1</f>
        <v>3.6</v>
      </c>
      <c r="T334" s="344">
        <f>Mid(PasteHashtag!I334,FIND("/",PasteHashtag!I334)+1,LEN(PasteHashtag!I334)-FIND("/",PasteHashtag!I334)-1)*1</f>
        <v>1.4</v>
      </c>
    </row>
    <row r="335">
      <c r="A335" s="2">
        <v>334.0</v>
      </c>
      <c r="B335" s="2" t="str">
        <f>PasteHashtag!B335</f>
        <v/>
      </c>
      <c r="C335" s="343" t="str">
        <f>PasteHashtag!C335</f>
        <v>Ben Sheppard</v>
      </c>
      <c r="D335" s="2" t="str">
        <f>PasteHashtag!D335</f>
        <v>SG,SF</v>
      </c>
      <c r="E335" s="2" t="str">
        <f>PasteHashtag!E335</f>
        <v>IND</v>
      </c>
      <c r="F335" s="2">
        <f>PasteHashtag!F335</f>
        <v>56</v>
      </c>
      <c r="G335" s="2">
        <f>PasteHashtag!G335</f>
        <v>16.4</v>
      </c>
      <c r="H335" s="2">
        <f>MID(PasteHashtag!H335,1+FIND("(",PasteHashtag!H335),FIND("/",PasteHashtag!H335)-FIND("(",PasteHashtag!H335)-1)*1</f>
        <v>1.8</v>
      </c>
      <c r="I335" s="2">
        <f>LEFT(PasteHashtag!H335,FIND("(",PasteHashtag!H335)-1)*1</f>
        <v>0.393</v>
      </c>
      <c r="J335" s="2">
        <f>MID(PasteHashtag!I335,1+FIND("(",PasteHashtag!I335),FIND("/",PasteHashtag!I335)-FIND("(",PasteHashtag!I335)-1)*1</f>
        <v>0.5</v>
      </c>
      <c r="K335" s="2">
        <f>LEFT(PasteHashtag!I335,FIND("(",PasteHashtag!I335)-1)*1</f>
        <v>0.887</v>
      </c>
      <c r="L335" s="2">
        <f>PasteHashtag!J335</f>
        <v>1</v>
      </c>
      <c r="M335" s="2">
        <f>PasteHashtag!K335</f>
        <v>5.1</v>
      </c>
      <c r="N335" s="2">
        <f>PasteHashtag!L335</f>
        <v>1.8</v>
      </c>
      <c r="O335" s="2">
        <f>PasteHashtag!M335</f>
        <v>1.1</v>
      </c>
      <c r="P335" s="2">
        <f>PasteHashtag!N335</f>
        <v>0.7</v>
      </c>
      <c r="Q335" s="2">
        <f>PasteHashtag!O335</f>
        <v>0</v>
      </c>
      <c r="R335" s="2">
        <f>PasteHashtag!P335</f>
        <v>0.3</v>
      </c>
      <c r="S335" s="2">
        <f>Mid(PasteHashtag!H335,FIND("/",PasteHashtag!H335)+1,LEN(PasteHashtag!H335)-FIND("/",PasteHashtag!H335)-1)*1</f>
        <v>4.7</v>
      </c>
      <c r="T335" s="344">
        <f>Mid(PasteHashtag!I335,FIND("/",PasteHashtag!I335)+1,LEN(PasteHashtag!I335)-FIND("/",PasteHashtag!I335)-1)*1</f>
        <v>0.5</v>
      </c>
    </row>
    <row r="336">
      <c r="A336" s="2">
        <v>335.0</v>
      </c>
      <c r="B336" s="2" t="str">
        <f>PasteHashtag!B336</f>
        <v/>
      </c>
      <c r="C336" s="343" t="str">
        <f>PasteHashtag!C336</f>
        <v>Kenyon Martin Jr.</v>
      </c>
      <c r="D336" s="2" t="str">
        <f>PasteHashtag!D336</f>
        <v>SF,PF</v>
      </c>
      <c r="E336" s="2" t="str">
        <f>PasteHashtag!E336</f>
        <v>PHI</v>
      </c>
      <c r="F336" s="2">
        <f>PasteHashtag!F336</f>
        <v>44</v>
      </c>
      <c r="G336" s="2">
        <f>PasteHashtag!G336</f>
        <v>15.1</v>
      </c>
      <c r="H336" s="2">
        <f>MID(PasteHashtag!H336,1+FIND("(",PasteHashtag!H336),FIND("/",PasteHashtag!H336)-FIND("(",PasteHashtag!H336)-1)*1</f>
        <v>2.7</v>
      </c>
      <c r="I336" s="2">
        <f>LEFT(PasteHashtag!H336,FIND("(",PasteHashtag!H336)-1)*1</f>
        <v>0.562</v>
      </c>
      <c r="J336" s="2">
        <f>MID(PasteHashtag!I336,1+FIND("(",PasteHashtag!I336),FIND("/",PasteHashtag!I336)-FIND("(",PasteHashtag!I336)-1)*1</f>
        <v>0.9</v>
      </c>
      <c r="K336" s="2">
        <f>LEFT(PasteHashtag!I336,FIND("(",PasteHashtag!I336)-1)*1</f>
        <v>0.657</v>
      </c>
      <c r="L336" s="2">
        <f>PasteHashtag!J336</f>
        <v>0.4</v>
      </c>
      <c r="M336" s="2">
        <f>PasteHashtag!K336</f>
        <v>6.7</v>
      </c>
      <c r="N336" s="2">
        <f>PasteHashtag!L336</f>
        <v>3.1</v>
      </c>
      <c r="O336" s="2">
        <f>PasteHashtag!M336</f>
        <v>0.9</v>
      </c>
      <c r="P336" s="2">
        <f>PasteHashtag!N336</f>
        <v>0.3</v>
      </c>
      <c r="Q336" s="2">
        <f>PasteHashtag!O336</f>
        <v>0.2</v>
      </c>
      <c r="R336" s="2">
        <f>PasteHashtag!P336</f>
        <v>0.7</v>
      </c>
      <c r="S336" s="2">
        <f>Mid(PasteHashtag!H336,FIND("/",PasteHashtag!H336)+1,LEN(PasteHashtag!H336)-FIND("/",PasteHashtag!H336)-1)*1</f>
        <v>4.8</v>
      </c>
      <c r="T336" s="344">
        <f>Mid(PasteHashtag!I336,FIND("/",PasteHashtag!I336)+1,LEN(PasteHashtag!I336)-FIND("/",PasteHashtag!I336)-1)*1</f>
        <v>1.4</v>
      </c>
    </row>
    <row r="337">
      <c r="A337" s="2">
        <v>336.0</v>
      </c>
      <c r="B337" s="2" t="str">
        <f>PasteHashtag!B337</f>
        <v/>
      </c>
      <c r="C337" s="343" t="str">
        <f>PasteHashtag!C337</f>
        <v>Dwight Powell</v>
      </c>
      <c r="D337" s="2" t="str">
        <f>PasteHashtag!D337</f>
        <v>C</v>
      </c>
      <c r="E337" s="2" t="str">
        <f>PasteHashtag!E337</f>
        <v>DAL</v>
      </c>
      <c r="F337" s="2">
        <f>PasteHashtag!F337</f>
        <v>64</v>
      </c>
      <c r="G337" s="2">
        <f>PasteHashtag!G337</f>
        <v>13.4</v>
      </c>
      <c r="H337" s="2">
        <f>MID(PasteHashtag!H337,1+FIND("(",PasteHashtag!H337),FIND("/",PasteHashtag!H337)-FIND("(",PasteHashtag!H337)-1)*1</f>
        <v>1.6</v>
      </c>
      <c r="I337" s="2">
        <f>LEFT(PasteHashtag!H337,FIND("(",PasteHashtag!H337)-1)*1</f>
        <v>0.719</v>
      </c>
      <c r="J337" s="2">
        <f>MID(PasteHashtag!I337,1+FIND("(",PasteHashtag!I337),FIND("/",PasteHashtag!I337)-FIND("(",PasteHashtag!I337)-1)*1</f>
        <v>1</v>
      </c>
      <c r="K337" s="2">
        <f>LEFT(PasteHashtag!I337,FIND("(",PasteHashtag!I337)-1)*1</f>
        <v>0.678</v>
      </c>
      <c r="L337" s="2">
        <f>PasteHashtag!J337</f>
        <v>0</v>
      </c>
      <c r="M337" s="2">
        <f>PasteHashtag!K337</f>
        <v>4.2</v>
      </c>
      <c r="N337" s="2">
        <f>PasteHashtag!L337</f>
        <v>3.1</v>
      </c>
      <c r="O337" s="2">
        <f>PasteHashtag!M337</f>
        <v>0.9</v>
      </c>
      <c r="P337" s="2">
        <f>PasteHashtag!N337</f>
        <v>0.4</v>
      </c>
      <c r="Q337" s="2">
        <f>PasteHashtag!O337</f>
        <v>0.3</v>
      </c>
      <c r="R337" s="2">
        <f>PasteHashtag!P337</f>
        <v>0.6</v>
      </c>
      <c r="S337" s="2">
        <f>Mid(PasteHashtag!H337,FIND("/",PasteHashtag!H337)+1,LEN(PasteHashtag!H337)-FIND("/",PasteHashtag!H337)-1)*1</f>
        <v>2.2</v>
      </c>
      <c r="T337" s="344">
        <f>Mid(PasteHashtag!I337,FIND("/",PasteHashtag!I337)+1,LEN(PasteHashtag!I337)-FIND("/",PasteHashtag!I337)-1)*1</f>
        <v>1.5</v>
      </c>
    </row>
    <row r="338">
      <c r="A338" s="2">
        <v>337.0</v>
      </c>
      <c r="B338" s="2" t="str">
        <f>PasteHashtag!B338</f>
        <v/>
      </c>
      <c r="C338" s="343" t="str">
        <f>PasteHashtag!C338</f>
        <v>Yves Missi</v>
      </c>
      <c r="D338" s="2" t="str">
        <f>PasteHashtag!D338</f>
        <v>C</v>
      </c>
      <c r="E338" s="2" t="str">
        <f>PasteHashtag!E338</f>
        <v>NO</v>
      </c>
      <c r="F338" s="2">
        <f>PasteHashtag!F338</f>
        <v>60</v>
      </c>
      <c r="G338" s="2">
        <f>PasteHashtag!G338</f>
        <v>15.9</v>
      </c>
      <c r="H338" s="2">
        <f>MID(PasteHashtag!H338,1+FIND("(",PasteHashtag!H338),FIND("/",PasteHashtag!H338)-FIND("(",PasteHashtag!H338)-1)*1</f>
        <v>2.4</v>
      </c>
      <c r="I338" s="2">
        <f>LEFT(PasteHashtag!H338,FIND("(",PasteHashtag!H338)-1)*1</f>
        <v>0.614</v>
      </c>
      <c r="J338" s="2">
        <f>MID(PasteHashtag!I338,1+FIND("(",PasteHashtag!I338),FIND("/",PasteHashtag!I338)-FIND("(",PasteHashtag!I338)-1)*1</f>
        <v>1.5</v>
      </c>
      <c r="K338" s="2">
        <f>LEFT(PasteHashtag!I338,FIND("(",PasteHashtag!I338)-1)*1</f>
        <v>0.615</v>
      </c>
      <c r="L338" s="2">
        <f>PasteHashtag!J338</f>
        <v>0</v>
      </c>
      <c r="M338" s="2">
        <f>PasteHashtag!K338</f>
        <v>6.3</v>
      </c>
      <c r="N338" s="2">
        <f>PasteHashtag!L338</f>
        <v>3.3</v>
      </c>
      <c r="O338" s="2">
        <f>PasteHashtag!M338</f>
        <v>0.2</v>
      </c>
      <c r="P338" s="2">
        <f>PasteHashtag!N338</f>
        <v>0.4</v>
      </c>
      <c r="Q338" s="2">
        <f>PasteHashtag!O338</f>
        <v>0.9</v>
      </c>
      <c r="R338" s="2">
        <f>PasteHashtag!P338</f>
        <v>0.7</v>
      </c>
      <c r="S338" s="2">
        <f>Mid(PasteHashtag!H338,FIND("/",PasteHashtag!H338)+1,LEN(PasteHashtag!H338)-FIND("/",PasteHashtag!H338)-1)*1</f>
        <v>3.9</v>
      </c>
      <c r="T338" s="344">
        <f>Mid(PasteHashtag!I338,FIND("/",PasteHashtag!I338)+1,LEN(PasteHashtag!I338)-FIND("/",PasteHashtag!I338)-1)*1</f>
        <v>2.4</v>
      </c>
    </row>
    <row r="339">
      <c r="A339" s="2">
        <v>338.0</v>
      </c>
      <c r="B339" s="2" t="str">
        <f>PasteHashtag!B339</f>
        <v/>
      </c>
      <c r="C339" s="343" t="str">
        <f>PasteHashtag!C339</f>
        <v>Jake LaRavia</v>
      </c>
      <c r="D339" s="2" t="str">
        <f>PasteHashtag!D339</f>
        <v>SF,PF</v>
      </c>
      <c r="E339" s="2" t="str">
        <f>PasteHashtag!E339</f>
        <v>MEM</v>
      </c>
      <c r="F339" s="2">
        <f>PasteHashtag!F339</f>
        <v>35</v>
      </c>
      <c r="G339" s="2">
        <f>PasteHashtag!G339</f>
        <v>14.8</v>
      </c>
      <c r="H339" s="2">
        <f>MID(PasteHashtag!H339,1+FIND("(",PasteHashtag!H339),FIND("/",PasteHashtag!H339)-FIND("(",PasteHashtag!H339)-1)*1</f>
        <v>1.9</v>
      </c>
      <c r="I339" s="2">
        <f>LEFT(PasteHashtag!H339,FIND("(",PasteHashtag!H339)-1)*1</f>
        <v>0.389</v>
      </c>
      <c r="J339" s="2">
        <f>MID(PasteHashtag!I339,1+FIND("(",PasteHashtag!I339),FIND("/",PasteHashtag!I339)-FIND("(",PasteHashtag!I339)-1)*1</f>
        <v>1.2</v>
      </c>
      <c r="K339" s="2">
        <f>LEFT(PasteHashtag!I339,FIND("(",PasteHashtag!I339)-1)*1</f>
        <v>0.821</v>
      </c>
      <c r="L339" s="2">
        <f>PasteHashtag!J339</f>
        <v>0.9</v>
      </c>
      <c r="M339" s="2">
        <f>PasteHashtag!K339</f>
        <v>5.9</v>
      </c>
      <c r="N339" s="2">
        <f>PasteHashtag!L339</f>
        <v>2.3</v>
      </c>
      <c r="O339" s="2">
        <f>PasteHashtag!M339</f>
        <v>1</v>
      </c>
      <c r="P339" s="2">
        <f>PasteHashtag!N339</f>
        <v>0.5</v>
      </c>
      <c r="Q339" s="2">
        <f>PasteHashtag!O339</f>
        <v>0.2</v>
      </c>
      <c r="R339" s="2">
        <f>PasteHashtag!P339</f>
        <v>0.8</v>
      </c>
      <c r="S339" s="2">
        <f>Mid(PasteHashtag!H339,FIND("/",PasteHashtag!H339)+1,LEN(PasteHashtag!H339)-FIND("/",PasteHashtag!H339)-1)*1</f>
        <v>4.9</v>
      </c>
      <c r="T339" s="344">
        <f>Mid(PasteHashtag!I339,FIND("/",PasteHashtag!I339)+1,LEN(PasteHashtag!I339)-FIND("/",PasteHashtag!I339)-1)*1</f>
        <v>1.5</v>
      </c>
    </row>
    <row r="340">
      <c r="A340" s="2">
        <v>339.0</v>
      </c>
      <c r="B340" s="2">
        <f>PasteHashtag!B340</f>
        <v>142.7</v>
      </c>
      <c r="C340" s="343" t="str">
        <f>PasteHashtag!C340</f>
        <v>Kel'el Ware</v>
      </c>
      <c r="D340" s="2" t="str">
        <f>PasteHashtag!D340</f>
        <v>C</v>
      </c>
      <c r="E340" s="2" t="str">
        <f>PasteHashtag!E340</f>
        <v>MIA</v>
      </c>
      <c r="F340" s="2">
        <f>PasteHashtag!F340</f>
        <v>50</v>
      </c>
      <c r="G340" s="2">
        <f>PasteHashtag!G340</f>
        <v>16.1</v>
      </c>
      <c r="H340" s="2">
        <f>MID(PasteHashtag!H340,1+FIND("(",PasteHashtag!H340),FIND("/",PasteHashtag!H340)-FIND("(",PasteHashtag!H340)-1)*1</f>
        <v>2.5</v>
      </c>
      <c r="I340" s="2">
        <f>LEFT(PasteHashtag!H340,FIND("(",PasteHashtag!H340)-1)*1</f>
        <v>0.512</v>
      </c>
      <c r="J340" s="2">
        <f>MID(PasteHashtag!I340,1+FIND("(",PasteHashtag!I340),FIND("/",PasteHashtag!I340)-FIND("(",PasteHashtag!I340)-1)*1</f>
        <v>1.1</v>
      </c>
      <c r="K340" s="2">
        <f>LEFT(PasteHashtag!I340,FIND("(",PasteHashtag!I340)-1)*1</f>
        <v>0.633</v>
      </c>
      <c r="L340" s="2">
        <f>PasteHashtag!J340</f>
        <v>0.2</v>
      </c>
      <c r="M340" s="2">
        <f>PasteHashtag!K340</f>
        <v>6.3</v>
      </c>
      <c r="N340" s="2">
        <f>PasteHashtag!L340</f>
        <v>3.9</v>
      </c>
      <c r="O340" s="2">
        <f>PasteHashtag!M340</f>
        <v>0.6</v>
      </c>
      <c r="P340" s="2">
        <f>PasteHashtag!N340</f>
        <v>0.2</v>
      </c>
      <c r="Q340" s="2">
        <f>PasteHashtag!O340</f>
        <v>0.7</v>
      </c>
      <c r="R340" s="2">
        <f>PasteHashtag!P340</f>
        <v>0.6</v>
      </c>
      <c r="S340" s="2">
        <f>Mid(PasteHashtag!H340,FIND("/",PasteHashtag!H340)+1,LEN(PasteHashtag!H340)-FIND("/",PasteHashtag!H340)-1)*1</f>
        <v>4.8</v>
      </c>
      <c r="T340" s="344">
        <f>Mid(PasteHashtag!I340,FIND("/",PasteHashtag!I340)+1,LEN(PasteHashtag!I340)-FIND("/",PasteHashtag!I340)-1)*1</f>
        <v>1.8</v>
      </c>
    </row>
    <row r="341">
      <c r="A341" s="2">
        <v>340.0</v>
      </c>
      <c r="B341" s="2" t="str">
        <f>PasteHashtag!B341</f>
        <v/>
      </c>
      <c r="C341" s="343" t="str">
        <f>PasteHashtag!C341</f>
        <v>Tristan Da Silva</v>
      </c>
      <c r="D341" s="2" t="str">
        <f>PasteHashtag!D341</f>
        <v>SF</v>
      </c>
      <c r="E341" s="2" t="str">
        <f>PasteHashtag!E341</f>
        <v>ORL</v>
      </c>
      <c r="F341" s="2">
        <f>PasteHashtag!F341</f>
        <v>52</v>
      </c>
      <c r="G341" s="2">
        <f>PasteHashtag!G341</f>
        <v>15.2</v>
      </c>
      <c r="H341" s="2">
        <f>MID(PasteHashtag!H341,1+FIND("(",PasteHashtag!H341),FIND("/",PasteHashtag!H341)-FIND("(",PasteHashtag!H341)-1)*1</f>
        <v>1.9</v>
      </c>
      <c r="I341" s="2">
        <f>LEFT(PasteHashtag!H341,FIND("(",PasteHashtag!H341)-1)*1</f>
        <v>0.492</v>
      </c>
      <c r="J341" s="2">
        <f>MID(PasteHashtag!I341,1+FIND("(",PasteHashtag!I341),FIND("/",PasteHashtag!I341)-FIND("(",PasteHashtag!I341)-1)*1</f>
        <v>0.9</v>
      </c>
      <c r="K341" s="2">
        <f>LEFT(PasteHashtag!I341,FIND("(",PasteHashtag!I341)-1)*1</f>
        <v>0.833</v>
      </c>
      <c r="L341" s="2">
        <f>PasteHashtag!J341</f>
        <v>0.6</v>
      </c>
      <c r="M341" s="2">
        <f>PasteHashtag!K341</f>
        <v>5.4</v>
      </c>
      <c r="N341" s="2">
        <f>PasteHashtag!L341</f>
        <v>1.7</v>
      </c>
      <c r="O341" s="2">
        <f>PasteHashtag!M341</f>
        <v>0.8</v>
      </c>
      <c r="P341" s="2">
        <f>PasteHashtag!N341</f>
        <v>0.4</v>
      </c>
      <c r="Q341" s="2">
        <f>PasteHashtag!O341</f>
        <v>0.2</v>
      </c>
      <c r="R341" s="2">
        <f>PasteHashtag!P341</f>
        <v>0.6</v>
      </c>
      <c r="S341" s="2">
        <f>Mid(PasteHashtag!H341,FIND("/",PasteHashtag!H341)+1,LEN(PasteHashtag!H341)-FIND("/",PasteHashtag!H341)-1)*1</f>
        <v>3.9</v>
      </c>
      <c r="T341" s="344">
        <f>Mid(PasteHashtag!I341,FIND("/",PasteHashtag!I341)+1,LEN(PasteHashtag!I341)-FIND("/",PasteHashtag!I341)-1)*1</f>
        <v>1</v>
      </c>
    </row>
    <row r="342">
      <c r="A342" s="2">
        <v>341.0</v>
      </c>
      <c r="B342" s="2">
        <f>PasteHashtag!B342</f>
        <v>142.3</v>
      </c>
      <c r="C342" s="343" t="str">
        <f>PasteHashtag!C342</f>
        <v>Simone Fontecchio</v>
      </c>
      <c r="D342" s="2" t="str">
        <f>PasteHashtag!D342</f>
        <v>SF,PF</v>
      </c>
      <c r="E342" s="2" t="str">
        <f>PasteHashtag!E342</f>
        <v>DET</v>
      </c>
      <c r="F342" s="2">
        <f>PasteHashtag!F342</f>
        <v>40</v>
      </c>
      <c r="G342" s="2">
        <f>PasteHashtag!G342</f>
        <v>14.4</v>
      </c>
      <c r="H342" s="2">
        <f>MID(PasteHashtag!H342,1+FIND("(",PasteHashtag!H342),FIND("/",PasteHashtag!H342)-FIND("(",PasteHashtag!H342)-1)*1</f>
        <v>2.2</v>
      </c>
      <c r="I342" s="2">
        <f>LEFT(PasteHashtag!H342,FIND("(",PasteHashtag!H342)-1)*1</f>
        <v>0.426</v>
      </c>
      <c r="J342" s="2">
        <f>MID(PasteHashtag!I342,1+FIND("(",PasteHashtag!I342),FIND("/",PasteHashtag!I342)-FIND("(",PasteHashtag!I342)-1)*1</f>
        <v>0.5</v>
      </c>
      <c r="K342" s="2">
        <f>LEFT(PasteHashtag!I342,FIND("(",PasteHashtag!I342)-1)*1</f>
        <v>0.818</v>
      </c>
      <c r="L342" s="2">
        <f>PasteHashtag!J342</f>
        <v>1.2</v>
      </c>
      <c r="M342" s="2">
        <f>PasteHashtag!K342</f>
        <v>6.2</v>
      </c>
      <c r="N342" s="2">
        <f>PasteHashtag!L342</f>
        <v>2</v>
      </c>
      <c r="O342" s="2">
        <f>PasteHashtag!M342</f>
        <v>0.9</v>
      </c>
      <c r="P342" s="2">
        <f>PasteHashtag!N342</f>
        <v>0.4</v>
      </c>
      <c r="Q342" s="2">
        <f>PasteHashtag!O342</f>
        <v>0.2</v>
      </c>
      <c r="R342" s="2">
        <f>PasteHashtag!P342</f>
        <v>0.7</v>
      </c>
      <c r="S342" s="2">
        <f>Mid(PasteHashtag!H342,FIND("/",PasteHashtag!H342)+1,LEN(PasteHashtag!H342)-FIND("/",PasteHashtag!H342)-1)*1</f>
        <v>5.2</v>
      </c>
      <c r="T342" s="344">
        <f>Mid(PasteHashtag!I342,FIND("/",PasteHashtag!I342)+1,LEN(PasteHashtag!I342)-FIND("/",PasteHashtag!I342)-1)*1</f>
        <v>0.7</v>
      </c>
    </row>
    <row r="343">
      <c r="A343" s="2">
        <v>342.0</v>
      </c>
      <c r="B343" s="2" t="str">
        <f>PasteHashtag!B343</f>
        <v/>
      </c>
      <c r="C343" s="343" t="str">
        <f>PasteHashtag!C343</f>
        <v>Jaden Hardy</v>
      </c>
      <c r="D343" s="2" t="str">
        <f>PasteHashtag!D343</f>
        <v>PG,SG</v>
      </c>
      <c r="E343" s="2" t="str">
        <f>PasteHashtag!E343</f>
        <v>DAL</v>
      </c>
      <c r="F343" s="2">
        <f>PasteHashtag!F343</f>
        <v>71</v>
      </c>
      <c r="G343" s="2">
        <f>PasteHashtag!G343</f>
        <v>14.2</v>
      </c>
      <c r="H343" s="2">
        <f>MID(PasteHashtag!H343,1+FIND("(",PasteHashtag!H343),FIND("/",PasteHashtag!H343)-FIND("(",PasteHashtag!H343)-1)*1</f>
        <v>2.9</v>
      </c>
      <c r="I343" s="2">
        <f>LEFT(PasteHashtag!H343,FIND("(",PasteHashtag!H343)-1)*1</f>
        <v>0.42</v>
      </c>
      <c r="J343" s="2">
        <f>MID(PasteHashtag!I343,1+FIND("(",PasteHashtag!I343),FIND("/",PasteHashtag!I343)-FIND("(",PasteHashtag!I343)-1)*1</f>
        <v>1.1</v>
      </c>
      <c r="K343" s="2">
        <f>LEFT(PasteHashtag!I343,FIND("(",PasteHashtag!I343)-1)*1</f>
        <v>0.802</v>
      </c>
      <c r="L343" s="2">
        <f>PasteHashtag!J343</f>
        <v>1.2</v>
      </c>
      <c r="M343" s="2">
        <f>PasteHashtag!K343</f>
        <v>8</v>
      </c>
      <c r="N343" s="2">
        <f>PasteHashtag!L343</f>
        <v>1.9</v>
      </c>
      <c r="O343" s="2">
        <f>PasteHashtag!M343</f>
        <v>1.5</v>
      </c>
      <c r="P343" s="2">
        <f>PasteHashtag!N343</f>
        <v>0.3</v>
      </c>
      <c r="Q343" s="2">
        <f>PasteHashtag!O343</f>
        <v>0.1</v>
      </c>
      <c r="R343" s="2">
        <f>PasteHashtag!P343</f>
        <v>0.9</v>
      </c>
      <c r="S343" s="2">
        <f>Mid(PasteHashtag!H343,FIND("/",PasteHashtag!H343)+1,LEN(PasteHashtag!H343)-FIND("/",PasteHashtag!H343)-1)*1</f>
        <v>6.9</v>
      </c>
      <c r="T343" s="344">
        <f>Mid(PasteHashtag!I343,FIND("/",PasteHashtag!I343)+1,LEN(PasteHashtag!I343)-FIND("/",PasteHashtag!I343)-1)*1</f>
        <v>1.3</v>
      </c>
    </row>
    <row r="344">
      <c r="A344" s="2">
        <v>343.0</v>
      </c>
      <c r="B344" s="2" t="str">
        <f>PasteHashtag!B344</f>
        <v/>
      </c>
      <c r="C344" s="343" t="str">
        <f>PasteHashtag!C344</f>
        <v>Bobi Klintman</v>
      </c>
      <c r="D344" s="2" t="str">
        <f>PasteHashtag!D344</f>
        <v>PF</v>
      </c>
      <c r="E344" s="2" t="str">
        <f>PasteHashtag!E344</f>
        <v>DET</v>
      </c>
      <c r="F344" s="2">
        <f>PasteHashtag!F344</f>
        <v>44</v>
      </c>
      <c r="G344" s="2">
        <f>PasteHashtag!G344</f>
        <v>15.1</v>
      </c>
      <c r="H344" s="2">
        <f>MID(PasteHashtag!H344,1+FIND("(",PasteHashtag!H344),FIND("/",PasteHashtag!H344)-FIND("(",PasteHashtag!H344)-1)*1</f>
        <v>1.8</v>
      </c>
      <c r="I344" s="2">
        <f>LEFT(PasteHashtag!H344,FIND("(",PasteHashtag!H344)-1)*1</f>
        <v>0.439</v>
      </c>
      <c r="J344" s="2">
        <f>MID(PasteHashtag!I344,1+FIND("(",PasteHashtag!I344),FIND("/",PasteHashtag!I344)-FIND("(",PasteHashtag!I344)-1)*1</f>
        <v>1.1</v>
      </c>
      <c r="K344" s="2">
        <f>LEFT(PasteHashtag!I344,FIND("(",PasteHashtag!I344)-1)*1</f>
        <v>0.786</v>
      </c>
      <c r="L344" s="2">
        <f>PasteHashtag!J344</f>
        <v>0.7</v>
      </c>
      <c r="M344" s="2">
        <f>PasteHashtag!K344</f>
        <v>5.3</v>
      </c>
      <c r="N344" s="2">
        <f>PasteHashtag!L344</f>
        <v>2.7</v>
      </c>
      <c r="O344" s="2">
        <f>PasteHashtag!M344</f>
        <v>0.4</v>
      </c>
      <c r="P344" s="2">
        <f>PasteHashtag!N344</f>
        <v>0.4</v>
      </c>
      <c r="Q344" s="2">
        <f>PasteHashtag!O344</f>
        <v>0.3</v>
      </c>
      <c r="R344" s="2">
        <f>PasteHashtag!P344</f>
        <v>0.9</v>
      </c>
      <c r="S344" s="2">
        <f>Mid(PasteHashtag!H344,FIND("/",PasteHashtag!H344)+1,LEN(PasteHashtag!H344)-FIND("/",PasteHashtag!H344)-1)*1</f>
        <v>4</v>
      </c>
      <c r="T344" s="344">
        <f>Mid(PasteHashtag!I344,FIND("/",PasteHashtag!I344)+1,LEN(PasteHashtag!I344)-FIND("/",PasteHashtag!I344)-1)*1</f>
        <v>1.4</v>
      </c>
    </row>
    <row r="345">
      <c r="A345" s="2">
        <v>344.0</v>
      </c>
      <c r="B345" s="2" t="str">
        <f>PasteHashtag!B345</f>
        <v/>
      </c>
      <c r="C345" s="343" t="str">
        <f>PasteHashtag!C345</f>
        <v>Jevon Carter</v>
      </c>
      <c r="D345" s="2" t="str">
        <f>PasteHashtag!D345</f>
        <v>PG,SG</v>
      </c>
      <c r="E345" s="2" t="str">
        <f>PasteHashtag!E345</f>
        <v>CHI</v>
      </c>
      <c r="F345" s="2">
        <f>PasteHashtag!F345</f>
        <v>64</v>
      </c>
      <c r="G345" s="2">
        <f>PasteHashtag!G345</f>
        <v>13.2</v>
      </c>
      <c r="H345" s="2">
        <f>MID(PasteHashtag!H345,1+FIND("(",PasteHashtag!H345),FIND("/",PasteHashtag!H345)-FIND("(",PasteHashtag!H345)-1)*1</f>
        <v>1.8</v>
      </c>
      <c r="I345" s="2">
        <f>LEFT(PasteHashtag!H345,FIND("(",PasteHashtag!H345)-1)*1</f>
        <v>0.406</v>
      </c>
      <c r="J345" s="2">
        <f>MID(PasteHashtag!I345,1+FIND("(",PasteHashtag!I345),FIND("/",PasteHashtag!I345)-FIND("(",PasteHashtag!I345)-1)*1</f>
        <v>0.2</v>
      </c>
      <c r="K345" s="2">
        <f>LEFT(PasteHashtag!I345,FIND("(",PasteHashtag!I345)-1)*1</f>
        <v>0.81</v>
      </c>
      <c r="L345" s="2">
        <f>PasteHashtag!J345</f>
        <v>1</v>
      </c>
      <c r="M345" s="2">
        <f>PasteHashtag!K345</f>
        <v>4.8</v>
      </c>
      <c r="N345" s="2">
        <f>PasteHashtag!L345</f>
        <v>1.2</v>
      </c>
      <c r="O345" s="2">
        <f>PasteHashtag!M345</f>
        <v>1.4</v>
      </c>
      <c r="P345" s="2">
        <f>PasteHashtag!N345</f>
        <v>0.5</v>
      </c>
      <c r="Q345" s="2">
        <f>PasteHashtag!O345</f>
        <v>0.2</v>
      </c>
      <c r="R345" s="2">
        <f>PasteHashtag!P345</f>
        <v>0.5</v>
      </c>
      <c r="S345" s="2">
        <f>Mid(PasteHashtag!H345,FIND("/",PasteHashtag!H345)+1,LEN(PasteHashtag!H345)-FIND("/",PasteHashtag!H345)-1)*1</f>
        <v>4.4</v>
      </c>
      <c r="T345" s="344">
        <f>Mid(PasteHashtag!I345,FIND("/",PasteHashtag!I345)+1,LEN(PasteHashtag!I345)-FIND("/",PasteHashtag!I345)-1)*1</f>
        <v>0.2</v>
      </c>
    </row>
    <row r="346">
      <c r="A346" s="2">
        <v>345.0</v>
      </c>
      <c r="B346" s="2" t="str">
        <f>PasteHashtag!B346</f>
        <v/>
      </c>
      <c r="C346" s="343" t="str">
        <f>PasteHashtag!C346</f>
        <v>Tidjane Salaun</v>
      </c>
      <c r="D346" s="2" t="str">
        <f>PasteHashtag!D346</f>
        <v>PF</v>
      </c>
      <c r="E346" s="2" t="str">
        <f>PasteHashtag!E346</f>
        <v>CHA</v>
      </c>
      <c r="F346" s="2">
        <f>PasteHashtag!F346</f>
        <v>60</v>
      </c>
      <c r="G346" s="2">
        <f>PasteHashtag!G346</f>
        <v>18.9</v>
      </c>
      <c r="H346" s="2">
        <f>MID(PasteHashtag!H346,1+FIND("(",PasteHashtag!H346),FIND("/",PasteHashtag!H346)-FIND("(",PasteHashtag!H346)-1)*1</f>
        <v>2</v>
      </c>
      <c r="I346" s="2">
        <f>LEFT(PasteHashtag!H346,FIND("(",PasteHashtag!H346)-1)*1</f>
        <v>0.404</v>
      </c>
      <c r="J346" s="2">
        <f>MID(PasteHashtag!I346,1+FIND("(",PasteHashtag!I346),FIND("/",PasteHashtag!I346)-FIND("(",PasteHashtag!I346)-1)*1</f>
        <v>1</v>
      </c>
      <c r="K346" s="2">
        <f>LEFT(PasteHashtag!I346,FIND("(",PasteHashtag!I346)-1)*1</f>
        <v>0.776</v>
      </c>
      <c r="L346" s="2">
        <f>PasteHashtag!J346</f>
        <v>0.8</v>
      </c>
      <c r="M346" s="2">
        <f>PasteHashtag!K346</f>
        <v>5.9</v>
      </c>
      <c r="N346" s="2">
        <f>PasteHashtag!L346</f>
        <v>2.4</v>
      </c>
      <c r="O346" s="2">
        <f>PasteHashtag!M346</f>
        <v>0.6</v>
      </c>
      <c r="P346" s="2">
        <f>PasteHashtag!N346</f>
        <v>0.7</v>
      </c>
      <c r="Q346" s="2">
        <f>PasteHashtag!O346</f>
        <v>0.1</v>
      </c>
      <c r="R346" s="2">
        <f>PasteHashtag!P346</f>
        <v>0.8</v>
      </c>
      <c r="S346" s="2">
        <f>Mid(PasteHashtag!H346,FIND("/",PasteHashtag!H346)+1,LEN(PasteHashtag!H346)-FIND("/",PasteHashtag!H346)-1)*1</f>
        <v>5</v>
      </c>
      <c r="T346" s="344">
        <f>Mid(PasteHashtag!I346,FIND("/",PasteHashtag!I346)+1,LEN(PasteHashtag!I346)-FIND("/",PasteHashtag!I346)-1)*1</f>
        <v>1.3</v>
      </c>
    </row>
    <row r="347">
      <c r="A347" s="2">
        <v>346.0</v>
      </c>
      <c r="B347" s="2" t="str">
        <f>PasteHashtag!B347</f>
        <v/>
      </c>
      <c r="C347" s="343" t="str">
        <f>PasteHashtag!C347</f>
        <v>Tyler Smith</v>
      </c>
      <c r="D347" s="2" t="str">
        <f>PasteHashtag!D347</f>
        <v>PF</v>
      </c>
      <c r="E347" s="2" t="str">
        <f>PasteHashtag!E347</f>
        <v>MIL</v>
      </c>
      <c r="F347" s="2">
        <f>PasteHashtag!F347</f>
        <v>50</v>
      </c>
      <c r="G347" s="2">
        <f>PasteHashtag!G347</f>
        <v>12.1</v>
      </c>
      <c r="H347" s="2">
        <f>MID(PasteHashtag!H347,1+FIND("(",PasteHashtag!H347),FIND("/",PasteHashtag!H347)-FIND("(",PasteHashtag!H347)-1)*1</f>
        <v>2</v>
      </c>
      <c r="I347" s="2">
        <f>LEFT(PasteHashtag!H347,FIND("(",PasteHashtag!H347)-1)*1</f>
        <v>0.483</v>
      </c>
      <c r="J347" s="2">
        <f>MID(PasteHashtag!I347,1+FIND("(",PasteHashtag!I347),FIND("/",PasteHashtag!I347)-FIND("(",PasteHashtag!I347)-1)*1</f>
        <v>0.6</v>
      </c>
      <c r="K347" s="2">
        <f>LEFT(PasteHashtag!I347,FIND("(",PasteHashtag!I347)-1)*1</f>
        <v>0.731</v>
      </c>
      <c r="L347" s="2">
        <f>PasteHashtag!J347</f>
        <v>0.6</v>
      </c>
      <c r="M347" s="2">
        <f>PasteHashtag!K347</f>
        <v>5.5</v>
      </c>
      <c r="N347" s="2">
        <f>PasteHashtag!L347</f>
        <v>2.1</v>
      </c>
      <c r="O347" s="2">
        <f>PasteHashtag!M347</f>
        <v>0.5</v>
      </c>
      <c r="P347" s="2">
        <f>PasteHashtag!N347</f>
        <v>0.3</v>
      </c>
      <c r="Q347" s="2">
        <f>PasteHashtag!O347</f>
        <v>0.4</v>
      </c>
      <c r="R347" s="2">
        <f>PasteHashtag!P347</f>
        <v>0.5</v>
      </c>
      <c r="S347" s="2">
        <f>Mid(PasteHashtag!H347,FIND("/",PasteHashtag!H347)+1,LEN(PasteHashtag!H347)-FIND("/",PasteHashtag!H347)-1)*1</f>
        <v>4.1</v>
      </c>
      <c r="T347" s="344">
        <f>Mid(PasteHashtag!I347,FIND("/",PasteHashtag!I347)+1,LEN(PasteHashtag!I347)-FIND("/",PasteHashtag!I347)-1)*1</f>
        <v>0.8</v>
      </c>
    </row>
    <row r="348">
      <c r="A348" s="2">
        <v>347.0</v>
      </c>
      <c r="B348" s="2" t="str">
        <f>PasteHashtag!B348</f>
        <v/>
      </c>
      <c r="C348" s="343" t="str">
        <f>PasteHashtag!C348</f>
        <v>Andre Jackson Jr.</v>
      </c>
      <c r="D348" s="2" t="str">
        <f>PasteHashtag!D348</f>
        <v>SG,SF</v>
      </c>
      <c r="E348" s="2" t="str">
        <f>PasteHashtag!E348</f>
        <v>MIL</v>
      </c>
      <c r="F348" s="2">
        <f>PasteHashtag!F348</f>
        <v>50</v>
      </c>
      <c r="G348" s="2">
        <f>PasteHashtag!G348</f>
        <v>14.2</v>
      </c>
      <c r="H348" s="2">
        <f>MID(PasteHashtag!H348,1+FIND("(",PasteHashtag!H348),FIND("/",PasteHashtag!H348)-FIND("(",PasteHashtag!H348)-1)*1</f>
        <v>1.3</v>
      </c>
      <c r="I348" s="2">
        <f>LEFT(PasteHashtag!H348,FIND("(",PasteHashtag!H348)-1)*1</f>
        <v>0.498</v>
      </c>
      <c r="J348" s="2">
        <f>MID(PasteHashtag!I348,1+FIND("(",PasteHashtag!I348),FIND("/",PasteHashtag!I348)-FIND("(",PasteHashtag!I348)-1)*1</f>
        <v>0.2</v>
      </c>
      <c r="K348" s="2">
        <f>LEFT(PasteHashtag!I348,FIND("(",PasteHashtag!I348)-1)*1</f>
        <v>0.714</v>
      </c>
      <c r="L348" s="2">
        <f>PasteHashtag!J348</f>
        <v>0.4</v>
      </c>
      <c r="M348" s="2">
        <f>PasteHashtag!K348</f>
        <v>3.1</v>
      </c>
      <c r="N348" s="2">
        <f>PasteHashtag!L348</f>
        <v>2.8</v>
      </c>
      <c r="O348" s="2">
        <f>PasteHashtag!M348</f>
        <v>1.3</v>
      </c>
      <c r="P348" s="2">
        <f>PasteHashtag!N348</f>
        <v>0.4</v>
      </c>
      <c r="Q348" s="2">
        <f>PasteHashtag!O348</f>
        <v>0.2</v>
      </c>
      <c r="R348" s="2">
        <f>PasteHashtag!P348</f>
        <v>0.7</v>
      </c>
      <c r="S348" s="2">
        <f>Mid(PasteHashtag!H348,FIND("/",PasteHashtag!H348)+1,LEN(PasteHashtag!H348)-FIND("/",PasteHashtag!H348)-1)*1</f>
        <v>2.5</v>
      </c>
      <c r="T348" s="344">
        <f>Mid(PasteHashtag!I348,FIND("/",PasteHashtag!I348)+1,LEN(PasteHashtag!I348)-FIND("/",PasteHashtag!I348)-1)*1</f>
        <v>0.3</v>
      </c>
    </row>
    <row r="349">
      <c r="A349" s="2">
        <v>348.0</v>
      </c>
      <c r="B349" s="2" t="str">
        <f>PasteHashtag!B349</f>
        <v/>
      </c>
      <c r="C349" s="343" t="str">
        <f>PasteHashtag!C349</f>
        <v>Jaylon Tyson</v>
      </c>
      <c r="D349" s="2" t="str">
        <f>PasteHashtag!D349</f>
        <v>SG</v>
      </c>
      <c r="E349" s="2" t="str">
        <f>PasteHashtag!E349</f>
        <v>CLE</v>
      </c>
      <c r="F349" s="2">
        <f>PasteHashtag!F349</f>
        <v>30</v>
      </c>
      <c r="G349" s="2">
        <f>PasteHashtag!G349</f>
        <v>15.4</v>
      </c>
      <c r="H349" s="2">
        <f>MID(PasteHashtag!H349,1+FIND("(",PasteHashtag!H349),FIND("/",PasteHashtag!H349)-FIND("(",PasteHashtag!H349)-1)*1</f>
        <v>2.3</v>
      </c>
      <c r="I349" s="2">
        <f>LEFT(PasteHashtag!H349,FIND("(",PasteHashtag!H349)-1)*1</f>
        <v>0.452</v>
      </c>
      <c r="J349" s="2">
        <f>MID(PasteHashtag!I349,1+FIND("(",PasteHashtag!I349),FIND("/",PasteHashtag!I349)-FIND("(",PasteHashtag!I349)-1)*1</f>
        <v>1.2</v>
      </c>
      <c r="K349" s="2">
        <f>LEFT(PasteHashtag!I349,FIND("(",PasteHashtag!I349)-1)*1</f>
        <v>0.779</v>
      </c>
      <c r="L349" s="2">
        <f>PasteHashtag!J349</f>
        <v>0.5</v>
      </c>
      <c r="M349" s="2">
        <f>PasteHashtag!K349</f>
        <v>6.4</v>
      </c>
      <c r="N349" s="2">
        <f>PasteHashtag!L349</f>
        <v>2.3</v>
      </c>
      <c r="O349" s="2">
        <f>PasteHashtag!M349</f>
        <v>1.2</v>
      </c>
      <c r="P349" s="2">
        <f>PasteHashtag!N349</f>
        <v>0.4</v>
      </c>
      <c r="Q349" s="2">
        <f>PasteHashtag!O349</f>
        <v>0.2</v>
      </c>
      <c r="R349" s="2">
        <f>PasteHashtag!P349</f>
        <v>1</v>
      </c>
      <c r="S349" s="2">
        <f>Mid(PasteHashtag!H349,FIND("/",PasteHashtag!H349)+1,LEN(PasteHashtag!H349)-FIND("/",PasteHashtag!H349)-1)*1</f>
        <v>5.2</v>
      </c>
      <c r="T349" s="344">
        <f>Mid(PasteHashtag!I349,FIND("/",PasteHashtag!I349)+1,LEN(PasteHashtag!I349)-FIND("/",PasteHashtag!I349)-1)*1</f>
        <v>1.5</v>
      </c>
    </row>
    <row r="350">
      <c r="A350" s="2">
        <v>349.0</v>
      </c>
      <c r="B350" s="2" t="str">
        <f>PasteHashtag!B350</f>
        <v/>
      </c>
      <c r="C350" s="343" t="str">
        <f>PasteHashtag!C350</f>
        <v>Keon Johnson</v>
      </c>
      <c r="D350" s="2" t="str">
        <f>PasteHashtag!D350</f>
        <v>PG,SG</v>
      </c>
      <c r="E350" s="2" t="str">
        <f>PasteHashtag!E350</f>
        <v>BKN</v>
      </c>
      <c r="F350" s="2">
        <f>PasteHashtag!F350</f>
        <v>40</v>
      </c>
      <c r="G350" s="2">
        <f>PasteHashtag!G350</f>
        <v>14.9</v>
      </c>
      <c r="H350" s="2">
        <f>MID(PasteHashtag!H350,1+FIND("(",PasteHashtag!H350),FIND("/",PasteHashtag!H350)-FIND("(",PasteHashtag!H350)-1)*1</f>
        <v>2.4</v>
      </c>
      <c r="I350" s="2">
        <f>LEFT(PasteHashtag!H350,FIND("(",PasteHashtag!H350)-1)*1</f>
        <v>0.376</v>
      </c>
      <c r="J350" s="2">
        <f>MID(PasteHashtag!I350,1+FIND("(",PasteHashtag!I350),FIND("/",PasteHashtag!I350)-FIND("(",PasteHashtag!I350)-1)*1</f>
        <v>1.2</v>
      </c>
      <c r="K350" s="2">
        <f>LEFT(PasteHashtag!I350,FIND("(",PasteHashtag!I350)-1)*1</f>
        <v>0.719</v>
      </c>
      <c r="L350" s="2">
        <f>PasteHashtag!J350</f>
        <v>1</v>
      </c>
      <c r="M350" s="2">
        <f>PasteHashtag!K350</f>
        <v>6.9</v>
      </c>
      <c r="N350" s="2">
        <f>PasteHashtag!L350</f>
        <v>1.6</v>
      </c>
      <c r="O350" s="2">
        <f>PasteHashtag!M350</f>
        <v>2</v>
      </c>
      <c r="P350" s="2">
        <f>PasteHashtag!N350</f>
        <v>0.7</v>
      </c>
      <c r="Q350" s="2">
        <f>PasteHashtag!O350</f>
        <v>0.2</v>
      </c>
      <c r="R350" s="2">
        <f>PasteHashtag!P350</f>
        <v>1.5</v>
      </c>
      <c r="S350" s="2">
        <f>Mid(PasteHashtag!H350,FIND("/",PasteHashtag!H350)+1,LEN(PasteHashtag!H350)-FIND("/",PasteHashtag!H350)-1)*1</f>
        <v>6.3</v>
      </c>
      <c r="T350" s="344">
        <f>Mid(PasteHashtag!I350,FIND("/",PasteHashtag!I350)+1,LEN(PasteHashtag!I350)-FIND("/",PasteHashtag!I350)-1)*1</f>
        <v>1.7</v>
      </c>
    </row>
    <row r="351">
      <c r="A351" s="2">
        <v>350.0</v>
      </c>
      <c r="B351" s="2" t="str">
        <f>PasteHashtag!B351</f>
        <v/>
      </c>
      <c r="C351" s="343" t="str">
        <f>PasteHashtag!C351</f>
        <v>Chris Duarte</v>
      </c>
      <c r="D351" s="2" t="str">
        <f>PasteHashtag!D351</f>
        <v>SG</v>
      </c>
      <c r="E351" s="2" t="str">
        <f>PasteHashtag!E351</f>
        <v>CHI</v>
      </c>
      <c r="F351" s="2">
        <f>PasteHashtag!F351</f>
        <v>50</v>
      </c>
      <c r="G351" s="2">
        <f>PasteHashtag!G351</f>
        <v>15</v>
      </c>
      <c r="H351" s="2">
        <f>MID(PasteHashtag!H351,1+FIND("(",PasteHashtag!H351),FIND("/",PasteHashtag!H351)-FIND("(",PasteHashtag!H351)-1)*1</f>
        <v>1.9</v>
      </c>
      <c r="I351" s="2">
        <f>LEFT(PasteHashtag!H351,FIND("(",PasteHashtag!H351)-1)*1</f>
        <v>0.373</v>
      </c>
      <c r="J351" s="2">
        <f>MID(PasteHashtag!I351,1+FIND("(",PasteHashtag!I351),FIND("/",PasteHashtag!I351)-FIND("(",PasteHashtag!I351)-1)*1</f>
        <v>0.8</v>
      </c>
      <c r="K351" s="2">
        <f>LEFT(PasteHashtag!I351,FIND("(",PasteHashtag!I351)-1)*1</f>
        <v>0.837</v>
      </c>
      <c r="L351" s="2">
        <f>PasteHashtag!J351</f>
        <v>0.9</v>
      </c>
      <c r="M351" s="2">
        <f>PasteHashtag!K351</f>
        <v>5.6</v>
      </c>
      <c r="N351" s="2">
        <f>PasteHashtag!L351</f>
        <v>2.1</v>
      </c>
      <c r="O351" s="2">
        <f>PasteHashtag!M351</f>
        <v>1</v>
      </c>
      <c r="P351" s="2">
        <f>PasteHashtag!N351</f>
        <v>0.5</v>
      </c>
      <c r="Q351" s="2">
        <f>PasteHashtag!O351</f>
        <v>0.2</v>
      </c>
      <c r="R351" s="2">
        <f>PasteHashtag!P351</f>
        <v>0.6</v>
      </c>
      <c r="S351" s="2">
        <f>Mid(PasteHashtag!H351,FIND("/",PasteHashtag!H351)+1,LEN(PasteHashtag!H351)-FIND("/",PasteHashtag!H351)-1)*1</f>
        <v>5.1</v>
      </c>
      <c r="T351" s="344">
        <f>Mid(PasteHashtag!I351,FIND("/",PasteHashtag!I351)+1,LEN(PasteHashtag!I351)-FIND("/",PasteHashtag!I351)-1)*1</f>
        <v>1</v>
      </c>
    </row>
    <row r="352">
      <c r="A352" s="2">
        <v>351.0</v>
      </c>
      <c r="B352" s="2" t="str">
        <f>PasteHashtag!B352</f>
        <v/>
      </c>
      <c r="C352" s="343" t="str">
        <f>PasteHashtag!C352</f>
        <v>Alex Len</v>
      </c>
      <c r="D352" s="2" t="str">
        <f>PasteHashtag!D352</f>
        <v>C</v>
      </c>
      <c r="E352" s="2" t="str">
        <f>PasteHashtag!E352</f>
        <v>SAC</v>
      </c>
      <c r="F352" s="2">
        <f>PasteHashtag!F352</f>
        <v>54</v>
      </c>
      <c r="G352" s="2">
        <f>PasteHashtag!G352</f>
        <v>9.4</v>
      </c>
      <c r="H352" s="2">
        <f>MID(PasteHashtag!H352,1+FIND("(",PasteHashtag!H352),FIND("/",PasteHashtag!H352)-FIND("(",PasteHashtag!H352)-1)*1</f>
        <v>1</v>
      </c>
      <c r="I352" s="2">
        <f>LEFT(PasteHashtag!H352,FIND("(",PasteHashtag!H352)-1)*1</f>
        <v>0.592</v>
      </c>
      <c r="J352" s="2">
        <f>MID(PasteHashtag!I352,1+FIND("(",PasteHashtag!I352),FIND("/",PasteHashtag!I352)-FIND("(",PasteHashtag!I352)-1)*1</f>
        <v>0.5</v>
      </c>
      <c r="K352" s="2">
        <f>LEFT(PasteHashtag!I352,FIND("(",PasteHashtag!I352)-1)*1</f>
        <v>0.628</v>
      </c>
      <c r="L352" s="2">
        <f>PasteHashtag!J352</f>
        <v>0</v>
      </c>
      <c r="M352" s="2">
        <f>PasteHashtag!K352</f>
        <v>2.6</v>
      </c>
      <c r="N352" s="2">
        <f>PasteHashtag!L352</f>
        <v>3</v>
      </c>
      <c r="O352" s="2">
        <f>PasteHashtag!M352</f>
        <v>1</v>
      </c>
      <c r="P352" s="2">
        <f>PasteHashtag!N352</f>
        <v>0.2</v>
      </c>
      <c r="Q352" s="2">
        <f>PasteHashtag!O352</f>
        <v>0.7</v>
      </c>
      <c r="R352" s="2">
        <f>PasteHashtag!P352</f>
        <v>0.7</v>
      </c>
      <c r="S352" s="2">
        <f>Mid(PasteHashtag!H352,FIND("/",PasteHashtag!H352)+1,LEN(PasteHashtag!H352)-FIND("/",PasteHashtag!H352)-1)*1</f>
        <v>1.7</v>
      </c>
      <c r="T352" s="344">
        <f>Mid(PasteHashtag!I352,FIND("/",PasteHashtag!I352)+1,LEN(PasteHashtag!I352)-FIND("/",PasteHashtag!I352)-1)*1</f>
        <v>0.8</v>
      </c>
    </row>
    <row r="353">
      <c r="A353" s="2">
        <v>352.0</v>
      </c>
      <c r="B353" s="2">
        <f>PasteHashtag!B353</f>
        <v>135.6</v>
      </c>
      <c r="C353" s="343" t="str">
        <f>PasteHashtag!C353</f>
        <v>Kevon Looney</v>
      </c>
      <c r="D353" s="2" t="str">
        <f>PasteHashtag!D353</f>
        <v>PF,C</v>
      </c>
      <c r="E353" s="2" t="str">
        <f>PasteHashtag!E353</f>
        <v>GS</v>
      </c>
      <c r="F353" s="2">
        <f>PasteHashtag!F353</f>
        <v>68</v>
      </c>
      <c r="G353" s="2">
        <f>PasteHashtag!G353</f>
        <v>10.4</v>
      </c>
      <c r="H353" s="2">
        <f>MID(PasteHashtag!H353,1+FIND("(",PasteHashtag!H353),FIND("/",PasteHashtag!H353)-FIND("(",PasteHashtag!H353)-1)*1</f>
        <v>1.3</v>
      </c>
      <c r="I353" s="2">
        <f>LEFT(PasteHashtag!H353,FIND("(",PasteHashtag!H353)-1)*1</f>
        <v>0.617</v>
      </c>
      <c r="J353" s="2">
        <f>MID(PasteHashtag!I353,1+FIND("(",PasteHashtag!I353),FIND("/",PasteHashtag!I353)-FIND("(",PasteHashtag!I353)-1)*1</f>
        <v>0.5</v>
      </c>
      <c r="K353" s="2">
        <f>LEFT(PasteHashtag!I353,FIND("(",PasteHashtag!I353)-1)*1</f>
        <v>0.633</v>
      </c>
      <c r="L353" s="2">
        <f>PasteHashtag!J353</f>
        <v>0</v>
      </c>
      <c r="M353" s="2">
        <f>PasteHashtag!K353</f>
        <v>3</v>
      </c>
      <c r="N353" s="2">
        <f>PasteHashtag!L353</f>
        <v>3.9</v>
      </c>
      <c r="O353" s="2">
        <f>PasteHashtag!M353</f>
        <v>1.1</v>
      </c>
      <c r="P353" s="2">
        <f>PasteHashtag!N353</f>
        <v>0.3</v>
      </c>
      <c r="Q353" s="2">
        <f>PasteHashtag!O353</f>
        <v>0.3</v>
      </c>
      <c r="R353" s="2">
        <f>PasteHashtag!P353</f>
        <v>0.3</v>
      </c>
      <c r="S353" s="2">
        <f>Mid(PasteHashtag!H353,FIND("/",PasteHashtag!H353)+1,LEN(PasteHashtag!H353)-FIND("/",PasteHashtag!H353)-1)*1</f>
        <v>2.1</v>
      </c>
      <c r="T353" s="344">
        <f>Mid(PasteHashtag!I353,FIND("/",PasteHashtag!I353)+1,LEN(PasteHashtag!I353)-FIND("/",PasteHashtag!I353)-1)*1</f>
        <v>0.8</v>
      </c>
    </row>
    <row r="354">
      <c r="A354" s="2">
        <v>353.0</v>
      </c>
      <c r="B354" s="2" t="str">
        <f>PasteHashtag!B354</f>
        <v/>
      </c>
      <c r="C354" s="343" t="str">
        <f>PasteHashtag!C354</f>
        <v>Jeremiah Robinson-Earl</v>
      </c>
      <c r="D354" s="2" t="str">
        <f>PasteHashtag!D354</f>
        <v>PF,C</v>
      </c>
      <c r="E354" s="2" t="str">
        <f>PasteHashtag!E354</f>
        <v>NO</v>
      </c>
      <c r="F354" s="2">
        <f>PasteHashtag!F354</f>
        <v>36</v>
      </c>
      <c r="G354" s="2">
        <f>PasteHashtag!G354</f>
        <v>12.1</v>
      </c>
      <c r="H354" s="2">
        <f>MID(PasteHashtag!H354,1+FIND("(",PasteHashtag!H354),FIND("/",PasteHashtag!H354)-FIND("(",PasteHashtag!H354)-1)*1</f>
        <v>1.7</v>
      </c>
      <c r="I354" s="2">
        <f>LEFT(PasteHashtag!H354,FIND("(",PasteHashtag!H354)-1)*1</f>
        <v>0.452</v>
      </c>
      <c r="J354" s="2">
        <f>MID(PasteHashtag!I354,1+FIND("(",PasteHashtag!I354),FIND("/",PasteHashtag!I354)-FIND("(",PasteHashtag!I354)-1)*1</f>
        <v>0.5</v>
      </c>
      <c r="K354" s="2">
        <f>LEFT(PasteHashtag!I354,FIND("(",PasteHashtag!I354)-1)*1</f>
        <v>0.806</v>
      </c>
      <c r="L354" s="2">
        <f>PasteHashtag!J354</f>
        <v>0.5</v>
      </c>
      <c r="M354" s="2">
        <f>PasteHashtag!K354</f>
        <v>4.3</v>
      </c>
      <c r="N354" s="2">
        <f>PasteHashtag!L354</f>
        <v>2.7</v>
      </c>
      <c r="O354" s="2">
        <f>PasteHashtag!M354</f>
        <v>0.7</v>
      </c>
      <c r="P354" s="2">
        <f>PasteHashtag!N354</f>
        <v>0.4</v>
      </c>
      <c r="Q354" s="2">
        <f>PasteHashtag!O354</f>
        <v>0.2</v>
      </c>
      <c r="R354" s="2">
        <f>PasteHashtag!P354</f>
        <v>0.4</v>
      </c>
      <c r="S354" s="2">
        <f>Mid(PasteHashtag!H354,FIND("/",PasteHashtag!H354)+1,LEN(PasteHashtag!H354)-FIND("/",PasteHashtag!H354)-1)*1</f>
        <v>3.7</v>
      </c>
      <c r="T354" s="344">
        <f>Mid(PasteHashtag!I354,FIND("/",PasteHashtag!I354)+1,LEN(PasteHashtag!I354)-FIND("/",PasteHashtag!I354)-1)*1</f>
        <v>0.6</v>
      </c>
    </row>
    <row r="355">
      <c r="A355" s="2">
        <v>354.0</v>
      </c>
      <c r="B355" s="2" t="str">
        <f>PasteHashtag!B355</f>
        <v/>
      </c>
      <c r="C355" s="343" t="str">
        <f>PasteHashtag!C355</f>
        <v>Jamal Cain</v>
      </c>
      <c r="D355" s="2" t="str">
        <f>PasteHashtag!D355</f>
        <v>SF,PF</v>
      </c>
      <c r="E355" s="2" t="str">
        <f>PasteHashtag!E355</f>
        <v>NO</v>
      </c>
      <c r="F355" s="2">
        <f>PasteHashtag!F355</f>
        <v>22</v>
      </c>
      <c r="G355" s="2">
        <f>PasteHashtag!G355</f>
        <v>11.1</v>
      </c>
      <c r="H355" s="2">
        <f>MID(PasteHashtag!H355,1+FIND("(",PasteHashtag!H355),FIND("/",PasteHashtag!H355)-FIND("(",PasteHashtag!H355)-1)*1</f>
        <v>1.6</v>
      </c>
      <c r="I355" s="2">
        <f>LEFT(PasteHashtag!H355,FIND("(",PasteHashtag!H355)-1)*1</f>
        <v>0.488</v>
      </c>
      <c r="J355" s="2">
        <f>MID(PasteHashtag!I355,1+FIND("(",PasteHashtag!I355),FIND("/",PasteHashtag!I355)-FIND("(",PasteHashtag!I355)-1)*1</f>
        <v>0.8</v>
      </c>
      <c r="K355" s="2">
        <f>LEFT(PasteHashtag!I355,FIND("(",PasteHashtag!I355)-1)*1</f>
        <v>0.782</v>
      </c>
      <c r="L355" s="2">
        <f>PasteHashtag!J355</f>
        <v>0.4</v>
      </c>
      <c r="M355" s="2">
        <f>PasteHashtag!K355</f>
        <v>4.4</v>
      </c>
      <c r="N355" s="2">
        <f>PasteHashtag!L355</f>
        <v>2</v>
      </c>
      <c r="O355" s="2">
        <f>PasteHashtag!M355</f>
        <v>0.5</v>
      </c>
      <c r="P355" s="2">
        <f>PasteHashtag!N355</f>
        <v>0.5</v>
      </c>
      <c r="Q355" s="2">
        <f>PasteHashtag!O355</f>
        <v>0.1</v>
      </c>
      <c r="R355" s="2">
        <f>PasteHashtag!P355</f>
        <v>0.3</v>
      </c>
      <c r="S355" s="2">
        <f>Mid(PasteHashtag!H355,FIND("/",PasteHashtag!H355)+1,LEN(PasteHashtag!H355)-FIND("/",PasteHashtag!H355)-1)*1</f>
        <v>3.3</v>
      </c>
      <c r="T355" s="344">
        <f>Mid(PasteHashtag!I355,FIND("/",PasteHashtag!I355)+1,LEN(PasteHashtag!I355)-FIND("/",PasteHashtag!I355)-1)*1</f>
        <v>1</v>
      </c>
    </row>
    <row r="356">
      <c r="A356" s="2">
        <v>355.0</v>
      </c>
      <c r="B356" s="2" t="str">
        <f>PasteHashtag!B356</f>
        <v/>
      </c>
      <c r="C356" s="343" t="str">
        <f>PasteHashtag!C356</f>
        <v>Dru Smith</v>
      </c>
      <c r="D356" s="2" t="str">
        <f>PasteHashtag!D356</f>
        <v>PG,SG</v>
      </c>
      <c r="E356" s="2" t="str">
        <f>PasteHashtag!E356</f>
        <v>MIA</v>
      </c>
      <c r="F356" s="2">
        <f>PasteHashtag!F356</f>
        <v>10</v>
      </c>
      <c r="G356" s="2">
        <f>PasteHashtag!G356</f>
        <v>8.8</v>
      </c>
      <c r="H356" s="2">
        <f>MID(PasteHashtag!H356,1+FIND("(",PasteHashtag!H356),FIND("/",PasteHashtag!H356)-FIND("(",PasteHashtag!H356)-1)*1</f>
        <v>1</v>
      </c>
      <c r="I356" s="2">
        <f>LEFT(PasteHashtag!H356,FIND("(",PasteHashtag!H356)-1)*1</f>
        <v>0.421</v>
      </c>
      <c r="J356" s="2">
        <f>MID(PasteHashtag!I356,1+FIND("(",PasteHashtag!I356),FIND("/",PasteHashtag!I356)-FIND("(",PasteHashtag!I356)-1)*1</f>
        <v>0.2</v>
      </c>
      <c r="K356" s="2">
        <f>LEFT(PasteHashtag!I356,FIND("(",PasteHashtag!I356)-1)*1</f>
        <v>1</v>
      </c>
      <c r="L356" s="2">
        <f>PasteHashtag!J356</f>
        <v>0.4</v>
      </c>
      <c r="M356" s="2">
        <f>PasteHashtag!K356</f>
        <v>2.6</v>
      </c>
      <c r="N356" s="2">
        <f>PasteHashtag!L356</f>
        <v>1.2</v>
      </c>
      <c r="O356" s="2">
        <f>PasteHashtag!M356</f>
        <v>1.1</v>
      </c>
      <c r="P356" s="2">
        <f>PasteHashtag!N356</f>
        <v>0.6</v>
      </c>
      <c r="Q356" s="2">
        <f>PasteHashtag!O356</f>
        <v>0.2</v>
      </c>
      <c r="R356" s="2">
        <f>PasteHashtag!P356</f>
        <v>0.3</v>
      </c>
      <c r="S356" s="2">
        <f>Mid(PasteHashtag!H356,FIND("/",PasteHashtag!H356)+1,LEN(PasteHashtag!H356)-FIND("/",PasteHashtag!H356)-1)*1</f>
        <v>2.4</v>
      </c>
      <c r="T356" s="344">
        <f>Mid(PasteHashtag!I356,FIND("/",PasteHashtag!I356)+1,LEN(PasteHashtag!I356)-FIND("/",PasteHashtag!I356)-1)*1</f>
        <v>0.2</v>
      </c>
    </row>
    <row r="357">
      <c r="A357" s="2">
        <v>356.0</v>
      </c>
      <c r="B357" s="2" t="str">
        <f>PasteHashtag!B357</f>
        <v/>
      </c>
      <c r="C357" s="343" t="str">
        <f>PasteHashtag!C357</f>
        <v>Zeke Nnaji</v>
      </c>
      <c r="D357" s="2" t="str">
        <f>PasteHashtag!D357</f>
        <v>PF,C</v>
      </c>
      <c r="E357" s="2" t="str">
        <f>PasteHashtag!E357</f>
        <v>DEN</v>
      </c>
      <c r="F357" s="2">
        <f>PasteHashtag!F357</f>
        <v>58</v>
      </c>
      <c r="G357" s="2">
        <f>PasteHashtag!G357</f>
        <v>12.1</v>
      </c>
      <c r="H357" s="2">
        <f>MID(PasteHashtag!H357,1+FIND("(",PasteHashtag!H357),FIND("/",PasteHashtag!H357)-FIND("(",PasteHashtag!H357)-1)*1</f>
        <v>1.7</v>
      </c>
      <c r="I357" s="2">
        <f>LEFT(PasteHashtag!H357,FIND("(",PasteHashtag!H357)-1)*1</f>
        <v>0.519</v>
      </c>
      <c r="J357" s="2">
        <f>MID(PasteHashtag!I357,1+FIND("(",PasteHashtag!I357),FIND("/",PasteHashtag!I357)-FIND("(",PasteHashtag!I357)-1)*1</f>
        <v>0.8</v>
      </c>
      <c r="K357" s="2">
        <f>LEFT(PasteHashtag!I357,FIND("(",PasteHashtag!I357)-1)*1</f>
        <v>0.664</v>
      </c>
      <c r="L357" s="2">
        <f>PasteHashtag!J357</f>
        <v>0.2</v>
      </c>
      <c r="M357" s="2">
        <f>PasteHashtag!K357</f>
        <v>4.3</v>
      </c>
      <c r="N357" s="2">
        <f>PasteHashtag!L357</f>
        <v>2.5</v>
      </c>
      <c r="O357" s="2">
        <f>PasteHashtag!M357</f>
        <v>0.5</v>
      </c>
      <c r="P357" s="2">
        <f>PasteHashtag!N357</f>
        <v>0.3</v>
      </c>
      <c r="Q357" s="2">
        <f>PasteHashtag!O357</f>
        <v>0.6</v>
      </c>
      <c r="R357" s="2">
        <f>PasteHashtag!P357</f>
        <v>0.5</v>
      </c>
      <c r="S357" s="2">
        <f>Mid(PasteHashtag!H357,FIND("/",PasteHashtag!H357)+1,LEN(PasteHashtag!H357)-FIND("/",PasteHashtag!H357)-1)*1</f>
        <v>3.2</v>
      </c>
      <c r="T357" s="344">
        <f>Mid(PasteHashtag!I357,FIND("/",PasteHashtag!I357)+1,LEN(PasteHashtag!I357)-FIND("/",PasteHashtag!I357)-1)*1</f>
        <v>1.2</v>
      </c>
    </row>
    <row r="358">
      <c r="A358" s="2">
        <v>357.0</v>
      </c>
      <c r="B358" s="2" t="str">
        <f>PasteHashtag!B358</f>
        <v/>
      </c>
      <c r="C358" s="343" t="str">
        <f>PasteHashtag!C358</f>
        <v>Kobe Bufkin</v>
      </c>
      <c r="D358" s="2" t="str">
        <f>PasteHashtag!D358</f>
        <v>PG,SG</v>
      </c>
      <c r="E358" s="2" t="str">
        <f>PasteHashtag!E358</f>
        <v>ATL</v>
      </c>
      <c r="F358" s="2">
        <f>PasteHashtag!F358</f>
        <v>40</v>
      </c>
      <c r="G358" s="2">
        <f>PasteHashtag!G358</f>
        <v>15.4</v>
      </c>
      <c r="H358" s="2">
        <f>MID(PasteHashtag!H358,1+FIND("(",PasteHashtag!H358),FIND("/",PasteHashtag!H358)-FIND("(",PasteHashtag!H358)-1)*1</f>
        <v>2.7</v>
      </c>
      <c r="I358" s="2">
        <f>LEFT(PasteHashtag!H358,FIND("(",PasteHashtag!H358)-1)*1</f>
        <v>0.37</v>
      </c>
      <c r="J358" s="2">
        <f>MID(PasteHashtag!I358,1+FIND("(",PasteHashtag!I358),FIND("/",PasteHashtag!I358)-FIND("(",PasteHashtag!I358)-1)*1</f>
        <v>0.3</v>
      </c>
      <c r="K358" s="2">
        <f>LEFT(PasteHashtag!I358,FIND("(",PasteHashtag!I358)-1)*1</f>
        <v>0.508</v>
      </c>
      <c r="L358" s="2">
        <f>PasteHashtag!J358</f>
        <v>0.7</v>
      </c>
      <c r="M358" s="2">
        <f>PasteHashtag!K358</f>
        <v>6.4</v>
      </c>
      <c r="N358" s="2">
        <f>PasteHashtag!L358</f>
        <v>2.6</v>
      </c>
      <c r="O358" s="2">
        <f>PasteHashtag!M358</f>
        <v>2.1</v>
      </c>
      <c r="P358" s="2">
        <f>PasteHashtag!N358</f>
        <v>0.6</v>
      </c>
      <c r="Q358" s="2">
        <f>PasteHashtag!O358</f>
        <v>0.4</v>
      </c>
      <c r="R358" s="2">
        <f>PasteHashtag!P358</f>
        <v>0.8</v>
      </c>
      <c r="S358" s="2">
        <f>Mid(PasteHashtag!H358,FIND("/",PasteHashtag!H358)+1,LEN(PasteHashtag!H358)-FIND("/",PasteHashtag!H358)-1)*1</f>
        <v>7.3</v>
      </c>
      <c r="T358" s="344">
        <f>Mid(PasteHashtag!I358,FIND("/",PasteHashtag!I358)+1,LEN(PasteHashtag!I358)-FIND("/",PasteHashtag!I358)-1)*1</f>
        <v>0.6</v>
      </c>
    </row>
    <row r="359">
      <c r="A359" s="2">
        <v>358.0</v>
      </c>
      <c r="B359" s="2" t="str">
        <f>PasteHashtag!B359</f>
        <v/>
      </c>
      <c r="C359" s="343" t="str">
        <f>PasteHashtag!C359</f>
        <v>Trendon Watford</v>
      </c>
      <c r="D359" s="2" t="str">
        <f>PasteHashtag!D359</f>
        <v>PF,C</v>
      </c>
      <c r="E359" s="2" t="str">
        <f>PasteHashtag!E359</f>
        <v>BKN</v>
      </c>
      <c r="F359" s="2">
        <f>PasteHashtag!F359</f>
        <v>44</v>
      </c>
      <c r="G359" s="2">
        <f>PasteHashtag!G359</f>
        <v>10.1</v>
      </c>
      <c r="H359" s="2">
        <f>MID(PasteHashtag!H359,1+FIND("(",PasteHashtag!H359),FIND("/",PasteHashtag!H359)-FIND("(",PasteHashtag!H359)-1)*1</f>
        <v>1.7</v>
      </c>
      <c r="I359" s="2">
        <f>LEFT(PasteHashtag!H359,FIND("(",PasteHashtag!H359)-1)*1</f>
        <v>0.546</v>
      </c>
      <c r="J359" s="2">
        <f>MID(PasteHashtag!I359,1+FIND("(",PasteHashtag!I359),FIND("/",PasteHashtag!I359)-FIND("(",PasteHashtag!I359)-1)*1</f>
        <v>0.8</v>
      </c>
      <c r="K359" s="2">
        <f>LEFT(PasteHashtag!I359,FIND("(",PasteHashtag!I359)-1)*1</f>
        <v>0.758</v>
      </c>
      <c r="L359" s="2">
        <f>PasteHashtag!J359</f>
        <v>0.3</v>
      </c>
      <c r="M359" s="2">
        <f>PasteHashtag!K359</f>
        <v>4.5</v>
      </c>
      <c r="N359" s="2">
        <f>PasteHashtag!L359</f>
        <v>2.2</v>
      </c>
      <c r="O359" s="2">
        <f>PasteHashtag!M359</f>
        <v>1.1</v>
      </c>
      <c r="P359" s="2">
        <f>PasteHashtag!N359</f>
        <v>0.3</v>
      </c>
      <c r="Q359" s="2">
        <f>PasteHashtag!O359</f>
        <v>0.2</v>
      </c>
      <c r="R359" s="2">
        <f>PasteHashtag!P359</f>
        <v>0.7</v>
      </c>
      <c r="S359" s="2">
        <f>Mid(PasteHashtag!H359,FIND("/",PasteHashtag!H359)+1,LEN(PasteHashtag!H359)-FIND("/",PasteHashtag!H359)-1)*1</f>
        <v>3.2</v>
      </c>
      <c r="T359" s="344">
        <f>Mid(PasteHashtag!I359,FIND("/",PasteHashtag!I359)+1,LEN(PasteHashtag!I359)-FIND("/",PasteHashtag!I359)-1)*1</f>
        <v>1</v>
      </c>
    </row>
    <row r="360">
      <c r="A360" s="2">
        <v>359.0</v>
      </c>
      <c r="B360" s="2" t="str">
        <f>PasteHashtag!B360</f>
        <v/>
      </c>
      <c r="C360" s="343" t="str">
        <f>PasteHashtag!C360</f>
        <v>Garrison Mathews</v>
      </c>
      <c r="D360" s="2" t="str">
        <f>PasteHashtag!D360</f>
        <v>SG,SF</v>
      </c>
      <c r="E360" s="2" t="str">
        <f>PasteHashtag!E360</f>
        <v>ATL</v>
      </c>
      <c r="F360" s="2">
        <f>PasteHashtag!F360</f>
        <v>54</v>
      </c>
      <c r="G360" s="2">
        <f>PasteHashtag!G360</f>
        <v>12.7</v>
      </c>
      <c r="H360" s="2">
        <f>MID(PasteHashtag!H360,1+FIND("(",PasteHashtag!H360),FIND("/",PasteHashtag!H360)-FIND("(",PasteHashtag!H360)-1)*1</f>
        <v>1.4</v>
      </c>
      <c r="I360" s="2">
        <f>LEFT(PasteHashtag!H360,FIND("(",PasteHashtag!H360)-1)*1</f>
        <v>0.414</v>
      </c>
      <c r="J360" s="2">
        <f>MID(PasteHashtag!I360,1+FIND("(",PasteHashtag!I360),FIND("/",PasteHashtag!I360)-FIND("(",PasteHashtag!I360)-1)*1</f>
        <v>0.6</v>
      </c>
      <c r="K360" s="2">
        <f>LEFT(PasteHashtag!I360,FIND("(",PasteHashtag!I360)-1)*1</f>
        <v>0.863</v>
      </c>
      <c r="L360" s="2">
        <f>PasteHashtag!J360</f>
        <v>1.1</v>
      </c>
      <c r="M360" s="2">
        <f>PasteHashtag!K360</f>
        <v>4.5</v>
      </c>
      <c r="N360" s="2">
        <f>PasteHashtag!L360</f>
        <v>1.3</v>
      </c>
      <c r="O360" s="2">
        <f>PasteHashtag!M360</f>
        <v>0.5</v>
      </c>
      <c r="P360" s="2">
        <f>PasteHashtag!N360</f>
        <v>0.3</v>
      </c>
      <c r="Q360" s="2">
        <f>PasteHashtag!O360</f>
        <v>0.1</v>
      </c>
      <c r="R360" s="2">
        <f>PasteHashtag!P360</f>
        <v>0.3</v>
      </c>
      <c r="S360" s="2">
        <f>Mid(PasteHashtag!H360,FIND("/",PasteHashtag!H360)+1,LEN(PasteHashtag!H360)-FIND("/",PasteHashtag!H360)-1)*1</f>
        <v>3.3</v>
      </c>
      <c r="T360" s="344">
        <f>Mid(PasteHashtag!I360,FIND("/",PasteHashtag!I360)+1,LEN(PasteHashtag!I360)-FIND("/",PasteHashtag!I360)-1)*1</f>
        <v>0.7</v>
      </c>
    </row>
    <row r="361">
      <c r="A361" s="2">
        <v>360.0</v>
      </c>
      <c r="B361" s="2" t="str">
        <f>PasteHashtag!B361</f>
        <v/>
      </c>
      <c r="C361" s="343" t="str">
        <f>PasteHashtag!C361</f>
        <v>Nikola Djurisic</v>
      </c>
      <c r="D361" s="2" t="str">
        <f>PasteHashtag!D361</f>
        <v>SF</v>
      </c>
      <c r="E361" s="2" t="str">
        <f>PasteHashtag!E361</f>
        <v>ATL</v>
      </c>
      <c r="F361" s="2">
        <f>PasteHashtag!F361</f>
        <v>52</v>
      </c>
      <c r="G361" s="2">
        <f>PasteHashtag!G361</f>
        <v>17.4</v>
      </c>
      <c r="H361" s="2">
        <f>MID(PasteHashtag!H361,1+FIND("(",PasteHashtag!H361),FIND("/",PasteHashtag!H361)-FIND("(",PasteHashtag!H361)-1)*1</f>
        <v>2.2</v>
      </c>
      <c r="I361" s="2">
        <f>LEFT(PasteHashtag!H361,FIND("(",PasteHashtag!H361)-1)*1</f>
        <v>0.449</v>
      </c>
      <c r="J361" s="2">
        <f>MID(PasteHashtag!I361,1+FIND("(",PasteHashtag!I361),FIND("/",PasteHashtag!I361)-FIND("(",PasteHashtag!I361)-1)*1</f>
        <v>1.7</v>
      </c>
      <c r="K361" s="2">
        <f>LEFT(PasteHashtag!I361,FIND("(",PasteHashtag!I361)-1)*1</f>
        <v>0.759</v>
      </c>
      <c r="L361" s="2">
        <f>PasteHashtag!J361</f>
        <v>0.5</v>
      </c>
      <c r="M361" s="2">
        <f>PasteHashtag!K361</f>
        <v>6.5</v>
      </c>
      <c r="N361" s="2">
        <f>PasteHashtag!L361</f>
        <v>1.2</v>
      </c>
      <c r="O361" s="2">
        <f>PasteHashtag!M361</f>
        <v>1.5</v>
      </c>
      <c r="P361" s="2">
        <f>PasteHashtag!N361</f>
        <v>0.5</v>
      </c>
      <c r="Q361" s="2">
        <f>PasteHashtag!O361</f>
        <v>0.2</v>
      </c>
      <c r="R361" s="2">
        <f>PasteHashtag!P361</f>
        <v>1.4</v>
      </c>
      <c r="S361" s="2">
        <f>Mid(PasteHashtag!H361,FIND("/",PasteHashtag!H361)+1,LEN(PasteHashtag!H361)-FIND("/",PasteHashtag!H361)-1)*1</f>
        <v>4.8</v>
      </c>
      <c r="T361" s="344">
        <f>Mid(PasteHashtag!I361,FIND("/",PasteHashtag!I361)+1,LEN(PasteHashtag!I361)-FIND("/",PasteHashtag!I361)-1)*1</f>
        <v>2.2</v>
      </c>
    </row>
    <row r="362">
      <c r="A362" s="2">
        <v>361.0</v>
      </c>
      <c r="B362" s="2" t="str">
        <f>PasteHashtag!B362</f>
        <v/>
      </c>
      <c r="C362" s="343" t="str">
        <f>PasteHashtag!C362</f>
        <v>Adem Bona</v>
      </c>
      <c r="D362" s="2" t="str">
        <f>PasteHashtag!D362</f>
        <v>C</v>
      </c>
      <c r="E362" s="2" t="str">
        <f>PasteHashtag!E362</f>
        <v>PHI</v>
      </c>
      <c r="F362" s="2">
        <f>PasteHashtag!F362</f>
        <v>44</v>
      </c>
      <c r="G362" s="2">
        <f>PasteHashtag!G362</f>
        <v>11.2</v>
      </c>
      <c r="H362" s="2">
        <f>MID(PasteHashtag!H362,1+FIND("(",PasteHashtag!H362),FIND("/",PasteHashtag!H362)-FIND("(",PasteHashtag!H362)-1)*1</f>
        <v>1.5</v>
      </c>
      <c r="I362" s="2">
        <f>LEFT(PasteHashtag!H362,FIND("(",PasteHashtag!H362)-1)*1</f>
        <v>0.59</v>
      </c>
      <c r="J362" s="2">
        <f>MID(PasteHashtag!I362,1+FIND("(",PasteHashtag!I362),FIND("/",PasteHashtag!I362)-FIND("(",PasteHashtag!I362)-1)*1</f>
        <v>1</v>
      </c>
      <c r="K362" s="2">
        <f>LEFT(PasteHashtag!I362,FIND("(",PasteHashtag!I362)-1)*1</f>
        <v>0.702</v>
      </c>
      <c r="L362" s="2">
        <f>PasteHashtag!J362</f>
        <v>0</v>
      </c>
      <c r="M362" s="2">
        <f>PasteHashtag!K362</f>
        <v>3.9</v>
      </c>
      <c r="N362" s="2">
        <f>PasteHashtag!L362</f>
        <v>1.9</v>
      </c>
      <c r="O362" s="2">
        <f>PasteHashtag!M362</f>
        <v>0.4</v>
      </c>
      <c r="P362" s="2">
        <f>PasteHashtag!N362</f>
        <v>0.4</v>
      </c>
      <c r="Q362" s="2">
        <f>PasteHashtag!O362</f>
        <v>0.6</v>
      </c>
      <c r="R362" s="2">
        <f>PasteHashtag!P362</f>
        <v>0.8</v>
      </c>
      <c r="S362" s="2">
        <f>Mid(PasteHashtag!H362,FIND("/",PasteHashtag!H362)+1,LEN(PasteHashtag!H362)-FIND("/",PasteHashtag!H362)-1)*1</f>
        <v>2.5</v>
      </c>
      <c r="T362" s="344">
        <f>Mid(PasteHashtag!I362,FIND("/",PasteHashtag!I362)+1,LEN(PasteHashtag!I362)-FIND("/",PasteHashtag!I362)-1)*1</f>
        <v>1.4</v>
      </c>
    </row>
    <row r="363">
      <c r="A363" s="2">
        <v>362.0</v>
      </c>
      <c r="B363" s="2" t="str">
        <f>PasteHashtag!B363</f>
        <v/>
      </c>
      <c r="C363" s="343" t="str">
        <f>PasteHashtag!C363</f>
        <v>Cody Williams</v>
      </c>
      <c r="D363" s="2" t="str">
        <f>PasteHashtag!D363</f>
        <v>SF</v>
      </c>
      <c r="E363" s="2" t="str">
        <f>PasteHashtag!E363</f>
        <v>UTA</v>
      </c>
      <c r="F363" s="2">
        <f>PasteHashtag!F363</f>
        <v>64</v>
      </c>
      <c r="G363" s="2">
        <f>PasteHashtag!G363</f>
        <v>17.3</v>
      </c>
      <c r="H363" s="2">
        <f>MID(PasteHashtag!H363,1+FIND("(",PasteHashtag!H363),FIND("/",PasteHashtag!H363)-FIND("(",PasteHashtag!H363)-1)*1</f>
        <v>2.1</v>
      </c>
      <c r="I363" s="2">
        <f>LEFT(PasteHashtag!H363,FIND("(",PasteHashtag!H363)-1)*1</f>
        <v>0.552</v>
      </c>
      <c r="J363" s="2">
        <f>MID(PasteHashtag!I363,1+FIND("(",PasteHashtag!I363),FIND("/",PasteHashtag!I363)-FIND("(",PasteHashtag!I363)-1)*1</f>
        <v>1.1</v>
      </c>
      <c r="K363" s="2">
        <f>LEFT(PasteHashtag!I363,FIND("(",PasteHashtag!I363)-1)*1</f>
        <v>0.716</v>
      </c>
      <c r="L363" s="2">
        <f>PasteHashtag!J363</f>
        <v>0.3</v>
      </c>
      <c r="M363" s="2">
        <f>PasteHashtag!K363</f>
        <v>5.5</v>
      </c>
      <c r="N363" s="2">
        <f>PasteHashtag!L363</f>
        <v>1.4</v>
      </c>
      <c r="O363" s="2">
        <f>PasteHashtag!M363</f>
        <v>0.7</v>
      </c>
      <c r="P363" s="2">
        <f>PasteHashtag!N363</f>
        <v>0.3</v>
      </c>
      <c r="Q363" s="2">
        <f>PasteHashtag!O363</f>
        <v>0.3</v>
      </c>
      <c r="R363" s="2">
        <f>PasteHashtag!P363</f>
        <v>0.9</v>
      </c>
      <c r="S363" s="2">
        <f>Mid(PasteHashtag!H363,FIND("/",PasteHashtag!H363)+1,LEN(PasteHashtag!H363)-FIND("/",PasteHashtag!H363)-1)*1</f>
        <v>3.7</v>
      </c>
      <c r="T363" s="344">
        <f>Mid(PasteHashtag!I363,FIND("/",PasteHashtag!I363)+1,LEN(PasteHashtag!I363)-FIND("/",PasteHashtag!I363)-1)*1</f>
        <v>1.5</v>
      </c>
    </row>
    <row r="364">
      <c r="A364" s="2">
        <v>363.0</v>
      </c>
      <c r="B364" s="2" t="str">
        <f>PasteHashtag!B364</f>
        <v/>
      </c>
      <c r="C364" s="343" t="str">
        <f>PasteHashtag!C364</f>
        <v>MarJon Beauchamp</v>
      </c>
      <c r="D364" s="2" t="str">
        <f>PasteHashtag!D364</f>
        <v>SG,SF</v>
      </c>
      <c r="E364" s="2" t="str">
        <f>PasteHashtag!E364</f>
        <v>MIL</v>
      </c>
      <c r="F364" s="2">
        <f>PasteHashtag!F364</f>
        <v>54</v>
      </c>
      <c r="G364" s="2">
        <f>PasteHashtag!G364</f>
        <v>13.8</v>
      </c>
      <c r="H364" s="2">
        <f>MID(PasteHashtag!H364,1+FIND("(",PasteHashtag!H364),FIND("/",PasteHashtag!H364)-FIND("(",PasteHashtag!H364)-1)*1</f>
        <v>1.9</v>
      </c>
      <c r="I364" s="2">
        <f>LEFT(PasteHashtag!H364,FIND("(",PasteHashtag!H364)-1)*1</f>
        <v>0.432</v>
      </c>
      <c r="J364" s="2">
        <f>MID(PasteHashtag!I364,1+FIND("(",PasteHashtag!I364),FIND("/",PasteHashtag!I364)-FIND("(",PasteHashtag!I364)-1)*1</f>
        <v>0.5</v>
      </c>
      <c r="K364" s="2">
        <f>LEFT(PasteHashtag!I364,FIND("(",PasteHashtag!I364)-1)*1</f>
        <v>0.71</v>
      </c>
      <c r="L364" s="2">
        <f>PasteHashtag!J364</f>
        <v>0.8</v>
      </c>
      <c r="M364" s="2">
        <f>PasteHashtag!K364</f>
        <v>5.1</v>
      </c>
      <c r="N364" s="2">
        <f>PasteHashtag!L364</f>
        <v>2.3</v>
      </c>
      <c r="O364" s="2">
        <f>PasteHashtag!M364</f>
        <v>0.7</v>
      </c>
      <c r="P364" s="2">
        <f>PasteHashtag!N364</f>
        <v>0.4</v>
      </c>
      <c r="Q364" s="2">
        <f>PasteHashtag!O364</f>
        <v>0.2</v>
      </c>
      <c r="R364" s="2">
        <f>PasteHashtag!P364</f>
        <v>0.8</v>
      </c>
      <c r="S364" s="2">
        <f>Mid(PasteHashtag!H364,FIND("/",PasteHashtag!H364)+1,LEN(PasteHashtag!H364)-FIND("/",PasteHashtag!H364)-1)*1</f>
        <v>4.4</v>
      </c>
      <c r="T364" s="344">
        <f>Mid(PasteHashtag!I364,FIND("/",PasteHashtag!I364)+1,LEN(PasteHashtag!I364)-FIND("/",PasteHashtag!I364)-1)*1</f>
        <v>0.7</v>
      </c>
    </row>
    <row r="365">
      <c r="A365" s="2">
        <v>364.0</v>
      </c>
      <c r="B365" s="2" t="str">
        <f>PasteHashtag!B365</f>
        <v/>
      </c>
      <c r="C365" s="343" t="str">
        <f>PasteHashtag!C365</f>
        <v>Tristan Vukcevic</v>
      </c>
      <c r="D365" s="2" t="str">
        <f>PasteHashtag!D365</f>
        <v>C</v>
      </c>
      <c r="E365" s="2" t="str">
        <f>PasteHashtag!E365</f>
        <v>WAS</v>
      </c>
      <c r="F365" s="2">
        <f>PasteHashtag!F365</f>
        <v>30</v>
      </c>
      <c r="G365" s="2">
        <f>PasteHashtag!G365</f>
        <v>7.9</v>
      </c>
      <c r="H365" s="2">
        <f>MID(PasteHashtag!H365,1+FIND("(",PasteHashtag!H365),FIND("/",PasteHashtag!H365)-FIND("(",PasteHashtag!H365)-1)*1</f>
        <v>1.5</v>
      </c>
      <c r="I365" s="2">
        <f>LEFT(PasteHashtag!H365,FIND("(",PasteHashtag!H365)-1)*1</f>
        <v>0.434</v>
      </c>
      <c r="J365" s="2">
        <f>MID(PasteHashtag!I365,1+FIND("(",PasteHashtag!I365),FIND("/",PasteHashtag!I365)-FIND("(",PasteHashtag!I365)-1)*1</f>
        <v>0.9</v>
      </c>
      <c r="K365" s="2">
        <f>LEFT(PasteHashtag!I365,FIND("(",PasteHashtag!I365)-1)*1</f>
        <v>0.772</v>
      </c>
      <c r="L365" s="2">
        <f>PasteHashtag!J365</f>
        <v>0.5</v>
      </c>
      <c r="M365" s="2">
        <f>PasteHashtag!K365</f>
        <v>4.4</v>
      </c>
      <c r="N365" s="2">
        <f>PasteHashtag!L365</f>
        <v>1.9</v>
      </c>
      <c r="O365" s="2">
        <f>PasteHashtag!M365</f>
        <v>0.7</v>
      </c>
      <c r="P365" s="2">
        <f>PasteHashtag!N365</f>
        <v>0.3</v>
      </c>
      <c r="Q365" s="2">
        <f>PasteHashtag!O365</f>
        <v>0.4</v>
      </c>
      <c r="R365" s="2">
        <f>PasteHashtag!P365</f>
        <v>0.5</v>
      </c>
      <c r="S365" s="2">
        <f>Mid(PasteHashtag!H365,FIND("/",PasteHashtag!H365)+1,LEN(PasteHashtag!H365)-FIND("/",PasteHashtag!H365)-1)*1</f>
        <v>3.5</v>
      </c>
      <c r="T365" s="344">
        <f>Mid(PasteHashtag!I365,FIND("/",PasteHashtag!I365)+1,LEN(PasteHashtag!I365)-FIND("/",PasteHashtag!I365)-1)*1</f>
        <v>1.1</v>
      </c>
    </row>
    <row r="366">
      <c r="A366" s="2">
        <v>365.0</v>
      </c>
      <c r="B366" s="2" t="str">
        <f>PasteHashtag!B366</f>
        <v/>
      </c>
      <c r="C366" s="343" t="str">
        <f>PasteHashtag!C366</f>
        <v>Aaron Holiday</v>
      </c>
      <c r="D366" s="2" t="str">
        <f>PasteHashtag!D366</f>
        <v>PG,SG</v>
      </c>
      <c r="E366" s="2" t="str">
        <f>PasteHashtag!E366</f>
        <v>HOU</v>
      </c>
      <c r="F366" s="2">
        <f>PasteHashtag!F366</f>
        <v>40</v>
      </c>
      <c r="G366" s="2">
        <f>PasteHashtag!G366</f>
        <v>10.4</v>
      </c>
      <c r="H366" s="2">
        <f>MID(PasteHashtag!H366,1+FIND("(",PasteHashtag!H366),FIND("/",PasteHashtag!H366)-FIND("(",PasteHashtag!H366)-1)*1</f>
        <v>1.4</v>
      </c>
      <c r="I366" s="2">
        <f>LEFT(PasteHashtag!H366,FIND("(",PasteHashtag!H366)-1)*1</f>
        <v>0.437</v>
      </c>
      <c r="J366" s="2">
        <f>MID(PasteHashtag!I366,1+FIND("(",PasteHashtag!I366),FIND("/",PasteHashtag!I366)-FIND("(",PasteHashtag!I366)-1)*1</f>
        <v>0.4</v>
      </c>
      <c r="K366" s="2">
        <f>LEFT(PasteHashtag!I366,FIND("(",PasteHashtag!I366)-1)*1</f>
        <v>0.894</v>
      </c>
      <c r="L366" s="2">
        <f>PasteHashtag!J366</f>
        <v>0.6</v>
      </c>
      <c r="M366" s="2">
        <f>PasteHashtag!K366</f>
        <v>3.8</v>
      </c>
      <c r="N366" s="2">
        <f>PasteHashtag!L366</f>
        <v>1</v>
      </c>
      <c r="O366" s="2">
        <f>PasteHashtag!M366</f>
        <v>1.1</v>
      </c>
      <c r="P366" s="2">
        <f>PasteHashtag!N366</f>
        <v>0.4</v>
      </c>
      <c r="Q366" s="2">
        <f>PasteHashtag!O366</f>
        <v>0.1</v>
      </c>
      <c r="R366" s="2">
        <f>PasteHashtag!P366</f>
        <v>0.4</v>
      </c>
      <c r="S366" s="2">
        <f>Mid(PasteHashtag!H366,FIND("/",PasteHashtag!H366)+1,LEN(PasteHashtag!H366)-FIND("/",PasteHashtag!H366)-1)*1</f>
        <v>3.2</v>
      </c>
      <c r="T366" s="344">
        <f>Mid(PasteHashtag!I366,FIND("/",PasteHashtag!I366)+1,LEN(PasteHashtag!I366)-FIND("/",PasteHashtag!I366)-1)*1</f>
        <v>0.5</v>
      </c>
    </row>
    <row r="367">
      <c r="A367" s="2">
        <v>366.0</v>
      </c>
      <c r="B367" s="2" t="str">
        <f>PasteHashtag!B367</f>
        <v/>
      </c>
      <c r="C367" s="343" t="str">
        <f>PasteHashtag!C367</f>
        <v>Derrick Rose</v>
      </c>
      <c r="D367" s="2" t="str">
        <f>PasteHashtag!D367</f>
        <v>PG</v>
      </c>
      <c r="E367" s="2" t="str">
        <f>PasteHashtag!E367</f>
        <v>MEM</v>
      </c>
      <c r="F367" s="2">
        <f>PasteHashtag!F367</f>
        <v>22</v>
      </c>
      <c r="G367" s="2">
        <f>PasteHashtag!G367</f>
        <v>11.4</v>
      </c>
      <c r="H367" s="2">
        <f>MID(PasteHashtag!H367,1+FIND("(",PasteHashtag!H367),FIND("/",PasteHashtag!H367)-FIND("(",PasteHashtag!H367)-1)*1</f>
        <v>2.1</v>
      </c>
      <c r="I367" s="2">
        <f>LEFT(PasteHashtag!H367,FIND("(",PasteHashtag!H367)-1)*1</f>
        <v>0.423</v>
      </c>
      <c r="J367" s="2">
        <f>MID(PasteHashtag!I367,1+FIND("(",PasteHashtag!I367),FIND("/",PasteHashtag!I367)-FIND("(",PasteHashtag!I367)-1)*1</f>
        <v>0.6</v>
      </c>
      <c r="K367" s="2">
        <f>LEFT(PasteHashtag!I367,FIND("(",PasteHashtag!I367)-1)*1</f>
        <v>0.902</v>
      </c>
      <c r="L367" s="2">
        <f>PasteHashtag!J367</f>
        <v>0.5</v>
      </c>
      <c r="M367" s="2">
        <f>PasteHashtag!K367</f>
        <v>5.4</v>
      </c>
      <c r="N367" s="2">
        <f>PasteHashtag!L367</f>
        <v>1.3</v>
      </c>
      <c r="O367" s="2">
        <f>PasteHashtag!M367</f>
        <v>1.9</v>
      </c>
      <c r="P367" s="2">
        <f>PasteHashtag!N367</f>
        <v>0.2</v>
      </c>
      <c r="Q367" s="2">
        <f>PasteHashtag!O367</f>
        <v>0.1</v>
      </c>
      <c r="R367" s="2">
        <f>PasteHashtag!P367</f>
        <v>0.8</v>
      </c>
      <c r="S367" s="2">
        <f>Mid(PasteHashtag!H367,FIND("/",PasteHashtag!H367)+1,LEN(PasteHashtag!H367)-FIND("/",PasteHashtag!H367)-1)*1</f>
        <v>5.1</v>
      </c>
      <c r="T367" s="344">
        <f>Mid(PasteHashtag!I367,FIND("/",PasteHashtag!I367)+1,LEN(PasteHashtag!I367)-FIND("/",PasteHashtag!I367)-1)*1</f>
        <v>0.6</v>
      </c>
    </row>
    <row r="368">
      <c r="A368" s="2">
        <v>367.0</v>
      </c>
      <c r="B368" s="2" t="str">
        <f>PasteHashtag!B368</f>
        <v/>
      </c>
      <c r="C368" s="343" t="str">
        <f>PasteHashtag!C368</f>
        <v>Jordan Walsh</v>
      </c>
      <c r="D368" s="2" t="str">
        <f>PasteHashtag!D368</f>
        <v>SG,SF</v>
      </c>
      <c r="E368" s="2" t="str">
        <f>PasteHashtag!E368</f>
        <v>BOS</v>
      </c>
      <c r="F368" s="2">
        <f>PasteHashtag!F368</f>
        <v>20</v>
      </c>
      <c r="G368" s="2">
        <f>PasteHashtag!G368</f>
        <v>11.1</v>
      </c>
      <c r="H368" s="2">
        <f>MID(PasteHashtag!H368,1+FIND("(",PasteHashtag!H368),FIND("/",PasteHashtag!H368)-FIND("(",PasteHashtag!H368)-1)*1</f>
        <v>0.8</v>
      </c>
      <c r="I368" s="2">
        <f>LEFT(PasteHashtag!H368,FIND("(",PasteHashtag!H368)-1)*1</f>
        <v>0.401</v>
      </c>
      <c r="J368" s="2">
        <f>MID(PasteHashtag!I368,1+FIND("(",PasteHashtag!I368),FIND("/",PasteHashtag!I368)-FIND("(",PasteHashtag!I368)-1)*1</f>
        <v>0.1</v>
      </c>
      <c r="K368" s="2">
        <f>LEFT(PasteHashtag!I368,FIND("(",PasteHashtag!I368)-1)*1</f>
        <v>0.481</v>
      </c>
      <c r="L368" s="2">
        <f>PasteHashtag!J368</f>
        <v>0.3</v>
      </c>
      <c r="M368" s="2">
        <f>PasteHashtag!K368</f>
        <v>2</v>
      </c>
      <c r="N368" s="2">
        <f>PasteHashtag!L368</f>
        <v>2.7</v>
      </c>
      <c r="O368" s="2">
        <f>PasteHashtag!M368</f>
        <v>0.7</v>
      </c>
      <c r="P368" s="2">
        <f>PasteHashtag!N368</f>
        <v>0.7</v>
      </c>
      <c r="Q368" s="2">
        <f>PasteHashtag!O368</f>
        <v>0.1</v>
      </c>
      <c r="R368" s="2">
        <f>PasteHashtag!P368</f>
        <v>0.4</v>
      </c>
      <c r="S368" s="2">
        <f>Mid(PasteHashtag!H368,FIND("/",PasteHashtag!H368)+1,LEN(PasteHashtag!H368)-FIND("/",PasteHashtag!H368)-1)*1</f>
        <v>2</v>
      </c>
      <c r="T368" s="344">
        <f>Mid(PasteHashtag!I368,FIND("/",PasteHashtag!I368)+1,LEN(PasteHashtag!I368)-FIND("/",PasteHashtag!I368)-1)*1</f>
        <v>0.3</v>
      </c>
    </row>
    <row r="369">
      <c r="A369" s="2">
        <v>368.0</v>
      </c>
      <c r="B369" s="2" t="str">
        <f>PasteHashtag!B369</f>
        <v/>
      </c>
      <c r="C369" s="343" t="str">
        <f>PasteHashtag!C369</f>
        <v>Dalano Banton</v>
      </c>
      <c r="D369" s="2" t="str">
        <f>PasteHashtag!D369</f>
        <v>SF</v>
      </c>
      <c r="E369" s="2" t="str">
        <f>PasteHashtag!E369</f>
        <v>POR</v>
      </c>
      <c r="F369" s="2">
        <f>PasteHashtag!F369</f>
        <v>30</v>
      </c>
      <c r="G369" s="2">
        <f>PasteHashtag!G369</f>
        <v>10</v>
      </c>
      <c r="H369" s="2">
        <f>MID(PasteHashtag!H369,1+FIND("(",PasteHashtag!H369),FIND("/",PasteHashtag!H369)-FIND("(",PasteHashtag!H369)-1)*1</f>
        <v>2</v>
      </c>
      <c r="I369" s="2">
        <f>LEFT(PasteHashtag!H369,FIND("(",PasteHashtag!H369)-1)*1</f>
        <v>0.408</v>
      </c>
      <c r="J369" s="2">
        <f>MID(PasteHashtag!I369,1+FIND("(",PasteHashtag!I369),FIND("/",PasteHashtag!I369)-FIND("(",PasteHashtag!I369)-1)*1</f>
        <v>0.9</v>
      </c>
      <c r="K369" s="2">
        <f>LEFT(PasteHashtag!I369,FIND("(",PasteHashtag!I369)-1)*1</f>
        <v>0.773</v>
      </c>
      <c r="L369" s="2">
        <f>PasteHashtag!J369</f>
        <v>0.6</v>
      </c>
      <c r="M369" s="2">
        <f>PasteHashtag!K369</f>
        <v>5.3</v>
      </c>
      <c r="N369" s="2">
        <f>PasteHashtag!L369</f>
        <v>1.7</v>
      </c>
      <c r="O369" s="2">
        <f>PasteHashtag!M369</f>
        <v>1.2</v>
      </c>
      <c r="P369" s="2">
        <f>PasteHashtag!N369</f>
        <v>0.4</v>
      </c>
      <c r="Q369" s="2">
        <f>PasteHashtag!O369</f>
        <v>0.3</v>
      </c>
      <c r="R369" s="2">
        <f>PasteHashtag!P369</f>
        <v>0.7</v>
      </c>
      <c r="S369" s="2">
        <f>Mid(PasteHashtag!H369,FIND("/",PasteHashtag!H369)+1,LEN(PasteHashtag!H369)-FIND("/",PasteHashtag!H369)-1)*1</f>
        <v>4.8</v>
      </c>
      <c r="T369" s="344">
        <f>Mid(PasteHashtag!I369,FIND("/",PasteHashtag!I369)+1,LEN(PasteHashtag!I369)-FIND("/",PasteHashtag!I369)-1)*1</f>
        <v>1.1</v>
      </c>
    </row>
    <row r="370">
      <c r="A370" s="2">
        <v>369.0</v>
      </c>
      <c r="B370" s="2" t="str">
        <f>PasteHashtag!B370</f>
        <v/>
      </c>
      <c r="C370" s="343" t="str">
        <f>PasteHashtag!C370</f>
        <v>Jalen McDaniels</v>
      </c>
      <c r="D370" s="2" t="str">
        <f>PasteHashtag!D370</f>
        <v>SF,PF</v>
      </c>
      <c r="E370" s="2" t="str">
        <f>PasteHashtag!E370</f>
        <v>SAC</v>
      </c>
      <c r="F370" s="2">
        <f>PasteHashtag!F370</f>
        <v>60</v>
      </c>
      <c r="G370" s="2">
        <f>PasteHashtag!G370</f>
        <v>10.4</v>
      </c>
      <c r="H370" s="2">
        <f>MID(PasteHashtag!H370,1+FIND("(",PasteHashtag!H370),FIND("/",PasteHashtag!H370)-FIND("(",PasteHashtag!H370)-1)*1</f>
        <v>1.5</v>
      </c>
      <c r="I370" s="2">
        <f>LEFT(PasteHashtag!H370,FIND("(",PasteHashtag!H370)-1)*1</f>
        <v>0.429</v>
      </c>
      <c r="J370" s="2">
        <f>MID(PasteHashtag!I370,1+FIND("(",PasteHashtag!I370),FIND("/",PasteHashtag!I370)-FIND("(",PasteHashtag!I370)-1)*1</f>
        <v>0.6</v>
      </c>
      <c r="K370" s="2">
        <f>LEFT(PasteHashtag!I370,FIND("(",PasteHashtag!I370)-1)*1</f>
        <v>0.813</v>
      </c>
      <c r="L370" s="2">
        <f>PasteHashtag!J370</f>
        <v>0.4</v>
      </c>
      <c r="M370" s="2">
        <f>PasteHashtag!K370</f>
        <v>4</v>
      </c>
      <c r="N370" s="2">
        <f>PasteHashtag!L370</f>
        <v>1.8</v>
      </c>
      <c r="O370" s="2">
        <f>PasteHashtag!M370</f>
        <v>0.7</v>
      </c>
      <c r="P370" s="2">
        <f>PasteHashtag!N370</f>
        <v>0.4</v>
      </c>
      <c r="Q370" s="2">
        <f>PasteHashtag!O370</f>
        <v>0.2</v>
      </c>
      <c r="R370" s="2">
        <f>PasteHashtag!P370</f>
        <v>0.5</v>
      </c>
      <c r="S370" s="2">
        <f>Mid(PasteHashtag!H370,FIND("/",PasteHashtag!H370)+1,LEN(PasteHashtag!H370)-FIND("/",PasteHashtag!H370)-1)*1</f>
        <v>3.5</v>
      </c>
      <c r="T370" s="344">
        <f>Mid(PasteHashtag!I370,FIND("/",PasteHashtag!I370)+1,LEN(PasteHashtag!I370)-FIND("/",PasteHashtag!I370)-1)*1</f>
        <v>0.8</v>
      </c>
    </row>
    <row r="371">
      <c r="A371" s="2">
        <v>370.0</v>
      </c>
      <c r="B371" s="2" t="str">
        <f>PasteHashtag!B371</f>
        <v/>
      </c>
      <c r="C371" s="343" t="str">
        <f>PasteHashtag!C371</f>
        <v>Jalen Wilson</v>
      </c>
      <c r="D371" s="2" t="str">
        <f>PasteHashtag!D371</f>
        <v>SF</v>
      </c>
      <c r="E371" s="2" t="str">
        <f>PasteHashtag!E371</f>
        <v>BKN</v>
      </c>
      <c r="F371" s="2">
        <f>PasteHashtag!F371</f>
        <v>20</v>
      </c>
      <c r="G371" s="2">
        <f>PasteHashtag!G371</f>
        <v>13.5</v>
      </c>
      <c r="H371" s="2">
        <f>MID(PasteHashtag!H371,1+FIND("(",PasteHashtag!H371),FIND("/",PasteHashtag!H371)-FIND("(",PasteHashtag!H371)-1)*1</f>
        <v>1.6</v>
      </c>
      <c r="I371" s="2">
        <f>LEFT(PasteHashtag!H371,FIND("(",PasteHashtag!H371)-1)*1</f>
        <v>0.425</v>
      </c>
      <c r="J371" s="2">
        <f>MID(PasteHashtag!I371,1+FIND("(",PasteHashtag!I371),FIND("/",PasteHashtag!I371)-FIND("(",PasteHashtag!I371)-1)*1</f>
        <v>0.8</v>
      </c>
      <c r="K371" s="2">
        <f>LEFT(PasteHashtag!I371,FIND("(",PasteHashtag!I371)-1)*1</f>
        <v>0.83</v>
      </c>
      <c r="L371" s="2">
        <f>PasteHashtag!J371</f>
        <v>0.5</v>
      </c>
      <c r="M371" s="2">
        <f>PasteHashtag!K371</f>
        <v>4.4</v>
      </c>
      <c r="N371" s="2">
        <f>PasteHashtag!L371</f>
        <v>2.7</v>
      </c>
      <c r="O371" s="2">
        <f>PasteHashtag!M371</f>
        <v>0.9</v>
      </c>
      <c r="P371" s="2">
        <f>PasteHashtag!N371</f>
        <v>0.2</v>
      </c>
      <c r="Q371" s="2">
        <f>PasteHashtag!O371</f>
        <v>0.1</v>
      </c>
      <c r="R371" s="2">
        <f>PasteHashtag!P371</f>
        <v>0.4</v>
      </c>
      <c r="S371" s="2">
        <f>Mid(PasteHashtag!H371,FIND("/",PasteHashtag!H371)+1,LEN(PasteHashtag!H371)-FIND("/",PasteHashtag!H371)-1)*1</f>
        <v>3.7</v>
      </c>
      <c r="T371" s="344">
        <f>Mid(PasteHashtag!I371,FIND("/",PasteHashtag!I371)+1,LEN(PasteHashtag!I371)-FIND("/",PasteHashtag!I371)-1)*1</f>
        <v>0.9</v>
      </c>
    </row>
    <row r="372">
      <c r="A372" s="2">
        <v>371.0</v>
      </c>
      <c r="B372" s="2" t="str">
        <f>PasteHashtag!B372</f>
        <v/>
      </c>
      <c r="C372" s="343" t="str">
        <f>PasteHashtag!C372</f>
        <v>Devonte' Graham</v>
      </c>
      <c r="D372" s="2" t="str">
        <f>PasteHashtag!D372</f>
        <v>PG,SG</v>
      </c>
      <c r="E372" s="2" t="str">
        <f>PasteHashtag!E372</f>
        <v>POR</v>
      </c>
      <c r="F372" s="2">
        <f>PasteHashtag!F372</f>
        <v>40</v>
      </c>
      <c r="G372" s="2">
        <f>PasteHashtag!G372</f>
        <v>11.1</v>
      </c>
      <c r="H372" s="2">
        <f>MID(PasteHashtag!H372,1+FIND("(",PasteHashtag!H372),FIND("/",PasteHashtag!H372)-FIND("(",PasteHashtag!H372)-1)*1</f>
        <v>1.4</v>
      </c>
      <c r="I372" s="2">
        <f>LEFT(PasteHashtag!H372,FIND("(",PasteHashtag!H372)-1)*1</f>
        <v>0.369</v>
      </c>
      <c r="J372" s="2">
        <f>MID(PasteHashtag!I372,1+FIND("(",PasteHashtag!I372),FIND("/",PasteHashtag!I372)-FIND("(",PasteHashtag!I372)-1)*1</f>
        <v>0.8</v>
      </c>
      <c r="K372" s="2">
        <f>LEFT(PasteHashtag!I372,FIND("(",PasteHashtag!I372)-1)*1</f>
        <v>0.75</v>
      </c>
      <c r="L372" s="2">
        <f>PasteHashtag!J372</f>
        <v>1</v>
      </c>
      <c r="M372" s="2">
        <f>PasteHashtag!K372</f>
        <v>4.4</v>
      </c>
      <c r="N372" s="2">
        <f>PasteHashtag!L372</f>
        <v>1.1</v>
      </c>
      <c r="O372" s="2">
        <f>PasteHashtag!M372</f>
        <v>1.7</v>
      </c>
      <c r="P372" s="2">
        <f>PasteHashtag!N372</f>
        <v>0.4</v>
      </c>
      <c r="Q372" s="2">
        <f>PasteHashtag!O372</f>
        <v>0.1</v>
      </c>
      <c r="R372" s="2">
        <f>PasteHashtag!P372</f>
        <v>0.5</v>
      </c>
      <c r="S372" s="2">
        <f>Mid(PasteHashtag!H372,FIND("/",PasteHashtag!H372)+1,LEN(PasteHashtag!H372)-FIND("/",PasteHashtag!H372)-1)*1</f>
        <v>3.7</v>
      </c>
      <c r="T372" s="344">
        <f>Mid(PasteHashtag!I372,FIND("/",PasteHashtag!I372)+1,LEN(PasteHashtag!I372)-FIND("/",PasteHashtag!I372)-1)*1</f>
        <v>1</v>
      </c>
    </row>
    <row r="373">
      <c r="A373" s="2">
        <v>372.0</v>
      </c>
      <c r="B373" s="2" t="str">
        <f>PasteHashtag!B373</f>
        <v/>
      </c>
      <c r="C373" s="343" t="str">
        <f>PasteHashtag!C373</f>
        <v>David Jones</v>
      </c>
      <c r="D373" s="2" t="str">
        <f>PasteHashtag!D373</f>
        <v>SF</v>
      </c>
      <c r="E373" s="2" t="str">
        <f>PasteHashtag!E373</f>
        <v>PHI</v>
      </c>
      <c r="F373" s="2">
        <f>PasteHashtag!F373</f>
        <v>20</v>
      </c>
      <c r="G373" s="2">
        <f>PasteHashtag!G373</f>
        <v>8.4</v>
      </c>
      <c r="H373" s="2">
        <f>MID(PasteHashtag!H373,1+FIND("(",PasteHashtag!H373),FIND("/",PasteHashtag!H373)-FIND("(",PasteHashtag!H373)-1)*1</f>
        <v>1.4</v>
      </c>
      <c r="I373" s="2">
        <f>LEFT(PasteHashtag!H373,FIND("(",PasteHashtag!H373)-1)*1</f>
        <v>0.461</v>
      </c>
      <c r="J373" s="2">
        <f>MID(PasteHashtag!I373,1+FIND("(",PasteHashtag!I373),FIND("/",PasteHashtag!I373)-FIND("(",PasteHashtag!I373)-1)*1</f>
        <v>1.1</v>
      </c>
      <c r="K373" s="2">
        <f>LEFT(PasteHashtag!I373,FIND("(",PasteHashtag!I373)-1)*1</f>
        <v>0.795</v>
      </c>
      <c r="L373" s="2">
        <f>PasteHashtag!J373</f>
        <v>0.5</v>
      </c>
      <c r="M373" s="2">
        <f>PasteHashtag!K373</f>
        <v>4.3</v>
      </c>
      <c r="N373" s="2">
        <f>PasteHashtag!L373</f>
        <v>1.5</v>
      </c>
      <c r="O373" s="2">
        <f>PasteHashtag!M373</f>
        <v>0.4</v>
      </c>
      <c r="P373" s="2">
        <f>PasteHashtag!N373</f>
        <v>0.4</v>
      </c>
      <c r="Q373" s="2">
        <f>PasteHashtag!O373</f>
        <v>0.1</v>
      </c>
      <c r="R373" s="2">
        <f>PasteHashtag!P373</f>
        <v>0.6</v>
      </c>
      <c r="S373" s="2">
        <f>Mid(PasteHashtag!H373,FIND("/",PasteHashtag!H373)+1,LEN(PasteHashtag!H373)-FIND("/",PasteHashtag!H373)-1)*1</f>
        <v>3</v>
      </c>
      <c r="T373" s="344">
        <f>Mid(PasteHashtag!I373,FIND("/",PasteHashtag!I373)+1,LEN(PasteHashtag!I373)-FIND("/",PasteHashtag!I373)-1)*1</f>
        <v>1.3</v>
      </c>
    </row>
    <row r="374">
      <c r="A374" s="2">
        <v>373.0</v>
      </c>
      <c r="B374" s="2" t="str">
        <f>PasteHashtag!B374</f>
        <v/>
      </c>
      <c r="C374" s="343" t="str">
        <f>PasteHashtag!C374</f>
        <v>Orlando Robinson</v>
      </c>
      <c r="D374" s="2" t="str">
        <f>PasteHashtag!D374</f>
        <v>C</v>
      </c>
      <c r="E374" s="2" t="str">
        <f>PasteHashtag!E374</f>
        <v>SAC</v>
      </c>
      <c r="F374" s="2">
        <f>PasteHashtag!F374</f>
        <v>40</v>
      </c>
      <c r="G374" s="2">
        <f>PasteHashtag!G374</f>
        <v>9.4</v>
      </c>
      <c r="H374" s="2">
        <f>MID(PasteHashtag!H374,1+FIND("(",PasteHashtag!H374),FIND("/",PasteHashtag!H374)-FIND("(",PasteHashtag!H374)-1)*1</f>
        <v>1.1</v>
      </c>
      <c r="I374" s="2">
        <f>LEFT(PasteHashtag!H374,FIND("(",PasteHashtag!H374)-1)*1</f>
        <v>0.514</v>
      </c>
      <c r="J374" s="2">
        <f>MID(PasteHashtag!I374,1+FIND("(",PasteHashtag!I374),FIND("/",PasteHashtag!I374)-FIND("(",PasteHashtag!I374)-1)*1</f>
        <v>0.5</v>
      </c>
      <c r="K374" s="2">
        <f>LEFT(PasteHashtag!I374,FIND("(",PasteHashtag!I374)-1)*1</f>
        <v>0.726</v>
      </c>
      <c r="L374" s="2">
        <f>PasteHashtag!J374</f>
        <v>0.1</v>
      </c>
      <c r="M374" s="2">
        <f>PasteHashtag!K374</f>
        <v>2.8</v>
      </c>
      <c r="N374" s="2">
        <f>PasteHashtag!L374</f>
        <v>2.7</v>
      </c>
      <c r="O374" s="2">
        <f>PasteHashtag!M374</f>
        <v>0.8</v>
      </c>
      <c r="P374" s="2">
        <f>PasteHashtag!N374</f>
        <v>0.3</v>
      </c>
      <c r="Q374" s="2">
        <f>PasteHashtag!O374</f>
        <v>0.3</v>
      </c>
      <c r="R374" s="2">
        <f>PasteHashtag!P374</f>
        <v>0.4</v>
      </c>
      <c r="S374" s="2">
        <f>Mid(PasteHashtag!H374,FIND("/",PasteHashtag!H374)+1,LEN(PasteHashtag!H374)-FIND("/",PasteHashtag!H374)-1)*1</f>
        <v>2.1</v>
      </c>
      <c r="T374" s="344">
        <f>Mid(PasteHashtag!I374,FIND("/",PasteHashtag!I374)+1,LEN(PasteHashtag!I374)-FIND("/",PasteHashtag!I374)-1)*1</f>
        <v>0.7</v>
      </c>
    </row>
    <row r="375">
      <c r="A375" s="2">
        <v>374.0</v>
      </c>
      <c r="B375" s="2" t="str">
        <f>PasteHashtag!B375</f>
        <v/>
      </c>
      <c r="C375" s="343" t="str">
        <f>PasteHashtag!C375</f>
        <v>Baylor Scheierman</v>
      </c>
      <c r="D375" s="2" t="str">
        <f>PasteHashtag!D375</f>
        <v>SG</v>
      </c>
      <c r="E375" s="2" t="str">
        <f>PasteHashtag!E375</f>
        <v>BOS</v>
      </c>
      <c r="F375" s="2">
        <f>PasteHashtag!F375</f>
        <v>40</v>
      </c>
      <c r="G375" s="2">
        <f>PasteHashtag!G375</f>
        <v>11.1</v>
      </c>
      <c r="H375" s="2">
        <f>MID(PasteHashtag!H375,1+FIND("(",PasteHashtag!H375),FIND("/",PasteHashtag!H375)-FIND("(",PasteHashtag!H375)-1)*1</f>
        <v>1.4</v>
      </c>
      <c r="I375" s="2">
        <f>LEFT(PasteHashtag!H375,FIND("(",PasteHashtag!H375)-1)*1</f>
        <v>0.442</v>
      </c>
      <c r="J375" s="2">
        <f>MID(PasteHashtag!I375,1+FIND("(",PasteHashtag!I375),FIND("/",PasteHashtag!I375)-FIND("(",PasteHashtag!I375)-1)*1</f>
        <v>0.6</v>
      </c>
      <c r="K375" s="2">
        <f>LEFT(PasteHashtag!I375,FIND("(",PasteHashtag!I375)-1)*1</f>
        <v>0.822</v>
      </c>
      <c r="L375" s="2">
        <f>PasteHashtag!J375</f>
        <v>0.7</v>
      </c>
      <c r="M375" s="2">
        <f>PasteHashtag!K375</f>
        <v>4.1</v>
      </c>
      <c r="N375" s="2">
        <f>PasteHashtag!L375</f>
        <v>2</v>
      </c>
      <c r="O375" s="2">
        <f>PasteHashtag!M375</f>
        <v>0.9</v>
      </c>
      <c r="P375" s="2">
        <f>PasteHashtag!N375</f>
        <v>0.2</v>
      </c>
      <c r="Q375" s="2">
        <f>PasteHashtag!O375</f>
        <v>0</v>
      </c>
      <c r="R375" s="2">
        <f>PasteHashtag!P375</f>
        <v>0.5</v>
      </c>
      <c r="S375" s="2">
        <f>Mid(PasteHashtag!H375,FIND("/",PasteHashtag!H375)+1,LEN(PasteHashtag!H375)-FIND("/",PasteHashtag!H375)-1)*1</f>
        <v>3.2</v>
      </c>
      <c r="T375" s="344">
        <f>Mid(PasteHashtag!I375,FIND("/",PasteHashtag!I375)+1,LEN(PasteHashtag!I375)-FIND("/",PasteHashtag!I375)-1)*1</f>
        <v>0.7</v>
      </c>
    </row>
    <row r="376">
      <c r="A376" s="2">
        <v>375.0</v>
      </c>
      <c r="B376" s="2" t="str">
        <f>PasteHashtag!B376</f>
        <v/>
      </c>
      <c r="C376" s="343" t="str">
        <f>PasteHashtag!C376</f>
        <v>AJ Green</v>
      </c>
      <c r="D376" s="2" t="str">
        <f>PasteHashtag!D376</f>
        <v>PG,SG</v>
      </c>
      <c r="E376" s="2" t="str">
        <f>PasteHashtag!E376</f>
        <v>MIL</v>
      </c>
      <c r="F376" s="2">
        <f>PasteHashtag!F376</f>
        <v>58</v>
      </c>
      <c r="G376" s="2">
        <f>PasteHashtag!G376</f>
        <v>10.4</v>
      </c>
      <c r="H376" s="2">
        <f>MID(PasteHashtag!H376,1+FIND("(",PasteHashtag!H376),FIND("/",PasteHashtag!H376)-FIND("(",PasteHashtag!H376)-1)*1</f>
        <v>1.5</v>
      </c>
      <c r="I376" s="2">
        <f>LEFT(PasteHashtag!H376,FIND("(",PasteHashtag!H376)-1)*1</f>
        <v>0.425</v>
      </c>
      <c r="J376" s="2">
        <f>MID(PasteHashtag!I376,1+FIND("(",PasteHashtag!I376),FIND("/",PasteHashtag!I376)-FIND("(",PasteHashtag!I376)-1)*1</f>
        <v>0.2</v>
      </c>
      <c r="K376" s="2">
        <f>LEFT(PasteHashtag!I376,FIND("(",PasteHashtag!I376)-1)*1</f>
        <v>0.92</v>
      </c>
      <c r="L376" s="2">
        <f>PasteHashtag!J376</f>
        <v>1.2</v>
      </c>
      <c r="M376" s="2">
        <f>PasteHashtag!K376</f>
        <v>4.5</v>
      </c>
      <c r="N376" s="2">
        <f>PasteHashtag!L376</f>
        <v>1.2</v>
      </c>
      <c r="O376" s="2">
        <f>PasteHashtag!M376</f>
        <v>0.6</v>
      </c>
      <c r="P376" s="2">
        <f>PasteHashtag!N376</f>
        <v>0.2</v>
      </c>
      <c r="Q376" s="2">
        <f>PasteHashtag!O376</f>
        <v>0</v>
      </c>
      <c r="R376" s="2">
        <f>PasteHashtag!P376</f>
        <v>0.2</v>
      </c>
      <c r="S376" s="2">
        <f>Mid(PasteHashtag!H376,FIND("/",PasteHashtag!H376)+1,LEN(PasteHashtag!H376)-FIND("/",PasteHashtag!H376)-1)*1</f>
        <v>3.5</v>
      </c>
      <c r="T376" s="344">
        <f>Mid(PasteHashtag!I376,FIND("/",PasteHashtag!I376)+1,LEN(PasteHashtag!I376)-FIND("/",PasteHashtag!I376)-1)*1</f>
        <v>0.3</v>
      </c>
    </row>
    <row r="377">
      <c r="A377" s="2">
        <v>376.0</v>
      </c>
      <c r="B377" s="2" t="str">
        <f>PasteHashtag!B377</f>
        <v/>
      </c>
      <c r="C377" s="343" t="str">
        <f>PasteHashtag!C377</f>
        <v>Isaiah Collier</v>
      </c>
      <c r="D377" s="2" t="str">
        <f>PasteHashtag!D377</f>
        <v>PG</v>
      </c>
      <c r="E377" s="2" t="str">
        <f>PasteHashtag!E377</f>
        <v>UTA</v>
      </c>
      <c r="F377" s="2">
        <f>PasteHashtag!F377</f>
        <v>50</v>
      </c>
      <c r="G377" s="2">
        <f>PasteHashtag!G377</f>
        <v>15.5</v>
      </c>
      <c r="H377" s="2">
        <f>MID(PasteHashtag!H377,1+FIND("(",PasteHashtag!H377),FIND("/",PasteHashtag!H377)-FIND("(",PasteHashtag!H377)-1)*1</f>
        <v>2.2</v>
      </c>
      <c r="I377" s="2">
        <f>LEFT(PasteHashtag!H377,FIND("(",PasteHashtag!H377)-1)*1</f>
        <v>0.491</v>
      </c>
      <c r="J377" s="2">
        <f>MID(PasteHashtag!I377,1+FIND("(",PasteHashtag!I377),FIND("/",PasteHashtag!I377)-FIND("(",PasteHashtag!I377)-1)*1</f>
        <v>1.5</v>
      </c>
      <c r="K377" s="2">
        <f>LEFT(PasteHashtag!I377,FIND("(",PasteHashtag!I377)-1)*1</f>
        <v>0.671</v>
      </c>
      <c r="L377" s="2">
        <f>PasteHashtag!J377</f>
        <v>0.4</v>
      </c>
      <c r="M377" s="2">
        <f>PasteHashtag!K377</f>
        <v>6.3</v>
      </c>
      <c r="N377" s="2">
        <f>PasteHashtag!L377</f>
        <v>1.1</v>
      </c>
      <c r="O377" s="2">
        <f>PasteHashtag!M377</f>
        <v>1.7</v>
      </c>
      <c r="P377" s="2">
        <f>PasteHashtag!N377</f>
        <v>0.6</v>
      </c>
      <c r="Q377" s="2">
        <f>PasteHashtag!O377</f>
        <v>0.1</v>
      </c>
      <c r="R377" s="2">
        <f>PasteHashtag!P377</f>
        <v>1.3</v>
      </c>
      <c r="S377" s="2">
        <f>Mid(PasteHashtag!H377,FIND("/",PasteHashtag!H377)+1,LEN(PasteHashtag!H377)-FIND("/",PasteHashtag!H377)-1)*1</f>
        <v>4.5</v>
      </c>
      <c r="T377" s="344">
        <f>Mid(PasteHashtag!I377,FIND("/",PasteHashtag!I377)+1,LEN(PasteHashtag!I377)-FIND("/",PasteHashtag!I377)-1)*1</f>
        <v>2.3</v>
      </c>
    </row>
    <row r="378">
      <c r="A378" s="2">
        <v>377.0</v>
      </c>
      <c r="B378" s="2" t="str">
        <f>PasteHashtag!B378</f>
        <v/>
      </c>
      <c r="C378" s="343" t="str">
        <f>PasteHashtag!C378</f>
        <v>Cory Joseph</v>
      </c>
      <c r="D378" s="2" t="str">
        <f>PasteHashtag!D378</f>
        <v>PG</v>
      </c>
      <c r="E378" s="2" t="str">
        <f>PasteHashtag!E378</f>
        <v>ORL</v>
      </c>
      <c r="F378" s="2">
        <f>PasteHashtag!F378</f>
        <v>20</v>
      </c>
      <c r="G378" s="2">
        <f>PasteHashtag!G378</f>
        <v>11.1</v>
      </c>
      <c r="H378" s="2">
        <f>MID(PasteHashtag!H378,1+FIND("(",PasteHashtag!H378),FIND("/",PasteHashtag!H378)-FIND("(",PasteHashtag!H378)-1)*1</f>
        <v>1.3</v>
      </c>
      <c r="I378" s="2">
        <f>LEFT(PasteHashtag!H378,FIND("(",PasteHashtag!H378)-1)*1</f>
        <v>0.416</v>
      </c>
      <c r="J378" s="2">
        <f>MID(PasteHashtag!I378,1+FIND("(",PasteHashtag!I378),FIND("/",PasteHashtag!I378)-FIND("(",PasteHashtag!I378)-1)*1</f>
        <v>0.5</v>
      </c>
      <c r="K378" s="2">
        <f>LEFT(PasteHashtag!I378,FIND("(",PasteHashtag!I378)-1)*1</f>
        <v>0.776</v>
      </c>
      <c r="L378" s="2">
        <f>PasteHashtag!J378</f>
        <v>0.6</v>
      </c>
      <c r="M378" s="2">
        <f>PasteHashtag!K378</f>
        <v>3.6</v>
      </c>
      <c r="N378" s="2">
        <f>PasteHashtag!L378</f>
        <v>1</v>
      </c>
      <c r="O378" s="2">
        <f>PasteHashtag!M378</f>
        <v>1.9</v>
      </c>
      <c r="P378" s="2">
        <f>PasteHashtag!N378</f>
        <v>0.3</v>
      </c>
      <c r="Q378" s="2">
        <f>PasteHashtag!O378</f>
        <v>0.1</v>
      </c>
      <c r="R378" s="2">
        <f>PasteHashtag!P378</f>
        <v>0.5</v>
      </c>
      <c r="S378" s="2">
        <f>Mid(PasteHashtag!H378,FIND("/",PasteHashtag!H378)+1,LEN(PasteHashtag!H378)-FIND("/",PasteHashtag!H378)-1)*1</f>
        <v>3.1</v>
      </c>
      <c r="T378" s="344">
        <f>Mid(PasteHashtag!I378,FIND("/",PasteHashtag!I378)+1,LEN(PasteHashtag!I378)-FIND("/",PasteHashtag!I378)-1)*1</f>
        <v>0.6</v>
      </c>
    </row>
    <row r="379">
      <c r="A379" s="2">
        <v>378.0</v>
      </c>
      <c r="B379" s="2" t="str">
        <f>PasteHashtag!B379</f>
        <v/>
      </c>
      <c r="C379" s="343" t="str">
        <f>PasteHashtag!C379</f>
        <v>DeAndre Jordan</v>
      </c>
      <c r="D379" s="2" t="str">
        <f>PasteHashtag!D379</f>
        <v>C</v>
      </c>
      <c r="E379" s="2" t="str">
        <f>PasteHashtag!E379</f>
        <v>DEN</v>
      </c>
      <c r="F379" s="2">
        <f>PasteHashtag!F379</f>
        <v>30</v>
      </c>
      <c r="G379" s="2">
        <f>PasteHashtag!G379</f>
        <v>10</v>
      </c>
      <c r="H379" s="2">
        <f>MID(PasteHashtag!H379,1+FIND("(",PasteHashtag!H379),FIND("/",PasteHashtag!H379)-FIND("(",PasteHashtag!H379)-1)*1</f>
        <v>1.5</v>
      </c>
      <c r="I379" s="2">
        <f>LEFT(PasteHashtag!H379,FIND("(",PasteHashtag!H379)-1)*1</f>
        <v>0.701</v>
      </c>
      <c r="J379" s="2">
        <f>MID(PasteHashtag!I379,1+FIND("(",PasteHashtag!I379),FIND("/",PasteHashtag!I379)-FIND("(",PasteHashtag!I379)-1)*1</f>
        <v>0.5</v>
      </c>
      <c r="K379" s="2">
        <f>LEFT(PasteHashtag!I379,FIND("(",PasteHashtag!I379)-1)*1</f>
        <v>0.471</v>
      </c>
      <c r="L379" s="2">
        <f>PasteHashtag!J379</f>
        <v>0</v>
      </c>
      <c r="M379" s="2">
        <f>PasteHashtag!K379</f>
        <v>3.5</v>
      </c>
      <c r="N379" s="2">
        <f>PasteHashtag!L379</f>
        <v>3.7</v>
      </c>
      <c r="O379" s="2">
        <f>PasteHashtag!M379</f>
        <v>0.6</v>
      </c>
      <c r="P379" s="2">
        <f>PasteHashtag!N379</f>
        <v>0.2</v>
      </c>
      <c r="Q379" s="2">
        <f>PasteHashtag!O379</f>
        <v>0.4</v>
      </c>
      <c r="R379" s="2">
        <f>PasteHashtag!P379</f>
        <v>0.7</v>
      </c>
      <c r="S379" s="2">
        <f>Mid(PasteHashtag!H379,FIND("/",PasteHashtag!H379)+1,LEN(PasteHashtag!H379)-FIND("/",PasteHashtag!H379)-1)*1</f>
        <v>2.1</v>
      </c>
      <c r="T379" s="344">
        <f>Mid(PasteHashtag!I379,FIND("/",PasteHashtag!I379)+1,LEN(PasteHashtag!I379)-FIND("/",PasteHashtag!I379)-1)*1</f>
        <v>1</v>
      </c>
    </row>
    <row r="380">
      <c r="A380" s="2">
        <v>379.0</v>
      </c>
      <c r="B380" s="2" t="str">
        <f>PasteHashtag!B380</f>
        <v/>
      </c>
      <c r="C380" s="343" t="str">
        <f>PasteHashtag!C380</f>
        <v>Pelle Larsson</v>
      </c>
      <c r="D380" s="2" t="str">
        <f>PasteHashtag!D380</f>
        <v>SG</v>
      </c>
      <c r="E380" s="2" t="str">
        <f>PasteHashtag!E380</f>
        <v>MIA</v>
      </c>
      <c r="F380" s="2">
        <f>PasteHashtag!F380</f>
        <v>40</v>
      </c>
      <c r="G380" s="2">
        <f>PasteHashtag!G380</f>
        <v>12.4</v>
      </c>
      <c r="H380" s="2">
        <f>MID(PasteHashtag!H380,1+FIND("(",PasteHashtag!H380),FIND("/",PasteHashtag!H380)-FIND("(",PasteHashtag!H380)-1)*1</f>
        <v>1.4</v>
      </c>
      <c r="I380" s="2">
        <f>LEFT(PasteHashtag!H380,FIND("(",PasteHashtag!H380)-1)*1</f>
        <v>0.519</v>
      </c>
      <c r="J380" s="2">
        <f>MID(PasteHashtag!I380,1+FIND("(",PasteHashtag!I380),FIND("/",PasteHashtag!I380)-FIND("(",PasteHashtag!I380)-1)*1</f>
        <v>0.8</v>
      </c>
      <c r="K380" s="2">
        <f>LEFT(PasteHashtag!I380,FIND("(",PasteHashtag!I380)-1)*1</f>
        <v>0.75</v>
      </c>
      <c r="L380" s="2">
        <f>PasteHashtag!J380</f>
        <v>0.4</v>
      </c>
      <c r="M380" s="2">
        <f>PasteHashtag!K380</f>
        <v>4</v>
      </c>
      <c r="N380" s="2">
        <f>PasteHashtag!L380</f>
        <v>1.3</v>
      </c>
      <c r="O380" s="2">
        <f>PasteHashtag!M380</f>
        <v>1.2</v>
      </c>
      <c r="P380" s="2">
        <f>PasteHashtag!N380</f>
        <v>0.3</v>
      </c>
      <c r="Q380" s="2">
        <f>PasteHashtag!O380</f>
        <v>0.1</v>
      </c>
      <c r="R380" s="2">
        <f>PasteHashtag!P380</f>
        <v>0.6</v>
      </c>
      <c r="S380" s="2">
        <f>Mid(PasteHashtag!H380,FIND("/",PasteHashtag!H380)+1,LEN(PasteHashtag!H380)-FIND("/",PasteHashtag!H380)-1)*1</f>
        <v>2.7</v>
      </c>
      <c r="T380" s="344">
        <f>Mid(PasteHashtag!I380,FIND("/",PasteHashtag!I380)+1,LEN(PasteHashtag!I380)-FIND("/",PasteHashtag!I380)-1)*1</f>
        <v>1</v>
      </c>
    </row>
    <row r="381">
      <c r="A381" s="2">
        <v>380.0</v>
      </c>
      <c r="B381" s="2" t="str">
        <f>PasteHashtag!B381</f>
        <v/>
      </c>
      <c r="C381" s="343" t="str">
        <f>PasteHashtag!C381</f>
        <v>Keita Bates-Diop</v>
      </c>
      <c r="D381" s="2" t="str">
        <f>PasteHashtag!D381</f>
        <v>SF,PF</v>
      </c>
      <c r="E381" s="2" t="str">
        <f>PasteHashtag!E381</f>
        <v>NY</v>
      </c>
      <c r="F381" s="2">
        <f>PasteHashtag!F381</f>
        <v>20</v>
      </c>
      <c r="G381" s="2">
        <f>PasteHashtag!G381</f>
        <v>8.8</v>
      </c>
      <c r="H381" s="2">
        <f>MID(PasteHashtag!H381,1+FIND("(",PasteHashtag!H381),FIND("/",PasteHashtag!H381)-FIND("(",PasteHashtag!H381)-1)*1</f>
        <v>1.3</v>
      </c>
      <c r="I381" s="2">
        <f>LEFT(PasteHashtag!H381,FIND("(",PasteHashtag!H381)-1)*1</f>
        <v>0.487</v>
      </c>
      <c r="J381" s="2">
        <f>MID(PasteHashtag!I381,1+FIND("(",PasteHashtag!I381),FIND("/",PasteHashtag!I381)-FIND("(",PasteHashtag!I381)-1)*1</f>
        <v>0.6</v>
      </c>
      <c r="K381" s="2">
        <f>LEFT(PasteHashtag!I381,FIND("(",PasteHashtag!I381)-1)*1</f>
        <v>0.778</v>
      </c>
      <c r="L381" s="2">
        <f>PasteHashtag!J381</f>
        <v>0.3</v>
      </c>
      <c r="M381" s="2">
        <f>PasteHashtag!K381</f>
        <v>3.5</v>
      </c>
      <c r="N381" s="2">
        <f>PasteHashtag!L381</f>
        <v>1.5</v>
      </c>
      <c r="O381" s="2">
        <f>PasteHashtag!M381</f>
        <v>0.6</v>
      </c>
      <c r="P381" s="2">
        <f>PasteHashtag!N381</f>
        <v>0.3</v>
      </c>
      <c r="Q381" s="2">
        <f>PasteHashtag!O381</f>
        <v>0.2</v>
      </c>
      <c r="R381" s="2">
        <f>PasteHashtag!P381</f>
        <v>0.3</v>
      </c>
      <c r="S381" s="2">
        <f>Mid(PasteHashtag!H381,FIND("/",PasteHashtag!H381)+1,LEN(PasteHashtag!H381)-FIND("/",PasteHashtag!H381)-1)*1</f>
        <v>2.7</v>
      </c>
      <c r="T381" s="344">
        <f>Mid(PasteHashtag!I381,FIND("/",PasteHashtag!I381)+1,LEN(PasteHashtag!I381)-FIND("/",PasteHashtag!I381)-1)*1</f>
        <v>0.8</v>
      </c>
    </row>
    <row r="382">
      <c r="A382" s="2">
        <v>381.0</v>
      </c>
      <c r="B382" s="2" t="str">
        <f>PasteHashtag!B382</f>
        <v/>
      </c>
      <c r="C382" s="343" t="str">
        <f>PasteHashtag!C382</f>
        <v>Johnny Juzang</v>
      </c>
      <c r="D382" s="2" t="str">
        <f>PasteHashtag!D382</f>
        <v>SG,SF</v>
      </c>
      <c r="E382" s="2" t="str">
        <f>PasteHashtag!E382</f>
        <v>UTA</v>
      </c>
      <c r="F382" s="2">
        <f>PasteHashtag!F382</f>
        <v>30</v>
      </c>
      <c r="G382" s="2">
        <f>PasteHashtag!G382</f>
        <v>14.9</v>
      </c>
      <c r="H382" s="2">
        <f>MID(PasteHashtag!H382,1+FIND("(",PasteHashtag!H382),FIND("/",PasteHashtag!H382)-FIND("(",PasteHashtag!H382)-1)*1</f>
        <v>2.1</v>
      </c>
      <c r="I382" s="2">
        <f>LEFT(PasteHashtag!H382,FIND("(",PasteHashtag!H382)-1)*1</f>
        <v>0.402</v>
      </c>
      <c r="J382" s="2">
        <f>MID(PasteHashtag!I382,1+FIND("(",PasteHashtag!I382),FIND("/",PasteHashtag!I382)-FIND("(",PasteHashtag!I382)-1)*1</f>
        <v>0.3</v>
      </c>
      <c r="K382" s="2">
        <f>LEFT(PasteHashtag!I382,FIND("(",PasteHashtag!I382)-1)*1</f>
        <v>0.667</v>
      </c>
      <c r="L382" s="2">
        <f>PasteHashtag!J382</f>
        <v>1.2</v>
      </c>
      <c r="M382" s="2">
        <f>PasteHashtag!K382</f>
        <v>5.8</v>
      </c>
      <c r="N382" s="2">
        <f>PasteHashtag!L382</f>
        <v>1.9</v>
      </c>
      <c r="O382" s="2">
        <f>PasteHashtag!M382</f>
        <v>0.8</v>
      </c>
      <c r="P382" s="2">
        <f>PasteHashtag!N382</f>
        <v>0.2</v>
      </c>
      <c r="Q382" s="2">
        <f>PasteHashtag!O382</f>
        <v>0.1</v>
      </c>
      <c r="R382" s="2">
        <f>PasteHashtag!P382</f>
        <v>0.4</v>
      </c>
      <c r="S382" s="2">
        <f>Mid(PasteHashtag!H382,FIND("/",PasteHashtag!H382)+1,LEN(PasteHashtag!H382)-FIND("/",PasteHashtag!H382)-1)*1</f>
        <v>5.3</v>
      </c>
      <c r="T382" s="344">
        <f>Mid(PasteHashtag!I382,FIND("/",PasteHashtag!I382)+1,LEN(PasteHashtag!I382)-FIND("/",PasteHashtag!I382)-1)*1</f>
        <v>0.5</v>
      </c>
    </row>
    <row r="383">
      <c r="A383" s="2">
        <v>382.0</v>
      </c>
      <c r="B383" s="2" t="str">
        <f>PasteHashtag!B383</f>
        <v/>
      </c>
      <c r="C383" s="343" t="str">
        <f>PasteHashtag!C383</f>
        <v>Nick Smith Jr.</v>
      </c>
      <c r="D383" s="2" t="str">
        <f>PasteHashtag!D383</f>
        <v>PG,SG</v>
      </c>
      <c r="E383" s="2" t="str">
        <f>PasteHashtag!E383</f>
        <v>CHA</v>
      </c>
      <c r="F383" s="2">
        <f>PasteHashtag!F383</f>
        <v>30</v>
      </c>
      <c r="G383" s="2">
        <f>PasteHashtag!G383</f>
        <v>13.1</v>
      </c>
      <c r="H383" s="2">
        <f>MID(PasteHashtag!H383,1+FIND("(",PasteHashtag!H383),FIND("/",PasteHashtag!H383)-FIND("(",PasteHashtag!H383)-1)*1</f>
        <v>2.1</v>
      </c>
      <c r="I383" s="2">
        <f>LEFT(PasteHashtag!H383,FIND("(",PasteHashtag!H383)-1)*1</f>
        <v>0.39</v>
      </c>
      <c r="J383" s="2">
        <f>MID(PasteHashtag!I383,1+FIND("(",PasteHashtag!I383),FIND("/",PasteHashtag!I383)-FIND("(",PasteHashtag!I383)-1)*1</f>
        <v>0.2</v>
      </c>
      <c r="K383" s="2">
        <f>LEFT(PasteHashtag!I383,FIND("(",PasteHashtag!I383)-1)*1</f>
        <v>0.889</v>
      </c>
      <c r="L383" s="2">
        <f>PasteHashtag!J383</f>
        <v>1.1</v>
      </c>
      <c r="M383" s="2">
        <f>PasteHashtag!K383</f>
        <v>5.5</v>
      </c>
      <c r="N383" s="2">
        <f>PasteHashtag!L383</f>
        <v>1.3</v>
      </c>
      <c r="O383" s="2">
        <f>PasteHashtag!M383</f>
        <v>1.1</v>
      </c>
      <c r="P383" s="2">
        <f>PasteHashtag!N383</f>
        <v>0.2</v>
      </c>
      <c r="Q383" s="2">
        <f>PasteHashtag!O383</f>
        <v>0.1</v>
      </c>
      <c r="R383" s="2">
        <f>PasteHashtag!P383</f>
        <v>0.7</v>
      </c>
      <c r="S383" s="2">
        <f>Mid(PasteHashtag!H383,FIND("/",PasteHashtag!H383)+1,LEN(PasteHashtag!H383)-FIND("/",PasteHashtag!H383)-1)*1</f>
        <v>5.3</v>
      </c>
      <c r="T383" s="344">
        <f>Mid(PasteHashtag!I383,FIND("/",PasteHashtag!I383)+1,LEN(PasteHashtag!I383)-FIND("/",PasteHashtag!I383)-1)*1</f>
        <v>0.3</v>
      </c>
    </row>
    <row r="384">
      <c r="A384" s="2">
        <v>383.0</v>
      </c>
      <c r="B384" s="2" t="str">
        <f>PasteHashtag!B384</f>
        <v/>
      </c>
      <c r="C384" s="343" t="str">
        <f>PasteHashtag!C384</f>
        <v>Vlatko Cancar</v>
      </c>
      <c r="D384" s="2" t="str">
        <f>PasteHashtag!D384</f>
        <v>PF</v>
      </c>
      <c r="E384" s="2" t="str">
        <f>PasteHashtag!E384</f>
        <v>DEN</v>
      </c>
      <c r="F384" s="2">
        <f>PasteHashtag!F384</f>
        <v>40</v>
      </c>
      <c r="G384" s="2">
        <f>PasteHashtag!G384</f>
        <v>8.8</v>
      </c>
      <c r="H384" s="2">
        <f>MID(PasteHashtag!H384,1+FIND("(",PasteHashtag!H384),FIND("/",PasteHashtag!H384)-FIND("(",PasteHashtag!H384)-1)*1</f>
        <v>1.1</v>
      </c>
      <c r="I384" s="2">
        <f>LEFT(PasteHashtag!H384,FIND("(",PasteHashtag!H384)-1)*1</f>
        <v>0.476</v>
      </c>
      <c r="J384" s="2">
        <f>MID(PasteHashtag!I384,1+FIND("(",PasteHashtag!I384),FIND("/",PasteHashtag!I384)-FIND("(",PasteHashtag!I384)-1)*1</f>
        <v>0.4</v>
      </c>
      <c r="K384" s="2">
        <f>LEFT(PasteHashtag!I384,FIND("(",PasteHashtag!I384)-1)*1</f>
        <v>0.927</v>
      </c>
      <c r="L384" s="2">
        <f>PasteHashtag!J384</f>
        <v>0.4</v>
      </c>
      <c r="M384" s="2">
        <f>PasteHashtag!K384</f>
        <v>3</v>
      </c>
      <c r="N384" s="2">
        <f>PasteHashtag!L384</f>
        <v>1.3</v>
      </c>
      <c r="O384" s="2">
        <f>PasteHashtag!M384</f>
        <v>0.8</v>
      </c>
      <c r="P384" s="2">
        <f>PasteHashtag!N384</f>
        <v>0.2</v>
      </c>
      <c r="Q384" s="2">
        <f>PasteHashtag!O384</f>
        <v>0.1</v>
      </c>
      <c r="R384" s="2">
        <f>PasteHashtag!P384</f>
        <v>0.4</v>
      </c>
      <c r="S384" s="2">
        <f>Mid(PasteHashtag!H384,FIND("/",PasteHashtag!H384)+1,LEN(PasteHashtag!H384)-FIND("/",PasteHashtag!H384)-1)*1</f>
        <v>2.3</v>
      </c>
      <c r="T384" s="344">
        <f>Mid(PasteHashtag!I384,FIND("/",PasteHashtag!I384)+1,LEN(PasteHashtag!I384)-FIND("/",PasteHashtag!I384)-1)*1</f>
        <v>0.4</v>
      </c>
    </row>
    <row r="385">
      <c r="A385" s="2">
        <v>384.0</v>
      </c>
      <c r="B385" s="2" t="str">
        <f>PasteHashtag!B385</f>
        <v/>
      </c>
      <c r="C385" s="343" t="str">
        <f>PasteHashtag!C385</f>
        <v>KJ Simpson</v>
      </c>
      <c r="D385" s="2" t="str">
        <f>PasteHashtag!D385</f>
        <v>PG</v>
      </c>
      <c r="E385" s="2" t="str">
        <f>PasteHashtag!E385</f>
        <v>CHA</v>
      </c>
      <c r="F385" s="2">
        <f>PasteHashtag!F385</f>
        <v>30</v>
      </c>
      <c r="G385" s="2">
        <f>PasteHashtag!G385</f>
        <v>8.4</v>
      </c>
      <c r="H385" s="2">
        <f>MID(PasteHashtag!H385,1+FIND("(",PasteHashtag!H385),FIND("/",PasteHashtag!H385)-FIND("(",PasteHashtag!H385)-1)*1</f>
        <v>1.2</v>
      </c>
      <c r="I385" s="2">
        <f>LEFT(PasteHashtag!H385,FIND("(",PasteHashtag!H385)-1)*1</f>
        <v>0.476</v>
      </c>
      <c r="J385" s="2">
        <f>MID(PasteHashtag!I385,1+FIND("(",PasteHashtag!I385),FIND("/",PasteHashtag!I385)-FIND("(",PasteHashtag!I385)-1)*1</f>
        <v>0.8</v>
      </c>
      <c r="K385" s="2">
        <f>LEFT(PasteHashtag!I385,FIND("(",PasteHashtag!I385)-1)*1</f>
        <v>0.878</v>
      </c>
      <c r="L385" s="2">
        <f>PasteHashtag!J385</f>
        <v>0.4</v>
      </c>
      <c r="M385" s="2">
        <f>PasteHashtag!K385</f>
        <v>3.5</v>
      </c>
      <c r="N385" s="2">
        <f>PasteHashtag!L385</f>
        <v>1</v>
      </c>
      <c r="O385" s="2">
        <f>PasteHashtag!M385</f>
        <v>0.9</v>
      </c>
      <c r="P385" s="2">
        <f>PasteHashtag!N385</f>
        <v>0.3</v>
      </c>
      <c r="Q385" s="2">
        <f>PasteHashtag!O385</f>
        <v>0</v>
      </c>
      <c r="R385" s="2">
        <f>PasteHashtag!P385</f>
        <v>0.4</v>
      </c>
      <c r="S385" s="2">
        <f>Mid(PasteHashtag!H385,FIND("/",PasteHashtag!H385)+1,LEN(PasteHashtag!H385)-FIND("/",PasteHashtag!H385)-1)*1</f>
        <v>2.5</v>
      </c>
      <c r="T385" s="344">
        <f>Mid(PasteHashtag!I385,FIND("/",PasteHashtag!I385)+1,LEN(PasteHashtag!I385)-FIND("/",PasteHashtag!I385)-1)*1</f>
        <v>0.9</v>
      </c>
    </row>
    <row r="386">
      <c r="A386" s="2">
        <v>385.0</v>
      </c>
      <c r="B386" s="2" t="str">
        <f>PasteHashtag!B386</f>
        <v/>
      </c>
      <c r="C386" s="343" t="str">
        <f>PasteHashtag!C386</f>
        <v>DaRon Holmes II</v>
      </c>
      <c r="D386" s="2" t="str">
        <f>PasteHashtag!D386</f>
        <v>PF</v>
      </c>
      <c r="E386" s="2" t="str">
        <f>PasteHashtag!E386</f>
        <v>DEN</v>
      </c>
      <c r="F386" s="2">
        <f>PasteHashtag!F386</f>
        <v>10</v>
      </c>
      <c r="G386" s="2">
        <f>PasteHashtag!G386</f>
        <v>8.8</v>
      </c>
      <c r="H386" s="2">
        <f>MID(PasteHashtag!H386,1+FIND("(",PasteHashtag!H386),FIND("/",PasteHashtag!H386)-FIND("(",PasteHashtag!H386)-1)*1</f>
        <v>1.3</v>
      </c>
      <c r="I386" s="2">
        <f>LEFT(PasteHashtag!H386,FIND("(",PasteHashtag!H386)-1)*1</f>
        <v>0.545</v>
      </c>
      <c r="J386" s="2">
        <f>MID(PasteHashtag!I386,1+FIND("(",PasteHashtag!I386),FIND("/",PasteHashtag!I386)-FIND("(",PasteHashtag!I386)-1)*1</f>
        <v>1.3</v>
      </c>
      <c r="K386" s="2">
        <f>LEFT(PasteHashtag!I386,FIND("(",PasteHashtag!I386)-1)*1</f>
        <v>0.713</v>
      </c>
      <c r="L386" s="2">
        <f>PasteHashtag!J386</f>
        <v>0.2</v>
      </c>
      <c r="M386" s="2">
        <f>PasteHashtag!K386</f>
        <v>4.2</v>
      </c>
      <c r="N386" s="2">
        <f>PasteHashtag!L386</f>
        <v>1.7</v>
      </c>
      <c r="O386" s="2">
        <f>PasteHashtag!M386</f>
        <v>0.5</v>
      </c>
      <c r="P386" s="2">
        <f>PasteHashtag!N386</f>
        <v>0.2</v>
      </c>
      <c r="Q386" s="2">
        <f>PasteHashtag!O386</f>
        <v>0.4</v>
      </c>
      <c r="R386" s="2">
        <f>PasteHashtag!P386</f>
        <v>0.5</v>
      </c>
      <c r="S386" s="2">
        <f>Mid(PasteHashtag!H386,FIND("/",PasteHashtag!H386)+1,LEN(PasteHashtag!H386)-FIND("/",PasteHashtag!H386)-1)*1</f>
        <v>2.5</v>
      </c>
      <c r="T386" s="344">
        <f>Mid(PasteHashtag!I386,FIND("/",PasteHashtag!I386)+1,LEN(PasteHashtag!I386)-FIND("/",PasteHashtag!I386)-1)*1</f>
        <v>1.8</v>
      </c>
    </row>
    <row r="387">
      <c r="A387" s="2">
        <v>386.0</v>
      </c>
      <c r="B387" s="2" t="str">
        <f>PasteHashtag!B387</f>
        <v/>
      </c>
      <c r="C387" s="343" t="str">
        <f>PasteHashtag!C387</f>
        <v>Jeff Green</v>
      </c>
      <c r="D387" s="2" t="str">
        <f>PasteHashtag!D387</f>
        <v>PF,C</v>
      </c>
      <c r="E387" s="2" t="str">
        <f>PasteHashtag!E387</f>
        <v>HOU</v>
      </c>
      <c r="F387" s="2">
        <f>PasteHashtag!F387</f>
        <v>30</v>
      </c>
      <c r="G387" s="2">
        <f>PasteHashtag!G387</f>
        <v>11.4</v>
      </c>
      <c r="H387" s="2">
        <f>MID(PasteHashtag!H387,1+FIND("(",PasteHashtag!H387),FIND("/",PasteHashtag!H387)-FIND("(",PasteHashtag!H387)-1)*1</f>
        <v>1.6</v>
      </c>
      <c r="I387" s="2">
        <f>LEFT(PasteHashtag!H387,FIND("(",PasteHashtag!H387)-1)*1</f>
        <v>0.471</v>
      </c>
      <c r="J387" s="2">
        <f>MID(PasteHashtag!I387,1+FIND("(",PasteHashtag!I387),FIND("/",PasteHashtag!I387)-FIND("(",PasteHashtag!I387)-1)*1</f>
        <v>1</v>
      </c>
      <c r="K387" s="2">
        <f>LEFT(PasteHashtag!I387,FIND("(",PasteHashtag!I387)-1)*1</f>
        <v>0.781</v>
      </c>
      <c r="L387" s="2">
        <f>PasteHashtag!J387</f>
        <v>0.4</v>
      </c>
      <c r="M387" s="2">
        <f>PasteHashtag!K387</f>
        <v>4.5</v>
      </c>
      <c r="N387" s="2">
        <f>PasteHashtag!L387</f>
        <v>1.5</v>
      </c>
      <c r="O387" s="2">
        <f>PasteHashtag!M387</f>
        <v>0.7</v>
      </c>
      <c r="P387" s="2">
        <f>PasteHashtag!N387</f>
        <v>0.2</v>
      </c>
      <c r="Q387" s="2">
        <f>PasteHashtag!O387</f>
        <v>0.2</v>
      </c>
      <c r="R387" s="2">
        <f>PasteHashtag!P387</f>
        <v>0.4</v>
      </c>
      <c r="S387" s="2">
        <f>Mid(PasteHashtag!H387,FIND("/",PasteHashtag!H387)+1,LEN(PasteHashtag!H387)-FIND("/",PasteHashtag!H387)-1)*1</f>
        <v>3.3</v>
      </c>
      <c r="T387" s="344">
        <f>Mid(PasteHashtag!I387,FIND("/",PasteHashtag!I387)+1,LEN(PasteHashtag!I387)-FIND("/",PasteHashtag!I387)-1)*1</f>
        <v>1.3</v>
      </c>
    </row>
    <row r="388">
      <c r="A388" s="2">
        <v>387.0</v>
      </c>
      <c r="B388" s="2" t="str">
        <f>PasteHashtag!B388</f>
        <v/>
      </c>
      <c r="C388" s="343" t="str">
        <f>PasteHashtag!C388</f>
        <v>Caleb Houstan</v>
      </c>
      <c r="D388" s="2" t="str">
        <f>PasteHashtag!D388</f>
        <v>SG,SF</v>
      </c>
      <c r="E388" s="2" t="str">
        <f>PasteHashtag!E388</f>
        <v>ORL</v>
      </c>
      <c r="F388" s="2">
        <f>PasteHashtag!F388</f>
        <v>40</v>
      </c>
      <c r="G388" s="2">
        <f>PasteHashtag!G388</f>
        <v>14.4</v>
      </c>
      <c r="H388" s="2">
        <f>MID(PasteHashtag!H388,1+FIND("(",PasteHashtag!H388),FIND("/",PasteHashtag!H388)-FIND("(",PasteHashtag!H388)-1)*1</f>
        <v>1.3</v>
      </c>
      <c r="I388" s="2">
        <f>LEFT(PasteHashtag!H388,FIND("(",PasteHashtag!H388)-1)*1</f>
        <v>0.375</v>
      </c>
      <c r="J388" s="2">
        <f>MID(PasteHashtag!I388,1+FIND("(",PasteHashtag!I388),FIND("/",PasteHashtag!I388)-FIND("(",PasteHashtag!I388)-1)*1</f>
        <v>0.3</v>
      </c>
      <c r="K388" s="2">
        <f>LEFT(PasteHashtag!I388,FIND("(",PasteHashtag!I388)-1)*1</f>
        <v>0.821</v>
      </c>
      <c r="L388" s="2">
        <f>PasteHashtag!J388</f>
        <v>1.1</v>
      </c>
      <c r="M388" s="2">
        <f>PasteHashtag!K388</f>
        <v>4</v>
      </c>
      <c r="N388" s="2">
        <f>PasteHashtag!L388</f>
        <v>1.6</v>
      </c>
      <c r="O388" s="2">
        <f>PasteHashtag!M388</f>
        <v>0.5</v>
      </c>
      <c r="P388" s="2">
        <f>PasteHashtag!N388</f>
        <v>0.2</v>
      </c>
      <c r="Q388" s="2">
        <f>PasteHashtag!O388</f>
        <v>0.1</v>
      </c>
      <c r="R388" s="2">
        <f>PasteHashtag!P388</f>
        <v>0.3</v>
      </c>
      <c r="S388" s="2">
        <f>Mid(PasteHashtag!H388,FIND("/",PasteHashtag!H388)+1,LEN(PasteHashtag!H388)-FIND("/",PasteHashtag!H388)-1)*1</f>
        <v>3.5</v>
      </c>
      <c r="T388" s="344">
        <f>Mid(PasteHashtag!I388,FIND("/",PasteHashtag!I388)+1,LEN(PasteHashtag!I388)-FIND("/",PasteHashtag!I388)-1)*1</f>
        <v>0.4</v>
      </c>
    </row>
    <row r="389">
      <c r="A389" s="2">
        <v>388.0</v>
      </c>
      <c r="B389" s="2" t="str">
        <f>PasteHashtag!B389</f>
        <v/>
      </c>
      <c r="C389" s="343" t="str">
        <f>PasteHashtag!C389</f>
        <v>Nassir Little</v>
      </c>
      <c r="D389" s="2" t="str">
        <f>PasteHashtag!D389</f>
        <v>SF,PF</v>
      </c>
      <c r="E389" s="2" t="str">
        <f>PasteHashtag!E389</f>
        <v>MIA</v>
      </c>
      <c r="F389" s="2">
        <f>PasteHashtag!F389</f>
        <v>55</v>
      </c>
      <c r="G389" s="2">
        <f>PasteHashtag!G389</f>
        <v>10.2</v>
      </c>
      <c r="H389" s="2">
        <f>MID(PasteHashtag!H389,1+FIND("(",PasteHashtag!H389),FIND("/",PasteHashtag!H389)-FIND("(",PasteHashtag!H389)-1)*1</f>
        <v>1.4</v>
      </c>
      <c r="I389" s="2">
        <f>LEFT(PasteHashtag!H389,FIND("(",PasteHashtag!H389)-1)*1</f>
        <v>0.446</v>
      </c>
      <c r="J389" s="2">
        <f>MID(PasteHashtag!I389,1+FIND("(",PasteHashtag!I389),FIND("/",PasteHashtag!I389)-FIND("(",PasteHashtag!I389)-1)*1</f>
        <v>0.4</v>
      </c>
      <c r="K389" s="2">
        <f>LEFT(PasteHashtag!I389,FIND("(",PasteHashtag!I389)-1)*1</f>
        <v>0.766</v>
      </c>
      <c r="L389" s="2">
        <f>PasteHashtag!J389</f>
        <v>0.6</v>
      </c>
      <c r="M389" s="2">
        <f>PasteHashtag!K389</f>
        <v>3.7</v>
      </c>
      <c r="N389" s="2">
        <f>PasteHashtag!L389</f>
        <v>1.6</v>
      </c>
      <c r="O389" s="2">
        <f>PasteHashtag!M389</f>
        <v>0.5</v>
      </c>
      <c r="P389" s="2">
        <f>PasteHashtag!N389</f>
        <v>0.2</v>
      </c>
      <c r="Q389" s="2">
        <f>PasteHashtag!O389</f>
        <v>0.2</v>
      </c>
      <c r="R389" s="2">
        <f>PasteHashtag!P389</f>
        <v>0.4</v>
      </c>
      <c r="S389" s="2">
        <f>Mid(PasteHashtag!H389,FIND("/",PasteHashtag!H389)+1,LEN(PasteHashtag!H389)-FIND("/",PasteHashtag!H389)-1)*1</f>
        <v>3.1</v>
      </c>
      <c r="T389" s="344">
        <f>Mid(PasteHashtag!I389,FIND("/",PasteHashtag!I389)+1,LEN(PasteHashtag!I389)-FIND("/",PasteHashtag!I389)-1)*1</f>
        <v>0.5</v>
      </c>
    </row>
    <row r="390">
      <c r="A390" s="2">
        <v>389.0</v>
      </c>
      <c r="B390" s="2" t="str">
        <f>PasteHashtag!B390</f>
        <v/>
      </c>
      <c r="C390" s="343" t="str">
        <f>PasteHashtag!C390</f>
        <v>Ariel Hukporti</v>
      </c>
      <c r="D390" s="2" t="str">
        <f>PasteHashtag!D390</f>
        <v>C</v>
      </c>
      <c r="E390" s="2" t="str">
        <f>PasteHashtag!E390</f>
        <v>NY</v>
      </c>
      <c r="F390" s="2">
        <f>PasteHashtag!F390</f>
        <v>28</v>
      </c>
      <c r="G390" s="2">
        <f>PasteHashtag!G390</f>
        <v>8.8</v>
      </c>
      <c r="H390" s="2">
        <f>MID(PasteHashtag!H390,1+FIND("(",PasteHashtag!H390),FIND("/",PasteHashtag!H390)-FIND("(",PasteHashtag!H390)-1)*1</f>
        <v>1.2</v>
      </c>
      <c r="I390" s="2">
        <f>LEFT(PasteHashtag!H390,FIND("(",PasteHashtag!H390)-1)*1</f>
        <v>0.563</v>
      </c>
      <c r="J390" s="2">
        <f>MID(PasteHashtag!I390,1+FIND("(",PasteHashtag!I390),FIND("/",PasteHashtag!I390)-FIND("(",PasteHashtag!I390)-1)*1</f>
        <v>0.6</v>
      </c>
      <c r="K390" s="2">
        <f>LEFT(PasteHashtag!I390,FIND("(",PasteHashtag!I390)-1)*1</f>
        <v>0.615</v>
      </c>
      <c r="L390" s="2">
        <f>PasteHashtag!J390</f>
        <v>0</v>
      </c>
      <c r="M390" s="2">
        <f>PasteHashtag!K390</f>
        <v>3</v>
      </c>
      <c r="N390" s="2">
        <f>PasteHashtag!L390</f>
        <v>2.6</v>
      </c>
      <c r="O390" s="2">
        <f>PasteHashtag!M390</f>
        <v>0.3</v>
      </c>
      <c r="P390" s="2">
        <f>PasteHashtag!N390</f>
        <v>0.2</v>
      </c>
      <c r="Q390" s="2">
        <f>PasteHashtag!O390</f>
        <v>0.6</v>
      </c>
      <c r="R390" s="2">
        <f>PasteHashtag!P390</f>
        <v>0.6</v>
      </c>
      <c r="S390" s="2">
        <f>Mid(PasteHashtag!H390,FIND("/",PasteHashtag!H390)+1,LEN(PasteHashtag!H390)-FIND("/",PasteHashtag!H390)-1)*1</f>
        <v>2.1</v>
      </c>
      <c r="T390" s="344">
        <f>Mid(PasteHashtag!I390,FIND("/",PasteHashtag!I390)+1,LEN(PasteHashtag!I390)-FIND("/",PasteHashtag!I390)-1)*1</f>
        <v>1</v>
      </c>
    </row>
    <row r="391">
      <c r="A391" s="2">
        <v>390.0</v>
      </c>
      <c r="B391" s="2" t="str">
        <f>PasteHashtag!B391</f>
        <v/>
      </c>
      <c r="C391" s="343" t="str">
        <f>PasteHashtag!C391</f>
        <v>Matt Ryan</v>
      </c>
      <c r="D391" s="2" t="str">
        <f>PasteHashtag!D391</f>
        <v>SF</v>
      </c>
      <c r="E391" s="2" t="str">
        <f>PasteHashtag!E391</f>
        <v>NO</v>
      </c>
      <c r="F391" s="2">
        <f>PasteHashtag!F391</f>
        <v>30</v>
      </c>
      <c r="G391" s="2">
        <f>PasteHashtag!G391</f>
        <v>11.1</v>
      </c>
      <c r="H391" s="2">
        <f>MID(PasteHashtag!H391,1+FIND("(",PasteHashtag!H391),FIND("/",PasteHashtag!H391)-FIND("(",PasteHashtag!H391)-1)*1</f>
        <v>1.4</v>
      </c>
      <c r="I391" s="2">
        <f>LEFT(PasteHashtag!H391,FIND("(",PasteHashtag!H391)-1)*1</f>
        <v>0.401</v>
      </c>
      <c r="J391" s="2">
        <f>MID(PasteHashtag!I391,1+FIND("(",PasteHashtag!I391),FIND("/",PasteHashtag!I391)-FIND("(",PasteHashtag!I391)-1)*1</f>
        <v>0.4</v>
      </c>
      <c r="K391" s="2">
        <f>LEFT(PasteHashtag!I391,FIND("(",PasteHashtag!I391)-1)*1</f>
        <v>0.881</v>
      </c>
      <c r="L391" s="2">
        <f>PasteHashtag!J391</f>
        <v>1.2</v>
      </c>
      <c r="M391" s="2">
        <f>PasteHashtag!K391</f>
        <v>4.4</v>
      </c>
      <c r="N391" s="2">
        <f>PasteHashtag!L391</f>
        <v>1.1</v>
      </c>
      <c r="O391" s="2">
        <f>PasteHashtag!M391</f>
        <v>0.5</v>
      </c>
      <c r="P391" s="2">
        <f>PasteHashtag!N391</f>
        <v>0.2</v>
      </c>
      <c r="Q391" s="2">
        <f>PasteHashtag!O391</f>
        <v>0</v>
      </c>
      <c r="R391" s="2">
        <f>PasteHashtag!P391</f>
        <v>0.4</v>
      </c>
      <c r="S391" s="2">
        <f>Mid(PasteHashtag!H391,FIND("/",PasteHashtag!H391)+1,LEN(PasteHashtag!H391)-FIND("/",PasteHashtag!H391)-1)*1</f>
        <v>3.5</v>
      </c>
      <c r="T391" s="344">
        <f>Mid(PasteHashtag!I391,FIND("/",PasteHashtag!I391)+1,LEN(PasteHashtag!I391)-FIND("/",PasteHashtag!I391)-1)*1</f>
        <v>0.4</v>
      </c>
    </row>
    <row r="392">
      <c r="A392" s="2">
        <v>391.0</v>
      </c>
      <c r="B392" s="2" t="str">
        <f>PasteHashtag!B392</f>
        <v/>
      </c>
      <c r="C392" s="343" t="str">
        <f>PasteHashtag!C392</f>
        <v>Ousmane Dieng</v>
      </c>
      <c r="D392" s="2" t="str">
        <f>PasteHashtag!D392</f>
        <v>SF,PF</v>
      </c>
      <c r="E392" s="2" t="str">
        <f>PasteHashtag!E392</f>
        <v>OKC</v>
      </c>
      <c r="F392" s="2">
        <f>PasteHashtag!F392</f>
        <v>30</v>
      </c>
      <c r="G392" s="2">
        <f>PasteHashtag!G392</f>
        <v>10.4</v>
      </c>
      <c r="H392" s="2">
        <f>MID(PasteHashtag!H392,1+FIND("(",PasteHashtag!H392),FIND("/",PasteHashtag!H392)-FIND("(",PasteHashtag!H392)-1)*1</f>
        <v>1.4</v>
      </c>
      <c r="I392" s="2">
        <f>LEFT(PasteHashtag!H392,FIND("(",PasteHashtag!H392)-1)*1</f>
        <v>0.422</v>
      </c>
      <c r="J392" s="2">
        <f>MID(PasteHashtag!I392,1+FIND("(",PasteHashtag!I392),FIND("/",PasteHashtag!I392)-FIND("(",PasteHashtag!I392)-1)*1</f>
        <v>0.3</v>
      </c>
      <c r="K392" s="2">
        <f>LEFT(PasteHashtag!I392,FIND("(",PasteHashtag!I392)-1)*1</f>
        <v>0.75</v>
      </c>
      <c r="L392" s="2">
        <f>PasteHashtag!J392</f>
        <v>0.5</v>
      </c>
      <c r="M392" s="2">
        <f>PasteHashtag!K392</f>
        <v>3.7</v>
      </c>
      <c r="N392" s="2">
        <f>PasteHashtag!L392</f>
        <v>1.8</v>
      </c>
      <c r="O392" s="2">
        <f>PasteHashtag!M392</f>
        <v>0.9</v>
      </c>
      <c r="P392" s="2">
        <f>PasteHashtag!N392</f>
        <v>0.3</v>
      </c>
      <c r="Q392" s="2">
        <f>PasteHashtag!O392</f>
        <v>0.1</v>
      </c>
      <c r="R392" s="2">
        <f>PasteHashtag!P392</f>
        <v>0.5</v>
      </c>
      <c r="S392" s="2">
        <f>Mid(PasteHashtag!H392,FIND("/",PasteHashtag!H392)+1,LEN(PasteHashtag!H392)-FIND("/",PasteHashtag!H392)-1)*1</f>
        <v>3.3</v>
      </c>
      <c r="T392" s="344">
        <f>Mid(PasteHashtag!I392,FIND("/",PasteHashtag!I392)+1,LEN(PasteHashtag!I392)-FIND("/",PasteHashtag!I392)-1)*1</f>
        <v>0.4</v>
      </c>
    </row>
    <row r="393">
      <c r="A393" s="2">
        <v>392.0</v>
      </c>
      <c r="B393" s="2" t="str">
        <f>PasteHashtag!B393</f>
        <v/>
      </c>
      <c r="C393" s="343" t="str">
        <f>PasteHashtag!C393</f>
        <v>Kris Murray</v>
      </c>
      <c r="D393" s="2" t="str">
        <f>PasteHashtag!D393</f>
        <v>SF,PF</v>
      </c>
      <c r="E393" s="2" t="str">
        <f>PasteHashtag!E393</f>
        <v>POR</v>
      </c>
      <c r="F393" s="2">
        <f>PasteHashtag!F393</f>
        <v>48</v>
      </c>
      <c r="G393" s="2">
        <f>PasteHashtag!G393</f>
        <v>11.2</v>
      </c>
      <c r="H393" s="2">
        <f>MID(PasteHashtag!H393,1+FIND("(",PasteHashtag!H393),FIND("/",PasteHashtag!H393)-FIND("(",PasteHashtag!H393)-1)*1</f>
        <v>1.2</v>
      </c>
      <c r="I393" s="2">
        <f>LEFT(PasteHashtag!H393,FIND("(",PasteHashtag!H393)-1)*1</f>
        <v>0.397</v>
      </c>
      <c r="J393" s="2">
        <f>MID(PasteHashtag!I393,1+FIND("(",PasteHashtag!I393),FIND("/",PasteHashtag!I393)-FIND("(",PasteHashtag!I393)-1)*1</f>
        <v>0.3</v>
      </c>
      <c r="K393" s="2">
        <f>LEFT(PasteHashtag!I393,FIND("(",PasteHashtag!I393)-1)*1</f>
        <v>0.66</v>
      </c>
      <c r="L393" s="2">
        <f>PasteHashtag!J393</f>
        <v>0.4</v>
      </c>
      <c r="M393" s="2">
        <f>PasteHashtag!K393</f>
        <v>3.2</v>
      </c>
      <c r="N393" s="2">
        <f>PasteHashtag!L393</f>
        <v>1.9</v>
      </c>
      <c r="O393" s="2">
        <f>PasteHashtag!M393</f>
        <v>0.7</v>
      </c>
      <c r="P393" s="2">
        <f>PasteHashtag!N393</f>
        <v>0.4</v>
      </c>
      <c r="Q393" s="2">
        <f>PasteHashtag!O393</f>
        <v>0.2</v>
      </c>
      <c r="R393" s="2">
        <f>PasteHashtag!P393</f>
        <v>0.5</v>
      </c>
      <c r="S393" s="2">
        <f>Mid(PasteHashtag!H393,FIND("/",PasteHashtag!H393)+1,LEN(PasteHashtag!H393)-FIND("/",PasteHashtag!H393)-1)*1</f>
        <v>3.1</v>
      </c>
      <c r="T393" s="344">
        <f>Mid(PasteHashtag!I393,FIND("/",PasteHashtag!I393)+1,LEN(PasteHashtag!I393)-FIND("/",PasteHashtag!I393)-1)*1</f>
        <v>0.5</v>
      </c>
    </row>
    <row r="394">
      <c r="A394" s="2">
        <v>393.0</v>
      </c>
      <c r="B394" s="2" t="str">
        <f>PasteHashtag!B394</f>
        <v/>
      </c>
      <c r="C394" s="343" t="str">
        <f>PasteHashtag!C394</f>
        <v>Garrett Temple</v>
      </c>
      <c r="D394" s="2" t="str">
        <f>PasteHashtag!D394</f>
        <v>SG</v>
      </c>
      <c r="E394" s="2" t="str">
        <f>PasteHashtag!E394</f>
        <v>TOR</v>
      </c>
      <c r="F394" s="2">
        <f>PasteHashtag!F394</f>
        <v>57</v>
      </c>
      <c r="G394" s="2">
        <f>PasteHashtag!G394</f>
        <v>8.4</v>
      </c>
      <c r="H394" s="2">
        <f>MID(PasteHashtag!H394,1+FIND("(",PasteHashtag!H394),FIND("/",PasteHashtag!H394)-FIND("(",PasteHashtag!H394)-1)*1</f>
        <v>0.9</v>
      </c>
      <c r="I394" s="2">
        <f>LEFT(PasteHashtag!H394,FIND("(",PasteHashtag!H394)-1)*1</f>
        <v>0.384</v>
      </c>
      <c r="J394" s="2">
        <f>MID(PasteHashtag!I394,1+FIND("(",PasteHashtag!I394),FIND("/",PasteHashtag!I394)-FIND("(",PasteHashtag!I394)-1)*1</f>
        <v>0.4</v>
      </c>
      <c r="K394" s="2">
        <f>LEFT(PasteHashtag!I394,FIND("(",PasteHashtag!I394)-1)*1</f>
        <v>0.816</v>
      </c>
      <c r="L394" s="2">
        <f>PasteHashtag!J394</f>
        <v>0.4</v>
      </c>
      <c r="M394" s="2">
        <f>PasteHashtag!K394</f>
        <v>2.6</v>
      </c>
      <c r="N394" s="2">
        <f>PasteHashtag!L394</f>
        <v>1.2</v>
      </c>
      <c r="O394" s="2">
        <f>PasteHashtag!M394</f>
        <v>0.8</v>
      </c>
      <c r="P394" s="2">
        <f>PasteHashtag!N394</f>
        <v>0.4</v>
      </c>
      <c r="Q394" s="2">
        <f>PasteHashtag!O394</f>
        <v>0.1</v>
      </c>
      <c r="R394" s="2">
        <f>PasteHashtag!P394</f>
        <v>0.3</v>
      </c>
      <c r="S394" s="2">
        <f>Mid(PasteHashtag!H394,FIND("/",PasteHashtag!H394)+1,LEN(PasteHashtag!H394)-FIND("/",PasteHashtag!H394)-1)*1</f>
        <v>2.3</v>
      </c>
      <c r="T394" s="344">
        <f>Mid(PasteHashtag!I394,FIND("/",PasteHashtag!I394)+1,LEN(PasteHashtag!I394)-FIND("/",PasteHashtag!I394)-1)*1</f>
        <v>0.5</v>
      </c>
    </row>
    <row r="395">
      <c r="A395" s="2">
        <v>394.0</v>
      </c>
      <c r="B395" s="2" t="str">
        <f>PasteHashtag!B395</f>
        <v/>
      </c>
      <c r="C395" s="343" t="str">
        <f>PasteHashtag!C395</f>
        <v>Terrence Shannon Jr.</v>
      </c>
      <c r="D395" s="2" t="str">
        <f>PasteHashtag!D395</f>
        <v>SG</v>
      </c>
      <c r="E395" s="2" t="str">
        <f>PasteHashtag!E395</f>
        <v>MIN</v>
      </c>
      <c r="F395" s="2">
        <f>PasteHashtag!F395</f>
        <v>30</v>
      </c>
      <c r="G395" s="2">
        <f>PasteHashtag!G395</f>
        <v>8.2</v>
      </c>
      <c r="H395" s="2">
        <f>MID(PasteHashtag!H395,1+FIND("(",PasteHashtag!H395),FIND("/",PasteHashtag!H395)-FIND("(",PasteHashtag!H395)-1)*1</f>
        <v>1.2</v>
      </c>
      <c r="I395" s="2">
        <f>LEFT(PasteHashtag!H395,FIND("(",PasteHashtag!H395)-1)*1</f>
        <v>0.475</v>
      </c>
      <c r="J395" s="2">
        <f>MID(PasteHashtag!I395,1+FIND("(",PasteHashtag!I395),FIND("/",PasteHashtag!I395)-FIND("(",PasteHashtag!I395)-1)*1</f>
        <v>1.3</v>
      </c>
      <c r="K395" s="2">
        <f>LEFT(PasteHashtag!I395,FIND("(",PasteHashtag!I395)-1)*1</f>
        <v>0.801</v>
      </c>
      <c r="L395" s="2">
        <f>PasteHashtag!J395</f>
        <v>0.4</v>
      </c>
      <c r="M395" s="2">
        <f>PasteHashtag!K395</f>
        <v>4.2</v>
      </c>
      <c r="N395" s="2">
        <f>PasteHashtag!L395</f>
        <v>0.7</v>
      </c>
      <c r="O395" s="2">
        <f>PasteHashtag!M395</f>
        <v>0.4</v>
      </c>
      <c r="P395" s="2">
        <f>PasteHashtag!N395</f>
        <v>0.2</v>
      </c>
      <c r="Q395" s="2">
        <f>PasteHashtag!O395</f>
        <v>0.2</v>
      </c>
      <c r="R395" s="2">
        <f>PasteHashtag!P395</f>
        <v>0.4</v>
      </c>
      <c r="S395" s="2">
        <f>Mid(PasteHashtag!H395,FIND("/",PasteHashtag!H395)+1,LEN(PasteHashtag!H395)-FIND("/",PasteHashtag!H395)-1)*1</f>
        <v>2.6</v>
      </c>
      <c r="T395" s="344">
        <f>Mid(PasteHashtag!I395,FIND("/",PasteHashtag!I395)+1,LEN(PasteHashtag!I395)-FIND("/",PasteHashtag!I395)-1)*1</f>
        <v>1.6</v>
      </c>
    </row>
    <row r="396">
      <c r="A396" s="2">
        <v>395.0</v>
      </c>
      <c r="B396" s="2" t="str">
        <f>PasteHashtag!B396</f>
        <v/>
      </c>
      <c r="C396" s="343" t="str">
        <f>PasteHashtag!C396</f>
        <v>Jamal Shead</v>
      </c>
      <c r="D396" s="2" t="str">
        <f>PasteHashtag!D396</f>
        <v>PG</v>
      </c>
      <c r="E396" s="2" t="str">
        <f>PasteHashtag!E396</f>
        <v>TOR</v>
      </c>
      <c r="F396" s="2">
        <f>PasteHashtag!F396</f>
        <v>20</v>
      </c>
      <c r="G396" s="2">
        <f>PasteHashtag!G396</f>
        <v>8</v>
      </c>
      <c r="H396" s="2">
        <f>MID(PasteHashtag!H396,1+FIND("(",PasteHashtag!H396),FIND("/",PasteHashtag!H396)-FIND("(",PasteHashtag!H396)-1)*1</f>
        <v>0.9</v>
      </c>
      <c r="I396" s="2">
        <f>LEFT(PasteHashtag!H396,FIND("(",PasteHashtag!H396)-1)*1</f>
        <v>0.407</v>
      </c>
      <c r="J396" s="2">
        <f>MID(PasteHashtag!I396,1+FIND("(",PasteHashtag!I396),FIND("/",PasteHashtag!I396)-FIND("(",PasteHashtag!I396)-1)*1</f>
        <v>0.4</v>
      </c>
      <c r="K396" s="2">
        <f>LEFT(PasteHashtag!I396,FIND("(",PasteHashtag!I396)-1)*1</f>
        <v>0.778</v>
      </c>
      <c r="L396" s="2">
        <f>PasteHashtag!J396</f>
        <v>0.2</v>
      </c>
      <c r="M396" s="2">
        <f>PasteHashtag!K396</f>
        <v>2.5</v>
      </c>
      <c r="N396" s="2">
        <f>PasteHashtag!L396</f>
        <v>0.7</v>
      </c>
      <c r="O396" s="2">
        <f>PasteHashtag!M396</f>
        <v>1.2</v>
      </c>
      <c r="P396" s="2">
        <f>PasteHashtag!N396</f>
        <v>0.4</v>
      </c>
      <c r="Q396" s="2">
        <f>PasteHashtag!O396</f>
        <v>0.1</v>
      </c>
      <c r="R396" s="2">
        <f>PasteHashtag!P396</f>
        <v>0.4</v>
      </c>
      <c r="S396" s="2">
        <f>Mid(PasteHashtag!H396,FIND("/",PasteHashtag!H396)+1,LEN(PasteHashtag!H396)-FIND("/",PasteHashtag!H396)-1)*1</f>
        <v>2.3</v>
      </c>
      <c r="T396" s="344">
        <f>Mid(PasteHashtag!I396,FIND("/",PasteHashtag!I396)+1,LEN(PasteHashtag!I396)-FIND("/",PasteHashtag!I396)-1)*1</f>
        <v>0.5</v>
      </c>
    </row>
    <row r="397">
      <c r="A397" s="2">
        <v>396.0</v>
      </c>
      <c r="B397" s="2" t="str">
        <f>PasteHashtag!B397</f>
        <v/>
      </c>
      <c r="C397" s="343" t="str">
        <f>PasteHashtag!C397</f>
        <v>Blake Wesley</v>
      </c>
      <c r="D397" s="2" t="str">
        <f>PasteHashtag!D397</f>
        <v>PG,SG</v>
      </c>
      <c r="E397" s="2" t="str">
        <f>PasteHashtag!E397</f>
        <v>SA</v>
      </c>
      <c r="F397" s="2">
        <f>PasteHashtag!F397</f>
        <v>58</v>
      </c>
      <c r="G397" s="2">
        <f>PasteHashtag!G397</f>
        <v>12.4</v>
      </c>
      <c r="H397" s="2">
        <f>MID(PasteHashtag!H397,1+FIND("(",PasteHashtag!H397),FIND("/",PasteHashtag!H397)-FIND("(",PasteHashtag!H397)-1)*1</f>
        <v>1.4</v>
      </c>
      <c r="I397" s="2">
        <f>LEFT(PasteHashtag!H397,FIND("(",PasteHashtag!H397)-1)*1</f>
        <v>0.398</v>
      </c>
      <c r="J397" s="2">
        <f>MID(PasteHashtag!I397,1+FIND("(",PasteHashtag!I397),FIND("/",PasteHashtag!I397)-FIND("(",PasteHashtag!I397)-1)*1</f>
        <v>0.6</v>
      </c>
      <c r="K397" s="2">
        <f>LEFT(PasteHashtag!I397,FIND("(",PasteHashtag!I397)-1)*1</f>
        <v>0.636</v>
      </c>
      <c r="L397" s="2">
        <f>PasteHashtag!J397</f>
        <v>0.3</v>
      </c>
      <c r="M397" s="2">
        <f>PasteHashtag!K397</f>
        <v>3.7</v>
      </c>
      <c r="N397" s="2">
        <f>PasteHashtag!L397</f>
        <v>1.4</v>
      </c>
      <c r="O397" s="2">
        <f>PasteHashtag!M397</f>
        <v>2.2</v>
      </c>
      <c r="P397" s="2">
        <f>PasteHashtag!N397</f>
        <v>0.4</v>
      </c>
      <c r="Q397" s="2">
        <f>PasteHashtag!O397</f>
        <v>0.1</v>
      </c>
      <c r="R397" s="2">
        <f>PasteHashtag!P397</f>
        <v>1</v>
      </c>
      <c r="S397" s="2">
        <f>Mid(PasteHashtag!H397,FIND("/",PasteHashtag!H397)+1,LEN(PasteHashtag!H397)-FIND("/",PasteHashtag!H397)-1)*1</f>
        <v>3.5</v>
      </c>
      <c r="T397" s="344">
        <f>Mid(PasteHashtag!I397,FIND("/",PasteHashtag!I397)+1,LEN(PasteHashtag!I397)-FIND("/",PasteHashtag!I397)-1)*1</f>
        <v>1</v>
      </c>
    </row>
    <row r="398">
      <c r="A398" s="2">
        <v>397.0</v>
      </c>
      <c r="B398" s="2" t="str">
        <f>PasteHashtag!B398</f>
        <v/>
      </c>
      <c r="C398" s="343" t="str">
        <f>PasteHashtag!C398</f>
        <v>Dalen Terry</v>
      </c>
      <c r="D398" s="2" t="str">
        <f>PasteHashtag!D398</f>
        <v>SG,SF</v>
      </c>
      <c r="E398" s="2" t="str">
        <f>PasteHashtag!E398</f>
        <v>CHI</v>
      </c>
      <c r="F398" s="2">
        <f>PasteHashtag!F398</f>
        <v>20</v>
      </c>
      <c r="G398" s="2">
        <f>PasteHashtag!G398</f>
        <v>8.4</v>
      </c>
      <c r="H398" s="2">
        <f>MID(PasteHashtag!H398,1+FIND("(",PasteHashtag!H398),FIND("/",PasteHashtag!H398)-FIND("(",PasteHashtag!H398)-1)*1</f>
        <v>1</v>
      </c>
      <c r="I398" s="2">
        <f>LEFT(PasteHashtag!H398,FIND("(",PasteHashtag!H398)-1)*1</f>
        <v>0.442</v>
      </c>
      <c r="J398" s="2">
        <f>MID(PasteHashtag!I398,1+FIND("(",PasteHashtag!I398),FIND("/",PasteHashtag!I398)-FIND("(",PasteHashtag!I398)-1)*1</f>
        <v>0.4</v>
      </c>
      <c r="K398" s="2">
        <f>LEFT(PasteHashtag!I398,FIND("(",PasteHashtag!I398)-1)*1</f>
        <v>0.607</v>
      </c>
      <c r="L398" s="2">
        <f>PasteHashtag!J398</f>
        <v>0.2</v>
      </c>
      <c r="M398" s="2">
        <f>PasteHashtag!K398</f>
        <v>2.5</v>
      </c>
      <c r="N398" s="2">
        <f>PasteHashtag!L398</f>
        <v>1.4</v>
      </c>
      <c r="O398" s="2">
        <f>PasteHashtag!M398</f>
        <v>1</v>
      </c>
      <c r="P398" s="2">
        <f>PasteHashtag!N398</f>
        <v>0.4</v>
      </c>
      <c r="Q398" s="2">
        <f>PasteHashtag!O398</f>
        <v>0.2</v>
      </c>
      <c r="R398" s="2">
        <f>PasteHashtag!P398</f>
        <v>0.4</v>
      </c>
      <c r="S398" s="2">
        <f>Mid(PasteHashtag!H398,FIND("/",PasteHashtag!H398)+1,LEN(PasteHashtag!H398)-FIND("/",PasteHashtag!H398)-1)*1</f>
        <v>2.2</v>
      </c>
      <c r="T398" s="344">
        <f>Mid(PasteHashtag!I398,FIND("/",PasteHashtag!I398)+1,LEN(PasteHashtag!I398)-FIND("/",PasteHashtag!I398)-1)*1</f>
        <v>0.6</v>
      </c>
    </row>
    <row r="399">
      <c r="A399" s="2">
        <v>398.0</v>
      </c>
      <c r="B399" s="2" t="str">
        <f>PasteHashtag!B399</f>
        <v/>
      </c>
      <c r="C399" s="343" t="str">
        <f>PasteHashtag!C399</f>
        <v>Vít Krejcí</v>
      </c>
      <c r="D399" s="2" t="str">
        <f>PasteHashtag!D399</f>
        <v>SG,SF</v>
      </c>
      <c r="E399" s="2" t="str">
        <f>PasteHashtag!E399</f>
        <v>ATL</v>
      </c>
      <c r="F399" s="2">
        <f>PasteHashtag!F399</f>
        <v>20</v>
      </c>
      <c r="G399" s="2">
        <f>PasteHashtag!G399</f>
        <v>8.8</v>
      </c>
      <c r="H399" s="2">
        <f>MID(PasteHashtag!H399,1+FIND("(",PasteHashtag!H399),FIND("/",PasteHashtag!H399)-FIND("(",PasteHashtag!H399)-1)*1</f>
        <v>0.8</v>
      </c>
      <c r="I399" s="2">
        <f>LEFT(PasteHashtag!H399,FIND("(",PasteHashtag!H399)-1)*1</f>
        <v>0.469</v>
      </c>
      <c r="J399" s="2">
        <f>MID(PasteHashtag!I399,1+FIND("(",PasteHashtag!I399),FIND("/",PasteHashtag!I399)-FIND("(",PasteHashtag!I399)-1)*1</f>
        <v>0.1</v>
      </c>
      <c r="K399" s="2">
        <f>LEFT(PasteHashtag!I399,FIND("(",PasteHashtag!I399)-1)*1</f>
        <v>0.8</v>
      </c>
      <c r="L399" s="2">
        <f>PasteHashtag!J399</f>
        <v>0.4</v>
      </c>
      <c r="M399" s="2">
        <f>PasteHashtag!K399</f>
        <v>2.2</v>
      </c>
      <c r="N399" s="2">
        <f>PasteHashtag!L399</f>
        <v>1</v>
      </c>
      <c r="O399" s="2">
        <f>PasteHashtag!M399</f>
        <v>0.8</v>
      </c>
      <c r="P399" s="2">
        <f>PasteHashtag!N399</f>
        <v>0.2</v>
      </c>
      <c r="Q399" s="2">
        <f>PasteHashtag!O399</f>
        <v>0.1</v>
      </c>
      <c r="R399" s="2">
        <f>PasteHashtag!P399</f>
        <v>0.3</v>
      </c>
      <c r="S399" s="2">
        <f>Mid(PasteHashtag!H399,FIND("/",PasteHashtag!H399)+1,LEN(PasteHashtag!H399)-FIND("/",PasteHashtag!H399)-1)*1</f>
        <v>1.8</v>
      </c>
      <c r="T399" s="344">
        <f>Mid(PasteHashtag!I399,FIND("/",PasteHashtag!I399)+1,LEN(PasteHashtag!I399)-FIND("/",PasteHashtag!I399)-1)*1</f>
        <v>0.1</v>
      </c>
    </row>
    <row r="400">
      <c r="A400" s="2">
        <v>399.0</v>
      </c>
      <c r="B400" s="2" t="str">
        <f>PasteHashtag!B400</f>
        <v/>
      </c>
      <c r="C400" s="343" t="str">
        <f>PasteHashtag!C400</f>
        <v>Anthony Gill</v>
      </c>
      <c r="D400" s="2" t="str">
        <f>PasteHashtag!D400</f>
        <v>PF,C</v>
      </c>
      <c r="E400" s="2" t="str">
        <f>PasteHashtag!E400</f>
        <v>WAS</v>
      </c>
      <c r="F400" s="2">
        <f>PasteHashtag!F400</f>
        <v>24</v>
      </c>
      <c r="G400" s="2">
        <f>PasteHashtag!G400</f>
        <v>8.8</v>
      </c>
      <c r="H400" s="2">
        <f>MID(PasteHashtag!H400,1+FIND("(",PasteHashtag!H400),FIND("/",PasteHashtag!H400)-FIND("(",PasteHashtag!H400)-1)*1</f>
        <v>1.2</v>
      </c>
      <c r="I400" s="2">
        <f>LEFT(PasteHashtag!H400,FIND("(",PasteHashtag!H400)-1)*1</f>
        <v>0.5</v>
      </c>
      <c r="J400" s="2">
        <f>MID(PasteHashtag!I400,1+FIND("(",PasteHashtag!I400),FIND("/",PasteHashtag!I400)-FIND("(",PasteHashtag!I400)-1)*1</f>
        <v>0.6</v>
      </c>
      <c r="K400" s="2">
        <f>LEFT(PasteHashtag!I400,FIND("(",PasteHashtag!I400)-1)*1</f>
        <v>0.762</v>
      </c>
      <c r="L400" s="2">
        <f>PasteHashtag!J400</f>
        <v>0.1</v>
      </c>
      <c r="M400" s="2">
        <f>PasteHashtag!K400</f>
        <v>3.1</v>
      </c>
      <c r="N400" s="2">
        <f>PasteHashtag!L400</f>
        <v>1.6</v>
      </c>
      <c r="O400" s="2">
        <f>PasteHashtag!M400</f>
        <v>0.6</v>
      </c>
      <c r="P400" s="2">
        <f>PasteHashtag!N400</f>
        <v>0.2</v>
      </c>
      <c r="Q400" s="2">
        <f>PasteHashtag!O400</f>
        <v>0.2</v>
      </c>
      <c r="R400" s="2">
        <f>PasteHashtag!P400</f>
        <v>0.3</v>
      </c>
      <c r="S400" s="2">
        <f>Mid(PasteHashtag!H400,FIND("/",PasteHashtag!H400)+1,LEN(PasteHashtag!H400)-FIND("/",PasteHashtag!H400)-1)*1</f>
        <v>2.4</v>
      </c>
      <c r="T400" s="344">
        <f>Mid(PasteHashtag!I400,FIND("/",PasteHashtag!I400)+1,LEN(PasteHashtag!I400)-FIND("/",PasteHashtag!I400)-1)*1</f>
        <v>0.8</v>
      </c>
    </row>
    <row r="401">
      <c r="A401" s="2">
        <v>400.0</v>
      </c>
      <c r="B401" s="2" t="str">
        <f>PasteHashtag!B401</f>
        <v/>
      </c>
      <c r="C401" s="343" t="str">
        <f>PasteHashtag!C401</f>
        <v>Jared McCain</v>
      </c>
      <c r="D401" s="2" t="str">
        <f>PasteHashtag!D401</f>
        <v>PG</v>
      </c>
      <c r="E401" s="2" t="str">
        <f>PasteHashtag!E401</f>
        <v>PHI</v>
      </c>
      <c r="F401" s="2">
        <f>PasteHashtag!F401</f>
        <v>40</v>
      </c>
      <c r="G401" s="2">
        <f>PasteHashtag!G401</f>
        <v>8.4</v>
      </c>
      <c r="H401" s="2">
        <f>MID(PasteHashtag!H401,1+FIND("(",PasteHashtag!H401),FIND("/",PasteHashtag!H401)-FIND("(",PasteHashtag!H401)-1)*1</f>
        <v>1</v>
      </c>
      <c r="I401" s="2">
        <f>LEFT(PasteHashtag!H401,FIND("(",PasteHashtag!H401)-1)*1</f>
        <v>0.462</v>
      </c>
      <c r="J401" s="2">
        <f>MID(PasteHashtag!I401,1+FIND("(",PasteHashtag!I401),FIND("/",PasteHashtag!I401)-FIND("(",PasteHashtag!I401)-1)*1</f>
        <v>0.4</v>
      </c>
      <c r="K401" s="2">
        <f>LEFT(PasteHashtag!I401,FIND("(",PasteHashtag!I401)-1)*1</f>
        <v>0.896</v>
      </c>
      <c r="L401" s="2">
        <f>PasteHashtag!J401</f>
        <v>0.5</v>
      </c>
      <c r="M401" s="2">
        <f>PasteHashtag!K401</f>
        <v>2.9</v>
      </c>
      <c r="N401" s="2">
        <f>PasteHashtag!L401</f>
        <v>1</v>
      </c>
      <c r="O401" s="2">
        <f>PasteHashtag!M401</f>
        <v>0.4</v>
      </c>
      <c r="P401" s="2">
        <f>PasteHashtag!N401</f>
        <v>0.2</v>
      </c>
      <c r="Q401" s="2">
        <f>PasteHashtag!O401</f>
        <v>0</v>
      </c>
      <c r="R401" s="2">
        <f>PasteHashtag!P401</f>
        <v>0.3</v>
      </c>
      <c r="S401" s="2">
        <f>Mid(PasteHashtag!H401,FIND("/",PasteHashtag!H401)+1,LEN(PasteHashtag!H401)-FIND("/",PasteHashtag!H401)-1)*1</f>
        <v>2.1</v>
      </c>
      <c r="T401" s="344">
        <f>Mid(PasteHashtag!I401,FIND("/",PasteHashtag!I401)+1,LEN(PasteHashtag!I401)-FIND("/",PasteHashtag!I401)-1)*1</f>
        <v>0.5</v>
      </c>
    </row>
    <row r="402">
      <c r="A402" s="2">
        <v>401.0</v>
      </c>
      <c r="F402" s="434"/>
      <c r="G402" s="344"/>
      <c r="H402" s="435"/>
      <c r="I402" s="435"/>
      <c r="J402" s="435"/>
      <c r="K402" s="435"/>
      <c r="L402" s="435"/>
      <c r="M402" s="435"/>
      <c r="N402" s="435"/>
      <c r="O402" s="435"/>
      <c r="P402" s="435"/>
      <c r="Q402" s="435"/>
      <c r="R402" s="344"/>
      <c r="S402" s="344"/>
    </row>
    <row r="403">
      <c r="A403" s="2">
        <v>402.0</v>
      </c>
      <c r="F403" s="434"/>
      <c r="G403" s="344"/>
      <c r="H403" s="435"/>
      <c r="I403" s="435"/>
      <c r="J403" s="435"/>
      <c r="K403" s="435"/>
      <c r="L403" s="435"/>
      <c r="M403" s="435"/>
      <c r="N403" s="435"/>
      <c r="O403" s="435"/>
      <c r="P403" s="435"/>
      <c r="Q403" s="435"/>
      <c r="R403" s="344"/>
      <c r="S403" s="344"/>
    </row>
    <row r="404">
      <c r="A404" s="2">
        <v>403.0</v>
      </c>
      <c r="F404" s="434"/>
      <c r="G404" s="344"/>
      <c r="H404" s="435"/>
      <c r="I404" s="435"/>
      <c r="J404" s="435"/>
      <c r="K404" s="435"/>
      <c r="L404" s="435"/>
      <c r="M404" s="435"/>
      <c r="N404" s="435"/>
      <c r="O404" s="435"/>
      <c r="P404" s="435"/>
      <c r="Q404" s="435"/>
      <c r="R404" s="344"/>
      <c r="S404" s="344"/>
    </row>
    <row r="405">
      <c r="A405" s="2">
        <v>404.0</v>
      </c>
      <c r="F405" s="434"/>
      <c r="G405" s="344"/>
      <c r="H405" s="435"/>
      <c r="I405" s="435"/>
      <c r="J405" s="435"/>
      <c r="K405" s="435"/>
      <c r="L405" s="435"/>
      <c r="M405" s="435"/>
      <c r="N405" s="435"/>
      <c r="O405" s="435"/>
      <c r="P405" s="435"/>
      <c r="Q405" s="435"/>
      <c r="R405" s="344"/>
      <c r="S405" s="344"/>
    </row>
    <row r="406">
      <c r="A406" s="2">
        <v>405.0</v>
      </c>
      <c r="F406" s="434"/>
      <c r="G406" s="344"/>
      <c r="H406" s="435"/>
      <c r="I406" s="435"/>
      <c r="J406" s="435"/>
      <c r="K406" s="435"/>
      <c r="L406" s="435"/>
      <c r="M406" s="435"/>
      <c r="N406" s="435"/>
      <c r="O406" s="435"/>
      <c r="P406" s="435"/>
      <c r="Q406" s="435"/>
      <c r="R406" s="344"/>
      <c r="S406" s="344"/>
    </row>
    <row r="407">
      <c r="A407" s="2">
        <v>406.0</v>
      </c>
      <c r="F407" s="434"/>
      <c r="G407" s="344"/>
      <c r="H407" s="435"/>
      <c r="I407" s="435"/>
      <c r="J407" s="435"/>
      <c r="K407" s="435"/>
      <c r="L407" s="435"/>
      <c r="M407" s="435"/>
      <c r="N407" s="435"/>
      <c r="O407" s="435"/>
      <c r="P407" s="435"/>
      <c r="Q407" s="435"/>
      <c r="R407" s="344"/>
      <c r="S407" s="344"/>
    </row>
    <row r="408">
      <c r="A408" s="2">
        <v>407.0</v>
      </c>
      <c r="F408" s="434"/>
      <c r="G408" s="344"/>
      <c r="H408" s="435"/>
      <c r="I408" s="435"/>
      <c r="J408" s="435"/>
      <c r="K408" s="435"/>
      <c r="L408" s="435"/>
      <c r="M408" s="435"/>
      <c r="N408" s="435"/>
      <c r="O408" s="435"/>
      <c r="P408" s="435"/>
      <c r="Q408" s="435"/>
      <c r="R408" s="344"/>
      <c r="S408" s="344"/>
    </row>
    <row r="409">
      <c r="A409" s="2">
        <v>408.0</v>
      </c>
      <c r="F409" s="434"/>
      <c r="G409" s="344"/>
      <c r="H409" s="435"/>
      <c r="I409" s="435"/>
      <c r="J409" s="435"/>
      <c r="K409" s="435"/>
      <c r="L409" s="435"/>
      <c r="M409" s="435"/>
      <c r="N409" s="435"/>
      <c r="O409" s="435"/>
      <c r="P409" s="435"/>
      <c r="Q409" s="435"/>
      <c r="R409" s="344"/>
      <c r="S409" s="344"/>
    </row>
    <row r="410">
      <c r="A410" s="2">
        <v>409.0</v>
      </c>
    </row>
    <row r="411">
      <c r="A411" s="2">
        <v>410.0</v>
      </c>
    </row>
    <row r="412">
      <c r="A412" s="2">
        <v>411.0</v>
      </c>
    </row>
    <row r="413">
      <c r="A413" s="2">
        <v>412.0</v>
      </c>
    </row>
    <row r="414">
      <c r="A414" s="2">
        <v>413.0</v>
      </c>
    </row>
    <row r="415">
      <c r="A415" s="2">
        <v>414.0</v>
      </c>
    </row>
    <row r="416">
      <c r="A416" s="2">
        <v>415.0</v>
      </c>
    </row>
    <row r="417">
      <c r="A417" s="436"/>
    </row>
    <row r="418">
      <c r="A418" s="436"/>
    </row>
    <row r="419">
      <c r="A419" s="436"/>
    </row>
    <row r="420">
      <c r="A420" s="436"/>
    </row>
    <row r="421">
      <c r="A421" s="436"/>
    </row>
    <row r="422">
      <c r="A422" s="436"/>
    </row>
    <row r="423">
      <c r="A423" s="436"/>
    </row>
    <row r="424">
      <c r="A424" s="436"/>
    </row>
    <row r="425">
      <c r="A425" s="436"/>
    </row>
    <row r="426">
      <c r="A426" s="436"/>
    </row>
    <row r="427">
      <c r="A427" s="436"/>
    </row>
    <row r="428">
      <c r="A428" s="436"/>
    </row>
    <row r="429">
      <c r="A429" s="436"/>
    </row>
    <row r="430">
      <c r="A430" s="436"/>
    </row>
    <row r="431">
      <c r="A431" s="436"/>
    </row>
    <row r="432">
      <c r="A432" s="436"/>
    </row>
    <row r="433">
      <c r="A433" s="436"/>
    </row>
    <row r="434">
      <c r="A434" s="436"/>
    </row>
    <row r="435">
      <c r="A435" s="436"/>
    </row>
    <row r="436">
      <c r="A436" s="436"/>
    </row>
    <row r="437">
      <c r="A437" s="436"/>
    </row>
    <row r="438">
      <c r="A438" s="436"/>
    </row>
    <row r="439">
      <c r="A439" s="436"/>
    </row>
    <row r="440">
      <c r="A440" s="436"/>
    </row>
    <row r="441">
      <c r="A441" s="436"/>
    </row>
    <row r="442">
      <c r="A442" s="436"/>
    </row>
    <row r="443">
      <c r="A443" s="436"/>
    </row>
    <row r="444">
      <c r="A444" s="436"/>
    </row>
    <row r="445">
      <c r="A445" s="436"/>
    </row>
    <row r="446">
      <c r="A446" s="436"/>
    </row>
    <row r="447">
      <c r="A447" s="436"/>
    </row>
    <row r="448">
      <c r="A448" s="436"/>
    </row>
    <row r="449">
      <c r="A449" s="436"/>
    </row>
    <row r="450">
      <c r="A450" s="436"/>
    </row>
    <row r="451">
      <c r="A451" s="436"/>
    </row>
    <row r="452">
      <c r="A452" s="436"/>
    </row>
    <row r="453">
      <c r="A453" s="436"/>
    </row>
    <row r="454">
      <c r="A454" s="436"/>
    </row>
    <row r="455">
      <c r="A455" s="436"/>
    </row>
    <row r="456">
      <c r="A456" s="436"/>
    </row>
    <row r="457">
      <c r="A457" s="436"/>
    </row>
    <row r="458">
      <c r="A458" s="436"/>
    </row>
    <row r="459">
      <c r="A459" s="436"/>
    </row>
    <row r="460">
      <c r="A460" s="436"/>
    </row>
    <row r="461">
      <c r="A461" s="436"/>
    </row>
    <row r="462">
      <c r="A462" s="436"/>
    </row>
    <row r="463">
      <c r="A463" s="436"/>
    </row>
    <row r="464">
      <c r="A464" s="436"/>
    </row>
    <row r="465">
      <c r="A465" s="436"/>
    </row>
    <row r="466">
      <c r="A466" s="436"/>
    </row>
    <row r="467">
      <c r="A467" s="436"/>
    </row>
    <row r="468">
      <c r="A468" s="436"/>
    </row>
    <row r="469">
      <c r="A469" s="436"/>
    </row>
    <row r="470">
      <c r="A470" s="436"/>
    </row>
    <row r="471">
      <c r="A471" s="436"/>
    </row>
    <row r="472">
      <c r="A472" s="436"/>
    </row>
    <row r="473">
      <c r="A473" s="436"/>
    </row>
    <row r="474">
      <c r="A474" s="436"/>
    </row>
    <row r="475">
      <c r="A475" s="436"/>
    </row>
    <row r="476">
      <c r="A476" s="436"/>
    </row>
    <row r="477">
      <c r="A477" s="436"/>
    </row>
    <row r="478">
      <c r="A478" s="436"/>
    </row>
    <row r="479">
      <c r="A479" s="436"/>
    </row>
    <row r="480">
      <c r="A480" s="436"/>
    </row>
    <row r="481">
      <c r="A481" s="436"/>
    </row>
    <row r="482">
      <c r="A482" s="436"/>
    </row>
    <row r="483">
      <c r="A483" s="436"/>
    </row>
    <row r="484">
      <c r="A484" s="436"/>
    </row>
    <row r="485">
      <c r="A485" s="436"/>
    </row>
    <row r="486">
      <c r="A486" s="436"/>
    </row>
    <row r="487">
      <c r="A487" s="436"/>
    </row>
    <row r="488">
      <c r="A488" s="436"/>
    </row>
    <row r="489">
      <c r="A489" s="436"/>
    </row>
    <row r="490">
      <c r="A490" s="436"/>
    </row>
    <row r="491">
      <c r="A491" s="436"/>
    </row>
    <row r="492">
      <c r="A492" s="436"/>
    </row>
    <row r="493">
      <c r="A493" s="436"/>
    </row>
    <row r="494">
      <c r="A494" s="436"/>
    </row>
    <row r="495">
      <c r="A495" s="436"/>
    </row>
    <row r="496">
      <c r="A496" s="436"/>
    </row>
    <row r="497">
      <c r="A497" s="436"/>
    </row>
    <row r="498">
      <c r="A498" s="436"/>
    </row>
    <row r="499">
      <c r="A499" s="436"/>
    </row>
    <row r="500">
      <c r="A500" s="436"/>
    </row>
    <row r="501">
      <c r="A501" s="436"/>
    </row>
    <row r="502">
      <c r="A502" s="436"/>
    </row>
    <row r="503">
      <c r="A503" s="436"/>
    </row>
    <row r="504">
      <c r="A504" s="436"/>
    </row>
    <row r="505">
      <c r="A505" s="436"/>
    </row>
    <row r="506">
      <c r="A506" s="436"/>
    </row>
    <row r="507">
      <c r="A507" s="436"/>
    </row>
    <row r="508">
      <c r="A508" s="436"/>
    </row>
    <row r="509">
      <c r="A509" s="436"/>
    </row>
    <row r="510">
      <c r="A510" s="436"/>
    </row>
    <row r="511">
      <c r="A511" s="436"/>
    </row>
    <row r="512">
      <c r="A512" s="436"/>
    </row>
    <row r="513">
      <c r="A513" s="436"/>
    </row>
    <row r="514">
      <c r="A514" s="436"/>
    </row>
    <row r="515">
      <c r="A515" s="436"/>
    </row>
    <row r="516">
      <c r="A516" s="436"/>
    </row>
    <row r="517">
      <c r="A517" s="436"/>
    </row>
    <row r="518">
      <c r="A518" s="436"/>
    </row>
    <row r="519">
      <c r="A519" s="436"/>
    </row>
    <row r="520">
      <c r="A520" s="436"/>
    </row>
    <row r="521">
      <c r="A521" s="436"/>
    </row>
    <row r="522">
      <c r="A522" s="436"/>
    </row>
    <row r="523">
      <c r="A523" s="436"/>
    </row>
    <row r="524">
      <c r="A524" s="436"/>
    </row>
    <row r="525">
      <c r="A525" s="436"/>
    </row>
    <row r="526">
      <c r="A526" s="436"/>
    </row>
    <row r="527">
      <c r="A527" s="436"/>
    </row>
    <row r="528">
      <c r="A528" s="436"/>
    </row>
    <row r="529">
      <c r="A529" s="436"/>
    </row>
    <row r="530">
      <c r="A530" s="436"/>
    </row>
    <row r="531">
      <c r="A531" s="436"/>
    </row>
    <row r="532">
      <c r="A532" s="436"/>
    </row>
    <row r="533">
      <c r="A533" s="436"/>
    </row>
    <row r="534">
      <c r="A534" s="436"/>
    </row>
    <row r="535">
      <c r="A535" s="436"/>
    </row>
    <row r="536">
      <c r="A536" s="436"/>
    </row>
    <row r="537">
      <c r="A537" s="436"/>
    </row>
    <row r="538">
      <c r="A538" s="436"/>
    </row>
    <row r="539">
      <c r="A539" s="436"/>
    </row>
    <row r="540">
      <c r="A540" s="436"/>
    </row>
    <row r="541">
      <c r="A541" s="436"/>
    </row>
    <row r="542">
      <c r="A542" s="436"/>
    </row>
    <row r="543">
      <c r="A543" s="436"/>
    </row>
    <row r="544">
      <c r="A544" s="436"/>
    </row>
    <row r="545">
      <c r="A545" s="436"/>
    </row>
    <row r="546">
      <c r="A546" s="436"/>
    </row>
    <row r="547">
      <c r="A547" s="436"/>
    </row>
    <row r="548">
      <c r="A548" s="436"/>
    </row>
    <row r="549">
      <c r="A549" s="436"/>
    </row>
    <row r="550">
      <c r="A550" s="436"/>
    </row>
    <row r="551">
      <c r="A551" s="436"/>
    </row>
    <row r="552">
      <c r="A552" s="436"/>
    </row>
    <row r="553">
      <c r="A553" s="436"/>
    </row>
    <row r="554">
      <c r="A554" s="436"/>
    </row>
    <row r="555">
      <c r="A555" s="436"/>
    </row>
    <row r="556">
      <c r="A556" s="436"/>
    </row>
    <row r="557">
      <c r="A557" s="436"/>
    </row>
    <row r="558">
      <c r="A558" s="436"/>
    </row>
    <row r="559">
      <c r="A559" s="436"/>
    </row>
    <row r="560">
      <c r="A560" s="436"/>
    </row>
    <row r="561">
      <c r="A561" s="436"/>
    </row>
    <row r="562">
      <c r="A562" s="436"/>
    </row>
    <row r="563">
      <c r="A563" s="436"/>
    </row>
    <row r="564">
      <c r="A564" s="436"/>
    </row>
    <row r="565">
      <c r="A565" s="436"/>
    </row>
    <row r="566">
      <c r="A566" s="436"/>
    </row>
    <row r="567">
      <c r="A567" s="436"/>
    </row>
    <row r="568">
      <c r="A568" s="436"/>
    </row>
    <row r="569">
      <c r="A569" s="436"/>
    </row>
    <row r="570">
      <c r="A570" s="436"/>
    </row>
    <row r="571">
      <c r="A571" s="436"/>
    </row>
    <row r="572">
      <c r="A572" s="436"/>
    </row>
    <row r="573">
      <c r="A573" s="436"/>
    </row>
    <row r="574">
      <c r="A574" s="436"/>
    </row>
    <row r="575">
      <c r="A575" s="436"/>
    </row>
    <row r="576">
      <c r="A576" s="436"/>
    </row>
    <row r="577">
      <c r="A577" s="436"/>
    </row>
    <row r="578">
      <c r="A578" s="436"/>
    </row>
    <row r="579">
      <c r="A579" s="436"/>
    </row>
    <row r="580">
      <c r="A580" s="436"/>
    </row>
    <row r="581">
      <c r="A581" s="436"/>
    </row>
    <row r="582">
      <c r="A582" s="436"/>
    </row>
    <row r="583">
      <c r="A583" s="436"/>
    </row>
    <row r="584">
      <c r="A584" s="436"/>
    </row>
    <row r="585">
      <c r="A585" s="436"/>
    </row>
    <row r="586">
      <c r="A586" s="436"/>
    </row>
    <row r="587">
      <c r="A587" s="436"/>
    </row>
    <row r="588">
      <c r="A588" s="436"/>
    </row>
    <row r="589">
      <c r="A589" s="436"/>
    </row>
    <row r="590">
      <c r="A590" s="436"/>
    </row>
    <row r="591">
      <c r="A591" s="436"/>
    </row>
    <row r="592">
      <c r="A592" s="436"/>
    </row>
    <row r="593">
      <c r="A593" s="436"/>
    </row>
    <row r="594">
      <c r="A594" s="436"/>
    </row>
    <row r="595">
      <c r="A595" s="436"/>
    </row>
    <row r="596">
      <c r="A596" s="436"/>
    </row>
    <row r="597">
      <c r="A597" s="436"/>
    </row>
    <row r="598">
      <c r="A598" s="436"/>
    </row>
    <row r="599">
      <c r="A599" s="436"/>
    </row>
    <row r="600">
      <c r="A600" s="436"/>
    </row>
    <row r="601">
      <c r="A601" s="436"/>
    </row>
    <row r="602">
      <c r="A602" s="436"/>
    </row>
    <row r="603">
      <c r="A603" s="436"/>
    </row>
    <row r="604">
      <c r="A604" s="436"/>
    </row>
    <row r="605">
      <c r="A605" s="436"/>
    </row>
    <row r="606">
      <c r="A606" s="436"/>
    </row>
    <row r="607">
      <c r="A607" s="436"/>
    </row>
    <row r="608">
      <c r="A608" s="436"/>
    </row>
    <row r="609">
      <c r="A609" s="436"/>
    </row>
    <row r="610">
      <c r="A610" s="436"/>
    </row>
    <row r="611">
      <c r="A611" s="436"/>
    </row>
    <row r="612">
      <c r="A612" s="436"/>
    </row>
    <row r="613">
      <c r="A613" s="436"/>
    </row>
    <row r="614">
      <c r="A614" s="436"/>
    </row>
    <row r="615">
      <c r="A615" s="436"/>
    </row>
    <row r="616">
      <c r="A616" s="436"/>
    </row>
    <row r="617">
      <c r="A617" s="436"/>
    </row>
    <row r="618">
      <c r="A618" s="436"/>
    </row>
    <row r="619">
      <c r="A619" s="436"/>
    </row>
    <row r="620">
      <c r="A620" s="436"/>
    </row>
    <row r="621">
      <c r="A621" s="436"/>
    </row>
    <row r="622">
      <c r="A622" s="436"/>
    </row>
    <row r="623">
      <c r="A623" s="436"/>
    </row>
    <row r="624">
      <c r="A624" s="436"/>
    </row>
    <row r="625">
      <c r="A625" s="436"/>
    </row>
    <row r="626">
      <c r="A626" s="436"/>
    </row>
    <row r="627">
      <c r="A627" s="436"/>
    </row>
    <row r="628">
      <c r="A628" s="436"/>
    </row>
    <row r="629">
      <c r="A629" s="436"/>
    </row>
    <row r="630">
      <c r="A630" s="436"/>
    </row>
    <row r="631">
      <c r="A631" s="436"/>
    </row>
    <row r="632">
      <c r="A632" s="436"/>
    </row>
    <row r="633">
      <c r="A633" s="436"/>
    </row>
    <row r="634">
      <c r="A634" s="436"/>
    </row>
    <row r="635">
      <c r="A635" s="436"/>
    </row>
    <row r="636">
      <c r="A636" s="436"/>
    </row>
    <row r="637">
      <c r="A637" s="436"/>
    </row>
    <row r="638">
      <c r="A638" s="436"/>
    </row>
    <row r="639">
      <c r="A639" s="436"/>
    </row>
    <row r="640">
      <c r="A640" s="436"/>
    </row>
    <row r="641">
      <c r="A641" s="436"/>
    </row>
    <row r="642">
      <c r="A642" s="436"/>
    </row>
    <row r="643">
      <c r="A643" s="436"/>
    </row>
    <row r="644">
      <c r="A644" s="436"/>
    </row>
    <row r="645">
      <c r="A645" s="436"/>
    </row>
    <row r="646">
      <c r="A646" s="436"/>
    </row>
    <row r="647">
      <c r="A647" s="436"/>
    </row>
    <row r="648">
      <c r="A648" s="436"/>
    </row>
    <row r="649">
      <c r="A649" s="436"/>
    </row>
    <row r="650">
      <c r="A650" s="436"/>
    </row>
    <row r="651">
      <c r="A651" s="436"/>
    </row>
    <row r="652">
      <c r="A652" s="436"/>
    </row>
    <row r="653">
      <c r="A653" s="436"/>
    </row>
    <row r="654">
      <c r="A654" s="436"/>
    </row>
    <row r="655">
      <c r="A655" s="436"/>
    </row>
    <row r="656">
      <c r="A656" s="436"/>
    </row>
    <row r="657">
      <c r="A657" s="436"/>
    </row>
    <row r="658">
      <c r="A658" s="436"/>
    </row>
    <row r="659">
      <c r="A659" s="436"/>
    </row>
    <row r="660">
      <c r="A660" s="436"/>
    </row>
    <row r="661">
      <c r="A661" s="436"/>
    </row>
    <row r="662">
      <c r="A662" s="436"/>
    </row>
    <row r="663">
      <c r="A663" s="436"/>
    </row>
    <row r="664">
      <c r="A664" s="436"/>
    </row>
    <row r="665">
      <c r="A665" s="436"/>
    </row>
    <row r="666">
      <c r="A666" s="436"/>
    </row>
    <row r="667">
      <c r="A667" s="436"/>
    </row>
    <row r="668">
      <c r="A668" s="436"/>
    </row>
    <row r="669">
      <c r="A669" s="436"/>
    </row>
    <row r="670">
      <c r="A670" s="436"/>
    </row>
    <row r="671">
      <c r="A671" s="436"/>
    </row>
    <row r="672">
      <c r="A672" s="436"/>
    </row>
    <row r="673">
      <c r="A673" s="436"/>
    </row>
    <row r="674">
      <c r="A674" s="436"/>
    </row>
    <row r="675">
      <c r="A675" s="436"/>
    </row>
    <row r="676">
      <c r="A676" s="436"/>
    </row>
    <row r="677">
      <c r="A677" s="436"/>
    </row>
    <row r="678">
      <c r="A678" s="436"/>
    </row>
    <row r="679">
      <c r="A679" s="436"/>
    </row>
    <row r="680">
      <c r="A680" s="436"/>
    </row>
    <row r="681">
      <c r="A681" s="436"/>
    </row>
    <row r="682">
      <c r="A682" s="436"/>
    </row>
    <row r="683">
      <c r="A683" s="436"/>
    </row>
    <row r="684">
      <c r="A684" s="436"/>
    </row>
    <row r="685">
      <c r="A685" s="436"/>
    </row>
    <row r="686">
      <c r="A686" s="436"/>
    </row>
    <row r="687">
      <c r="A687" s="436"/>
    </row>
    <row r="688">
      <c r="A688" s="436"/>
    </row>
    <row r="689">
      <c r="A689" s="436"/>
    </row>
    <row r="690">
      <c r="A690" s="436"/>
    </row>
    <row r="691">
      <c r="A691" s="436"/>
    </row>
    <row r="692">
      <c r="A692" s="436"/>
    </row>
    <row r="693">
      <c r="A693" s="436"/>
    </row>
    <row r="694">
      <c r="A694" s="436"/>
    </row>
    <row r="695">
      <c r="A695" s="436"/>
    </row>
    <row r="696">
      <c r="A696" s="436"/>
    </row>
    <row r="697">
      <c r="A697" s="436"/>
    </row>
    <row r="698">
      <c r="A698" s="436"/>
    </row>
    <row r="699">
      <c r="A699" s="436"/>
    </row>
    <row r="700">
      <c r="A700" s="436"/>
    </row>
    <row r="701">
      <c r="A701" s="436"/>
    </row>
    <row r="702">
      <c r="A702" s="436"/>
    </row>
    <row r="703">
      <c r="A703" s="436"/>
    </row>
    <row r="704">
      <c r="A704" s="436"/>
    </row>
    <row r="705">
      <c r="A705" s="436"/>
    </row>
    <row r="706">
      <c r="A706" s="436"/>
    </row>
    <row r="707">
      <c r="A707" s="436"/>
    </row>
    <row r="708">
      <c r="A708" s="436"/>
    </row>
    <row r="709">
      <c r="A709" s="436"/>
    </row>
    <row r="710">
      <c r="A710" s="436"/>
    </row>
    <row r="711">
      <c r="A711" s="436"/>
    </row>
    <row r="712">
      <c r="A712" s="436"/>
    </row>
    <row r="713">
      <c r="A713" s="436"/>
    </row>
    <row r="714">
      <c r="A714" s="436"/>
    </row>
    <row r="715">
      <c r="A715" s="436"/>
    </row>
    <row r="716">
      <c r="A716" s="436"/>
    </row>
    <row r="717">
      <c r="A717" s="436"/>
    </row>
    <row r="718">
      <c r="A718" s="436"/>
    </row>
    <row r="719">
      <c r="A719" s="436"/>
    </row>
    <row r="720">
      <c r="A720" s="436"/>
    </row>
    <row r="721">
      <c r="A721" s="436"/>
    </row>
    <row r="722">
      <c r="A722" s="436"/>
    </row>
    <row r="723">
      <c r="A723" s="436"/>
    </row>
    <row r="724">
      <c r="A724" s="436"/>
    </row>
    <row r="725">
      <c r="A725" s="436"/>
    </row>
    <row r="726">
      <c r="A726" s="436"/>
    </row>
    <row r="727">
      <c r="A727" s="436"/>
    </row>
    <row r="728">
      <c r="A728" s="436"/>
    </row>
    <row r="729">
      <c r="A729" s="436"/>
    </row>
    <row r="730">
      <c r="A730" s="436"/>
    </row>
    <row r="731">
      <c r="A731" s="436"/>
    </row>
    <row r="732">
      <c r="A732" s="436"/>
    </row>
    <row r="733">
      <c r="A733" s="436"/>
    </row>
    <row r="734">
      <c r="A734" s="436"/>
    </row>
    <row r="735">
      <c r="A735" s="436"/>
    </row>
    <row r="736">
      <c r="A736" s="436"/>
    </row>
    <row r="737">
      <c r="A737" s="436"/>
    </row>
    <row r="738">
      <c r="A738" s="436"/>
    </row>
    <row r="739">
      <c r="A739" s="436"/>
    </row>
    <row r="740">
      <c r="A740" s="436"/>
    </row>
    <row r="741">
      <c r="A741" s="436"/>
    </row>
    <row r="742">
      <c r="A742" s="436"/>
    </row>
    <row r="743">
      <c r="A743" s="436"/>
    </row>
    <row r="744">
      <c r="A744" s="436"/>
    </row>
    <row r="745">
      <c r="A745" s="436"/>
    </row>
    <row r="746">
      <c r="A746" s="436"/>
    </row>
    <row r="747">
      <c r="A747" s="436"/>
    </row>
    <row r="748">
      <c r="A748" s="436"/>
    </row>
    <row r="749">
      <c r="A749" s="436"/>
    </row>
    <row r="750">
      <c r="A750" s="436"/>
    </row>
    <row r="751">
      <c r="A751" s="436"/>
    </row>
    <row r="752">
      <c r="A752" s="436"/>
    </row>
    <row r="753">
      <c r="A753" s="436"/>
    </row>
    <row r="754">
      <c r="A754" s="436"/>
    </row>
    <row r="755">
      <c r="A755" s="436"/>
    </row>
    <row r="756">
      <c r="A756" s="436"/>
    </row>
    <row r="757">
      <c r="A757" s="436"/>
    </row>
    <row r="758">
      <c r="A758" s="436"/>
    </row>
    <row r="759">
      <c r="A759" s="436"/>
    </row>
    <row r="760">
      <c r="A760" s="436"/>
    </row>
    <row r="761">
      <c r="A761" s="436"/>
    </row>
    <row r="762">
      <c r="A762" s="436"/>
    </row>
    <row r="763">
      <c r="A763" s="436"/>
    </row>
    <row r="764">
      <c r="A764" s="436"/>
    </row>
    <row r="765">
      <c r="A765" s="436"/>
    </row>
    <row r="766">
      <c r="A766" s="436"/>
    </row>
    <row r="767">
      <c r="A767" s="436"/>
    </row>
    <row r="768">
      <c r="A768" s="436"/>
    </row>
    <row r="769">
      <c r="A769" s="436"/>
    </row>
    <row r="770">
      <c r="A770" s="436"/>
    </row>
    <row r="771">
      <c r="A771" s="436"/>
    </row>
    <row r="772">
      <c r="A772" s="436"/>
    </row>
    <row r="773">
      <c r="A773" s="436"/>
    </row>
    <row r="774">
      <c r="A774" s="436"/>
    </row>
    <row r="775">
      <c r="A775" s="436"/>
    </row>
    <row r="776">
      <c r="A776" s="436"/>
    </row>
    <row r="777">
      <c r="A777" s="436"/>
    </row>
    <row r="778">
      <c r="A778" s="436"/>
    </row>
    <row r="779">
      <c r="A779" s="436"/>
    </row>
    <row r="780">
      <c r="A780" s="436"/>
    </row>
    <row r="781">
      <c r="A781" s="436"/>
    </row>
    <row r="782">
      <c r="A782" s="436"/>
    </row>
    <row r="783">
      <c r="A783" s="436"/>
    </row>
    <row r="784">
      <c r="A784" s="436"/>
    </row>
    <row r="785">
      <c r="A785" s="436"/>
    </row>
    <row r="786">
      <c r="A786" s="436"/>
    </row>
    <row r="787">
      <c r="A787" s="436"/>
    </row>
    <row r="788">
      <c r="A788" s="436"/>
    </row>
    <row r="789">
      <c r="A789" s="436"/>
    </row>
    <row r="790">
      <c r="A790" s="436"/>
    </row>
    <row r="791">
      <c r="A791" s="436"/>
    </row>
    <row r="792">
      <c r="A792" s="436"/>
    </row>
    <row r="793">
      <c r="A793" s="436"/>
    </row>
    <row r="794">
      <c r="A794" s="436"/>
    </row>
    <row r="795">
      <c r="A795" s="436"/>
    </row>
    <row r="796">
      <c r="A796" s="436"/>
    </row>
    <row r="797">
      <c r="A797" s="436"/>
    </row>
    <row r="798">
      <c r="A798" s="436"/>
    </row>
    <row r="799">
      <c r="A799" s="436"/>
    </row>
    <row r="800">
      <c r="A800" s="436"/>
    </row>
    <row r="801">
      <c r="A801" s="436"/>
    </row>
    <row r="802">
      <c r="A802" s="436"/>
    </row>
    <row r="803">
      <c r="A803" s="436"/>
    </row>
    <row r="804">
      <c r="A804" s="436"/>
    </row>
    <row r="805">
      <c r="A805" s="436"/>
    </row>
    <row r="806">
      <c r="A806" s="436"/>
    </row>
    <row r="807">
      <c r="A807" s="436"/>
    </row>
    <row r="808">
      <c r="A808" s="436"/>
    </row>
    <row r="809">
      <c r="A809" s="436"/>
    </row>
    <row r="810">
      <c r="A810" s="436"/>
    </row>
    <row r="811">
      <c r="A811" s="436"/>
    </row>
    <row r="812">
      <c r="A812" s="436"/>
    </row>
    <row r="813">
      <c r="A813" s="436"/>
    </row>
    <row r="814">
      <c r="A814" s="436"/>
    </row>
    <row r="815">
      <c r="A815" s="436"/>
    </row>
    <row r="816">
      <c r="A816" s="436"/>
    </row>
    <row r="817">
      <c r="A817" s="436"/>
    </row>
    <row r="818">
      <c r="A818" s="436"/>
    </row>
    <row r="819">
      <c r="A819" s="436"/>
    </row>
    <row r="820">
      <c r="A820" s="436"/>
    </row>
    <row r="821">
      <c r="A821" s="436"/>
    </row>
    <row r="822">
      <c r="A822" s="436"/>
    </row>
    <row r="823">
      <c r="A823" s="436"/>
    </row>
    <row r="824">
      <c r="A824" s="436"/>
    </row>
    <row r="825">
      <c r="A825" s="436"/>
    </row>
    <row r="826">
      <c r="A826" s="436"/>
    </row>
    <row r="827">
      <c r="A827" s="436"/>
    </row>
    <row r="828">
      <c r="A828" s="436"/>
    </row>
    <row r="829">
      <c r="A829" s="436"/>
    </row>
    <row r="830">
      <c r="A830" s="436"/>
    </row>
    <row r="831">
      <c r="A831" s="436"/>
    </row>
    <row r="832">
      <c r="A832" s="436"/>
    </row>
    <row r="833">
      <c r="A833" s="436"/>
    </row>
    <row r="834">
      <c r="A834" s="436"/>
    </row>
    <row r="835">
      <c r="A835" s="436"/>
    </row>
    <row r="836">
      <c r="A836" s="436"/>
    </row>
    <row r="837">
      <c r="A837" s="436"/>
    </row>
    <row r="838">
      <c r="A838" s="436"/>
    </row>
    <row r="839">
      <c r="A839" s="436"/>
    </row>
    <row r="840">
      <c r="A840" s="436"/>
    </row>
    <row r="841">
      <c r="A841" s="436"/>
    </row>
    <row r="842">
      <c r="A842" s="436"/>
    </row>
    <row r="843">
      <c r="A843" s="436"/>
    </row>
    <row r="844">
      <c r="A844" s="436"/>
    </row>
    <row r="845">
      <c r="A845" s="436"/>
    </row>
    <row r="846">
      <c r="A846" s="436"/>
    </row>
    <row r="847">
      <c r="A847" s="436"/>
    </row>
    <row r="848">
      <c r="A848" s="436"/>
    </row>
    <row r="849">
      <c r="A849" s="436"/>
    </row>
    <row r="850">
      <c r="A850" s="436"/>
    </row>
    <row r="851">
      <c r="A851" s="436"/>
    </row>
    <row r="852">
      <c r="A852" s="436"/>
    </row>
    <row r="853">
      <c r="A853" s="436"/>
    </row>
    <row r="854">
      <c r="A854" s="436"/>
    </row>
    <row r="855">
      <c r="A855" s="436"/>
    </row>
    <row r="856">
      <c r="A856" s="436"/>
    </row>
    <row r="857">
      <c r="A857" s="436"/>
    </row>
    <row r="858">
      <c r="A858" s="436"/>
    </row>
    <row r="859">
      <c r="A859" s="436"/>
    </row>
    <row r="860">
      <c r="A860" s="436"/>
    </row>
    <row r="861">
      <c r="A861" s="436"/>
    </row>
    <row r="862">
      <c r="A862" s="436"/>
    </row>
    <row r="863">
      <c r="A863" s="436"/>
    </row>
    <row r="864">
      <c r="A864" s="436"/>
    </row>
    <row r="865">
      <c r="A865" s="436"/>
    </row>
    <row r="866">
      <c r="A866" s="436"/>
    </row>
    <row r="867">
      <c r="A867" s="436"/>
    </row>
    <row r="868">
      <c r="A868" s="436"/>
    </row>
    <row r="869">
      <c r="A869" s="436"/>
    </row>
    <row r="870">
      <c r="A870" s="436"/>
    </row>
    <row r="871">
      <c r="A871" s="436"/>
    </row>
    <row r="872">
      <c r="A872" s="436"/>
    </row>
    <row r="873">
      <c r="A873" s="436"/>
    </row>
    <row r="874">
      <c r="A874" s="436"/>
    </row>
    <row r="875">
      <c r="A875" s="436"/>
    </row>
    <row r="876">
      <c r="A876" s="436"/>
    </row>
    <row r="877">
      <c r="A877" s="436"/>
    </row>
    <row r="878">
      <c r="A878" s="436"/>
    </row>
    <row r="879">
      <c r="A879" s="436"/>
    </row>
    <row r="880">
      <c r="A880" s="436"/>
    </row>
    <row r="881">
      <c r="A881" s="436"/>
    </row>
    <row r="882">
      <c r="A882" s="436"/>
    </row>
    <row r="883">
      <c r="A883" s="436"/>
    </row>
    <row r="884">
      <c r="A884" s="436"/>
    </row>
    <row r="885">
      <c r="A885" s="436"/>
    </row>
    <row r="886">
      <c r="A886" s="436"/>
    </row>
    <row r="887">
      <c r="A887" s="436"/>
    </row>
    <row r="888">
      <c r="A888" s="436"/>
    </row>
    <row r="889">
      <c r="A889" s="436"/>
    </row>
    <row r="890">
      <c r="A890" s="436"/>
    </row>
    <row r="891">
      <c r="A891" s="436"/>
    </row>
    <row r="892">
      <c r="A892" s="436"/>
    </row>
    <row r="893">
      <c r="A893" s="436"/>
    </row>
    <row r="894">
      <c r="A894" s="436"/>
    </row>
    <row r="895">
      <c r="A895" s="436"/>
    </row>
    <row r="896">
      <c r="A896" s="436"/>
    </row>
    <row r="897">
      <c r="A897" s="436"/>
    </row>
    <row r="898">
      <c r="A898" s="436"/>
    </row>
    <row r="899">
      <c r="A899" s="436"/>
    </row>
    <row r="900">
      <c r="A900" s="436"/>
    </row>
    <row r="901">
      <c r="A901" s="436"/>
    </row>
    <row r="902">
      <c r="A902" s="436"/>
    </row>
    <row r="903">
      <c r="A903" s="436"/>
    </row>
    <row r="904">
      <c r="A904" s="436"/>
    </row>
    <row r="905">
      <c r="A905" s="436"/>
    </row>
    <row r="906">
      <c r="A906" s="436"/>
    </row>
    <row r="907">
      <c r="A907" s="436"/>
    </row>
    <row r="908">
      <c r="A908" s="436"/>
    </row>
    <row r="909">
      <c r="A909" s="436"/>
    </row>
    <row r="910">
      <c r="A910" s="436"/>
    </row>
    <row r="911">
      <c r="A911" s="436"/>
    </row>
    <row r="912">
      <c r="A912" s="436"/>
    </row>
    <row r="913">
      <c r="A913" s="436"/>
    </row>
    <row r="914">
      <c r="A914" s="436"/>
    </row>
    <row r="915">
      <c r="A915" s="436"/>
    </row>
    <row r="916">
      <c r="A916" s="436"/>
    </row>
    <row r="917">
      <c r="A917" s="436"/>
    </row>
    <row r="918">
      <c r="A918" s="436"/>
    </row>
    <row r="919">
      <c r="A919" s="436"/>
    </row>
    <row r="920">
      <c r="A920" s="436"/>
    </row>
    <row r="921">
      <c r="A921" s="436"/>
    </row>
    <row r="922">
      <c r="A922" s="436"/>
    </row>
    <row r="923">
      <c r="A923" s="436"/>
    </row>
    <row r="924">
      <c r="A924" s="436"/>
    </row>
    <row r="925">
      <c r="A925" s="436"/>
    </row>
    <row r="926">
      <c r="A926" s="436"/>
    </row>
    <row r="927">
      <c r="A927" s="436"/>
    </row>
    <row r="928">
      <c r="A928" s="436"/>
    </row>
    <row r="929">
      <c r="A929" s="436"/>
    </row>
    <row r="930">
      <c r="A930" s="436"/>
    </row>
    <row r="931">
      <c r="A931" s="436"/>
    </row>
    <row r="932">
      <c r="A932" s="436"/>
    </row>
    <row r="933">
      <c r="A933" s="436"/>
    </row>
    <row r="934">
      <c r="A934" s="436"/>
    </row>
    <row r="935">
      <c r="A935" s="436"/>
    </row>
    <row r="936">
      <c r="A936" s="436"/>
    </row>
    <row r="937">
      <c r="A937" s="436"/>
    </row>
    <row r="938">
      <c r="A938" s="436"/>
    </row>
    <row r="939">
      <c r="A939" s="436"/>
    </row>
    <row r="940">
      <c r="A940" s="436"/>
    </row>
    <row r="941">
      <c r="A941" s="436"/>
    </row>
    <row r="942">
      <c r="A942" s="436"/>
    </row>
    <row r="943">
      <c r="A943" s="436"/>
    </row>
    <row r="944">
      <c r="A944" s="436"/>
    </row>
    <row r="945">
      <c r="A945" s="436"/>
    </row>
    <row r="946">
      <c r="A946" s="436"/>
    </row>
    <row r="947">
      <c r="A947" s="436"/>
    </row>
    <row r="948">
      <c r="A948" s="436"/>
    </row>
    <row r="949">
      <c r="A949" s="436"/>
    </row>
    <row r="950">
      <c r="A950" s="436"/>
    </row>
    <row r="951">
      <c r="A951" s="436"/>
    </row>
    <row r="952">
      <c r="A952" s="436"/>
    </row>
    <row r="953">
      <c r="A953" s="436"/>
    </row>
    <row r="954">
      <c r="A954" s="436"/>
    </row>
    <row r="955">
      <c r="A955" s="436"/>
    </row>
    <row r="956">
      <c r="A956" s="436"/>
    </row>
    <row r="957">
      <c r="A957" s="436"/>
    </row>
    <row r="958">
      <c r="A958" s="436"/>
    </row>
    <row r="959">
      <c r="A959" s="436"/>
    </row>
    <row r="960">
      <c r="A960" s="436"/>
    </row>
    <row r="961">
      <c r="A961" s="436"/>
    </row>
    <row r="962">
      <c r="A962" s="436"/>
    </row>
    <row r="963">
      <c r="A963" s="436"/>
    </row>
    <row r="964">
      <c r="A964" s="436"/>
    </row>
    <row r="965">
      <c r="A965" s="436"/>
    </row>
    <row r="966">
      <c r="A966" s="436"/>
    </row>
    <row r="967">
      <c r="A967" s="436"/>
    </row>
    <row r="968">
      <c r="A968" s="436"/>
    </row>
    <row r="969">
      <c r="A969" s="436"/>
    </row>
    <row r="970">
      <c r="A970" s="436"/>
    </row>
    <row r="971">
      <c r="A971" s="436"/>
    </row>
    <row r="972">
      <c r="A972" s="436"/>
    </row>
    <row r="973">
      <c r="A973" s="436"/>
    </row>
    <row r="974">
      <c r="A974" s="436"/>
    </row>
    <row r="975">
      <c r="A975" s="436"/>
    </row>
    <row r="976">
      <c r="A976" s="436"/>
    </row>
    <row r="977">
      <c r="A977" s="436"/>
    </row>
    <row r="978">
      <c r="A978" s="436"/>
    </row>
    <row r="979">
      <c r="A979" s="436"/>
    </row>
    <row r="980">
      <c r="A980" s="436"/>
    </row>
    <row r="981">
      <c r="A981" s="436"/>
    </row>
    <row r="982">
      <c r="A982" s="436"/>
    </row>
    <row r="983">
      <c r="A983" s="436"/>
    </row>
    <row r="984">
      <c r="A984" s="436"/>
    </row>
    <row r="985">
      <c r="A985" s="436"/>
    </row>
    <row r="986">
      <c r="A986" s="436"/>
    </row>
    <row r="987">
      <c r="A987" s="436"/>
    </row>
    <row r="988">
      <c r="A988" s="436"/>
    </row>
    <row r="989">
      <c r="A989" s="436"/>
    </row>
    <row r="990">
      <c r="A990" s="436"/>
    </row>
    <row r="991">
      <c r="A991" s="436"/>
    </row>
    <row r="992">
      <c r="A992" s="436"/>
    </row>
    <row r="993">
      <c r="A993" s="436"/>
    </row>
    <row r="994">
      <c r="A994" s="436"/>
    </row>
    <row r="995">
      <c r="A995" s="436"/>
    </row>
    <row r="996">
      <c r="A996" s="436"/>
    </row>
    <row r="997">
      <c r="A997" s="436"/>
    </row>
    <row r="998">
      <c r="A998" s="436"/>
    </row>
    <row r="999">
      <c r="A999" s="436"/>
    </row>
    <row r="1000">
      <c r="A1000" s="43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25"/>
  </cols>
  <sheetData>
    <row r="1">
      <c r="A1" s="29" t="s">
        <v>1523</v>
      </c>
      <c r="B1" s="29" t="s">
        <v>1524</v>
      </c>
      <c r="C1" s="29" t="s">
        <v>1525</v>
      </c>
      <c r="D1" s="29" t="s">
        <v>1526</v>
      </c>
      <c r="E1" s="29" t="s">
        <v>1527</v>
      </c>
      <c r="F1" s="29" t="s">
        <v>78</v>
      </c>
      <c r="G1" s="29" t="s">
        <v>81</v>
      </c>
      <c r="H1" s="29" t="s">
        <v>82</v>
      </c>
      <c r="I1" s="29" t="s">
        <v>83</v>
      </c>
      <c r="J1" s="29" t="s">
        <v>95</v>
      </c>
      <c r="K1" s="29" t="s">
        <v>228</v>
      </c>
      <c r="L1" s="29" t="s">
        <v>1528</v>
      </c>
      <c r="M1" s="29" t="s">
        <v>1529</v>
      </c>
      <c r="N1" s="29" t="s">
        <v>1530</v>
      </c>
      <c r="O1" s="29" t="s">
        <v>1531</v>
      </c>
      <c r="P1" s="29" t="s">
        <v>1532</v>
      </c>
      <c r="Q1" s="29" t="s">
        <v>1533</v>
      </c>
      <c r="R1" s="29" t="s">
        <v>1534</v>
      </c>
      <c r="S1" s="29" t="s">
        <v>1535</v>
      </c>
      <c r="T1" s="29" t="s">
        <v>1536</v>
      </c>
      <c r="U1" s="29" t="s">
        <v>1537</v>
      </c>
      <c r="V1" s="29" t="s">
        <v>1538</v>
      </c>
      <c r="W1" s="29" t="s">
        <v>1539</v>
      </c>
      <c r="X1" s="29" t="s">
        <v>1540</v>
      </c>
      <c r="Y1" s="29" t="s">
        <v>1541</v>
      </c>
      <c r="Z1" s="29" t="s">
        <v>1542</v>
      </c>
      <c r="AA1" s="29" t="s">
        <v>1543</v>
      </c>
      <c r="AB1" s="29" t="s">
        <v>1544</v>
      </c>
      <c r="AC1" s="29" t="s">
        <v>1545</v>
      </c>
      <c r="AD1" s="29" t="s">
        <v>1546</v>
      </c>
      <c r="AE1" s="29" t="s">
        <v>1547</v>
      </c>
      <c r="AF1" s="29" t="s">
        <v>118</v>
      </c>
      <c r="AG1" s="29" t="s">
        <v>1548</v>
      </c>
      <c r="AH1" s="29" t="s">
        <v>120</v>
      </c>
      <c r="AI1" s="29" t="s">
        <v>1549</v>
      </c>
      <c r="AJ1" s="29" t="s">
        <v>1550</v>
      </c>
      <c r="AK1" s="29" t="s">
        <v>1551</v>
      </c>
      <c r="AL1" s="29" t="s">
        <v>1552</v>
      </c>
      <c r="AM1" s="29" t="s">
        <v>1553</v>
      </c>
      <c r="AN1" s="29" t="s">
        <v>1554</v>
      </c>
      <c r="AO1" s="29" t="s">
        <v>1555</v>
      </c>
      <c r="AP1" s="29" t="s">
        <v>1556</v>
      </c>
      <c r="AQ1" s="29" t="s">
        <v>1557</v>
      </c>
      <c r="AR1" s="29" t="s">
        <v>1558</v>
      </c>
      <c r="AS1" s="29" t="s">
        <v>1559</v>
      </c>
    </row>
    <row r="2">
      <c r="A2" s="44">
        <v>1.0</v>
      </c>
      <c r="B2" s="44">
        <v>2.228571</v>
      </c>
      <c r="C2" s="44">
        <v>100.0</v>
      </c>
      <c r="D2" s="44">
        <v>0.0</v>
      </c>
      <c r="E2" s="44">
        <v>1.189791</v>
      </c>
      <c r="F2" s="44">
        <v>0.006352</v>
      </c>
      <c r="G2" s="44">
        <v>0.081821</v>
      </c>
      <c r="H2" s="389"/>
      <c r="I2" s="46" t="s">
        <v>37</v>
      </c>
      <c r="J2" s="46" t="s">
        <v>1560</v>
      </c>
      <c r="K2" s="46" t="s">
        <v>97</v>
      </c>
      <c r="L2" s="46" t="s">
        <v>1561</v>
      </c>
      <c r="M2" s="389"/>
      <c r="N2" s="46" t="s">
        <v>1562</v>
      </c>
      <c r="O2" s="45"/>
      <c r="P2" s="389"/>
      <c r="Q2" s="45"/>
      <c r="R2" s="46">
        <v>4.0</v>
      </c>
      <c r="S2" s="46" t="s">
        <v>1563</v>
      </c>
      <c r="T2" s="46" t="s">
        <v>1564</v>
      </c>
      <c r="U2" s="44">
        <v>71.0</v>
      </c>
      <c r="V2" s="44">
        <v>14.0</v>
      </c>
      <c r="W2" s="389"/>
      <c r="X2" s="44">
        <v>34.0</v>
      </c>
      <c r="Y2" s="44">
        <v>25.83958</v>
      </c>
      <c r="Z2" s="44">
        <v>3.049859</v>
      </c>
      <c r="AA2" s="44">
        <v>11.92127</v>
      </c>
      <c r="AB2" s="44">
        <v>3.829296</v>
      </c>
      <c r="AC2" s="44">
        <v>1.15831</v>
      </c>
      <c r="AD2" s="44">
        <v>3.901549</v>
      </c>
      <c r="AE2" s="44">
        <v>0.491118</v>
      </c>
      <c r="AF2" s="44">
        <v>18.56845</v>
      </c>
      <c r="AG2" s="44">
        <v>0.816996</v>
      </c>
      <c r="AH2" s="44">
        <v>5.570563</v>
      </c>
      <c r="AI2" s="44">
        <v>2.745493</v>
      </c>
      <c r="AJ2" s="44">
        <v>29.67791</v>
      </c>
      <c r="AK2" s="44">
        <v>1.550217</v>
      </c>
      <c r="AL2" s="44">
        <v>1.234439</v>
      </c>
      <c r="AM2" s="44">
        <v>2.385829</v>
      </c>
      <c r="AN2" s="44">
        <v>0.043398</v>
      </c>
      <c r="AO2" s="44">
        <v>0.43738</v>
      </c>
      <c r="AP2" s="44">
        <v>5.687839</v>
      </c>
      <c r="AQ2" s="44">
        <v>0.058339</v>
      </c>
      <c r="AR2" s="44">
        <v>0.386875</v>
      </c>
      <c r="AS2" s="44">
        <v>-1.0762</v>
      </c>
    </row>
    <row r="3">
      <c r="A3" s="44">
        <v>2.0</v>
      </c>
      <c r="B3" s="44">
        <v>1.171429</v>
      </c>
      <c r="C3" s="44">
        <v>100.0</v>
      </c>
      <c r="D3" s="44">
        <v>0.0</v>
      </c>
      <c r="E3" s="44">
        <v>1.023942</v>
      </c>
      <c r="F3" s="44">
        <v>0.00456</v>
      </c>
      <c r="G3" s="44">
        <v>-0.23413</v>
      </c>
      <c r="H3" s="389"/>
      <c r="I3" s="46" t="s">
        <v>50</v>
      </c>
      <c r="J3" s="46" t="s">
        <v>269</v>
      </c>
      <c r="K3" s="46" t="s">
        <v>97</v>
      </c>
      <c r="L3" s="46" t="s">
        <v>1565</v>
      </c>
      <c r="M3" s="389"/>
      <c r="N3" s="46" t="s">
        <v>1562</v>
      </c>
      <c r="O3" s="389"/>
      <c r="P3" s="389"/>
      <c r="Q3" s="45"/>
      <c r="R3" s="46">
        <v>5.0</v>
      </c>
      <c r="S3" s="46" t="s">
        <v>1563</v>
      </c>
      <c r="T3" s="46" t="s">
        <v>1564</v>
      </c>
      <c r="U3" s="44">
        <v>71.0</v>
      </c>
      <c r="V3" s="44">
        <v>16.0</v>
      </c>
      <c r="W3" s="389"/>
      <c r="X3" s="44">
        <v>34.0</v>
      </c>
      <c r="Y3" s="44">
        <v>27.67606</v>
      </c>
      <c r="Z3" s="44">
        <v>1.596761</v>
      </c>
      <c r="AA3" s="44">
        <v>12.16211</v>
      </c>
      <c r="AB3" s="44">
        <v>8.994648</v>
      </c>
      <c r="AC3" s="44">
        <v>1.430845</v>
      </c>
      <c r="AD3" s="44">
        <v>0.715352</v>
      </c>
      <c r="AE3" s="44">
        <v>0.585086</v>
      </c>
      <c r="AF3" s="44">
        <v>17.74268</v>
      </c>
      <c r="AG3" s="44">
        <v>0.809994</v>
      </c>
      <c r="AH3" s="44">
        <v>6.564648</v>
      </c>
      <c r="AI3" s="44">
        <v>3.115352</v>
      </c>
      <c r="AJ3" s="44">
        <v>30.12654</v>
      </c>
      <c r="AK3" s="44">
        <v>1.873843</v>
      </c>
      <c r="AL3" s="44">
        <v>-0.15537</v>
      </c>
      <c r="AM3" s="44">
        <v>2.484661</v>
      </c>
      <c r="AN3" s="44">
        <v>2.535423</v>
      </c>
      <c r="AO3" s="44">
        <v>1.246829</v>
      </c>
      <c r="AP3" s="44">
        <v>-0.05962</v>
      </c>
      <c r="AQ3" s="44">
        <v>2.519142</v>
      </c>
      <c r="AR3" s="44">
        <v>0.313965</v>
      </c>
      <c r="AS3" s="44">
        <v>-1.54339</v>
      </c>
    </row>
    <row r="4">
      <c r="A4" s="44">
        <v>3.0</v>
      </c>
      <c r="B4" s="44">
        <v>3.085714</v>
      </c>
      <c r="C4" s="44">
        <v>100.0</v>
      </c>
      <c r="D4" s="44">
        <v>0.0</v>
      </c>
      <c r="E4" s="44">
        <v>0.845049</v>
      </c>
      <c r="F4" s="44">
        <v>-0.01078</v>
      </c>
      <c r="G4" s="44">
        <v>0.481401</v>
      </c>
      <c r="H4" s="389"/>
      <c r="I4" s="46" t="s">
        <v>64</v>
      </c>
      <c r="J4" s="46" t="s">
        <v>273</v>
      </c>
      <c r="K4" s="46" t="s">
        <v>85</v>
      </c>
      <c r="L4" s="46" t="s">
        <v>1566</v>
      </c>
      <c r="M4" s="389"/>
      <c r="N4" s="46" t="s">
        <v>1562</v>
      </c>
      <c r="O4" s="45"/>
      <c r="P4" s="389"/>
      <c r="Q4" s="45"/>
      <c r="R4" s="46">
        <v>5.0</v>
      </c>
      <c r="S4" s="46" t="s">
        <v>1567</v>
      </c>
      <c r="T4" s="46" t="s">
        <v>1564</v>
      </c>
      <c r="U4" s="44">
        <v>71.0</v>
      </c>
      <c r="V4" s="44">
        <v>13.0</v>
      </c>
      <c r="W4" s="389"/>
      <c r="X4" s="44">
        <v>33.0</v>
      </c>
      <c r="Y4" s="44">
        <v>30.51761</v>
      </c>
      <c r="Z4" s="44">
        <v>1.935493</v>
      </c>
      <c r="AA4" s="44">
        <v>4.558169</v>
      </c>
      <c r="AB4" s="44">
        <v>6.381408</v>
      </c>
      <c r="AC4" s="44">
        <v>1.462817</v>
      </c>
      <c r="AD4" s="44">
        <v>0.915915</v>
      </c>
      <c r="AE4" s="44">
        <v>0.505972</v>
      </c>
      <c r="AF4" s="44">
        <v>21.0369</v>
      </c>
      <c r="AG4" s="44">
        <v>0.889001</v>
      </c>
      <c r="AH4" s="44">
        <v>8.204648</v>
      </c>
      <c r="AI4" s="44">
        <v>2.033662</v>
      </c>
      <c r="AJ4" s="44">
        <v>34.60613</v>
      </c>
      <c r="AK4" s="44">
        <v>2.374585</v>
      </c>
      <c r="AL4" s="44">
        <v>0.168606</v>
      </c>
      <c r="AM4" s="44">
        <v>-0.63567</v>
      </c>
      <c r="AN4" s="44">
        <v>1.274666</v>
      </c>
      <c r="AO4" s="44">
        <v>1.341788</v>
      </c>
      <c r="AP4" s="44">
        <v>0.302167</v>
      </c>
      <c r="AQ4" s="44">
        <v>0.526804</v>
      </c>
      <c r="AR4" s="44">
        <v>2.429548</v>
      </c>
      <c r="AS4" s="44">
        <v>-0.17704</v>
      </c>
    </row>
    <row r="5">
      <c r="A5" s="44">
        <v>4.0</v>
      </c>
      <c r="B5" s="44">
        <v>4.171429</v>
      </c>
      <c r="C5" s="44">
        <v>100.0</v>
      </c>
      <c r="D5" s="44">
        <v>0.0</v>
      </c>
      <c r="E5" s="44">
        <v>0.533813</v>
      </c>
      <c r="F5" s="44">
        <v>0.008406</v>
      </c>
      <c r="G5" s="44">
        <v>-0.42927</v>
      </c>
      <c r="H5" s="389"/>
      <c r="I5" s="46" t="s">
        <v>86</v>
      </c>
      <c r="J5" s="46" t="s">
        <v>283</v>
      </c>
      <c r="K5" s="46" t="s">
        <v>1568</v>
      </c>
      <c r="L5" s="46" t="s">
        <v>1569</v>
      </c>
      <c r="M5" s="389"/>
      <c r="N5" s="46" t="s">
        <v>1570</v>
      </c>
      <c r="O5" s="46" t="s">
        <v>1571</v>
      </c>
      <c r="P5" s="389"/>
      <c r="Q5" s="45"/>
      <c r="R5" s="46">
        <v>5.0</v>
      </c>
      <c r="S5" s="46" t="s">
        <v>1567</v>
      </c>
      <c r="T5" s="46" t="s">
        <v>1564</v>
      </c>
      <c r="U5" s="44">
        <v>66.0</v>
      </c>
      <c r="V5" s="44">
        <v>14.0</v>
      </c>
      <c r="W5" s="389"/>
      <c r="X5" s="44">
        <v>36.0</v>
      </c>
      <c r="Y5" s="44">
        <v>29.94333</v>
      </c>
      <c r="Z5" s="44">
        <v>3.678182</v>
      </c>
      <c r="AA5" s="44">
        <v>7.791061</v>
      </c>
      <c r="AB5" s="44">
        <v>7.643939</v>
      </c>
      <c r="AC5" s="44">
        <v>1.47</v>
      </c>
      <c r="AD5" s="44">
        <v>0.44</v>
      </c>
      <c r="AE5" s="44">
        <v>0.46871</v>
      </c>
      <c r="AF5" s="44">
        <v>20.43227</v>
      </c>
      <c r="AG5" s="44">
        <v>0.790994</v>
      </c>
      <c r="AH5" s="44">
        <v>8.990606</v>
      </c>
      <c r="AI5" s="44">
        <v>3.454545</v>
      </c>
      <c r="AJ5" s="44">
        <v>34.3327</v>
      </c>
      <c r="AK5" s="44">
        <v>2.273386</v>
      </c>
      <c r="AL5" s="44">
        <v>1.835396</v>
      </c>
      <c r="AM5" s="44">
        <v>0.690967</v>
      </c>
      <c r="AN5" s="44">
        <v>1.883774</v>
      </c>
      <c r="AO5" s="44">
        <v>1.363122</v>
      </c>
      <c r="AP5" s="44">
        <v>-0.55632</v>
      </c>
      <c r="AQ5" s="44">
        <v>-0.61289</v>
      </c>
      <c r="AR5" s="44">
        <v>-0.10128</v>
      </c>
      <c r="AS5" s="44">
        <v>-1.97184</v>
      </c>
    </row>
    <row r="6">
      <c r="A6" s="44">
        <v>5.0</v>
      </c>
      <c r="B6" s="44">
        <v>47.14286</v>
      </c>
      <c r="C6" s="44">
        <v>100.0</v>
      </c>
      <c r="D6" s="44">
        <v>0.0</v>
      </c>
      <c r="E6" s="44">
        <v>0.506179</v>
      </c>
      <c r="F6" s="44">
        <v>0.001858</v>
      </c>
      <c r="G6" s="44">
        <v>-0.12262</v>
      </c>
      <c r="H6" s="389"/>
      <c r="I6" s="46" t="s">
        <v>91</v>
      </c>
      <c r="J6" s="46" t="s">
        <v>308</v>
      </c>
      <c r="K6" s="46" t="s">
        <v>1572</v>
      </c>
      <c r="L6" s="46" t="s">
        <v>1573</v>
      </c>
      <c r="M6" s="389"/>
      <c r="N6" s="46" t="s">
        <v>1570</v>
      </c>
      <c r="O6" s="45"/>
      <c r="P6" s="389"/>
      <c r="Q6" s="45"/>
      <c r="R6" s="46">
        <v>2.0</v>
      </c>
      <c r="S6" s="46" t="s">
        <v>1574</v>
      </c>
      <c r="T6" s="46" t="s">
        <v>1564</v>
      </c>
      <c r="U6" s="44">
        <v>58.0</v>
      </c>
      <c r="V6" s="44">
        <v>15.0</v>
      </c>
      <c r="W6" s="389"/>
      <c r="X6" s="44">
        <v>34.0</v>
      </c>
      <c r="Y6" s="44">
        <v>24.29862</v>
      </c>
      <c r="Z6" s="44">
        <v>2.248448</v>
      </c>
      <c r="AA6" s="44">
        <v>6.321207</v>
      </c>
      <c r="AB6" s="44">
        <v>3.160517</v>
      </c>
      <c r="AC6" s="44">
        <v>1.653276</v>
      </c>
      <c r="AD6" s="44">
        <v>0.617241</v>
      </c>
      <c r="AE6" s="44">
        <v>0.504103</v>
      </c>
      <c r="AF6" s="44">
        <v>18.55155</v>
      </c>
      <c r="AG6" s="44">
        <v>0.858995</v>
      </c>
      <c r="AH6" s="44">
        <v>3.89569</v>
      </c>
      <c r="AI6" s="44">
        <v>1.786379</v>
      </c>
      <c r="AJ6" s="44">
        <v>28.97574</v>
      </c>
      <c r="AK6" s="44">
        <v>1.278667</v>
      </c>
      <c r="AL6" s="44">
        <v>0.467931</v>
      </c>
      <c r="AM6" s="44">
        <v>0.087801</v>
      </c>
      <c r="AN6" s="44">
        <v>-0.27925</v>
      </c>
      <c r="AO6" s="44">
        <v>1.907464</v>
      </c>
      <c r="AP6" s="44">
        <v>-0.2366</v>
      </c>
      <c r="AQ6" s="44">
        <v>0.414183</v>
      </c>
      <c r="AR6" s="44">
        <v>0.780101</v>
      </c>
      <c r="AS6" s="44">
        <v>0.135314</v>
      </c>
    </row>
    <row r="7">
      <c r="A7" s="44">
        <v>6.0</v>
      </c>
      <c r="B7" s="44">
        <v>55.75714</v>
      </c>
      <c r="C7" s="44">
        <v>100.0</v>
      </c>
      <c r="D7" s="44">
        <v>0.0</v>
      </c>
      <c r="E7" s="44">
        <v>0.410444</v>
      </c>
      <c r="F7" s="44">
        <v>0.00233</v>
      </c>
      <c r="G7" s="44">
        <v>-3.07765</v>
      </c>
      <c r="H7" s="389"/>
      <c r="I7" s="46" t="s">
        <v>54</v>
      </c>
      <c r="J7" s="46" t="s">
        <v>299</v>
      </c>
      <c r="K7" s="46" t="s">
        <v>97</v>
      </c>
      <c r="L7" s="46" t="s">
        <v>1575</v>
      </c>
      <c r="M7" s="389"/>
      <c r="N7" s="46" t="s">
        <v>1570</v>
      </c>
      <c r="O7" s="46" t="s">
        <v>1576</v>
      </c>
      <c r="P7" s="389"/>
      <c r="Q7" s="45"/>
      <c r="R7" s="46">
        <v>3.0</v>
      </c>
      <c r="S7" s="46" t="s">
        <v>1577</v>
      </c>
      <c r="T7" s="46" t="s">
        <v>1564</v>
      </c>
      <c r="U7" s="44">
        <v>54.0</v>
      </c>
      <c r="V7" s="44">
        <v>13.0</v>
      </c>
      <c r="W7" s="389"/>
      <c r="X7" s="44">
        <v>30.0</v>
      </c>
      <c r="Y7" s="44">
        <v>22.16741</v>
      </c>
      <c r="Z7" s="44">
        <v>2.597407</v>
      </c>
      <c r="AA7" s="44">
        <v>7.8</v>
      </c>
      <c r="AB7" s="44">
        <v>2.21</v>
      </c>
      <c r="AC7" s="44">
        <v>0.788889</v>
      </c>
      <c r="AD7" s="44">
        <v>1.69</v>
      </c>
      <c r="AE7" s="44">
        <v>0.470253</v>
      </c>
      <c r="AF7" s="44">
        <v>15.53537</v>
      </c>
      <c r="AG7" s="44">
        <v>0.840015</v>
      </c>
      <c r="AH7" s="44">
        <v>5.903333</v>
      </c>
      <c r="AI7" s="44">
        <v>1.43</v>
      </c>
      <c r="AJ7" s="44">
        <v>27.01944</v>
      </c>
      <c r="AK7" s="44">
        <v>0.903102</v>
      </c>
      <c r="AL7" s="44">
        <v>0.801692</v>
      </c>
      <c r="AM7" s="44">
        <v>0.694635</v>
      </c>
      <c r="AN7" s="44">
        <v>-0.73783</v>
      </c>
      <c r="AO7" s="44">
        <v>-0.65983</v>
      </c>
      <c r="AP7" s="44">
        <v>1.698509</v>
      </c>
      <c r="AQ7" s="44">
        <v>-0.4289</v>
      </c>
      <c r="AR7" s="44">
        <v>0.837133</v>
      </c>
      <c r="AS7" s="44">
        <v>0.585477</v>
      </c>
    </row>
    <row r="8">
      <c r="A8" s="44">
        <v>7.0</v>
      </c>
      <c r="B8" s="44">
        <v>15.02857</v>
      </c>
      <c r="C8" s="44">
        <v>100.0</v>
      </c>
      <c r="D8" s="44">
        <v>0.0</v>
      </c>
      <c r="E8" s="44">
        <v>0.391314</v>
      </c>
      <c r="F8" s="44">
        <v>-0.00158</v>
      </c>
      <c r="G8" s="44">
        <v>0.342012</v>
      </c>
      <c r="H8" s="389"/>
      <c r="I8" s="46" t="s">
        <v>51</v>
      </c>
      <c r="J8" s="46" t="s">
        <v>1578</v>
      </c>
      <c r="K8" s="46" t="s">
        <v>85</v>
      </c>
      <c r="L8" s="46" t="s">
        <v>1579</v>
      </c>
      <c r="M8" s="389"/>
      <c r="N8" s="46" t="s">
        <v>1570</v>
      </c>
      <c r="O8" s="389"/>
      <c r="P8" s="389"/>
      <c r="Q8" s="45"/>
      <c r="R8" s="46">
        <v>5.0</v>
      </c>
      <c r="S8" s="46" t="s">
        <v>1580</v>
      </c>
      <c r="T8" s="46" t="s">
        <v>1564</v>
      </c>
      <c r="U8" s="44">
        <v>66.0</v>
      </c>
      <c r="V8" s="44">
        <v>15.0</v>
      </c>
      <c r="W8" s="389"/>
      <c r="X8" s="44">
        <v>33.0</v>
      </c>
      <c r="Y8" s="44">
        <v>25.06697</v>
      </c>
      <c r="Z8" s="44">
        <v>4.574394</v>
      </c>
      <c r="AA8" s="44">
        <v>4.492121</v>
      </c>
      <c r="AB8" s="44">
        <v>5.887727</v>
      </c>
      <c r="AC8" s="44">
        <v>1.020909</v>
      </c>
      <c r="AD8" s="44">
        <v>0.407727</v>
      </c>
      <c r="AE8" s="44">
        <v>0.453415</v>
      </c>
      <c r="AF8" s="44">
        <v>18.17318</v>
      </c>
      <c r="AG8" s="44">
        <v>0.919996</v>
      </c>
      <c r="AH8" s="44">
        <v>4.361515</v>
      </c>
      <c r="AI8" s="44">
        <v>2.786515</v>
      </c>
      <c r="AJ8" s="44">
        <v>30.22991</v>
      </c>
      <c r="AK8" s="44">
        <v>1.414067</v>
      </c>
      <c r="AL8" s="44">
        <v>2.692576</v>
      </c>
      <c r="AM8" s="44">
        <v>-0.66278</v>
      </c>
      <c r="AN8" s="44">
        <v>1.036489</v>
      </c>
      <c r="AO8" s="44">
        <v>0.02929</v>
      </c>
      <c r="AP8" s="44">
        <v>-0.61453</v>
      </c>
      <c r="AQ8" s="44">
        <v>-0.95498</v>
      </c>
      <c r="AR8" s="44">
        <v>1.70971</v>
      </c>
      <c r="AS8" s="44">
        <v>-1.12801</v>
      </c>
    </row>
    <row r="9">
      <c r="A9" s="44">
        <v>8.0</v>
      </c>
      <c r="B9" s="44">
        <v>8.557143</v>
      </c>
      <c r="C9" s="44">
        <v>100.0</v>
      </c>
      <c r="D9" s="44">
        <v>0.0</v>
      </c>
      <c r="E9" s="44">
        <v>0.378035</v>
      </c>
      <c r="F9" s="44">
        <v>0.005152</v>
      </c>
      <c r="G9" s="44">
        <v>-1.22843</v>
      </c>
      <c r="H9" s="389"/>
      <c r="I9" s="46" t="s">
        <v>212</v>
      </c>
      <c r="J9" s="46" t="s">
        <v>278</v>
      </c>
      <c r="K9" s="46" t="s">
        <v>1581</v>
      </c>
      <c r="L9" s="46" t="s">
        <v>1582</v>
      </c>
      <c r="M9" s="389"/>
      <c r="N9" s="46" t="s">
        <v>1570</v>
      </c>
      <c r="O9" s="389"/>
      <c r="P9" s="389"/>
      <c r="Q9" s="45"/>
      <c r="R9" s="46">
        <v>3.0</v>
      </c>
      <c r="S9" s="46" t="s">
        <v>1583</v>
      </c>
      <c r="T9" s="46" t="s">
        <v>1564</v>
      </c>
      <c r="U9" s="44">
        <v>61.0</v>
      </c>
      <c r="V9" s="44">
        <v>14.0</v>
      </c>
      <c r="W9" s="389"/>
      <c r="X9" s="44">
        <v>34.0</v>
      </c>
      <c r="Y9" s="44">
        <v>22.61049</v>
      </c>
      <c r="Z9" s="44">
        <v>0.879672</v>
      </c>
      <c r="AA9" s="44">
        <v>10.0159</v>
      </c>
      <c r="AB9" s="44">
        <v>4.149344</v>
      </c>
      <c r="AC9" s="44">
        <v>1.227213</v>
      </c>
      <c r="AD9" s="44">
        <v>2.074754</v>
      </c>
      <c r="AE9" s="44">
        <v>0.494358</v>
      </c>
      <c r="AF9" s="44">
        <v>17.02721</v>
      </c>
      <c r="AG9" s="44">
        <v>0.765999</v>
      </c>
      <c r="AH9" s="44">
        <v>6.391311</v>
      </c>
      <c r="AI9" s="44">
        <v>2.790164</v>
      </c>
      <c r="AJ9" s="44">
        <v>28.4672</v>
      </c>
      <c r="AK9" s="44">
        <v>0.981183</v>
      </c>
      <c r="AL9" s="44">
        <v>-0.84123</v>
      </c>
      <c r="AM9" s="44">
        <v>1.603947</v>
      </c>
      <c r="AN9" s="44">
        <v>0.197806</v>
      </c>
      <c r="AO9" s="44">
        <v>0.642028</v>
      </c>
      <c r="AP9" s="44">
        <v>2.392552</v>
      </c>
      <c r="AQ9" s="44">
        <v>0.135596</v>
      </c>
      <c r="AR9" s="44">
        <v>-0.57694</v>
      </c>
      <c r="AS9" s="44">
        <v>-1.13262</v>
      </c>
    </row>
    <row r="10">
      <c r="A10" s="44">
        <v>9.0</v>
      </c>
      <c r="B10" s="44">
        <v>17.67143</v>
      </c>
      <c r="C10" s="44">
        <v>100.0</v>
      </c>
      <c r="D10" s="44">
        <v>0.0</v>
      </c>
      <c r="E10" s="44">
        <v>0.34602</v>
      </c>
      <c r="F10" s="44">
        <v>-0.00327</v>
      </c>
      <c r="G10" s="44">
        <v>-0.93107</v>
      </c>
      <c r="H10" s="389"/>
      <c r="I10" s="46" t="s">
        <v>149</v>
      </c>
      <c r="J10" s="46" t="s">
        <v>287</v>
      </c>
      <c r="K10" s="46" t="s">
        <v>1568</v>
      </c>
      <c r="L10" s="46" t="s">
        <v>1584</v>
      </c>
      <c r="M10" s="389"/>
      <c r="N10" s="46" t="s">
        <v>1562</v>
      </c>
      <c r="O10" s="389"/>
      <c r="P10" s="389"/>
      <c r="Q10" s="389"/>
      <c r="R10" s="46">
        <v>4.0</v>
      </c>
      <c r="S10" s="46" t="s">
        <v>1585</v>
      </c>
      <c r="T10" s="46" t="s">
        <v>1564</v>
      </c>
      <c r="U10" s="44">
        <v>71.0</v>
      </c>
      <c r="V10" s="44">
        <v>16.0</v>
      </c>
      <c r="W10" s="389"/>
      <c r="X10" s="44">
        <v>38.0</v>
      </c>
      <c r="Y10" s="44">
        <v>26.25592</v>
      </c>
      <c r="Z10" s="44">
        <v>3.289296</v>
      </c>
      <c r="AA10" s="44">
        <v>3.32493</v>
      </c>
      <c r="AB10" s="44">
        <v>6.427887</v>
      </c>
      <c r="AC10" s="44">
        <v>1.345775</v>
      </c>
      <c r="AD10" s="44">
        <v>0.397042</v>
      </c>
      <c r="AE10" s="44">
        <v>0.449282</v>
      </c>
      <c r="AF10" s="44">
        <v>20.89972</v>
      </c>
      <c r="AG10" s="44">
        <v>0.870993</v>
      </c>
      <c r="AH10" s="44">
        <v>4.807042</v>
      </c>
      <c r="AI10" s="44">
        <v>2.21662</v>
      </c>
      <c r="AJ10" s="44">
        <v>28.77599</v>
      </c>
      <c r="AK10" s="44">
        <v>1.623584</v>
      </c>
      <c r="AL10" s="44">
        <v>1.463447</v>
      </c>
      <c r="AM10" s="44">
        <v>-1.14174</v>
      </c>
      <c r="AN10" s="44">
        <v>1.297089</v>
      </c>
      <c r="AO10" s="44">
        <v>0.994164</v>
      </c>
      <c r="AP10" s="44">
        <v>-0.63381</v>
      </c>
      <c r="AQ10" s="44">
        <v>-1.22696</v>
      </c>
      <c r="AR10" s="44">
        <v>1.146549</v>
      </c>
      <c r="AS10" s="44">
        <v>-0.40815</v>
      </c>
    </row>
    <row r="11">
      <c r="A11" s="44">
        <v>10.0</v>
      </c>
      <c r="B11" s="44">
        <v>18.9</v>
      </c>
      <c r="C11" s="44">
        <v>100.0</v>
      </c>
      <c r="D11" s="44">
        <v>0.0</v>
      </c>
      <c r="E11" s="44">
        <v>0.337715</v>
      </c>
      <c r="F11" s="44">
        <v>-0.00132</v>
      </c>
      <c r="G11" s="44">
        <v>-0.71734</v>
      </c>
      <c r="H11" s="389"/>
      <c r="I11" s="46" t="s">
        <v>136</v>
      </c>
      <c r="J11" s="46" t="s">
        <v>317</v>
      </c>
      <c r="K11" s="46" t="s">
        <v>1568</v>
      </c>
      <c r="L11" s="46" t="s">
        <v>1586</v>
      </c>
      <c r="M11" s="389"/>
      <c r="N11" s="46" t="s">
        <v>1570</v>
      </c>
      <c r="O11" s="45"/>
      <c r="P11" s="389"/>
      <c r="Q11" s="389"/>
      <c r="R11" s="46">
        <v>5.0</v>
      </c>
      <c r="S11" s="46" t="s">
        <v>1587</v>
      </c>
      <c r="T11" s="46" t="s">
        <v>1564</v>
      </c>
      <c r="U11" s="44">
        <v>66.0</v>
      </c>
      <c r="V11" s="44">
        <v>14.0</v>
      </c>
      <c r="W11" s="389"/>
      <c r="X11" s="44">
        <v>32.0</v>
      </c>
      <c r="Y11" s="44">
        <v>26.15788</v>
      </c>
      <c r="Z11" s="44">
        <v>3.337727</v>
      </c>
      <c r="AA11" s="44">
        <v>4.578636</v>
      </c>
      <c r="AB11" s="44">
        <v>5.656061</v>
      </c>
      <c r="AC11" s="44">
        <v>1.274697</v>
      </c>
      <c r="AD11" s="44">
        <v>0.27</v>
      </c>
      <c r="AE11" s="44">
        <v>0.460657</v>
      </c>
      <c r="AF11" s="44">
        <v>18.98803</v>
      </c>
      <c r="AG11" s="44">
        <v>0.85001</v>
      </c>
      <c r="AH11" s="44">
        <v>6.266061</v>
      </c>
      <c r="AI11" s="44">
        <v>2.356667</v>
      </c>
      <c r="AJ11" s="44">
        <v>32.1887</v>
      </c>
      <c r="AK11" s="44">
        <v>1.606308</v>
      </c>
      <c r="AL11" s="44">
        <v>1.509769</v>
      </c>
      <c r="AM11" s="44">
        <v>-0.62728</v>
      </c>
      <c r="AN11" s="44">
        <v>0.924721</v>
      </c>
      <c r="AO11" s="44">
        <v>0.783058</v>
      </c>
      <c r="AP11" s="44">
        <v>-0.86298</v>
      </c>
      <c r="AQ11" s="44">
        <v>-0.79498</v>
      </c>
      <c r="AR11" s="44">
        <v>1.08586</v>
      </c>
      <c r="AS11" s="44">
        <v>-0.58505</v>
      </c>
    </row>
    <row r="12">
      <c r="A12" s="44">
        <v>11.0</v>
      </c>
      <c r="B12" s="44">
        <v>17.57143</v>
      </c>
      <c r="C12" s="44">
        <v>100.0</v>
      </c>
      <c r="D12" s="44">
        <v>0.0</v>
      </c>
      <c r="E12" s="44">
        <v>0.317355</v>
      </c>
      <c r="F12" s="44">
        <v>0.002561</v>
      </c>
      <c r="G12" s="44">
        <v>-0.00181</v>
      </c>
      <c r="H12" s="389"/>
      <c r="I12" s="46" t="s">
        <v>87</v>
      </c>
      <c r="J12" s="46" t="s">
        <v>386</v>
      </c>
      <c r="K12" s="46" t="s">
        <v>92</v>
      </c>
      <c r="L12" s="46" t="s">
        <v>1588</v>
      </c>
      <c r="M12" s="389"/>
      <c r="N12" s="46" t="s">
        <v>1570</v>
      </c>
      <c r="O12" s="46" t="s">
        <v>1576</v>
      </c>
      <c r="P12" s="389"/>
      <c r="Q12" s="389"/>
      <c r="R12" s="46">
        <v>5.0</v>
      </c>
      <c r="S12" s="46" t="s">
        <v>1589</v>
      </c>
      <c r="T12" s="46" t="s">
        <v>1564</v>
      </c>
      <c r="U12" s="44">
        <v>62.0</v>
      </c>
      <c r="V12" s="44">
        <v>14.0</v>
      </c>
      <c r="W12" s="389"/>
      <c r="X12" s="44">
        <v>35.0</v>
      </c>
      <c r="Y12" s="44">
        <v>28.26516</v>
      </c>
      <c r="Z12" s="44">
        <v>2.716613</v>
      </c>
      <c r="AA12" s="44">
        <v>5.302419</v>
      </c>
      <c r="AB12" s="44">
        <v>4.860645</v>
      </c>
      <c r="AC12" s="44">
        <v>0.807903</v>
      </c>
      <c r="AD12" s="44">
        <v>0.88371</v>
      </c>
      <c r="AE12" s="44">
        <v>0.514426</v>
      </c>
      <c r="AF12" s="44">
        <v>19.88435</v>
      </c>
      <c r="AG12" s="44">
        <v>0.857007</v>
      </c>
      <c r="AH12" s="44">
        <v>5.939839</v>
      </c>
      <c r="AI12" s="44">
        <v>3.314032</v>
      </c>
      <c r="AJ12" s="44">
        <v>30.17048</v>
      </c>
      <c r="AK12" s="44">
        <v>1.977656</v>
      </c>
      <c r="AL12" s="44">
        <v>0.915706</v>
      </c>
      <c r="AM12" s="44">
        <v>-0.33027</v>
      </c>
      <c r="AN12" s="44">
        <v>0.540973</v>
      </c>
      <c r="AO12" s="44">
        <v>-0.60335</v>
      </c>
      <c r="AP12" s="44">
        <v>0.244072</v>
      </c>
      <c r="AQ12" s="44">
        <v>0.746677</v>
      </c>
      <c r="AR12" s="44">
        <v>1.159078</v>
      </c>
      <c r="AS12" s="44">
        <v>-1.79435</v>
      </c>
    </row>
    <row r="13">
      <c r="A13" s="44">
        <v>12.0</v>
      </c>
      <c r="B13" s="44">
        <v>52.1</v>
      </c>
      <c r="C13" s="44">
        <v>100.0</v>
      </c>
      <c r="D13" s="44">
        <v>0.0</v>
      </c>
      <c r="E13" s="44">
        <v>0.316722</v>
      </c>
      <c r="F13" s="44">
        <v>0.003651</v>
      </c>
      <c r="G13" s="44">
        <v>-1.44216</v>
      </c>
      <c r="H13" s="389"/>
      <c r="I13" s="46" t="s">
        <v>94</v>
      </c>
      <c r="J13" s="46" t="s">
        <v>287</v>
      </c>
      <c r="K13" s="46" t="s">
        <v>97</v>
      </c>
      <c r="L13" s="46" t="s">
        <v>1590</v>
      </c>
      <c r="M13" s="46" t="s">
        <v>1591</v>
      </c>
      <c r="N13" s="46" t="s">
        <v>1570</v>
      </c>
      <c r="O13" s="389"/>
      <c r="P13" s="389"/>
      <c r="Q13" s="389"/>
      <c r="R13" s="46">
        <v>1.0</v>
      </c>
      <c r="S13" s="46" t="s">
        <v>1592</v>
      </c>
      <c r="T13" s="46" t="s">
        <v>1564</v>
      </c>
      <c r="U13" s="44">
        <v>42.0</v>
      </c>
      <c r="V13" s="44">
        <v>16.0</v>
      </c>
      <c r="W13" s="389"/>
      <c r="X13" s="44">
        <v>30.0</v>
      </c>
      <c r="Y13" s="44">
        <v>25.12976</v>
      </c>
      <c r="Z13" s="44">
        <v>1.112857</v>
      </c>
      <c r="AA13" s="44">
        <v>8.5</v>
      </c>
      <c r="AB13" s="44">
        <v>4.66119</v>
      </c>
      <c r="AC13" s="44">
        <v>0.872857</v>
      </c>
      <c r="AD13" s="44">
        <v>1.125</v>
      </c>
      <c r="AE13" s="44">
        <v>0.487453</v>
      </c>
      <c r="AF13" s="44">
        <v>16.49929</v>
      </c>
      <c r="AG13" s="44">
        <v>0.874013</v>
      </c>
      <c r="AH13" s="44">
        <v>9.075</v>
      </c>
      <c r="AI13" s="44">
        <v>3.379524</v>
      </c>
      <c r="AJ13" s="44">
        <v>34.48546</v>
      </c>
      <c r="AK13" s="44">
        <v>1.425132</v>
      </c>
      <c r="AL13" s="44">
        <v>-0.6182</v>
      </c>
      <c r="AM13" s="44">
        <v>0.981885</v>
      </c>
      <c r="AN13" s="44">
        <v>0.444746</v>
      </c>
      <c r="AO13" s="44">
        <v>-0.41043</v>
      </c>
      <c r="AP13" s="44">
        <v>0.679327</v>
      </c>
      <c r="AQ13" s="44">
        <v>-0.03671</v>
      </c>
      <c r="AR13" s="44">
        <v>2.261834</v>
      </c>
      <c r="AS13" s="44">
        <v>-1.87708</v>
      </c>
    </row>
    <row r="14">
      <c r="A14" s="44">
        <v>13.0</v>
      </c>
      <c r="B14" s="44">
        <v>32.02857</v>
      </c>
      <c r="C14" s="44">
        <v>100.0</v>
      </c>
      <c r="D14" s="44">
        <v>0.0</v>
      </c>
      <c r="E14" s="44">
        <v>0.316455</v>
      </c>
      <c r="F14" s="44">
        <v>0.004287</v>
      </c>
      <c r="G14" s="44">
        <v>0.964613</v>
      </c>
      <c r="H14" s="389"/>
      <c r="I14" s="46" t="s">
        <v>125</v>
      </c>
      <c r="J14" s="46" t="s">
        <v>299</v>
      </c>
      <c r="K14" s="46" t="s">
        <v>1593</v>
      </c>
      <c r="L14" s="46" t="s">
        <v>1594</v>
      </c>
      <c r="M14" s="389"/>
      <c r="N14" s="46" t="s">
        <v>1562</v>
      </c>
      <c r="O14" s="46" t="s">
        <v>1595</v>
      </c>
      <c r="P14" s="389"/>
      <c r="Q14" s="389"/>
      <c r="R14" s="46">
        <v>3.0</v>
      </c>
      <c r="S14" s="46" t="s">
        <v>1596</v>
      </c>
      <c r="T14" s="46" t="s">
        <v>1564</v>
      </c>
      <c r="U14" s="44">
        <v>71.0</v>
      </c>
      <c r="V14" s="44">
        <v>13.0</v>
      </c>
      <c r="W14" s="389"/>
      <c r="X14" s="44">
        <v>33.0</v>
      </c>
      <c r="Y14" s="44">
        <v>13.23873</v>
      </c>
      <c r="Z14" s="44">
        <v>0.888451</v>
      </c>
      <c r="AA14" s="44">
        <v>5.791549</v>
      </c>
      <c r="AB14" s="44">
        <v>4.432958</v>
      </c>
      <c r="AC14" s="44">
        <v>2.573944</v>
      </c>
      <c r="AD14" s="44">
        <v>0.645634</v>
      </c>
      <c r="AE14" s="44">
        <v>0.517163</v>
      </c>
      <c r="AF14" s="44">
        <v>11.08239</v>
      </c>
      <c r="AG14" s="44">
        <v>0.615994</v>
      </c>
      <c r="AH14" s="44">
        <v>1.440704</v>
      </c>
      <c r="AI14" s="44">
        <v>1.859014</v>
      </c>
      <c r="AJ14" s="44">
        <v>17.04519</v>
      </c>
      <c r="AK14" s="44">
        <v>-0.67032</v>
      </c>
      <c r="AL14" s="44">
        <v>-0.83284</v>
      </c>
      <c r="AM14" s="44">
        <v>-0.12955</v>
      </c>
      <c r="AN14" s="44">
        <v>0.334635</v>
      </c>
      <c r="AO14" s="44">
        <v>4.641913</v>
      </c>
      <c r="AP14" s="44">
        <v>-0.18538</v>
      </c>
      <c r="AQ14" s="44">
        <v>0.464108</v>
      </c>
      <c r="AR14" s="44">
        <v>-0.81804</v>
      </c>
      <c r="AS14" s="44">
        <v>0.043565</v>
      </c>
    </row>
    <row r="15">
      <c r="A15" s="44">
        <v>14.0</v>
      </c>
      <c r="B15" s="44">
        <v>51.15714</v>
      </c>
      <c r="C15" s="44">
        <v>100.0</v>
      </c>
      <c r="D15" s="44">
        <v>0.0</v>
      </c>
      <c r="E15" s="44">
        <v>0.287262</v>
      </c>
      <c r="F15" s="44">
        <v>0.001326</v>
      </c>
      <c r="G15" s="44">
        <v>-1.48862</v>
      </c>
      <c r="H15" s="389"/>
      <c r="I15" s="46" t="s">
        <v>178</v>
      </c>
      <c r="J15" s="46" t="s">
        <v>1578</v>
      </c>
      <c r="K15" s="46" t="s">
        <v>1572</v>
      </c>
      <c r="L15" s="46" t="s">
        <v>1597</v>
      </c>
      <c r="M15" s="389"/>
      <c r="N15" s="46" t="s">
        <v>1570</v>
      </c>
      <c r="O15" s="45"/>
      <c r="P15" s="389"/>
      <c r="Q15" s="389"/>
      <c r="R15" s="46">
        <v>5.0</v>
      </c>
      <c r="S15" s="46" t="s">
        <v>1598</v>
      </c>
      <c r="T15" s="46" t="s">
        <v>1564</v>
      </c>
      <c r="U15" s="44">
        <v>66.0</v>
      </c>
      <c r="V15" s="44">
        <v>15.0</v>
      </c>
      <c r="W15" s="389"/>
      <c r="X15" s="44">
        <v>33.0</v>
      </c>
      <c r="Y15" s="44">
        <v>17.0203</v>
      </c>
      <c r="Z15" s="44">
        <v>0.754697</v>
      </c>
      <c r="AA15" s="44">
        <v>5.37697</v>
      </c>
      <c r="AB15" s="44">
        <v>5.847424</v>
      </c>
      <c r="AC15" s="44">
        <v>1.565455</v>
      </c>
      <c r="AD15" s="44">
        <v>0.271364</v>
      </c>
      <c r="AE15" s="44">
        <v>0.49857</v>
      </c>
      <c r="AF15" s="44">
        <v>10.75379</v>
      </c>
      <c r="AG15" s="44">
        <v>0.858991</v>
      </c>
      <c r="AH15" s="44">
        <v>6.452424</v>
      </c>
      <c r="AI15" s="44">
        <v>1.425606</v>
      </c>
      <c r="AJ15" s="44">
        <v>19.84402</v>
      </c>
      <c r="AK15" s="44">
        <v>-0.00393</v>
      </c>
      <c r="AL15" s="44">
        <v>-0.96076</v>
      </c>
      <c r="AM15" s="44">
        <v>-0.29967</v>
      </c>
      <c r="AN15" s="44">
        <v>1.017045</v>
      </c>
      <c r="AO15" s="44">
        <v>1.646629</v>
      </c>
      <c r="AP15" s="44">
        <v>-0.86052</v>
      </c>
      <c r="AQ15" s="44">
        <v>0.155163</v>
      </c>
      <c r="AR15" s="44">
        <v>1.300374</v>
      </c>
      <c r="AS15" s="44">
        <v>0.591027</v>
      </c>
    </row>
    <row r="16">
      <c r="A16" s="44">
        <v>15.0</v>
      </c>
      <c r="B16" s="44">
        <v>13.65714</v>
      </c>
      <c r="C16" s="44">
        <v>100.0</v>
      </c>
      <c r="D16" s="44">
        <v>0.0</v>
      </c>
      <c r="E16" s="44">
        <v>0.281626</v>
      </c>
      <c r="F16" s="44">
        <v>-1.4E-4</v>
      </c>
      <c r="G16" s="44">
        <v>0.221209</v>
      </c>
      <c r="H16" s="389"/>
      <c r="I16" s="46" t="s">
        <v>38</v>
      </c>
      <c r="J16" s="46" t="s">
        <v>308</v>
      </c>
      <c r="K16" s="46" t="s">
        <v>1568</v>
      </c>
      <c r="L16" s="46" t="s">
        <v>1599</v>
      </c>
      <c r="M16" s="389"/>
      <c r="N16" s="46" t="s">
        <v>1562</v>
      </c>
      <c r="O16" s="46" t="s">
        <v>1600</v>
      </c>
      <c r="P16" s="389"/>
      <c r="Q16" s="389"/>
      <c r="R16" s="46">
        <v>4.0</v>
      </c>
      <c r="S16" s="46" t="s">
        <v>1580</v>
      </c>
      <c r="T16" s="46" t="s">
        <v>1564</v>
      </c>
      <c r="U16" s="44">
        <v>71.0</v>
      </c>
      <c r="V16" s="44">
        <v>15.0</v>
      </c>
      <c r="W16" s="389"/>
      <c r="X16" s="44">
        <v>34.0</v>
      </c>
      <c r="Y16" s="44">
        <v>22.09789</v>
      </c>
      <c r="Z16" s="44">
        <v>2.880563</v>
      </c>
      <c r="AA16" s="44">
        <v>5.153099</v>
      </c>
      <c r="AB16" s="44">
        <v>7.860563</v>
      </c>
      <c r="AC16" s="44">
        <v>1.168028</v>
      </c>
      <c r="AD16" s="44">
        <v>0.691831</v>
      </c>
      <c r="AE16" s="44">
        <v>0.443801</v>
      </c>
      <c r="AF16" s="44">
        <v>15.32155</v>
      </c>
      <c r="AG16" s="44">
        <v>0.872992</v>
      </c>
      <c r="AH16" s="44">
        <v>6.435211</v>
      </c>
      <c r="AI16" s="44">
        <v>3.435352</v>
      </c>
      <c r="AJ16" s="44">
        <v>28.36653</v>
      </c>
      <c r="AK16" s="44">
        <v>0.890851</v>
      </c>
      <c r="AL16" s="44">
        <v>1.072516</v>
      </c>
      <c r="AM16" s="44">
        <v>-0.39154</v>
      </c>
      <c r="AN16" s="44">
        <v>1.988284</v>
      </c>
      <c r="AO16" s="44">
        <v>0.466244</v>
      </c>
      <c r="AP16" s="44">
        <v>-0.10205</v>
      </c>
      <c r="AQ16" s="44">
        <v>-1.02164</v>
      </c>
      <c r="AR16" s="44">
        <v>1.57957</v>
      </c>
      <c r="AS16" s="44">
        <v>-1.9476</v>
      </c>
    </row>
    <row r="17">
      <c r="A17" s="44">
        <v>16.0</v>
      </c>
      <c r="B17" s="44">
        <v>35.4</v>
      </c>
      <c r="C17" s="44">
        <v>100.0</v>
      </c>
      <c r="D17" s="44">
        <v>0.0</v>
      </c>
      <c r="E17" s="44">
        <v>0.278117</v>
      </c>
      <c r="F17" s="44">
        <v>0.002624</v>
      </c>
      <c r="G17" s="44">
        <v>0.40706</v>
      </c>
      <c r="H17" s="389"/>
      <c r="I17" s="46" t="s">
        <v>150</v>
      </c>
      <c r="J17" s="46" t="s">
        <v>379</v>
      </c>
      <c r="K17" s="46" t="s">
        <v>1581</v>
      </c>
      <c r="L17" s="46" t="s">
        <v>1601</v>
      </c>
      <c r="M17" s="46" t="s">
        <v>1602</v>
      </c>
      <c r="N17" s="46" t="s">
        <v>1570</v>
      </c>
      <c r="O17" s="46" t="s">
        <v>1571</v>
      </c>
      <c r="P17" s="389"/>
      <c r="Q17" s="45"/>
      <c r="R17" s="46">
        <v>4.0</v>
      </c>
      <c r="S17" s="46" t="s">
        <v>1603</v>
      </c>
      <c r="T17" s="46" t="s">
        <v>1564</v>
      </c>
      <c r="U17" s="44">
        <v>65.0</v>
      </c>
      <c r="V17" s="44">
        <v>14.0</v>
      </c>
      <c r="W17" s="389"/>
      <c r="X17" s="44">
        <v>32.0</v>
      </c>
      <c r="Y17" s="44">
        <v>23.43262</v>
      </c>
      <c r="Z17" s="44">
        <v>2.427077</v>
      </c>
      <c r="AA17" s="44">
        <v>6.23</v>
      </c>
      <c r="AB17" s="44">
        <v>1.75</v>
      </c>
      <c r="AC17" s="44">
        <v>1.202615</v>
      </c>
      <c r="AD17" s="44">
        <v>1.529077</v>
      </c>
      <c r="AE17" s="44">
        <v>0.473107</v>
      </c>
      <c r="AF17" s="44">
        <v>17.78</v>
      </c>
      <c r="AG17" s="44">
        <v>0.783998</v>
      </c>
      <c r="AH17" s="44">
        <v>5.334</v>
      </c>
      <c r="AI17" s="44">
        <v>1.68</v>
      </c>
      <c r="AJ17" s="44">
        <v>27.68138</v>
      </c>
      <c r="AK17" s="44">
        <v>1.126059</v>
      </c>
      <c r="AL17" s="44">
        <v>0.63878</v>
      </c>
      <c r="AM17" s="44">
        <v>0.050374</v>
      </c>
      <c r="AN17" s="44">
        <v>-0.95976</v>
      </c>
      <c r="AO17" s="44">
        <v>0.568971</v>
      </c>
      <c r="AP17" s="44">
        <v>1.408226</v>
      </c>
      <c r="AQ17" s="44">
        <v>-0.41692</v>
      </c>
      <c r="AR17" s="44">
        <v>-0.18236</v>
      </c>
      <c r="AS17" s="44">
        <v>0.269688</v>
      </c>
    </row>
    <row r="18">
      <c r="A18" s="44">
        <v>17.0</v>
      </c>
      <c r="B18" s="44">
        <v>11.97143</v>
      </c>
      <c r="C18" s="44">
        <v>100.0</v>
      </c>
      <c r="D18" s="44">
        <v>0.0</v>
      </c>
      <c r="E18" s="44">
        <v>0.276051</v>
      </c>
      <c r="F18" s="44">
        <v>-0.00135</v>
      </c>
      <c r="G18" s="44">
        <v>0.007481</v>
      </c>
      <c r="H18" s="389"/>
      <c r="I18" s="46" t="s">
        <v>174</v>
      </c>
      <c r="J18" s="46" t="s">
        <v>324</v>
      </c>
      <c r="K18" s="46" t="s">
        <v>1604</v>
      </c>
      <c r="L18" s="46" t="s">
        <v>1605</v>
      </c>
      <c r="M18" s="389"/>
      <c r="N18" s="46" t="s">
        <v>1570</v>
      </c>
      <c r="O18" s="46" t="s">
        <v>1571</v>
      </c>
      <c r="P18" s="389"/>
      <c r="Q18" s="389"/>
      <c r="R18" s="46">
        <v>4.0</v>
      </c>
      <c r="S18" s="46" t="s">
        <v>1580</v>
      </c>
      <c r="T18" s="46" t="s">
        <v>1564</v>
      </c>
      <c r="U18" s="44">
        <v>66.0</v>
      </c>
      <c r="V18" s="44">
        <v>16.0</v>
      </c>
      <c r="W18" s="389"/>
      <c r="X18" s="44">
        <v>36.0</v>
      </c>
      <c r="Y18" s="44">
        <v>26.53379</v>
      </c>
      <c r="Z18" s="44">
        <v>2.279545</v>
      </c>
      <c r="AA18" s="44">
        <v>4.75197</v>
      </c>
      <c r="AB18" s="44">
        <v>8.093182</v>
      </c>
      <c r="AC18" s="44">
        <v>0.891061</v>
      </c>
      <c r="AD18" s="44">
        <v>0.29697</v>
      </c>
      <c r="AE18" s="44">
        <v>0.476237</v>
      </c>
      <c r="AF18" s="44">
        <v>19.15712</v>
      </c>
      <c r="AG18" s="44">
        <v>0.896005</v>
      </c>
      <c r="AH18" s="44">
        <v>6.704848</v>
      </c>
      <c r="AI18" s="44">
        <v>3.341212</v>
      </c>
      <c r="AJ18" s="44">
        <v>30.88168</v>
      </c>
      <c r="AK18" s="44">
        <v>1.672551</v>
      </c>
      <c r="AL18" s="44">
        <v>0.497674</v>
      </c>
      <c r="AM18" s="44">
        <v>-0.55615</v>
      </c>
      <c r="AN18" s="44">
        <v>2.100511</v>
      </c>
      <c r="AO18" s="44">
        <v>-0.35637</v>
      </c>
      <c r="AP18" s="44">
        <v>-0.81433</v>
      </c>
      <c r="AQ18" s="44">
        <v>-0.36118</v>
      </c>
      <c r="AR18" s="44">
        <v>2.13043</v>
      </c>
      <c r="AS18" s="44">
        <v>-1.82868</v>
      </c>
    </row>
    <row r="19">
      <c r="A19" s="44">
        <v>18.0</v>
      </c>
      <c r="B19" s="44">
        <v>41.18571</v>
      </c>
      <c r="C19" s="44">
        <v>100.0</v>
      </c>
      <c r="D19" s="44">
        <v>0.0</v>
      </c>
      <c r="E19" s="44">
        <v>0.259739</v>
      </c>
      <c r="F19" s="44">
        <v>-0.00133</v>
      </c>
      <c r="G19" s="44">
        <v>-0.41998</v>
      </c>
      <c r="H19" s="389"/>
      <c r="I19" s="46" t="s">
        <v>151</v>
      </c>
      <c r="J19" s="46" t="s">
        <v>291</v>
      </c>
      <c r="K19" s="46" t="s">
        <v>97</v>
      </c>
      <c r="L19" s="46" t="s">
        <v>1606</v>
      </c>
      <c r="M19" s="389"/>
      <c r="N19" s="46" t="s">
        <v>1562</v>
      </c>
      <c r="O19" s="46" t="s">
        <v>1607</v>
      </c>
      <c r="P19" s="389"/>
      <c r="Q19" s="45"/>
      <c r="R19" s="46">
        <v>4.0</v>
      </c>
      <c r="S19" s="46" t="s">
        <v>1577</v>
      </c>
      <c r="T19" s="46" t="s">
        <v>1564</v>
      </c>
      <c r="U19" s="44">
        <v>71.0</v>
      </c>
      <c r="V19" s="44">
        <v>14.0</v>
      </c>
      <c r="W19" s="389"/>
      <c r="X19" s="44">
        <v>32.0</v>
      </c>
      <c r="Y19" s="44">
        <v>16.99775</v>
      </c>
      <c r="Z19" s="44">
        <v>2.174085</v>
      </c>
      <c r="AA19" s="44">
        <v>6.868028</v>
      </c>
      <c r="AB19" s="44">
        <v>1.749577</v>
      </c>
      <c r="AC19" s="44">
        <v>0.752676</v>
      </c>
      <c r="AD19" s="44">
        <v>2.35662</v>
      </c>
      <c r="AE19" s="44">
        <v>0.506704</v>
      </c>
      <c r="AF19" s="44">
        <v>11.17746</v>
      </c>
      <c r="AG19" s="44">
        <v>0.782006</v>
      </c>
      <c r="AH19" s="44">
        <v>4.470986</v>
      </c>
      <c r="AI19" s="44">
        <v>1.616056</v>
      </c>
      <c r="AJ19" s="44">
        <v>20.23344</v>
      </c>
      <c r="AK19" s="44">
        <v>-0.0079</v>
      </c>
      <c r="AL19" s="44">
        <v>0.396806</v>
      </c>
      <c r="AM19" s="44">
        <v>0.312193</v>
      </c>
      <c r="AN19" s="44">
        <v>-0.95996</v>
      </c>
      <c r="AO19" s="44">
        <v>-0.76738</v>
      </c>
      <c r="AP19" s="44">
        <v>2.900999</v>
      </c>
      <c r="AQ19" s="44">
        <v>0.295308</v>
      </c>
      <c r="AR19" s="44">
        <v>-0.18287</v>
      </c>
      <c r="AS19" s="44">
        <v>0.350459</v>
      </c>
    </row>
    <row r="20">
      <c r="A20" s="44">
        <v>19.0</v>
      </c>
      <c r="B20" s="44">
        <v>9.714286</v>
      </c>
      <c r="C20" s="44">
        <v>100.0</v>
      </c>
      <c r="D20" s="44">
        <v>0.0</v>
      </c>
      <c r="E20" s="44">
        <v>0.258488</v>
      </c>
      <c r="F20" s="44">
        <v>-0.02596</v>
      </c>
      <c r="G20" s="44">
        <v>-0.72663</v>
      </c>
      <c r="H20" s="389"/>
      <c r="I20" s="46" t="s">
        <v>161</v>
      </c>
      <c r="J20" s="46" t="s">
        <v>1608</v>
      </c>
      <c r="K20" s="46" t="s">
        <v>1581</v>
      </c>
      <c r="L20" s="46" t="s">
        <v>1609</v>
      </c>
      <c r="M20" s="389"/>
      <c r="N20" s="46" t="s">
        <v>1570</v>
      </c>
      <c r="O20" s="389"/>
      <c r="P20" s="389"/>
      <c r="Q20" s="389"/>
      <c r="R20" s="46">
        <v>4.0</v>
      </c>
      <c r="S20" s="46" t="s">
        <v>1610</v>
      </c>
      <c r="T20" s="46" t="s">
        <v>1564</v>
      </c>
      <c r="U20" s="44">
        <v>66.0</v>
      </c>
      <c r="V20" s="44">
        <v>14.0</v>
      </c>
      <c r="W20" s="389"/>
      <c r="X20" s="44">
        <v>34.0</v>
      </c>
      <c r="Y20" s="44">
        <v>23.25258</v>
      </c>
      <c r="Z20" s="44">
        <v>2.223636</v>
      </c>
      <c r="AA20" s="44">
        <v>10.16818</v>
      </c>
      <c r="AB20" s="44">
        <v>3.786818</v>
      </c>
      <c r="AC20" s="44">
        <v>0.905303</v>
      </c>
      <c r="AD20" s="44">
        <v>0.563788</v>
      </c>
      <c r="AE20" s="44">
        <v>0.513476</v>
      </c>
      <c r="AF20" s="44">
        <v>16.26939</v>
      </c>
      <c r="AG20" s="44">
        <v>0.830006</v>
      </c>
      <c r="AH20" s="44">
        <v>5.206061</v>
      </c>
      <c r="AI20" s="44">
        <v>3.015303</v>
      </c>
      <c r="AJ20" s="44">
        <v>27.53564</v>
      </c>
      <c r="AK20" s="44">
        <v>1.094332</v>
      </c>
      <c r="AL20" s="44">
        <v>0.4442</v>
      </c>
      <c r="AM20" s="44">
        <v>1.666437</v>
      </c>
      <c r="AN20" s="44">
        <v>0.022905</v>
      </c>
      <c r="AO20" s="44">
        <v>-0.31407</v>
      </c>
      <c r="AP20" s="44">
        <v>-0.33302</v>
      </c>
      <c r="AQ20" s="44">
        <v>0.589377</v>
      </c>
      <c r="AR20" s="44">
        <v>0.573245</v>
      </c>
      <c r="AS20" s="44">
        <v>-1.41701</v>
      </c>
    </row>
    <row r="21">
      <c r="A21" s="44">
        <v>20.0</v>
      </c>
      <c r="B21" s="44">
        <v>6.814286</v>
      </c>
      <c r="C21" s="44">
        <v>100.0</v>
      </c>
      <c r="D21" s="44">
        <v>0.0</v>
      </c>
      <c r="E21" s="44">
        <v>0.246839</v>
      </c>
      <c r="F21" s="44">
        <v>-0.00754</v>
      </c>
      <c r="G21" s="44">
        <v>0.815933</v>
      </c>
      <c r="H21" s="389"/>
      <c r="I21" s="46" t="s">
        <v>148</v>
      </c>
      <c r="J21" s="46" t="s">
        <v>365</v>
      </c>
      <c r="K21" s="46" t="s">
        <v>1593</v>
      </c>
      <c r="L21" s="46" t="s">
        <v>1611</v>
      </c>
      <c r="M21" s="389"/>
      <c r="N21" s="46" t="s">
        <v>1612</v>
      </c>
      <c r="O21" s="389"/>
      <c r="P21" s="389"/>
      <c r="Q21" s="389"/>
      <c r="R21" s="46">
        <v>5.0</v>
      </c>
      <c r="S21" s="46" t="s">
        <v>1613</v>
      </c>
      <c r="T21" s="46" t="s">
        <v>1564</v>
      </c>
      <c r="U21" s="44">
        <v>75.0</v>
      </c>
      <c r="V21" s="44">
        <v>13.0</v>
      </c>
      <c r="W21" s="389"/>
      <c r="X21" s="44">
        <v>36.0</v>
      </c>
      <c r="Y21" s="44">
        <v>28.11987</v>
      </c>
      <c r="Z21" s="44">
        <v>3.5132</v>
      </c>
      <c r="AA21" s="44">
        <v>5.420267</v>
      </c>
      <c r="AB21" s="44">
        <v>5.1232</v>
      </c>
      <c r="AC21" s="44">
        <v>1.113467</v>
      </c>
      <c r="AD21" s="44">
        <v>0.6684</v>
      </c>
      <c r="AE21" s="44">
        <v>0.455453</v>
      </c>
      <c r="AF21" s="44">
        <v>20.64173</v>
      </c>
      <c r="AG21" s="44">
        <v>0.827001</v>
      </c>
      <c r="AH21" s="44">
        <v>7.018133</v>
      </c>
      <c r="AI21" s="44">
        <v>3.1928</v>
      </c>
      <c r="AJ21" s="44">
        <v>32.45805</v>
      </c>
      <c r="AK21" s="44">
        <v>1.952052</v>
      </c>
      <c r="AL21" s="44">
        <v>1.6776</v>
      </c>
      <c r="AM21" s="44">
        <v>-0.28191</v>
      </c>
      <c r="AN21" s="44">
        <v>0.667643</v>
      </c>
      <c r="AO21" s="44">
        <v>0.304193</v>
      </c>
      <c r="AP21" s="44">
        <v>-0.14432</v>
      </c>
      <c r="AQ21" s="44">
        <v>-1.02354</v>
      </c>
      <c r="AR21" s="44">
        <v>0.711039</v>
      </c>
      <c r="AS21" s="44">
        <v>-1.64122</v>
      </c>
    </row>
    <row r="22">
      <c r="A22" s="44">
        <v>21.0</v>
      </c>
      <c r="B22" s="44">
        <v>46.48571</v>
      </c>
      <c r="C22" s="44">
        <v>100.0</v>
      </c>
      <c r="D22" s="44">
        <v>0.0</v>
      </c>
      <c r="E22" s="44">
        <v>0.242572</v>
      </c>
      <c r="F22" s="44">
        <v>0.030931</v>
      </c>
      <c r="G22" s="44">
        <v>0.518571</v>
      </c>
      <c r="H22" s="389"/>
      <c r="I22" s="46" t="s">
        <v>138</v>
      </c>
      <c r="J22" s="46" t="s">
        <v>283</v>
      </c>
      <c r="K22" s="46" t="s">
        <v>1604</v>
      </c>
      <c r="L22" s="46" t="s">
        <v>1614</v>
      </c>
      <c r="M22" s="389"/>
      <c r="N22" s="46" t="s">
        <v>1570</v>
      </c>
      <c r="O22" s="46" t="s">
        <v>1615</v>
      </c>
      <c r="P22" s="389"/>
      <c r="Q22" s="45"/>
      <c r="R22" s="46">
        <v>4.0</v>
      </c>
      <c r="S22" s="46" t="s">
        <v>1596</v>
      </c>
      <c r="T22" s="46" t="s">
        <v>1564</v>
      </c>
      <c r="U22" s="44">
        <v>66.0</v>
      </c>
      <c r="V22" s="44">
        <v>14.0</v>
      </c>
      <c r="W22" s="389"/>
      <c r="X22" s="44">
        <v>35.0</v>
      </c>
      <c r="Y22" s="44">
        <v>21.39545</v>
      </c>
      <c r="Z22" s="44">
        <v>2.898333</v>
      </c>
      <c r="AA22" s="44">
        <v>4.501818</v>
      </c>
      <c r="AB22" s="44">
        <v>5.145</v>
      </c>
      <c r="AC22" s="44">
        <v>1.066212</v>
      </c>
      <c r="AD22" s="44">
        <v>0.358636</v>
      </c>
      <c r="AE22" s="44">
        <v>0.475199</v>
      </c>
      <c r="AF22" s="44">
        <v>14.29227</v>
      </c>
      <c r="AG22" s="44">
        <v>0.889008</v>
      </c>
      <c r="AH22" s="44">
        <v>5.527273</v>
      </c>
      <c r="AI22" s="44">
        <v>2.286667</v>
      </c>
      <c r="AJ22" s="44">
        <v>24.11209</v>
      </c>
      <c r="AK22" s="44">
        <v>0.767068</v>
      </c>
      <c r="AL22" s="44">
        <v>1.089512</v>
      </c>
      <c r="AM22" s="44">
        <v>-0.6588</v>
      </c>
      <c r="AN22" s="44">
        <v>0.67816</v>
      </c>
      <c r="AO22" s="44">
        <v>0.163843</v>
      </c>
      <c r="AP22" s="44">
        <v>-0.70309</v>
      </c>
      <c r="AQ22" s="44">
        <v>-0.28959</v>
      </c>
      <c r="AR22" s="44">
        <v>1.632671</v>
      </c>
      <c r="AS22" s="44">
        <v>-0.49663</v>
      </c>
    </row>
    <row r="23">
      <c r="A23" s="44">
        <v>22.0</v>
      </c>
      <c r="B23" s="44">
        <v>19.2</v>
      </c>
      <c r="C23" s="44">
        <v>100.0</v>
      </c>
      <c r="D23" s="44">
        <v>0.0</v>
      </c>
      <c r="E23" s="44">
        <v>0.239769</v>
      </c>
      <c r="F23" s="44">
        <v>-0.03644</v>
      </c>
      <c r="G23" s="44">
        <v>0.202624</v>
      </c>
      <c r="H23" s="389"/>
      <c r="I23" s="46" t="s">
        <v>215</v>
      </c>
      <c r="J23" s="46" t="s">
        <v>386</v>
      </c>
      <c r="K23" s="46" t="s">
        <v>1616</v>
      </c>
      <c r="L23" s="46" t="s">
        <v>1617</v>
      </c>
      <c r="M23" s="389"/>
      <c r="N23" s="46" t="s">
        <v>1570</v>
      </c>
      <c r="O23" s="389"/>
      <c r="P23" s="389"/>
      <c r="Q23" s="45"/>
      <c r="R23" s="46">
        <v>4.0</v>
      </c>
      <c r="S23" s="46" t="s">
        <v>1587</v>
      </c>
      <c r="T23" s="46" t="s">
        <v>1564</v>
      </c>
      <c r="U23" s="44">
        <v>66.0</v>
      </c>
      <c r="V23" s="44">
        <v>14.0</v>
      </c>
      <c r="W23" s="389"/>
      <c r="X23" s="44">
        <v>35.0</v>
      </c>
      <c r="Y23" s="44">
        <v>17.37803</v>
      </c>
      <c r="Z23" s="44">
        <v>0.460152</v>
      </c>
      <c r="AA23" s="44">
        <v>8.248333</v>
      </c>
      <c r="AB23" s="44">
        <v>6.407121</v>
      </c>
      <c r="AC23" s="44">
        <v>1.472879</v>
      </c>
      <c r="AD23" s="44">
        <v>1.25197</v>
      </c>
      <c r="AE23" s="44">
        <v>0.559917</v>
      </c>
      <c r="AF23" s="44">
        <v>12.74106</v>
      </c>
      <c r="AG23" s="44">
        <v>0.649993</v>
      </c>
      <c r="AH23" s="44">
        <v>4.07697</v>
      </c>
      <c r="AI23" s="44">
        <v>2.356667</v>
      </c>
      <c r="AJ23" s="44">
        <v>19.74388</v>
      </c>
      <c r="AK23" s="44">
        <v>0.059112</v>
      </c>
      <c r="AL23" s="44">
        <v>-1.24248</v>
      </c>
      <c r="AM23" s="44">
        <v>0.878612</v>
      </c>
      <c r="AN23" s="44">
        <v>1.287071</v>
      </c>
      <c r="AO23" s="44">
        <v>1.371672</v>
      </c>
      <c r="AP23" s="44">
        <v>0.908363</v>
      </c>
      <c r="AQ23" s="44">
        <v>1.337259</v>
      </c>
      <c r="AR23" s="44">
        <v>-1.85664</v>
      </c>
      <c r="AS23" s="44">
        <v>-0.58505</v>
      </c>
    </row>
    <row r="24">
      <c r="A24" s="44">
        <v>23.0</v>
      </c>
      <c r="B24" s="44">
        <v>34.05714</v>
      </c>
      <c r="C24" s="44">
        <v>100.0</v>
      </c>
      <c r="D24" s="44">
        <v>0.0</v>
      </c>
      <c r="E24" s="44">
        <v>0.233785</v>
      </c>
      <c r="F24" s="44">
        <v>0.012858</v>
      </c>
      <c r="G24" s="44">
        <v>-0.57795</v>
      </c>
      <c r="H24" s="389"/>
      <c r="I24" s="46" t="s">
        <v>201</v>
      </c>
      <c r="J24" s="46" t="s">
        <v>304</v>
      </c>
      <c r="K24" s="46" t="s">
        <v>1568</v>
      </c>
      <c r="L24" s="46" t="s">
        <v>1618</v>
      </c>
      <c r="M24" s="389"/>
      <c r="N24" s="46" t="s">
        <v>1562</v>
      </c>
      <c r="O24" s="389"/>
      <c r="P24" s="389"/>
      <c r="Q24" s="389"/>
      <c r="R24" s="46">
        <v>4.0</v>
      </c>
      <c r="S24" s="46" t="s">
        <v>1619</v>
      </c>
      <c r="T24" s="46" t="s">
        <v>1564</v>
      </c>
      <c r="U24" s="44">
        <v>62.0</v>
      </c>
      <c r="V24" s="44">
        <v>13.0</v>
      </c>
      <c r="W24" s="389"/>
      <c r="X24" s="44">
        <v>33.0</v>
      </c>
      <c r="Y24" s="44">
        <v>18.51016</v>
      </c>
      <c r="Z24" s="44">
        <v>3.545484</v>
      </c>
      <c r="AA24" s="44">
        <v>4.744516</v>
      </c>
      <c r="AB24" s="44">
        <v>6.939677</v>
      </c>
      <c r="AC24" s="44">
        <v>1.05629</v>
      </c>
      <c r="AD24" s="44">
        <v>0.920484</v>
      </c>
      <c r="AE24" s="44">
        <v>0.42993</v>
      </c>
      <c r="AF24" s="44">
        <v>14.09194</v>
      </c>
      <c r="AG24" s="44">
        <v>0.841997</v>
      </c>
      <c r="AH24" s="44">
        <v>3.381935</v>
      </c>
      <c r="AI24" s="44">
        <v>2.336774</v>
      </c>
      <c r="AJ24" s="44">
        <v>22.31302</v>
      </c>
      <c r="AK24" s="44">
        <v>0.258618</v>
      </c>
      <c r="AL24" s="44">
        <v>1.708478</v>
      </c>
      <c r="AM24" s="44">
        <v>-0.55921</v>
      </c>
      <c r="AN24" s="44">
        <v>1.544003</v>
      </c>
      <c r="AO24" s="44">
        <v>0.134375</v>
      </c>
      <c r="AP24" s="44">
        <v>0.310408</v>
      </c>
      <c r="AQ24" s="44">
        <v>-1.22785</v>
      </c>
      <c r="AR24" s="44">
        <v>0.495165</v>
      </c>
      <c r="AS24" s="44">
        <v>-0.55992</v>
      </c>
    </row>
    <row r="25">
      <c r="A25" s="44">
        <v>24.0</v>
      </c>
      <c r="B25" s="44">
        <v>23.72857</v>
      </c>
      <c r="C25" s="44">
        <v>100.0</v>
      </c>
      <c r="D25" s="44">
        <v>0.0</v>
      </c>
      <c r="E25" s="44">
        <v>0.227616</v>
      </c>
      <c r="F25" s="44">
        <v>0.003708</v>
      </c>
      <c r="G25" s="44">
        <v>-0.15049</v>
      </c>
      <c r="H25" s="389"/>
      <c r="I25" s="46" t="s">
        <v>162</v>
      </c>
      <c r="J25" s="46" t="s">
        <v>299</v>
      </c>
      <c r="K25" s="46" t="s">
        <v>1572</v>
      </c>
      <c r="L25" s="46" t="s">
        <v>1620</v>
      </c>
      <c r="M25" s="389"/>
      <c r="N25" s="46" t="s">
        <v>1570</v>
      </c>
      <c r="O25" s="45"/>
      <c r="P25" s="389"/>
      <c r="Q25" s="45"/>
      <c r="R25" s="46">
        <v>4.0</v>
      </c>
      <c r="S25" s="46" t="s">
        <v>1621</v>
      </c>
      <c r="T25" s="46" t="s">
        <v>1564</v>
      </c>
      <c r="U25" s="44">
        <v>66.0</v>
      </c>
      <c r="V25" s="44">
        <v>13.0</v>
      </c>
      <c r="W25" s="389"/>
      <c r="X25" s="44">
        <v>35.0</v>
      </c>
      <c r="Y25" s="44">
        <v>19.61197</v>
      </c>
      <c r="Z25" s="44">
        <v>1.14197</v>
      </c>
      <c r="AA25" s="44">
        <v>9.251667</v>
      </c>
      <c r="AB25" s="44">
        <v>5.156667</v>
      </c>
      <c r="AC25" s="44">
        <v>1.372121</v>
      </c>
      <c r="AD25" s="44">
        <v>0.834242</v>
      </c>
      <c r="AE25" s="44">
        <v>0.514419</v>
      </c>
      <c r="AF25" s="44">
        <v>15.54621</v>
      </c>
      <c r="AG25" s="44">
        <v>0.752002</v>
      </c>
      <c r="AH25" s="44">
        <v>3.291818</v>
      </c>
      <c r="AI25" s="44">
        <v>2.805909</v>
      </c>
      <c r="AJ25" s="44">
        <v>23.4409</v>
      </c>
      <c r="AK25" s="44">
        <v>0.45278</v>
      </c>
      <c r="AL25" s="44">
        <v>-0.59036</v>
      </c>
      <c r="AM25" s="44">
        <v>1.290338</v>
      </c>
      <c r="AN25" s="44">
        <v>0.683789</v>
      </c>
      <c r="AO25" s="44">
        <v>1.072415</v>
      </c>
      <c r="AP25" s="44">
        <v>0.15484</v>
      </c>
      <c r="AQ25" s="44">
        <v>0.585167</v>
      </c>
      <c r="AR25" s="44">
        <v>-0.44791</v>
      </c>
      <c r="AS25" s="44">
        <v>-1.15251</v>
      </c>
    </row>
    <row r="26">
      <c r="A26" s="44">
        <v>25.0</v>
      </c>
      <c r="B26" s="44">
        <v>6.9</v>
      </c>
      <c r="C26" s="44">
        <v>100.0</v>
      </c>
      <c r="D26" s="44">
        <v>0.0</v>
      </c>
      <c r="E26" s="44">
        <v>0.223508</v>
      </c>
      <c r="F26" s="44">
        <v>-0.01591</v>
      </c>
      <c r="G26" s="44">
        <v>-0.55007</v>
      </c>
      <c r="H26" s="389"/>
      <c r="I26" s="46" t="s">
        <v>135</v>
      </c>
      <c r="J26" s="46" t="s">
        <v>428</v>
      </c>
      <c r="K26" s="46" t="s">
        <v>1568</v>
      </c>
      <c r="L26" s="46" t="s">
        <v>1622</v>
      </c>
      <c r="M26" s="389"/>
      <c r="N26" s="46" t="s">
        <v>1562</v>
      </c>
      <c r="O26" s="389"/>
      <c r="P26" s="389"/>
      <c r="Q26" s="45"/>
      <c r="R26" s="46">
        <v>5.0</v>
      </c>
      <c r="S26" s="46" t="s">
        <v>1580</v>
      </c>
      <c r="T26" s="46" t="s">
        <v>1564</v>
      </c>
      <c r="U26" s="44">
        <v>71.0</v>
      </c>
      <c r="V26" s="44">
        <v>14.0</v>
      </c>
      <c r="W26" s="389"/>
      <c r="X26" s="44">
        <v>34.0</v>
      </c>
      <c r="Y26" s="44">
        <v>26.02169</v>
      </c>
      <c r="Z26" s="44">
        <v>1.782676</v>
      </c>
      <c r="AA26" s="44">
        <v>5.580282</v>
      </c>
      <c r="AB26" s="44">
        <v>8.513521</v>
      </c>
      <c r="AC26" s="44">
        <v>1.0</v>
      </c>
      <c r="AD26" s="44">
        <v>0.644648</v>
      </c>
      <c r="AE26" s="44">
        <v>0.479297</v>
      </c>
      <c r="AF26" s="44">
        <v>20.03197</v>
      </c>
      <c r="AG26" s="44">
        <v>0.86699</v>
      </c>
      <c r="AH26" s="44">
        <v>5.809155</v>
      </c>
      <c r="AI26" s="44">
        <v>3.863239</v>
      </c>
      <c r="AJ26" s="44">
        <v>33.2906</v>
      </c>
      <c r="AK26" s="44">
        <v>1.582309</v>
      </c>
      <c r="AL26" s="44">
        <v>0.022444</v>
      </c>
      <c r="AM26" s="44">
        <v>-0.21624</v>
      </c>
      <c r="AN26" s="44">
        <v>2.303304</v>
      </c>
      <c r="AO26" s="44">
        <v>-0.03281</v>
      </c>
      <c r="AP26" s="44">
        <v>-0.18716</v>
      </c>
      <c r="AQ26" s="44">
        <v>-0.28744</v>
      </c>
      <c r="AR26" s="44">
        <v>1.315258</v>
      </c>
      <c r="AS26" s="44">
        <v>-2.48809</v>
      </c>
    </row>
    <row r="27">
      <c r="A27" s="44">
        <v>26.0</v>
      </c>
      <c r="B27" s="44">
        <v>17.34286</v>
      </c>
      <c r="C27" s="44">
        <v>100.0</v>
      </c>
      <c r="D27" s="44">
        <v>0.0</v>
      </c>
      <c r="E27" s="44">
        <v>0.213153</v>
      </c>
      <c r="F27" s="44">
        <v>0.005854</v>
      </c>
      <c r="G27" s="44">
        <v>0.379183</v>
      </c>
      <c r="H27" s="389"/>
      <c r="I27" s="46" t="s">
        <v>123</v>
      </c>
      <c r="J27" s="46" t="s">
        <v>317</v>
      </c>
      <c r="K27" s="46" t="s">
        <v>1581</v>
      </c>
      <c r="L27" s="46" t="s">
        <v>1623</v>
      </c>
      <c r="M27" s="389"/>
      <c r="N27" s="46" t="s">
        <v>1562</v>
      </c>
      <c r="O27" s="389"/>
      <c r="P27" s="389"/>
      <c r="Q27" s="45"/>
      <c r="R27" s="46">
        <v>5.0</v>
      </c>
      <c r="S27" s="46" t="s">
        <v>1624</v>
      </c>
      <c r="T27" s="46" t="s">
        <v>1564</v>
      </c>
      <c r="U27" s="44">
        <v>71.0</v>
      </c>
      <c r="V27" s="44">
        <v>14.0</v>
      </c>
      <c r="W27" s="389"/>
      <c r="X27" s="44">
        <v>31.0</v>
      </c>
      <c r="Y27" s="44">
        <v>19.13254</v>
      </c>
      <c r="Z27" s="44">
        <v>1.494225</v>
      </c>
      <c r="AA27" s="44">
        <v>9.588732</v>
      </c>
      <c r="AB27" s="44">
        <v>3.587606</v>
      </c>
      <c r="AC27" s="44">
        <v>0.847606</v>
      </c>
      <c r="AD27" s="44">
        <v>1.696479</v>
      </c>
      <c r="AE27" s="44">
        <v>0.540946</v>
      </c>
      <c r="AF27" s="44">
        <v>13.17592</v>
      </c>
      <c r="AG27" s="44">
        <v>0.693997</v>
      </c>
      <c r="AH27" s="44">
        <v>4.875211</v>
      </c>
      <c r="AI27" s="44">
        <v>2.087887</v>
      </c>
      <c r="AJ27" s="44">
        <v>24.00016</v>
      </c>
      <c r="AK27" s="44">
        <v>0.368293</v>
      </c>
      <c r="AL27" s="44">
        <v>-0.25344</v>
      </c>
      <c r="AM27" s="44">
        <v>1.428655</v>
      </c>
      <c r="AN27" s="44">
        <v>-0.07321</v>
      </c>
      <c r="AO27" s="44">
        <v>-0.48543</v>
      </c>
      <c r="AP27" s="44">
        <v>1.710196</v>
      </c>
      <c r="AQ27" s="44">
        <v>1.013386</v>
      </c>
      <c r="AR27" s="44">
        <v>-1.54453</v>
      </c>
      <c r="AS27" s="44">
        <v>-0.24554</v>
      </c>
    </row>
    <row r="28">
      <c r="A28" s="44">
        <v>27.0</v>
      </c>
      <c r="B28" s="44">
        <v>36.54286</v>
      </c>
      <c r="C28" s="44">
        <v>100.0</v>
      </c>
      <c r="D28" s="44">
        <v>0.0</v>
      </c>
      <c r="E28" s="44">
        <v>0.211598</v>
      </c>
      <c r="F28" s="44">
        <v>-9.6E-4</v>
      </c>
      <c r="G28" s="44">
        <v>-2.65948</v>
      </c>
      <c r="H28" s="389"/>
      <c r="I28" s="46" t="s">
        <v>176</v>
      </c>
      <c r="J28" s="46" t="s">
        <v>269</v>
      </c>
      <c r="K28" s="46" t="s">
        <v>1568</v>
      </c>
      <c r="L28" s="46" t="s">
        <v>1625</v>
      </c>
      <c r="M28" s="389"/>
      <c r="N28" s="46" t="s">
        <v>1570</v>
      </c>
      <c r="O28" s="45"/>
      <c r="P28" s="389"/>
      <c r="Q28" s="45"/>
      <c r="R28" s="46">
        <v>5.0</v>
      </c>
      <c r="S28" s="46" t="s">
        <v>1619</v>
      </c>
      <c r="T28" s="46" t="s">
        <v>1564</v>
      </c>
      <c r="U28" s="44">
        <v>66.0</v>
      </c>
      <c r="V28" s="44">
        <v>16.0</v>
      </c>
      <c r="W28" s="389"/>
      <c r="X28" s="44">
        <v>35.0</v>
      </c>
      <c r="Y28" s="44">
        <v>22.03621</v>
      </c>
      <c r="Z28" s="44">
        <v>2.417273</v>
      </c>
      <c r="AA28" s="44">
        <v>4.124091</v>
      </c>
      <c r="AB28" s="44">
        <v>6.407121</v>
      </c>
      <c r="AC28" s="44">
        <v>1.169091</v>
      </c>
      <c r="AD28" s="44">
        <v>0.444394</v>
      </c>
      <c r="AE28" s="44">
        <v>0.472474</v>
      </c>
      <c r="AF28" s="44">
        <v>17.08576</v>
      </c>
      <c r="AG28" s="44">
        <v>0.883984</v>
      </c>
      <c r="AH28" s="44">
        <v>3.929697</v>
      </c>
      <c r="AI28" s="44">
        <v>2.430303</v>
      </c>
      <c r="AJ28" s="44">
        <v>26.18306</v>
      </c>
      <c r="AK28" s="44">
        <v>0.879983</v>
      </c>
      <c r="AL28" s="44">
        <v>0.629403</v>
      </c>
      <c r="AM28" s="44">
        <v>-0.8138</v>
      </c>
      <c r="AN28" s="44">
        <v>1.287071</v>
      </c>
      <c r="AO28" s="44">
        <v>0.4694</v>
      </c>
      <c r="AP28" s="44">
        <v>-0.54839</v>
      </c>
      <c r="AQ28" s="44">
        <v>-0.41635</v>
      </c>
      <c r="AR28" s="44">
        <v>1.095135</v>
      </c>
      <c r="AS28" s="44">
        <v>-0.67806</v>
      </c>
    </row>
    <row r="29">
      <c r="A29" s="44">
        <v>28.0</v>
      </c>
      <c r="B29" s="44">
        <v>10.48571</v>
      </c>
      <c r="C29" s="44">
        <v>100.0</v>
      </c>
      <c r="D29" s="44">
        <v>0.0</v>
      </c>
      <c r="E29" s="44">
        <v>0.211345</v>
      </c>
      <c r="F29" s="44">
        <v>-0.00427</v>
      </c>
      <c r="G29" s="44">
        <v>0.109699</v>
      </c>
      <c r="H29" s="389"/>
      <c r="I29" s="46" t="s">
        <v>200</v>
      </c>
      <c r="J29" s="46" t="s">
        <v>299</v>
      </c>
      <c r="K29" s="46" t="s">
        <v>85</v>
      </c>
      <c r="L29" s="46" t="s">
        <v>1626</v>
      </c>
      <c r="M29" s="389"/>
      <c r="N29" s="46" t="s">
        <v>1612</v>
      </c>
      <c r="O29" s="46" t="s">
        <v>1615</v>
      </c>
      <c r="P29" s="389"/>
      <c r="Q29" s="45"/>
      <c r="R29" s="46">
        <v>5.0</v>
      </c>
      <c r="S29" s="46" t="s">
        <v>1580</v>
      </c>
      <c r="T29" s="46" t="s">
        <v>1564</v>
      </c>
      <c r="U29" s="44">
        <v>75.0</v>
      </c>
      <c r="V29" s="44">
        <v>13.0</v>
      </c>
      <c r="W29" s="389"/>
      <c r="X29" s="44">
        <v>36.0</v>
      </c>
      <c r="Y29" s="44">
        <v>25.6944</v>
      </c>
      <c r="Z29" s="44">
        <v>3.189867</v>
      </c>
      <c r="AA29" s="44">
        <v>2.886</v>
      </c>
      <c r="AB29" s="44">
        <v>11.7352</v>
      </c>
      <c r="AC29" s="44">
        <v>1.171467</v>
      </c>
      <c r="AD29" s="44">
        <v>0.077867</v>
      </c>
      <c r="AE29" s="44">
        <v>0.419481</v>
      </c>
      <c r="AF29" s="44">
        <v>18.72027</v>
      </c>
      <c r="AG29" s="44">
        <v>0.884004</v>
      </c>
      <c r="AH29" s="44">
        <v>7.691067</v>
      </c>
      <c r="AI29" s="44">
        <v>4.29</v>
      </c>
      <c r="AJ29" s="44">
        <v>30.37904</v>
      </c>
      <c r="AK29" s="44">
        <v>1.524633</v>
      </c>
      <c r="AL29" s="44">
        <v>1.368349</v>
      </c>
      <c r="AM29" s="44">
        <v>-1.32186</v>
      </c>
      <c r="AN29" s="44">
        <v>3.857603</v>
      </c>
      <c r="AO29" s="44">
        <v>0.476457</v>
      </c>
      <c r="AP29" s="44">
        <v>-1.20956</v>
      </c>
      <c r="AQ29" s="44">
        <v>-1.92244</v>
      </c>
      <c r="AR29" s="44">
        <v>2.156067</v>
      </c>
      <c r="AS29" s="44">
        <v>-3.02715</v>
      </c>
    </row>
    <row r="30">
      <c r="A30" s="44">
        <v>29.0</v>
      </c>
      <c r="B30" s="44">
        <v>66.64286</v>
      </c>
      <c r="C30" s="44">
        <v>100.0</v>
      </c>
      <c r="D30" s="44">
        <v>0.0</v>
      </c>
      <c r="E30" s="44">
        <v>0.208642</v>
      </c>
      <c r="F30" s="270">
        <v>-6.8E-5</v>
      </c>
      <c r="G30" s="44">
        <v>-0.16908</v>
      </c>
      <c r="H30" s="389"/>
      <c r="I30" s="46" t="s">
        <v>205</v>
      </c>
      <c r="J30" s="46" t="s">
        <v>375</v>
      </c>
      <c r="K30" s="46" t="s">
        <v>1568</v>
      </c>
      <c r="L30" s="46" t="s">
        <v>1627</v>
      </c>
      <c r="M30" s="46" t="s">
        <v>1628</v>
      </c>
      <c r="N30" s="46" t="s">
        <v>1570</v>
      </c>
      <c r="O30" s="389"/>
      <c r="P30" s="389"/>
      <c r="Q30" s="389"/>
      <c r="R30" s="46">
        <v>4.0</v>
      </c>
      <c r="S30" s="46" t="s">
        <v>1629</v>
      </c>
      <c r="T30" s="46" t="s">
        <v>1630</v>
      </c>
      <c r="U30" s="44">
        <v>45.0</v>
      </c>
      <c r="V30" s="44">
        <v>15.0</v>
      </c>
      <c r="W30" s="389"/>
      <c r="X30" s="44">
        <v>34.0</v>
      </c>
      <c r="Y30" s="44">
        <v>23.14578</v>
      </c>
      <c r="Z30" s="44">
        <v>2.425778</v>
      </c>
      <c r="AA30" s="44">
        <v>4.789778</v>
      </c>
      <c r="AB30" s="44">
        <v>5.553333</v>
      </c>
      <c r="AC30" s="44">
        <v>1.04</v>
      </c>
      <c r="AD30" s="44">
        <v>0.278</v>
      </c>
      <c r="AE30" s="44">
        <v>0.4832</v>
      </c>
      <c r="AF30" s="44">
        <v>16.79911</v>
      </c>
      <c r="AG30" s="44">
        <v>0.889986</v>
      </c>
      <c r="AH30" s="44">
        <v>5.039778</v>
      </c>
      <c r="AI30" s="44">
        <v>2.500889</v>
      </c>
      <c r="AJ30" s="44">
        <v>28.01527</v>
      </c>
      <c r="AK30" s="44">
        <v>1.075512</v>
      </c>
      <c r="AL30" s="44">
        <v>0.637537</v>
      </c>
      <c r="AM30" s="44">
        <v>-0.54063</v>
      </c>
      <c r="AN30" s="44">
        <v>0.875161</v>
      </c>
      <c r="AO30" s="44">
        <v>0.085991</v>
      </c>
      <c r="AP30" s="44">
        <v>-0.84854</v>
      </c>
      <c r="AQ30" s="44">
        <v>-0.14304</v>
      </c>
      <c r="AR30" s="44">
        <v>1.503022</v>
      </c>
      <c r="AS30" s="44">
        <v>-0.76722</v>
      </c>
    </row>
    <row r="31">
      <c r="A31" s="44">
        <v>30.0</v>
      </c>
      <c r="B31" s="44">
        <v>31.52857</v>
      </c>
      <c r="C31" s="44">
        <v>100.0</v>
      </c>
      <c r="D31" s="44">
        <v>0.0</v>
      </c>
      <c r="E31" s="44">
        <v>0.203697</v>
      </c>
      <c r="F31" s="44">
        <v>0.001243</v>
      </c>
      <c r="G31" s="44">
        <v>0.36989</v>
      </c>
      <c r="H31" s="389"/>
      <c r="I31" s="46" t="s">
        <v>89</v>
      </c>
      <c r="J31" s="46" t="s">
        <v>375</v>
      </c>
      <c r="K31" s="46" t="s">
        <v>1581</v>
      </c>
      <c r="L31" s="46" t="s">
        <v>1631</v>
      </c>
      <c r="M31" s="389"/>
      <c r="N31" s="46" t="s">
        <v>1562</v>
      </c>
      <c r="O31" s="45"/>
      <c r="P31" s="389"/>
      <c r="Q31" s="45"/>
      <c r="R31" s="46">
        <v>5.0</v>
      </c>
      <c r="S31" s="46" t="s">
        <v>1603</v>
      </c>
      <c r="T31" s="46" t="s">
        <v>1564</v>
      </c>
      <c r="U31" s="44">
        <v>71.0</v>
      </c>
      <c r="V31" s="44">
        <v>15.0</v>
      </c>
      <c r="W31" s="389"/>
      <c r="X31" s="44">
        <v>34.0</v>
      </c>
      <c r="Y31" s="44">
        <v>19.51803</v>
      </c>
      <c r="Z31" s="44">
        <v>1.322113</v>
      </c>
      <c r="AA31" s="44">
        <v>8.468873</v>
      </c>
      <c r="AB31" s="44">
        <v>4.373239</v>
      </c>
      <c r="AC31" s="44">
        <v>1.318873</v>
      </c>
      <c r="AD31" s="44">
        <v>0.556197</v>
      </c>
      <c r="AE31" s="44">
        <v>0.479596</v>
      </c>
      <c r="AF31" s="44">
        <v>15.41056</v>
      </c>
      <c r="AG31" s="44">
        <v>0.794006</v>
      </c>
      <c r="AH31" s="44">
        <v>4.3</v>
      </c>
      <c r="AI31" s="44">
        <v>1.735352</v>
      </c>
      <c r="AJ31" s="44">
        <v>24.78691</v>
      </c>
      <c r="AK31" s="44">
        <v>0.436225</v>
      </c>
      <c r="AL31" s="44">
        <v>-0.41806</v>
      </c>
      <c r="AM31" s="44">
        <v>0.969112</v>
      </c>
      <c r="AN31" s="44">
        <v>0.305824</v>
      </c>
      <c r="AO31" s="44">
        <v>0.914265</v>
      </c>
      <c r="AP31" s="44">
        <v>-0.34672</v>
      </c>
      <c r="AQ31" s="44">
        <v>-0.21269</v>
      </c>
      <c r="AR31" s="44">
        <v>-0.01446</v>
      </c>
      <c r="AS31" s="44">
        <v>0.19977</v>
      </c>
    </row>
    <row r="32">
      <c r="A32" s="44">
        <v>31.0</v>
      </c>
      <c r="B32" s="44">
        <v>61.4</v>
      </c>
      <c r="C32" s="44">
        <v>100.0</v>
      </c>
      <c r="D32" s="44">
        <v>0.0</v>
      </c>
      <c r="E32" s="44">
        <v>0.201937</v>
      </c>
      <c r="F32" s="44">
        <v>0.002261</v>
      </c>
      <c r="G32" s="44">
        <v>-0.81956</v>
      </c>
      <c r="H32" s="389"/>
      <c r="I32" s="46" t="s">
        <v>41</v>
      </c>
      <c r="J32" s="46" t="s">
        <v>1608</v>
      </c>
      <c r="K32" s="46" t="s">
        <v>92</v>
      </c>
      <c r="L32" s="46" t="s">
        <v>1632</v>
      </c>
      <c r="M32" s="389"/>
      <c r="N32" s="46" t="s">
        <v>1570</v>
      </c>
      <c r="O32" s="45"/>
      <c r="P32" s="389"/>
      <c r="Q32" s="389"/>
      <c r="R32" s="46">
        <v>4.0</v>
      </c>
      <c r="S32" s="46" t="s">
        <v>1603</v>
      </c>
      <c r="T32" s="46" t="s">
        <v>1564</v>
      </c>
      <c r="U32" s="44">
        <v>66.0</v>
      </c>
      <c r="V32" s="44">
        <v>14.0</v>
      </c>
      <c r="W32" s="389"/>
      <c r="X32" s="44">
        <v>35.0</v>
      </c>
      <c r="Y32" s="44">
        <v>18.63258</v>
      </c>
      <c r="Z32" s="44">
        <v>2.382424</v>
      </c>
      <c r="AA32" s="44">
        <v>4.62</v>
      </c>
      <c r="AB32" s="44">
        <v>2.382121</v>
      </c>
      <c r="AC32" s="44">
        <v>1.510909</v>
      </c>
      <c r="AD32" s="44">
        <v>0.868333</v>
      </c>
      <c r="AE32" s="44">
        <v>0.476606</v>
      </c>
      <c r="AF32" s="44">
        <v>13.93152</v>
      </c>
      <c r="AG32" s="44">
        <v>0.820018</v>
      </c>
      <c r="AH32" s="44">
        <v>3.622424</v>
      </c>
      <c r="AI32" s="44">
        <v>1.515909</v>
      </c>
      <c r="AJ32" s="44">
        <v>21.12761</v>
      </c>
      <c r="AK32" s="44">
        <v>0.28019</v>
      </c>
      <c r="AL32" s="44">
        <v>0.596072</v>
      </c>
      <c r="AM32" s="44">
        <v>-0.6103</v>
      </c>
      <c r="AN32" s="44">
        <v>-0.65479</v>
      </c>
      <c r="AO32" s="44">
        <v>1.484625</v>
      </c>
      <c r="AP32" s="44">
        <v>0.216336</v>
      </c>
      <c r="AQ32" s="44">
        <v>-0.25313</v>
      </c>
      <c r="AR32" s="44">
        <v>0.281468</v>
      </c>
      <c r="AS32" s="44">
        <v>0.476961</v>
      </c>
    </row>
    <row r="33">
      <c r="A33" s="44">
        <v>32.0</v>
      </c>
      <c r="B33" s="44">
        <v>22.3</v>
      </c>
      <c r="C33" s="44">
        <v>100.0</v>
      </c>
      <c r="D33" s="44">
        <v>0.0</v>
      </c>
      <c r="E33" s="44">
        <v>0.200626</v>
      </c>
      <c r="F33" s="44">
        <v>0.001168</v>
      </c>
      <c r="G33" s="44">
        <v>0.118991</v>
      </c>
      <c r="H33" s="389"/>
      <c r="I33" s="46" t="s">
        <v>188</v>
      </c>
      <c r="J33" s="46" t="s">
        <v>273</v>
      </c>
      <c r="K33" s="46" t="s">
        <v>1616</v>
      </c>
      <c r="L33" s="46" t="s">
        <v>1633</v>
      </c>
      <c r="M33" s="46" t="s">
        <v>1634</v>
      </c>
      <c r="N33" s="46" t="s">
        <v>1562</v>
      </c>
      <c r="O33" s="46" t="s">
        <v>1571</v>
      </c>
      <c r="P33" s="389"/>
      <c r="Q33" s="389"/>
      <c r="R33" s="46">
        <v>5.0</v>
      </c>
      <c r="S33" s="46" t="s">
        <v>1574</v>
      </c>
      <c r="T33" s="46" t="s">
        <v>1564</v>
      </c>
      <c r="U33" s="44">
        <v>71.0</v>
      </c>
      <c r="V33" s="44">
        <v>13.0</v>
      </c>
      <c r="W33" s="389"/>
      <c r="X33" s="44">
        <v>32.0</v>
      </c>
      <c r="Y33" s="44">
        <v>22.20099</v>
      </c>
      <c r="Z33" s="44">
        <v>1.762817</v>
      </c>
      <c r="AA33" s="44">
        <v>5.031972</v>
      </c>
      <c r="AB33" s="44">
        <v>4.76</v>
      </c>
      <c r="AC33" s="44">
        <v>1.36</v>
      </c>
      <c r="AD33" s="44">
        <v>0.476056</v>
      </c>
      <c r="AE33" s="44">
        <v>0.49844</v>
      </c>
      <c r="AF33" s="44">
        <v>16.52394</v>
      </c>
      <c r="AG33" s="44">
        <v>0.800006</v>
      </c>
      <c r="AH33" s="44">
        <v>4.957183</v>
      </c>
      <c r="AI33" s="44">
        <v>1.903944</v>
      </c>
      <c r="AJ33" s="44">
        <v>27.56634</v>
      </c>
      <c r="AK33" s="44">
        <v>0.909019</v>
      </c>
      <c r="AL33" s="44">
        <v>0.00345</v>
      </c>
      <c r="AM33" s="44">
        <v>-0.44125</v>
      </c>
      <c r="AN33" s="44">
        <v>0.492417</v>
      </c>
      <c r="AO33" s="44">
        <v>1.036414</v>
      </c>
      <c r="AP33" s="44">
        <v>-0.49128</v>
      </c>
      <c r="AQ33" s="44">
        <v>0.231447</v>
      </c>
      <c r="AR33" s="44">
        <v>0.078602</v>
      </c>
      <c r="AS33" s="44">
        <v>-0.01319</v>
      </c>
    </row>
    <row r="34">
      <c r="A34" s="44">
        <v>33.0</v>
      </c>
      <c r="B34" s="44">
        <v>25.88571</v>
      </c>
      <c r="C34" s="44">
        <v>100.0</v>
      </c>
      <c r="D34" s="44">
        <v>0.0</v>
      </c>
      <c r="E34" s="44">
        <v>0.200615</v>
      </c>
      <c r="F34" s="44">
        <v>0.015272</v>
      </c>
      <c r="G34" s="44">
        <v>-0.04827</v>
      </c>
      <c r="H34" s="389"/>
      <c r="I34" s="46" t="s">
        <v>175</v>
      </c>
      <c r="J34" s="46" t="s">
        <v>449</v>
      </c>
      <c r="K34" s="46" t="s">
        <v>1568</v>
      </c>
      <c r="L34" s="46" t="s">
        <v>1635</v>
      </c>
      <c r="M34" s="389"/>
      <c r="N34" s="46" t="s">
        <v>1562</v>
      </c>
      <c r="O34" s="46" t="s">
        <v>1571</v>
      </c>
      <c r="P34" s="389"/>
      <c r="Q34" s="389"/>
      <c r="R34" s="46">
        <v>4.0</v>
      </c>
      <c r="S34" s="46" t="s">
        <v>1585</v>
      </c>
      <c r="T34" s="46" t="s">
        <v>1564</v>
      </c>
      <c r="U34" s="44">
        <v>71.0</v>
      </c>
      <c r="V34" s="44">
        <v>13.0</v>
      </c>
      <c r="W34" s="389"/>
      <c r="X34" s="44">
        <v>33.0</v>
      </c>
      <c r="Y34" s="44">
        <v>19.12099</v>
      </c>
      <c r="Z34" s="44">
        <v>1.579718</v>
      </c>
      <c r="AA34" s="44">
        <v>9.384366</v>
      </c>
      <c r="AB34" s="44">
        <v>8.590282</v>
      </c>
      <c r="AC34" s="44">
        <v>1.15507</v>
      </c>
      <c r="AD34" s="44">
        <v>0.720423</v>
      </c>
      <c r="AE34" s="44">
        <v>0.472399</v>
      </c>
      <c r="AF34" s="44">
        <v>14.07648</v>
      </c>
      <c r="AG34" s="44">
        <v>0.792991</v>
      </c>
      <c r="AH34" s="44">
        <v>5.349155</v>
      </c>
      <c r="AI34" s="44">
        <v>3.537183</v>
      </c>
      <c r="AJ34" s="44">
        <v>24.98367</v>
      </c>
      <c r="AK34" s="44">
        <v>0.366258</v>
      </c>
      <c r="AL34" s="44">
        <v>-0.17167</v>
      </c>
      <c r="AM34" s="44">
        <v>1.344792</v>
      </c>
      <c r="AN34" s="44">
        <v>2.340337</v>
      </c>
      <c r="AO34" s="44">
        <v>0.427759</v>
      </c>
      <c r="AP34" s="44">
        <v>-0.05048</v>
      </c>
      <c r="AQ34" s="44">
        <v>-0.34332</v>
      </c>
      <c r="AR34" s="44">
        <v>-0.03191</v>
      </c>
      <c r="AS34" s="44">
        <v>-2.07623</v>
      </c>
    </row>
    <row r="35">
      <c r="A35" s="44">
        <v>34.0</v>
      </c>
      <c r="B35" s="44">
        <v>71.8</v>
      </c>
      <c r="C35" s="44">
        <v>100.0</v>
      </c>
      <c r="D35" s="44">
        <v>0.0</v>
      </c>
      <c r="E35" s="44">
        <v>0.196872</v>
      </c>
      <c r="F35" s="44">
        <v>-0.03928</v>
      </c>
      <c r="G35" s="44">
        <v>-0.61512</v>
      </c>
      <c r="H35" s="389"/>
      <c r="I35" s="46" t="s">
        <v>153</v>
      </c>
      <c r="J35" s="46" t="s">
        <v>332</v>
      </c>
      <c r="K35" s="46" t="s">
        <v>97</v>
      </c>
      <c r="L35" s="46" t="s">
        <v>1636</v>
      </c>
      <c r="M35" s="389"/>
      <c r="N35" s="46" t="s">
        <v>1570</v>
      </c>
      <c r="O35" s="46" t="s">
        <v>1571</v>
      </c>
      <c r="P35" s="389"/>
      <c r="Q35" s="389"/>
      <c r="R35" s="46">
        <v>5.0</v>
      </c>
      <c r="S35" s="46" t="s">
        <v>1637</v>
      </c>
      <c r="T35" s="46" t="s">
        <v>1564</v>
      </c>
      <c r="U35" s="44">
        <v>66.0</v>
      </c>
      <c r="V35" s="44">
        <v>15.0</v>
      </c>
      <c r="W35" s="389"/>
      <c r="X35" s="44">
        <v>30.0</v>
      </c>
      <c r="Y35" s="44">
        <v>12.93182</v>
      </c>
      <c r="Z35" s="44">
        <v>0.024848</v>
      </c>
      <c r="AA35" s="44">
        <v>9.849394</v>
      </c>
      <c r="AB35" s="44">
        <v>2.896818</v>
      </c>
      <c r="AC35" s="44">
        <v>1.03</v>
      </c>
      <c r="AD35" s="44">
        <v>1.399091</v>
      </c>
      <c r="AE35" s="44">
        <v>0.659799</v>
      </c>
      <c r="AF35" s="44">
        <v>8.884242</v>
      </c>
      <c r="AG35" s="44">
        <v>0.665984</v>
      </c>
      <c r="AH35" s="44">
        <v>1.776818</v>
      </c>
      <c r="AI35" s="44">
        <v>1.673788</v>
      </c>
      <c r="AJ35" s="44">
        <v>15.73966</v>
      </c>
      <c r="AK35" s="44">
        <v>-0.72441</v>
      </c>
      <c r="AL35" s="44">
        <v>-1.65883</v>
      </c>
      <c r="AM35" s="44">
        <v>1.535619</v>
      </c>
      <c r="AN35" s="44">
        <v>-0.40648</v>
      </c>
      <c r="AO35" s="44">
        <v>0.056291</v>
      </c>
      <c r="AP35" s="44">
        <v>1.173749</v>
      </c>
      <c r="AQ35" s="44">
        <v>2.245565</v>
      </c>
      <c r="AR35" s="44">
        <v>-0.7272</v>
      </c>
      <c r="AS35" s="44">
        <v>0.277535</v>
      </c>
    </row>
    <row r="36">
      <c r="A36" s="44">
        <v>35.0</v>
      </c>
      <c r="B36" s="44">
        <v>22.72857</v>
      </c>
      <c r="C36" s="44">
        <v>100.0</v>
      </c>
      <c r="D36" s="44">
        <v>0.0</v>
      </c>
      <c r="E36" s="44">
        <v>0.187587</v>
      </c>
      <c r="F36" s="44">
        <v>0.005665</v>
      </c>
      <c r="G36" s="44">
        <v>0.574326</v>
      </c>
      <c r="H36" s="389"/>
      <c r="I36" s="46" t="s">
        <v>202</v>
      </c>
      <c r="J36" s="46" t="s">
        <v>273</v>
      </c>
      <c r="K36" s="46" t="s">
        <v>1581</v>
      </c>
      <c r="L36" s="46" t="s">
        <v>1638</v>
      </c>
      <c r="M36" s="389"/>
      <c r="N36" s="46" t="s">
        <v>1570</v>
      </c>
      <c r="O36" s="46" t="s">
        <v>1571</v>
      </c>
      <c r="P36" s="389"/>
      <c r="Q36" s="45"/>
      <c r="R36" s="46">
        <v>3.0</v>
      </c>
      <c r="S36" s="46" t="s">
        <v>1603</v>
      </c>
      <c r="T36" s="46" t="s">
        <v>1564</v>
      </c>
      <c r="U36" s="44">
        <v>60.0</v>
      </c>
      <c r="V36" s="44">
        <v>13.0</v>
      </c>
      <c r="W36" s="389"/>
      <c r="X36" s="44">
        <v>30.0</v>
      </c>
      <c r="Y36" s="44">
        <v>16.75817</v>
      </c>
      <c r="Z36" s="44">
        <v>1.498167</v>
      </c>
      <c r="AA36" s="44">
        <v>8.2875</v>
      </c>
      <c r="AB36" s="44">
        <v>2.248</v>
      </c>
      <c r="AC36" s="44">
        <v>0.7765</v>
      </c>
      <c r="AD36" s="44">
        <v>2.04</v>
      </c>
      <c r="AE36" s="44">
        <v>0.515955</v>
      </c>
      <c r="AF36" s="44">
        <v>11.47483</v>
      </c>
      <c r="AG36" s="44">
        <v>0.763994</v>
      </c>
      <c r="AH36" s="44">
        <v>4.475167</v>
      </c>
      <c r="AI36" s="44">
        <v>1.770167</v>
      </c>
      <c r="AJ36" s="44">
        <v>21.70678</v>
      </c>
      <c r="AK36" s="44">
        <v>-0.05012</v>
      </c>
      <c r="AL36" s="44">
        <v>-0.24967</v>
      </c>
      <c r="AM36" s="44">
        <v>0.894684</v>
      </c>
      <c r="AN36" s="44">
        <v>-0.7195</v>
      </c>
      <c r="AO36" s="44">
        <v>-0.69662</v>
      </c>
      <c r="AP36" s="44">
        <v>2.329861</v>
      </c>
      <c r="AQ36" s="44">
        <v>0.459811</v>
      </c>
      <c r="AR36" s="44">
        <v>-0.43595</v>
      </c>
      <c r="AS36" s="44">
        <v>0.155793</v>
      </c>
    </row>
    <row r="37">
      <c r="A37" s="44">
        <v>36.0</v>
      </c>
      <c r="B37" s="44">
        <v>43.8</v>
      </c>
      <c r="C37" s="44">
        <v>100.0</v>
      </c>
      <c r="D37" s="44">
        <v>0.0</v>
      </c>
      <c r="E37" s="44">
        <v>0.187281</v>
      </c>
      <c r="F37" s="44">
        <v>3.63E-4</v>
      </c>
      <c r="G37" s="44">
        <v>-0.15979</v>
      </c>
      <c r="H37" s="389"/>
      <c r="I37" s="46" t="s">
        <v>203</v>
      </c>
      <c r="J37" s="46" t="s">
        <v>1639</v>
      </c>
      <c r="K37" s="46" t="s">
        <v>1572</v>
      </c>
      <c r="L37" s="46" t="s">
        <v>1640</v>
      </c>
      <c r="M37" s="389"/>
      <c r="N37" s="46" t="s">
        <v>1570</v>
      </c>
      <c r="O37" s="389"/>
      <c r="P37" s="389"/>
      <c r="Q37" s="389"/>
      <c r="R37" s="46">
        <v>4.0</v>
      </c>
      <c r="S37" s="46" t="s">
        <v>1598</v>
      </c>
      <c r="T37" s="46" t="s">
        <v>1564</v>
      </c>
      <c r="U37" s="44">
        <v>64.0</v>
      </c>
      <c r="V37" s="44">
        <v>15.0</v>
      </c>
      <c r="W37" s="389"/>
      <c r="X37" s="44">
        <v>34.0</v>
      </c>
      <c r="Y37" s="44">
        <v>20.17219</v>
      </c>
      <c r="Z37" s="44">
        <v>3.043906</v>
      </c>
      <c r="AA37" s="44">
        <v>5.079531</v>
      </c>
      <c r="AB37" s="44">
        <v>3.219375</v>
      </c>
      <c r="AC37" s="44">
        <v>0.995313</v>
      </c>
      <c r="AD37" s="44">
        <v>0.646719</v>
      </c>
      <c r="AE37" s="44">
        <v>0.468123</v>
      </c>
      <c r="AF37" s="44">
        <v>14.95234</v>
      </c>
      <c r="AG37" s="44">
        <v>0.87199</v>
      </c>
      <c r="AH37" s="44">
        <v>3.588594</v>
      </c>
      <c r="AI37" s="44">
        <v>1.573906</v>
      </c>
      <c r="AJ37" s="44">
        <v>22.43689</v>
      </c>
      <c r="AK37" s="44">
        <v>0.551502</v>
      </c>
      <c r="AL37" s="44">
        <v>1.228745</v>
      </c>
      <c r="AM37" s="44">
        <v>-0.42173</v>
      </c>
      <c r="AN37" s="44">
        <v>-0.25086</v>
      </c>
      <c r="AO37" s="44">
        <v>-0.04673</v>
      </c>
      <c r="AP37" s="44">
        <v>-0.18343</v>
      </c>
      <c r="AQ37" s="44">
        <v>-0.4596</v>
      </c>
      <c r="AR37" s="44">
        <v>0.863922</v>
      </c>
      <c r="AS37" s="44">
        <v>0.403701</v>
      </c>
    </row>
    <row r="38">
      <c r="A38" s="44">
        <v>37.0</v>
      </c>
      <c r="B38" s="44">
        <v>77.75714</v>
      </c>
      <c r="C38" s="44">
        <v>100.0</v>
      </c>
      <c r="D38" s="44">
        <v>0.0</v>
      </c>
      <c r="E38" s="44">
        <v>0.170512</v>
      </c>
      <c r="F38" s="44">
        <v>0.005349</v>
      </c>
      <c r="G38" s="44">
        <v>0.472108</v>
      </c>
      <c r="H38" s="389"/>
      <c r="I38" s="46" t="s">
        <v>140</v>
      </c>
      <c r="J38" s="46" t="s">
        <v>428</v>
      </c>
      <c r="K38" s="46" t="s">
        <v>1572</v>
      </c>
      <c r="L38" s="46" t="s">
        <v>1641</v>
      </c>
      <c r="M38" s="389"/>
      <c r="N38" s="46" t="s">
        <v>1570</v>
      </c>
      <c r="O38" s="389"/>
      <c r="P38" s="389"/>
      <c r="Q38" s="45"/>
      <c r="R38" s="46">
        <v>3.0</v>
      </c>
      <c r="S38" s="46" t="s">
        <v>1642</v>
      </c>
      <c r="T38" s="46" t="s">
        <v>1564</v>
      </c>
      <c r="U38" s="44">
        <v>66.0</v>
      </c>
      <c r="V38" s="44">
        <v>14.0</v>
      </c>
      <c r="W38" s="389"/>
      <c r="X38" s="44">
        <v>30.0</v>
      </c>
      <c r="Y38" s="44">
        <v>13.52045</v>
      </c>
      <c r="Z38" s="44">
        <v>0.255152</v>
      </c>
      <c r="AA38" s="44">
        <v>6.565</v>
      </c>
      <c r="AB38" s="44">
        <v>3.282424</v>
      </c>
      <c r="AC38" s="44">
        <v>2.09697</v>
      </c>
      <c r="AD38" s="44">
        <v>1.073182</v>
      </c>
      <c r="AE38" s="44">
        <v>0.523406</v>
      </c>
      <c r="AF38" s="44">
        <v>10.41576</v>
      </c>
      <c r="AG38" s="44">
        <v>0.687983</v>
      </c>
      <c r="AH38" s="44">
        <v>3.433182</v>
      </c>
      <c r="AI38" s="44">
        <v>1.546061</v>
      </c>
      <c r="AJ38" s="44">
        <v>19.2167</v>
      </c>
      <c r="AK38" s="44">
        <v>-0.62067</v>
      </c>
      <c r="AL38" s="44">
        <v>-1.43855</v>
      </c>
      <c r="AM38" s="44">
        <v>0.187843</v>
      </c>
      <c r="AN38" s="44">
        <v>-0.22044</v>
      </c>
      <c r="AO38" s="44">
        <v>3.225266</v>
      </c>
      <c r="AP38" s="44">
        <v>0.585854</v>
      </c>
      <c r="AQ38" s="44">
        <v>0.532672</v>
      </c>
      <c r="AR38" s="44">
        <v>-1.15624</v>
      </c>
      <c r="AS38" s="44">
        <v>0.438875</v>
      </c>
    </row>
    <row r="39">
      <c r="A39" s="44">
        <v>38.0</v>
      </c>
      <c r="B39" s="44">
        <v>66.84286</v>
      </c>
      <c r="C39" s="44">
        <v>100.0</v>
      </c>
      <c r="D39" s="44">
        <v>0.0</v>
      </c>
      <c r="E39" s="44">
        <v>0.167435</v>
      </c>
      <c r="F39" s="44">
        <v>0.012474</v>
      </c>
      <c r="G39" s="44">
        <v>1.373486</v>
      </c>
      <c r="H39" s="389"/>
      <c r="I39" s="46" t="s">
        <v>179</v>
      </c>
      <c r="J39" s="46" t="s">
        <v>304</v>
      </c>
      <c r="K39" s="46" t="s">
        <v>85</v>
      </c>
      <c r="L39" s="46" t="s">
        <v>1643</v>
      </c>
      <c r="M39" s="389"/>
      <c r="N39" s="46" t="s">
        <v>1562</v>
      </c>
      <c r="O39" s="389"/>
      <c r="P39" s="389"/>
      <c r="Q39" s="389"/>
      <c r="R39" s="46">
        <v>2.0</v>
      </c>
      <c r="S39" s="46" t="s">
        <v>1644</v>
      </c>
      <c r="T39" s="46" t="s">
        <v>1645</v>
      </c>
      <c r="U39" s="44">
        <v>64.0</v>
      </c>
      <c r="V39" s="44">
        <v>13.0</v>
      </c>
      <c r="W39" s="389"/>
      <c r="X39" s="44">
        <v>32.0</v>
      </c>
      <c r="Y39" s="44">
        <v>18.70594</v>
      </c>
      <c r="Z39" s="44">
        <v>4.053438</v>
      </c>
      <c r="AA39" s="44">
        <v>4.737969</v>
      </c>
      <c r="AB39" s="44">
        <v>4.944063</v>
      </c>
      <c r="AC39" s="44">
        <v>0.892656</v>
      </c>
      <c r="AD39" s="44">
        <v>0.205313</v>
      </c>
      <c r="AE39" s="44">
        <v>0.473789</v>
      </c>
      <c r="AF39" s="44">
        <v>14.07734</v>
      </c>
      <c r="AG39" s="44">
        <v>0.848032</v>
      </c>
      <c r="AH39" s="44">
        <v>1.548438</v>
      </c>
      <c r="AI39" s="44">
        <v>1.579375</v>
      </c>
      <c r="AJ39" s="44">
        <v>20.98275</v>
      </c>
      <c r="AK39" s="44">
        <v>0.293118</v>
      </c>
      <c r="AL39" s="44">
        <v>2.194309</v>
      </c>
      <c r="AM39" s="44">
        <v>-0.56189</v>
      </c>
      <c r="AN39" s="44">
        <v>0.581218</v>
      </c>
      <c r="AO39" s="44">
        <v>-0.35163</v>
      </c>
      <c r="AP39" s="44">
        <v>-0.97966</v>
      </c>
      <c r="AQ39" s="44">
        <v>-0.31445</v>
      </c>
      <c r="AR39" s="44">
        <v>0.249115</v>
      </c>
      <c r="AS39" s="44">
        <v>0.396793</v>
      </c>
    </row>
    <row r="40">
      <c r="A40" s="44">
        <v>39.0</v>
      </c>
      <c r="B40" s="44">
        <v>40.08571</v>
      </c>
      <c r="C40" s="44">
        <v>100.0</v>
      </c>
      <c r="D40" s="44">
        <v>0.0</v>
      </c>
      <c r="E40" s="44">
        <v>0.161025</v>
      </c>
      <c r="F40" s="44">
        <v>0.007207</v>
      </c>
      <c r="G40" s="44">
        <v>0.983199</v>
      </c>
      <c r="H40" s="389"/>
      <c r="I40" s="46" t="s">
        <v>165</v>
      </c>
      <c r="J40" s="46" t="s">
        <v>308</v>
      </c>
      <c r="K40" s="46" t="s">
        <v>97</v>
      </c>
      <c r="L40" s="46" t="s">
        <v>1646</v>
      </c>
      <c r="M40" s="389"/>
      <c r="N40" s="46" t="s">
        <v>1562</v>
      </c>
      <c r="O40" s="45"/>
      <c r="P40" s="389"/>
      <c r="Q40" s="45"/>
      <c r="R40" s="46">
        <v>3.0</v>
      </c>
      <c r="S40" s="46" t="s">
        <v>1592</v>
      </c>
      <c r="T40" s="46" t="s">
        <v>1564</v>
      </c>
      <c r="U40" s="44">
        <v>71.0</v>
      </c>
      <c r="V40" s="44">
        <v>15.0</v>
      </c>
      <c r="W40" s="389"/>
      <c r="X40" s="44">
        <v>31.0</v>
      </c>
      <c r="Y40" s="44">
        <v>16.56056</v>
      </c>
      <c r="Z40" s="44">
        <v>0.0</v>
      </c>
      <c r="AA40" s="44">
        <v>11.58944</v>
      </c>
      <c r="AB40" s="44">
        <v>2.004648</v>
      </c>
      <c r="AC40" s="44">
        <v>0.55507</v>
      </c>
      <c r="AD40" s="44">
        <v>1.076338</v>
      </c>
      <c r="AE40" s="44">
        <v>0.647404</v>
      </c>
      <c r="AF40" s="44">
        <v>11.1507</v>
      </c>
      <c r="AG40" s="44">
        <v>0.704996</v>
      </c>
      <c r="AH40" s="44">
        <v>3.010704</v>
      </c>
      <c r="AI40" s="44">
        <v>1.252958</v>
      </c>
      <c r="AJ40" s="44">
        <v>19.78437</v>
      </c>
      <c r="AK40" s="44">
        <v>-0.08494</v>
      </c>
      <c r="AL40" s="44">
        <v>-1.68259</v>
      </c>
      <c r="AM40" s="44">
        <v>2.249659</v>
      </c>
      <c r="AN40" s="44">
        <v>-0.8369</v>
      </c>
      <c r="AO40" s="44">
        <v>-1.35428</v>
      </c>
      <c r="AP40" s="44">
        <v>0.591547</v>
      </c>
      <c r="AQ40" s="44">
        <v>2.612433</v>
      </c>
      <c r="AR40" s="44">
        <v>-0.8548</v>
      </c>
      <c r="AS40" s="44">
        <v>0.809109</v>
      </c>
    </row>
    <row r="41">
      <c r="A41" s="44">
        <v>40.0</v>
      </c>
      <c r="B41" s="44">
        <v>50.5</v>
      </c>
      <c r="C41" s="44">
        <v>100.0</v>
      </c>
      <c r="D41" s="44">
        <v>0.0</v>
      </c>
      <c r="E41" s="44">
        <v>0.136668</v>
      </c>
      <c r="F41" s="44">
        <v>-0.00499</v>
      </c>
      <c r="G41" s="44">
        <v>0.565034</v>
      </c>
      <c r="H41" s="389"/>
      <c r="I41" s="46" t="s">
        <v>67</v>
      </c>
      <c r="J41" s="46" t="s">
        <v>449</v>
      </c>
      <c r="K41" s="46" t="s">
        <v>97</v>
      </c>
      <c r="L41" s="46" t="s">
        <v>1647</v>
      </c>
      <c r="M41" s="389"/>
      <c r="N41" s="46" t="s">
        <v>1562</v>
      </c>
      <c r="O41" s="46" t="s">
        <v>1648</v>
      </c>
      <c r="P41" s="389"/>
      <c r="Q41" s="45"/>
      <c r="R41" s="46">
        <v>2.0</v>
      </c>
      <c r="S41" s="46" t="s">
        <v>1592</v>
      </c>
      <c r="T41" s="46" t="s">
        <v>1564</v>
      </c>
      <c r="U41" s="44">
        <v>71.0</v>
      </c>
      <c r="V41" s="44">
        <v>13.0</v>
      </c>
      <c r="W41" s="389"/>
      <c r="X41" s="44">
        <v>30.0</v>
      </c>
      <c r="Y41" s="44">
        <v>16.76352</v>
      </c>
      <c r="Z41" s="44">
        <v>1.48831</v>
      </c>
      <c r="AA41" s="44">
        <v>9.909437</v>
      </c>
      <c r="AB41" s="44">
        <v>3.281268</v>
      </c>
      <c r="AC41" s="44">
        <v>0.852676</v>
      </c>
      <c r="AD41" s="44">
        <v>0.722113</v>
      </c>
      <c r="AE41" s="44">
        <v>0.505795</v>
      </c>
      <c r="AF41" s="44">
        <v>13.78085</v>
      </c>
      <c r="AG41" s="44">
        <v>0.807018</v>
      </c>
      <c r="AH41" s="44">
        <v>1.653803</v>
      </c>
      <c r="AI41" s="44">
        <v>1.641127</v>
      </c>
      <c r="AJ41" s="44">
        <v>22.22761</v>
      </c>
      <c r="AK41" s="44">
        <v>-0.04918</v>
      </c>
      <c r="AL41" s="44">
        <v>-0.2591</v>
      </c>
      <c r="AM41" s="44">
        <v>1.560258</v>
      </c>
      <c r="AN41" s="44">
        <v>-0.221</v>
      </c>
      <c r="AO41" s="44">
        <v>-0.47037</v>
      </c>
      <c r="AP41" s="44">
        <v>-0.04743</v>
      </c>
      <c r="AQ41" s="44">
        <v>0.343938</v>
      </c>
      <c r="AR41" s="44">
        <v>0.054103</v>
      </c>
      <c r="AS41" s="44">
        <v>0.318791</v>
      </c>
    </row>
    <row r="42">
      <c r="A42" s="44">
        <v>41.0</v>
      </c>
      <c r="B42" s="44">
        <v>97.52857</v>
      </c>
      <c r="C42" s="44">
        <v>100.0</v>
      </c>
      <c r="D42" s="44">
        <v>0.0</v>
      </c>
      <c r="E42" s="44">
        <v>0.136549</v>
      </c>
      <c r="F42" s="44">
        <v>0.018097</v>
      </c>
      <c r="G42" s="44">
        <v>0.184039</v>
      </c>
      <c r="H42" s="389"/>
      <c r="I42" s="46" t="s">
        <v>180</v>
      </c>
      <c r="J42" s="46" t="s">
        <v>465</v>
      </c>
      <c r="K42" s="46" t="s">
        <v>92</v>
      </c>
      <c r="L42" s="46" t="s">
        <v>1649</v>
      </c>
      <c r="M42" s="389"/>
      <c r="N42" s="46" t="s">
        <v>1562</v>
      </c>
      <c r="O42" s="45"/>
      <c r="P42" s="389"/>
      <c r="Q42" s="389"/>
      <c r="R42" s="46">
        <v>4.0</v>
      </c>
      <c r="S42" s="46" t="s">
        <v>1650</v>
      </c>
      <c r="T42" s="46" t="s">
        <v>1564</v>
      </c>
      <c r="U42" s="44">
        <v>71.0</v>
      </c>
      <c r="V42" s="44">
        <v>15.0</v>
      </c>
      <c r="W42" s="389"/>
      <c r="X42" s="44">
        <v>33.0</v>
      </c>
      <c r="Y42" s="44">
        <v>15.32718</v>
      </c>
      <c r="Z42" s="44">
        <v>2.596479</v>
      </c>
      <c r="AA42" s="44">
        <v>5.820423</v>
      </c>
      <c r="AB42" s="44">
        <v>2.36338</v>
      </c>
      <c r="AC42" s="44">
        <v>1.537042</v>
      </c>
      <c r="AD42" s="44">
        <v>0.703099</v>
      </c>
      <c r="AE42" s="44">
        <v>0.4599</v>
      </c>
      <c r="AF42" s="44">
        <v>12.20197</v>
      </c>
      <c r="AG42" s="44">
        <v>0.731011</v>
      </c>
      <c r="AH42" s="44">
        <v>2.061972</v>
      </c>
      <c r="AI42" s="44">
        <v>1.121972</v>
      </c>
      <c r="AJ42" s="44">
        <v>17.8644</v>
      </c>
      <c r="AK42" s="44">
        <v>-0.30229</v>
      </c>
      <c r="AL42" s="44">
        <v>0.800804</v>
      </c>
      <c r="AM42" s="44">
        <v>-0.1177</v>
      </c>
      <c r="AN42" s="44">
        <v>-0.66383</v>
      </c>
      <c r="AO42" s="44">
        <v>1.562242</v>
      </c>
      <c r="AP42" s="44">
        <v>-0.08173</v>
      </c>
      <c r="AQ42" s="44">
        <v>-0.52197</v>
      </c>
      <c r="AR42" s="44">
        <v>-0.42115</v>
      </c>
      <c r="AS42" s="44">
        <v>0.974565</v>
      </c>
    </row>
    <row r="43">
      <c r="A43" s="44">
        <v>42.0</v>
      </c>
      <c r="B43" s="44">
        <v>30.01429</v>
      </c>
      <c r="C43" s="44">
        <v>100.0</v>
      </c>
      <c r="D43" s="44">
        <v>0.0</v>
      </c>
      <c r="E43" s="44">
        <v>0.13363</v>
      </c>
      <c r="F43" s="44">
        <v>-0.00327</v>
      </c>
      <c r="G43" s="44">
        <v>-1.1448</v>
      </c>
      <c r="H43" s="389"/>
      <c r="I43" s="46" t="s">
        <v>214</v>
      </c>
      <c r="J43" s="46" t="s">
        <v>342</v>
      </c>
      <c r="K43" s="46" t="s">
        <v>85</v>
      </c>
      <c r="L43" s="46" t="s">
        <v>1651</v>
      </c>
      <c r="M43" s="389"/>
      <c r="N43" s="46" t="s">
        <v>1570</v>
      </c>
      <c r="O43" s="389"/>
      <c r="P43" s="389"/>
      <c r="Q43" s="389"/>
      <c r="R43" s="46">
        <v>3.0</v>
      </c>
      <c r="S43" s="46" t="s">
        <v>1585</v>
      </c>
      <c r="T43" s="46" t="s">
        <v>1564</v>
      </c>
      <c r="U43" s="44">
        <v>58.0</v>
      </c>
      <c r="V43" s="44">
        <v>16.0</v>
      </c>
      <c r="W43" s="389"/>
      <c r="X43" s="44">
        <v>33.0</v>
      </c>
      <c r="Y43" s="44">
        <v>23.88672</v>
      </c>
      <c r="Z43" s="44">
        <v>3.725345</v>
      </c>
      <c r="AA43" s="44">
        <v>4.95</v>
      </c>
      <c r="AB43" s="44">
        <v>8.136724</v>
      </c>
      <c r="AC43" s="44">
        <v>1.252586</v>
      </c>
      <c r="AD43" s="44">
        <v>0.272759</v>
      </c>
      <c r="AE43" s="44">
        <v>0.416646</v>
      </c>
      <c r="AF43" s="44">
        <v>19.52414</v>
      </c>
      <c r="AG43" s="44">
        <v>0.849989</v>
      </c>
      <c r="AH43" s="44">
        <v>4.578966</v>
      </c>
      <c r="AI43" s="44">
        <v>3.550172</v>
      </c>
      <c r="AJ43" s="44">
        <v>32.64324</v>
      </c>
      <c r="AK43" s="44">
        <v>1.206082</v>
      </c>
      <c r="AL43" s="44">
        <v>1.880505</v>
      </c>
      <c r="AM43" s="44">
        <v>-0.47488</v>
      </c>
      <c r="AN43" s="44">
        <v>2.121518</v>
      </c>
      <c r="AO43" s="44">
        <v>0.717387</v>
      </c>
      <c r="AP43" s="44">
        <v>-0.858</v>
      </c>
      <c r="AQ43" s="44">
        <v>-2.08707</v>
      </c>
      <c r="AR43" s="44">
        <v>0.789761</v>
      </c>
      <c r="AS43" s="44">
        <v>-2.09263</v>
      </c>
    </row>
    <row r="44">
      <c r="A44" s="44">
        <v>43.0</v>
      </c>
      <c r="B44" s="44">
        <v>12.02857</v>
      </c>
      <c r="C44" s="44">
        <v>100.0</v>
      </c>
      <c r="D44" s="44">
        <v>0.0</v>
      </c>
      <c r="E44" s="44">
        <v>0.13037</v>
      </c>
      <c r="F44" s="44">
        <v>0.005128</v>
      </c>
      <c r="G44" s="44">
        <v>1.113294</v>
      </c>
      <c r="H44" s="389"/>
      <c r="I44" s="46" t="s">
        <v>187</v>
      </c>
      <c r="J44" s="46" t="s">
        <v>350</v>
      </c>
      <c r="K44" s="46" t="s">
        <v>97</v>
      </c>
      <c r="L44" s="46" t="s">
        <v>1652</v>
      </c>
      <c r="M44" s="389"/>
      <c r="N44" s="46" t="s">
        <v>1562</v>
      </c>
      <c r="O44" s="389"/>
      <c r="P44" s="389"/>
      <c r="Q44" s="389"/>
      <c r="R44" s="46">
        <v>5.0</v>
      </c>
      <c r="S44" s="46" t="s">
        <v>1653</v>
      </c>
      <c r="T44" s="46" t="s">
        <v>1564</v>
      </c>
      <c r="U44" s="44">
        <v>71.0</v>
      </c>
      <c r="V44" s="44">
        <v>14.0</v>
      </c>
      <c r="W44" s="389"/>
      <c r="X44" s="44">
        <v>35.0</v>
      </c>
      <c r="Y44" s="44">
        <v>18.12324</v>
      </c>
      <c r="Z44" s="44">
        <v>0.792394</v>
      </c>
      <c r="AA44" s="44">
        <v>13.93366</v>
      </c>
      <c r="AB44" s="44">
        <v>5.446197</v>
      </c>
      <c r="AC44" s="44">
        <v>0.715775</v>
      </c>
      <c r="AD44" s="44">
        <v>0.280563</v>
      </c>
      <c r="AE44" s="44">
        <v>0.569934</v>
      </c>
      <c r="AF44" s="44">
        <v>12.73141</v>
      </c>
      <c r="AG44" s="44">
        <v>0.737997</v>
      </c>
      <c r="AH44" s="44">
        <v>3.819437</v>
      </c>
      <c r="AI44" s="44">
        <v>2.879718</v>
      </c>
      <c r="AJ44" s="44">
        <v>22.18228</v>
      </c>
      <c r="AK44" s="44">
        <v>0.190434</v>
      </c>
      <c r="AL44" s="44">
        <v>-0.92471</v>
      </c>
      <c r="AM44" s="44">
        <v>3.21163</v>
      </c>
      <c r="AN44" s="44">
        <v>0.823473</v>
      </c>
      <c r="AO44" s="44">
        <v>-0.87698</v>
      </c>
      <c r="AP44" s="44">
        <v>-0.84392</v>
      </c>
      <c r="AQ44" s="44">
        <v>1.524644</v>
      </c>
      <c r="AR44" s="44">
        <v>-0.6855</v>
      </c>
      <c r="AS44" s="44">
        <v>-1.24574</v>
      </c>
    </row>
    <row r="45">
      <c r="A45" s="44">
        <v>44.0</v>
      </c>
      <c r="B45" s="44">
        <v>51.55714</v>
      </c>
      <c r="C45" s="44">
        <v>100.0</v>
      </c>
      <c r="D45" s="44">
        <v>0.0</v>
      </c>
      <c r="E45" s="44">
        <v>0.125878</v>
      </c>
      <c r="F45" s="44">
        <v>-0.03489</v>
      </c>
      <c r="G45" s="44">
        <v>0.118991</v>
      </c>
      <c r="H45" s="389"/>
      <c r="I45" s="46" t="s">
        <v>139</v>
      </c>
      <c r="J45" s="46" t="s">
        <v>354</v>
      </c>
      <c r="K45" s="46" t="s">
        <v>97</v>
      </c>
      <c r="L45" s="46" t="s">
        <v>1654</v>
      </c>
      <c r="M45" s="46" t="s">
        <v>1655</v>
      </c>
      <c r="N45" s="46" t="s">
        <v>1570</v>
      </c>
      <c r="O45" s="46" t="s">
        <v>1595</v>
      </c>
      <c r="P45" s="389"/>
      <c r="Q45" s="45"/>
      <c r="R45" s="46">
        <v>2.0</v>
      </c>
      <c r="S45" s="46" t="s">
        <v>1592</v>
      </c>
      <c r="T45" s="46" t="s">
        <v>1564</v>
      </c>
      <c r="U45" s="44">
        <v>62.0</v>
      </c>
      <c r="V45" s="44">
        <v>15.0</v>
      </c>
      <c r="W45" s="389"/>
      <c r="X45" s="44">
        <v>30.0</v>
      </c>
      <c r="Y45" s="44">
        <v>13.17097</v>
      </c>
      <c r="Z45" s="44">
        <v>0.127419</v>
      </c>
      <c r="AA45" s="44">
        <v>11.58742</v>
      </c>
      <c r="AB45" s="44">
        <v>1.93129</v>
      </c>
      <c r="AC45" s="44">
        <v>0.643871</v>
      </c>
      <c r="AD45" s="44">
        <v>2.188548</v>
      </c>
      <c r="AE45" s="44">
        <v>0.680397</v>
      </c>
      <c r="AF45" s="44">
        <v>8.496935</v>
      </c>
      <c r="AG45" s="44">
        <v>0.528005</v>
      </c>
      <c r="AH45" s="44">
        <v>2.804839</v>
      </c>
      <c r="AI45" s="44">
        <v>1.544839</v>
      </c>
      <c r="AJ45" s="44">
        <v>15.62353</v>
      </c>
      <c r="AK45" s="44">
        <v>-0.68226</v>
      </c>
      <c r="AL45" s="44">
        <v>-1.56072</v>
      </c>
      <c r="AM45" s="44">
        <v>2.248831</v>
      </c>
      <c r="AN45" s="44">
        <v>-0.87229</v>
      </c>
      <c r="AO45" s="44">
        <v>-1.09054</v>
      </c>
      <c r="AP45" s="44">
        <v>2.597821</v>
      </c>
      <c r="AQ45" s="44">
        <v>2.406538</v>
      </c>
      <c r="AR45" s="44">
        <v>-2.35489</v>
      </c>
      <c r="AS45" s="44">
        <v>0.440418</v>
      </c>
    </row>
    <row r="46">
      <c r="A46" s="44">
        <v>45.0</v>
      </c>
      <c r="B46" s="44">
        <v>26.45714</v>
      </c>
      <c r="C46" s="44">
        <v>100.0</v>
      </c>
      <c r="D46" s="44">
        <v>0.0</v>
      </c>
      <c r="E46" s="44">
        <v>0.124433</v>
      </c>
      <c r="F46" s="44">
        <v>0.001473</v>
      </c>
      <c r="G46" s="44">
        <v>-0.93107</v>
      </c>
      <c r="H46" s="389"/>
      <c r="I46" s="46" t="s">
        <v>124</v>
      </c>
      <c r="J46" s="46" t="s">
        <v>283</v>
      </c>
      <c r="K46" s="46" t="s">
        <v>1572</v>
      </c>
      <c r="L46" s="46" t="s">
        <v>1656</v>
      </c>
      <c r="M46" s="46" t="s">
        <v>1657</v>
      </c>
      <c r="N46" s="46" t="s">
        <v>1570</v>
      </c>
      <c r="O46" s="46" t="s">
        <v>1648</v>
      </c>
      <c r="P46" s="389"/>
      <c r="Q46" s="389"/>
      <c r="R46" s="46">
        <v>5.0</v>
      </c>
      <c r="S46" s="46" t="s">
        <v>1603</v>
      </c>
      <c r="T46" s="46" t="s">
        <v>1564</v>
      </c>
      <c r="U46" s="44">
        <v>53.0</v>
      </c>
      <c r="V46" s="44">
        <v>14.0</v>
      </c>
      <c r="W46" s="389"/>
      <c r="X46" s="44">
        <v>34.0</v>
      </c>
      <c r="Y46" s="44">
        <v>21.7417</v>
      </c>
      <c r="Z46" s="44">
        <v>1.939623</v>
      </c>
      <c r="AA46" s="44">
        <v>6.941698</v>
      </c>
      <c r="AB46" s="44">
        <v>6.45566</v>
      </c>
      <c r="AC46" s="44">
        <v>1.033208</v>
      </c>
      <c r="AD46" s="44">
        <v>0.558302</v>
      </c>
      <c r="AE46" s="44">
        <v>0.494598</v>
      </c>
      <c r="AF46" s="44">
        <v>16.38189</v>
      </c>
      <c r="AG46" s="44">
        <v>0.794011</v>
      </c>
      <c r="AH46" s="44">
        <v>4.530377</v>
      </c>
      <c r="AI46" s="44">
        <v>2.984906</v>
      </c>
      <c r="AJ46" s="44">
        <v>27.88848</v>
      </c>
      <c r="AK46" s="44">
        <v>0.828083</v>
      </c>
      <c r="AL46" s="44">
        <v>0.172555</v>
      </c>
      <c r="AM46" s="44">
        <v>0.342424</v>
      </c>
      <c r="AN46" s="44">
        <v>1.310488</v>
      </c>
      <c r="AO46" s="44">
        <v>0.065817</v>
      </c>
      <c r="AP46" s="44">
        <v>-0.34292</v>
      </c>
      <c r="AQ46" s="44">
        <v>0.136538</v>
      </c>
      <c r="AR46" s="44">
        <v>-0.01448</v>
      </c>
      <c r="AS46" s="44">
        <v>-1.37861</v>
      </c>
    </row>
    <row r="47">
      <c r="A47" s="44">
        <v>46.0</v>
      </c>
      <c r="B47" s="44">
        <v>4.971429</v>
      </c>
      <c r="C47" s="44">
        <v>100.0</v>
      </c>
      <c r="D47" s="44">
        <v>0.0</v>
      </c>
      <c r="E47" s="44">
        <v>0.120726</v>
      </c>
      <c r="F47" s="44">
        <v>0.00348</v>
      </c>
      <c r="G47" s="44">
        <v>-1.3864</v>
      </c>
      <c r="H47" s="389"/>
      <c r="I47" s="46" t="s">
        <v>122</v>
      </c>
      <c r="J47" s="46" t="s">
        <v>291</v>
      </c>
      <c r="K47" s="46" t="s">
        <v>1581</v>
      </c>
      <c r="L47" s="46" t="s">
        <v>1658</v>
      </c>
      <c r="M47" s="389"/>
      <c r="N47" s="46" t="s">
        <v>1562</v>
      </c>
      <c r="O47" s="389"/>
      <c r="P47" s="389"/>
      <c r="Q47" s="389"/>
      <c r="R47" s="46">
        <v>4.0</v>
      </c>
      <c r="S47" s="46" t="s">
        <v>1583</v>
      </c>
      <c r="T47" s="46" t="s">
        <v>1564</v>
      </c>
      <c r="U47" s="44">
        <v>64.0</v>
      </c>
      <c r="V47" s="44">
        <v>14.0</v>
      </c>
      <c r="W47" s="389"/>
      <c r="X47" s="44">
        <v>34.0</v>
      </c>
      <c r="Y47" s="44">
        <v>31.53766</v>
      </c>
      <c r="Z47" s="44">
        <v>0.319531</v>
      </c>
      <c r="AA47" s="44">
        <v>11.01734</v>
      </c>
      <c r="AB47" s="44">
        <v>8.227344</v>
      </c>
      <c r="AC47" s="44">
        <v>0.929531</v>
      </c>
      <c r="AD47" s="44">
        <v>0.93</v>
      </c>
      <c r="AE47" s="44">
        <v>0.581999</v>
      </c>
      <c r="AF47" s="44">
        <v>20.17453</v>
      </c>
      <c r="AG47" s="44">
        <v>0.639</v>
      </c>
      <c r="AH47" s="44">
        <v>12.10484</v>
      </c>
      <c r="AI47" s="44">
        <v>2.861719</v>
      </c>
      <c r="AJ47" s="44">
        <v>36.59105</v>
      </c>
      <c r="AK47" s="44">
        <v>2.554339</v>
      </c>
      <c r="AL47" s="44">
        <v>-1.37698</v>
      </c>
      <c r="AM47" s="44">
        <v>2.014897</v>
      </c>
      <c r="AN47" s="44">
        <v>2.165237</v>
      </c>
      <c r="AO47" s="44">
        <v>-0.24211</v>
      </c>
      <c r="AP47" s="44">
        <v>0.327574</v>
      </c>
      <c r="AQ47" s="44">
        <v>2.771461</v>
      </c>
      <c r="AR47" s="44">
        <v>-5.90488</v>
      </c>
      <c r="AS47" s="44">
        <v>-1.22301</v>
      </c>
    </row>
    <row r="48">
      <c r="A48" s="44">
        <v>47.0</v>
      </c>
      <c r="B48" s="44">
        <v>109.1571</v>
      </c>
      <c r="C48" s="44">
        <v>99.0</v>
      </c>
      <c r="D48" s="44">
        <v>0.0</v>
      </c>
      <c r="E48" s="44">
        <v>0.117424</v>
      </c>
      <c r="F48" s="44">
        <v>0.008139</v>
      </c>
      <c r="G48" s="44">
        <v>1.076124</v>
      </c>
      <c r="H48" s="389"/>
      <c r="I48" s="46" t="s">
        <v>221</v>
      </c>
      <c r="J48" s="46" t="s">
        <v>379</v>
      </c>
      <c r="K48" s="46" t="s">
        <v>97</v>
      </c>
      <c r="L48" s="46" t="s">
        <v>1659</v>
      </c>
      <c r="M48" s="46" t="s">
        <v>1660</v>
      </c>
      <c r="N48" s="46" t="s">
        <v>1570</v>
      </c>
      <c r="O48" s="45"/>
      <c r="P48" s="389"/>
      <c r="Q48" s="389"/>
      <c r="R48" s="46">
        <v>3.0</v>
      </c>
      <c r="S48" s="46" t="s">
        <v>1661</v>
      </c>
      <c r="T48" s="46" t="s">
        <v>1564</v>
      </c>
      <c r="U48" s="44">
        <v>46.0</v>
      </c>
      <c r="V48" s="44">
        <v>14.0</v>
      </c>
      <c r="W48" s="389"/>
      <c r="X48" s="44">
        <v>27.0</v>
      </c>
      <c r="Y48" s="44">
        <v>14.6213</v>
      </c>
      <c r="Z48" s="44">
        <v>0.314783</v>
      </c>
      <c r="AA48" s="44">
        <v>11.1037</v>
      </c>
      <c r="AB48" s="44">
        <v>1.344348</v>
      </c>
      <c r="AC48" s="44">
        <v>0.670652</v>
      </c>
      <c r="AD48" s="44">
        <v>1.621087</v>
      </c>
      <c r="AE48" s="44">
        <v>0.620011</v>
      </c>
      <c r="AF48" s="44">
        <v>9.449348</v>
      </c>
      <c r="AG48" s="44">
        <v>0.720988</v>
      </c>
      <c r="AH48" s="44">
        <v>3.591087</v>
      </c>
      <c r="AI48" s="44">
        <v>1.567826</v>
      </c>
      <c r="AJ48" s="44">
        <v>18.95198</v>
      </c>
      <c r="AK48" s="44">
        <v>-0.42668</v>
      </c>
      <c r="AL48" s="44">
        <v>-1.38152</v>
      </c>
      <c r="AM48" s="44">
        <v>2.050332</v>
      </c>
      <c r="AN48" s="44">
        <v>-1.15547</v>
      </c>
      <c r="AO48" s="44">
        <v>-1.011</v>
      </c>
      <c r="AP48" s="44">
        <v>1.574199</v>
      </c>
      <c r="AQ48" s="44">
        <v>1.8325</v>
      </c>
      <c r="AR48" s="44">
        <v>-0.83693</v>
      </c>
      <c r="AS48" s="44">
        <v>0.411381</v>
      </c>
    </row>
    <row r="49">
      <c r="A49" s="44">
        <v>48.0</v>
      </c>
      <c r="B49" s="44">
        <v>64.84286</v>
      </c>
      <c r="C49" s="44">
        <v>100.0</v>
      </c>
      <c r="D49" s="44">
        <v>0.0</v>
      </c>
      <c r="E49" s="44">
        <v>0.10209</v>
      </c>
      <c r="F49" s="44">
        <v>0.008112</v>
      </c>
      <c r="G49" s="44">
        <v>-0.34564</v>
      </c>
      <c r="H49" s="389"/>
      <c r="I49" s="46" t="s">
        <v>126</v>
      </c>
      <c r="J49" s="46" t="s">
        <v>365</v>
      </c>
      <c r="K49" s="46" t="s">
        <v>97</v>
      </c>
      <c r="L49" s="46" t="s">
        <v>1662</v>
      </c>
      <c r="M49" s="389"/>
      <c r="N49" s="46" t="s">
        <v>1562</v>
      </c>
      <c r="O49" s="389"/>
      <c r="P49" s="389"/>
      <c r="Q49" s="45"/>
      <c r="R49" s="46">
        <v>5.0</v>
      </c>
      <c r="S49" s="46" t="s">
        <v>1663</v>
      </c>
      <c r="T49" s="46" t="s">
        <v>1564</v>
      </c>
      <c r="U49" s="44">
        <v>71.0</v>
      </c>
      <c r="V49" s="44">
        <v>13.0</v>
      </c>
      <c r="W49" s="389"/>
      <c r="X49" s="44">
        <v>32.0</v>
      </c>
      <c r="Y49" s="44">
        <v>12.3807</v>
      </c>
      <c r="Z49" s="44">
        <v>0.0</v>
      </c>
      <c r="AA49" s="44">
        <v>11.41803</v>
      </c>
      <c r="AB49" s="44">
        <v>1.518028</v>
      </c>
      <c r="AC49" s="44">
        <v>0.853662</v>
      </c>
      <c r="AD49" s="44">
        <v>1.253944</v>
      </c>
      <c r="AE49" s="44">
        <v>0.679047</v>
      </c>
      <c r="AF49" s="44">
        <v>7.326761</v>
      </c>
      <c r="AG49" s="44">
        <v>0.677012</v>
      </c>
      <c r="AH49" s="44">
        <v>3.589718</v>
      </c>
      <c r="AI49" s="44">
        <v>0.99</v>
      </c>
      <c r="AJ49" s="44">
        <v>13.42238</v>
      </c>
      <c r="AK49" s="44">
        <v>-0.82152</v>
      </c>
      <c r="AL49" s="44">
        <v>-1.68259</v>
      </c>
      <c r="AM49" s="44">
        <v>2.17932</v>
      </c>
      <c r="AN49" s="44">
        <v>-1.07167</v>
      </c>
      <c r="AO49" s="44">
        <v>-0.46745</v>
      </c>
      <c r="AP49" s="44">
        <v>0.911923</v>
      </c>
      <c r="AQ49" s="44">
        <v>2.061474</v>
      </c>
      <c r="AR49" s="44">
        <v>-1.33194</v>
      </c>
      <c r="AS49" s="44">
        <v>1.141266</v>
      </c>
    </row>
    <row r="50">
      <c r="A50" s="44">
        <v>49.0</v>
      </c>
      <c r="B50" s="44">
        <v>27.18571</v>
      </c>
      <c r="C50" s="44">
        <v>100.0</v>
      </c>
      <c r="D50" s="44">
        <v>0.0</v>
      </c>
      <c r="E50" s="44">
        <v>0.096404</v>
      </c>
      <c r="F50" s="44">
        <v>-0.06256</v>
      </c>
      <c r="G50" s="44">
        <v>0.33272</v>
      </c>
      <c r="H50" s="389"/>
      <c r="I50" s="46" t="s">
        <v>137</v>
      </c>
      <c r="J50" s="46" t="s">
        <v>332</v>
      </c>
      <c r="K50" s="46" t="s">
        <v>1572</v>
      </c>
      <c r="L50" s="46" t="s">
        <v>1664</v>
      </c>
      <c r="M50" s="46" t="s">
        <v>1665</v>
      </c>
      <c r="N50" s="46" t="s">
        <v>1570</v>
      </c>
      <c r="O50" s="389"/>
      <c r="P50" s="389"/>
      <c r="Q50" s="45"/>
      <c r="R50" s="46">
        <v>4.0</v>
      </c>
      <c r="S50" s="46" t="s">
        <v>1624</v>
      </c>
      <c r="T50" s="46" t="s">
        <v>1564</v>
      </c>
      <c r="U50" s="44">
        <v>66.0</v>
      </c>
      <c r="V50" s="44">
        <v>15.0</v>
      </c>
      <c r="W50" s="389"/>
      <c r="X50" s="44">
        <v>34.0</v>
      </c>
      <c r="Y50" s="44">
        <v>18.14167</v>
      </c>
      <c r="Z50" s="44">
        <v>1.143636</v>
      </c>
      <c r="AA50" s="44">
        <v>8.244242</v>
      </c>
      <c r="AB50" s="44">
        <v>5.836667</v>
      </c>
      <c r="AC50" s="44">
        <v>1.386212</v>
      </c>
      <c r="AD50" s="44">
        <v>1.077121</v>
      </c>
      <c r="AE50" s="44">
        <v>0.462939</v>
      </c>
      <c r="AF50" s="44">
        <v>15.17545</v>
      </c>
      <c r="AG50" s="44">
        <v>0.747014</v>
      </c>
      <c r="AH50" s="44">
        <v>3.945606</v>
      </c>
      <c r="AI50" s="44">
        <v>2.807424</v>
      </c>
      <c r="AJ50" s="44">
        <v>24.14987</v>
      </c>
      <c r="AK50" s="44">
        <v>0.193681</v>
      </c>
      <c r="AL50" s="44">
        <v>-0.58876</v>
      </c>
      <c r="AM50" s="44">
        <v>0.876933</v>
      </c>
      <c r="AN50" s="44">
        <v>1.011855</v>
      </c>
      <c r="AO50" s="44">
        <v>1.114266</v>
      </c>
      <c r="AP50" s="44">
        <v>0.59296</v>
      </c>
      <c r="AQ50" s="44">
        <v>-0.58278</v>
      </c>
      <c r="AR50" s="44">
        <v>-0.59608</v>
      </c>
      <c r="AS50" s="44">
        <v>-1.15443</v>
      </c>
    </row>
    <row r="51">
      <c r="A51" s="44">
        <v>50.0</v>
      </c>
      <c r="B51" s="44">
        <v>78.31429</v>
      </c>
      <c r="C51" s="44">
        <v>100.0</v>
      </c>
      <c r="D51" s="44">
        <v>0.0</v>
      </c>
      <c r="E51" s="44">
        <v>0.092517</v>
      </c>
      <c r="F51" s="44">
        <v>0.006942</v>
      </c>
      <c r="G51" s="44">
        <v>-0.81956</v>
      </c>
      <c r="H51" s="389"/>
      <c r="I51" s="46" t="s">
        <v>166</v>
      </c>
      <c r="J51" s="46" t="s">
        <v>324</v>
      </c>
      <c r="K51" s="46" t="s">
        <v>97</v>
      </c>
      <c r="L51" s="46" t="s">
        <v>1666</v>
      </c>
      <c r="M51" s="46" t="s">
        <v>1667</v>
      </c>
      <c r="N51" s="46" t="s">
        <v>1570</v>
      </c>
      <c r="O51" s="46" t="s">
        <v>1668</v>
      </c>
      <c r="P51" s="389"/>
      <c r="Q51" s="45"/>
      <c r="R51" s="46">
        <v>2.0</v>
      </c>
      <c r="S51" s="46" t="s">
        <v>1592</v>
      </c>
      <c r="T51" s="46" t="s">
        <v>1564</v>
      </c>
      <c r="U51" s="44">
        <v>60.0</v>
      </c>
      <c r="V51" s="44">
        <v>16.0</v>
      </c>
      <c r="W51" s="389"/>
      <c r="X51" s="44">
        <v>28.0</v>
      </c>
      <c r="Y51" s="44">
        <v>14.10433</v>
      </c>
      <c r="Z51" s="44">
        <v>0.0215</v>
      </c>
      <c r="AA51" s="44">
        <v>10.0485</v>
      </c>
      <c r="AB51" s="44">
        <v>2.714167</v>
      </c>
      <c r="AC51" s="44">
        <v>0.768333</v>
      </c>
      <c r="AD51" s="44">
        <v>1.194333</v>
      </c>
      <c r="AE51" s="44">
        <v>0.616504</v>
      </c>
      <c r="AF51" s="44">
        <v>9.355167</v>
      </c>
      <c r="AG51" s="44">
        <v>0.800996</v>
      </c>
      <c r="AH51" s="44">
        <v>3.180833</v>
      </c>
      <c r="AI51" s="44">
        <v>1.905667</v>
      </c>
      <c r="AJ51" s="44">
        <v>19.75291</v>
      </c>
      <c r="AK51" s="44">
        <v>-0.51778</v>
      </c>
      <c r="AL51" s="44">
        <v>-1.66203</v>
      </c>
      <c r="AM51" s="44">
        <v>1.617324</v>
      </c>
      <c r="AN51" s="44">
        <v>-0.4946</v>
      </c>
      <c r="AO51" s="44">
        <v>-0.72088</v>
      </c>
      <c r="AP51" s="44">
        <v>0.804395</v>
      </c>
      <c r="AQ51" s="44">
        <v>1.765846</v>
      </c>
      <c r="AR51" s="44">
        <v>0.055741</v>
      </c>
      <c r="AS51" s="44">
        <v>-0.01536</v>
      </c>
    </row>
    <row r="52">
      <c r="A52" s="44">
        <v>51.0</v>
      </c>
      <c r="B52" s="44">
        <v>51.27143</v>
      </c>
      <c r="C52" s="44">
        <v>100.0</v>
      </c>
      <c r="D52" s="44">
        <v>0.0</v>
      </c>
      <c r="E52" s="44">
        <v>0.088012</v>
      </c>
      <c r="F52" s="44">
        <v>-0.00134</v>
      </c>
      <c r="G52" s="44">
        <v>-0.94965</v>
      </c>
      <c r="H52" s="389"/>
      <c r="I52" s="46" t="s">
        <v>40</v>
      </c>
      <c r="J52" s="46" t="s">
        <v>342</v>
      </c>
      <c r="K52" s="46" t="s">
        <v>1572</v>
      </c>
      <c r="L52" s="46" t="s">
        <v>1669</v>
      </c>
      <c r="M52" s="389"/>
      <c r="N52" s="46" t="s">
        <v>1570</v>
      </c>
      <c r="O52" s="389"/>
      <c r="P52" s="389"/>
      <c r="Q52" s="389"/>
      <c r="R52" s="46">
        <v>4.0</v>
      </c>
      <c r="S52" s="46" t="s">
        <v>1670</v>
      </c>
      <c r="T52" s="46" t="s">
        <v>1564</v>
      </c>
      <c r="U52" s="44">
        <v>62.0</v>
      </c>
      <c r="V52" s="44">
        <v>16.0</v>
      </c>
      <c r="W52" s="389"/>
      <c r="X52" s="44">
        <v>34.0</v>
      </c>
      <c r="Y52" s="44">
        <v>22.05968</v>
      </c>
      <c r="Z52" s="44">
        <v>3.972581</v>
      </c>
      <c r="AA52" s="44">
        <v>4.958387</v>
      </c>
      <c r="AB52" s="44">
        <v>3.966613</v>
      </c>
      <c r="AC52" s="44">
        <v>1.058226</v>
      </c>
      <c r="AD52" s="44">
        <v>0.710323</v>
      </c>
      <c r="AE52" s="44">
        <v>0.420569</v>
      </c>
      <c r="AF52" s="44">
        <v>17.99177</v>
      </c>
      <c r="AG52" s="44">
        <v>0.864018</v>
      </c>
      <c r="AH52" s="44">
        <v>3.418387</v>
      </c>
      <c r="AI52" s="44">
        <v>2.556129</v>
      </c>
      <c r="AJ52" s="44">
        <v>27.84786</v>
      </c>
      <c r="AK52" s="44">
        <v>0.884118</v>
      </c>
      <c r="AL52" s="44">
        <v>2.116974</v>
      </c>
      <c r="AM52" s="44">
        <v>-0.47144</v>
      </c>
      <c r="AN52" s="44">
        <v>0.109647</v>
      </c>
      <c r="AO52" s="44">
        <v>0.140123</v>
      </c>
      <c r="AP52" s="44">
        <v>-0.06869</v>
      </c>
      <c r="AQ52" s="44">
        <v>-1.81845</v>
      </c>
      <c r="AR52" s="44">
        <v>0.736832</v>
      </c>
      <c r="AS52" s="44">
        <v>-0.837</v>
      </c>
    </row>
    <row r="53">
      <c r="A53" s="44">
        <v>52.0</v>
      </c>
      <c r="B53" s="44">
        <v>81.2</v>
      </c>
      <c r="C53" s="44">
        <v>100.0</v>
      </c>
      <c r="D53" s="44">
        <v>0.0</v>
      </c>
      <c r="E53" s="44">
        <v>0.08527</v>
      </c>
      <c r="F53" s="44">
        <v>0.001211</v>
      </c>
      <c r="G53" s="44">
        <v>-1.34923</v>
      </c>
      <c r="H53" s="389"/>
      <c r="I53" s="46" t="s">
        <v>43</v>
      </c>
      <c r="J53" s="46" t="s">
        <v>287</v>
      </c>
      <c r="K53" s="46" t="s">
        <v>92</v>
      </c>
      <c r="L53" s="46" t="s">
        <v>1671</v>
      </c>
      <c r="M53" s="46" t="s">
        <v>1672</v>
      </c>
      <c r="N53" s="46" t="s">
        <v>1570</v>
      </c>
      <c r="O53" s="45"/>
      <c r="P53" s="389"/>
      <c r="Q53" s="45"/>
      <c r="R53" s="46">
        <v>1.0</v>
      </c>
      <c r="S53" s="46" t="s">
        <v>1673</v>
      </c>
      <c r="T53" s="46" t="s">
        <v>1564</v>
      </c>
      <c r="U53" s="44">
        <v>51.0</v>
      </c>
      <c r="V53" s="44">
        <v>16.0</v>
      </c>
      <c r="W53" s="389"/>
      <c r="X53" s="44">
        <v>32.0</v>
      </c>
      <c r="Y53" s="44">
        <v>16.80686</v>
      </c>
      <c r="Z53" s="44">
        <v>2.480588</v>
      </c>
      <c r="AA53" s="44">
        <v>5.066667</v>
      </c>
      <c r="AB53" s="44">
        <v>3.940784</v>
      </c>
      <c r="AC53" s="44">
        <v>1.656275</v>
      </c>
      <c r="AD53" s="44">
        <v>0.535686</v>
      </c>
      <c r="AE53" s="44">
        <v>0.44829</v>
      </c>
      <c r="AF53" s="44">
        <v>13.99961</v>
      </c>
      <c r="AG53" s="44">
        <v>0.845005</v>
      </c>
      <c r="AH53" s="44">
        <v>2.1</v>
      </c>
      <c r="AI53" s="44">
        <v>2.341765</v>
      </c>
      <c r="AJ53" s="44">
        <v>23.38288</v>
      </c>
      <c r="AK53" s="44">
        <v>-0.04154</v>
      </c>
      <c r="AL53" s="44">
        <v>0.689961</v>
      </c>
      <c r="AM53" s="44">
        <v>-0.42701</v>
      </c>
      <c r="AN53" s="44">
        <v>0.097186</v>
      </c>
      <c r="AO53" s="44">
        <v>1.91637</v>
      </c>
      <c r="AP53" s="44">
        <v>-0.38371</v>
      </c>
      <c r="AQ53" s="44">
        <v>-0.84004</v>
      </c>
      <c r="AR53" s="44">
        <v>0.322448</v>
      </c>
      <c r="AS53" s="44">
        <v>-0.56622</v>
      </c>
    </row>
    <row r="54">
      <c r="A54" s="44">
        <v>53.0</v>
      </c>
      <c r="B54" s="44">
        <v>37.12857</v>
      </c>
      <c r="C54" s="44">
        <v>100.0</v>
      </c>
      <c r="D54" s="44">
        <v>0.0</v>
      </c>
      <c r="E54" s="44">
        <v>0.078697</v>
      </c>
      <c r="F54" s="44">
        <v>0.005746</v>
      </c>
      <c r="G54" s="44">
        <v>0.565034</v>
      </c>
      <c r="H54" s="389"/>
      <c r="I54" s="46" t="s">
        <v>163</v>
      </c>
      <c r="J54" s="46" t="s">
        <v>442</v>
      </c>
      <c r="K54" s="46" t="s">
        <v>1572</v>
      </c>
      <c r="L54" s="46" t="s">
        <v>1674</v>
      </c>
      <c r="M54" s="389"/>
      <c r="N54" s="46" t="s">
        <v>1562</v>
      </c>
      <c r="O54" s="45"/>
      <c r="P54" s="389"/>
      <c r="Q54" s="45"/>
      <c r="R54" s="46">
        <v>3.0</v>
      </c>
      <c r="S54" s="46" t="s">
        <v>1598</v>
      </c>
      <c r="T54" s="46" t="s">
        <v>1564</v>
      </c>
      <c r="U54" s="44">
        <v>71.0</v>
      </c>
      <c r="V54" s="44">
        <v>14.0</v>
      </c>
      <c r="W54" s="389"/>
      <c r="X54" s="44">
        <v>34.0</v>
      </c>
      <c r="Y54" s="44">
        <v>20.98282</v>
      </c>
      <c r="Z54" s="44">
        <v>1.612676</v>
      </c>
      <c r="AA54" s="44">
        <v>5.761549</v>
      </c>
      <c r="AB54" s="44">
        <v>3.817887</v>
      </c>
      <c r="AC54" s="44">
        <v>1.107465</v>
      </c>
      <c r="AD54" s="44">
        <v>0.278169</v>
      </c>
      <c r="AE54" s="44">
        <v>0.485495</v>
      </c>
      <c r="AF54" s="44">
        <v>16.79887</v>
      </c>
      <c r="AG54" s="44">
        <v>0.86701</v>
      </c>
      <c r="AH54" s="44">
        <v>3.527746</v>
      </c>
      <c r="AI54" s="44">
        <v>1.804789</v>
      </c>
      <c r="AJ54" s="44">
        <v>26.16601</v>
      </c>
      <c r="AK54" s="44">
        <v>0.694352</v>
      </c>
      <c r="AL54" s="44">
        <v>-0.14015</v>
      </c>
      <c r="AM54" s="44">
        <v>-0.14186</v>
      </c>
      <c r="AN54" s="44">
        <v>0.037894</v>
      </c>
      <c r="AO54" s="44">
        <v>0.286367</v>
      </c>
      <c r="AP54" s="44">
        <v>-0.84824</v>
      </c>
      <c r="AQ54" s="44">
        <v>-0.08608</v>
      </c>
      <c r="AR54" s="44">
        <v>0.793931</v>
      </c>
      <c r="AS54" s="44">
        <v>0.11206</v>
      </c>
    </row>
    <row r="55">
      <c r="A55" s="44">
        <v>54.0</v>
      </c>
      <c r="B55" s="44">
        <v>57.54286</v>
      </c>
      <c r="C55" s="44">
        <v>100.0</v>
      </c>
      <c r="D55" s="44">
        <v>0.0</v>
      </c>
      <c r="E55" s="44">
        <v>0.077376</v>
      </c>
      <c r="F55" s="44">
        <v>-0.00701</v>
      </c>
      <c r="G55" s="44">
        <v>-1.54438</v>
      </c>
      <c r="H55" s="389"/>
      <c r="I55" s="46" t="s">
        <v>68</v>
      </c>
      <c r="J55" s="46" t="s">
        <v>354</v>
      </c>
      <c r="K55" s="46" t="s">
        <v>1572</v>
      </c>
      <c r="L55" s="46" t="s">
        <v>1675</v>
      </c>
      <c r="M55" s="46" t="s">
        <v>1676</v>
      </c>
      <c r="N55" s="46" t="s">
        <v>1570</v>
      </c>
      <c r="O55" s="389"/>
      <c r="P55" s="389"/>
      <c r="Q55" s="389"/>
      <c r="R55" s="46">
        <v>1.0</v>
      </c>
      <c r="S55" s="46" t="s">
        <v>1677</v>
      </c>
      <c r="T55" s="46" t="s">
        <v>1564</v>
      </c>
      <c r="U55" s="44">
        <v>52.0</v>
      </c>
      <c r="V55" s="44">
        <v>15.0</v>
      </c>
      <c r="W55" s="389"/>
      <c r="X55" s="44">
        <v>31.0</v>
      </c>
      <c r="Y55" s="44">
        <v>21.68692</v>
      </c>
      <c r="Z55" s="44">
        <v>3.383462</v>
      </c>
      <c r="AA55" s="44">
        <v>5.654231</v>
      </c>
      <c r="AB55" s="44">
        <v>1.796154</v>
      </c>
      <c r="AC55" s="44">
        <v>0.729808</v>
      </c>
      <c r="AD55" s="44">
        <v>0.399808</v>
      </c>
      <c r="AE55" s="44">
        <v>0.457838</v>
      </c>
      <c r="AF55" s="44">
        <v>16.23096</v>
      </c>
      <c r="AG55" s="44">
        <v>0.886983</v>
      </c>
      <c r="AH55" s="44">
        <v>3.879615</v>
      </c>
      <c r="AI55" s="44">
        <v>1.465577</v>
      </c>
      <c r="AJ55" s="44">
        <v>26.0177</v>
      </c>
      <c r="AK55" s="44">
        <v>0.818431</v>
      </c>
      <c r="AL55" s="44">
        <v>1.553512</v>
      </c>
      <c r="AM55" s="44">
        <v>-0.1859</v>
      </c>
      <c r="AN55" s="44">
        <v>-0.93749</v>
      </c>
      <c r="AO55" s="44">
        <v>-0.8353</v>
      </c>
      <c r="AP55" s="44">
        <v>-0.62882</v>
      </c>
      <c r="AQ55" s="44">
        <v>-0.74611</v>
      </c>
      <c r="AR55" s="44">
        <v>1.117529</v>
      </c>
      <c r="AS55" s="44">
        <v>0.540538</v>
      </c>
    </row>
    <row r="56">
      <c r="A56" s="44">
        <v>55.0</v>
      </c>
      <c r="B56" s="44">
        <v>75.58571</v>
      </c>
      <c r="C56" s="44">
        <v>100.0</v>
      </c>
      <c r="D56" s="44">
        <v>0.0</v>
      </c>
      <c r="E56" s="44">
        <v>0.076618</v>
      </c>
      <c r="F56" s="44">
        <v>0.010767</v>
      </c>
      <c r="G56" s="44">
        <v>-1.08904</v>
      </c>
      <c r="H56" s="389"/>
      <c r="I56" s="46" t="s">
        <v>128</v>
      </c>
      <c r="J56" s="46" t="s">
        <v>332</v>
      </c>
      <c r="K56" s="46" t="s">
        <v>85</v>
      </c>
      <c r="L56" s="46" t="s">
        <v>1678</v>
      </c>
      <c r="M56" s="389"/>
      <c r="N56" s="46" t="s">
        <v>1562</v>
      </c>
      <c r="O56" s="45"/>
      <c r="P56" s="389"/>
      <c r="Q56" s="45"/>
      <c r="R56" s="46">
        <v>3.0</v>
      </c>
      <c r="S56" s="46" t="s">
        <v>1644</v>
      </c>
      <c r="T56" s="46" t="s">
        <v>1564</v>
      </c>
      <c r="U56" s="44">
        <v>71.0</v>
      </c>
      <c r="V56" s="44">
        <v>15.0</v>
      </c>
      <c r="W56" s="389"/>
      <c r="X56" s="44">
        <v>32.0</v>
      </c>
      <c r="Y56" s="44">
        <v>18.08887</v>
      </c>
      <c r="Z56" s="44">
        <v>2.960986</v>
      </c>
      <c r="AA56" s="44">
        <v>4.46338</v>
      </c>
      <c r="AB56" s="44">
        <v>6.248732</v>
      </c>
      <c r="AC56" s="44">
        <v>0.961268</v>
      </c>
      <c r="AD56" s="44">
        <v>0.135915</v>
      </c>
      <c r="AE56" s="44">
        <v>0.436883</v>
      </c>
      <c r="AF56" s="44">
        <v>13.73366</v>
      </c>
      <c r="AG56" s="44">
        <v>0.875986</v>
      </c>
      <c r="AH56" s="44">
        <v>3.570704</v>
      </c>
      <c r="AI56" s="44">
        <v>1.71662</v>
      </c>
      <c r="AJ56" s="44">
        <v>22.14905</v>
      </c>
      <c r="AK56" s="44">
        <v>0.184378</v>
      </c>
      <c r="AL56" s="44">
        <v>1.149436</v>
      </c>
      <c r="AM56" s="44">
        <v>-0.67457</v>
      </c>
      <c r="AN56" s="44">
        <v>1.210656</v>
      </c>
      <c r="AO56" s="44">
        <v>-0.14785</v>
      </c>
      <c r="AP56" s="44">
        <v>-1.10485</v>
      </c>
      <c r="AQ56" s="44">
        <v>-1.05539</v>
      </c>
      <c r="AR56" s="44">
        <v>0.904321</v>
      </c>
      <c r="AS56" s="44">
        <v>0.223432</v>
      </c>
    </row>
    <row r="57">
      <c r="A57" s="44">
        <v>56.0</v>
      </c>
      <c r="B57" s="44">
        <v>83.8</v>
      </c>
      <c r="C57" s="44">
        <v>100.0</v>
      </c>
      <c r="D57" s="44">
        <v>0.0</v>
      </c>
      <c r="E57" s="44">
        <v>0.070073</v>
      </c>
      <c r="F57" s="44">
        <v>0.093924</v>
      </c>
      <c r="G57" s="44">
        <v>1.373486</v>
      </c>
      <c r="H57" s="389"/>
      <c r="I57" s="46" t="s">
        <v>96</v>
      </c>
      <c r="J57" s="46" t="s">
        <v>449</v>
      </c>
      <c r="K57" s="46" t="s">
        <v>1572</v>
      </c>
      <c r="L57" s="46" t="s">
        <v>1679</v>
      </c>
      <c r="M57" s="389"/>
      <c r="N57" s="46" t="s">
        <v>1562</v>
      </c>
      <c r="O57" s="45"/>
      <c r="P57" s="389"/>
      <c r="Q57" s="45"/>
      <c r="R57" s="46">
        <v>4.0</v>
      </c>
      <c r="S57" s="46" t="s">
        <v>1677</v>
      </c>
      <c r="T57" s="46" t="s">
        <v>1564</v>
      </c>
      <c r="U57" s="44">
        <v>71.0</v>
      </c>
      <c r="V57" s="44">
        <v>13.0</v>
      </c>
      <c r="W57" s="389"/>
      <c r="X57" s="44">
        <v>32.0</v>
      </c>
      <c r="Y57" s="44">
        <v>17.15324</v>
      </c>
      <c r="Z57" s="44">
        <v>2.27507</v>
      </c>
      <c r="AA57" s="44">
        <v>6.16</v>
      </c>
      <c r="AB57" s="44">
        <v>2.45</v>
      </c>
      <c r="AC57" s="44">
        <v>0.84</v>
      </c>
      <c r="AD57" s="44">
        <v>1.54</v>
      </c>
      <c r="AE57" s="44">
        <v>0.475335</v>
      </c>
      <c r="AF57" s="44">
        <v>12.87958</v>
      </c>
      <c r="AG57" s="44">
        <v>0.817995</v>
      </c>
      <c r="AH57" s="44">
        <v>3.22</v>
      </c>
      <c r="AI57" s="44">
        <v>2.03</v>
      </c>
      <c r="AJ57" s="44">
        <v>21.06643</v>
      </c>
      <c r="AK57" s="44">
        <v>0.019499</v>
      </c>
      <c r="AL57" s="44">
        <v>0.493394</v>
      </c>
      <c r="AM57" s="44">
        <v>0.021649</v>
      </c>
      <c r="AN57" s="44">
        <v>-0.62204</v>
      </c>
      <c r="AO57" s="44">
        <v>-0.50802</v>
      </c>
      <c r="AP57" s="44">
        <v>1.42793</v>
      </c>
      <c r="AQ57" s="44">
        <v>-0.25767</v>
      </c>
      <c r="AR57" s="44">
        <v>0.228337</v>
      </c>
      <c r="AS57" s="44">
        <v>-0.17242</v>
      </c>
    </row>
    <row r="58">
      <c r="A58" s="44">
        <v>57.0</v>
      </c>
      <c r="B58" s="44">
        <v>44.7</v>
      </c>
      <c r="C58" s="44">
        <v>100.0</v>
      </c>
      <c r="D58" s="44">
        <v>0.0</v>
      </c>
      <c r="E58" s="44">
        <v>0.066646</v>
      </c>
      <c r="F58" s="44">
        <v>0.006636</v>
      </c>
      <c r="G58" s="44">
        <v>-1.66518</v>
      </c>
      <c r="H58" s="389"/>
      <c r="I58" s="46" t="s">
        <v>164</v>
      </c>
      <c r="J58" s="46" t="s">
        <v>1639</v>
      </c>
      <c r="K58" s="46" t="s">
        <v>1572</v>
      </c>
      <c r="L58" s="46" t="s">
        <v>1680</v>
      </c>
      <c r="M58" s="389"/>
      <c r="N58" s="46" t="s">
        <v>1570</v>
      </c>
      <c r="O58" s="389"/>
      <c r="P58" s="389"/>
      <c r="Q58" s="389"/>
      <c r="R58" s="46">
        <v>2.0</v>
      </c>
      <c r="S58" s="46" t="s">
        <v>1603</v>
      </c>
      <c r="T58" s="46" t="s">
        <v>1564</v>
      </c>
      <c r="U58" s="44">
        <v>57.0</v>
      </c>
      <c r="V58" s="44">
        <v>15.0</v>
      </c>
      <c r="W58" s="389"/>
      <c r="X58" s="44">
        <v>32.0</v>
      </c>
      <c r="Y58" s="44">
        <v>27.48404</v>
      </c>
      <c r="Z58" s="44">
        <v>0.157193</v>
      </c>
      <c r="AA58" s="44">
        <v>7.07</v>
      </c>
      <c r="AB58" s="44">
        <v>5.992632</v>
      </c>
      <c r="AC58" s="44">
        <v>1.21193</v>
      </c>
      <c r="AD58" s="44">
        <v>0.875263</v>
      </c>
      <c r="AE58" s="44">
        <v>0.578733</v>
      </c>
      <c r="AF58" s="44">
        <v>18.85333</v>
      </c>
      <c r="AG58" s="44">
        <v>0.679009</v>
      </c>
      <c r="AH58" s="44">
        <v>8.107018</v>
      </c>
      <c r="AI58" s="44">
        <v>3.139474</v>
      </c>
      <c r="AJ58" s="44">
        <v>33.65477</v>
      </c>
      <c r="AK58" s="44">
        <v>1.840005</v>
      </c>
      <c r="AL58" s="44">
        <v>-1.53225</v>
      </c>
      <c r="AM58" s="44">
        <v>0.395074</v>
      </c>
      <c r="AN58" s="44">
        <v>1.0871</v>
      </c>
      <c r="AO58" s="44">
        <v>0.596635</v>
      </c>
      <c r="AP58" s="44">
        <v>0.228836</v>
      </c>
      <c r="AQ58" s="44">
        <v>2.499462</v>
      </c>
      <c r="AR58" s="44">
        <v>-2.9412</v>
      </c>
      <c r="AS58" s="44">
        <v>-1.57386</v>
      </c>
    </row>
    <row r="59">
      <c r="A59" s="44">
        <v>58.0</v>
      </c>
      <c r="B59" s="44">
        <v>87.85714</v>
      </c>
      <c r="C59" s="44">
        <v>100.0</v>
      </c>
      <c r="D59" s="44">
        <v>0.0</v>
      </c>
      <c r="E59" s="44">
        <v>0.061101</v>
      </c>
      <c r="F59" s="44">
        <v>-0.03913</v>
      </c>
      <c r="G59" s="44">
        <v>0.983199</v>
      </c>
      <c r="H59" s="389"/>
      <c r="I59" s="46" t="s">
        <v>167</v>
      </c>
      <c r="J59" s="46" t="s">
        <v>299</v>
      </c>
      <c r="K59" s="46" t="s">
        <v>97</v>
      </c>
      <c r="L59" s="46" t="s">
        <v>1681</v>
      </c>
      <c r="M59" s="389"/>
      <c r="N59" s="46" t="s">
        <v>1562</v>
      </c>
      <c r="O59" s="389"/>
      <c r="P59" s="389"/>
      <c r="Q59" s="45"/>
      <c r="R59" s="46">
        <v>1.0</v>
      </c>
      <c r="S59" s="46" t="s">
        <v>1661</v>
      </c>
      <c r="T59" s="46" t="s">
        <v>1630</v>
      </c>
      <c r="U59" s="44">
        <v>71.0</v>
      </c>
      <c r="V59" s="44">
        <v>13.0</v>
      </c>
      <c r="W59" s="389"/>
      <c r="X59" s="44">
        <v>29.0</v>
      </c>
      <c r="Y59" s="44">
        <v>13.62479</v>
      </c>
      <c r="Z59" s="44">
        <v>0.885634</v>
      </c>
      <c r="AA59" s="44">
        <v>8.356901</v>
      </c>
      <c r="AB59" s="44">
        <v>2.136338</v>
      </c>
      <c r="AC59" s="44">
        <v>0.937324</v>
      </c>
      <c r="AD59" s="44">
        <v>0.816901</v>
      </c>
      <c r="AE59" s="44">
        <v>0.564512</v>
      </c>
      <c r="AF59" s="44">
        <v>9.42507</v>
      </c>
      <c r="AG59" s="44">
        <v>0.795005</v>
      </c>
      <c r="AH59" s="44">
        <v>2.639014</v>
      </c>
      <c r="AI59" s="44">
        <v>1.193803</v>
      </c>
      <c r="AJ59" s="44">
        <v>16.83118</v>
      </c>
      <c r="AK59" s="44">
        <v>-0.60229</v>
      </c>
      <c r="AL59" s="44">
        <v>-0.83553</v>
      </c>
      <c r="AM59" s="44">
        <v>0.923164</v>
      </c>
      <c r="AN59" s="44">
        <v>-0.77337</v>
      </c>
      <c r="AO59" s="44">
        <v>-0.21896</v>
      </c>
      <c r="AP59" s="44">
        <v>0.123559</v>
      </c>
      <c r="AQ59" s="44">
        <v>1.055044</v>
      </c>
      <c r="AR59" s="44">
        <v>-0.00554</v>
      </c>
      <c r="AS59" s="44">
        <v>0.883831</v>
      </c>
    </row>
    <row r="60">
      <c r="A60" s="44">
        <v>59.0</v>
      </c>
      <c r="B60" s="44">
        <v>66.6</v>
      </c>
      <c r="C60" s="44">
        <v>100.0</v>
      </c>
      <c r="D60" s="44">
        <v>0.0</v>
      </c>
      <c r="E60" s="44">
        <v>0.06107</v>
      </c>
      <c r="F60" s="44">
        <v>0.016</v>
      </c>
      <c r="G60" s="44">
        <v>-3.06835</v>
      </c>
      <c r="H60" s="389"/>
      <c r="I60" s="46" t="s">
        <v>69</v>
      </c>
      <c r="J60" s="46" t="s">
        <v>283</v>
      </c>
      <c r="K60" s="46" t="s">
        <v>97</v>
      </c>
      <c r="L60" s="46" t="s">
        <v>1682</v>
      </c>
      <c r="M60" s="389"/>
      <c r="N60" s="46" t="s">
        <v>1570</v>
      </c>
      <c r="O60" s="46" t="s">
        <v>1683</v>
      </c>
      <c r="P60" s="389"/>
      <c r="Q60" s="45"/>
      <c r="R60" s="46">
        <v>4.0</v>
      </c>
      <c r="S60" s="46" t="s">
        <v>1592</v>
      </c>
      <c r="T60" s="46" t="s">
        <v>1564</v>
      </c>
      <c r="U60" s="44">
        <v>66.0</v>
      </c>
      <c r="V60" s="44">
        <v>14.0</v>
      </c>
      <c r="W60" s="389"/>
      <c r="X60" s="44">
        <v>32.0</v>
      </c>
      <c r="Y60" s="44">
        <v>15.27879</v>
      </c>
      <c r="Z60" s="44">
        <v>0.095152</v>
      </c>
      <c r="AA60" s="44">
        <v>10.64939</v>
      </c>
      <c r="AB60" s="44">
        <v>1.56803</v>
      </c>
      <c r="AC60" s="44">
        <v>0.856818</v>
      </c>
      <c r="AD60" s="44">
        <v>0.974242</v>
      </c>
      <c r="AE60" s="44">
        <v>0.578868</v>
      </c>
      <c r="AF60" s="44">
        <v>11.89076</v>
      </c>
      <c r="AG60" s="44">
        <v>0.744982</v>
      </c>
      <c r="AH60" s="44">
        <v>1.902424</v>
      </c>
      <c r="AI60" s="44">
        <v>1.56803</v>
      </c>
      <c r="AJ60" s="44">
        <v>19.83168</v>
      </c>
      <c r="AK60" s="44">
        <v>-0.31082</v>
      </c>
      <c r="AL60" s="44">
        <v>-1.59158</v>
      </c>
      <c r="AM60" s="44">
        <v>1.863906</v>
      </c>
      <c r="AN60" s="44">
        <v>-1.04755</v>
      </c>
      <c r="AO60" s="44">
        <v>-0.45807</v>
      </c>
      <c r="AP60" s="44">
        <v>0.407381</v>
      </c>
      <c r="AQ60" s="44">
        <v>1.581393</v>
      </c>
      <c r="AR60" s="44">
        <v>-0.30615</v>
      </c>
      <c r="AS60" s="44">
        <v>0.411123</v>
      </c>
    </row>
    <row r="61">
      <c r="A61" s="44">
        <v>60.0</v>
      </c>
      <c r="B61" s="44">
        <v>57.84286</v>
      </c>
      <c r="C61" s="44">
        <v>100.0</v>
      </c>
      <c r="D61" s="44">
        <v>0.0</v>
      </c>
      <c r="E61" s="44">
        <v>0.053116</v>
      </c>
      <c r="F61" s="44">
        <v>0.012183</v>
      </c>
      <c r="G61" s="44">
        <v>0.602204</v>
      </c>
      <c r="H61" s="389"/>
      <c r="I61" s="46" t="s">
        <v>152</v>
      </c>
      <c r="J61" s="46" t="s">
        <v>449</v>
      </c>
      <c r="K61" s="46" t="s">
        <v>1568</v>
      </c>
      <c r="L61" s="46" t="s">
        <v>1684</v>
      </c>
      <c r="M61" s="46" t="s">
        <v>1685</v>
      </c>
      <c r="N61" s="46" t="s">
        <v>1562</v>
      </c>
      <c r="O61" s="46" t="s">
        <v>1648</v>
      </c>
      <c r="P61" s="389"/>
      <c r="Q61" s="389"/>
      <c r="R61" s="46">
        <v>4.0</v>
      </c>
      <c r="S61" s="46" t="s">
        <v>1629</v>
      </c>
      <c r="T61" s="46" t="s">
        <v>1564</v>
      </c>
      <c r="U61" s="44">
        <v>71.0</v>
      </c>
      <c r="V61" s="44">
        <v>13.0</v>
      </c>
      <c r="W61" s="389"/>
      <c r="X61" s="44">
        <v>33.0</v>
      </c>
      <c r="Y61" s="44">
        <v>22.69592</v>
      </c>
      <c r="Z61" s="44">
        <v>2.850986</v>
      </c>
      <c r="AA61" s="44">
        <v>4.331268</v>
      </c>
      <c r="AB61" s="44">
        <v>4.297465</v>
      </c>
      <c r="AC61" s="44">
        <v>0.86338</v>
      </c>
      <c r="AD61" s="44">
        <v>0.217042</v>
      </c>
      <c r="AE61" s="44">
        <v>0.463319</v>
      </c>
      <c r="AF61" s="44">
        <v>15.73704</v>
      </c>
      <c r="AG61" s="44">
        <v>0.879999</v>
      </c>
      <c r="AH61" s="44">
        <v>5.98</v>
      </c>
      <c r="AI61" s="44">
        <v>2.454366</v>
      </c>
      <c r="AJ61" s="44">
        <v>26.05387</v>
      </c>
      <c r="AK61" s="44">
        <v>0.996237</v>
      </c>
      <c r="AL61" s="44">
        <v>1.044227</v>
      </c>
      <c r="AM61" s="44">
        <v>-0.72879</v>
      </c>
      <c r="AN61" s="44">
        <v>0.269266</v>
      </c>
      <c r="AO61" s="44">
        <v>-0.43858</v>
      </c>
      <c r="AP61" s="44">
        <v>-0.9585</v>
      </c>
      <c r="AQ61" s="44">
        <v>-0.59577</v>
      </c>
      <c r="AR61" s="44">
        <v>1.598411</v>
      </c>
      <c r="AS61" s="44">
        <v>-0.70846</v>
      </c>
    </row>
    <row r="62">
      <c r="A62" s="44">
        <v>61.0</v>
      </c>
      <c r="B62" s="44">
        <v>44.47143</v>
      </c>
      <c r="C62" s="44">
        <v>100.0</v>
      </c>
      <c r="D62" s="44">
        <v>0.0</v>
      </c>
      <c r="E62" s="44">
        <v>0.046381</v>
      </c>
      <c r="F62" s="44">
        <v>-0.04007</v>
      </c>
      <c r="G62" s="44">
        <v>-1.86032</v>
      </c>
      <c r="H62" s="389"/>
      <c r="I62" s="46" t="s">
        <v>177</v>
      </c>
      <c r="J62" s="46" t="s">
        <v>379</v>
      </c>
      <c r="K62" s="46" t="s">
        <v>85</v>
      </c>
      <c r="L62" s="46" t="s">
        <v>1686</v>
      </c>
      <c r="M62" s="46" t="s">
        <v>1687</v>
      </c>
      <c r="N62" s="46" t="s">
        <v>1570</v>
      </c>
      <c r="O62" s="389"/>
      <c r="P62" s="389"/>
      <c r="Q62" s="389"/>
      <c r="R62" s="46">
        <v>2.0</v>
      </c>
      <c r="S62" s="46" t="s">
        <v>1619</v>
      </c>
      <c r="T62" s="46" t="s">
        <v>1564</v>
      </c>
      <c r="U62" s="44">
        <v>58.0</v>
      </c>
      <c r="V62" s="44">
        <v>14.0</v>
      </c>
      <c r="W62" s="389"/>
      <c r="X62" s="44">
        <v>32.0</v>
      </c>
      <c r="Y62" s="44">
        <v>26.55138</v>
      </c>
      <c r="Z62" s="44">
        <v>2.078793</v>
      </c>
      <c r="AA62" s="44">
        <v>5.04</v>
      </c>
      <c r="AB62" s="44">
        <v>7.63</v>
      </c>
      <c r="AC62" s="44">
        <v>1.12</v>
      </c>
      <c r="AD62" s="44">
        <v>0.278621</v>
      </c>
      <c r="AE62" s="44">
        <v>0.4693</v>
      </c>
      <c r="AF62" s="44">
        <v>20.29948</v>
      </c>
      <c r="AG62" s="44">
        <v>0.809003</v>
      </c>
      <c r="AH62" s="44">
        <v>6.698966</v>
      </c>
      <c r="AI62" s="44">
        <v>3.625517</v>
      </c>
      <c r="AJ62" s="44">
        <v>34.11154</v>
      </c>
      <c r="AK62" s="44">
        <v>1.675651</v>
      </c>
      <c r="AL62" s="44">
        <v>0.305665</v>
      </c>
      <c r="AM62" s="44">
        <v>-0.43795</v>
      </c>
      <c r="AN62" s="44">
        <v>1.877049</v>
      </c>
      <c r="AO62" s="44">
        <v>0.323597</v>
      </c>
      <c r="AP62" s="44">
        <v>-0.84742</v>
      </c>
      <c r="AQ62" s="44">
        <v>-0.59117</v>
      </c>
      <c r="AR62" s="44">
        <v>0.299823</v>
      </c>
      <c r="AS62" s="44">
        <v>-2.18781</v>
      </c>
    </row>
    <row r="63">
      <c r="A63" s="44">
        <v>62.0</v>
      </c>
      <c r="B63" s="44">
        <v>43.57143</v>
      </c>
      <c r="C63" s="44">
        <v>100.0</v>
      </c>
      <c r="D63" s="44">
        <v>0.0</v>
      </c>
      <c r="E63" s="44">
        <v>0.043473</v>
      </c>
      <c r="F63" s="44">
        <v>0.007535</v>
      </c>
      <c r="G63" s="44">
        <v>0.035358</v>
      </c>
      <c r="H63" s="389"/>
      <c r="I63" s="46" t="s">
        <v>191</v>
      </c>
      <c r="J63" s="46" t="s">
        <v>442</v>
      </c>
      <c r="K63" s="46" t="s">
        <v>1593</v>
      </c>
      <c r="L63" s="46" t="s">
        <v>1688</v>
      </c>
      <c r="M63" s="389"/>
      <c r="N63" s="46" t="s">
        <v>1570</v>
      </c>
      <c r="O63" s="46" t="s">
        <v>1689</v>
      </c>
      <c r="P63" s="389"/>
      <c r="Q63" s="389"/>
      <c r="R63" s="46">
        <v>4.0</v>
      </c>
      <c r="S63" s="46" t="s">
        <v>1629</v>
      </c>
      <c r="T63" s="46" t="s">
        <v>1564</v>
      </c>
      <c r="U63" s="44">
        <v>66.0</v>
      </c>
      <c r="V63" s="44">
        <v>14.0</v>
      </c>
      <c r="W63" s="389"/>
      <c r="X63" s="44">
        <v>34.0</v>
      </c>
      <c r="Y63" s="44">
        <v>18.22682</v>
      </c>
      <c r="Z63" s="44">
        <v>2.504848</v>
      </c>
      <c r="AA63" s="44">
        <v>4.512121</v>
      </c>
      <c r="AB63" s="44">
        <v>4.165</v>
      </c>
      <c r="AC63" s="44">
        <v>1.043333</v>
      </c>
      <c r="AD63" s="44">
        <v>0.346667</v>
      </c>
      <c r="AE63" s="44">
        <v>0.485111</v>
      </c>
      <c r="AF63" s="44">
        <v>14.02273</v>
      </c>
      <c r="AG63" s="44">
        <v>0.888006</v>
      </c>
      <c r="AH63" s="44">
        <v>2.383788</v>
      </c>
      <c r="AI63" s="44">
        <v>1.943636</v>
      </c>
      <c r="AJ63" s="44">
        <v>22.08888</v>
      </c>
      <c r="AK63" s="44">
        <v>0.208687</v>
      </c>
      <c r="AL63" s="44">
        <v>0.713164</v>
      </c>
      <c r="AM63" s="44">
        <v>-0.65457</v>
      </c>
      <c r="AN63" s="44">
        <v>0.205359</v>
      </c>
      <c r="AO63" s="44">
        <v>0.095892</v>
      </c>
      <c r="AP63" s="44">
        <v>-0.72468</v>
      </c>
      <c r="AQ63" s="44">
        <v>-0.07865</v>
      </c>
      <c r="AR63" s="44">
        <v>0.689383</v>
      </c>
      <c r="AS63" s="44">
        <v>-0.06333</v>
      </c>
    </row>
    <row r="64">
      <c r="A64" s="44">
        <v>63.0</v>
      </c>
      <c r="B64" s="44">
        <v>114.4714</v>
      </c>
      <c r="C64" s="44">
        <v>100.0</v>
      </c>
      <c r="D64" s="44">
        <v>0.0</v>
      </c>
      <c r="E64" s="44">
        <v>0.019432</v>
      </c>
      <c r="F64" s="44">
        <v>-0.0438</v>
      </c>
      <c r="G64" s="44">
        <v>-0.10403</v>
      </c>
      <c r="H64" s="389"/>
      <c r="I64" s="46" t="s">
        <v>154</v>
      </c>
      <c r="J64" s="46" t="s">
        <v>386</v>
      </c>
      <c r="K64" s="46" t="s">
        <v>1572</v>
      </c>
      <c r="L64" s="46" t="s">
        <v>1690</v>
      </c>
      <c r="M64" s="389"/>
      <c r="N64" s="46" t="s">
        <v>1570</v>
      </c>
      <c r="O64" s="46" t="s">
        <v>1595</v>
      </c>
      <c r="P64" s="389"/>
      <c r="Q64" s="389"/>
      <c r="R64" s="46">
        <v>4.0</v>
      </c>
      <c r="S64" s="46" t="s">
        <v>1650</v>
      </c>
      <c r="T64" s="46" t="s">
        <v>1645</v>
      </c>
      <c r="U64" s="44">
        <v>62.0</v>
      </c>
      <c r="V64" s="44">
        <v>14.0</v>
      </c>
      <c r="W64" s="389"/>
      <c r="X64" s="44">
        <v>26.0</v>
      </c>
      <c r="Y64" s="44">
        <v>13.00581</v>
      </c>
      <c r="Z64" s="44">
        <v>1.194839</v>
      </c>
      <c r="AA64" s="44">
        <v>6.783871</v>
      </c>
      <c r="AB64" s="44">
        <v>1.517903</v>
      </c>
      <c r="AC64" s="44">
        <v>1.477097</v>
      </c>
      <c r="AD64" s="44">
        <v>0.822581</v>
      </c>
      <c r="AE64" s="44">
        <v>0.493386</v>
      </c>
      <c r="AF64" s="44">
        <v>10.66855</v>
      </c>
      <c r="AG64" s="44">
        <v>0.751961</v>
      </c>
      <c r="AH64" s="44">
        <v>1.706935</v>
      </c>
      <c r="AI64" s="44">
        <v>1.205968</v>
      </c>
      <c r="AJ64" s="44">
        <v>19.86587</v>
      </c>
      <c r="AK64" s="44">
        <v>-0.71137</v>
      </c>
      <c r="AL64" s="44">
        <v>-0.53979</v>
      </c>
      <c r="AM64" s="44">
        <v>0.277659</v>
      </c>
      <c r="AN64" s="44">
        <v>-1.07173</v>
      </c>
      <c r="AO64" s="44">
        <v>1.3842</v>
      </c>
      <c r="AP64" s="44">
        <v>0.133804</v>
      </c>
      <c r="AQ64" s="44">
        <v>0.072282</v>
      </c>
      <c r="AR64" s="44">
        <v>-0.23863</v>
      </c>
      <c r="AS64" s="44">
        <v>0.868465</v>
      </c>
    </row>
    <row r="65">
      <c r="A65" s="44">
        <v>64.0</v>
      </c>
      <c r="B65" s="44">
        <v>79.27143</v>
      </c>
      <c r="C65" s="44">
        <v>100.0</v>
      </c>
      <c r="D65" s="44">
        <v>0.0</v>
      </c>
      <c r="E65" s="44">
        <v>0.015479</v>
      </c>
      <c r="F65" s="44">
        <v>0.00556</v>
      </c>
      <c r="G65" s="44">
        <v>-0.1412</v>
      </c>
      <c r="H65" s="389"/>
      <c r="I65" s="46" t="s">
        <v>70</v>
      </c>
      <c r="J65" s="46" t="s">
        <v>273</v>
      </c>
      <c r="K65" s="46" t="s">
        <v>97</v>
      </c>
      <c r="L65" s="46" t="s">
        <v>1691</v>
      </c>
      <c r="M65" s="389"/>
      <c r="N65" s="46" t="s">
        <v>1570</v>
      </c>
      <c r="O65" s="45"/>
      <c r="P65" s="389"/>
      <c r="Q65" s="389"/>
      <c r="R65" s="46">
        <v>4.0</v>
      </c>
      <c r="S65" s="46" t="s">
        <v>1661</v>
      </c>
      <c r="T65" s="46" t="s">
        <v>1645</v>
      </c>
      <c r="U65" s="44">
        <v>66.0</v>
      </c>
      <c r="V65" s="44">
        <v>13.0</v>
      </c>
      <c r="W65" s="389"/>
      <c r="X65" s="44">
        <v>27.0</v>
      </c>
      <c r="Y65" s="44">
        <v>10.70409</v>
      </c>
      <c r="Z65" s="44">
        <v>0.062879</v>
      </c>
      <c r="AA65" s="44">
        <v>9.466818</v>
      </c>
      <c r="AB65" s="44">
        <v>3.442424</v>
      </c>
      <c r="AC65" s="44">
        <v>0.911667</v>
      </c>
      <c r="AD65" s="44">
        <v>1.095</v>
      </c>
      <c r="AE65" s="44">
        <v>0.59934</v>
      </c>
      <c r="AF65" s="44">
        <v>8.031818</v>
      </c>
      <c r="AG65" s="44">
        <v>0.701037</v>
      </c>
      <c r="AH65" s="44">
        <v>1.445909</v>
      </c>
      <c r="AI65" s="44">
        <v>1.549091</v>
      </c>
      <c r="AJ65" s="44">
        <v>16.19703</v>
      </c>
      <c r="AK65" s="44">
        <v>-1.11698</v>
      </c>
      <c r="AL65" s="44">
        <v>-1.62245</v>
      </c>
      <c r="AM65" s="44">
        <v>1.378627</v>
      </c>
      <c r="AN65" s="44">
        <v>-0.14325</v>
      </c>
      <c r="AO65" s="44">
        <v>-0.29517</v>
      </c>
      <c r="AP65" s="44">
        <v>0.625211</v>
      </c>
      <c r="AQ65" s="44">
        <v>1.31339</v>
      </c>
      <c r="AR65" s="44">
        <v>-0.43512</v>
      </c>
      <c r="AS65" s="44">
        <v>0.435047</v>
      </c>
    </row>
    <row r="66">
      <c r="A66" s="44">
        <v>65.0</v>
      </c>
      <c r="B66" s="44">
        <v>23.38571</v>
      </c>
      <c r="C66" s="44">
        <v>100.0</v>
      </c>
      <c r="D66" s="44">
        <v>0.0</v>
      </c>
      <c r="E66" s="44">
        <v>0.013722</v>
      </c>
      <c r="F66" s="44">
        <v>-8.7E-4</v>
      </c>
      <c r="G66" s="44">
        <v>0.230502</v>
      </c>
      <c r="H66" s="389"/>
      <c r="I66" s="46" t="s">
        <v>52</v>
      </c>
      <c r="J66" s="46" t="s">
        <v>1608</v>
      </c>
      <c r="K66" s="46" t="s">
        <v>85</v>
      </c>
      <c r="L66" s="46" t="s">
        <v>1692</v>
      </c>
      <c r="M66" s="389"/>
      <c r="N66" s="46" t="s">
        <v>1570</v>
      </c>
      <c r="O66" s="389"/>
      <c r="P66" s="389"/>
      <c r="Q66" s="389"/>
      <c r="R66" s="46">
        <v>5.0</v>
      </c>
      <c r="S66" s="46" t="s">
        <v>1693</v>
      </c>
      <c r="T66" s="46" t="s">
        <v>1564</v>
      </c>
      <c r="U66" s="44">
        <v>66.0</v>
      </c>
      <c r="V66" s="44">
        <v>14.0</v>
      </c>
      <c r="W66" s="389"/>
      <c r="X66" s="44">
        <v>35.0</v>
      </c>
      <c r="Y66" s="44">
        <v>24.84924</v>
      </c>
      <c r="Z66" s="44">
        <v>2.247727</v>
      </c>
      <c r="AA66" s="44">
        <v>2.815303</v>
      </c>
      <c r="AB66" s="44">
        <v>6.713485</v>
      </c>
      <c r="AC66" s="44">
        <v>0.933636</v>
      </c>
      <c r="AD66" s="44">
        <v>0.144848</v>
      </c>
      <c r="AE66" s="44">
        <v>0.482767</v>
      </c>
      <c r="AF66" s="44">
        <v>17.83091</v>
      </c>
      <c r="AG66" s="44">
        <v>0.822998</v>
      </c>
      <c r="AH66" s="44">
        <v>6.543333</v>
      </c>
      <c r="AI66" s="44">
        <v>2.606818</v>
      </c>
      <c r="AJ66" s="44">
        <v>28.90791</v>
      </c>
      <c r="AK66" s="44">
        <v>1.375699</v>
      </c>
      <c r="AL66" s="44">
        <v>0.467241</v>
      </c>
      <c r="AM66" s="44">
        <v>-1.35087</v>
      </c>
      <c r="AN66" s="44">
        <v>1.434876</v>
      </c>
      <c r="AO66" s="44">
        <v>-0.22992</v>
      </c>
      <c r="AP66" s="44">
        <v>-1.08873</v>
      </c>
      <c r="AQ66" s="44">
        <v>-0.16366</v>
      </c>
      <c r="AR66" s="44">
        <v>0.579899</v>
      </c>
      <c r="AS66" s="44">
        <v>-0.90103</v>
      </c>
    </row>
    <row r="67">
      <c r="A67" s="44">
        <v>66.0</v>
      </c>
      <c r="B67" s="44">
        <v>55.22857</v>
      </c>
      <c r="C67" s="44">
        <v>100.0</v>
      </c>
      <c r="D67" s="44">
        <v>0.0</v>
      </c>
      <c r="E67" s="44">
        <v>7.01E-4</v>
      </c>
      <c r="F67" s="44">
        <v>0.007436</v>
      </c>
      <c r="G67" s="44">
        <v>1.16905</v>
      </c>
      <c r="H67" s="389"/>
      <c r="I67" s="46" t="s">
        <v>192</v>
      </c>
      <c r="J67" s="46" t="s">
        <v>317</v>
      </c>
      <c r="K67" s="46" t="s">
        <v>97</v>
      </c>
      <c r="L67" s="46" t="s">
        <v>1694</v>
      </c>
      <c r="M67" s="389"/>
      <c r="N67" s="46" t="s">
        <v>1612</v>
      </c>
      <c r="O67" s="389"/>
      <c r="P67" s="389"/>
      <c r="Q67" s="45"/>
      <c r="R67" s="46">
        <v>5.0</v>
      </c>
      <c r="S67" s="46" t="s">
        <v>1663</v>
      </c>
      <c r="T67" s="46" t="s">
        <v>1564</v>
      </c>
      <c r="U67" s="44">
        <v>75.0</v>
      </c>
      <c r="V67" s="44">
        <v>14.0</v>
      </c>
      <c r="W67" s="389"/>
      <c r="X67" s="44">
        <v>28.0</v>
      </c>
      <c r="Y67" s="44">
        <v>13.51373</v>
      </c>
      <c r="Z67" s="44">
        <v>0.0</v>
      </c>
      <c r="AA67" s="44">
        <v>9.249867</v>
      </c>
      <c r="AB67" s="44">
        <v>1.9416</v>
      </c>
      <c r="AC67" s="44">
        <v>0.8248</v>
      </c>
      <c r="AD67" s="44">
        <v>0.825067</v>
      </c>
      <c r="AE67" s="44">
        <v>0.683117</v>
      </c>
      <c r="AF67" s="44">
        <v>8.188933</v>
      </c>
      <c r="AG67" s="44">
        <v>0.709989</v>
      </c>
      <c r="AH67" s="44">
        <v>3.275733</v>
      </c>
      <c r="AI67" s="44">
        <v>1.2376</v>
      </c>
      <c r="AJ67" s="44">
        <v>16.58786</v>
      </c>
      <c r="AK67" s="44">
        <v>-0.62186</v>
      </c>
      <c r="AL67" s="44">
        <v>-1.68259</v>
      </c>
      <c r="AM67" s="44">
        <v>1.289599</v>
      </c>
      <c r="AN67" s="44">
        <v>-0.86732</v>
      </c>
      <c r="AO67" s="44">
        <v>-0.55317</v>
      </c>
      <c r="AP67" s="44">
        <v>0.138288</v>
      </c>
      <c r="AQ67" s="44">
        <v>2.352467</v>
      </c>
      <c r="AR67" s="44">
        <v>-0.87761</v>
      </c>
      <c r="AS67" s="44">
        <v>0.828509</v>
      </c>
    </row>
    <row r="68">
      <c r="A68" s="44">
        <v>67.0</v>
      </c>
      <c r="B68" s="44">
        <v>38.71429</v>
      </c>
      <c r="C68" s="44">
        <v>100.0</v>
      </c>
      <c r="D68" s="44">
        <v>0.0</v>
      </c>
      <c r="E68" s="44">
        <v>-0.00711</v>
      </c>
      <c r="F68" s="44">
        <v>-0.00105</v>
      </c>
      <c r="G68" s="44">
        <v>0.146869</v>
      </c>
      <c r="H68" s="389"/>
      <c r="I68" s="46" t="s">
        <v>216</v>
      </c>
      <c r="J68" s="46" t="s">
        <v>1560</v>
      </c>
      <c r="K68" s="46" t="s">
        <v>1568</v>
      </c>
      <c r="L68" s="46" t="s">
        <v>1695</v>
      </c>
      <c r="M68" s="46" t="s">
        <v>1696</v>
      </c>
      <c r="N68" s="46" t="s">
        <v>1562</v>
      </c>
      <c r="O68" s="46" t="s">
        <v>1571</v>
      </c>
      <c r="P68" s="389"/>
      <c r="Q68" s="389"/>
      <c r="R68" s="46">
        <v>5.0</v>
      </c>
      <c r="S68" s="46" t="s">
        <v>1693</v>
      </c>
      <c r="T68" s="46" t="s">
        <v>1564</v>
      </c>
      <c r="U68" s="44">
        <v>66.0</v>
      </c>
      <c r="V68" s="44">
        <v>14.0</v>
      </c>
      <c r="W68" s="389"/>
      <c r="X68" s="44">
        <v>34.0</v>
      </c>
      <c r="Y68" s="44">
        <v>19.95939</v>
      </c>
      <c r="Z68" s="44">
        <v>1.665455</v>
      </c>
      <c r="AA68" s="44">
        <v>4.118182</v>
      </c>
      <c r="AB68" s="44">
        <v>6.502424</v>
      </c>
      <c r="AC68" s="44">
        <v>1.228182</v>
      </c>
      <c r="AD68" s="44">
        <v>0.435303</v>
      </c>
      <c r="AE68" s="44">
        <v>0.454484</v>
      </c>
      <c r="AF68" s="44">
        <v>16.47258</v>
      </c>
      <c r="AG68" s="44">
        <v>0.839995</v>
      </c>
      <c r="AH68" s="44">
        <v>3.953485</v>
      </c>
      <c r="AI68" s="44">
        <v>2.528788</v>
      </c>
      <c r="AJ68" s="44">
        <v>25.9014</v>
      </c>
      <c r="AK68" s="44">
        <v>0.514003</v>
      </c>
      <c r="AL68" s="44">
        <v>-0.08967</v>
      </c>
      <c r="AM68" s="44">
        <v>-0.81623</v>
      </c>
      <c r="AN68" s="44">
        <v>1.33305</v>
      </c>
      <c r="AO68" s="44">
        <v>0.644905</v>
      </c>
      <c r="AP68" s="44">
        <v>-0.56479</v>
      </c>
      <c r="AQ68" s="44">
        <v>-0.83896</v>
      </c>
      <c r="AR68" s="44">
        <v>0.556171</v>
      </c>
      <c r="AS68" s="44">
        <v>-0.80246</v>
      </c>
    </row>
    <row r="69">
      <c r="A69" s="44">
        <v>68.0</v>
      </c>
      <c r="B69" s="44">
        <v>101.5714</v>
      </c>
      <c r="C69" s="44">
        <v>100.0</v>
      </c>
      <c r="D69" s="44">
        <v>0.0</v>
      </c>
      <c r="E69" s="44">
        <v>-0.00762</v>
      </c>
      <c r="F69" s="44">
        <v>0.001633</v>
      </c>
      <c r="G69" s="44">
        <v>0.063236</v>
      </c>
      <c r="H69" s="389"/>
      <c r="I69" s="46" t="s">
        <v>185</v>
      </c>
      <c r="J69" s="46" t="s">
        <v>350</v>
      </c>
      <c r="K69" s="46" t="s">
        <v>92</v>
      </c>
      <c r="L69" s="46" t="s">
        <v>1697</v>
      </c>
      <c r="M69" s="46" t="s">
        <v>1698</v>
      </c>
      <c r="N69" s="46" t="s">
        <v>1612</v>
      </c>
      <c r="O69" s="46" t="s">
        <v>1595</v>
      </c>
      <c r="P69" s="389"/>
      <c r="Q69" s="389"/>
      <c r="R69" s="46">
        <v>5.0</v>
      </c>
      <c r="S69" s="46" t="s">
        <v>1699</v>
      </c>
      <c r="T69" s="46" t="s">
        <v>1564</v>
      </c>
      <c r="U69" s="44">
        <v>75.0</v>
      </c>
      <c r="V69" s="44">
        <v>14.0</v>
      </c>
      <c r="W69" s="389"/>
      <c r="X69" s="44">
        <v>34.0</v>
      </c>
      <c r="Y69" s="44">
        <v>12.72987</v>
      </c>
      <c r="Z69" s="44">
        <v>2.3936</v>
      </c>
      <c r="AA69" s="44">
        <v>6.183733</v>
      </c>
      <c r="AB69" s="44">
        <v>1.4532</v>
      </c>
      <c r="AC69" s="44">
        <v>0.827067</v>
      </c>
      <c r="AD69" s="44">
        <v>0.959867</v>
      </c>
      <c r="AE69" s="44">
        <v>0.469397</v>
      </c>
      <c r="AF69" s="44">
        <v>10.44347</v>
      </c>
      <c r="AG69" s="44">
        <v>0.848936</v>
      </c>
      <c r="AH69" s="44">
        <v>0.626667</v>
      </c>
      <c r="AI69" s="44">
        <v>0.685867</v>
      </c>
      <c r="AJ69" s="44">
        <v>15.06108</v>
      </c>
      <c r="AK69" s="44">
        <v>-0.75999</v>
      </c>
      <c r="AL69" s="44">
        <v>0.606761</v>
      </c>
      <c r="AM69" s="44">
        <v>0.031388</v>
      </c>
      <c r="AN69" s="44">
        <v>-1.10295</v>
      </c>
      <c r="AO69" s="44">
        <v>-0.54644</v>
      </c>
      <c r="AP69" s="44">
        <v>0.381449</v>
      </c>
      <c r="AQ69" s="44">
        <v>-0.2992</v>
      </c>
      <c r="AR69" s="44">
        <v>0.094998</v>
      </c>
      <c r="AS69" s="44">
        <v>1.525434</v>
      </c>
    </row>
    <row r="70">
      <c r="A70" s="44">
        <v>69.0</v>
      </c>
      <c r="B70" s="44">
        <v>53.5</v>
      </c>
      <c r="C70" s="44">
        <v>100.0</v>
      </c>
      <c r="D70" s="44">
        <v>0.0</v>
      </c>
      <c r="E70" s="44">
        <v>-0.01293</v>
      </c>
      <c r="F70" s="44">
        <v>0.008116</v>
      </c>
      <c r="G70" s="44">
        <v>-0.32705</v>
      </c>
      <c r="H70" s="389"/>
      <c r="I70" s="46" t="s">
        <v>55</v>
      </c>
      <c r="J70" s="46" t="s">
        <v>428</v>
      </c>
      <c r="K70" s="46" t="s">
        <v>97</v>
      </c>
      <c r="L70" s="46" t="s">
        <v>1700</v>
      </c>
      <c r="M70" s="389"/>
      <c r="N70" s="46" t="s">
        <v>1562</v>
      </c>
      <c r="O70" s="46" t="s">
        <v>1595</v>
      </c>
      <c r="P70" s="389"/>
      <c r="Q70" s="389"/>
      <c r="R70" s="46">
        <v>4.0</v>
      </c>
      <c r="S70" s="46" t="s">
        <v>1663</v>
      </c>
      <c r="T70" s="46" t="s">
        <v>1564</v>
      </c>
      <c r="U70" s="44">
        <v>71.0</v>
      </c>
      <c r="V70" s="44">
        <v>14.0</v>
      </c>
      <c r="W70" s="389"/>
      <c r="X70" s="44">
        <v>27.0</v>
      </c>
      <c r="Y70" s="44">
        <v>12.57704</v>
      </c>
      <c r="Z70" s="44">
        <v>0.00662</v>
      </c>
      <c r="AA70" s="44">
        <v>10.73761</v>
      </c>
      <c r="AB70" s="44">
        <v>2.853662</v>
      </c>
      <c r="AC70" s="44">
        <v>0.796901</v>
      </c>
      <c r="AD70" s="44">
        <v>1.078169</v>
      </c>
      <c r="AE70" s="44">
        <v>0.681458</v>
      </c>
      <c r="AF70" s="44">
        <v>7.386197</v>
      </c>
      <c r="AG70" s="44">
        <v>0.677982</v>
      </c>
      <c r="AH70" s="44">
        <v>3.692817</v>
      </c>
      <c r="AI70" s="44">
        <v>1.759437</v>
      </c>
      <c r="AJ70" s="44">
        <v>17.06968</v>
      </c>
      <c r="AK70" s="44">
        <v>-0.78692</v>
      </c>
      <c r="AL70" s="44">
        <v>-1.67626</v>
      </c>
      <c r="AM70" s="44">
        <v>1.900104</v>
      </c>
      <c r="AN70" s="44">
        <v>-0.4273</v>
      </c>
      <c r="AO70" s="44">
        <v>-0.63603</v>
      </c>
      <c r="AP70" s="44">
        <v>0.59485</v>
      </c>
      <c r="AQ70" s="44">
        <v>2.104449</v>
      </c>
      <c r="AR70" s="44">
        <v>-1.35859</v>
      </c>
      <c r="AS70" s="44">
        <v>0.169347</v>
      </c>
    </row>
    <row r="71">
      <c r="A71" s="44">
        <v>70.0</v>
      </c>
      <c r="B71" s="44">
        <v>67.77143</v>
      </c>
      <c r="C71" s="44">
        <v>100.0</v>
      </c>
      <c r="D71" s="44">
        <v>0.0</v>
      </c>
      <c r="E71" s="44">
        <v>-0.01523</v>
      </c>
      <c r="F71" s="44">
        <v>-4.6E-4</v>
      </c>
      <c r="G71" s="44">
        <v>0.397768</v>
      </c>
      <c r="H71" s="389"/>
      <c r="I71" s="46" t="s">
        <v>127</v>
      </c>
      <c r="J71" s="46" t="s">
        <v>342</v>
      </c>
      <c r="K71" s="46" t="s">
        <v>1572</v>
      </c>
      <c r="L71" s="46" t="s">
        <v>1701</v>
      </c>
      <c r="M71" s="389"/>
      <c r="N71" s="46" t="s">
        <v>1562</v>
      </c>
      <c r="O71" s="389"/>
      <c r="P71" s="389"/>
      <c r="Q71" s="45"/>
      <c r="R71" s="46">
        <v>5.0</v>
      </c>
      <c r="S71" s="46" t="s">
        <v>1677</v>
      </c>
      <c r="T71" s="46" t="s">
        <v>1564</v>
      </c>
      <c r="U71" s="44">
        <v>65.0</v>
      </c>
      <c r="V71" s="44">
        <v>16.0</v>
      </c>
      <c r="W71" s="389"/>
      <c r="X71" s="44">
        <v>33.0</v>
      </c>
      <c r="Y71" s="44">
        <v>19.04354</v>
      </c>
      <c r="Z71" s="44">
        <v>2.304462</v>
      </c>
      <c r="AA71" s="44">
        <v>7.287538</v>
      </c>
      <c r="AB71" s="44">
        <v>3.712462</v>
      </c>
      <c r="AC71" s="44">
        <v>0.693231</v>
      </c>
      <c r="AD71" s="44">
        <v>0.751846</v>
      </c>
      <c r="AE71" s="44">
        <v>0.44349</v>
      </c>
      <c r="AF71" s="44">
        <v>15.95077</v>
      </c>
      <c r="AG71" s="44">
        <v>0.855011</v>
      </c>
      <c r="AH71" s="44">
        <v>3.030462</v>
      </c>
      <c r="AI71" s="44">
        <v>1.924923</v>
      </c>
      <c r="AJ71" s="44">
        <v>24.99286</v>
      </c>
      <c r="AK71" s="44">
        <v>0.35261</v>
      </c>
      <c r="AL71" s="44">
        <v>0.521505</v>
      </c>
      <c r="AM71" s="44">
        <v>0.484343</v>
      </c>
      <c r="AN71" s="44">
        <v>-0.01297</v>
      </c>
      <c r="AO71" s="44">
        <v>-0.94394</v>
      </c>
      <c r="AP71" s="44">
        <v>0.006209</v>
      </c>
      <c r="AQ71" s="44">
        <v>-1.07123</v>
      </c>
      <c r="AR71" s="44">
        <v>0.566117</v>
      </c>
      <c r="AS71" s="44">
        <v>-0.03969</v>
      </c>
    </row>
    <row r="72">
      <c r="A72" s="44">
        <v>71.0</v>
      </c>
      <c r="B72" s="44">
        <v>65.24286</v>
      </c>
      <c r="C72" s="44">
        <v>100.0</v>
      </c>
      <c r="D72" s="44">
        <v>0.0</v>
      </c>
      <c r="E72" s="44">
        <v>-0.01574</v>
      </c>
      <c r="F72" s="44">
        <v>-0.0011</v>
      </c>
      <c r="G72" s="44">
        <v>0.481401</v>
      </c>
      <c r="H72" s="389"/>
      <c r="I72" s="46" t="s">
        <v>219</v>
      </c>
      <c r="J72" s="46" t="s">
        <v>317</v>
      </c>
      <c r="K72" s="46" t="s">
        <v>85</v>
      </c>
      <c r="L72" s="46" t="s">
        <v>1702</v>
      </c>
      <c r="M72" s="46" t="s">
        <v>1703</v>
      </c>
      <c r="N72" s="46" t="s">
        <v>1570</v>
      </c>
      <c r="O72" s="389"/>
      <c r="P72" s="389"/>
      <c r="Q72" s="45"/>
      <c r="R72" s="46">
        <v>4.0</v>
      </c>
      <c r="S72" s="46" t="s">
        <v>1693</v>
      </c>
      <c r="T72" s="46" t="s">
        <v>1564</v>
      </c>
      <c r="U72" s="44">
        <v>55.0</v>
      </c>
      <c r="V72" s="44">
        <v>14.0</v>
      </c>
      <c r="W72" s="389"/>
      <c r="X72" s="44">
        <v>30.0</v>
      </c>
      <c r="Y72" s="44">
        <v>19.45327</v>
      </c>
      <c r="Z72" s="44">
        <v>2.715455</v>
      </c>
      <c r="AA72" s="44">
        <v>2.588182</v>
      </c>
      <c r="AB72" s="44">
        <v>6.312545</v>
      </c>
      <c r="AC72" s="44">
        <v>1.252909</v>
      </c>
      <c r="AD72" s="44">
        <v>0.126909</v>
      </c>
      <c r="AE72" s="44">
        <v>0.458956</v>
      </c>
      <c r="AF72" s="44">
        <v>15.27618</v>
      </c>
      <c r="AG72" s="44">
        <v>0.857012</v>
      </c>
      <c r="AH72" s="44">
        <v>3.168727</v>
      </c>
      <c r="AI72" s="44">
        <v>2.536</v>
      </c>
      <c r="AJ72" s="44">
        <v>27.36087</v>
      </c>
      <c r="AK72" s="44">
        <v>0.424814</v>
      </c>
      <c r="AL72" s="44">
        <v>0.914598</v>
      </c>
      <c r="AM72" s="44">
        <v>-1.44407</v>
      </c>
      <c r="AN72" s="44">
        <v>1.241443</v>
      </c>
      <c r="AO72" s="44">
        <v>0.718346</v>
      </c>
      <c r="AP72" s="44">
        <v>-1.12109</v>
      </c>
      <c r="AQ72" s="44">
        <v>-0.67658</v>
      </c>
      <c r="AR72" s="44">
        <v>0.612424</v>
      </c>
      <c r="AS72" s="44">
        <v>-0.81157</v>
      </c>
    </row>
    <row r="73">
      <c r="A73" s="44">
        <v>72.0</v>
      </c>
      <c r="B73" s="44">
        <v>87.85714</v>
      </c>
      <c r="C73" s="44">
        <v>100.0</v>
      </c>
      <c r="D73" s="44">
        <v>0.0</v>
      </c>
      <c r="E73" s="44">
        <v>-0.02192</v>
      </c>
      <c r="F73" s="44">
        <v>0.001183</v>
      </c>
      <c r="G73" s="44">
        <v>-1.69306</v>
      </c>
      <c r="H73" s="389"/>
      <c r="I73" s="46" t="s">
        <v>44</v>
      </c>
      <c r="J73" s="46" t="s">
        <v>269</v>
      </c>
      <c r="K73" s="46" t="s">
        <v>1572</v>
      </c>
      <c r="L73" s="46" t="s">
        <v>1704</v>
      </c>
      <c r="M73" s="389"/>
      <c r="N73" s="46" t="s">
        <v>1570</v>
      </c>
      <c r="O73" s="46" t="s">
        <v>1689</v>
      </c>
      <c r="P73" s="389"/>
      <c r="Q73" s="389"/>
      <c r="R73" s="46">
        <v>4.0</v>
      </c>
      <c r="S73" s="46" t="s">
        <v>1650</v>
      </c>
      <c r="T73" s="46" t="s">
        <v>1564</v>
      </c>
      <c r="U73" s="44">
        <v>66.0</v>
      </c>
      <c r="V73" s="44">
        <v>16.0</v>
      </c>
      <c r="W73" s="389"/>
      <c r="X73" s="44">
        <v>32.0</v>
      </c>
      <c r="Y73" s="44">
        <v>15.83955</v>
      </c>
      <c r="Z73" s="44">
        <v>2.806818</v>
      </c>
      <c r="AA73" s="44">
        <v>4.578636</v>
      </c>
      <c r="AB73" s="44">
        <v>2.558636</v>
      </c>
      <c r="AC73" s="44">
        <v>1.015455</v>
      </c>
      <c r="AD73" s="44">
        <v>0.469545</v>
      </c>
      <c r="AE73" s="44">
        <v>0.465502</v>
      </c>
      <c r="AF73" s="44">
        <v>11.78364</v>
      </c>
      <c r="AG73" s="44">
        <v>0.875016</v>
      </c>
      <c r="AH73" s="44">
        <v>2.356667</v>
      </c>
      <c r="AI73" s="44">
        <v>1.481364</v>
      </c>
      <c r="AJ73" s="44">
        <v>19.27853</v>
      </c>
      <c r="AK73" s="44">
        <v>-0.212</v>
      </c>
      <c r="AL73" s="44">
        <v>1.001983</v>
      </c>
      <c r="AM73" s="44">
        <v>-0.62728</v>
      </c>
      <c r="AN73" s="44">
        <v>-0.56963</v>
      </c>
      <c r="AO73" s="44">
        <v>0.01309</v>
      </c>
      <c r="AP73" s="44">
        <v>-0.50302</v>
      </c>
      <c r="AQ73" s="44">
        <v>-0.40632</v>
      </c>
      <c r="AR73" s="44">
        <v>0.585339</v>
      </c>
      <c r="AS73" s="44">
        <v>0.520597</v>
      </c>
    </row>
    <row r="74">
      <c r="A74" s="44">
        <v>73.0</v>
      </c>
      <c r="B74" s="44">
        <v>111.9571</v>
      </c>
      <c r="C74" s="44">
        <v>100.0</v>
      </c>
      <c r="D74" s="44">
        <v>0.0</v>
      </c>
      <c r="E74" s="44">
        <v>-0.03082</v>
      </c>
      <c r="F74" s="44">
        <v>0.017115</v>
      </c>
      <c r="G74" s="44">
        <v>-1.61872</v>
      </c>
      <c r="H74" s="389"/>
      <c r="I74" s="46" t="s">
        <v>132</v>
      </c>
      <c r="J74" s="46" t="s">
        <v>428</v>
      </c>
      <c r="K74" s="46" t="s">
        <v>92</v>
      </c>
      <c r="L74" s="46" t="s">
        <v>1705</v>
      </c>
      <c r="M74" s="389"/>
      <c r="N74" s="46" t="s">
        <v>1562</v>
      </c>
      <c r="O74" s="46" t="s">
        <v>1648</v>
      </c>
      <c r="P74" s="389"/>
      <c r="Q74" s="45"/>
      <c r="R74" s="46">
        <v>5.0</v>
      </c>
      <c r="S74" s="46" t="s">
        <v>1699</v>
      </c>
      <c r="T74" s="46" t="s">
        <v>1564</v>
      </c>
      <c r="U74" s="44">
        <v>71.0</v>
      </c>
      <c r="V74" s="44">
        <v>14.0</v>
      </c>
      <c r="W74" s="389"/>
      <c r="X74" s="44">
        <v>31.0</v>
      </c>
      <c r="Y74" s="44">
        <v>13.96549</v>
      </c>
      <c r="Z74" s="44">
        <v>1.227042</v>
      </c>
      <c r="AA74" s="44">
        <v>5.544507</v>
      </c>
      <c r="AB74" s="44">
        <v>2.021831</v>
      </c>
      <c r="AC74" s="44">
        <v>1.108873</v>
      </c>
      <c r="AD74" s="44">
        <v>0.717606</v>
      </c>
      <c r="AE74" s="44">
        <v>0.502441</v>
      </c>
      <c r="AF74" s="44">
        <v>10.76268</v>
      </c>
      <c r="AG74" s="44">
        <v>0.850991</v>
      </c>
      <c r="AH74" s="44">
        <v>2.26</v>
      </c>
      <c r="AI74" s="44">
        <v>1.108873</v>
      </c>
      <c r="AJ74" s="44">
        <v>17.75966</v>
      </c>
      <c r="AK74" s="44">
        <v>-0.54225</v>
      </c>
      <c r="AL74" s="44">
        <v>-0.50899</v>
      </c>
      <c r="AM74" s="44">
        <v>-0.23092</v>
      </c>
      <c r="AN74" s="44">
        <v>-0.82861</v>
      </c>
      <c r="AO74" s="44">
        <v>0.29055</v>
      </c>
      <c r="AP74" s="44">
        <v>-0.05556</v>
      </c>
      <c r="AQ74" s="44">
        <v>0.21683</v>
      </c>
      <c r="AR74" s="44">
        <v>0.390438</v>
      </c>
      <c r="AS74" s="44">
        <v>0.991111</v>
      </c>
    </row>
    <row r="75">
      <c r="A75" s="44">
        <v>74.0</v>
      </c>
      <c r="B75" s="44">
        <v>111.2429</v>
      </c>
      <c r="C75" s="44">
        <v>100.0</v>
      </c>
      <c r="D75" s="44">
        <v>0.0</v>
      </c>
      <c r="E75" s="44">
        <v>-0.04208</v>
      </c>
      <c r="F75" s="44">
        <v>0.007566</v>
      </c>
      <c r="G75" s="44">
        <v>-1.62801</v>
      </c>
      <c r="H75" s="389"/>
      <c r="I75" s="46" t="s">
        <v>210</v>
      </c>
      <c r="J75" s="46" t="s">
        <v>278</v>
      </c>
      <c r="K75" s="46" t="s">
        <v>97</v>
      </c>
      <c r="L75" s="46" t="s">
        <v>1706</v>
      </c>
      <c r="M75" s="389"/>
      <c r="N75" s="46" t="s">
        <v>1570</v>
      </c>
      <c r="O75" s="389"/>
      <c r="P75" s="389"/>
      <c r="Q75" s="389"/>
      <c r="R75" s="46">
        <v>2.0</v>
      </c>
      <c r="S75" s="389"/>
      <c r="T75" s="46" t="s">
        <v>1645</v>
      </c>
      <c r="U75" s="44">
        <v>66.0</v>
      </c>
      <c r="V75" s="44">
        <v>14.0</v>
      </c>
      <c r="W75" s="389"/>
      <c r="X75" s="44">
        <v>25.0</v>
      </c>
      <c r="Y75" s="44">
        <v>9.538333</v>
      </c>
      <c r="Z75" s="44">
        <v>0.0</v>
      </c>
      <c r="AA75" s="44">
        <v>8.153636</v>
      </c>
      <c r="AB75" s="44">
        <v>1.98303</v>
      </c>
      <c r="AC75" s="44">
        <v>0.635909</v>
      </c>
      <c r="AD75" s="44">
        <v>1.570909</v>
      </c>
      <c r="AE75" s="44">
        <v>0.722992</v>
      </c>
      <c r="AF75" s="44">
        <v>5.733333</v>
      </c>
      <c r="AG75" s="44">
        <v>0.672024</v>
      </c>
      <c r="AH75" s="44">
        <v>1.857121</v>
      </c>
      <c r="AI75" s="44">
        <v>1.100455</v>
      </c>
      <c r="AJ75" s="44">
        <v>13.08945</v>
      </c>
      <c r="AK75" s="44">
        <v>-1.32241</v>
      </c>
      <c r="AL75" s="44">
        <v>-1.68259</v>
      </c>
      <c r="AM75" s="44">
        <v>0.839752</v>
      </c>
      <c r="AN75" s="44">
        <v>-0.84733</v>
      </c>
      <c r="AO75" s="44">
        <v>-1.11419</v>
      </c>
      <c r="AP75" s="44">
        <v>1.483685</v>
      </c>
      <c r="AQ75" s="44">
        <v>1.986903</v>
      </c>
      <c r="AR75" s="44">
        <v>-0.7243</v>
      </c>
      <c r="AS75" s="44">
        <v>1.001745</v>
      </c>
    </row>
    <row r="76">
      <c r="A76" s="44">
        <v>75.0</v>
      </c>
      <c r="B76" s="44">
        <v>76.94286</v>
      </c>
      <c r="C76" s="44">
        <v>100.0</v>
      </c>
      <c r="D76" s="44">
        <v>0.0</v>
      </c>
      <c r="E76" s="44">
        <v>-0.04299</v>
      </c>
      <c r="F76" s="44">
        <v>0.001936</v>
      </c>
      <c r="G76" s="44">
        <v>0.193332</v>
      </c>
      <c r="H76" s="389"/>
      <c r="I76" s="46" t="s">
        <v>42</v>
      </c>
      <c r="J76" s="46" t="s">
        <v>490</v>
      </c>
      <c r="K76" s="46" t="s">
        <v>1581</v>
      </c>
      <c r="L76" s="46" t="s">
        <v>1707</v>
      </c>
      <c r="M76" s="46" t="s">
        <v>1708</v>
      </c>
      <c r="N76" s="46" t="s">
        <v>1562</v>
      </c>
      <c r="O76" s="389"/>
      <c r="P76" s="389"/>
      <c r="Q76" s="45"/>
      <c r="R76" s="46">
        <v>2.0</v>
      </c>
      <c r="S76" s="46" t="s">
        <v>1663</v>
      </c>
      <c r="T76" s="46" t="s">
        <v>1564</v>
      </c>
      <c r="U76" s="44">
        <v>71.0</v>
      </c>
      <c r="V76" s="44">
        <v>16.0</v>
      </c>
      <c r="W76" s="389"/>
      <c r="X76" s="44">
        <v>31.0</v>
      </c>
      <c r="Y76" s="44">
        <v>17.35901</v>
      </c>
      <c r="Z76" s="44">
        <v>1.792113</v>
      </c>
      <c r="AA76" s="44">
        <v>7.915915</v>
      </c>
      <c r="AB76" s="44">
        <v>3.259577</v>
      </c>
      <c r="AC76" s="44">
        <v>0.748451</v>
      </c>
      <c r="AD76" s="44">
        <v>1.796056</v>
      </c>
      <c r="AE76" s="44">
        <v>0.435796</v>
      </c>
      <c r="AF76" s="44">
        <v>14.76817</v>
      </c>
      <c r="AG76" s="44">
        <v>0.730009</v>
      </c>
      <c r="AH76" s="44">
        <v>3.691831</v>
      </c>
      <c r="AI76" s="44">
        <v>2.036056</v>
      </c>
      <c r="AJ76" s="44">
        <v>25.08137</v>
      </c>
      <c r="AK76" s="44">
        <v>0.055761</v>
      </c>
      <c r="AL76" s="44">
        <v>0.03147</v>
      </c>
      <c r="AM76" s="44">
        <v>0.742202</v>
      </c>
      <c r="AN76" s="44">
        <v>-0.23146</v>
      </c>
      <c r="AO76" s="44">
        <v>-0.77993</v>
      </c>
      <c r="AP76" s="44">
        <v>1.88982</v>
      </c>
      <c r="AQ76" s="44">
        <v>-1.15913</v>
      </c>
      <c r="AR76" s="44">
        <v>-0.75555</v>
      </c>
      <c r="AS76" s="44">
        <v>-0.18007</v>
      </c>
    </row>
    <row r="77">
      <c r="A77" s="44">
        <v>76.0</v>
      </c>
      <c r="B77" s="44">
        <v>71.12857</v>
      </c>
      <c r="C77" s="44">
        <v>100.0</v>
      </c>
      <c r="D77" s="44">
        <v>0.0</v>
      </c>
      <c r="E77" s="44">
        <v>-0.04366</v>
      </c>
      <c r="F77" s="44">
        <v>-0.01705</v>
      </c>
      <c r="G77" s="44">
        <v>0.639374</v>
      </c>
      <c r="H77" s="389"/>
      <c r="I77" s="46" t="s">
        <v>56</v>
      </c>
      <c r="J77" s="46" t="s">
        <v>495</v>
      </c>
      <c r="K77" s="46" t="s">
        <v>1572</v>
      </c>
      <c r="L77" s="46" t="s">
        <v>1709</v>
      </c>
      <c r="M77" s="389"/>
      <c r="N77" s="46" t="s">
        <v>1562</v>
      </c>
      <c r="O77" s="46" t="s">
        <v>1689</v>
      </c>
      <c r="P77" s="389"/>
      <c r="Q77" s="389"/>
      <c r="R77" s="46">
        <v>4.0</v>
      </c>
      <c r="S77" s="46" t="s">
        <v>1710</v>
      </c>
      <c r="T77" s="46" t="s">
        <v>1564</v>
      </c>
      <c r="U77" s="44">
        <v>56.0</v>
      </c>
      <c r="V77" s="44">
        <v>14.0</v>
      </c>
      <c r="W77" s="389"/>
      <c r="X77" s="44">
        <v>32.0</v>
      </c>
      <c r="Y77" s="44">
        <v>19.32304</v>
      </c>
      <c r="Z77" s="44">
        <v>2.917857</v>
      </c>
      <c r="AA77" s="44">
        <v>6.93</v>
      </c>
      <c r="AB77" s="44">
        <v>1.868393</v>
      </c>
      <c r="AC77" s="44">
        <v>0.588036</v>
      </c>
      <c r="AD77" s="44">
        <v>0.531786</v>
      </c>
      <c r="AE77" s="44">
        <v>0.468192</v>
      </c>
      <c r="AF77" s="44">
        <v>14.78446</v>
      </c>
      <c r="AG77" s="44">
        <v>0.824974</v>
      </c>
      <c r="AH77" s="44">
        <v>3.104643</v>
      </c>
      <c r="AI77" s="44">
        <v>1.518036</v>
      </c>
      <c r="AJ77" s="44">
        <v>23.73443</v>
      </c>
      <c r="AK77" s="44">
        <v>0.401863</v>
      </c>
      <c r="AL77" s="44">
        <v>1.108186</v>
      </c>
      <c r="AM77" s="44">
        <v>0.337624</v>
      </c>
      <c r="AN77" s="44">
        <v>-0.90264</v>
      </c>
      <c r="AO77" s="44">
        <v>-1.25637</v>
      </c>
      <c r="AP77" s="44">
        <v>-0.39075</v>
      </c>
      <c r="AQ77" s="44">
        <v>-0.45285</v>
      </c>
      <c r="AR77" s="44">
        <v>0.287687</v>
      </c>
      <c r="AS77" s="44">
        <v>0.474274</v>
      </c>
    </row>
    <row r="78">
      <c r="A78" s="44">
        <v>77.0</v>
      </c>
      <c r="B78" s="44">
        <v>120.3846</v>
      </c>
      <c r="C78" s="44">
        <v>97.0</v>
      </c>
      <c r="D78" s="44">
        <v>0.0</v>
      </c>
      <c r="E78" s="44">
        <v>-0.0497</v>
      </c>
      <c r="F78" s="44">
        <v>0.002976</v>
      </c>
      <c r="G78" s="44">
        <v>0.379183</v>
      </c>
      <c r="H78" s="389"/>
      <c r="I78" s="46" t="s">
        <v>104</v>
      </c>
      <c r="J78" s="46" t="s">
        <v>273</v>
      </c>
      <c r="K78" s="46" t="s">
        <v>1604</v>
      </c>
      <c r="L78" s="46" t="s">
        <v>1711</v>
      </c>
      <c r="M78" s="389"/>
      <c r="N78" s="46" t="s">
        <v>1562</v>
      </c>
      <c r="O78" s="389"/>
      <c r="P78" s="389"/>
      <c r="Q78" s="389"/>
      <c r="R78" s="46">
        <v>4.0</v>
      </c>
      <c r="S78" s="389"/>
      <c r="T78" s="46" t="s">
        <v>1645</v>
      </c>
      <c r="U78" s="44">
        <v>71.0</v>
      </c>
      <c r="V78" s="44">
        <v>13.0</v>
      </c>
      <c r="W78" s="389"/>
      <c r="X78" s="44">
        <v>28.0</v>
      </c>
      <c r="Y78" s="44">
        <v>9.63169</v>
      </c>
      <c r="Z78" s="44">
        <v>1.197465</v>
      </c>
      <c r="AA78" s="44">
        <v>3.093944</v>
      </c>
      <c r="AB78" s="44">
        <v>2.677465</v>
      </c>
      <c r="AC78" s="44">
        <v>1.833662</v>
      </c>
      <c r="AD78" s="44">
        <v>0.418169</v>
      </c>
      <c r="AE78" s="44">
        <v>0.505299</v>
      </c>
      <c r="AF78" s="44">
        <v>7.73493</v>
      </c>
      <c r="AG78" s="44">
        <v>0.79807</v>
      </c>
      <c r="AH78" s="44">
        <v>0.773521</v>
      </c>
      <c r="AI78" s="44">
        <v>1.014789</v>
      </c>
      <c r="AJ78" s="44">
        <v>13.8957</v>
      </c>
      <c r="AK78" s="44">
        <v>-1.30596</v>
      </c>
      <c r="AL78" s="44">
        <v>-0.53728</v>
      </c>
      <c r="AM78" s="44">
        <v>-1.23653</v>
      </c>
      <c r="AN78" s="44">
        <v>-0.5123</v>
      </c>
      <c r="AO78" s="44">
        <v>2.443224</v>
      </c>
      <c r="AP78" s="44">
        <v>-0.5957</v>
      </c>
      <c r="AQ78" s="44">
        <v>0.190487</v>
      </c>
      <c r="AR78" s="44">
        <v>-0.00321</v>
      </c>
      <c r="AS78" s="44">
        <v>1.109954</v>
      </c>
    </row>
    <row r="79">
      <c r="A79" s="44">
        <v>78.0</v>
      </c>
      <c r="B79" s="44">
        <v>33.85714</v>
      </c>
      <c r="C79" s="44">
        <v>100.0</v>
      </c>
      <c r="D79" s="44">
        <v>0.0</v>
      </c>
      <c r="E79" s="44">
        <v>-0.05181</v>
      </c>
      <c r="F79" s="44">
        <v>0.011974</v>
      </c>
      <c r="G79" s="44">
        <v>-1.89749</v>
      </c>
      <c r="H79" s="389"/>
      <c r="I79" s="46" t="s">
        <v>190</v>
      </c>
      <c r="J79" s="46" t="s">
        <v>304</v>
      </c>
      <c r="K79" s="46" t="s">
        <v>1593</v>
      </c>
      <c r="L79" s="46" t="s">
        <v>1712</v>
      </c>
      <c r="M79" s="389"/>
      <c r="N79" s="46" t="s">
        <v>1570</v>
      </c>
      <c r="O79" s="389"/>
      <c r="P79" s="389"/>
      <c r="Q79" s="389"/>
      <c r="R79" s="46">
        <v>3.0</v>
      </c>
      <c r="S79" s="46" t="s">
        <v>1642</v>
      </c>
      <c r="T79" s="46" t="s">
        <v>1564</v>
      </c>
      <c r="U79" s="44">
        <v>53.0</v>
      </c>
      <c r="V79" s="44">
        <v>13.0</v>
      </c>
      <c r="W79" s="389"/>
      <c r="X79" s="44">
        <v>33.0</v>
      </c>
      <c r="Y79" s="44">
        <v>24.59302</v>
      </c>
      <c r="Z79" s="44">
        <v>1.963208</v>
      </c>
      <c r="AA79" s="44">
        <v>6.514717</v>
      </c>
      <c r="AB79" s="44">
        <v>5.240189</v>
      </c>
      <c r="AC79" s="44">
        <v>1.062264</v>
      </c>
      <c r="AD79" s="44">
        <v>0.353774</v>
      </c>
      <c r="AE79" s="44">
        <v>0.471803</v>
      </c>
      <c r="AF79" s="44">
        <v>19.19094</v>
      </c>
      <c r="AG79" s="44">
        <v>0.759999</v>
      </c>
      <c r="AH79" s="44">
        <v>5.948868</v>
      </c>
      <c r="AI79" s="44">
        <v>2.832453</v>
      </c>
      <c r="AJ79" s="44">
        <v>30.68706</v>
      </c>
      <c r="AK79" s="44">
        <v>1.330547</v>
      </c>
      <c r="AL79" s="44">
        <v>0.195113</v>
      </c>
      <c r="AM79" s="44">
        <v>0.167209</v>
      </c>
      <c r="AN79" s="44">
        <v>0.724084</v>
      </c>
      <c r="AO79" s="44">
        <v>0.152117</v>
      </c>
      <c r="AP79" s="44">
        <v>-0.71186</v>
      </c>
      <c r="AQ79" s="44">
        <v>-0.48755</v>
      </c>
      <c r="AR79" s="44">
        <v>-0.64988</v>
      </c>
      <c r="AS79" s="44">
        <v>-1.18604</v>
      </c>
    </row>
    <row r="80">
      <c r="A80" s="44">
        <v>79.0</v>
      </c>
      <c r="B80" s="44">
        <v>83.15714</v>
      </c>
      <c r="C80" s="44">
        <v>100.0</v>
      </c>
      <c r="D80" s="44">
        <v>0.0</v>
      </c>
      <c r="E80" s="44">
        <v>-0.06189</v>
      </c>
      <c r="F80" s="44">
        <v>0.046791</v>
      </c>
      <c r="G80" s="44">
        <v>1.224805</v>
      </c>
      <c r="H80" s="389"/>
      <c r="I80" s="46" t="s">
        <v>197</v>
      </c>
      <c r="J80" s="46" t="s">
        <v>375</v>
      </c>
      <c r="K80" s="46" t="s">
        <v>97</v>
      </c>
      <c r="L80" s="46" t="s">
        <v>1713</v>
      </c>
      <c r="M80" s="389"/>
      <c r="N80" s="46" t="s">
        <v>1570</v>
      </c>
      <c r="O80" s="389"/>
      <c r="P80" s="389"/>
      <c r="Q80" s="389"/>
      <c r="R80" s="46">
        <v>2.0</v>
      </c>
      <c r="S80" s="46" t="s">
        <v>1663</v>
      </c>
      <c r="T80" s="46" t="s">
        <v>1630</v>
      </c>
      <c r="U80" s="44">
        <v>66.0</v>
      </c>
      <c r="V80" s="44">
        <v>15.0</v>
      </c>
      <c r="W80" s="389"/>
      <c r="X80" s="44">
        <v>25.0</v>
      </c>
      <c r="Y80" s="44">
        <v>12.06803</v>
      </c>
      <c r="Z80" s="44">
        <v>0.671364</v>
      </c>
      <c r="AA80" s="44">
        <v>9.187576</v>
      </c>
      <c r="AB80" s="44">
        <v>1.276061</v>
      </c>
      <c r="AC80" s="44">
        <v>0.670606</v>
      </c>
      <c r="AD80" s="44">
        <v>1.166061</v>
      </c>
      <c r="AE80" s="44">
        <v>0.562374</v>
      </c>
      <c r="AF80" s="44">
        <v>9.18697</v>
      </c>
      <c r="AG80" s="44">
        <v>0.681024</v>
      </c>
      <c r="AH80" s="44">
        <v>1.561818</v>
      </c>
      <c r="AI80" s="44">
        <v>1.015</v>
      </c>
      <c r="AJ80" s="44">
        <v>19.28132</v>
      </c>
      <c r="AK80" s="44">
        <v>-0.87662</v>
      </c>
      <c r="AL80" s="44">
        <v>-1.04047</v>
      </c>
      <c r="AM80" s="44">
        <v>1.264037</v>
      </c>
      <c r="AN80" s="44">
        <v>-1.18841</v>
      </c>
      <c r="AO80" s="44">
        <v>-1.01113</v>
      </c>
      <c r="AP80" s="44">
        <v>0.753394</v>
      </c>
      <c r="AQ80" s="44">
        <v>0.999559</v>
      </c>
      <c r="AR80" s="44">
        <v>-0.56705</v>
      </c>
      <c r="AS80" s="44">
        <v>1.109687</v>
      </c>
    </row>
    <row r="81">
      <c r="A81" s="44">
        <v>80.0</v>
      </c>
      <c r="B81" s="44">
        <v>138.069</v>
      </c>
      <c r="C81" s="44">
        <v>87.0</v>
      </c>
      <c r="D81" s="44">
        <v>0.0</v>
      </c>
      <c r="E81" s="44">
        <v>-0.06294</v>
      </c>
      <c r="F81" s="44">
        <v>0.017949</v>
      </c>
      <c r="G81" s="44">
        <v>0.620789</v>
      </c>
      <c r="H81" s="389"/>
      <c r="I81" s="46" t="s">
        <v>172</v>
      </c>
      <c r="J81" s="46" t="s">
        <v>304</v>
      </c>
      <c r="K81" s="46" t="s">
        <v>97</v>
      </c>
      <c r="L81" s="46" t="s">
        <v>1714</v>
      </c>
      <c r="M81" s="389"/>
      <c r="N81" s="46" t="s">
        <v>1570</v>
      </c>
      <c r="O81" s="389"/>
      <c r="P81" s="389"/>
      <c r="Q81" s="45"/>
      <c r="R81" s="46">
        <v>2.0</v>
      </c>
      <c r="S81" s="46" t="s">
        <v>1661</v>
      </c>
      <c r="T81" s="46" t="s">
        <v>1645</v>
      </c>
      <c r="U81" s="44">
        <v>66.0</v>
      </c>
      <c r="V81" s="44">
        <v>13.0</v>
      </c>
      <c r="W81" s="389"/>
      <c r="X81" s="44">
        <v>25.0</v>
      </c>
      <c r="Y81" s="44">
        <v>10.96727</v>
      </c>
      <c r="Z81" s="44">
        <v>0.09</v>
      </c>
      <c r="AA81" s="44">
        <v>8.583333</v>
      </c>
      <c r="AB81" s="44">
        <v>1.716667</v>
      </c>
      <c r="AC81" s="44">
        <v>0.675606</v>
      </c>
      <c r="AD81" s="44">
        <v>1.408333</v>
      </c>
      <c r="AE81" s="44">
        <v>0.620245</v>
      </c>
      <c r="AF81" s="44">
        <v>7.349242</v>
      </c>
      <c r="AG81" s="44">
        <v>0.760024</v>
      </c>
      <c r="AH81" s="44">
        <v>2.316515</v>
      </c>
      <c r="AI81" s="44">
        <v>1.341212</v>
      </c>
      <c r="AJ81" s="44">
        <v>15.96171</v>
      </c>
      <c r="AK81" s="44">
        <v>-1.0706</v>
      </c>
      <c r="AL81" s="44">
        <v>-1.59651</v>
      </c>
      <c r="AM81" s="44">
        <v>1.016082</v>
      </c>
      <c r="AN81" s="44">
        <v>-0.97584</v>
      </c>
      <c r="AO81" s="44">
        <v>-0.99628</v>
      </c>
      <c r="AP81" s="44">
        <v>1.190421</v>
      </c>
      <c r="AQ81" s="44">
        <v>1.429354</v>
      </c>
      <c r="AR81" s="44">
        <v>-0.26068</v>
      </c>
      <c r="AS81" s="44">
        <v>0.69763</v>
      </c>
    </row>
    <row r="82">
      <c r="A82" s="44">
        <v>81.0</v>
      </c>
      <c r="B82" s="44">
        <v>21.02857</v>
      </c>
      <c r="C82" s="44">
        <v>100.0</v>
      </c>
      <c r="D82" s="44">
        <v>0.0</v>
      </c>
      <c r="E82" s="44">
        <v>-0.06346</v>
      </c>
      <c r="F82" s="44">
        <v>0.011744</v>
      </c>
      <c r="G82" s="44">
        <v>0.276965</v>
      </c>
      <c r="H82" s="389"/>
      <c r="I82" s="46" t="s">
        <v>65</v>
      </c>
      <c r="J82" s="46" t="s">
        <v>386</v>
      </c>
      <c r="K82" s="46" t="s">
        <v>97</v>
      </c>
      <c r="L82" s="46" t="s">
        <v>1715</v>
      </c>
      <c r="M82" s="389"/>
      <c r="N82" s="46" t="s">
        <v>1562</v>
      </c>
      <c r="O82" s="389"/>
      <c r="P82" s="389"/>
      <c r="Q82" s="45"/>
      <c r="R82" s="46">
        <v>3.0</v>
      </c>
      <c r="S82" s="46" t="s">
        <v>1653</v>
      </c>
      <c r="T82" s="46" t="s">
        <v>1564</v>
      </c>
      <c r="U82" s="44">
        <v>71.0</v>
      </c>
      <c r="V82" s="44">
        <v>14.0</v>
      </c>
      <c r="W82" s="389"/>
      <c r="X82" s="44">
        <v>32.0</v>
      </c>
      <c r="Y82" s="44">
        <v>21.69577</v>
      </c>
      <c r="Z82" s="44">
        <v>0.259577</v>
      </c>
      <c r="AA82" s="44">
        <v>9.898028</v>
      </c>
      <c r="AB82" s="44">
        <v>5.38662</v>
      </c>
      <c r="AC82" s="44">
        <v>1.01</v>
      </c>
      <c r="AD82" s="44">
        <v>0.811408</v>
      </c>
      <c r="AE82" s="44">
        <v>0.525194</v>
      </c>
      <c r="AF82" s="44">
        <v>16.02493</v>
      </c>
      <c r="AG82" s="44">
        <v>0.684</v>
      </c>
      <c r="AH82" s="44">
        <v>6.730704</v>
      </c>
      <c r="AI82" s="44">
        <v>2.635352</v>
      </c>
      <c r="AJ82" s="44">
        <v>27.64214</v>
      </c>
      <c r="AK82" s="44">
        <v>0.81999</v>
      </c>
      <c r="AL82" s="44">
        <v>-1.43432</v>
      </c>
      <c r="AM82" s="44">
        <v>1.555577</v>
      </c>
      <c r="AN82" s="44">
        <v>0.79473</v>
      </c>
      <c r="AO82" s="44">
        <v>-0.00311</v>
      </c>
      <c r="AP82" s="44">
        <v>0.113651</v>
      </c>
      <c r="AQ82" s="44">
        <v>0.858049</v>
      </c>
      <c r="AR82" s="44">
        <v>-2.33863</v>
      </c>
      <c r="AS82" s="44">
        <v>-0.93707</v>
      </c>
    </row>
    <row r="83">
      <c r="A83" s="44">
        <v>82.0</v>
      </c>
      <c r="B83" s="44">
        <v>33.77143</v>
      </c>
      <c r="C83" s="44">
        <v>100.0</v>
      </c>
      <c r="D83" s="44">
        <v>0.0</v>
      </c>
      <c r="E83" s="44">
        <v>-0.06435</v>
      </c>
      <c r="F83" s="44">
        <v>0.001308</v>
      </c>
      <c r="G83" s="44">
        <v>1.24339</v>
      </c>
      <c r="H83" s="389"/>
      <c r="I83" s="46" t="s">
        <v>66</v>
      </c>
      <c r="J83" s="46" t="s">
        <v>295</v>
      </c>
      <c r="K83" s="46" t="s">
        <v>1572</v>
      </c>
      <c r="L83" s="46" t="s">
        <v>1716</v>
      </c>
      <c r="M83" s="389"/>
      <c r="N83" s="46" t="s">
        <v>1562</v>
      </c>
      <c r="O83" s="389"/>
      <c r="P83" s="389"/>
      <c r="Q83" s="45"/>
      <c r="R83" s="46">
        <v>5.0</v>
      </c>
      <c r="S83" s="46" t="s">
        <v>1677</v>
      </c>
      <c r="T83" s="46" t="s">
        <v>1564</v>
      </c>
      <c r="U83" s="44">
        <v>71.0</v>
      </c>
      <c r="V83" s="44">
        <v>13.0</v>
      </c>
      <c r="W83" s="389"/>
      <c r="X83" s="44">
        <v>33.0</v>
      </c>
      <c r="Y83" s="44">
        <v>22.26465</v>
      </c>
      <c r="Z83" s="44">
        <v>1.548169</v>
      </c>
      <c r="AA83" s="44">
        <v>6.943803</v>
      </c>
      <c r="AB83" s="44">
        <v>5.13831</v>
      </c>
      <c r="AC83" s="44">
        <v>0.908028</v>
      </c>
      <c r="AD83" s="44">
        <v>0.486056</v>
      </c>
      <c r="AE83" s="44">
        <v>0.493199</v>
      </c>
      <c r="AF83" s="44">
        <v>17.01197</v>
      </c>
      <c r="AG83" s="44">
        <v>0.72299</v>
      </c>
      <c r="AH83" s="44">
        <v>5.443944</v>
      </c>
      <c r="AI83" s="44">
        <v>2.221972</v>
      </c>
      <c r="AJ83" s="44">
        <v>28.20187</v>
      </c>
      <c r="AK83" s="44">
        <v>0.920238</v>
      </c>
      <c r="AL83" s="44">
        <v>-0.20185</v>
      </c>
      <c r="AM83" s="44">
        <v>0.343288</v>
      </c>
      <c r="AN83" s="44">
        <v>0.674932</v>
      </c>
      <c r="AO83" s="44">
        <v>-0.30597</v>
      </c>
      <c r="AP83" s="44">
        <v>-0.47324</v>
      </c>
      <c r="AQ83" s="44">
        <v>0.106341</v>
      </c>
      <c r="AR83" s="44">
        <v>-1.22798</v>
      </c>
      <c r="AS83" s="44">
        <v>-0.41491</v>
      </c>
    </row>
    <row r="84">
      <c r="A84" s="44">
        <v>83.0</v>
      </c>
      <c r="B84" s="44">
        <v>51.01429</v>
      </c>
      <c r="C84" s="44">
        <v>100.0</v>
      </c>
      <c r="D84" s="44">
        <v>0.0</v>
      </c>
      <c r="E84" s="44">
        <v>-0.06845</v>
      </c>
      <c r="F84" s="44">
        <v>-0.0491</v>
      </c>
      <c r="G84" s="44">
        <v>-0.68946</v>
      </c>
      <c r="H84" s="389"/>
      <c r="I84" s="46" t="s">
        <v>217</v>
      </c>
      <c r="J84" s="46" t="s">
        <v>465</v>
      </c>
      <c r="K84" s="46" t="s">
        <v>1616</v>
      </c>
      <c r="L84" s="46" t="s">
        <v>1717</v>
      </c>
      <c r="M84" s="389"/>
      <c r="N84" s="46" t="s">
        <v>1562</v>
      </c>
      <c r="O84" s="45"/>
      <c r="P84" s="389"/>
      <c r="Q84" s="389"/>
      <c r="R84" s="46">
        <v>3.0</v>
      </c>
      <c r="S84" s="46" t="s">
        <v>1603</v>
      </c>
      <c r="T84" s="46" t="s">
        <v>1564</v>
      </c>
      <c r="U84" s="44">
        <v>71.0</v>
      </c>
      <c r="V84" s="44">
        <v>15.0</v>
      </c>
      <c r="W84" s="389"/>
      <c r="X84" s="44">
        <v>32.0</v>
      </c>
      <c r="Y84" s="44">
        <v>20.98099</v>
      </c>
      <c r="Z84" s="44">
        <v>2.197324</v>
      </c>
      <c r="AA84" s="44">
        <v>8.091972</v>
      </c>
      <c r="AB84" s="44">
        <v>4.517606</v>
      </c>
      <c r="AC84" s="44">
        <v>1.022817</v>
      </c>
      <c r="AD84" s="44">
        <v>0.407183</v>
      </c>
      <c r="AE84" s="44">
        <v>0.477302</v>
      </c>
      <c r="AF84" s="44">
        <v>14.68789</v>
      </c>
      <c r="AG84" s="44">
        <v>0.772009</v>
      </c>
      <c r="AH84" s="44">
        <v>6.169014</v>
      </c>
      <c r="AI84" s="44">
        <v>3.196056</v>
      </c>
      <c r="AJ84" s="44">
        <v>26.66504</v>
      </c>
      <c r="AK84" s="44">
        <v>0.694029</v>
      </c>
      <c r="AL84" s="44">
        <v>0.419033</v>
      </c>
      <c r="AM84" s="44">
        <v>0.814448</v>
      </c>
      <c r="AN84" s="44">
        <v>0.375473</v>
      </c>
      <c r="AO84" s="44">
        <v>0.034956</v>
      </c>
      <c r="AP84" s="44">
        <v>-0.61552</v>
      </c>
      <c r="AQ84" s="44">
        <v>-0.25215</v>
      </c>
      <c r="AR84" s="44">
        <v>-0.44098</v>
      </c>
      <c r="AS84" s="44">
        <v>-1.64533</v>
      </c>
    </row>
    <row r="85">
      <c r="A85" s="44">
        <v>84.0</v>
      </c>
      <c r="B85" s="44">
        <v>89.65714</v>
      </c>
      <c r="C85" s="44">
        <v>100.0</v>
      </c>
      <c r="D85" s="44">
        <v>0.0</v>
      </c>
      <c r="E85" s="44">
        <v>-0.0692</v>
      </c>
      <c r="F85" s="44">
        <v>0.002384</v>
      </c>
      <c r="G85" s="44">
        <v>1.011076</v>
      </c>
      <c r="H85" s="389"/>
      <c r="I85" s="46" t="s">
        <v>569</v>
      </c>
      <c r="J85" s="46" t="s">
        <v>269</v>
      </c>
      <c r="K85" s="46" t="s">
        <v>1593</v>
      </c>
      <c r="L85" s="46" t="s">
        <v>1718</v>
      </c>
      <c r="M85" s="389"/>
      <c r="N85" s="46" t="s">
        <v>1562</v>
      </c>
      <c r="O85" s="46" t="s">
        <v>1595</v>
      </c>
      <c r="P85" s="389"/>
      <c r="Q85" s="389"/>
      <c r="R85" s="46">
        <v>3.0</v>
      </c>
      <c r="S85" s="46" t="s">
        <v>1719</v>
      </c>
      <c r="T85" s="46" t="s">
        <v>1564</v>
      </c>
      <c r="U85" s="44">
        <v>71.0</v>
      </c>
      <c r="V85" s="44">
        <v>16.0</v>
      </c>
      <c r="W85" s="389"/>
      <c r="X85" s="44">
        <v>32.0</v>
      </c>
      <c r="Y85" s="44">
        <v>14.08634</v>
      </c>
      <c r="Z85" s="44">
        <v>1.074225</v>
      </c>
      <c r="AA85" s="44">
        <v>5.05</v>
      </c>
      <c r="AB85" s="44">
        <v>3.164648</v>
      </c>
      <c r="AC85" s="44">
        <v>0.875352</v>
      </c>
      <c r="AD85" s="44">
        <v>0.340704</v>
      </c>
      <c r="AE85" s="44">
        <v>0.551512</v>
      </c>
      <c r="AF85" s="44">
        <v>9.96493</v>
      </c>
      <c r="AG85" s="44">
        <v>0.834021</v>
      </c>
      <c r="AH85" s="44">
        <v>2.422676</v>
      </c>
      <c r="AI85" s="44">
        <v>0.952394</v>
      </c>
      <c r="AJ85" s="44">
        <v>16.15309</v>
      </c>
      <c r="AK85" s="44">
        <v>-0.52095</v>
      </c>
      <c r="AL85" s="44">
        <v>-0.65515</v>
      </c>
      <c r="AM85" s="44">
        <v>-0.43385</v>
      </c>
      <c r="AN85" s="44">
        <v>-0.27726</v>
      </c>
      <c r="AO85" s="44">
        <v>-0.40302</v>
      </c>
      <c r="AP85" s="44">
        <v>-0.73543</v>
      </c>
      <c r="AQ85" s="44">
        <v>0.923687</v>
      </c>
      <c r="AR85" s="44">
        <v>0.290463</v>
      </c>
      <c r="AS85" s="44">
        <v>1.188768</v>
      </c>
    </row>
    <row r="86">
      <c r="A86" s="44">
        <v>85.0</v>
      </c>
      <c r="B86" s="44">
        <v>102.6286</v>
      </c>
      <c r="C86" s="44">
        <v>100.0</v>
      </c>
      <c r="D86" s="44">
        <v>0.0</v>
      </c>
      <c r="E86" s="44">
        <v>-0.07029</v>
      </c>
      <c r="F86" s="44">
        <v>6.96E-4</v>
      </c>
      <c r="G86" s="44">
        <v>0.397768</v>
      </c>
      <c r="H86" s="389"/>
      <c r="I86" s="46" t="s">
        <v>222</v>
      </c>
      <c r="J86" s="46" t="s">
        <v>1560</v>
      </c>
      <c r="K86" s="46" t="s">
        <v>1593</v>
      </c>
      <c r="L86" s="46" t="s">
        <v>1720</v>
      </c>
      <c r="M86" s="389"/>
      <c r="N86" s="46" t="s">
        <v>1570</v>
      </c>
      <c r="O86" s="389"/>
      <c r="P86" s="389"/>
      <c r="Q86" s="45"/>
      <c r="R86" s="46">
        <v>2.0</v>
      </c>
      <c r="S86" s="46" t="s">
        <v>1721</v>
      </c>
      <c r="T86" s="46" t="s">
        <v>1645</v>
      </c>
      <c r="U86" s="44">
        <v>66.0</v>
      </c>
      <c r="V86" s="44">
        <v>14.0</v>
      </c>
      <c r="W86" s="389"/>
      <c r="X86" s="44">
        <v>29.0</v>
      </c>
      <c r="Y86" s="44">
        <v>14.57364</v>
      </c>
      <c r="Z86" s="44">
        <v>2.610758</v>
      </c>
      <c r="AA86" s="44">
        <v>4.005606</v>
      </c>
      <c r="AB86" s="44">
        <v>2.280152</v>
      </c>
      <c r="AC86" s="44">
        <v>1.270152</v>
      </c>
      <c r="AD86" s="44">
        <v>0.436818</v>
      </c>
      <c r="AE86" s="44">
        <v>0.454532</v>
      </c>
      <c r="AF86" s="44">
        <v>12.07803</v>
      </c>
      <c r="AG86" s="44">
        <v>0.813974</v>
      </c>
      <c r="AH86" s="44">
        <v>1.207879</v>
      </c>
      <c r="AI86" s="44">
        <v>1.183485</v>
      </c>
      <c r="AJ86" s="44">
        <v>20.19458</v>
      </c>
      <c r="AK86" s="44">
        <v>-0.43508</v>
      </c>
      <c r="AL86" s="44">
        <v>0.814461</v>
      </c>
      <c r="AM86" s="44">
        <v>-0.86242</v>
      </c>
      <c r="AN86" s="44">
        <v>-0.70399</v>
      </c>
      <c r="AO86" s="44">
        <v>0.769558</v>
      </c>
      <c r="AP86" s="44">
        <v>-0.56206</v>
      </c>
      <c r="AQ86" s="44">
        <v>-0.61239</v>
      </c>
      <c r="AR86" s="44">
        <v>0.062437</v>
      </c>
      <c r="AS86" s="44">
        <v>0.896865</v>
      </c>
    </row>
    <row r="87">
      <c r="A87" s="44">
        <v>86.0</v>
      </c>
      <c r="B87" s="44">
        <v>25.7</v>
      </c>
      <c r="C87" s="44">
        <v>100.0</v>
      </c>
      <c r="D87" s="44">
        <v>0.0</v>
      </c>
      <c r="E87" s="44">
        <v>-0.0709</v>
      </c>
      <c r="F87" s="44">
        <v>0.006939</v>
      </c>
      <c r="G87" s="44">
        <v>0.509278</v>
      </c>
      <c r="H87" s="389"/>
      <c r="I87" s="46" t="s">
        <v>189</v>
      </c>
      <c r="J87" s="46" t="s">
        <v>442</v>
      </c>
      <c r="K87" s="46" t="s">
        <v>92</v>
      </c>
      <c r="L87" s="46" t="s">
        <v>1722</v>
      </c>
      <c r="M87" s="389"/>
      <c r="N87" s="46" t="s">
        <v>1562</v>
      </c>
      <c r="O87" s="46" t="s">
        <v>1571</v>
      </c>
      <c r="P87" s="389"/>
      <c r="Q87" s="389"/>
      <c r="R87" s="46">
        <v>4.0</v>
      </c>
      <c r="S87" s="46" t="s">
        <v>1673</v>
      </c>
      <c r="T87" s="46" t="s">
        <v>1564</v>
      </c>
      <c r="U87" s="44">
        <v>71.0</v>
      </c>
      <c r="V87" s="44">
        <v>14.0</v>
      </c>
      <c r="W87" s="389"/>
      <c r="X87" s="44">
        <v>35.0</v>
      </c>
      <c r="Y87" s="44">
        <v>26.39563</v>
      </c>
      <c r="Z87" s="44">
        <v>1.920423</v>
      </c>
      <c r="AA87" s="44">
        <v>7.860423</v>
      </c>
      <c r="AB87" s="44">
        <v>4.716197</v>
      </c>
      <c r="AC87" s="44">
        <v>0.785211</v>
      </c>
      <c r="AD87" s="44">
        <v>0.57169</v>
      </c>
      <c r="AE87" s="44">
        <v>0.468231</v>
      </c>
      <c r="AF87" s="44">
        <v>19.65085</v>
      </c>
      <c r="AG87" s="44">
        <v>0.754999</v>
      </c>
      <c r="AH87" s="44">
        <v>8.043662</v>
      </c>
      <c r="AI87" s="44">
        <v>2.715352</v>
      </c>
      <c r="AJ87" s="44">
        <v>32.66911</v>
      </c>
      <c r="AK87" s="44">
        <v>1.648206</v>
      </c>
      <c r="AL87" s="44">
        <v>0.154192</v>
      </c>
      <c r="AM87" s="44">
        <v>0.71943</v>
      </c>
      <c r="AN87" s="44">
        <v>0.471284</v>
      </c>
      <c r="AO87" s="44">
        <v>-0.67075</v>
      </c>
      <c r="AP87" s="44">
        <v>-0.31877</v>
      </c>
      <c r="AQ87" s="44">
        <v>-0.60311</v>
      </c>
      <c r="AR87" s="44">
        <v>-1.00042</v>
      </c>
      <c r="AS87" s="44">
        <v>-1.03812</v>
      </c>
    </row>
    <row r="88">
      <c r="A88" s="44">
        <v>87.0</v>
      </c>
      <c r="B88" s="44">
        <v>118.7101</v>
      </c>
      <c r="C88" s="44">
        <v>99.0</v>
      </c>
      <c r="D88" s="44">
        <v>0.0</v>
      </c>
      <c r="E88" s="44">
        <v>-0.07162</v>
      </c>
      <c r="F88" s="44">
        <v>-1.5E-4</v>
      </c>
      <c r="G88" s="44">
        <v>-2.70594</v>
      </c>
      <c r="H88" s="389"/>
      <c r="I88" s="46" t="s">
        <v>46</v>
      </c>
      <c r="J88" s="46" t="s">
        <v>465</v>
      </c>
      <c r="K88" s="46" t="s">
        <v>1568</v>
      </c>
      <c r="L88" s="46" t="s">
        <v>1723</v>
      </c>
      <c r="M88" s="389"/>
      <c r="N88" s="46" t="s">
        <v>1570</v>
      </c>
      <c r="O88" s="46" t="s">
        <v>1689</v>
      </c>
      <c r="P88" s="389"/>
      <c r="Q88" s="45"/>
      <c r="R88" s="46">
        <v>3.0</v>
      </c>
      <c r="S88" s="46" t="s">
        <v>1719</v>
      </c>
      <c r="T88" s="46" t="s">
        <v>1645</v>
      </c>
      <c r="U88" s="44">
        <v>59.0</v>
      </c>
      <c r="V88" s="44">
        <v>15.0</v>
      </c>
      <c r="W88" s="389"/>
      <c r="X88" s="44">
        <v>31.0</v>
      </c>
      <c r="Y88" s="44">
        <v>12.25695</v>
      </c>
      <c r="Z88" s="44">
        <v>2.044576</v>
      </c>
      <c r="AA88" s="44">
        <v>4.611186</v>
      </c>
      <c r="AB88" s="44">
        <v>5.27</v>
      </c>
      <c r="AC88" s="44">
        <v>1.187458</v>
      </c>
      <c r="AD88" s="44">
        <v>0.526441</v>
      </c>
      <c r="AE88" s="44">
        <v>0.436476</v>
      </c>
      <c r="AF88" s="44">
        <v>10.54051</v>
      </c>
      <c r="AG88" s="44">
        <v>0.870041</v>
      </c>
      <c r="AH88" s="44">
        <v>1.162034</v>
      </c>
      <c r="AI88" s="44">
        <v>1.712712</v>
      </c>
      <c r="AJ88" s="44">
        <v>17.05702</v>
      </c>
      <c r="AK88" s="44">
        <v>-0.84333</v>
      </c>
      <c r="AL88" s="44">
        <v>0.272938</v>
      </c>
      <c r="AM88" s="44">
        <v>-0.61392</v>
      </c>
      <c r="AN88" s="44">
        <v>0.738466</v>
      </c>
      <c r="AO88" s="44">
        <v>0.523951</v>
      </c>
      <c r="AP88" s="44">
        <v>-0.40039</v>
      </c>
      <c r="AQ88" s="44">
        <v>-0.8147</v>
      </c>
      <c r="AR88" s="44">
        <v>0.26401</v>
      </c>
      <c r="AS88" s="44">
        <v>0.228368</v>
      </c>
    </row>
    <row r="89">
      <c r="A89" s="44">
        <v>88.0</v>
      </c>
      <c r="B89" s="44">
        <v>141.2909</v>
      </c>
      <c r="C89" s="44">
        <v>89.0</v>
      </c>
      <c r="D89" s="44">
        <v>0.0</v>
      </c>
      <c r="E89" s="44">
        <v>-0.07486</v>
      </c>
      <c r="F89" s="44">
        <v>0.010807</v>
      </c>
      <c r="G89" s="44">
        <v>-0.49432</v>
      </c>
      <c r="H89" s="389"/>
      <c r="I89" s="46" t="s">
        <v>107</v>
      </c>
      <c r="J89" s="46" t="s">
        <v>304</v>
      </c>
      <c r="K89" s="46" t="s">
        <v>1572</v>
      </c>
      <c r="L89" s="46" t="s">
        <v>1724</v>
      </c>
      <c r="M89" s="389"/>
      <c r="N89" s="46" t="s">
        <v>1570</v>
      </c>
      <c r="O89" s="46" t="s">
        <v>1571</v>
      </c>
      <c r="P89" s="389"/>
      <c r="Q89" s="389"/>
      <c r="R89" s="46">
        <v>2.0</v>
      </c>
      <c r="S89" s="389"/>
      <c r="T89" s="46" t="s">
        <v>1645</v>
      </c>
      <c r="U89" s="44">
        <v>60.0</v>
      </c>
      <c r="V89" s="44">
        <v>13.0</v>
      </c>
      <c r="W89" s="389"/>
      <c r="X89" s="44">
        <v>30.0</v>
      </c>
      <c r="Y89" s="44">
        <v>13.2775</v>
      </c>
      <c r="Z89" s="44">
        <v>3.484833</v>
      </c>
      <c r="AA89" s="44">
        <v>5.278667</v>
      </c>
      <c r="AB89" s="44">
        <v>1.866833</v>
      </c>
      <c r="AC89" s="44">
        <v>0.792667</v>
      </c>
      <c r="AD89" s="44">
        <v>0.316667</v>
      </c>
      <c r="AE89" s="44">
        <v>0.434503</v>
      </c>
      <c r="AF89" s="44">
        <v>10.49283</v>
      </c>
      <c r="AG89" s="44">
        <v>0.918085</v>
      </c>
      <c r="AH89" s="44">
        <v>0.7345</v>
      </c>
      <c r="AI89" s="44">
        <v>0.643667</v>
      </c>
      <c r="AJ89" s="44">
        <v>15.69871</v>
      </c>
      <c r="AK89" s="44">
        <v>-0.66349</v>
      </c>
      <c r="AL89" s="44">
        <v>1.650469</v>
      </c>
      <c r="AM89" s="44">
        <v>-0.34001</v>
      </c>
      <c r="AN89" s="44">
        <v>-0.90339</v>
      </c>
      <c r="AO89" s="44">
        <v>-0.64861</v>
      </c>
      <c r="AP89" s="44">
        <v>-0.7788</v>
      </c>
      <c r="AQ89" s="44">
        <v>-0.84156</v>
      </c>
      <c r="AR89" s="44">
        <v>0.272904</v>
      </c>
      <c r="AS89" s="44">
        <v>1.57874</v>
      </c>
    </row>
    <row r="90">
      <c r="A90" s="44">
        <v>89.0</v>
      </c>
      <c r="B90" s="44">
        <v>42.31429</v>
      </c>
      <c r="C90" s="44">
        <v>100.0</v>
      </c>
      <c r="D90" s="44">
        <v>0.0</v>
      </c>
      <c r="E90" s="44">
        <v>-0.08279</v>
      </c>
      <c r="F90" s="44">
        <v>0.001949</v>
      </c>
      <c r="G90" s="44">
        <v>1.568629</v>
      </c>
      <c r="H90" s="389"/>
      <c r="I90" s="46" t="s">
        <v>39</v>
      </c>
      <c r="J90" s="46" t="s">
        <v>278</v>
      </c>
      <c r="K90" s="46" t="s">
        <v>1604</v>
      </c>
      <c r="L90" s="46" t="s">
        <v>1725</v>
      </c>
      <c r="M90" s="389"/>
      <c r="N90" s="46" t="s">
        <v>1562</v>
      </c>
      <c r="O90" s="389"/>
      <c r="P90" s="389"/>
      <c r="Q90" s="389"/>
      <c r="R90" s="46">
        <v>3.0</v>
      </c>
      <c r="S90" s="46" t="s">
        <v>1598</v>
      </c>
      <c r="T90" s="46" t="s">
        <v>1564</v>
      </c>
      <c r="U90" s="44">
        <v>71.0</v>
      </c>
      <c r="V90" s="44">
        <v>14.0</v>
      </c>
      <c r="W90" s="389"/>
      <c r="X90" s="44">
        <v>34.0</v>
      </c>
      <c r="Y90" s="44">
        <v>18.4169</v>
      </c>
      <c r="Z90" s="44">
        <v>1.85</v>
      </c>
      <c r="AA90" s="44">
        <v>5.938028</v>
      </c>
      <c r="AB90" s="44">
        <v>4.292535</v>
      </c>
      <c r="AC90" s="44">
        <v>1.287746</v>
      </c>
      <c r="AD90" s="44">
        <v>1.001549</v>
      </c>
      <c r="AE90" s="44">
        <v>0.429874</v>
      </c>
      <c r="AF90" s="44">
        <v>14.88056</v>
      </c>
      <c r="AG90" s="44">
        <v>0.817996</v>
      </c>
      <c r="AH90" s="44">
        <v>4.612958</v>
      </c>
      <c r="AI90" s="44">
        <v>3.147887</v>
      </c>
      <c r="AJ90" s="44">
        <v>25.23247</v>
      </c>
      <c r="AK90" s="44">
        <v>0.242183</v>
      </c>
      <c r="AL90" s="44">
        <v>0.086836</v>
      </c>
      <c r="AM90" s="44">
        <v>-0.06944</v>
      </c>
      <c r="AN90" s="44">
        <v>0.266888</v>
      </c>
      <c r="AO90" s="44">
        <v>0.821816</v>
      </c>
      <c r="AP90" s="44">
        <v>0.456639</v>
      </c>
      <c r="AQ90" s="44">
        <v>-1.29821</v>
      </c>
      <c r="AR90" s="44">
        <v>0.33265</v>
      </c>
      <c r="AS90" s="44">
        <v>-1.58448</v>
      </c>
    </row>
    <row r="91">
      <c r="A91" s="44">
        <v>90.0</v>
      </c>
      <c r="B91" s="44">
        <v>125.5</v>
      </c>
      <c r="C91" s="44">
        <v>97.0</v>
      </c>
      <c r="D91" s="44">
        <v>0.0</v>
      </c>
      <c r="E91" s="44">
        <v>-0.0835</v>
      </c>
      <c r="F91" s="44">
        <v>-2.0E-4</v>
      </c>
      <c r="G91" s="44">
        <v>-1.85103</v>
      </c>
      <c r="H91" s="389"/>
      <c r="I91" s="46" t="s">
        <v>60</v>
      </c>
      <c r="J91" s="46" t="s">
        <v>278</v>
      </c>
      <c r="K91" s="46" t="s">
        <v>1568</v>
      </c>
      <c r="L91" s="46" t="s">
        <v>1726</v>
      </c>
      <c r="M91" s="46" t="s">
        <v>1727</v>
      </c>
      <c r="N91" s="46" t="s">
        <v>1570</v>
      </c>
      <c r="O91" s="46" t="s">
        <v>1571</v>
      </c>
      <c r="P91" s="389"/>
      <c r="Q91" s="45"/>
      <c r="R91" s="46">
        <v>4.0</v>
      </c>
      <c r="S91" s="389"/>
      <c r="T91" s="46" t="s">
        <v>1630</v>
      </c>
      <c r="U91" s="44">
        <v>10.0</v>
      </c>
      <c r="V91" s="44">
        <v>14.0</v>
      </c>
      <c r="W91" s="389"/>
      <c r="X91" s="44">
        <v>28.0</v>
      </c>
      <c r="Y91" s="44">
        <v>18.409</v>
      </c>
      <c r="Z91" s="44">
        <v>2.257</v>
      </c>
      <c r="AA91" s="44">
        <v>3.653</v>
      </c>
      <c r="AB91" s="44">
        <v>3.067</v>
      </c>
      <c r="AC91" s="44">
        <v>1.021</v>
      </c>
      <c r="AD91" s="44">
        <v>0.424</v>
      </c>
      <c r="AE91" s="44">
        <v>0.453499</v>
      </c>
      <c r="AF91" s="44">
        <v>14.849</v>
      </c>
      <c r="AG91" s="44">
        <v>0.904008</v>
      </c>
      <c r="AH91" s="44">
        <v>2.969</v>
      </c>
      <c r="AI91" s="44">
        <v>1.747</v>
      </c>
      <c r="AJ91" s="44">
        <v>27.34639</v>
      </c>
      <c r="AK91" s="44">
        <v>0.240791</v>
      </c>
      <c r="AL91" s="44">
        <v>0.47611</v>
      </c>
      <c r="AM91" s="44">
        <v>-1.00712</v>
      </c>
      <c r="AN91" s="44">
        <v>-0.32437</v>
      </c>
      <c r="AO91" s="44">
        <v>0.02956</v>
      </c>
      <c r="AP91" s="44">
        <v>-0.58518</v>
      </c>
      <c r="AQ91" s="44">
        <v>-0.77718</v>
      </c>
      <c r="AR91" s="44">
        <v>1.01083</v>
      </c>
      <c r="AS91" s="44">
        <v>0.185057</v>
      </c>
    </row>
    <row r="92">
      <c r="A92" s="44">
        <v>91.0</v>
      </c>
      <c r="B92" s="44">
        <v>106.6714</v>
      </c>
      <c r="C92" s="44">
        <v>100.0</v>
      </c>
      <c r="D92" s="44">
        <v>0.0</v>
      </c>
      <c r="E92" s="44">
        <v>-0.08688</v>
      </c>
      <c r="F92" s="44">
        <v>0.001116</v>
      </c>
      <c r="G92" s="44">
        <v>-1.85103</v>
      </c>
      <c r="H92" s="389"/>
      <c r="I92" s="46" t="s">
        <v>220</v>
      </c>
      <c r="J92" s="46" t="s">
        <v>308</v>
      </c>
      <c r="K92" s="46" t="s">
        <v>88</v>
      </c>
      <c r="L92" s="46" t="s">
        <v>1728</v>
      </c>
      <c r="M92" s="46" t="s">
        <v>1665</v>
      </c>
      <c r="N92" s="46" t="s">
        <v>1570</v>
      </c>
      <c r="O92" s="46" t="s">
        <v>1729</v>
      </c>
      <c r="P92" s="389"/>
      <c r="Q92" s="389"/>
      <c r="R92" s="46">
        <v>4.0</v>
      </c>
      <c r="S92" s="46" t="s">
        <v>1719</v>
      </c>
      <c r="T92" s="46" t="s">
        <v>1564</v>
      </c>
      <c r="U92" s="44">
        <v>62.0</v>
      </c>
      <c r="V92" s="44">
        <v>15.0</v>
      </c>
      <c r="W92" s="389"/>
      <c r="X92" s="44">
        <v>31.0</v>
      </c>
      <c r="Y92" s="44">
        <v>17.15081</v>
      </c>
      <c r="Z92" s="44">
        <v>2.036452</v>
      </c>
      <c r="AA92" s="44">
        <v>3.257581</v>
      </c>
      <c r="AB92" s="44">
        <v>3.382903</v>
      </c>
      <c r="AC92" s="44">
        <v>1.004194</v>
      </c>
      <c r="AD92" s="44">
        <v>0.500484</v>
      </c>
      <c r="AE92" s="44">
        <v>0.491197</v>
      </c>
      <c r="AF92" s="44">
        <v>13.15581</v>
      </c>
      <c r="AG92" s="44">
        <v>0.830012</v>
      </c>
      <c r="AH92" s="44">
        <v>2.63871</v>
      </c>
      <c r="AI92" s="44">
        <v>1.566129</v>
      </c>
      <c r="AJ92" s="44">
        <v>22.88942</v>
      </c>
      <c r="AK92" s="44">
        <v>0.01907</v>
      </c>
      <c r="AL92" s="44">
        <v>0.265167</v>
      </c>
      <c r="AM92" s="44">
        <v>-1.16938</v>
      </c>
      <c r="AN92" s="44">
        <v>-0.17196</v>
      </c>
      <c r="AO92" s="44">
        <v>-0.02036</v>
      </c>
      <c r="AP92" s="44">
        <v>-0.44721</v>
      </c>
      <c r="AQ92" s="44">
        <v>0.044947</v>
      </c>
      <c r="AR92" s="44">
        <v>0.28431</v>
      </c>
      <c r="AS92" s="44">
        <v>0.413525</v>
      </c>
    </row>
    <row r="93">
      <c r="A93" s="44">
        <v>92.0</v>
      </c>
      <c r="B93" s="44">
        <v>73.94286</v>
      </c>
      <c r="C93" s="44">
        <v>100.0</v>
      </c>
      <c r="D93" s="44">
        <v>0.0</v>
      </c>
      <c r="E93" s="44">
        <v>-0.09366</v>
      </c>
      <c r="F93" s="44">
        <v>-2.4E-4</v>
      </c>
      <c r="G93" s="44">
        <v>-0.54078</v>
      </c>
      <c r="H93" s="389"/>
      <c r="I93" s="46" t="s">
        <v>98</v>
      </c>
      <c r="J93" s="46" t="s">
        <v>1639</v>
      </c>
      <c r="K93" s="46" t="s">
        <v>1568</v>
      </c>
      <c r="L93" s="46" t="s">
        <v>1730</v>
      </c>
      <c r="M93" s="389"/>
      <c r="N93" s="46" t="s">
        <v>1570</v>
      </c>
      <c r="O93" s="46" t="s">
        <v>1689</v>
      </c>
      <c r="P93" s="389"/>
      <c r="Q93" s="389"/>
      <c r="R93" s="46">
        <v>3.0</v>
      </c>
      <c r="S93" s="46" t="s">
        <v>1644</v>
      </c>
      <c r="T93" s="46" t="s">
        <v>1564</v>
      </c>
      <c r="U93" s="44">
        <v>66.0</v>
      </c>
      <c r="V93" s="44">
        <v>15.0</v>
      </c>
      <c r="W93" s="389"/>
      <c r="X93" s="44">
        <v>31.0</v>
      </c>
      <c r="Y93" s="44">
        <v>18.9253</v>
      </c>
      <c r="Z93" s="44">
        <v>3.177727</v>
      </c>
      <c r="AA93" s="44">
        <v>2.935303</v>
      </c>
      <c r="AB93" s="44">
        <v>4.305152</v>
      </c>
      <c r="AC93" s="44">
        <v>1.196364</v>
      </c>
      <c r="AD93" s="44">
        <v>0.326212</v>
      </c>
      <c r="AE93" s="44">
        <v>0.434908</v>
      </c>
      <c r="AF93" s="44">
        <v>15.00318</v>
      </c>
      <c r="AG93" s="44">
        <v>0.89901</v>
      </c>
      <c r="AH93" s="44">
        <v>3.000606</v>
      </c>
      <c r="AI93" s="44">
        <v>2.739697</v>
      </c>
      <c r="AJ93" s="44">
        <v>25.91018</v>
      </c>
      <c r="AK93" s="44">
        <v>0.331774</v>
      </c>
      <c r="AL93" s="44">
        <v>1.356738</v>
      </c>
      <c r="AM93" s="44">
        <v>-1.30163</v>
      </c>
      <c r="AN93" s="44">
        <v>0.272975</v>
      </c>
      <c r="AO93" s="44">
        <v>0.550402</v>
      </c>
      <c r="AP93" s="44">
        <v>-0.76158</v>
      </c>
      <c r="AQ93" s="44">
        <v>-1.19738</v>
      </c>
      <c r="AR93" s="44">
        <v>0.974673</v>
      </c>
      <c r="AS93" s="44">
        <v>-1.06888</v>
      </c>
    </row>
    <row r="94">
      <c r="A94" s="44">
        <v>93.0</v>
      </c>
      <c r="B94" s="44">
        <v>117.9194</v>
      </c>
      <c r="C94" s="44">
        <v>100.0</v>
      </c>
      <c r="D94" s="44">
        <v>0.0</v>
      </c>
      <c r="E94" s="44">
        <v>-0.09588</v>
      </c>
      <c r="F94" s="44">
        <v>0.040139</v>
      </c>
      <c r="G94" s="44">
        <v>1.289853</v>
      </c>
      <c r="H94" s="389"/>
      <c r="I94" s="46" t="s">
        <v>183</v>
      </c>
      <c r="J94" s="46" t="s">
        <v>386</v>
      </c>
      <c r="K94" s="46" t="s">
        <v>1568</v>
      </c>
      <c r="L94" s="46" t="s">
        <v>1731</v>
      </c>
      <c r="M94" s="389"/>
      <c r="N94" s="46" t="s">
        <v>1562</v>
      </c>
      <c r="O94" s="389"/>
      <c r="P94" s="389"/>
      <c r="Q94" s="45"/>
      <c r="R94" s="46">
        <v>3.0</v>
      </c>
      <c r="S94" s="46" t="s">
        <v>1732</v>
      </c>
      <c r="T94" s="46" t="s">
        <v>1645</v>
      </c>
      <c r="U94" s="44">
        <v>71.0</v>
      </c>
      <c r="V94" s="44">
        <v>14.0</v>
      </c>
      <c r="W94" s="389"/>
      <c r="X94" s="44">
        <v>28.0</v>
      </c>
      <c r="Y94" s="44">
        <v>12.30549</v>
      </c>
      <c r="Z94" s="44">
        <v>2.456901</v>
      </c>
      <c r="AA94" s="44">
        <v>3.351972</v>
      </c>
      <c r="AB94" s="44">
        <v>4.359859</v>
      </c>
      <c r="AC94" s="44">
        <v>1.590704</v>
      </c>
      <c r="AD94" s="44">
        <v>0.66</v>
      </c>
      <c r="AE94" s="44">
        <v>0.399381</v>
      </c>
      <c r="AF94" s="44">
        <v>11.19479</v>
      </c>
      <c r="AG94" s="44">
        <v>0.809889</v>
      </c>
      <c r="AH94" s="44">
        <v>1.119437</v>
      </c>
      <c r="AI94" s="44">
        <v>1.885352</v>
      </c>
      <c r="AJ94" s="44">
        <v>19.8307</v>
      </c>
      <c r="AK94" s="44">
        <v>-0.83478</v>
      </c>
      <c r="AL94" s="44">
        <v>0.667306</v>
      </c>
      <c r="AM94" s="44">
        <v>-1.13065</v>
      </c>
      <c r="AN94" s="44">
        <v>0.299369</v>
      </c>
      <c r="AO94" s="44">
        <v>1.721622</v>
      </c>
      <c r="AP94" s="44">
        <v>-0.15947</v>
      </c>
      <c r="AQ94" s="44">
        <v>-1.4792</v>
      </c>
      <c r="AR94" s="44">
        <v>0.042584</v>
      </c>
      <c r="AS94" s="44">
        <v>0.010296</v>
      </c>
    </row>
    <row r="95">
      <c r="A95" s="44">
        <v>94.0</v>
      </c>
      <c r="B95" s="44">
        <v>136.2615</v>
      </c>
      <c r="C95" s="44">
        <v>100.0</v>
      </c>
      <c r="D95" s="44">
        <v>0.0</v>
      </c>
      <c r="E95" s="44">
        <v>-0.09876</v>
      </c>
      <c r="F95" s="44">
        <v>0.001698</v>
      </c>
      <c r="G95" s="44">
        <v>-0.0111</v>
      </c>
      <c r="H95" s="389"/>
      <c r="I95" s="46" t="s">
        <v>158</v>
      </c>
      <c r="J95" s="46" t="s">
        <v>295</v>
      </c>
      <c r="K95" s="46" t="s">
        <v>1572</v>
      </c>
      <c r="L95" s="46" t="s">
        <v>1733</v>
      </c>
      <c r="M95" s="389"/>
      <c r="N95" s="46" t="s">
        <v>1570</v>
      </c>
      <c r="O95" s="389"/>
      <c r="P95" s="389"/>
      <c r="Q95" s="45"/>
      <c r="R95" s="46">
        <v>3.0</v>
      </c>
      <c r="S95" s="46" t="s">
        <v>1721</v>
      </c>
      <c r="T95" s="46" t="s">
        <v>1564</v>
      </c>
      <c r="U95" s="44">
        <v>66.0</v>
      </c>
      <c r="V95" s="44">
        <v>13.0</v>
      </c>
      <c r="W95" s="389"/>
      <c r="X95" s="44">
        <v>29.0</v>
      </c>
      <c r="Y95" s="44">
        <v>14.89364</v>
      </c>
      <c r="Z95" s="44">
        <v>2.294394</v>
      </c>
      <c r="AA95" s="44">
        <v>4.454545</v>
      </c>
      <c r="AB95" s="44">
        <v>2.013636</v>
      </c>
      <c r="AC95" s="44">
        <v>0.976364</v>
      </c>
      <c r="AD95" s="44">
        <v>0.483182</v>
      </c>
      <c r="AE95" s="44">
        <v>0.474746</v>
      </c>
      <c r="AF95" s="44">
        <v>10.92258</v>
      </c>
      <c r="AG95" s="44">
        <v>0.850017</v>
      </c>
      <c r="AH95" s="44">
        <v>2.621515</v>
      </c>
      <c r="AI95" s="44">
        <v>1.220455</v>
      </c>
      <c r="AJ95" s="44">
        <v>19.72827</v>
      </c>
      <c r="AK95" s="44">
        <v>-0.37869</v>
      </c>
      <c r="AL95" s="44">
        <v>0.511876</v>
      </c>
      <c r="AM95" s="44">
        <v>-0.6782</v>
      </c>
      <c r="AN95" s="44">
        <v>-0.83257</v>
      </c>
      <c r="AO95" s="44">
        <v>-0.10301</v>
      </c>
      <c r="AP95" s="44">
        <v>-0.47842</v>
      </c>
      <c r="AQ95" s="44">
        <v>-0.22694</v>
      </c>
      <c r="AR95" s="44">
        <v>0.446927</v>
      </c>
      <c r="AS95" s="44">
        <v>0.850166</v>
      </c>
    </row>
    <row r="96">
      <c r="A96" s="44">
        <v>95.0</v>
      </c>
      <c r="B96" s="44">
        <v>95.5</v>
      </c>
      <c r="C96" s="44">
        <v>100.0</v>
      </c>
      <c r="D96" s="44">
        <v>0.0</v>
      </c>
      <c r="E96" s="44">
        <v>-0.11893</v>
      </c>
      <c r="F96" s="44">
        <v>2.06E-4</v>
      </c>
      <c r="G96" s="44">
        <v>0.481401</v>
      </c>
      <c r="H96" s="389"/>
      <c r="I96" s="46" t="s">
        <v>141</v>
      </c>
      <c r="J96" s="46" t="s">
        <v>465</v>
      </c>
      <c r="K96" s="46" t="s">
        <v>1593</v>
      </c>
      <c r="L96" s="46" t="s">
        <v>1734</v>
      </c>
      <c r="M96" s="389"/>
      <c r="N96" s="46" t="s">
        <v>1570</v>
      </c>
      <c r="O96" s="46" t="s">
        <v>1595</v>
      </c>
      <c r="P96" s="389"/>
      <c r="Q96" s="45"/>
      <c r="R96" s="46">
        <v>2.0</v>
      </c>
      <c r="S96" s="46" t="s">
        <v>1735</v>
      </c>
      <c r="T96" s="46" t="s">
        <v>1645</v>
      </c>
      <c r="U96" s="44">
        <v>66.0</v>
      </c>
      <c r="V96" s="44">
        <v>15.0</v>
      </c>
      <c r="W96" s="389"/>
      <c r="X96" s="44">
        <v>32.0</v>
      </c>
      <c r="Y96" s="44">
        <v>22.6097</v>
      </c>
      <c r="Z96" s="44">
        <v>2.518485</v>
      </c>
      <c r="AA96" s="44">
        <v>5.16803</v>
      </c>
      <c r="AB96" s="44">
        <v>3.263939</v>
      </c>
      <c r="AC96" s="44">
        <v>0.954848</v>
      </c>
      <c r="AD96" s="44">
        <v>0.203636</v>
      </c>
      <c r="AE96" s="44">
        <v>0.467504</v>
      </c>
      <c r="AF96" s="44">
        <v>17.74833</v>
      </c>
      <c r="AG96" s="44">
        <v>0.788007</v>
      </c>
      <c r="AH96" s="44">
        <v>4.43697</v>
      </c>
      <c r="AI96" s="44">
        <v>2.172273</v>
      </c>
      <c r="AJ96" s="44">
        <v>28.31499</v>
      </c>
      <c r="AK96" s="44">
        <v>0.981043</v>
      </c>
      <c r="AL96" s="44">
        <v>0.726207</v>
      </c>
      <c r="AM96" s="44">
        <v>-0.38541</v>
      </c>
      <c r="AN96" s="44">
        <v>-0.22936</v>
      </c>
      <c r="AO96" s="44">
        <v>-0.16691</v>
      </c>
      <c r="AP96" s="44">
        <v>-0.98269</v>
      </c>
      <c r="AQ96" s="44">
        <v>-0.56307</v>
      </c>
      <c r="AR96" s="44">
        <v>-0.09803</v>
      </c>
      <c r="AS96" s="44">
        <v>-0.35213</v>
      </c>
    </row>
    <row r="97">
      <c r="A97" s="44">
        <v>96.0</v>
      </c>
      <c r="B97" s="44">
        <v>90.45714</v>
      </c>
      <c r="C97" s="44">
        <v>100.0</v>
      </c>
      <c r="D97" s="44">
        <v>0.0</v>
      </c>
      <c r="E97" s="44">
        <v>-0.11915</v>
      </c>
      <c r="F97" s="44">
        <v>0.004655</v>
      </c>
      <c r="G97" s="44">
        <v>-0.87531</v>
      </c>
      <c r="H97" s="389"/>
      <c r="I97" s="46" t="s">
        <v>129</v>
      </c>
      <c r="J97" s="46" t="s">
        <v>308</v>
      </c>
      <c r="K97" s="46" t="s">
        <v>1572</v>
      </c>
      <c r="L97" s="46" t="s">
        <v>1736</v>
      </c>
      <c r="M97" s="389"/>
      <c r="N97" s="46" t="s">
        <v>1562</v>
      </c>
      <c r="O97" s="46" t="s">
        <v>1576</v>
      </c>
      <c r="P97" s="389"/>
      <c r="Q97" s="45"/>
      <c r="R97" s="46">
        <v>3.0</v>
      </c>
      <c r="S97" s="389"/>
      <c r="T97" s="46" t="s">
        <v>1564</v>
      </c>
      <c r="U97" s="44">
        <v>71.0</v>
      </c>
      <c r="V97" s="44">
        <v>15.0</v>
      </c>
      <c r="W97" s="389"/>
      <c r="X97" s="44">
        <v>29.0</v>
      </c>
      <c r="Y97" s="44">
        <v>15.6831</v>
      </c>
      <c r="Z97" s="44">
        <v>1.130423</v>
      </c>
      <c r="AA97" s="44">
        <v>6.446479</v>
      </c>
      <c r="AB97" s="44">
        <v>1.230704</v>
      </c>
      <c r="AC97" s="44">
        <v>0.644648</v>
      </c>
      <c r="AD97" s="44">
        <v>0.761831</v>
      </c>
      <c r="AE97" s="44">
        <v>0.557459</v>
      </c>
      <c r="AF97" s="44">
        <v>11.01704</v>
      </c>
      <c r="AG97" s="44">
        <v>0.823993</v>
      </c>
      <c r="AH97" s="44">
        <v>2.754366</v>
      </c>
      <c r="AI97" s="44">
        <v>1.46507</v>
      </c>
      <c r="AJ97" s="44">
        <v>21.09591</v>
      </c>
      <c r="AK97" s="44">
        <v>-0.23957</v>
      </c>
      <c r="AL97" s="44">
        <v>-0.6014</v>
      </c>
      <c r="AM97" s="44">
        <v>0.139207</v>
      </c>
      <c r="AN97" s="44">
        <v>-1.21029</v>
      </c>
      <c r="AO97" s="44">
        <v>-1.08823</v>
      </c>
      <c r="AP97" s="44">
        <v>0.02422</v>
      </c>
      <c r="AQ97" s="44">
        <v>1.117261</v>
      </c>
      <c r="AR97" s="44">
        <v>0.245307</v>
      </c>
      <c r="AS97" s="44">
        <v>0.541178</v>
      </c>
    </row>
    <row r="98">
      <c r="A98" s="44">
        <v>97.0</v>
      </c>
      <c r="B98" s="44">
        <v>135.5682</v>
      </c>
      <c r="C98" s="44">
        <v>94.0</v>
      </c>
      <c r="D98" s="44">
        <v>0.0</v>
      </c>
      <c r="E98" s="44">
        <v>-0.12077</v>
      </c>
      <c r="F98" s="44">
        <v>0.007252</v>
      </c>
      <c r="G98" s="44">
        <v>0.276965</v>
      </c>
      <c r="H98" s="389"/>
      <c r="I98" s="46" t="s">
        <v>171</v>
      </c>
      <c r="J98" s="46" t="s">
        <v>295</v>
      </c>
      <c r="K98" s="46" t="s">
        <v>97</v>
      </c>
      <c r="L98" s="46" t="s">
        <v>1737</v>
      </c>
      <c r="M98" s="389"/>
      <c r="N98" s="46" t="s">
        <v>1570</v>
      </c>
      <c r="O98" s="46" t="s">
        <v>1571</v>
      </c>
      <c r="P98" s="389"/>
      <c r="Q98" s="389"/>
      <c r="R98" s="46">
        <v>1.0</v>
      </c>
      <c r="S98" s="389"/>
      <c r="T98" s="46" t="s">
        <v>1645</v>
      </c>
      <c r="U98" s="44">
        <v>54.0</v>
      </c>
      <c r="V98" s="44">
        <v>13.0</v>
      </c>
      <c r="W98" s="389"/>
      <c r="X98" s="44">
        <v>24.0</v>
      </c>
      <c r="Y98" s="44">
        <v>10.28537</v>
      </c>
      <c r="Z98" s="44">
        <v>0.05037</v>
      </c>
      <c r="AA98" s="44">
        <v>6.867963</v>
      </c>
      <c r="AB98" s="44">
        <v>1.399444</v>
      </c>
      <c r="AC98" s="44">
        <v>0.943704</v>
      </c>
      <c r="AD98" s="44">
        <v>1.926852</v>
      </c>
      <c r="AE98" s="44">
        <v>0.582531</v>
      </c>
      <c r="AF98" s="44">
        <v>6.867222</v>
      </c>
      <c r="AG98" s="44">
        <v>0.677999</v>
      </c>
      <c r="AH98" s="44">
        <v>3.29537</v>
      </c>
      <c r="AI98" s="44">
        <v>1.189444</v>
      </c>
      <c r="AJ98" s="44">
        <v>17.04375</v>
      </c>
      <c r="AK98" s="44">
        <v>-1.19077</v>
      </c>
      <c r="AL98" s="44">
        <v>-1.63442</v>
      </c>
      <c r="AM98" s="44">
        <v>0.312167</v>
      </c>
      <c r="AN98" s="44">
        <v>-1.12888</v>
      </c>
      <c r="AO98" s="44">
        <v>-0.20002</v>
      </c>
      <c r="AP98" s="44">
        <v>2.125757</v>
      </c>
      <c r="AQ98" s="44">
        <v>0.953452</v>
      </c>
      <c r="AR98" s="44">
        <v>-1.21356</v>
      </c>
      <c r="AS98" s="44">
        <v>0.889337</v>
      </c>
    </row>
    <row r="99">
      <c r="A99" s="44">
        <v>98.0</v>
      </c>
      <c r="B99" s="44">
        <v>110.8429</v>
      </c>
      <c r="C99" s="44">
        <v>100.0</v>
      </c>
      <c r="D99" s="44">
        <v>0.0</v>
      </c>
      <c r="E99" s="44">
        <v>-0.12415</v>
      </c>
      <c r="F99" s="44">
        <v>0.003025</v>
      </c>
      <c r="G99" s="44">
        <v>1.122587</v>
      </c>
      <c r="H99" s="389"/>
      <c r="I99" s="46" t="s">
        <v>45</v>
      </c>
      <c r="J99" s="46" t="s">
        <v>365</v>
      </c>
      <c r="K99" s="46" t="s">
        <v>1572</v>
      </c>
      <c r="L99" s="46" t="s">
        <v>1738</v>
      </c>
      <c r="M99" s="46" t="s">
        <v>1739</v>
      </c>
      <c r="N99" s="46" t="s">
        <v>1562</v>
      </c>
      <c r="O99" s="45"/>
      <c r="P99" s="389"/>
      <c r="Q99" s="45"/>
      <c r="R99" s="46">
        <v>3.0</v>
      </c>
      <c r="S99" s="46" t="s">
        <v>1721</v>
      </c>
      <c r="T99" s="46" t="s">
        <v>1564</v>
      </c>
      <c r="U99" s="44">
        <v>71.0</v>
      </c>
      <c r="V99" s="44">
        <v>13.0</v>
      </c>
      <c r="W99" s="389"/>
      <c r="X99" s="44">
        <v>31.0</v>
      </c>
      <c r="Y99" s="44">
        <v>12.43211</v>
      </c>
      <c r="Z99" s="44">
        <v>1.046338</v>
      </c>
      <c r="AA99" s="44">
        <v>5.306761</v>
      </c>
      <c r="AB99" s="44">
        <v>1.854225</v>
      </c>
      <c r="AC99" s="44">
        <v>1.086901</v>
      </c>
      <c r="AD99" s="44">
        <v>0.898873</v>
      </c>
      <c r="AE99" s="44">
        <v>0.495629</v>
      </c>
      <c r="AF99" s="44">
        <v>10.16549</v>
      </c>
      <c r="AG99" s="44">
        <v>0.812997</v>
      </c>
      <c r="AH99" s="44">
        <v>1.610282</v>
      </c>
      <c r="AI99" s="44">
        <v>1.15507</v>
      </c>
      <c r="AJ99" s="44">
        <v>16.84148</v>
      </c>
      <c r="AK99" s="44">
        <v>-0.81246</v>
      </c>
      <c r="AL99" s="44">
        <v>-0.68182</v>
      </c>
      <c r="AM99" s="44">
        <v>-0.32848</v>
      </c>
      <c r="AN99" s="44">
        <v>-0.90947</v>
      </c>
      <c r="AO99" s="44">
        <v>0.225292</v>
      </c>
      <c r="AP99" s="44">
        <v>0.271425</v>
      </c>
      <c r="AQ99" s="44">
        <v>0.102892</v>
      </c>
      <c r="AR99" s="44">
        <v>0.082557</v>
      </c>
      <c r="AS99" s="44">
        <v>0.932756</v>
      </c>
    </row>
    <row r="100">
      <c r="A100" s="44">
        <v>99.0</v>
      </c>
      <c r="B100" s="44">
        <v>75.88571</v>
      </c>
      <c r="C100" s="44">
        <v>100.0</v>
      </c>
      <c r="D100" s="44">
        <v>0.0</v>
      </c>
      <c r="E100" s="44">
        <v>-0.1246</v>
      </c>
      <c r="F100" s="44">
        <v>0.006793</v>
      </c>
      <c r="G100" s="44">
        <v>1.076124</v>
      </c>
      <c r="H100" s="389"/>
      <c r="I100" s="46" t="s">
        <v>100</v>
      </c>
      <c r="J100" s="46" t="s">
        <v>465</v>
      </c>
      <c r="K100" s="46" t="s">
        <v>97</v>
      </c>
      <c r="L100" s="46" t="s">
        <v>1740</v>
      </c>
      <c r="M100" s="389"/>
      <c r="N100" s="46" t="s">
        <v>1570</v>
      </c>
      <c r="O100" s="389"/>
      <c r="P100" s="389"/>
      <c r="Q100" s="45"/>
      <c r="R100" s="46">
        <v>3.0</v>
      </c>
      <c r="S100" s="389"/>
      <c r="T100" s="46" t="s">
        <v>1564</v>
      </c>
      <c r="U100" s="44">
        <v>66.0</v>
      </c>
      <c r="V100" s="44">
        <v>15.0</v>
      </c>
      <c r="W100" s="389"/>
      <c r="X100" s="44">
        <v>27.0</v>
      </c>
      <c r="Y100" s="44">
        <v>11.13182</v>
      </c>
      <c r="Z100" s="44">
        <v>0.312576</v>
      </c>
      <c r="AA100" s="44">
        <v>10.32742</v>
      </c>
      <c r="AB100" s="44">
        <v>1.861212</v>
      </c>
      <c r="AC100" s="44">
        <v>0.71</v>
      </c>
      <c r="AD100" s="44">
        <v>1.721212</v>
      </c>
      <c r="AE100" s="44">
        <v>0.559225</v>
      </c>
      <c r="AF100" s="44">
        <v>8.26197</v>
      </c>
      <c r="AG100" s="44">
        <v>0.578994</v>
      </c>
      <c r="AH100" s="44">
        <v>2.726515</v>
      </c>
      <c r="AI100" s="44">
        <v>1.410909</v>
      </c>
      <c r="AJ100" s="44">
        <v>16.68123</v>
      </c>
      <c r="AK100" s="44">
        <v>-1.0416</v>
      </c>
      <c r="AL100" s="44">
        <v>-1.38363</v>
      </c>
      <c r="AM100" s="44">
        <v>1.731783</v>
      </c>
      <c r="AN100" s="44">
        <v>-0.9061</v>
      </c>
      <c r="AO100" s="44">
        <v>-0.89413</v>
      </c>
      <c r="AP100" s="44">
        <v>1.754811</v>
      </c>
      <c r="AQ100" s="44">
        <v>0.861197</v>
      </c>
      <c r="AR100" s="44">
        <v>-1.85327</v>
      </c>
      <c r="AS100" s="44">
        <v>0.609592</v>
      </c>
    </row>
    <row r="101">
      <c r="A101" s="44">
        <v>100.0</v>
      </c>
      <c r="B101" s="44">
        <v>59.85714</v>
      </c>
      <c r="C101" s="44">
        <v>100.0</v>
      </c>
      <c r="D101" s="44">
        <v>0.0</v>
      </c>
      <c r="E101" s="44">
        <v>-0.12513</v>
      </c>
      <c r="F101" s="44">
        <v>0.002131</v>
      </c>
      <c r="G101" s="44">
        <v>1.076124</v>
      </c>
      <c r="H101" s="389"/>
      <c r="I101" s="46" t="s">
        <v>206</v>
      </c>
      <c r="J101" s="46" t="s">
        <v>1608</v>
      </c>
      <c r="K101" s="46" t="s">
        <v>1593</v>
      </c>
      <c r="L101" s="46" t="s">
        <v>1741</v>
      </c>
      <c r="M101" s="46" t="s">
        <v>1742</v>
      </c>
      <c r="N101" s="46" t="s">
        <v>1562</v>
      </c>
      <c r="O101" s="389"/>
      <c r="P101" s="389"/>
      <c r="Q101" s="389"/>
      <c r="R101" s="46">
        <v>2.0</v>
      </c>
      <c r="S101" s="389"/>
      <c r="T101" s="46" t="s">
        <v>1630</v>
      </c>
      <c r="U101" s="44">
        <v>71.0</v>
      </c>
      <c r="V101" s="44">
        <v>14.0</v>
      </c>
      <c r="W101" s="389"/>
      <c r="X101" s="44">
        <v>32.0</v>
      </c>
      <c r="Y101" s="44">
        <v>11.37254</v>
      </c>
      <c r="Z101" s="44">
        <v>0.895352</v>
      </c>
      <c r="AA101" s="44">
        <v>7.26</v>
      </c>
      <c r="AB101" s="44">
        <v>4.553944</v>
      </c>
      <c r="AC101" s="44">
        <v>1.188028</v>
      </c>
      <c r="AD101" s="44">
        <v>0.267746</v>
      </c>
      <c r="AE101" s="44">
        <v>0.494294</v>
      </c>
      <c r="AF101" s="44">
        <v>8.910423</v>
      </c>
      <c r="AG101" s="44">
        <v>0.742975</v>
      </c>
      <c r="AH101" s="44">
        <v>2.245634</v>
      </c>
      <c r="AI101" s="44">
        <v>1.518028</v>
      </c>
      <c r="AJ101" s="44">
        <v>15.48104</v>
      </c>
      <c r="AK101" s="44">
        <v>-0.99918</v>
      </c>
      <c r="AL101" s="44">
        <v>-0.82623</v>
      </c>
      <c r="AM101" s="44">
        <v>0.473042</v>
      </c>
      <c r="AN101" s="44">
        <v>0.393005</v>
      </c>
      <c r="AO101" s="44">
        <v>0.525646</v>
      </c>
      <c r="AP101" s="44">
        <v>-0.86704</v>
      </c>
      <c r="AQ101" s="44">
        <v>0.073491</v>
      </c>
      <c r="AR101" s="44">
        <v>-0.37322</v>
      </c>
      <c r="AS101" s="44">
        <v>0.474284</v>
      </c>
    </row>
    <row r="102">
      <c r="A102" s="44">
        <v>101.0</v>
      </c>
      <c r="B102" s="44">
        <v>79.9</v>
      </c>
      <c r="C102" s="44">
        <v>100.0</v>
      </c>
      <c r="D102" s="44">
        <v>0.0</v>
      </c>
      <c r="E102" s="44">
        <v>-0.12898</v>
      </c>
      <c r="F102" s="44">
        <v>6.56E-4</v>
      </c>
      <c r="G102" s="44">
        <v>1.568629</v>
      </c>
      <c r="H102" s="389"/>
      <c r="I102" s="46" t="s">
        <v>194</v>
      </c>
      <c r="J102" s="46" t="s">
        <v>1608</v>
      </c>
      <c r="K102" s="46" t="s">
        <v>1616</v>
      </c>
      <c r="L102" s="46" t="s">
        <v>1743</v>
      </c>
      <c r="M102" s="389"/>
      <c r="N102" s="46" t="s">
        <v>1612</v>
      </c>
      <c r="O102" s="46" t="s">
        <v>1571</v>
      </c>
      <c r="P102" s="389"/>
      <c r="Q102" s="389"/>
      <c r="R102" s="46">
        <v>5.0</v>
      </c>
      <c r="S102" s="46" t="s">
        <v>1719</v>
      </c>
      <c r="T102" s="46" t="s">
        <v>1564</v>
      </c>
      <c r="U102" s="44">
        <v>79.0</v>
      </c>
      <c r="V102" s="44">
        <v>14.0</v>
      </c>
      <c r="W102" s="389"/>
      <c r="X102" s="44">
        <v>36.0</v>
      </c>
      <c r="Y102" s="44">
        <v>16.49785</v>
      </c>
      <c r="Z102" s="44">
        <v>1.641139</v>
      </c>
      <c r="AA102" s="44">
        <v>2.97</v>
      </c>
      <c r="AB102" s="44">
        <v>4.359747</v>
      </c>
      <c r="AC102" s="44">
        <v>0.895696</v>
      </c>
      <c r="AD102" s="44">
        <v>0.517848</v>
      </c>
      <c r="AE102" s="44">
        <v>0.502548</v>
      </c>
      <c r="AF102" s="44">
        <v>13.51392</v>
      </c>
      <c r="AG102" s="44">
        <v>0.857021</v>
      </c>
      <c r="AH102" s="44">
        <v>1.486456</v>
      </c>
      <c r="AI102" s="44">
        <v>1.702278</v>
      </c>
      <c r="AJ102" s="44">
        <v>19.12921</v>
      </c>
      <c r="AK102" s="44">
        <v>-0.09599</v>
      </c>
      <c r="AL102" s="44">
        <v>-0.11293</v>
      </c>
      <c r="AM102" s="44">
        <v>-1.28739</v>
      </c>
      <c r="AN102" s="44">
        <v>0.299314</v>
      </c>
      <c r="AO102" s="44">
        <v>-0.3426</v>
      </c>
      <c r="AP102" s="44">
        <v>-0.41589</v>
      </c>
      <c r="AQ102" s="44">
        <v>0.272585</v>
      </c>
      <c r="AR102" s="44">
        <v>0.280557</v>
      </c>
      <c r="AS102" s="44">
        <v>0.241547</v>
      </c>
    </row>
    <row r="103">
      <c r="A103" s="44">
        <v>102.0</v>
      </c>
      <c r="B103" s="44">
        <v>116.9429</v>
      </c>
      <c r="C103" s="44">
        <v>100.0</v>
      </c>
      <c r="D103" s="44">
        <v>0.0</v>
      </c>
      <c r="E103" s="44">
        <v>-0.13528</v>
      </c>
      <c r="F103" s="270">
        <v>0.003022</v>
      </c>
      <c r="G103" s="44">
        <v>-0.20625</v>
      </c>
      <c r="H103" s="389"/>
      <c r="I103" s="46" t="s">
        <v>223</v>
      </c>
      <c r="J103" s="46" t="s">
        <v>1639</v>
      </c>
      <c r="K103" s="46" t="s">
        <v>1572</v>
      </c>
      <c r="L103" s="46" t="s">
        <v>1744</v>
      </c>
      <c r="M103" s="389"/>
      <c r="N103" s="46" t="s">
        <v>1562</v>
      </c>
      <c r="O103" s="46" t="s">
        <v>1571</v>
      </c>
      <c r="P103" s="389"/>
      <c r="Q103" s="389"/>
      <c r="R103" s="46">
        <v>4.0</v>
      </c>
      <c r="S103" s="46" t="s">
        <v>1745</v>
      </c>
      <c r="T103" s="46" t="s">
        <v>1564</v>
      </c>
      <c r="U103" s="44">
        <v>71.0</v>
      </c>
      <c r="V103" s="44">
        <v>15.0</v>
      </c>
      <c r="W103" s="389"/>
      <c r="X103" s="44">
        <v>33.0</v>
      </c>
      <c r="Y103" s="44">
        <v>10.25239</v>
      </c>
      <c r="Z103" s="44">
        <v>1.00493</v>
      </c>
      <c r="AA103" s="44">
        <v>4.027324</v>
      </c>
      <c r="AB103" s="44">
        <v>3.062394</v>
      </c>
      <c r="AC103" s="44">
        <v>1.737606</v>
      </c>
      <c r="AD103" s="44">
        <v>0.55507</v>
      </c>
      <c r="AE103" s="44">
        <v>0.453362</v>
      </c>
      <c r="AF103" s="44">
        <v>8.332113</v>
      </c>
      <c r="AG103" s="44">
        <v>0.845018</v>
      </c>
      <c r="AH103" s="44">
        <v>2.002958</v>
      </c>
      <c r="AI103" s="44">
        <v>1.735915</v>
      </c>
      <c r="AJ103" s="44">
        <v>13.98013</v>
      </c>
      <c r="AK103" s="44">
        <v>-1.19658</v>
      </c>
      <c r="AL103" s="44">
        <v>-0.72143</v>
      </c>
      <c r="AM103" s="44">
        <v>-0.85351</v>
      </c>
      <c r="AN103" s="44">
        <v>-0.32659</v>
      </c>
      <c r="AO103" s="44">
        <v>2.15793</v>
      </c>
      <c r="AP103" s="44">
        <v>-0.34875</v>
      </c>
      <c r="AQ103" s="44">
        <v>-0.43466</v>
      </c>
      <c r="AR103" s="44">
        <v>0.307041</v>
      </c>
      <c r="AS103" s="44">
        <v>0.199058</v>
      </c>
    </row>
    <row r="104">
      <c r="A104" s="44">
        <v>103.0</v>
      </c>
      <c r="B104" s="44">
        <v>80.52857</v>
      </c>
      <c r="C104" s="44">
        <v>100.0</v>
      </c>
      <c r="D104" s="44">
        <v>0.0</v>
      </c>
      <c r="E104" s="44">
        <v>-0.14085</v>
      </c>
      <c r="F104" s="44">
        <v>0.063095</v>
      </c>
      <c r="G104" s="44">
        <v>-0.78239</v>
      </c>
      <c r="H104" s="389"/>
      <c r="I104" s="46" t="s">
        <v>193</v>
      </c>
      <c r="J104" s="46" t="s">
        <v>332</v>
      </c>
      <c r="K104" s="46" t="s">
        <v>1572</v>
      </c>
      <c r="L104" s="46" t="s">
        <v>1746</v>
      </c>
      <c r="M104" s="389"/>
      <c r="N104" s="46" t="s">
        <v>1570</v>
      </c>
      <c r="O104" s="389"/>
      <c r="P104" s="389"/>
      <c r="Q104" s="45"/>
      <c r="R104" s="46">
        <v>2.0</v>
      </c>
      <c r="S104" s="46" t="s">
        <v>1650</v>
      </c>
      <c r="T104" s="46" t="s">
        <v>1564</v>
      </c>
      <c r="U104" s="44">
        <v>59.0</v>
      </c>
      <c r="V104" s="44">
        <v>15.0</v>
      </c>
      <c r="W104" s="389"/>
      <c r="X104" s="44">
        <v>33.0</v>
      </c>
      <c r="Y104" s="44">
        <v>21.1439</v>
      </c>
      <c r="Z104" s="44">
        <v>1.944068</v>
      </c>
      <c r="AA104" s="44">
        <v>5.52339</v>
      </c>
      <c r="AB104" s="44">
        <v>4.744407</v>
      </c>
      <c r="AC104" s="44">
        <v>0.708136</v>
      </c>
      <c r="AD104" s="44">
        <v>0.566441</v>
      </c>
      <c r="AE104" s="44">
        <v>0.468596</v>
      </c>
      <c r="AF104" s="44">
        <v>16.99559</v>
      </c>
      <c r="AG104" s="44">
        <v>0.837005</v>
      </c>
      <c r="AH104" s="44">
        <v>3.908814</v>
      </c>
      <c r="AI104" s="44">
        <v>2.832542</v>
      </c>
      <c r="AJ104" s="44">
        <v>27.18964</v>
      </c>
      <c r="AK104" s="44">
        <v>0.722738</v>
      </c>
      <c r="AL104" s="44">
        <v>0.176807</v>
      </c>
      <c r="AM104" s="44">
        <v>-0.23959</v>
      </c>
      <c r="AN104" s="44">
        <v>0.484894</v>
      </c>
      <c r="AO104" s="44">
        <v>-0.89967</v>
      </c>
      <c r="AP104" s="44">
        <v>-0.32824</v>
      </c>
      <c r="AQ104" s="44">
        <v>-0.51148</v>
      </c>
      <c r="AR104" s="44">
        <v>0.513061</v>
      </c>
      <c r="AS104" s="44">
        <v>-1.18615</v>
      </c>
    </row>
    <row r="105">
      <c r="A105" s="44">
        <v>104.0</v>
      </c>
      <c r="B105" s="44">
        <v>142.2308</v>
      </c>
      <c r="C105" s="44">
        <v>24.0</v>
      </c>
      <c r="D105" s="44">
        <v>0.0</v>
      </c>
      <c r="E105" s="44">
        <v>-0.14095</v>
      </c>
      <c r="F105" s="44">
        <v>0.002235</v>
      </c>
      <c r="G105" s="44">
        <v>-1.69306</v>
      </c>
      <c r="H105" s="389"/>
      <c r="I105" s="46" t="s">
        <v>49</v>
      </c>
      <c r="J105" s="46" t="s">
        <v>273</v>
      </c>
      <c r="K105" s="46" t="s">
        <v>1604</v>
      </c>
      <c r="L105" s="46" t="s">
        <v>1747</v>
      </c>
      <c r="M105" s="389"/>
      <c r="N105" s="46" t="s">
        <v>1570</v>
      </c>
      <c r="O105" s="389"/>
      <c r="P105" s="389"/>
      <c r="Q105" s="389"/>
      <c r="R105" s="46">
        <v>4.0</v>
      </c>
      <c r="S105" s="389"/>
      <c r="T105" s="46" t="s">
        <v>1645</v>
      </c>
      <c r="U105" s="44">
        <v>54.0</v>
      </c>
      <c r="V105" s="44">
        <v>13.0</v>
      </c>
      <c r="W105" s="389"/>
      <c r="X105" s="44">
        <v>20.0</v>
      </c>
      <c r="Y105" s="44">
        <v>8.09963</v>
      </c>
      <c r="Z105" s="44">
        <v>1.218333</v>
      </c>
      <c r="AA105" s="44">
        <v>2.975</v>
      </c>
      <c r="AB105" s="44">
        <v>2.629444</v>
      </c>
      <c r="AC105" s="44">
        <v>1.53</v>
      </c>
      <c r="AD105" s="44">
        <v>0.59963</v>
      </c>
      <c r="AE105" s="44">
        <v>0.461291</v>
      </c>
      <c r="AF105" s="44">
        <v>6.331667</v>
      </c>
      <c r="AG105" s="44">
        <v>0.821026</v>
      </c>
      <c r="AH105" s="44">
        <v>1.266481</v>
      </c>
      <c r="AI105" s="44">
        <v>0.68</v>
      </c>
      <c r="AJ105" s="44">
        <v>16.19851</v>
      </c>
      <c r="AK105" s="44">
        <v>-1.57594</v>
      </c>
      <c r="AL105" s="44">
        <v>-0.51732</v>
      </c>
      <c r="AM105" s="44">
        <v>-1.28534</v>
      </c>
      <c r="AN105" s="44">
        <v>-0.53547</v>
      </c>
      <c r="AO105" s="44">
        <v>1.541326</v>
      </c>
      <c r="AP105" s="44">
        <v>-0.26837</v>
      </c>
      <c r="AQ105" s="44">
        <v>-0.25443</v>
      </c>
      <c r="AR105" s="44">
        <v>0.094112</v>
      </c>
      <c r="AS105" s="44">
        <v>1.532845</v>
      </c>
    </row>
    <row r="106">
      <c r="A106" s="44">
        <v>105.0</v>
      </c>
      <c r="B106" s="44">
        <v>122.2353</v>
      </c>
      <c r="C106" s="44">
        <v>99.0</v>
      </c>
      <c r="D106" s="44">
        <v>0.0</v>
      </c>
      <c r="E106" s="44">
        <v>-0.14281</v>
      </c>
      <c r="F106" s="44">
        <v>-0.0399</v>
      </c>
      <c r="G106" s="44">
        <v>1.196927</v>
      </c>
      <c r="H106" s="389"/>
      <c r="I106" s="46" t="s">
        <v>144</v>
      </c>
      <c r="J106" s="46" t="s">
        <v>365</v>
      </c>
      <c r="K106" s="46" t="s">
        <v>1568</v>
      </c>
      <c r="L106" s="46" t="s">
        <v>1748</v>
      </c>
      <c r="M106" s="389"/>
      <c r="N106" s="46" t="s">
        <v>1570</v>
      </c>
      <c r="O106" s="389"/>
      <c r="P106" s="389"/>
      <c r="Q106" s="389"/>
      <c r="R106" s="46">
        <v>3.0</v>
      </c>
      <c r="S106" s="46" t="s">
        <v>1749</v>
      </c>
      <c r="T106" s="46" t="s">
        <v>1645</v>
      </c>
      <c r="U106" s="44">
        <v>66.0</v>
      </c>
      <c r="V106" s="44">
        <v>13.0</v>
      </c>
      <c r="W106" s="389"/>
      <c r="X106" s="44">
        <v>27.0</v>
      </c>
      <c r="Y106" s="44">
        <v>12.93576</v>
      </c>
      <c r="Z106" s="44">
        <v>3.048485</v>
      </c>
      <c r="AA106" s="44">
        <v>3.898182</v>
      </c>
      <c r="AB106" s="44">
        <v>4.065152</v>
      </c>
      <c r="AC106" s="44">
        <v>1.182273</v>
      </c>
      <c r="AD106" s="44">
        <v>0.331818</v>
      </c>
      <c r="AE106" s="44">
        <v>0.426992</v>
      </c>
      <c r="AF106" s="44">
        <v>10.69212</v>
      </c>
      <c r="AG106" s="44">
        <v>0.786018</v>
      </c>
      <c r="AH106" s="44">
        <v>0.962273</v>
      </c>
      <c r="AI106" s="44">
        <v>1.726364</v>
      </c>
      <c r="AJ106" s="44">
        <v>20.64307</v>
      </c>
      <c r="AK106" s="44">
        <v>-0.72371</v>
      </c>
      <c r="AL106" s="44">
        <v>1.233124</v>
      </c>
      <c r="AM106" s="44">
        <v>-0.90651</v>
      </c>
      <c r="AN106" s="44">
        <v>0.157187</v>
      </c>
      <c r="AO106" s="44">
        <v>0.508551</v>
      </c>
      <c r="AP106" s="44">
        <v>-0.75146</v>
      </c>
      <c r="AQ106" s="44">
        <v>-0.97632</v>
      </c>
      <c r="AR106" s="44">
        <v>-0.03726</v>
      </c>
      <c r="AS106" s="44">
        <v>0.211123</v>
      </c>
    </row>
    <row r="107">
      <c r="A107" s="44">
        <v>106.0</v>
      </c>
      <c r="B107" s="44">
        <v>136.9583</v>
      </c>
      <c r="C107" s="44">
        <v>94.0</v>
      </c>
      <c r="D107" s="44">
        <v>0.0</v>
      </c>
      <c r="E107" s="44">
        <v>-0.14438</v>
      </c>
      <c r="F107" s="44">
        <v>0.007783</v>
      </c>
      <c r="G107" s="44">
        <v>-0.03898</v>
      </c>
      <c r="H107" s="389"/>
      <c r="I107" s="46" t="s">
        <v>105</v>
      </c>
      <c r="J107" s="46" t="s">
        <v>1608</v>
      </c>
      <c r="K107" s="46" t="s">
        <v>97</v>
      </c>
      <c r="L107" s="46" t="s">
        <v>1750</v>
      </c>
      <c r="M107" s="389"/>
      <c r="N107" s="46" t="s">
        <v>1570</v>
      </c>
      <c r="O107" s="46" t="s">
        <v>1648</v>
      </c>
      <c r="P107" s="389"/>
      <c r="Q107" s="389"/>
      <c r="R107" s="46">
        <v>3.0</v>
      </c>
      <c r="S107" s="389"/>
      <c r="T107" s="46" t="s">
        <v>1645</v>
      </c>
      <c r="U107" s="44">
        <v>66.0</v>
      </c>
      <c r="V107" s="44">
        <v>14.0</v>
      </c>
      <c r="W107" s="389"/>
      <c r="X107" s="44">
        <v>25.0</v>
      </c>
      <c r="Y107" s="44">
        <v>7.554545</v>
      </c>
      <c r="Z107" s="44">
        <v>0.0</v>
      </c>
      <c r="AA107" s="44">
        <v>8.817121</v>
      </c>
      <c r="AB107" s="44">
        <v>0.802727</v>
      </c>
      <c r="AC107" s="44">
        <v>1.031212</v>
      </c>
      <c r="AD107" s="44">
        <v>1.546818</v>
      </c>
      <c r="AE107" s="44">
        <v>0.657912</v>
      </c>
      <c r="AF107" s="44">
        <v>4.95</v>
      </c>
      <c r="AG107" s="44">
        <v>0.513027</v>
      </c>
      <c r="AH107" s="44">
        <v>2.029545</v>
      </c>
      <c r="AI107" s="44">
        <v>0.767576</v>
      </c>
      <c r="AJ107" s="44">
        <v>11.47401</v>
      </c>
      <c r="AK107" s="44">
        <v>-1.67199</v>
      </c>
      <c r="AL107" s="44">
        <v>-1.68259</v>
      </c>
      <c r="AM107" s="44">
        <v>1.112019</v>
      </c>
      <c r="AN107" s="44">
        <v>-1.41677</v>
      </c>
      <c r="AO107" s="44">
        <v>0.059891</v>
      </c>
      <c r="AP107" s="44">
        <v>1.440229</v>
      </c>
      <c r="AQ107" s="44">
        <v>1.240494</v>
      </c>
      <c r="AR107" s="44">
        <v>-1.80287</v>
      </c>
      <c r="AS107" s="44">
        <v>1.422223</v>
      </c>
    </row>
    <row r="108">
      <c r="A108" s="44">
        <v>107.0</v>
      </c>
      <c r="B108" s="44">
        <v>116.4857</v>
      </c>
      <c r="C108" s="44">
        <v>100.0</v>
      </c>
      <c r="D108" s="44">
        <v>0.0</v>
      </c>
      <c r="E108" s="44">
        <v>-0.14576</v>
      </c>
      <c r="F108" s="44">
        <v>-0.00218</v>
      </c>
      <c r="G108" s="44">
        <v>0.760177</v>
      </c>
      <c r="H108" s="389"/>
      <c r="I108" s="46" t="s">
        <v>102</v>
      </c>
      <c r="J108" s="46" t="s">
        <v>291</v>
      </c>
      <c r="K108" s="46" t="s">
        <v>1581</v>
      </c>
      <c r="L108" s="46" t="s">
        <v>1751</v>
      </c>
      <c r="M108" s="389"/>
      <c r="N108" s="46" t="s">
        <v>1562</v>
      </c>
      <c r="O108" s="46" t="s">
        <v>1571</v>
      </c>
      <c r="P108" s="389"/>
      <c r="Q108" s="45"/>
      <c r="R108" s="46">
        <v>5.0</v>
      </c>
      <c r="S108" s="45"/>
      <c r="T108" s="46" t="s">
        <v>1630</v>
      </c>
      <c r="U108" s="44">
        <v>71.0</v>
      </c>
      <c r="V108" s="44">
        <v>14.0</v>
      </c>
      <c r="W108" s="389"/>
      <c r="X108" s="44">
        <v>25.0</v>
      </c>
      <c r="Y108" s="44">
        <v>13.6593</v>
      </c>
      <c r="Z108" s="44">
        <v>1.341268</v>
      </c>
      <c r="AA108" s="44">
        <v>7.890563</v>
      </c>
      <c r="AB108" s="44">
        <v>2.209437</v>
      </c>
      <c r="AC108" s="44">
        <v>0.784648</v>
      </c>
      <c r="AD108" s="44">
        <v>0.47507</v>
      </c>
      <c r="AE108" s="44">
        <v>0.474594</v>
      </c>
      <c r="AF108" s="44">
        <v>11.67789</v>
      </c>
      <c r="AG108" s="44">
        <v>0.820037</v>
      </c>
      <c r="AH108" s="44">
        <v>1.504225</v>
      </c>
      <c r="AI108" s="44">
        <v>1.108028</v>
      </c>
      <c r="AJ108" s="44">
        <v>23.59508</v>
      </c>
      <c r="AK108" s="44">
        <v>-0.59621</v>
      </c>
      <c r="AL108" s="44">
        <v>-0.39974</v>
      </c>
      <c r="AM108" s="44">
        <v>0.731798</v>
      </c>
      <c r="AN108" s="44">
        <v>-0.7381</v>
      </c>
      <c r="AO108" s="44">
        <v>-0.67242</v>
      </c>
      <c r="AP108" s="44">
        <v>-0.49306</v>
      </c>
      <c r="AQ108" s="44">
        <v>-0.24575</v>
      </c>
      <c r="AR108" s="44">
        <v>0.109507</v>
      </c>
      <c r="AS108" s="44">
        <v>0.992178</v>
      </c>
    </row>
    <row r="109">
      <c r="A109" s="44">
        <v>108.0</v>
      </c>
      <c r="B109" s="44">
        <v>94.15714</v>
      </c>
      <c r="C109" s="44">
        <v>100.0</v>
      </c>
      <c r="D109" s="44">
        <v>0.0</v>
      </c>
      <c r="E109" s="44">
        <v>-0.14804</v>
      </c>
      <c r="F109" s="44">
        <v>0.001337</v>
      </c>
      <c r="G109" s="44">
        <v>-0.45715</v>
      </c>
      <c r="H109" s="389"/>
      <c r="I109" s="46" t="s">
        <v>196</v>
      </c>
      <c r="J109" s="46" t="s">
        <v>375</v>
      </c>
      <c r="K109" s="46" t="s">
        <v>1593</v>
      </c>
      <c r="L109" s="46" t="s">
        <v>1752</v>
      </c>
      <c r="M109" s="389"/>
      <c r="N109" s="46" t="s">
        <v>1570</v>
      </c>
      <c r="O109" s="46" t="s">
        <v>1576</v>
      </c>
      <c r="P109" s="389"/>
      <c r="Q109" s="45"/>
      <c r="R109" s="46">
        <v>5.0</v>
      </c>
      <c r="S109" s="46" t="s">
        <v>1745</v>
      </c>
      <c r="T109" s="46" t="s">
        <v>1564</v>
      </c>
      <c r="U109" s="44">
        <v>66.0</v>
      </c>
      <c r="V109" s="44">
        <v>15.0</v>
      </c>
      <c r="W109" s="389"/>
      <c r="X109" s="44">
        <v>32.0</v>
      </c>
      <c r="Y109" s="44">
        <v>18.86424</v>
      </c>
      <c r="Z109" s="44">
        <v>2.561212</v>
      </c>
      <c r="AA109" s="44">
        <v>3.266667</v>
      </c>
      <c r="AB109" s="44">
        <v>1.877576</v>
      </c>
      <c r="AC109" s="44">
        <v>1.12303</v>
      </c>
      <c r="AD109" s="44">
        <v>0.129697</v>
      </c>
      <c r="AE109" s="44">
        <v>0.480013</v>
      </c>
      <c r="AF109" s="44">
        <v>13.85</v>
      </c>
      <c r="AG109" s="44">
        <v>0.803987</v>
      </c>
      <c r="AH109" s="44">
        <v>3.739697</v>
      </c>
      <c r="AI109" s="44">
        <v>1.49303</v>
      </c>
      <c r="AJ109" s="44">
        <v>23.50103</v>
      </c>
      <c r="AK109" s="44">
        <v>0.321014</v>
      </c>
      <c r="AL109" s="44">
        <v>0.767073</v>
      </c>
      <c r="AM109" s="44">
        <v>-1.16565</v>
      </c>
      <c r="AN109" s="44">
        <v>-0.89821</v>
      </c>
      <c r="AO109" s="44">
        <v>0.332597</v>
      </c>
      <c r="AP109" s="44">
        <v>-1.11606</v>
      </c>
      <c r="AQ109" s="44">
        <v>-0.1819</v>
      </c>
      <c r="AR109" s="44">
        <v>0.102876</v>
      </c>
      <c r="AS109" s="44">
        <v>0.50586</v>
      </c>
    </row>
    <row r="110">
      <c r="A110" s="44">
        <v>109.0</v>
      </c>
      <c r="B110" s="44">
        <v>66.28571</v>
      </c>
      <c r="C110" s="44">
        <v>100.0</v>
      </c>
      <c r="D110" s="44">
        <v>0.0</v>
      </c>
      <c r="E110" s="44">
        <v>-0.15315</v>
      </c>
      <c r="F110" s="44">
        <v>0.001921</v>
      </c>
      <c r="G110" s="44">
        <v>0.946028</v>
      </c>
      <c r="H110" s="389"/>
      <c r="I110" s="46" t="s">
        <v>53</v>
      </c>
      <c r="J110" s="46" t="s">
        <v>365</v>
      </c>
      <c r="K110" s="46" t="s">
        <v>92</v>
      </c>
      <c r="L110" s="46" t="s">
        <v>1753</v>
      </c>
      <c r="M110" s="389"/>
      <c r="N110" s="46" t="s">
        <v>1570</v>
      </c>
      <c r="O110" s="46" t="s">
        <v>1571</v>
      </c>
      <c r="P110" s="389"/>
      <c r="Q110" s="389"/>
      <c r="R110" s="46">
        <v>5.0</v>
      </c>
      <c r="S110" s="46" t="s">
        <v>1677</v>
      </c>
      <c r="T110" s="46" t="s">
        <v>1564</v>
      </c>
      <c r="U110" s="44">
        <v>66.0</v>
      </c>
      <c r="V110" s="44">
        <v>13.0</v>
      </c>
      <c r="W110" s="389"/>
      <c r="X110" s="44">
        <v>33.0</v>
      </c>
      <c r="Y110" s="44">
        <v>19.18303</v>
      </c>
      <c r="Z110" s="44">
        <v>1.692727</v>
      </c>
      <c r="AA110" s="44">
        <v>7.418788</v>
      </c>
      <c r="AB110" s="44">
        <v>5.37697</v>
      </c>
      <c r="AC110" s="44">
        <v>0.754697</v>
      </c>
      <c r="AD110" s="44">
        <v>0.270758</v>
      </c>
      <c r="AE110" s="44">
        <v>0.487276</v>
      </c>
      <c r="AF110" s="44">
        <v>14.22439</v>
      </c>
      <c r="AG110" s="44">
        <v>0.796991</v>
      </c>
      <c r="AH110" s="44">
        <v>4.55197</v>
      </c>
      <c r="AI110" s="44">
        <v>2.994697</v>
      </c>
      <c r="AJ110" s="44">
        <v>25.28093</v>
      </c>
      <c r="AK110" s="44">
        <v>0.377191</v>
      </c>
      <c r="AL110" s="44">
        <v>-0.06359</v>
      </c>
      <c r="AM110" s="44">
        <v>0.538202</v>
      </c>
      <c r="AN110" s="44">
        <v>0.790074</v>
      </c>
      <c r="AO110" s="44">
        <v>-0.76138</v>
      </c>
      <c r="AP110" s="44">
        <v>-0.86161</v>
      </c>
      <c r="AQ110" s="44">
        <v>-0.03437</v>
      </c>
      <c r="AR110" s="44">
        <v>0.028075</v>
      </c>
      <c r="AS110" s="44">
        <v>-1.39098</v>
      </c>
    </row>
    <row r="111">
      <c r="A111" s="44">
        <v>110.0</v>
      </c>
      <c r="B111" s="44">
        <v>119.9286</v>
      </c>
      <c r="C111" s="44">
        <v>100.0</v>
      </c>
      <c r="D111" s="44">
        <v>0.0</v>
      </c>
      <c r="E111" s="44">
        <v>-0.15846</v>
      </c>
      <c r="F111" s="44">
        <v>-0.07547</v>
      </c>
      <c r="G111" s="44">
        <v>0.713715</v>
      </c>
      <c r="H111" s="389"/>
      <c r="I111" s="46" t="s">
        <v>156</v>
      </c>
      <c r="J111" s="46" t="s">
        <v>1578</v>
      </c>
      <c r="K111" s="46" t="s">
        <v>1593</v>
      </c>
      <c r="L111" s="46" t="s">
        <v>1754</v>
      </c>
      <c r="M111" s="389"/>
      <c r="N111" s="46" t="s">
        <v>1570</v>
      </c>
      <c r="O111" s="389"/>
      <c r="P111" s="389"/>
      <c r="Q111" s="45"/>
      <c r="R111" s="46">
        <v>3.0</v>
      </c>
      <c r="S111" s="389"/>
      <c r="T111" s="46" t="s">
        <v>1645</v>
      </c>
      <c r="U111" s="44">
        <v>66.0</v>
      </c>
      <c r="V111" s="44">
        <v>15.0</v>
      </c>
      <c r="W111" s="389"/>
      <c r="X111" s="44">
        <v>28.0</v>
      </c>
      <c r="Y111" s="44">
        <v>13.49318</v>
      </c>
      <c r="Z111" s="44">
        <v>2.139697</v>
      </c>
      <c r="AA111" s="44">
        <v>5.31303</v>
      </c>
      <c r="AB111" s="44">
        <v>3.349545</v>
      </c>
      <c r="AC111" s="44">
        <v>1.103788</v>
      </c>
      <c r="AD111" s="44">
        <v>0.172576</v>
      </c>
      <c r="AE111" s="44">
        <v>0.451912</v>
      </c>
      <c r="AF111" s="44">
        <v>10.97258</v>
      </c>
      <c r="AG111" s="44">
        <v>0.769962</v>
      </c>
      <c r="AH111" s="44">
        <v>1.865303</v>
      </c>
      <c r="AI111" s="44">
        <v>1.208636</v>
      </c>
      <c r="AJ111" s="44">
        <v>20.24736</v>
      </c>
      <c r="AK111" s="44">
        <v>-0.62548</v>
      </c>
      <c r="AL111" s="44">
        <v>0.363916</v>
      </c>
      <c r="AM111" s="44">
        <v>-0.32591</v>
      </c>
      <c r="AN111" s="44">
        <v>-0.18806</v>
      </c>
      <c r="AO111" s="44">
        <v>0.275446</v>
      </c>
      <c r="AP111" s="44">
        <v>-1.03872</v>
      </c>
      <c r="AQ111" s="44">
        <v>-0.59816</v>
      </c>
      <c r="AR111" s="44">
        <v>-0.15423</v>
      </c>
      <c r="AS111" s="44">
        <v>0.865094</v>
      </c>
    </row>
    <row r="112">
      <c r="A112" s="44">
        <v>111.0</v>
      </c>
      <c r="B112" s="389"/>
      <c r="C112" s="389"/>
      <c r="D112" s="389"/>
      <c r="E112" s="44">
        <v>-0.1591</v>
      </c>
      <c r="F112" s="270">
        <v>0.002936</v>
      </c>
      <c r="G112" s="44">
        <v>-0.62441</v>
      </c>
      <c r="H112" s="389"/>
      <c r="I112" s="46" t="s">
        <v>746</v>
      </c>
      <c r="J112" s="46" t="s">
        <v>465</v>
      </c>
      <c r="K112" s="46" t="s">
        <v>1593</v>
      </c>
      <c r="L112" s="46" t="s">
        <v>1755</v>
      </c>
      <c r="M112" s="389"/>
      <c r="N112" s="46" t="s">
        <v>1570</v>
      </c>
      <c r="O112" s="46" t="s">
        <v>1648</v>
      </c>
      <c r="P112" s="389"/>
      <c r="Q112" s="45"/>
      <c r="R112" s="46">
        <v>5.0</v>
      </c>
      <c r="S112" s="45"/>
      <c r="T112" s="46" t="s">
        <v>1630</v>
      </c>
      <c r="U112" s="44">
        <v>66.0</v>
      </c>
      <c r="V112" s="44">
        <v>15.0</v>
      </c>
      <c r="W112" s="389"/>
      <c r="X112" s="44">
        <v>23.0</v>
      </c>
      <c r="Y112" s="44">
        <v>8.047727</v>
      </c>
      <c r="Z112" s="44">
        <v>1.395303</v>
      </c>
      <c r="AA112" s="44">
        <v>3.079091</v>
      </c>
      <c r="AB112" s="44">
        <v>1.368485</v>
      </c>
      <c r="AC112" s="44">
        <v>1.808333</v>
      </c>
      <c r="AD112" s="44">
        <v>0.684545</v>
      </c>
      <c r="AE112" s="44">
        <v>0.440484</v>
      </c>
      <c r="AF112" s="44">
        <v>6.941061</v>
      </c>
      <c r="AG112" s="44">
        <v>0.646031</v>
      </c>
      <c r="AH112" s="44">
        <v>0.832121</v>
      </c>
      <c r="AI112" s="44">
        <v>0.684394</v>
      </c>
      <c r="AJ112" s="44">
        <v>14.39348</v>
      </c>
      <c r="AK112" s="44">
        <v>-1.58509</v>
      </c>
      <c r="AL112" s="44">
        <v>-0.34806</v>
      </c>
      <c r="AM112" s="44">
        <v>-1.24263</v>
      </c>
      <c r="AN112" s="44">
        <v>-1.14382</v>
      </c>
      <c r="AO112" s="44">
        <v>2.367996</v>
      </c>
      <c r="AP112" s="44">
        <v>-0.11519</v>
      </c>
      <c r="AQ112" s="44">
        <v>-0.49297</v>
      </c>
      <c r="AR112" s="44">
        <v>-0.39945</v>
      </c>
      <c r="AS112" s="44">
        <v>1.527295</v>
      </c>
    </row>
    <row r="113">
      <c r="A113" s="44">
        <v>112.0</v>
      </c>
      <c r="B113" s="44">
        <v>92.2</v>
      </c>
      <c r="C113" s="44">
        <v>100.0</v>
      </c>
      <c r="D113" s="44">
        <v>0.0</v>
      </c>
      <c r="E113" s="44">
        <v>-0.15962</v>
      </c>
      <c r="F113" s="44">
        <v>0.00153</v>
      </c>
      <c r="G113" s="44">
        <v>1.187635</v>
      </c>
      <c r="H113" s="389"/>
      <c r="I113" s="46" t="s">
        <v>58</v>
      </c>
      <c r="J113" s="46" t="s">
        <v>365</v>
      </c>
      <c r="K113" s="46" t="s">
        <v>1581</v>
      </c>
      <c r="L113" s="46" t="s">
        <v>1756</v>
      </c>
      <c r="M113" s="389"/>
      <c r="N113" s="46" t="s">
        <v>1562</v>
      </c>
      <c r="O113" s="46" t="s">
        <v>1571</v>
      </c>
      <c r="P113" s="389"/>
      <c r="Q113" s="389"/>
      <c r="R113" s="46">
        <v>5.0</v>
      </c>
      <c r="S113" s="45"/>
      <c r="T113" s="46" t="s">
        <v>1630</v>
      </c>
      <c r="U113" s="44">
        <v>71.0</v>
      </c>
      <c r="V113" s="44">
        <v>13.0</v>
      </c>
      <c r="W113" s="389"/>
      <c r="X113" s="44">
        <v>27.0</v>
      </c>
      <c r="Y113" s="44">
        <v>13.85324</v>
      </c>
      <c r="Z113" s="44">
        <v>2.137324</v>
      </c>
      <c r="AA113" s="44">
        <v>6.07</v>
      </c>
      <c r="AB113" s="44">
        <v>2.617324</v>
      </c>
      <c r="AC113" s="44">
        <v>0.660986</v>
      </c>
      <c r="AD113" s="44">
        <v>0.897324</v>
      </c>
      <c r="AE113" s="44">
        <v>0.465003</v>
      </c>
      <c r="AF113" s="44">
        <v>11.24845</v>
      </c>
      <c r="AG113" s="44">
        <v>0.756989</v>
      </c>
      <c r="AH113" s="44">
        <v>1.657606</v>
      </c>
      <c r="AI113" s="44">
        <v>1.344648</v>
      </c>
      <c r="AJ113" s="44">
        <v>21.41556</v>
      </c>
      <c r="AK113" s="44">
        <v>-0.56203</v>
      </c>
      <c r="AL113" s="44">
        <v>0.361646</v>
      </c>
      <c r="AM113" s="44">
        <v>-0.01528</v>
      </c>
      <c r="AN113" s="44">
        <v>-0.54132</v>
      </c>
      <c r="AO113" s="44">
        <v>-1.03971</v>
      </c>
      <c r="AP113" s="44">
        <v>0.268631</v>
      </c>
      <c r="AQ113" s="44">
        <v>-0.39583</v>
      </c>
      <c r="AR113" s="44">
        <v>-0.20595</v>
      </c>
      <c r="AS113" s="44">
        <v>0.69329</v>
      </c>
    </row>
    <row r="114">
      <c r="A114" s="44">
        <v>113.0</v>
      </c>
      <c r="B114" s="44">
        <v>80.54286</v>
      </c>
      <c r="C114" s="44">
        <v>100.0</v>
      </c>
      <c r="D114" s="44">
        <v>0.0</v>
      </c>
      <c r="E114" s="44">
        <v>-0.166</v>
      </c>
      <c r="F114" s="44">
        <v>-5.6E-4</v>
      </c>
      <c r="G114" s="44">
        <v>-0.66158</v>
      </c>
      <c r="H114" s="389"/>
      <c r="I114" s="46" t="s">
        <v>103</v>
      </c>
      <c r="J114" s="46" t="s">
        <v>295</v>
      </c>
      <c r="K114" s="46" t="s">
        <v>1568</v>
      </c>
      <c r="L114" s="46" t="s">
        <v>1757</v>
      </c>
      <c r="M114" s="389"/>
      <c r="N114" s="46" t="s">
        <v>1570</v>
      </c>
      <c r="O114" s="389"/>
      <c r="P114" s="389"/>
      <c r="Q114" s="389"/>
      <c r="R114" s="46">
        <v>2.0</v>
      </c>
      <c r="S114" s="46" t="s">
        <v>1732</v>
      </c>
      <c r="T114" s="46" t="s">
        <v>1564</v>
      </c>
      <c r="U114" s="44">
        <v>66.0</v>
      </c>
      <c r="V114" s="44">
        <v>13.0</v>
      </c>
      <c r="W114" s="389"/>
      <c r="X114" s="44">
        <v>32.0</v>
      </c>
      <c r="Y114" s="44">
        <v>13.90561</v>
      </c>
      <c r="Z114" s="44">
        <v>1.501818</v>
      </c>
      <c r="AA114" s="44">
        <v>3.501364</v>
      </c>
      <c r="AB114" s="44">
        <v>7.07</v>
      </c>
      <c r="AC114" s="44">
        <v>1.21197</v>
      </c>
      <c r="AD114" s="44">
        <v>0.199697</v>
      </c>
      <c r="AE114" s="44">
        <v>0.4464</v>
      </c>
      <c r="AF114" s="44">
        <v>11.04288</v>
      </c>
      <c r="AG114" s="44">
        <v>0.823002</v>
      </c>
      <c r="AH114" s="44">
        <v>3.09197</v>
      </c>
      <c r="AI114" s="44">
        <v>2.22197</v>
      </c>
      <c r="AJ114" s="44">
        <v>19.66551</v>
      </c>
      <c r="AK114" s="44">
        <v>-0.5528</v>
      </c>
      <c r="AL114" s="44">
        <v>-0.24618</v>
      </c>
      <c r="AM114" s="44">
        <v>-1.06934</v>
      </c>
      <c r="AN114" s="44">
        <v>1.606877</v>
      </c>
      <c r="AO114" s="44">
        <v>0.596754</v>
      </c>
      <c r="AP114" s="44">
        <v>-0.98979</v>
      </c>
      <c r="AQ114" s="44">
        <v>-0.69195</v>
      </c>
      <c r="AR114" s="44">
        <v>0.267327</v>
      </c>
      <c r="AS114" s="44">
        <v>-0.4149</v>
      </c>
    </row>
    <row r="115">
      <c r="A115" s="44">
        <v>114.0</v>
      </c>
      <c r="B115" s="44">
        <v>102.7857</v>
      </c>
      <c r="C115" s="44">
        <v>100.0</v>
      </c>
      <c r="D115" s="44">
        <v>0.0</v>
      </c>
      <c r="E115" s="44">
        <v>-0.16774</v>
      </c>
      <c r="F115" s="44">
        <v>0.006247</v>
      </c>
      <c r="G115" s="44">
        <v>-1.64659</v>
      </c>
      <c r="H115" s="389"/>
      <c r="I115" s="46" t="s">
        <v>208</v>
      </c>
      <c r="J115" s="46" t="s">
        <v>442</v>
      </c>
      <c r="K115" s="46" t="s">
        <v>85</v>
      </c>
      <c r="L115" s="46" t="s">
        <v>1758</v>
      </c>
      <c r="M115" s="46" t="s">
        <v>1759</v>
      </c>
      <c r="N115" s="46" t="s">
        <v>1570</v>
      </c>
      <c r="O115" s="389"/>
      <c r="P115" s="389"/>
      <c r="Q115" s="389"/>
      <c r="R115" s="46">
        <v>4.0</v>
      </c>
      <c r="S115" s="46" t="s">
        <v>1749</v>
      </c>
      <c r="T115" s="46" t="s">
        <v>1564</v>
      </c>
      <c r="U115" s="44">
        <v>53.0</v>
      </c>
      <c r="V115" s="44">
        <v>14.0</v>
      </c>
      <c r="W115" s="389"/>
      <c r="X115" s="44">
        <v>30.0</v>
      </c>
      <c r="Y115" s="44">
        <v>12.92113</v>
      </c>
      <c r="Z115" s="44">
        <v>1.767925</v>
      </c>
      <c r="AA115" s="44">
        <v>3.858679</v>
      </c>
      <c r="AB115" s="44">
        <v>3.307547</v>
      </c>
      <c r="AC115" s="44">
        <v>1.486038</v>
      </c>
      <c r="AD115" s="44">
        <v>0.851321</v>
      </c>
      <c r="AE115" s="44">
        <v>0.41943</v>
      </c>
      <c r="AF115" s="44">
        <v>10.78057</v>
      </c>
      <c r="AG115" s="44">
        <v>0.835975</v>
      </c>
      <c r="AH115" s="44">
        <v>2.523774</v>
      </c>
      <c r="AI115" s="44">
        <v>2.266226</v>
      </c>
      <c r="AJ115" s="44">
        <v>20.8292</v>
      </c>
      <c r="AK115" s="44">
        <v>-0.72629</v>
      </c>
      <c r="AL115" s="44">
        <v>0.008335</v>
      </c>
      <c r="AM115" s="44">
        <v>-0.92272</v>
      </c>
      <c r="AN115" s="44">
        <v>-0.20832</v>
      </c>
      <c r="AO115" s="44">
        <v>1.410755</v>
      </c>
      <c r="AP115" s="44">
        <v>0.185647</v>
      </c>
      <c r="AQ115" s="44">
        <v>-1.10489</v>
      </c>
      <c r="AR115" s="44">
        <v>0.318587</v>
      </c>
      <c r="AS115" s="44">
        <v>-0.47081</v>
      </c>
    </row>
    <row r="116">
      <c r="A116" s="44">
        <v>115.0</v>
      </c>
      <c r="B116" s="44">
        <v>69.1</v>
      </c>
      <c r="C116" s="44">
        <v>100.0</v>
      </c>
      <c r="D116" s="44">
        <v>0.0</v>
      </c>
      <c r="E116" s="44">
        <v>-0.1678</v>
      </c>
      <c r="F116" s="44">
        <v>0.020772</v>
      </c>
      <c r="G116" s="44">
        <v>1.150464</v>
      </c>
      <c r="H116" s="389"/>
      <c r="I116" s="46" t="s">
        <v>218</v>
      </c>
      <c r="J116" s="46" t="s">
        <v>350</v>
      </c>
      <c r="K116" s="46" t="s">
        <v>90</v>
      </c>
      <c r="L116" s="46" t="s">
        <v>1760</v>
      </c>
      <c r="M116" s="389"/>
      <c r="N116" s="46" t="s">
        <v>1562</v>
      </c>
      <c r="O116" s="389"/>
      <c r="P116" s="389"/>
      <c r="Q116" s="45"/>
      <c r="R116" s="46">
        <v>3.0</v>
      </c>
      <c r="S116" s="389"/>
      <c r="T116" s="46" t="s">
        <v>1564</v>
      </c>
      <c r="U116" s="44">
        <v>71.0</v>
      </c>
      <c r="V116" s="44">
        <v>14.0</v>
      </c>
      <c r="W116" s="389"/>
      <c r="X116" s="44">
        <v>35.0</v>
      </c>
      <c r="Y116" s="44">
        <v>21.72577</v>
      </c>
      <c r="Z116" s="44">
        <v>1.232394</v>
      </c>
      <c r="AA116" s="44">
        <v>3.748592</v>
      </c>
      <c r="AB116" s="44">
        <v>4.52662</v>
      </c>
      <c r="AC116" s="44">
        <v>0.491831</v>
      </c>
      <c r="AD116" s="44">
        <v>0.355352</v>
      </c>
      <c r="AE116" s="44">
        <v>0.462302</v>
      </c>
      <c r="AF116" s="44">
        <v>16.97535</v>
      </c>
      <c r="AG116" s="44">
        <v>0.839991</v>
      </c>
      <c r="AH116" s="44">
        <v>5.711831</v>
      </c>
      <c r="AI116" s="44">
        <v>1.207042</v>
      </c>
      <c r="AJ116" s="44">
        <v>26.54893</v>
      </c>
      <c r="AK116" s="44">
        <v>0.825277</v>
      </c>
      <c r="AL116" s="44">
        <v>-0.50387</v>
      </c>
      <c r="AM116" s="44">
        <v>-0.96789</v>
      </c>
      <c r="AN116" s="44">
        <v>0.379822</v>
      </c>
      <c r="AO116" s="44">
        <v>-1.54211</v>
      </c>
      <c r="AP116" s="44">
        <v>-0.70901</v>
      </c>
      <c r="AQ116" s="44">
        <v>-0.6687</v>
      </c>
      <c r="AR116" s="44">
        <v>0.809134</v>
      </c>
      <c r="AS116" s="44">
        <v>0.867108</v>
      </c>
    </row>
    <row r="117">
      <c r="A117" s="44">
        <v>116.0</v>
      </c>
      <c r="B117" s="44">
        <v>109.0429</v>
      </c>
      <c r="C117" s="44">
        <v>100.0</v>
      </c>
      <c r="D117" s="44">
        <v>0.0</v>
      </c>
      <c r="E117" s="44">
        <v>-0.17552</v>
      </c>
      <c r="F117" s="44">
        <v>-0.03082</v>
      </c>
      <c r="G117" s="44">
        <v>-1.89749</v>
      </c>
      <c r="H117" s="389"/>
      <c r="I117" s="46" t="s">
        <v>72</v>
      </c>
      <c r="J117" s="46" t="s">
        <v>375</v>
      </c>
      <c r="K117" s="46" t="s">
        <v>1593</v>
      </c>
      <c r="L117" s="46" t="s">
        <v>1761</v>
      </c>
      <c r="M117" s="389"/>
      <c r="N117" s="46" t="s">
        <v>1570</v>
      </c>
      <c r="O117" s="46" t="s">
        <v>1615</v>
      </c>
      <c r="P117" s="389"/>
      <c r="Q117" s="389"/>
      <c r="R117" s="46">
        <v>5.0</v>
      </c>
      <c r="S117" s="46" t="s">
        <v>1650</v>
      </c>
      <c r="T117" s="46" t="s">
        <v>1564</v>
      </c>
      <c r="U117" s="44">
        <v>66.0</v>
      </c>
      <c r="V117" s="44">
        <v>15.0</v>
      </c>
      <c r="W117" s="389"/>
      <c r="X117" s="44">
        <v>32.0</v>
      </c>
      <c r="Y117" s="44">
        <v>18.31955</v>
      </c>
      <c r="Z117" s="44">
        <v>2.185606</v>
      </c>
      <c r="AA117" s="44">
        <v>4.769394</v>
      </c>
      <c r="AB117" s="44">
        <v>3.266667</v>
      </c>
      <c r="AC117" s="44">
        <v>1.053636</v>
      </c>
      <c r="AD117" s="44">
        <v>0.844848</v>
      </c>
      <c r="AE117" s="44">
        <v>0.449847</v>
      </c>
      <c r="AF117" s="44">
        <v>14.17788</v>
      </c>
      <c r="AG117" s="44">
        <v>0.758987</v>
      </c>
      <c r="AH117" s="44">
        <v>4.450909</v>
      </c>
      <c r="AI117" s="44">
        <v>2.221364</v>
      </c>
      <c r="AJ117" s="44">
        <v>25.39504</v>
      </c>
      <c r="AK117" s="44">
        <v>0.225027</v>
      </c>
      <c r="AL117" s="44">
        <v>0.407826</v>
      </c>
      <c r="AM117" s="44">
        <v>-0.549</v>
      </c>
      <c r="AN117" s="44">
        <v>-0.22804</v>
      </c>
      <c r="AO117" s="44">
        <v>0.126492</v>
      </c>
      <c r="AP117" s="44">
        <v>0.173972</v>
      </c>
      <c r="AQ117" s="44">
        <v>-0.81821</v>
      </c>
      <c r="AR117" s="44">
        <v>-0.50358</v>
      </c>
      <c r="AS117" s="44">
        <v>-0.41414</v>
      </c>
    </row>
    <row r="118">
      <c r="A118" s="44">
        <v>117.0</v>
      </c>
      <c r="B118" s="44">
        <v>141.5</v>
      </c>
      <c r="C118" s="44">
        <v>73.0</v>
      </c>
      <c r="D118" s="44">
        <v>0.0</v>
      </c>
      <c r="E118" s="44">
        <v>-0.17796</v>
      </c>
      <c r="F118" s="44">
        <v>0.001384</v>
      </c>
      <c r="G118" s="44">
        <v>0.778762</v>
      </c>
      <c r="H118" s="389"/>
      <c r="I118" s="46" t="s">
        <v>159</v>
      </c>
      <c r="J118" s="46" t="s">
        <v>490</v>
      </c>
      <c r="K118" s="46" t="s">
        <v>1572</v>
      </c>
      <c r="L118" s="46" t="s">
        <v>1762</v>
      </c>
      <c r="M118" s="389"/>
      <c r="N118" s="46" t="s">
        <v>1570</v>
      </c>
      <c r="O118" s="46" t="s">
        <v>1689</v>
      </c>
      <c r="P118" s="389"/>
      <c r="Q118" s="389"/>
      <c r="R118" s="46">
        <v>1.0</v>
      </c>
      <c r="S118" s="45"/>
      <c r="T118" s="46" t="s">
        <v>1645</v>
      </c>
      <c r="U118" s="44">
        <v>66.0</v>
      </c>
      <c r="V118" s="44">
        <v>16.0</v>
      </c>
      <c r="W118" s="389"/>
      <c r="X118" s="44">
        <v>26.0</v>
      </c>
      <c r="Y118" s="44">
        <v>16.47045</v>
      </c>
      <c r="Z118" s="44">
        <v>2.183939</v>
      </c>
      <c r="AA118" s="44">
        <v>5.300152</v>
      </c>
      <c r="AB118" s="44">
        <v>1.952727</v>
      </c>
      <c r="AC118" s="44">
        <v>1.014242</v>
      </c>
      <c r="AD118" s="44">
        <v>0.481667</v>
      </c>
      <c r="AE118" s="44">
        <v>0.457503</v>
      </c>
      <c r="AF118" s="44">
        <v>12.83152</v>
      </c>
      <c r="AG118" s="44">
        <v>0.762988</v>
      </c>
      <c r="AH118" s="44">
        <v>3.336364</v>
      </c>
      <c r="AI118" s="44">
        <v>1.346212</v>
      </c>
      <c r="AJ118" s="44">
        <v>25.38881</v>
      </c>
      <c r="AK118" s="44">
        <v>-0.10082</v>
      </c>
      <c r="AL118" s="44">
        <v>0.406232</v>
      </c>
      <c r="AM118" s="44">
        <v>-0.3312</v>
      </c>
      <c r="AN118" s="44">
        <v>-0.86195</v>
      </c>
      <c r="AO118" s="44">
        <v>0.009489</v>
      </c>
      <c r="AP118" s="44">
        <v>-0.48116</v>
      </c>
      <c r="AQ118" s="44">
        <v>-0.59472</v>
      </c>
      <c r="AR118" s="44">
        <v>-0.33879</v>
      </c>
      <c r="AS118" s="44">
        <v>0.691314</v>
      </c>
    </row>
    <row r="119">
      <c r="A119" s="44">
        <v>118.0</v>
      </c>
      <c r="B119" s="44">
        <v>118.0571</v>
      </c>
      <c r="C119" s="44">
        <v>100.0</v>
      </c>
      <c r="D119" s="44">
        <v>0.0</v>
      </c>
      <c r="E119" s="44">
        <v>-0.18204</v>
      </c>
      <c r="F119" s="270">
        <v>0.002326</v>
      </c>
      <c r="G119" s="44">
        <v>-0.47573</v>
      </c>
      <c r="H119" s="389"/>
      <c r="I119" s="46" t="s">
        <v>195</v>
      </c>
      <c r="J119" s="46" t="s">
        <v>269</v>
      </c>
      <c r="K119" s="46" t="s">
        <v>92</v>
      </c>
      <c r="L119" s="46" t="s">
        <v>1763</v>
      </c>
      <c r="M119" s="389"/>
      <c r="N119" s="46" t="s">
        <v>1570</v>
      </c>
      <c r="O119" s="389"/>
      <c r="P119" s="389"/>
      <c r="Q119" s="389"/>
      <c r="R119" s="46">
        <v>4.0</v>
      </c>
      <c r="S119" s="45"/>
      <c r="T119" s="46" t="s">
        <v>1564</v>
      </c>
      <c r="U119" s="44">
        <v>66.0</v>
      </c>
      <c r="V119" s="44">
        <v>16.0</v>
      </c>
      <c r="W119" s="389"/>
      <c r="X119" s="44">
        <v>32.0</v>
      </c>
      <c r="Y119" s="44">
        <v>15.89106</v>
      </c>
      <c r="Z119" s="44">
        <v>1.28697</v>
      </c>
      <c r="AA119" s="44">
        <v>6.06</v>
      </c>
      <c r="AB119" s="44">
        <v>3.913333</v>
      </c>
      <c r="AC119" s="44">
        <v>0.547121</v>
      </c>
      <c r="AD119" s="44">
        <v>0.333182</v>
      </c>
      <c r="AE119" s="44">
        <v>0.53024</v>
      </c>
      <c r="AF119" s="44">
        <v>10.84015</v>
      </c>
      <c r="AG119" s="44">
        <v>0.798995</v>
      </c>
      <c r="AH119" s="44">
        <v>3.890303</v>
      </c>
      <c r="AI119" s="44">
        <v>1.601818</v>
      </c>
      <c r="AJ119" s="44">
        <v>19.07872</v>
      </c>
      <c r="AK119" s="44">
        <v>-0.20292</v>
      </c>
      <c r="AL119" s="44">
        <v>-0.45167</v>
      </c>
      <c r="AM119" s="44">
        <v>-0.01939</v>
      </c>
      <c r="AN119" s="44">
        <v>0.083942</v>
      </c>
      <c r="AO119" s="44">
        <v>-1.37789</v>
      </c>
      <c r="AP119" s="44">
        <v>-0.749</v>
      </c>
      <c r="AQ119" s="44">
        <v>0.663531</v>
      </c>
      <c r="AR119" s="44">
        <v>0.046603</v>
      </c>
      <c r="AS119" s="44">
        <v>0.368444</v>
      </c>
    </row>
    <row r="120">
      <c r="A120" s="44">
        <v>119.0</v>
      </c>
      <c r="B120" s="44">
        <v>140.1304</v>
      </c>
      <c r="C120" s="44">
        <v>96.0</v>
      </c>
      <c r="D120" s="44">
        <v>0.0</v>
      </c>
      <c r="E120" s="44">
        <v>-0.18408</v>
      </c>
      <c r="F120" s="44">
        <v>0.001234</v>
      </c>
      <c r="G120" s="44">
        <v>-0.41068</v>
      </c>
      <c r="H120" s="389"/>
      <c r="I120" s="46" t="s">
        <v>198</v>
      </c>
      <c r="J120" s="46" t="s">
        <v>317</v>
      </c>
      <c r="K120" s="46" t="s">
        <v>1572</v>
      </c>
      <c r="L120" s="46" t="s">
        <v>1764</v>
      </c>
      <c r="M120" s="389"/>
      <c r="N120" s="46" t="s">
        <v>1570</v>
      </c>
      <c r="O120" s="389"/>
      <c r="P120" s="389"/>
      <c r="Q120" s="45"/>
      <c r="R120" s="46">
        <v>4.0</v>
      </c>
      <c r="S120" s="45"/>
      <c r="T120" s="46" t="s">
        <v>1645</v>
      </c>
      <c r="U120" s="44">
        <v>66.0</v>
      </c>
      <c r="V120" s="44">
        <v>14.0</v>
      </c>
      <c r="W120" s="389"/>
      <c r="X120" s="44">
        <v>31.0</v>
      </c>
      <c r="Y120" s="44">
        <v>16.43227</v>
      </c>
      <c r="Z120" s="44">
        <v>2.471818</v>
      </c>
      <c r="AA120" s="44">
        <v>5.218333</v>
      </c>
      <c r="AB120" s="44">
        <v>1.790303</v>
      </c>
      <c r="AC120" s="44">
        <v>0.800152</v>
      </c>
      <c r="AD120" s="44">
        <v>0.391364</v>
      </c>
      <c r="AE120" s="44">
        <v>0.463064</v>
      </c>
      <c r="AF120" s="44">
        <v>12.52364</v>
      </c>
      <c r="AG120" s="44">
        <v>0.819999</v>
      </c>
      <c r="AH120" s="44">
        <v>2.880455</v>
      </c>
      <c r="AI120" s="44">
        <v>1.417576</v>
      </c>
      <c r="AJ120" s="44">
        <v>20.96682</v>
      </c>
      <c r="AK120" s="44">
        <v>-0.10755</v>
      </c>
      <c r="AL120" s="44">
        <v>0.681573</v>
      </c>
      <c r="AM120" s="44">
        <v>-0.36477</v>
      </c>
      <c r="AN120" s="44">
        <v>-0.94031</v>
      </c>
      <c r="AO120" s="44">
        <v>-0.62638</v>
      </c>
      <c r="AP120" s="44">
        <v>-0.64405</v>
      </c>
      <c r="AQ120" s="44">
        <v>-0.47739</v>
      </c>
      <c r="AR120" s="44">
        <v>0.221026</v>
      </c>
      <c r="AS120" s="44">
        <v>0.601171</v>
      </c>
    </row>
    <row r="121">
      <c r="A121" s="44">
        <v>120.0</v>
      </c>
      <c r="B121" s="44">
        <v>98.87143</v>
      </c>
      <c r="C121" s="44">
        <v>100.0</v>
      </c>
      <c r="D121" s="44">
        <v>0.0</v>
      </c>
      <c r="E121" s="44">
        <v>-0.19401</v>
      </c>
      <c r="F121" s="44">
        <v>-0.00605</v>
      </c>
      <c r="G121" s="44">
        <v>0.388475</v>
      </c>
      <c r="H121" s="389"/>
      <c r="I121" s="46" t="s">
        <v>182</v>
      </c>
      <c r="J121" s="46" t="s">
        <v>495</v>
      </c>
      <c r="K121" s="46" t="s">
        <v>97</v>
      </c>
      <c r="L121" s="46" t="s">
        <v>1765</v>
      </c>
      <c r="M121" s="389"/>
      <c r="N121" s="46" t="s">
        <v>1570</v>
      </c>
      <c r="O121" s="389"/>
      <c r="P121" s="389"/>
      <c r="Q121" s="45"/>
      <c r="R121" s="46">
        <v>3.0</v>
      </c>
      <c r="S121" s="45"/>
      <c r="T121" s="46" t="s">
        <v>1564</v>
      </c>
      <c r="U121" s="44">
        <v>58.0</v>
      </c>
      <c r="V121" s="44">
        <v>14.0</v>
      </c>
      <c r="W121" s="389"/>
      <c r="X121" s="44">
        <v>27.0</v>
      </c>
      <c r="Y121" s="44">
        <v>11.54345</v>
      </c>
      <c r="Z121" s="44">
        <v>0.067759</v>
      </c>
      <c r="AA121" s="44">
        <v>7.517759</v>
      </c>
      <c r="AB121" s="44">
        <v>2.060517</v>
      </c>
      <c r="AC121" s="44">
        <v>0.779655</v>
      </c>
      <c r="AD121" s="44">
        <v>1.562069</v>
      </c>
      <c r="AE121" s="44">
        <v>0.588504</v>
      </c>
      <c r="AF121" s="44">
        <v>8.686552</v>
      </c>
      <c r="AG121" s="44">
        <v>0.535996</v>
      </c>
      <c r="AH121" s="44">
        <v>2.335</v>
      </c>
      <c r="AI121" s="44">
        <v>1.169483</v>
      </c>
      <c r="AJ121" s="44">
        <v>17.32728</v>
      </c>
      <c r="AK121" s="44">
        <v>-0.96907</v>
      </c>
      <c r="AL121" s="44">
        <v>-1.61778</v>
      </c>
      <c r="AM121" s="44">
        <v>0.578815</v>
      </c>
      <c r="AN121" s="44">
        <v>-0.80995</v>
      </c>
      <c r="AO121" s="44">
        <v>-0.68725</v>
      </c>
      <c r="AP121" s="44">
        <v>1.467739</v>
      </c>
      <c r="AQ121" s="44">
        <v>1.280819</v>
      </c>
      <c r="AR121" s="44">
        <v>-1.90401</v>
      </c>
      <c r="AS121" s="44">
        <v>0.914551</v>
      </c>
    </row>
    <row r="122">
      <c r="A122" s="44">
        <v>121.0</v>
      </c>
      <c r="B122" s="44">
        <v>151.0</v>
      </c>
      <c r="C122" s="44">
        <v>1.0</v>
      </c>
      <c r="D122" s="44">
        <v>0.0</v>
      </c>
      <c r="E122" s="44">
        <v>-0.195</v>
      </c>
      <c r="F122" s="44">
        <v>0.00617</v>
      </c>
      <c r="G122" s="44">
        <v>-1.73952</v>
      </c>
      <c r="H122" s="389"/>
      <c r="I122" s="46" t="s">
        <v>1766</v>
      </c>
      <c r="J122" s="46" t="s">
        <v>465</v>
      </c>
      <c r="K122" s="46" t="s">
        <v>97</v>
      </c>
      <c r="L122" s="46" t="s">
        <v>1767</v>
      </c>
      <c r="M122" s="46" t="s">
        <v>1768</v>
      </c>
      <c r="N122" s="46" t="s">
        <v>1570</v>
      </c>
      <c r="O122" s="46" t="s">
        <v>1648</v>
      </c>
      <c r="P122" s="389"/>
      <c r="Q122" s="389"/>
      <c r="R122" s="46">
        <v>2.0</v>
      </c>
      <c r="S122" s="389"/>
      <c r="T122" s="46" t="s">
        <v>1630</v>
      </c>
      <c r="U122" s="44">
        <v>43.0</v>
      </c>
      <c r="V122" s="44">
        <v>15.0</v>
      </c>
      <c r="W122" s="389"/>
      <c r="X122" s="44">
        <v>20.0</v>
      </c>
      <c r="Y122" s="44">
        <v>6.747907</v>
      </c>
      <c r="Z122" s="44">
        <v>0.025349</v>
      </c>
      <c r="AA122" s="44">
        <v>6.8</v>
      </c>
      <c r="AB122" s="44">
        <v>1.23093</v>
      </c>
      <c r="AC122" s="44">
        <v>0.713023</v>
      </c>
      <c r="AD122" s="44">
        <v>1.456512</v>
      </c>
      <c r="AE122" s="44">
        <v>0.643717</v>
      </c>
      <c r="AF122" s="44">
        <v>4.674884</v>
      </c>
      <c r="AG122" s="44">
        <v>0.752985</v>
      </c>
      <c r="AH122" s="44">
        <v>0.934884</v>
      </c>
      <c r="AI122" s="44">
        <v>0.855814</v>
      </c>
      <c r="AJ122" s="44">
        <v>12.30741</v>
      </c>
      <c r="AK122" s="44">
        <v>-1.81414</v>
      </c>
      <c r="AL122" s="44">
        <v>-1.65835</v>
      </c>
      <c r="AM122" s="44">
        <v>0.284278</v>
      </c>
      <c r="AN122" s="44">
        <v>-1.21018</v>
      </c>
      <c r="AO122" s="44">
        <v>-0.88515</v>
      </c>
      <c r="AP122" s="44">
        <v>1.277328</v>
      </c>
      <c r="AQ122" s="44">
        <v>1.073903</v>
      </c>
      <c r="AR122" s="44">
        <v>-0.13346</v>
      </c>
      <c r="AS122" s="44">
        <v>1.310764</v>
      </c>
    </row>
    <row r="123">
      <c r="A123" s="44">
        <v>122.0</v>
      </c>
      <c r="B123" s="44">
        <v>64.52857</v>
      </c>
      <c r="C123" s="44">
        <v>100.0</v>
      </c>
      <c r="D123" s="44">
        <v>0.0</v>
      </c>
      <c r="E123" s="44">
        <v>-0.20255</v>
      </c>
      <c r="F123" s="44">
        <v>4.24E-4</v>
      </c>
      <c r="G123" s="44">
        <v>-0.43856</v>
      </c>
      <c r="H123" s="389"/>
      <c r="I123" s="46" t="s">
        <v>204</v>
      </c>
      <c r="J123" s="46" t="s">
        <v>350</v>
      </c>
      <c r="K123" s="46" t="s">
        <v>1593</v>
      </c>
      <c r="L123" s="46" t="s">
        <v>1769</v>
      </c>
      <c r="M123" s="389"/>
      <c r="N123" s="46" t="s">
        <v>1562</v>
      </c>
      <c r="O123" s="46" t="s">
        <v>1615</v>
      </c>
      <c r="P123" s="389"/>
      <c r="Q123" s="389"/>
      <c r="R123" s="46">
        <v>4.0</v>
      </c>
      <c r="S123" s="46" t="s">
        <v>1745</v>
      </c>
      <c r="T123" s="46" t="s">
        <v>1564</v>
      </c>
      <c r="U123" s="44">
        <v>71.0</v>
      </c>
      <c r="V123" s="44">
        <v>14.0</v>
      </c>
      <c r="W123" s="389"/>
      <c r="X123" s="44">
        <v>35.0</v>
      </c>
      <c r="Y123" s="44">
        <v>21.21352</v>
      </c>
      <c r="Z123" s="44">
        <v>2.790986</v>
      </c>
      <c r="AA123" s="44">
        <v>3.324225</v>
      </c>
      <c r="AB123" s="44">
        <v>3.39507</v>
      </c>
      <c r="AC123" s="44">
        <v>0.63169</v>
      </c>
      <c r="AD123" s="44">
        <v>0.071127</v>
      </c>
      <c r="AE123" s="44">
        <v>0.494134</v>
      </c>
      <c r="AF123" s="44">
        <v>16.26831</v>
      </c>
      <c r="AG123" s="44">
        <v>0.847976</v>
      </c>
      <c r="AH123" s="44">
        <v>2.765493</v>
      </c>
      <c r="AI123" s="44">
        <v>2.26338</v>
      </c>
      <c r="AJ123" s="44">
        <v>25.33398</v>
      </c>
      <c r="AK123" s="44">
        <v>0.735007</v>
      </c>
      <c r="AL123" s="44">
        <v>0.98684</v>
      </c>
      <c r="AM123" s="44">
        <v>-1.14203</v>
      </c>
      <c r="AN123" s="44">
        <v>-0.16609</v>
      </c>
      <c r="AO123" s="44">
        <v>-1.12672</v>
      </c>
      <c r="AP123" s="44">
        <v>-1.22172</v>
      </c>
      <c r="AQ123" s="44">
        <v>0.124493</v>
      </c>
      <c r="AR123" s="44">
        <v>0.454457</v>
      </c>
      <c r="AS123" s="44">
        <v>-0.46721</v>
      </c>
    </row>
    <row r="124">
      <c r="A124" s="44">
        <v>123.0</v>
      </c>
      <c r="B124" s="44">
        <v>108.0714</v>
      </c>
      <c r="C124" s="44">
        <v>100.0</v>
      </c>
      <c r="D124" s="44">
        <v>0.0</v>
      </c>
      <c r="E124" s="44">
        <v>-0.20335</v>
      </c>
      <c r="F124" s="44">
        <v>8.72E-4</v>
      </c>
      <c r="G124" s="44">
        <v>-0.262</v>
      </c>
      <c r="H124" s="389"/>
      <c r="I124" s="46" t="s">
        <v>146</v>
      </c>
      <c r="J124" s="46" t="s">
        <v>379</v>
      </c>
      <c r="K124" s="46" t="s">
        <v>1581</v>
      </c>
      <c r="L124" s="46" t="s">
        <v>1770</v>
      </c>
      <c r="M124" s="389"/>
      <c r="N124" s="46" t="s">
        <v>1562</v>
      </c>
      <c r="O124" s="46" t="s">
        <v>1571</v>
      </c>
      <c r="P124" s="389"/>
      <c r="Q124" s="389"/>
      <c r="R124" s="46">
        <v>4.0</v>
      </c>
      <c r="S124" s="45"/>
      <c r="T124" s="46" t="s">
        <v>1645</v>
      </c>
      <c r="U124" s="44">
        <v>71.0</v>
      </c>
      <c r="V124" s="44">
        <v>14.0</v>
      </c>
      <c r="W124" s="389"/>
      <c r="X124" s="44">
        <v>28.0</v>
      </c>
      <c r="Y124" s="44">
        <v>12.86831</v>
      </c>
      <c r="Z124" s="44">
        <v>2.124225</v>
      </c>
      <c r="AA124" s="44">
        <v>6.186197</v>
      </c>
      <c r="AB124" s="44">
        <v>3.368732</v>
      </c>
      <c r="AC124" s="44">
        <v>0.857887</v>
      </c>
      <c r="AD124" s="44">
        <v>0.612254</v>
      </c>
      <c r="AE124" s="44">
        <v>0.448086</v>
      </c>
      <c r="AF124" s="44">
        <v>10.71915</v>
      </c>
      <c r="AG124" s="44">
        <v>0.662974</v>
      </c>
      <c r="AH124" s="44">
        <v>1.716338</v>
      </c>
      <c r="AI124" s="44">
        <v>1.286197</v>
      </c>
      <c r="AJ124" s="44">
        <v>18.51201</v>
      </c>
      <c r="AK124" s="44">
        <v>-0.7356</v>
      </c>
      <c r="AL124" s="44">
        <v>0.349118</v>
      </c>
      <c r="AM124" s="44">
        <v>0.032399</v>
      </c>
      <c r="AN124" s="44">
        <v>-0.1788</v>
      </c>
      <c r="AO124" s="44">
        <v>-0.4549</v>
      </c>
      <c r="AP124" s="44">
        <v>-0.2456</v>
      </c>
      <c r="AQ124" s="44">
        <v>-0.64477</v>
      </c>
      <c r="AR124" s="44">
        <v>-0.7191</v>
      </c>
      <c r="AS124" s="44">
        <v>0.767123</v>
      </c>
    </row>
    <row r="125">
      <c r="A125" s="44">
        <v>124.0</v>
      </c>
      <c r="B125" s="44">
        <v>73.31429</v>
      </c>
      <c r="C125" s="44">
        <v>100.0</v>
      </c>
      <c r="D125" s="44">
        <v>0.0</v>
      </c>
      <c r="E125" s="44">
        <v>-0.20982</v>
      </c>
      <c r="F125" s="44">
        <v>-0.00109</v>
      </c>
      <c r="G125" s="44">
        <v>1.568629</v>
      </c>
      <c r="H125" s="389"/>
      <c r="I125" s="46" t="s">
        <v>181</v>
      </c>
      <c r="J125" s="46" t="s">
        <v>324</v>
      </c>
      <c r="K125" s="46" t="s">
        <v>1568</v>
      </c>
      <c r="L125" s="46" t="s">
        <v>1771</v>
      </c>
      <c r="M125" s="46" t="s">
        <v>1772</v>
      </c>
      <c r="N125" s="46" t="s">
        <v>1612</v>
      </c>
      <c r="O125" s="46" t="s">
        <v>1689</v>
      </c>
      <c r="P125" s="389"/>
      <c r="Q125" s="389"/>
      <c r="R125" s="46">
        <v>4.0</v>
      </c>
      <c r="S125" s="46" t="s">
        <v>1735</v>
      </c>
      <c r="T125" s="46" t="s">
        <v>1564</v>
      </c>
      <c r="U125" s="44">
        <v>75.0</v>
      </c>
      <c r="V125" s="44">
        <v>16.0</v>
      </c>
      <c r="W125" s="389"/>
      <c r="X125" s="44">
        <v>35.0</v>
      </c>
      <c r="Y125" s="44">
        <v>21.57413</v>
      </c>
      <c r="Z125" s="44">
        <v>2.8608</v>
      </c>
      <c r="AA125" s="44">
        <v>5.053067</v>
      </c>
      <c r="AB125" s="44">
        <v>5.125333</v>
      </c>
      <c r="AC125" s="44">
        <v>0.8788</v>
      </c>
      <c r="AD125" s="44">
        <v>0.357333</v>
      </c>
      <c r="AE125" s="44">
        <v>0.428961</v>
      </c>
      <c r="AF125" s="44">
        <v>17.4692</v>
      </c>
      <c r="AG125" s="44">
        <v>0.789993</v>
      </c>
      <c r="AH125" s="44">
        <v>4.716667</v>
      </c>
      <c r="AI125" s="44">
        <v>2.887467</v>
      </c>
      <c r="AJ125" s="44">
        <v>27.99895</v>
      </c>
      <c r="AK125" s="44">
        <v>0.798555</v>
      </c>
      <c r="AL125" s="44">
        <v>1.053613</v>
      </c>
      <c r="AM125" s="44">
        <v>-0.43259</v>
      </c>
      <c r="AN125" s="44">
        <v>0.668672</v>
      </c>
      <c r="AO125" s="44">
        <v>-0.39278</v>
      </c>
      <c r="AP125" s="44">
        <v>-0.70544</v>
      </c>
      <c r="AQ125" s="44">
        <v>-1.54884</v>
      </c>
      <c r="AR125" s="44">
        <v>-0.07401</v>
      </c>
      <c r="AS125" s="44">
        <v>-1.25553</v>
      </c>
    </row>
    <row r="126">
      <c r="A126" s="44">
        <v>125.0</v>
      </c>
      <c r="B126" s="44">
        <v>102.0</v>
      </c>
      <c r="C126" s="44">
        <v>4.0</v>
      </c>
      <c r="D126" s="44">
        <v>0.0</v>
      </c>
      <c r="E126" s="44">
        <v>-0.2103</v>
      </c>
      <c r="F126" s="44">
        <v>0.035999</v>
      </c>
      <c r="G126" s="44">
        <v>-0.58724</v>
      </c>
      <c r="H126" s="389"/>
      <c r="I126" s="46" t="s">
        <v>435</v>
      </c>
      <c r="J126" s="46" t="s">
        <v>324</v>
      </c>
      <c r="K126" s="46" t="s">
        <v>1568</v>
      </c>
      <c r="L126" s="46" t="s">
        <v>1773</v>
      </c>
      <c r="M126" s="389"/>
      <c r="N126" s="46" t="s">
        <v>1562</v>
      </c>
      <c r="O126" s="389"/>
      <c r="P126" s="389"/>
      <c r="Q126" s="389"/>
      <c r="R126" s="46">
        <v>3.0</v>
      </c>
      <c r="S126" s="45"/>
      <c r="T126" s="46" t="s">
        <v>1645</v>
      </c>
      <c r="U126" s="44">
        <v>71.0</v>
      </c>
      <c r="V126" s="44">
        <v>16.0</v>
      </c>
      <c r="W126" s="389"/>
      <c r="X126" s="44">
        <v>29.0</v>
      </c>
      <c r="Y126" s="44">
        <v>12.3531</v>
      </c>
      <c r="Z126" s="44">
        <v>2.478169</v>
      </c>
      <c r="AA126" s="44">
        <v>3.289718</v>
      </c>
      <c r="AB126" s="44">
        <v>3.409296</v>
      </c>
      <c r="AC126" s="44">
        <v>1.027183</v>
      </c>
      <c r="AD126" s="44">
        <v>0.35662</v>
      </c>
      <c r="AE126" s="44">
        <v>0.455083</v>
      </c>
      <c r="AF126" s="44">
        <v>9.091972</v>
      </c>
      <c r="AG126" s="44">
        <v>0.823999</v>
      </c>
      <c r="AH126" s="44">
        <v>1.941408</v>
      </c>
      <c r="AI126" s="44">
        <v>1.495352</v>
      </c>
      <c r="AJ126" s="44">
        <v>17.23568</v>
      </c>
      <c r="AK126" s="44">
        <v>-0.82639</v>
      </c>
      <c r="AL126" s="44">
        <v>0.687647</v>
      </c>
      <c r="AM126" s="44">
        <v>-1.15619</v>
      </c>
      <c r="AN126" s="44">
        <v>-0.15923</v>
      </c>
      <c r="AO126" s="44">
        <v>0.047924</v>
      </c>
      <c r="AP126" s="44">
        <v>-0.70673</v>
      </c>
      <c r="AQ126" s="44">
        <v>-0.45183</v>
      </c>
      <c r="AR126" s="44">
        <v>0.169174</v>
      </c>
      <c r="AS126" s="44">
        <v>0.502927</v>
      </c>
    </row>
    <row r="127">
      <c r="A127" s="44">
        <v>126.0</v>
      </c>
      <c r="B127" s="44">
        <v>115.1159</v>
      </c>
      <c r="C127" s="44">
        <v>99.0</v>
      </c>
      <c r="D127" s="44">
        <v>0.0</v>
      </c>
      <c r="E127" s="44">
        <v>-0.21152</v>
      </c>
      <c r="F127" s="44">
        <v>-0.03743</v>
      </c>
      <c r="G127" s="44">
        <v>1.224805</v>
      </c>
      <c r="H127" s="389"/>
      <c r="I127" s="46" t="s">
        <v>143</v>
      </c>
      <c r="J127" s="46" t="s">
        <v>291</v>
      </c>
      <c r="K127" s="46" t="s">
        <v>1568</v>
      </c>
      <c r="L127" s="46" t="s">
        <v>1774</v>
      </c>
      <c r="M127" s="389"/>
      <c r="N127" s="46" t="s">
        <v>1562</v>
      </c>
      <c r="O127" s="46" t="s">
        <v>1600</v>
      </c>
      <c r="P127" s="389"/>
      <c r="Q127" s="389"/>
      <c r="R127" s="46">
        <v>2.0</v>
      </c>
      <c r="S127" s="46" t="s">
        <v>1749</v>
      </c>
      <c r="T127" s="46" t="s">
        <v>1564</v>
      </c>
      <c r="U127" s="44">
        <v>71.0</v>
      </c>
      <c r="V127" s="44">
        <v>14.0</v>
      </c>
      <c r="W127" s="389"/>
      <c r="X127" s="44">
        <v>29.0</v>
      </c>
      <c r="Y127" s="44">
        <v>15.69535</v>
      </c>
      <c r="Z127" s="44">
        <v>1.15493</v>
      </c>
      <c r="AA127" s="44">
        <v>5.369859</v>
      </c>
      <c r="AB127" s="44">
        <v>5.858028</v>
      </c>
      <c r="AC127" s="44">
        <v>1.220423</v>
      </c>
      <c r="AD127" s="44">
        <v>0.177746</v>
      </c>
      <c r="AE127" s="44">
        <v>0.461777</v>
      </c>
      <c r="AF127" s="44">
        <v>11.65521</v>
      </c>
      <c r="AG127" s="44">
        <v>0.81</v>
      </c>
      <c r="AH127" s="44">
        <v>4.661972</v>
      </c>
      <c r="AI127" s="44">
        <v>2.806901</v>
      </c>
      <c r="AJ127" s="44">
        <v>24.97751</v>
      </c>
      <c r="AK127" s="44">
        <v>-0.23741</v>
      </c>
      <c r="AL127" s="44">
        <v>-0.57796</v>
      </c>
      <c r="AM127" s="44">
        <v>-0.30259</v>
      </c>
      <c r="AN127" s="44">
        <v>1.022161</v>
      </c>
      <c r="AO127" s="44">
        <v>0.621859</v>
      </c>
      <c r="AP127" s="44">
        <v>-1.02939</v>
      </c>
      <c r="AQ127" s="44">
        <v>-0.46594</v>
      </c>
      <c r="AR127" s="44">
        <v>0.219357</v>
      </c>
      <c r="AS127" s="44">
        <v>-1.15377</v>
      </c>
    </row>
    <row r="128">
      <c r="A128" s="44">
        <v>127.0</v>
      </c>
      <c r="B128" s="44">
        <v>87.22857</v>
      </c>
      <c r="C128" s="44">
        <v>100.0</v>
      </c>
      <c r="D128" s="44">
        <v>0.0</v>
      </c>
      <c r="E128" s="44">
        <v>-0.21569</v>
      </c>
      <c r="F128" s="44">
        <v>0.066794</v>
      </c>
      <c r="G128" s="44">
        <v>-0.06686</v>
      </c>
      <c r="H128" s="389"/>
      <c r="I128" s="46" t="s">
        <v>155</v>
      </c>
      <c r="J128" s="46" t="s">
        <v>495</v>
      </c>
      <c r="K128" s="46" t="s">
        <v>1593</v>
      </c>
      <c r="L128" s="46" t="s">
        <v>1775</v>
      </c>
      <c r="M128" s="389"/>
      <c r="N128" s="46" t="s">
        <v>1562</v>
      </c>
      <c r="O128" s="46" t="s">
        <v>1776</v>
      </c>
      <c r="P128" s="389"/>
      <c r="Q128" s="45"/>
      <c r="R128" s="46">
        <v>4.0</v>
      </c>
      <c r="S128" s="389"/>
      <c r="T128" s="46" t="s">
        <v>1564</v>
      </c>
      <c r="U128" s="44">
        <v>58.0</v>
      </c>
      <c r="V128" s="44">
        <v>14.0</v>
      </c>
      <c r="W128" s="389"/>
      <c r="X128" s="44">
        <v>30.0</v>
      </c>
      <c r="Y128" s="44">
        <v>23.36121</v>
      </c>
      <c r="Z128" s="44">
        <v>2.551897</v>
      </c>
      <c r="AA128" s="44">
        <v>3.15569</v>
      </c>
      <c r="AB128" s="44">
        <v>4.207586</v>
      </c>
      <c r="AC128" s="44">
        <v>0.618276</v>
      </c>
      <c r="AD128" s="44">
        <v>0.123793</v>
      </c>
      <c r="AE128" s="44">
        <v>0.425821</v>
      </c>
      <c r="AF128" s="44">
        <v>18.25276</v>
      </c>
      <c r="AG128" s="44">
        <v>0.875</v>
      </c>
      <c r="AH128" s="44">
        <v>6.016552</v>
      </c>
      <c r="AI128" s="44">
        <v>2.166552</v>
      </c>
      <c r="AJ128" s="44">
        <v>33.05144</v>
      </c>
      <c r="AK128" s="44">
        <v>1.113475</v>
      </c>
      <c r="AL128" s="44">
        <v>0.758163</v>
      </c>
      <c r="AM128" s="44">
        <v>-1.21119</v>
      </c>
      <c r="AN128" s="44">
        <v>0.225905</v>
      </c>
      <c r="AO128" s="44">
        <v>-1.16656</v>
      </c>
      <c r="AP128" s="44">
        <v>-1.12671</v>
      </c>
      <c r="AQ128" s="44">
        <v>-1.70328</v>
      </c>
      <c r="AR128" s="44">
        <v>1.513886</v>
      </c>
      <c r="AS128" s="44">
        <v>-0.3449</v>
      </c>
    </row>
    <row r="129">
      <c r="A129" s="44">
        <v>128.0</v>
      </c>
      <c r="B129" s="44">
        <v>104.7286</v>
      </c>
      <c r="C129" s="44">
        <v>100.0</v>
      </c>
      <c r="D129" s="44">
        <v>0.0</v>
      </c>
      <c r="E129" s="44">
        <v>-0.22124</v>
      </c>
      <c r="F129" s="44">
        <v>0.002398</v>
      </c>
      <c r="G129" s="44">
        <v>-0.74522</v>
      </c>
      <c r="H129" s="389"/>
      <c r="I129" s="46" t="s">
        <v>142</v>
      </c>
      <c r="J129" s="46" t="s">
        <v>1578</v>
      </c>
      <c r="K129" s="46" t="s">
        <v>1581</v>
      </c>
      <c r="L129" s="46" t="s">
        <v>1777</v>
      </c>
      <c r="M129" s="389"/>
      <c r="N129" s="46" t="s">
        <v>1570</v>
      </c>
      <c r="O129" s="46" t="s">
        <v>1615</v>
      </c>
      <c r="P129" s="389"/>
      <c r="Q129" s="389"/>
      <c r="R129" s="46">
        <v>4.0</v>
      </c>
      <c r="S129" s="46" t="s">
        <v>1699</v>
      </c>
      <c r="T129" s="46" t="s">
        <v>1564</v>
      </c>
      <c r="U129" s="44">
        <v>66.0</v>
      </c>
      <c r="V129" s="44">
        <v>15.0</v>
      </c>
      <c r="W129" s="389"/>
      <c r="X129" s="44">
        <v>29.0</v>
      </c>
      <c r="Y129" s="44">
        <v>8.695606</v>
      </c>
      <c r="Z129" s="44">
        <v>1.155909</v>
      </c>
      <c r="AA129" s="44">
        <v>5.921364</v>
      </c>
      <c r="AB129" s="44">
        <v>5.921364</v>
      </c>
      <c r="AC129" s="44">
        <v>1.375758</v>
      </c>
      <c r="AD129" s="44">
        <v>0.837424</v>
      </c>
      <c r="AE129" s="44">
        <v>0.411575</v>
      </c>
      <c r="AF129" s="44">
        <v>7.536818</v>
      </c>
      <c r="AG129" s="44">
        <v>0.708967</v>
      </c>
      <c r="AH129" s="44">
        <v>1.884091</v>
      </c>
      <c r="AI129" s="44">
        <v>2.518485</v>
      </c>
      <c r="AJ129" s="44">
        <v>16.36518</v>
      </c>
      <c r="AK129" s="44">
        <v>-1.47092</v>
      </c>
      <c r="AL129" s="44">
        <v>-0.57703</v>
      </c>
      <c r="AM129" s="44">
        <v>-0.07628</v>
      </c>
      <c r="AN129" s="44">
        <v>1.052717</v>
      </c>
      <c r="AO129" s="44">
        <v>1.083215</v>
      </c>
      <c r="AP129" s="44">
        <v>0.16058</v>
      </c>
      <c r="AQ129" s="44">
        <v>-0.85777</v>
      </c>
      <c r="AR129" s="44">
        <v>-0.51624</v>
      </c>
      <c r="AS129" s="44">
        <v>-0.78945</v>
      </c>
    </row>
    <row r="130">
      <c r="A130" s="44">
        <v>129.0</v>
      </c>
      <c r="B130" s="44">
        <v>143.7143</v>
      </c>
      <c r="C130" s="44">
        <v>47.0</v>
      </c>
      <c r="D130" s="44">
        <v>0.0</v>
      </c>
      <c r="E130" s="44">
        <v>-0.22816</v>
      </c>
      <c r="F130" s="270">
        <v>0.001383</v>
      </c>
      <c r="G130" s="44">
        <v>-2.57585</v>
      </c>
      <c r="H130" s="389"/>
      <c r="I130" s="46" t="s">
        <v>833</v>
      </c>
      <c r="J130" s="46" t="s">
        <v>1578</v>
      </c>
      <c r="K130" s="46" t="s">
        <v>1581</v>
      </c>
      <c r="L130" s="46" t="s">
        <v>1778</v>
      </c>
      <c r="M130" s="389"/>
      <c r="N130" s="46" t="s">
        <v>1570</v>
      </c>
      <c r="O130" s="46" t="s">
        <v>1729</v>
      </c>
      <c r="P130" s="389"/>
      <c r="Q130" s="389"/>
      <c r="R130" s="46">
        <v>4.0</v>
      </c>
      <c r="S130" s="389"/>
      <c r="T130" s="46" t="s">
        <v>1645</v>
      </c>
      <c r="U130" s="44">
        <v>51.0</v>
      </c>
      <c r="V130" s="44">
        <v>15.0</v>
      </c>
      <c r="W130" s="389"/>
      <c r="X130" s="44">
        <v>28.0</v>
      </c>
      <c r="Y130" s="44">
        <v>8.755686</v>
      </c>
      <c r="Z130" s="44">
        <v>1.84</v>
      </c>
      <c r="AA130" s="44">
        <v>6.525686</v>
      </c>
      <c r="AB130" s="44">
        <v>2.54098</v>
      </c>
      <c r="AC130" s="44">
        <v>0.575882</v>
      </c>
      <c r="AD130" s="44">
        <v>0.867843</v>
      </c>
      <c r="AE130" s="44">
        <v>0.438625</v>
      </c>
      <c r="AF130" s="44">
        <v>7.450196</v>
      </c>
      <c r="AG130" s="44">
        <v>0.85</v>
      </c>
      <c r="AH130" s="44">
        <v>0.447059</v>
      </c>
      <c r="AI130" s="44">
        <v>0.866275</v>
      </c>
      <c r="AJ130" s="44">
        <v>13.2572</v>
      </c>
      <c r="AK130" s="44">
        <v>-1.46033</v>
      </c>
      <c r="AL130" s="44">
        <v>0.077272</v>
      </c>
      <c r="AM130" s="44">
        <v>0.171711</v>
      </c>
      <c r="AN130" s="44">
        <v>-0.57815</v>
      </c>
      <c r="AO130" s="44">
        <v>-1.29247</v>
      </c>
      <c r="AP130" s="44">
        <v>0.215451</v>
      </c>
      <c r="AQ130" s="44">
        <v>-0.55011</v>
      </c>
      <c r="AR130" s="44">
        <v>0.065604</v>
      </c>
      <c r="AS130" s="44">
        <v>1.297551</v>
      </c>
    </row>
    <row r="131">
      <c r="A131" s="44">
        <v>130.0</v>
      </c>
      <c r="B131" s="44">
        <v>128.5</v>
      </c>
      <c r="C131" s="44">
        <v>3.0</v>
      </c>
      <c r="D131" s="44">
        <v>0.0</v>
      </c>
      <c r="E131" s="44">
        <v>-0.23072</v>
      </c>
      <c r="F131" s="44">
        <v>0.001397</v>
      </c>
      <c r="G131" s="44">
        <v>1.122587</v>
      </c>
      <c r="H131" s="389"/>
      <c r="I131" s="46" t="s">
        <v>731</v>
      </c>
      <c r="J131" s="46" t="s">
        <v>273</v>
      </c>
      <c r="K131" s="46" t="s">
        <v>1593</v>
      </c>
      <c r="L131" s="46" t="s">
        <v>1779</v>
      </c>
      <c r="M131" s="389"/>
      <c r="N131" s="46" t="s">
        <v>1562</v>
      </c>
      <c r="O131" s="389"/>
      <c r="P131" s="389"/>
      <c r="Q131" s="389"/>
      <c r="R131" s="46">
        <v>5.0</v>
      </c>
      <c r="S131" s="45"/>
      <c r="T131" s="46" t="s">
        <v>1630</v>
      </c>
      <c r="U131" s="44">
        <v>71.0</v>
      </c>
      <c r="V131" s="44">
        <v>13.0</v>
      </c>
      <c r="W131" s="389"/>
      <c r="X131" s="44">
        <v>24.0</v>
      </c>
      <c r="Y131" s="44">
        <v>13.87408</v>
      </c>
      <c r="Z131" s="44">
        <v>2.00493</v>
      </c>
      <c r="AA131" s="44">
        <v>4.029014</v>
      </c>
      <c r="AB131" s="44">
        <v>1.872113</v>
      </c>
      <c r="AC131" s="44">
        <v>0.855493</v>
      </c>
      <c r="AD131" s="44">
        <v>0.257183</v>
      </c>
      <c r="AE131" s="44">
        <v>0.492399</v>
      </c>
      <c r="AF131" s="44">
        <v>10.70986</v>
      </c>
      <c r="AG131" s="44">
        <v>0.822988</v>
      </c>
      <c r="AH131" s="44">
        <v>1.606479</v>
      </c>
      <c r="AI131" s="44">
        <v>0.975915</v>
      </c>
      <c r="AJ131" s="44">
        <v>22.10158</v>
      </c>
      <c r="AK131" s="44">
        <v>-0.55836</v>
      </c>
      <c r="AL131" s="44">
        <v>0.235018</v>
      </c>
      <c r="AM131" s="44">
        <v>-0.85282</v>
      </c>
      <c r="AN131" s="44">
        <v>-0.90085</v>
      </c>
      <c r="AO131" s="44">
        <v>-0.46201</v>
      </c>
      <c r="AP131" s="44">
        <v>-0.8861</v>
      </c>
      <c r="AQ131" s="44">
        <v>0.056917</v>
      </c>
      <c r="AR131" s="44">
        <v>0.13269</v>
      </c>
      <c r="AS131" s="44">
        <v>1.159057</v>
      </c>
    </row>
    <row r="132">
      <c r="A132" s="44">
        <v>131.0</v>
      </c>
      <c r="B132" s="44">
        <v>147.8</v>
      </c>
      <c r="C132" s="44">
        <v>43.0</v>
      </c>
      <c r="D132" s="44">
        <v>0.0</v>
      </c>
      <c r="E132" s="44">
        <v>-0.23215</v>
      </c>
      <c r="F132" s="44">
        <v>0.002854</v>
      </c>
      <c r="G132" s="44">
        <v>0.007481</v>
      </c>
      <c r="H132" s="389"/>
      <c r="I132" s="46" t="s">
        <v>678</v>
      </c>
      <c r="J132" s="46" t="s">
        <v>287</v>
      </c>
      <c r="K132" s="46" t="s">
        <v>1572</v>
      </c>
      <c r="L132" s="46" t="s">
        <v>1780</v>
      </c>
      <c r="M132" s="389"/>
      <c r="N132" s="46" t="s">
        <v>1562</v>
      </c>
      <c r="O132" s="389"/>
      <c r="P132" s="389"/>
      <c r="Q132" s="45"/>
      <c r="R132" s="46">
        <v>2.0</v>
      </c>
      <c r="S132" s="45"/>
      <c r="T132" s="46" t="s">
        <v>1645</v>
      </c>
      <c r="U132" s="44">
        <v>71.0</v>
      </c>
      <c r="V132" s="44">
        <v>16.0</v>
      </c>
      <c r="W132" s="389"/>
      <c r="X132" s="44">
        <v>33.0</v>
      </c>
      <c r="Y132" s="44">
        <v>13.30042</v>
      </c>
      <c r="Z132" s="44">
        <v>1.136056</v>
      </c>
      <c r="AA132" s="44">
        <v>4.812535</v>
      </c>
      <c r="AB132" s="44">
        <v>1.512535</v>
      </c>
      <c r="AC132" s="44">
        <v>1.37493</v>
      </c>
      <c r="AD132" s="44">
        <v>0.487606</v>
      </c>
      <c r="AE132" s="44">
        <v>0.470827</v>
      </c>
      <c r="AF132" s="44">
        <v>10.72521</v>
      </c>
      <c r="AG132" s="44">
        <v>0.762998</v>
      </c>
      <c r="AH132" s="44">
        <v>2.706338</v>
      </c>
      <c r="AI132" s="44">
        <v>1.320845</v>
      </c>
      <c r="AJ132" s="44">
        <v>17.38371</v>
      </c>
      <c r="AK132" s="44">
        <v>-0.65945</v>
      </c>
      <c r="AL132" s="44">
        <v>-0.59601</v>
      </c>
      <c r="AM132" s="44">
        <v>-0.53129</v>
      </c>
      <c r="AN132" s="44">
        <v>-1.07432</v>
      </c>
      <c r="AO132" s="44">
        <v>1.080756</v>
      </c>
      <c r="AP132" s="44">
        <v>-0.47044</v>
      </c>
      <c r="AQ132" s="44">
        <v>-0.28481</v>
      </c>
      <c r="AR132" s="44">
        <v>-0.27714</v>
      </c>
      <c r="AS132" s="44">
        <v>0.723357</v>
      </c>
    </row>
    <row r="133">
      <c r="A133" s="44">
        <v>132.0</v>
      </c>
      <c r="B133" s="44">
        <v>141.1935</v>
      </c>
      <c r="C133" s="44">
        <v>57.0</v>
      </c>
      <c r="D133" s="44">
        <v>0.0</v>
      </c>
      <c r="E133" s="44">
        <v>-0.23441</v>
      </c>
      <c r="F133" s="44">
        <v>0.001523</v>
      </c>
      <c r="G133" s="44">
        <v>-0.3921</v>
      </c>
      <c r="H133" s="389"/>
      <c r="I133" s="46" t="s">
        <v>494</v>
      </c>
      <c r="J133" s="46" t="s">
        <v>287</v>
      </c>
      <c r="K133" s="46" t="s">
        <v>1593</v>
      </c>
      <c r="L133" s="46" t="s">
        <v>1781</v>
      </c>
      <c r="M133" s="389"/>
      <c r="N133" s="46" t="s">
        <v>1570</v>
      </c>
      <c r="O133" s="46" t="s">
        <v>1776</v>
      </c>
      <c r="P133" s="389"/>
      <c r="Q133" s="389"/>
      <c r="R133" s="46">
        <v>3.0</v>
      </c>
      <c r="S133" s="45"/>
      <c r="T133" s="46" t="s">
        <v>1645</v>
      </c>
      <c r="U133" s="44">
        <v>66.0</v>
      </c>
      <c r="V133" s="44">
        <v>16.0</v>
      </c>
      <c r="W133" s="389"/>
      <c r="X133" s="44">
        <v>28.0</v>
      </c>
      <c r="Y133" s="44">
        <v>12.98742</v>
      </c>
      <c r="Z133" s="44">
        <v>2.41803</v>
      </c>
      <c r="AA133" s="44">
        <v>4.258333</v>
      </c>
      <c r="AB133" s="44">
        <v>2.683333</v>
      </c>
      <c r="AC133" s="44">
        <v>1.066061</v>
      </c>
      <c r="AD133" s="44">
        <v>0.359091</v>
      </c>
      <c r="AE133" s="44">
        <v>0.453337</v>
      </c>
      <c r="AF133" s="44">
        <v>9.916364</v>
      </c>
      <c r="AG133" s="44">
        <v>0.758003</v>
      </c>
      <c r="AH133" s="44">
        <v>2.082424</v>
      </c>
      <c r="AI133" s="44">
        <v>1.458333</v>
      </c>
      <c r="AJ133" s="44">
        <v>19.02391</v>
      </c>
      <c r="AK133" s="44">
        <v>-0.71461</v>
      </c>
      <c r="AL133" s="44">
        <v>0.630127</v>
      </c>
      <c r="AM133" s="44">
        <v>-0.75871</v>
      </c>
      <c r="AN133" s="44">
        <v>-0.50947</v>
      </c>
      <c r="AO133" s="44">
        <v>0.163393</v>
      </c>
      <c r="AP133" s="44">
        <v>-0.70227</v>
      </c>
      <c r="AQ133" s="44">
        <v>-0.51902</v>
      </c>
      <c r="AR133" s="44">
        <v>-0.24883</v>
      </c>
      <c r="AS133" s="44">
        <v>0.549688</v>
      </c>
    </row>
    <row r="134">
      <c r="A134" s="44">
        <v>133.0</v>
      </c>
      <c r="B134" s="44">
        <v>142.2</v>
      </c>
      <c r="C134" s="44">
        <v>49.0</v>
      </c>
      <c r="D134" s="44">
        <v>0.0</v>
      </c>
      <c r="E134" s="44">
        <v>-0.23588</v>
      </c>
      <c r="F134" s="44">
        <v>0.043455</v>
      </c>
      <c r="G134" s="44">
        <v>-0.06686</v>
      </c>
      <c r="H134" s="389"/>
      <c r="I134" s="46" t="s">
        <v>315</v>
      </c>
      <c r="J134" s="46" t="s">
        <v>379</v>
      </c>
      <c r="K134" s="46" t="s">
        <v>1593</v>
      </c>
      <c r="L134" s="46" t="s">
        <v>1782</v>
      </c>
      <c r="M134" s="389"/>
      <c r="N134" s="46" t="s">
        <v>1562</v>
      </c>
      <c r="O134" s="46" t="s">
        <v>1607</v>
      </c>
      <c r="P134" s="389"/>
      <c r="Q134" s="45"/>
      <c r="R134" s="46">
        <v>3.0</v>
      </c>
      <c r="S134" s="45"/>
      <c r="T134" s="46" t="s">
        <v>1630</v>
      </c>
      <c r="U134" s="44">
        <v>71.0</v>
      </c>
      <c r="V134" s="44">
        <v>14.0</v>
      </c>
      <c r="W134" s="389"/>
      <c r="X134" s="44">
        <v>23.0</v>
      </c>
      <c r="Y134" s="44">
        <v>13.46296</v>
      </c>
      <c r="Z134" s="44">
        <v>1.579437</v>
      </c>
      <c r="AA134" s="44">
        <v>2.867746</v>
      </c>
      <c r="AB134" s="44">
        <v>4.27662</v>
      </c>
      <c r="AC134" s="44">
        <v>1.151831</v>
      </c>
      <c r="AD134" s="44">
        <v>0.050423</v>
      </c>
      <c r="AE134" s="44">
        <v>0.476942</v>
      </c>
      <c r="AF134" s="44">
        <v>10.31366</v>
      </c>
      <c r="AG134" s="44">
        <v>0.869016</v>
      </c>
      <c r="AH134" s="44">
        <v>2.353803</v>
      </c>
      <c r="AI134" s="44">
        <v>1.710563</v>
      </c>
      <c r="AJ134" s="44">
        <v>23.06506</v>
      </c>
      <c r="AK134" s="44">
        <v>-0.63081</v>
      </c>
      <c r="AL134" s="44">
        <v>-0.17194</v>
      </c>
      <c r="AM134" s="44">
        <v>-1.32935</v>
      </c>
      <c r="AN134" s="44">
        <v>0.25921</v>
      </c>
      <c r="AO134" s="44">
        <v>0.418137</v>
      </c>
      <c r="AP134" s="44">
        <v>-1.25906</v>
      </c>
      <c r="AQ134" s="44">
        <v>-0.18044</v>
      </c>
      <c r="AR134" s="44">
        <v>0.5403</v>
      </c>
      <c r="AS134" s="44">
        <v>0.231082</v>
      </c>
    </row>
    <row r="135">
      <c r="A135" s="44">
        <v>134.0</v>
      </c>
      <c r="B135" s="44">
        <v>134.2581</v>
      </c>
      <c r="C135" s="44">
        <v>87.0</v>
      </c>
      <c r="D135" s="44">
        <v>0.0</v>
      </c>
      <c r="E135" s="44">
        <v>-0.23727</v>
      </c>
      <c r="F135" s="44">
        <v>0.007252</v>
      </c>
      <c r="G135" s="44">
        <v>-0.12262</v>
      </c>
      <c r="H135" s="389"/>
      <c r="I135" s="46" t="s">
        <v>1783</v>
      </c>
      <c r="J135" s="46" t="s">
        <v>278</v>
      </c>
      <c r="K135" s="46" t="s">
        <v>97</v>
      </c>
      <c r="L135" s="46" t="s">
        <v>1784</v>
      </c>
      <c r="M135" s="46" t="s">
        <v>1785</v>
      </c>
      <c r="N135" s="46" t="s">
        <v>1570</v>
      </c>
      <c r="O135" s="46" t="s">
        <v>1571</v>
      </c>
      <c r="P135" s="389"/>
      <c r="Q135" s="45"/>
      <c r="R135" s="46">
        <v>2.0</v>
      </c>
      <c r="S135" s="389"/>
      <c r="T135" s="46" t="s">
        <v>1645</v>
      </c>
      <c r="U135" s="44">
        <v>66.0</v>
      </c>
      <c r="V135" s="44">
        <v>14.0</v>
      </c>
      <c r="W135" s="389"/>
      <c r="X135" s="44">
        <v>21.0</v>
      </c>
      <c r="Y135" s="44">
        <v>9.703939</v>
      </c>
      <c r="Z135" s="44">
        <v>0.0</v>
      </c>
      <c r="AA135" s="44">
        <v>6.318788</v>
      </c>
      <c r="AB135" s="44">
        <v>1.368485</v>
      </c>
      <c r="AC135" s="44">
        <v>0.48</v>
      </c>
      <c r="AD135" s="44">
        <v>1.590758</v>
      </c>
      <c r="AE135" s="44">
        <v>0.694498</v>
      </c>
      <c r="AF135" s="44">
        <v>5.7</v>
      </c>
      <c r="AG135" s="44">
        <v>0.680989</v>
      </c>
      <c r="AH135" s="44">
        <v>2.623636</v>
      </c>
      <c r="AI135" s="44">
        <v>0.972121</v>
      </c>
      <c r="AJ135" s="44">
        <v>15.94032</v>
      </c>
      <c r="AK135" s="44">
        <v>-1.29323</v>
      </c>
      <c r="AL135" s="44">
        <v>-1.68259</v>
      </c>
      <c r="AM135" s="44">
        <v>0.086808</v>
      </c>
      <c r="AN135" s="44">
        <v>-1.14382</v>
      </c>
      <c r="AO135" s="44">
        <v>-1.57725</v>
      </c>
      <c r="AP135" s="44">
        <v>1.519489</v>
      </c>
      <c r="AQ135" s="44">
        <v>1.73545</v>
      </c>
      <c r="AR135" s="44">
        <v>-0.94418</v>
      </c>
      <c r="AS135" s="44">
        <v>1.16385</v>
      </c>
    </row>
    <row r="136">
      <c r="A136" s="44">
        <v>135.0</v>
      </c>
      <c r="B136" s="44">
        <v>143.8333</v>
      </c>
      <c r="C136" s="44">
        <v>43.0</v>
      </c>
      <c r="D136" s="44">
        <v>0.0</v>
      </c>
      <c r="E136" s="44">
        <v>-0.23968</v>
      </c>
      <c r="F136" s="44">
        <v>0.012179</v>
      </c>
      <c r="G136" s="44">
        <v>0.091113</v>
      </c>
      <c r="H136" s="389"/>
      <c r="I136" s="46" t="s">
        <v>133</v>
      </c>
      <c r="J136" s="46" t="s">
        <v>304</v>
      </c>
      <c r="K136" s="46" t="s">
        <v>92</v>
      </c>
      <c r="L136" s="46" t="s">
        <v>1786</v>
      </c>
      <c r="M136" s="389"/>
      <c r="N136" s="46" t="s">
        <v>1612</v>
      </c>
      <c r="O136" s="46" t="s">
        <v>1787</v>
      </c>
      <c r="P136" s="389"/>
      <c r="Q136" s="389"/>
      <c r="R136" s="46">
        <v>1.0</v>
      </c>
      <c r="S136" s="45"/>
      <c r="T136" s="46" t="s">
        <v>1645</v>
      </c>
      <c r="U136" s="44">
        <v>75.0</v>
      </c>
      <c r="V136" s="44">
        <v>13.0</v>
      </c>
      <c r="W136" s="389"/>
      <c r="X136" s="44">
        <v>24.0</v>
      </c>
      <c r="Y136" s="44">
        <v>12.08773</v>
      </c>
      <c r="Z136" s="44">
        <v>1.692533</v>
      </c>
      <c r="AA136" s="44">
        <v>6.746533</v>
      </c>
      <c r="AB136" s="44">
        <v>0.909067</v>
      </c>
      <c r="AC136" s="44">
        <v>0.641067</v>
      </c>
      <c r="AD136" s="44">
        <v>0.669467</v>
      </c>
      <c r="AE136" s="44">
        <v>0.481697</v>
      </c>
      <c r="AF136" s="44">
        <v>9.2188</v>
      </c>
      <c r="AG136" s="44">
        <v>0.78201</v>
      </c>
      <c r="AH136" s="44">
        <v>1.935867</v>
      </c>
      <c r="AI136" s="44">
        <v>0.859333</v>
      </c>
      <c r="AJ136" s="44">
        <v>18.71622</v>
      </c>
      <c r="AK136" s="44">
        <v>-0.87315</v>
      </c>
      <c r="AL136" s="44">
        <v>-0.06377</v>
      </c>
      <c r="AM136" s="44">
        <v>0.262337</v>
      </c>
      <c r="AN136" s="44">
        <v>-1.36547</v>
      </c>
      <c r="AO136" s="44">
        <v>-1.09887</v>
      </c>
      <c r="AP136" s="44">
        <v>-0.14239</v>
      </c>
      <c r="AQ136" s="44">
        <v>-0.09577</v>
      </c>
      <c r="AR136" s="44">
        <v>-0.08639</v>
      </c>
      <c r="AS136" s="44">
        <v>1.306319</v>
      </c>
    </row>
    <row r="137">
      <c r="A137" s="44">
        <v>136.0</v>
      </c>
      <c r="B137" s="44">
        <v>142.2</v>
      </c>
      <c r="C137" s="44">
        <v>37.0</v>
      </c>
      <c r="D137" s="44">
        <v>0.0</v>
      </c>
      <c r="E137" s="44">
        <v>-0.24935</v>
      </c>
      <c r="F137" s="44">
        <v>0.004129</v>
      </c>
      <c r="G137" s="44">
        <v>0.44423</v>
      </c>
      <c r="H137" s="389"/>
      <c r="I137" s="46" t="s">
        <v>160</v>
      </c>
      <c r="J137" s="46" t="s">
        <v>354</v>
      </c>
      <c r="K137" s="46" t="s">
        <v>92</v>
      </c>
      <c r="L137" s="46" t="s">
        <v>1788</v>
      </c>
      <c r="M137" s="389"/>
      <c r="N137" s="46" t="s">
        <v>1570</v>
      </c>
      <c r="O137" s="389"/>
      <c r="P137" s="389"/>
      <c r="Q137" s="45"/>
      <c r="R137" s="46">
        <v>1.0</v>
      </c>
      <c r="S137" s="45"/>
      <c r="T137" s="46" t="s">
        <v>1645</v>
      </c>
      <c r="U137" s="44">
        <v>59.0</v>
      </c>
      <c r="V137" s="44">
        <v>15.0</v>
      </c>
      <c r="W137" s="389"/>
      <c r="X137" s="44">
        <v>26.0</v>
      </c>
      <c r="Y137" s="44">
        <v>8.117797</v>
      </c>
      <c r="Z137" s="44">
        <v>1.548814</v>
      </c>
      <c r="AA137" s="44">
        <v>5.300169</v>
      </c>
      <c r="AB137" s="44">
        <v>0.992881</v>
      </c>
      <c r="AC137" s="44">
        <v>0.965763</v>
      </c>
      <c r="AD137" s="44">
        <v>1.115763</v>
      </c>
      <c r="AE137" s="44">
        <v>0.423442</v>
      </c>
      <c r="AF137" s="44">
        <v>6.80661</v>
      </c>
      <c r="AG137" s="44">
        <v>0.788015</v>
      </c>
      <c r="AH137" s="44">
        <v>1.021017</v>
      </c>
      <c r="AI137" s="44">
        <v>0.828814</v>
      </c>
      <c r="AJ137" s="44">
        <v>12.92522</v>
      </c>
      <c r="AK137" s="44">
        <v>-1.57274</v>
      </c>
      <c r="AL137" s="44">
        <v>-0.20123</v>
      </c>
      <c r="AM137" s="44">
        <v>-0.33119</v>
      </c>
      <c r="AN137" s="44">
        <v>-1.32503</v>
      </c>
      <c r="AO137" s="44">
        <v>-0.1345</v>
      </c>
      <c r="AP137" s="44">
        <v>0.662664</v>
      </c>
      <c r="AQ137" s="44">
        <v>-0.65465</v>
      </c>
      <c r="AR137" s="44">
        <v>-0.03236</v>
      </c>
      <c r="AS137" s="44">
        <v>1.34487</v>
      </c>
    </row>
    <row r="138">
      <c r="A138" s="44">
        <v>137.0</v>
      </c>
      <c r="B138" s="44">
        <v>150.0</v>
      </c>
      <c r="C138" s="389"/>
      <c r="D138" s="389"/>
      <c r="E138" s="44">
        <v>-0.24969</v>
      </c>
      <c r="F138" s="44">
        <v>0.010056</v>
      </c>
      <c r="G138" s="44">
        <v>-0.0204</v>
      </c>
      <c r="H138" s="389"/>
      <c r="I138" s="46" t="s">
        <v>718</v>
      </c>
      <c r="J138" s="46" t="s">
        <v>449</v>
      </c>
      <c r="K138" s="46" t="s">
        <v>88</v>
      </c>
      <c r="L138" s="46" t="s">
        <v>1789</v>
      </c>
      <c r="M138" s="389"/>
      <c r="N138" s="46" t="s">
        <v>1570</v>
      </c>
      <c r="O138" s="46" t="s">
        <v>1648</v>
      </c>
      <c r="P138" s="389"/>
      <c r="Q138" s="389"/>
      <c r="R138" s="46">
        <v>4.0</v>
      </c>
      <c r="S138" s="45"/>
      <c r="T138" s="46" t="s">
        <v>1645</v>
      </c>
      <c r="U138" s="44">
        <v>66.0</v>
      </c>
      <c r="V138" s="44">
        <v>13.0</v>
      </c>
      <c r="W138" s="389"/>
      <c r="X138" s="44">
        <v>26.0</v>
      </c>
      <c r="Y138" s="44">
        <v>12.47152</v>
      </c>
      <c r="Z138" s="44">
        <v>2.468333</v>
      </c>
      <c r="AA138" s="44">
        <v>3.128182</v>
      </c>
      <c r="AB138" s="44">
        <v>2.431212</v>
      </c>
      <c r="AC138" s="44">
        <v>0.994697</v>
      </c>
      <c r="AD138" s="44">
        <v>0.347424</v>
      </c>
      <c r="AE138" s="44">
        <v>0.466108</v>
      </c>
      <c r="AF138" s="44">
        <v>10.12348</v>
      </c>
      <c r="AG138" s="44">
        <v>0.732928</v>
      </c>
      <c r="AH138" s="44">
        <v>0.772121</v>
      </c>
      <c r="AI138" s="44">
        <v>1.097424</v>
      </c>
      <c r="AJ138" s="44">
        <v>18.35945</v>
      </c>
      <c r="AK138" s="44">
        <v>-0.80552</v>
      </c>
      <c r="AL138" s="44">
        <v>0.67824</v>
      </c>
      <c r="AM138" s="44">
        <v>-1.22248</v>
      </c>
      <c r="AN138" s="44">
        <v>-0.63111</v>
      </c>
      <c r="AO138" s="44">
        <v>-0.04856</v>
      </c>
      <c r="AP138" s="44">
        <v>-0.72331</v>
      </c>
      <c r="AQ138" s="44">
        <v>-0.33901</v>
      </c>
      <c r="AR138" s="44">
        <v>-0.16104</v>
      </c>
      <c r="AS138" s="44">
        <v>1.005573</v>
      </c>
    </row>
    <row r="139">
      <c r="A139" s="44">
        <v>138.0</v>
      </c>
      <c r="B139" s="44">
        <v>122.6812</v>
      </c>
      <c r="C139" s="44">
        <v>100.0</v>
      </c>
      <c r="D139" s="44">
        <v>0.0</v>
      </c>
      <c r="E139" s="44">
        <v>-0.2523</v>
      </c>
      <c r="F139" s="44">
        <v>0.001364</v>
      </c>
      <c r="G139" s="44">
        <v>0.397768</v>
      </c>
      <c r="H139" s="389"/>
      <c r="I139" s="46" t="s">
        <v>73</v>
      </c>
      <c r="J139" s="46" t="s">
        <v>386</v>
      </c>
      <c r="K139" s="46" t="s">
        <v>92</v>
      </c>
      <c r="L139" s="46" t="s">
        <v>1790</v>
      </c>
      <c r="M139" s="389"/>
      <c r="N139" s="46" t="s">
        <v>1562</v>
      </c>
      <c r="O139" s="46" t="s">
        <v>1571</v>
      </c>
      <c r="P139" s="389"/>
      <c r="Q139" s="389"/>
      <c r="R139" s="46">
        <v>2.0</v>
      </c>
      <c r="S139" s="45"/>
      <c r="T139" s="46" t="s">
        <v>1564</v>
      </c>
      <c r="U139" s="44">
        <v>68.0</v>
      </c>
      <c r="V139" s="44">
        <v>14.0</v>
      </c>
      <c r="W139" s="389"/>
      <c r="X139" s="44">
        <v>30.0</v>
      </c>
      <c r="Y139" s="44">
        <v>14.21765</v>
      </c>
      <c r="Z139" s="44">
        <v>2.132647</v>
      </c>
      <c r="AA139" s="44">
        <v>7.575</v>
      </c>
      <c r="AB139" s="44">
        <v>1.184118</v>
      </c>
      <c r="AC139" s="44">
        <v>0.502353</v>
      </c>
      <c r="AD139" s="44">
        <v>0.568088</v>
      </c>
      <c r="AE139" s="44">
        <v>0.446856</v>
      </c>
      <c r="AF139" s="44">
        <v>11.42559</v>
      </c>
      <c r="AG139" s="44">
        <v>0.820001</v>
      </c>
      <c r="AH139" s="44">
        <v>2.285147</v>
      </c>
      <c r="AI139" s="44">
        <v>1.202941</v>
      </c>
      <c r="AJ139" s="44">
        <v>18.59224</v>
      </c>
      <c r="AK139" s="44">
        <v>-0.49781</v>
      </c>
      <c r="AL139" s="44">
        <v>0.357173</v>
      </c>
      <c r="AM139" s="44">
        <v>0.602305</v>
      </c>
      <c r="AN139" s="44">
        <v>-1.23277</v>
      </c>
      <c r="AO139" s="44">
        <v>-1.51086</v>
      </c>
      <c r="AP139" s="44">
        <v>-0.32527</v>
      </c>
      <c r="AQ139" s="44">
        <v>-0.7085</v>
      </c>
      <c r="AR139" s="44">
        <v>0.172725</v>
      </c>
      <c r="AS139" s="44">
        <v>0.872288</v>
      </c>
    </row>
    <row r="140">
      <c r="A140" s="44">
        <v>139.0</v>
      </c>
      <c r="B140" s="44">
        <v>148.25</v>
      </c>
      <c r="C140" s="44">
        <v>17.0</v>
      </c>
      <c r="D140" s="44">
        <v>0.0</v>
      </c>
      <c r="E140" s="44">
        <v>-0.25369</v>
      </c>
      <c r="F140" s="44">
        <v>0.001116</v>
      </c>
      <c r="G140" s="44">
        <v>0.388475</v>
      </c>
      <c r="H140" s="389"/>
      <c r="I140" s="46" t="s">
        <v>424</v>
      </c>
      <c r="J140" s="46" t="s">
        <v>490</v>
      </c>
      <c r="K140" s="46" t="s">
        <v>90</v>
      </c>
      <c r="L140" s="46" t="s">
        <v>1791</v>
      </c>
      <c r="M140" s="389"/>
      <c r="N140" s="46" t="s">
        <v>1570</v>
      </c>
      <c r="O140" s="46" t="s">
        <v>1648</v>
      </c>
      <c r="P140" s="389"/>
      <c r="Q140" s="45"/>
      <c r="R140" s="46">
        <v>1.0</v>
      </c>
      <c r="S140" s="45"/>
      <c r="T140" s="46" t="s">
        <v>1564</v>
      </c>
      <c r="U140" s="44">
        <v>48.0</v>
      </c>
      <c r="V140" s="44">
        <v>16.0</v>
      </c>
      <c r="W140" s="389"/>
      <c r="X140" s="44">
        <v>25.0</v>
      </c>
      <c r="Y140" s="44">
        <v>13.24146</v>
      </c>
      <c r="Z140" s="44">
        <v>1.436875</v>
      </c>
      <c r="AA140" s="44">
        <v>4.291667</v>
      </c>
      <c r="AB140" s="44">
        <v>4.770417</v>
      </c>
      <c r="AC140" s="44">
        <v>0.858333</v>
      </c>
      <c r="AD140" s="44">
        <v>0.213958</v>
      </c>
      <c r="AE140" s="44">
        <v>0.484613</v>
      </c>
      <c r="AF140" s="44">
        <v>9.97875</v>
      </c>
      <c r="AG140" s="44">
        <v>0.855019</v>
      </c>
      <c r="AH140" s="44">
        <v>2.494583</v>
      </c>
      <c r="AI140" s="44">
        <v>1.927083</v>
      </c>
      <c r="AJ140" s="44">
        <v>21.94514</v>
      </c>
      <c r="AK140" s="44">
        <v>-0.66984</v>
      </c>
      <c r="AL140" s="44">
        <v>-0.3083</v>
      </c>
      <c r="AM140" s="44">
        <v>-0.74504</v>
      </c>
      <c r="AN140" s="44">
        <v>0.497442</v>
      </c>
      <c r="AO140" s="44">
        <v>-0.45357</v>
      </c>
      <c r="AP140" s="44">
        <v>-0.96407</v>
      </c>
      <c r="AQ140" s="44">
        <v>-0.06126</v>
      </c>
      <c r="AR140" s="44">
        <v>0.46382</v>
      </c>
      <c r="AS140" s="44">
        <v>-0.04242</v>
      </c>
    </row>
    <row r="141">
      <c r="A141" s="44">
        <v>140.0</v>
      </c>
      <c r="B141" s="44">
        <v>146.8378</v>
      </c>
      <c r="C141" s="44">
        <v>53.0</v>
      </c>
      <c r="D141" s="44">
        <v>0.0</v>
      </c>
      <c r="E141" s="44">
        <v>-0.26125</v>
      </c>
      <c r="F141" s="44">
        <v>-0.07649</v>
      </c>
      <c r="G141" s="44">
        <v>1.475704</v>
      </c>
      <c r="H141" s="389"/>
      <c r="I141" s="46" t="s">
        <v>840</v>
      </c>
      <c r="J141" s="46" t="s">
        <v>354</v>
      </c>
      <c r="K141" s="46" t="s">
        <v>1581</v>
      </c>
      <c r="L141" s="46" t="s">
        <v>1792</v>
      </c>
      <c r="M141" s="46" t="s">
        <v>1793</v>
      </c>
      <c r="N141" s="46" t="s">
        <v>1562</v>
      </c>
      <c r="O141" s="389"/>
      <c r="P141" s="389"/>
      <c r="Q141" s="45"/>
      <c r="R141" s="46">
        <v>2.0</v>
      </c>
      <c r="S141" s="45"/>
      <c r="T141" s="46" t="s">
        <v>1645</v>
      </c>
      <c r="U141" s="44">
        <v>71.0</v>
      </c>
      <c r="V141" s="44">
        <v>15.0</v>
      </c>
      <c r="W141" s="389"/>
      <c r="X141" s="44">
        <v>24.0</v>
      </c>
      <c r="Y141" s="44">
        <v>12.58521</v>
      </c>
      <c r="Z141" s="44">
        <v>1.341831</v>
      </c>
      <c r="AA141" s="44">
        <v>7.312958</v>
      </c>
      <c r="AB141" s="44">
        <v>1.853944</v>
      </c>
      <c r="AC141" s="44">
        <v>0.775775</v>
      </c>
      <c r="AD141" s="44">
        <v>0.566479</v>
      </c>
      <c r="AE141" s="44">
        <v>0.515041</v>
      </c>
      <c r="AF141" s="44">
        <v>9.476338</v>
      </c>
      <c r="AG141" s="44">
        <v>0.679979</v>
      </c>
      <c r="AH141" s="44">
        <v>2.179437</v>
      </c>
      <c r="AI141" s="44">
        <v>1.339014</v>
      </c>
      <c r="AJ141" s="44">
        <v>20.39262</v>
      </c>
      <c r="AK141" s="44">
        <v>-0.78548</v>
      </c>
      <c r="AL141" s="44">
        <v>-0.3992</v>
      </c>
      <c r="AM141" s="44">
        <v>0.494774</v>
      </c>
      <c r="AN141" s="44">
        <v>-0.90961</v>
      </c>
      <c r="AO141" s="44">
        <v>-0.69878</v>
      </c>
      <c r="AP141" s="44">
        <v>-0.32817</v>
      </c>
      <c r="AQ141" s="44">
        <v>0.368167</v>
      </c>
      <c r="AR141" s="44">
        <v>-0.79339</v>
      </c>
      <c r="AS141" s="44">
        <v>0.700407</v>
      </c>
    </row>
    <row r="142">
      <c r="A142" s="44">
        <v>141.0</v>
      </c>
      <c r="B142" s="44">
        <v>141.8333</v>
      </c>
      <c r="C142" s="44">
        <v>34.0</v>
      </c>
      <c r="D142" s="44">
        <v>0.0</v>
      </c>
      <c r="E142" s="44">
        <v>-0.26744</v>
      </c>
      <c r="F142" s="44">
        <v>0.001905</v>
      </c>
      <c r="G142" s="44">
        <v>1.085417</v>
      </c>
      <c r="H142" s="389"/>
      <c r="I142" s="46" t="s">
        <v>597</v>
      </c>
      <c r="J142" s="46" t="s">
        <v>490</v>
      </c>
      <c r="K142" s="46" t="s">
        <v>90</v>
      </c>
      <c r="L142" s="46" t="s">
        <v>1794</v>
      </c>
      <c r="M142" s="389"/>
      <c r="N142" s="46" t="s">
        <v>1570</v>
      </c>
      <c r="O142" s="389"/>
      <c r="P142" s="389"/>
      <c r="Q142" s="389"/>
      <c r="R142" s="46">
        <v>3.0</v>
      </c>
      <c r="S142" s="45"/>
      <c r="T142" s="46" t="s">
        <v>1645</v>
      </c>
      <c r="U142" s="44">
        <v>66.0</v>
      </c>
      <c r="V142" s="44">
        <v>16.0</v>
      </c>
      <c r="W142" s="389"/>
      <c r="X142" s="44">
        <v>28.0</v>
      </c>
      <c r="Y142" s="44">
        <v>10.13136</v>
      </c>
      <c r="Z142" s="44">
        <v>1.693636</v>
      </c>
      <c r="AA142" s="44">
        <v>5.167121</v>
      </c>
      <c r="AB142" s="44">
        <v>3.004242</v>
      </c>
      <c r="AC142" s="44">
        <v>1.140152</v>
      </c>
      <c r="AD142" s="44">
        <v>0.660909</v>
      </c>
      <c r="AE142" s="44">
        <v>0.422002</v>
      </c>
      <c r="AF142" s="44">
        <v>8.471515</v>
      </c>
      <c r="AG142" s="44">
        <v>0.759993</v>
      </c>
      <c r="AH142" s="44">
        <v>1.694394</v>
      </c>
      <c r="AI142" s="44">
        <v>1.563182</v>
      </c>
      <c r="AJ142" s="44">
        <v>16.24388</v>
      </c>
      <c r="AK142" s="44">
        <v>-1.2179</v>
      </c>
      <c r="AL142" s="44">
        <v>-0.06272</v>
      </c>
      <c r="AM142" s="44">
        <v>-0.38579</v>
      </c>
      <c r="AN142" s="44">
        <v>-0.35465</v>
      </c>
      <c r="AO142" s="44">
        <v>0.383448</v>
      </c>
      <c r="AP142" s="44">
        <v>-0.15783</v>
      </c>
      <c r="AQ142" s="44">
        <v>-0.83453</v>
      </c>
      <c r="AR142" s="44">
        <v>-0.19426</v>
      </c>
      <c r="AS142" s="44">
        <v>0.417248</v>
      </c>
    </row>
    <row r="143">
      <c r="A143" s="44">
        <v>142.0</v>
      </c>
      <c r="B143" s="44">
        <v>141.3462</v>
      </c>
      <c r="C143" s="44">
        <v>64.0</v>
      </c>
      <c r="D143" s="44">
        <v>0.0</v>
      </c>
      <c r="E143" s="44">
        <v>-0.2682</v>
      </c>
      <c r="F143" s="44">
        <v>-0.03725</v>
      </c>
      <c r="G143" s="44">
        <v>0.825225</v>
      </c>
      <c r="H143" s="389"/>
      <c r="I143" s="46" t="s">
        <v>654</v>
      </c>
      <c r="J143" s="46" t="s">
        <v>379</v>
      </c>
      <c r="K143" s="46" t="s">
        <v>85</v>
      </c>
      <c r="L143" s="46" t="s">
        <v>1795</v>
      </c>
      <c r="M143" s="389"/>
      <c r="N143" s="46" t="s">
        <v>1562</v>
      </c>
      <c r="O143" s="389"/>
      <c r="P143" s="389"/>
      <c r="Q143" s="389"/>
      <c r="R143" s="46">
        <v>2.0</v>
      </c>
      <c r="S143" s="45"/>
      <c r="T143" s="46" t="s">
        <v>1630</v>
      </c>
      <c r="U143" s="44">
        <v>71.0</v>
      </c>
      <c r="V143" s="44">
        <v>14.0</v>
      </c>
      <c r="W143" s="389"/>
      <c r="X143" s="44">
        <v>24.0</v>
      </c>
      <c r="Y143" s="44">
        <v>11.76197</v>
      </c>
      <c r="Z143" s="44">
        <v>1.36</v>
      </c>
      <c r="AA143" s="44">
        <v>3.412535</v>
      </c>
      <c r="AB143" s="44">
        <v>4.72507</v>
      </c>
      <c r="AC143" s="44">
        <v>1.36493</v>
      </c>
      <c r="AD143" s="44">
        <v>0.463521</v>
      </c>
      <c r="AE143" s="44">
        <v>0.468865</v>
      </c>
      <c r="AF143" s="44">
        <v>8.925352</v>
      </c>
      <c r="AG143" s="44">
        <v>0.720995</v>
      </c>
      <c r="AH143" s="44">
        <v>2.818873</v>
      </c>
      <c r="AI143" s="44">
        <v>1.962394</v>
      </c>
      <c r="AJ143" s="44">
        <v>20.52685</v>
      </c>
      <c r="AK143" s="44">
        <v>-0.93056</v>
      </c>
      <c r="AL143" s="44">
        <v>-0.38182</v>
      </c>
      <c r="AM143" s="44">
        <v>-1.10579</v>
      </c>
      <c r="AN143" s="44">
        <v>0.475565</v>
      </c>
      <c r="AO143" s="44">
        <v>1.051055</v>
      </c>
      <c r="AP143" s="44">
        <v>-0.51389</v>
      </c>
      <c r="AQ143" s="44">
        <v>-0.26169</v>
      </c>
      <c r="AR143" s="44">
        <v>-0.65964</v>
      </c>
      <c r="AS143" s="44">
        <v>-0.08702</v>
      </c>
    </row>
    <row r="144">
      <c r="A144" s="44">
        <v>143.0</v>
      </c>
      <c r="B144" s="44">
        <v>138.3333</v>
      </c>
      <c r="C144" s="44">
        <v>16.0</v>
      </c>
      <c r="D144" s="44">
        <v>0.0</v>
      </c>
      <c r="E144" s="44">
        <v>-0.27065</v>
      </c>
      <c r="F144" s="44">
        <v>0.082458</v>
      </c>
      <c r="G144" s="44">
        <v>0.100406</v>
      </c>
      <c r="H144" s="389"/>
      <c r="I144" s="46" t="s">
        <v>1796</v>
      </c>
      <c r="J144" s="46" t="s">
        <v>342</v>
      </c>
      <c r="K144" s="46" t="s">
        <v>97</v>
      </c>
      <c r="L144" s="46" t="s">
        <v>1797</v>
      </c>
      <c r="M144" s="389"/>
      <c r="N144" s="46" t="s">
        <v>1562</v>
      </c>
      <c r="O144" s="45"/>
      <c r="P144" s="389"/>
      <c r="Q144" s="389"/>
      <c r="R144" s="46">
        <v>3.0</v>
      </c>
      <c r="S144" s="45"/>
      <c r="T144" s="46" t="s">
        <v>1645</v>
      </c>
      <c r="U144" s="44">
        <v>71.0</v>
      </c>
      <c r="V144" s="44">
        <v>16.0</v>
      </c>
      <c r="W144" s="389"/>
      <c r="X144" s="44">
        <v>25.0</v>
      </c>
      <c r="Y144" s="44">
        <v>10.47789</v>
      </c>
      <c r="Z144" s="44">
        <v>0.036901</v>
      </c>
      <c r="AA144" s="44">
        <v>8.593803</v>
      </c>
      <c r="AB144" s="44">
        <v>1.04169</v>
      </c>
      <c r="AC144" s="44">
        <v>1.020141</v>
      </c>
      <c r="AD144" s="44">
        <v>0.729155</v>
      </c>
      <c r="AE144" s="44">
        <v>0.620213</v>
      </c>
      <c r="AF144" s="44">
        <v>6.822958</v>
      </c>
      <c r="AG144" s="44">
        <v>0.640002</v>
      </c>
      <c r="AH144" s="44">
        <v>3.09</v>
      </c>
      <c r="AI144" s="44">
        <v>1.230845</v>
      </c>
      <c r="AJ144" s="44">
        <v>16.167</v>
      </c>
      <c r="AK144" s="44">
        <v>-1.15684</v>
      </c>
      <c r="AL144" s="44">
        <v>-1.6473</v>
      </c>
      <c r="AM144" s="44">
        <v>1.020378</v>
      </c>
      <c r="AN144" s="44">
        <v>-1.30148</v>
      </c>
      <c r="AO144" s="44">
        <v>0.027008</v>
      </c>
      <c r="AP144" s="44">
        <v>-0.03472</v>
      </c>
      <c r="AQ144" s="44">
        <v>1.327184</v>
      </c>
      <c r="AR144" s="44">
        <v>-1.50713</v>
      </c>
      <c r="AS144" s="44">
        <v>0.837041</v>
      </c>
    </row>
    <row r="145">
      <c r="A145" s="44">
        <v>144.0</v>
      </c>
      <c r="B145" s="44">
        <v>141.8125</v>
      </c>
      <c r="C145" s="44">
        <v>21.0</v>
      </c>
      <c r="D145" s="44">
        <v>0.0</v>
      </c>
      <c r="E145" s="44">
        <v>-0.2714</v>
      </c>
      <c r="F145" s="44">
        <v>-0.03933</v>
      </c>
      <c r="G145" s="44">
        <v>1.559337</v>
      </c>
      <c r="H145" s="389"/>
      <c r="I145" s="46" t="s">
        <v>671</v>
      </c>
      <c r="J145" s="46" t="s">
        <v>1578</v>
      </c>
      <c r="K145" s="46" t="s">
        <v>1604</v>
      </c>
      <c r="L145" s="46" t="s">
        <v>1798</v>
      </c>
      <c r="M145" s="389"/>
      <c r="N145" s="46" t="s">
        <v>1612</v>
      </c>
      <c r="O145" s="389"/>
      <c r="P145" s="389"/>
      <c r="Q145" s="389"/>
      <c r="R145" s="46">
        <v>5.0</v>
      </c>
      <c r="S145" s="45"/>
      <c r="T145" s="46" t="s">
        <v>1630</v>
      </c>
      <c r="U145" s="44">
        <v>75.0</v>
      </c>
      <c r="V145" s="44">
        <v>15.0</v>
      </c>
      <c r="W145" s="389"/>
      <c r="X145" s="44">
        <v>24.0</v>
      </c>
      <c r="Y145" s="44">
        <v>12.39933</v>
      </c>
      <c r="Z145" s="44">
        <v>2.9268</v>
      </c>
      <c r="AA145" s="44">
        <v>3.366</v>
      </c>
      <c r="AB145" s="44">
        <v>1.484933</v>
      </c>
      <c r="AC145" s="44">
        <v>0.8964</v>
      </c>
      <c r="AD145" s="44">
        <v>0.295867</v>
      </c>
      <c r="AE145" s="44">
        <v>0.433007</v>
      </c>
      <c r="AF145" s="44">
        <v>10.0488</v>
      </c>
      <c r="AG145" s="44">
        <v>0.842966</v>
      </c>
      <c r="AH145" s="44">
        <v>0.9136</v>
      </c>
      <c r="AI145" s="44">
        <v>0.841467</v>
      </c>
      <c r="AJ145" s="44">
        <v>20.51575</v>
      </c>
      <c r="AK145" s="44">
        <v>-0.81824</v>
      </c>
      <c r="AL145" s="44">
        <v>1.116739</v>
      </c>
      <c r="AM145" s="44">
        <v>-1.12489</v>
      </c>
      <c r="AN145" s="44">
        <v>-1.08764</v>
      </c>
      <c r="AO145" s="44">
        <v>-0.34051</v>
      </c>
      <c r="AP145" s="44">
        <v>-0.81632</v>
      </c>
      <c r="AQ145" s="44">
        <v>-0.82786</v>
      </c>
      <c r="AR145" s="44">
        <v>0.127223</v>
      </c>
      <c r="AS145" s="44">
        <v>1.328887</v>
      </c>
    </row>
    <row r="146">
      <c r="A146" s="44">
        <v>145.0</v>
      </c>
      <c r="B146" s="44">
        <v>127.8529</v>
      </c>
      <c r="C146" s="44">
        <v>100.0</v>
      </c>
      <c r="D146" s="44">
        <v>0.0</v>
      </c>
      <c r="E146" s="44">
        <v>-0.27304</v>
      </c>
      <c r="F146" s="44">
        <v>-4.3E-4</v>
      </c>
      <c r="G146" s="44">
        <v>0.091113</v>
      </c>
      <c r="H146" s="389"/>
      <c r="I146" s="46" t="s">
        <v>260</v>
      </c>
      <c r="J146" s="46" t="s">
        <v>1639</v>
      </c>
      <c r="K146" s="46" t="s">
        <v>1568</v>
      </c>
      <c r="L146" s="46" t="s">
        <v>1799</v>
      </c>
      <c r="M146" s="46" t="s">
        <v>1800</v>
      </c>
      <c r="N146" s="46" t="s">
        <v>1570</v>
      </c>
      <c r="O146" s="389"/>
      <c r="P146" s="389"/>
      <c r="Q146" s="45"/>
      <c r="R146" s="46">
        <v>2.0</v>
      </c>
      <c r="S146" s="45"/>
      <c r="T146" s="46" t="s">
        <v>1630</v>
      </c>
      <c r="U146" s="44">
        <v>25.0</v>
      </c>
      <c r="V146" s="44">
        <v>15.0</v>
      </c>
      <c r="W146" s="389"/>
      <c r="X146" s="44">
        <v>26.0</v>
      </c>
      <c r="Y146" s="44">
        <v>13.6072</v>
      </c>
      <c r="Z146" s="44">
        <v>1.6608</v>
      </c>
      <c r="AA146" s="44">
        <v>5.088</v>
      </c>
      <c r="AB146" s="44">
        <v>5.0956</v>
      </c>
      <c r="AC146" s="44">
        <v>1.2036</v>
      </c>
      <c r="AD146" s="44">
        <v>0.282</v>
      </c>
      <c r="AE146" s="44">
        <v>0.410889</v>
      </c>
      <c r="AF146" s="44">
        <v>12.0344</v>
      </c>
      <c r="AG146" s="44">
        <v>0.799938</v>
      </c>
      <c r="AH146" s="44">
        <v>2.5712</v>
      </c>
      <c r="AI146" s="44">
        <v>2.1884</v>
      </c>
      <c r="AJ146" s="44">
        <v>24.88223</v>
      </c>
      <c r="AK146" s="44">
        <v>-0.60539</v>
      </c>
      <c r="AL146" s="44">
        <v>-0.09412</v>
      </c>
      <c r="AM146" s="44">
        <v>-0.41825</v>
      </c>
      <c r="AN146" s="44">
        <v>0.654327</v>
      </c>
      <c r="AO146" s="44">
        <v>0.571895</v>
      </c>
      <c r="AP146" s="44">
        <v>-0.84133</v>
      </c>
      <c r="AQ146" s="44">
        <v>-1.38608</v>
      </c>
      <c r="AR146" s="44">
        <v>0.034078</v>
      </c>
      <c r="AS146" s="44">
        <v>-0.3725</v>
      </c>
    </row>
    <row r="147">
      <c r="A147" s="44">
        <v>146.0</v>
      </c>
      <c r="B147" s="44">
        <v>89.4</v>
      </c>
      <c r="C147" s="44">
        <v>100.0</v>
      </c>
      <c r="D147" s="44">
        <v>0.0</v>
      </c>
      <c r="E147" s="44">
        <v>-0.27438</v>
      </c>
      <c r="F147" s="44">
        <v>0.00662</v>
      </c>
      <c r="G147" s="44">
        <v>-1.16338</v>
      </c>
      <c r="H147" s="389"/>
      <c r="I147" s="46" t="s">
        <v>130</v>
      </c>
      <c r="J147" s="46" t="s">
        <v>304</v>
      </c>
      <c r="K147" s="46" t="s">
        <v>1568</v>
      </c>
      <c r="L147" s="46" t="s">
        <v>1801</v>
      </c>
      <c r="M147" s="389"/>
      <c r="N147" s="46" t="s">
        <v>1562</v>
      </c>
      <c r="O147" s="46" t="s">
        <v>1576</v>
      </c>
      <c r="P147" s="389"/>
      <c r="Q147" s="389"/>
      <c r="R147" s="46">
        <v>1.0</v>
      </c>
      <c r="S147" s="45"/>
      <c r="T147" s="46" t="s">
        <v>1645</v>
      </c>
      <c r="U147" s="44">
        <v>59.0</v>
      </c>
      <c r="V147" s="44">
        <v>13.0</v>
      </c>
      <c r="W147" s="389"/>
      <c r="X147" s="44">
        <v>31.0</v>
      </c>
      <c r="Y147" s="44">
        <v>19.02373</v>
      </c>
      <c r="Z147" s="44">
        <v>3.236102</v>
      </c>
      <c r="AA147" s="44">
        <v>2.594237</v>
      </c>
      <c r="AB147" s="44">
        <v>5.188644</v>
      </c>
      <c r="AC147" s="44">
        <v>0.665254</v>
      </c>
      <c r="AD147" s="44">
        <v>0.06661</v>
      </c>
      <c r="AE147" s="44">
        <v>0.426498</v>
      </c>
      <c r="AF147" s="44">
        <v>15.56627</v>
      </c>
      <c r="AG147" s="44">
        <v>0.900998</v>
      </c>
      <c r="AH147" s="44">
        <v>2.785424</v>
      </c>
      <c r="AI147" s="44">
        <v>2.461186</v>
      </c>
      <c r="AJ147" s="44">
        <v>25.5241</v>
      </c>
      <c r="AK147" s="44">
        <v>0.349119</v>
      </c>
      <c r="AL147" s="44">
        <v>1.41257</v>
      </c>
      <c r="AM147" s="44">
        <v>-1.44159</v>
      </c>
      <c r="AN147" s="44">
        <v>0.699216</v>
      </c>
      <c r="AO147" s="44">
        <v>-1.02703</v>
      </c>
      <c r="AP147" s="44">
        <v>-1.22986</v>
      </c>
      <c r="AQ147" s="44">
        <v>-1.43599</v>
      </c>
      <c r="AR147" s="44">
        <v>0.921232</v>
      </c>
      <c r="AS147" s="44">
        <v>-0.71707</v>
      </c>
    </row>
    <row r="148">
      <c r="A148" s="44">
        <v>147.0</v>
      </c>
      <c r="B148" s="44">
        <v>143.0476</v>
      </c>
      <c r="C148" s="44">
        <v>27.0</v>
      </c>
      <c r="D148" s="44">
        <v>0.0</v>
      </c>
      <c r="E148" s="44">
        <v>-0.2779</v>
      </c>
      <c r="F148" s="44">
        <v>-0.08488</v>
      </c>
      <c r="G148" s="44">
        <v>-1.80457</v>
      </c>
      <c r="H148" s="389"/>
      <c r="I148" s="46" t="s">
        <v>639</v>
      </c>
      <c r="J148" s="46" t="s">
        <v>317</v>
      </c>
      <c r="K148" s="46" t="s">
        <v>85</v>
      </c>
      <c r="L148" s="46" t="s">
        <v>1802</v>
      </c>
      <c r="M148" s="389"/>
      <c r="N148" s="46" t="s">
        <v>1570</v>
      </c>
      <c r="O148" s="46" t="s">
        <v>1689</v>
      </c>
      <c r="P148" s="389"/>
      <c r="Q148" s="389"/>
      <c r="R148" s="46">
        <v>2.0</v>
      </c>
      <c r="S148" s="45"/>
      <c r="T148" s="46" t="s">
        <v>1630</v>
      </c>
      <c r="U148" s="44">
        <v>53.0</v>
      </c>
      <c r="V148" s="44">
        <v>14.0</v>
      </c>
      <c r="W148" s="389"/>
      <c r="X148" s="44">
        <v>22.0</v>
      </c>
      <c r="Y148" s="44">
        <v>7.92</v>
      </c>
      <c r="Z148" s="44">
        <v>2.001132</v>
      </c>
      <c r="AA148" s="44">
        <v>3.42566</v>
      </c>
      <c r="AB148" s="44">
        <v>3.142453</v>
      </c>
      <c r="AC148" s="44">
        <v>1.273585</v>
      </c>
      <c r="AD148" s="44">
        <v>0.468113</v>
      </c>
      <c r="AE148" s="44">
        <v>0.3839</v>
      </c>
      <c r="AF148" s="44">
        <v>7.036038</v>
      </c>
      <c r="AG148" s="44">
        <v>0.815852</v>
      </c>
      <c r="AH148" s="44">
        <v>0.633208</v>
      </c>
      <c r="AI148" s="44">
        <v>1.064717</v>
      </c>
      <c r="AJ148" s="44">
        <v>16.2777</v>
      </c>
      <c r="AK148" s="44">
        <v>-1.60759</v>
      </c>
      <c r="AL148" s="44">
        <v>0.231386</v>
      </c>
      <c r="AM148" s="44">
        <v>-1.10041</v>
      </c>
      <c r="AN148" s="44">
        <v>-0.28797</v>
      </c>
      <c r="AO148" s="44">
        <v>0.779755</v>
      </c>
      <c r="AP148" s="44">
        <v>-0.50561</v>
      </c>
      <c r="AQ148" s="44">
        <v>-1.08798</v>
      </c>
      <c r="AR148" s="44">
        <v>0.03039</v>
      </c>
      <c r="AS148" s="44">
        <v>1.046887</v>
      </c>
    </row>
    <row r="149">
      <c r="A149" s="44">
        <v>148.0</v>
      </c>
      <c r="B149" s="44">
        <v>145.5</v>
      </c>
      <c r="C149" s="44">
        <v>7.0</v>
      </c>
      <c r="D149" s="44">
        <v>0.0</v>
      </c>
      <c r="E149" s="44">
        <v>-0.28304</v>
      </c>
      <c r="F149" s="44">
        <v>0.001342</v>
      </c>
      <c r="G149" s="44">
        <v>0.7323</v>
      </c>
      <c r="H149" s="389"/>
      <c r="I149" s="46" t="s">
        <v>801</v>
      </c>
      <c r="J149" s="46" t="s">
        <v>273</v>
      </c>
      <c r="K149" s="46" t="s">
        <v>1572</v>
      </c>
      <c r="L149" s="46" t="s">
        <v>1803</v>
      </c>
      <c r="M149" s="389"/>
      <c r="N149" s="46" t="s">
        <v>1562</v>
      </c>
      <c r="O149" s="389"/>
      <c r="P149" s="389"/>
      <c r="Q149" s="45"/>
      <c r="R149" s="46">
        <v>5.0</v>
      </c>
      <c r="S149" s="45"/>
      <c r="T149" s="46" t="s">
        <v>1564</v>
      </c>
      <c r="U149" s="44">
        <v>71.0</v>
      </c>
      <c r="V149" s="44">
        <v>13.0</v>
      </c>
      <c r="W149" s="389"/>
      <c r="X149" s="44">
        <v>29.0</v>
      </c>
      <c r="Y149" s="44">
        <v>9.455915</v>
      </c>
      <c r="Z149" s="44">
        <v>2.292535</v>
      </c>
      <c r="AA149" s="44">
        <v>3.943944</v>
      </c>
      <c r="AB149" s="44">
        <v>1.417324</v>
      </c>
      <c r="AC149" s="44">
        <v>1.099437</v>
      </c>
      <c r="AD149" s="44">
        <v>0.495915</v>
      </c>
      <c r="AE149" s="44">
        <v>0.421364</v>
      </c>
      <c r="AF149" s="44">
        <v>8.011549</v>
      </c>
      <c r="AG149" s="44">
        <v>0.744968</v>
      </c>
      <c r="AH149" s="44">
        <v>0.552817</v>
      </c>
      <c r="AI149" s="44">
        <v>0.80507</v>
      </c>
      <c r="AJ149" s="44">
        <v>13.37195</v>
      </c>
      <c r="AK149" s="44">
        <v>-1.33693</v>
      </c>
      <c r="AL149" s="44">
        <v>0.510098</v>
      </c>
      <c r="AM149" s="44">
        <v>-0.88773</v>
      </c>
      <c r="AN149" s="44">
        <v>-1.12026</v>
      </c>
      <c r="AO149" s="44">
        <v>0.262522</v>
      </c>
      <c r="AP149" s="44">
        <v>-0.45545</v>
      </c>
      <c r="AQ149" s="44">
        <v>-0.79639</v>
      </c>
      <c r="AR149" s="44">
        <v>-0.09804</v>
      </c>
      <c r="AS149" s="44">
        <v>1.374861</v>
      </c>
    </row>
    <row r="150">
      <c r="A150" s="44">
        <v>149.0</v>
      </c>
      <c r="B150" s="44">
        <v>144.5</v>
      </c>
      <c r="C150" s="44">
        <v>6.0</v>
      </c>
      <c r="D150" s="44">
        <v>0.0</v>
      </c>
      <c r="E150" s="44">
        <v>-0.2832</v>
      </c>
      <c r="F150" s="44">
        <v>-0.00561</v>
      </c>
      <c r="G150" s="44">
        <v>-0.53149</v>
      </c>
      <c r="H150" s="389"/>
      <c r="I150" s="46" t="s">
        <v>647</v>
      </c>
      <c r="J150" s="46" t="s">
        <v>291</v>
      </c>
      <c r="K150" s="46" t="s">
        <v>1593</v>
      </c>
      <c r="L150" s="46" t="s">
        <v>1804</v>
      </c>
      <c r="M150" s="389"/>
      <c r="N150" s="46" t="s">
        <v>1562</v>
      </c>
      <c r="O150" s="46" t="s">
        <v>1729</v>
      </c>
      <c r="P150" s="389"/>
      <c r="Q150" s="45"/>
      <c r="R150" s="46">
        <v>4.0</v>
      </c>
      <c r="S150" s="45"/>
      <c r="T150" s="46" t="s">
        <v>1564</v>
      </c>
      <c r="U150" s="44">
        <v>71.0</v>
      </c>
      <c r="V150" s="44">
        <v>14.0</v>
      </c>
      <c r="W150" s="389"/>
      <c r="X150" s="44">
        <v>29.0</v>
      </c>
      <c r="Y150" s="44">
        <v>12.27423</v>
      </c>
      <c r="Z150" s="44">
        <v>2.481831</v>
      </c>
      <c r="AA150" s="44">
        <v>2.623944</v>
      </c>
      <c r="AB150" s="44">
        <v>1.550563</v>
      </c>
      <c r="AC150" s="44">
        <v>1.105634</v>
      </c>
      <c r="AD150" s="44">
        <v>0.060704</v>
      </c>
      <c r="AE150" s="44">
        <v>0.430742</v>
      </c>
      <c r="AF150" s="44">
        <v>9.519437</v>
      </c>
      <c r="AG150" s="44">
        <v>0.835984</v>
      </c>
      <c r="AH150" s="44">
        <v>1.903803</v>
      </c>
      <c r="AI150" s="44">
        <v>0.608028</v>
      </c>
      <c r="AJ150" s="44">
        <v>16.58545</v>
      </c>
      <c r="AK150" s="44">
        <v>-0.84029</v>
      </c>
      <c r="AL150" s="44">
        <v>0.691149</v>
      </c>
      <c r="AM150" s="44">
        <v>-1.4294</v>
      </c>
      <c r="AN150" s="44">
        <v>-1.05598</v>
      </c>
      <c r="AO150" s="44">
        <v>0.280928</v>
      </c>
      <c r="AP150" s="44">
        <v>-1.24052</v>
      </c>
      <c r="AQ150" s="44">
        <v>-0.81572</v>
      </c>
      <c r="AR150" s="44">
        <v>0.237246</v>
      </c>
      <c r="AS150" s="44">
        <v>1.623757</v>
      </c>
    </row>
    <row r="151">
      <c r="A151" s="44">
        <v>150.0</v>
      </c>
      <c r="B151" s="44">
        <v>96.81429</v>
      </c>
      <c r="C151" s="44">
        <v>100.0</v>
      </c>
      <c r="D151" s="44">
        <v>0.0</v>
      </c>
      <c r="E151" s="44">
        <v>-0.28325</v>
      </c>
      <c r="F151" s="44">
        <v>0.001677</v>
      </c>
      <c r="G151" s="44">
        <v>-0.05757</v>
      </c>
      <c r="H151" s="389"/>
      <c r="I151" s="46" t="s">
        <v>157</v>
      </c>
      <c r="J151" s="46" t="s">
        <v>295</v>
      </c>
      <c r="K151" s="46" t="s">
        <v>1593</v>
      </c>
      <c r="L151" s="46" t="s">
        <v>1805</v>
      </c>
      <c r="M151" s="389"/>
      <c r="N151" s="46" t="s">
        <v>1570</v>
      </c>
      <c r="O151" s="46" t="s">
        <v>1595</v>
      </c>
      <c r="P151" s="389"/>
      <c r="Q151" s="389"/>
      <c r="R151" s="46">
        <v>4.0</v>
      </c>
      <c r="S151" s="45"/>
      <c r="T151" s="46" t="s">
        <v>1564</v>
      </c>
      <c r="U151" s="44">
        <v>66.0</v>
      </c>
      <c r="V151" s="44">
        <v>13.0</v>
      </c>
      <c r="W151" s="389"/>
      <c r="X151" s="44">
        <v>32.0</v>
      </c>
      <c r="Y151" s="44">
        <v>19.48106</v>
      </c>
      <c r="Z151" s="44">
        <v>1.623333</v>
      </c>
      <c r="AA151" s="44">
        <v>5.453939</v>
      </c>
      <c r="AB151" s="44">
        <v>2.558636</v>
      </c>
      <c r="AC151" s="44">
        <v>0.758939</v>
      </c>
      <c r="AD151" s="44">
        <v>0.331212</v>
      </c>
      <c r="AE151" s="44">
        <v>0.450969</v>
      </c>
      <c r="AF151" s="44">
        <v>13.60136</v>
      </c>
      <c r="AG151" s="44">
        <v>0.822008</v>
      </c>
      <c r="AH151" s="44">
        <v>6.800606</v>
      </c>
      <c r="AI151" s="44">
        <v>2.154697</v>
      </c>
      <c r="AJ151" s="44">
        <v>25.20939</v>
      </c>
      <c r="AK151" s="44">
        <v>0.429711</v>
      </c>
      <c r="AL151" s="44">
        <v>-0.12996</v>
      </c>
      <c r="AM151" s="44">
        <v>-0.26809</v>
      </c>
      <c r="AN151" s="44">
        <v>-0.56963</v>
      </c>
      <c r="AO151" s="44">
        <v>-0.74878</v>
      </c>
      <c r="AP151" s="44">
        <v>-0.75256</v>
      </c>
      <c r="AQ151" s="44">
        <v>-0.76212</v>
      </c>
      <c r="AR151" s="44">
        <v>0.582069</v>
      </c>
      <c r="AS151" s="44">
        <v>-0.32993</v>
      </c>
    </row>
    <row r="152">
      <c r="A152" s="44">
        <v>151.0</v>
      </c>
      <c r="B152" s="44">
        <v>140.9286</v>
      </c>
      <c r="C152" s="44">
        <v>40.0</v>
      </c>
      <c r="D152" s="44">
        <v>0.0</v>
      </c>
      <c r="E152" s="44">
        <v>-0.28646</v>
      </c>
      <c r="F152" s="44">
        <v>0.00318</v>
      </c>
      <c r="G152" s="44">
        <v>1.31773</v>
      </c>
      <c r="H152" s="389"/>
      <c r="I152" s="46" t="s">
        <v>63</v>
      </c>
      <c r="J152" s="46" t="s">
        <v>350</v>
      </c>
      <c r="K152" s="46" t="s">
        <v>1568</v>
      </c>
      <c r="L152" s="46" t="s">
        <v>1806</v>
      </c>
      <c r="M152" s="389"/>
      <c r="N152" s="46" t="s">
        <v>1562</v>
      </c>
      <c r="O152" s="46" t="s">
        <v>1648</v>
      </c>
      <c r="P152" s="389"/>
      <c r="Q152" s="389"/>
      <c r="R152" s="46">
        <v>3.0</v>
      </c>
      <c r="S152" s="45"/>
      <c r="T152" s="46" t="s">
        <v>1630</v>
      </c>
      <c r="U152" s="44">
        <v>71.0</v>
      </c>
      <c r="V152" s="44">
        <v>14.0</v>
      </c>
      <c r="W152" s="389"/>
      <c r="X152" s="44">
        <v>23.0</v>
      </c>
      <c r="Y152" s="44">
        <v>6.315211</v>
      </c>
      <c r="Z152" s="44">
        <v>1.418592</v>
      </c>
      <c r="AA152" s="44">
        <v>2.509859</v>
      </c>
      <c r="AB152" s="44">
        <v>1.400423</v>
      </c>
      <c r="AC152" s="44">
        <v>1.394366</v>
      </c>
      <c r="AD152" s="44">
        <v>0.707746</v>
      </c>
      <c r="AE152" s="44">
        <v>0.443451</v>
      </c>
      <c r="AF152" s="44">
        <v>4.834366</v>
      </c>
      <c r="AG152" s="44">
        <v>0.818939</v>
      </c>
      <c r="AH152" s="44">
        <v>0.743662</v>
      </c>
      <c r="AI152" s="44">
        <v>0.743662</v>
      </c>
      <c r="AJ152" s="44">
        <v>11.52781</v>
      </c>
      <c r="AK152" s="44">
        <v>-1.89039</v>
      </c>
      <c r="AL152" s="44">
        <v>-0.32578</v>
      </c>
      <c r="AM152" s="44">
        <v>-1.47621</v>
      </c>
      <c r="AN152" s="44">
        <v>-1.12841</v>
      </c>
      <c r="AO152" s="44">
        <v>1.138484</v>
      </c>
      <c r="AP152" s="44">
        <v>-0.07334</v>
      </c>
      <c r="AQ152" s="44">
        <v>-0.32</v>
      </c>
      <c r="AR152" s="44">
        <v>0.045122</v>
      </c>
      <c r="AS152" s="44">
        <v>1.45243</v>
      </c>
    </row>
    <row r="153">
      <c r="A153" s="44">
        <v>152.0</v>
      </c>
      <c r="B153" s="44">
        <v>143.125</v>
      </c>
      <c r="C153" s="44">
        <v>14.0</v>
      </c>
      <c r="D153" s="44">
        <v>0.0</v>
      </c>
      <c r="E153" s="44">
        <v>-0.29214</v>
      </c>
      <c r="F153" s="44">
        <v>0.002616</v>
      </c>
      <c r="G153" s="44">
        <v>1.104002</v>
      </c>
      <c r="H153" s="389"/>
      <c r="I153" s="46" t="s">
        <v>1807</v>
      </c>
      <c r="J153" s="46" t="s">
        <v>295</v>
      </c>
      <c r="K153" s="46" t="s">
        <v>92</v>
      </c>
      <c r="L153" s="46" t="s">
        <v>1808</v>
      </c>
      <c r="M153" s="389"/>
      <c r="N153" s="46" t="s">
        <v>1612</v>
      </c>
      <c r="O153" s="389"/>
      <c r="P153" s="389"/>
      <c r="Q153" s="45"/>
      <c r="R153" s="46">
        <v>4.0</v>
      </c>
      <c r="S153" s="45"/>
      <c r="T153" s="46" t="s">
        <v>1630</v>
      </c>
      <c r="U153" s="44">
        <v>75.0</v>
      </c>
      <c r="V153" s="44">
        <v>13.0</v>
      </c>
      <c r="W153" s="389"/>
      <c r="X153" s="44">
        <v>24.0</v>
      </c>
      <c r="Y153" s="44">
        <v>13.4352</v>
      </c>
      <c r="Z153" s="44">
        <v>1.7592</v>
      </c>
      <c r="AA153" s="44">
        <v>5.05</v>
      </c>
      <c r="AB153" s="44">
        <v>2.373467</v>
      </c>
      <c r="AC153" s="44">
        <v>0.555467</v>
      </c>
      <c r="AD153" s="44">
        <v>0.4468</v>
      </c>
      <c r="AE153" s="44">
        <v>0.52232</v>
      </c>
      <c r="AF153" s="44">
        <v>9.695467</v>
      </c>
      <c r="AG153" s="44">
        <v>0.76198</v>
      </c>
      <c r="AH153" s="44">
        <v>2.0312</v>
      </c>
      <c r="AI153" s="44">
        <v>1.312933</v>
      </c>
      <c r="AJ153" s="44">
        <v>21.33847</v>
      </c>
      <c r="AK153" s="44">
        <v>-0.6357</v>
      </c>
      <c r="AL153" s="270">
        <v>-9.3E-6</v>
      </c>
      <c r="AM153" s="44">
        <v>-0.43385</v>
      </c>
      <c r="AN153" s="44">
        <v>-0.65897</v>
      </c>
      <c r="AO153" s="44">
        <v>-1.35311</v>
      </c>
      <c r="AP153" s="44">
        <v>-0.54405</v>
      </c>
      <c r="AQ153" s="44">
        <v>0.480771</v>
      </c>
      <c r="AR153" s="44">
        <v>-0.21768</v>
      </c>
      <c r="AS153" s="44">
        <v>0.733351</v>
      </c>
    </row>
    <row r="154">
      <c r="A154" s="44">
        <v>153.0</v>
      </c>
      <c r="B154" s="44">
        <v>133.4154</v>
      </c>
      <c r="C154" s="44">
        <v>93.0</v>
      </c>
      <c r="D154" s="44">
        <v>0.0</v>
      </c>
      <c r="E154" s="44">
        <v>-0.29247</v>
      </c>
      <c r="F154" s="44">
        <v>0.002242</v>
      </c>
      <c r="G154" s="44">
        <v>1.503581</v>
      </c>
      <c r="H154" s="389"/>
      <c r="I154" s="46" t="s">
        <v>47</v>
      </c>
      <c r="J154" s="46" t="s">
        <v>299</v>
      </c>
      <c r="K154" s="46" t="s">
        <v>90</v>
      </c>
      <c r="L154" s="46" t="s">
        <v>1809</v>
      </c>
      <c r="M154" s="389"/>
      <c r="N154" s="46" t="s">
        <v>1612</v>
      </c>
      <c r="O154" s="389"/>
      <c r="P154" s="389"/>
      <c r="Q154" s="389"/>
      <c r="R154" s="46">
        <v>2.0</v>
      </c>
      <c r="S154" s="45"/>
      <c r="T154" s="46" t="s">
        <v>1645</v>
      </c>
      <c r="U154" s="44">
        <v>75.0</v>
      </c>
      <c r="V154" s="44">
        <v>13.0</v>
      </c>
      <c r="W154" s="389"/>
      <c r="X154" s="44">
        <v>30.0</v>
      </c>
      <c r="Y154" s="44">
        <v>16.8524</v>
      </c>
      <c r="Z154" s="44">
        <v>2.316267</v>
      </c>
      <c r="AA154" s="44">
        <v>3.9</v>
      </c>
      <c r="AB154" s="44">
        <v>1.5372</v>
      </c>
      <c r="AC154" s="44">
        <v>0.788667</v>
      </c>
      <c r="AD154" s="44">
        <v>0.454933</v>
      </c>
      <c r="AE154" s="44">
        <v>0.499268</v>
      </c>
      <c r="AF154" s="44">
        <v>12.93547</v>
      </c>
      <c r="AG154" s="44">
        <v>0.682991</v>
      </c>
      <c r="AH154" s="44">
        <v>2.371333</v>
      </c>
      <c r="AI154" s="44">
        <v>1.364933</v>
      </c>
      <c r="AJ154" s="44">
        <v>21.19225</v>
      </c>
      <c r="AK154" s="44">
        <v>-0.03352</v>
      </c>
      <c r="AL154" s="44">
        <v>0.532796</v>
      </c>
      <c r="AM154" s="44">
        <v>-0.90576</v>
      </c>
      <c r="AN154" s="44">
        <v>-1.06242</v>
      </c>
      <c r="AO154" s="44">
        <v>-0.66049</v>
      </c>
      <c r="AP154" s="44">
        <v>-0.52938</v>
      </c>
      <c r="AQ154" s="44">
        <v>0.198547</v>
      </c>
      <c r="AR154" s="44">
        <v>-0.83971</v>
      </c>
      <c r="AS154" s="44">
        <v>0.667667</v>
      </c>
    </row>
    <row r="155">
      <c r="A155" s="44">
        <v>154.0</v>
      </c>
      <c r="B155" s="44">
        <v>102.0</v>
      </c>
      <c r="C155" s="44">
        <v>100.0</v>
      </c>
      <c r="D155" s="44">
        <v>0.0</v>
      </c>
      <c r="E155" s="44">
        <v>-0.29287</v>
      </c>
      <c r="F155" s="270">
        <v>-0.00121</v>
      </c>
      <c r="G155" s="44">
        <v>0.657959</v>
      </c>
      <c r="H155" s="389"/>
      <c r="I155" s="46" t="s">
        <v>168</v>
      </c>
      <c r="J155" s="46" t="s">
        <v>490</v>
      </c>
      <c r="K155" s="46" t="s">
        <v>1568</v>
      </c>
      <c r="L155" s="46" t="s">
        <v>1810</v>
      </c>
      <c r="M155" s="389"/>
      <c r="N155" s="46" t="s">
        <v>1570</v>
      </c>
      <c r="O155" s="46" t="s">
        <v>1576</v>
      </c>
      <c r="P155" s="389"/>
      <c r="Q155" s="389"/>
      <c r="R155" s="46">
        <v>2.0</v>
      </c>
      <c r="S155" s="45"/>
      <c r="T155" s="46" t="s">
        <v>1564</v>
      </c>
      <c r="U155" s="44">
        <v>55.0</v>
      </c>
      <c r="V155" s="44">
        <v>16.0</v>
      </c>
      <c r="W155" s="389"/>
      <c r="X155" s="44">
        <v>30.0</v>
      </c>
      <c r="Y155" s="44">
        <v>19.45018</v>
      </c>
      <c r="Z155" s="44">
        <v>2.874364</v>
      </c>
      <c r="AA155" s="44">
        <v>3.862545</v>
      </c>
      <c r="AB155" s="44">
        <v>4.699455</v>
      </c>
      <c r="AC155" s="44">
        <v>0.694727</v>
      </c>
      <c r="AD155" s="44">
        <v>0.391273</v>
      </c>
      <c r="AE155" s="44">
        <v>0.437992</v>
      </c>
      <c r="AF155" s="44">
        <v>16.09327</v>
      </c>
      <c r="AG155" s="44">
        <v>0.769982</v>
      </c>
      <c r="AH155" s="44">
        <v>3.218727</v>
      </c>
      <c r="AI155" s="44">
        <v>2.381818</v>
      </c>
      <c r="AJ155" s="44">
        <v>27.97451</v>
      </c>
      <c r="AK155" s="44">
        <v>0.424269</v>
      </c>
      <c r="AL155" s="44">
        <v>1.066586</v>
      </c>
      <c r="AM155" s="44">
        <v>-0.92113</v>
      </c>
      <c r="AN155" s="44">
        <v>0.463207</v>
      </c>
      <c r="AO155" s="44">
        <v>-0.93949</v>
      </c>
      <c r="AP155" s="44">
        <v>-0.64422</v>
      </c>
      <c r="AQ155" s="44">
        <v>-1.21157</v>
      </c>
      <c r="AR155" s="44">
        <v>-0.25666</v>
      </c>
      <c r="AS155" s="44">
        <v>-0.61682</v>
      </c>
    </row>
    <row r="156">
      <c r="A156" s="44">
        <v>155.0</v>
      </c>
      <c r="B156" s="44">
        <v>152.0</v>
      </c>
      <c r="C156" s="44">
        <v>4.0</v>
      </c>
      <c r="D156" s="44">
        <v>0.0</v>
      </c>
      <c r="E156" s="44">
        <v>-0.29426</v>
      </c>
      <c r="F156" s="44">
        <v>0.001407</v>
      </c>
      <c r="G156" s="44">
        <v>0.88098</v>
      </c>
      <c r="H156" s="389"/>
      <c r="I156" s="46" t="s">
        <v>767</v>
      </c>
      <c r="J156" s="46" t="s">
        <v>324</v>
      </c>
      <c r="K156" s="46" t="s">
        <v>1572</v>
      </c>
      <c r="L156" s="46" t="s">
        <v>1811</v>
      </c>
      <c r="M156" s="389"/>
      <c r="N156" s="46" t="s">
        <v>1562</v>
      </c>
      <c r="O156" s="389"/>
      <c r="P156" s="389"/>
      <c r="Q156" s="389"/>
      <c r="R156" s="46">
        <v>4.0</v>
      </c>
      <c r="S156" s="45"/>
      <c r="T156" s="46" t="s">
        <v>1645</v>
      </c>
      <c r="U156" s="44">
        <v>71.0</v>
      </c>
      <c r="V156" s="44">
        <v>16.0</v>
      </c>
      <c r="W156" s="389"/>
      <c r="X156" s="44">
        <v>27.0</v>
      </c>
      <c r="Y156" s="44">
        <v>10.22761</v>
      </c>
      <c r="Z156" s="44">
        <v>1.85169</v>
      </c>
      <c r="AA156" s="44">
        <v>5.958592</v>
      </c>
      <c r="AB156" s="44">
        <v>0.890986</v>
      </c>
      <c r="AC156" s="44">
        <v>1.336479</v>
      </c>
      <c r="AD156" s="44">
        <v>0.703521</v>
      </c>
      <c r="AE156" s="44">
        <v>0.393761</v>
      </c>
      <c r="AF156" s="44">
        <v>9.856197</v>
      </c>
      <c r="AG156" s="44">
        <v>0.519052</v>
      </c>
      <c r="AH156" s="44">
        <v>1.182817</v>
      </c>
      <c r="AI156" s="44">
        <v>0.760845</v>
      </c>
      <c r="AJ156" s="44">
        <v>18.02042</v>
      </c>
      <c r="AK156" s="44">
        <v>-1.20094</v>
      </c>
      <c r="AL156" s="44">
        <v>0.088453</v>
      </c>
      <c r="AM156" s="44">
        <v>-0.061</v>
      </c>
      <c r="AN156" s="44">
        <v>-1.37419</v>
      </c>
      <c r="AO156" s="44">
        <v>0.966555</v>
      </c>
      <c r="AP156" s="44">
        <v>-0.08096</v>
      </c>
      <c r="AQ156" s="44">
        <v>-1.38331</v>
      </c>
      <c r="AR156" s="44">
        <v>-1.03368</v>
      </c>
      <c r="AS156" s="44">
        <v>1.430725</v>
      </c>
    </row>
    <row r="157">
      <c r="A157" s="44">
        <v>156.0</v>
      </c>
      <c r="B157" s="44">
        <v>148.75</v>
      </c>
      <c r="C157" s="44">
        <v>4.0</v>
      </c>
      <c r="D157" s="44">
        <v>0.0</v>
      </c>
      <c r="E157" s="44">
        <v>-0.29676</v>
      </c>
      <c r="F157" s="44">
        <v>0.001366</v>
      </c>
      <c r="G157" s="44">
        <v>0.509278</v>
      </c>
      <c r="H157" s="389"/>
      <c r="I157" s="46" t="s">
        <v>864</v>
      </c>
      <c r="J157" s="46" t="s">
        <v>379</v>
      </c>
      <c r="K157" s="46" t="s">
        <v>1593</v>
      </c>
      <c r="L157" s="46" t="s">
        <v>1812</v>
      </c>
      <c r="M157" s="389"/>
      <c r="N157" s="46" t="s">
        <v>1612</v>
      </c>
      <c r="O157" s="46" t="s">
        <v>1813</v>
      </c>
      <c r="P157" s="389"/>
      <c r="Q157" s="389"/>
      <c r="R157" s="46">
        <v>4.0</v>
      </c>
      <c r="S157" s="45"/>
      <c r="T157" s="46" t="s">
        <v>1645</v>
      </c>
      <c r="U157" s="44">
        <v>75.0</v>
      </c>
      <c r="V157" s="44">
        <v>14.0</v>
      </c>
      <c r="W157" s="389"/>
      <c r="X157" s="44">
        <v>28.0</v>
      </c>
      <c r="Y157" s="44">
        <v>9.410933</v>
      </c>
      <c r="Z157" s="44">
        <v>1.853333</v>
      </c>
      <c r="AA157" s="44">
        <v>2.695067</v>
      </c>
      <c r="AB157" s="44">
        <v>1.8988</v>
      </c>
      <c r="AC157" s="44">
        <v>1.159467</v>
      </c>
      <c r="AD157" s="44">
        <v>0.3684</v>
      </c>
      <c r="AE157" s="44">
        <v>0.436339</v>
      </c>
      <c r="AF157" s="44">
        <v>7.349333</v>
      </c>
      <c r="AG157" s="44">
        <v>0.870006</v>
      </c>
      <c r="AH157" s="44">
        <v>1.314933</v>
      </c>
      <c r="AI157" s="44">
        <v>0.797867</v>
      </c>
      <c r="AJ157" s="44">
        <v>12.65868</v>
      </c>
      <c r="AK157" s="44">
        <v>-1.34486</v>
      </c>
      <c r="AL157" s="44">
        <v>0.090024</v>
      </c>
      <c r="AM157" s="44">
        <v>-1.40021</v>
      </c>
      <c r="AN157" s="44">
        <v>-0.88797</v>
      </c>
      <c r="AO157" s="44">
        <v>0.440816</v>
      </c>
      <c r="AP157" s="44">
        <v>-0.68548</v>
      </c>
      <c r="AQ157" s="44">
        <v>-0.56738</v>
      </c>
      <c r="AR157" s="44">
        <v>0.300285</v>
      </c>
      <c r="AS157" s="44">
        <v>1.383961</v>
      </c>
    </row>
    <row r="158">
      <c r="A158" s="44">
        <v>157.0</v>
      </c>
      <c r="B158" s="44">
        <v>154.0</v>
      </c>
      <c r="C158" s="44">
        <v>1.0</v>
      </c>
      <c r="D158" s="44">
        <v>0.0</v>
      </c>
      <c r="E158" s="44">
        <v>-0.29786</v>
      </c>
      <c r="F158" s="44">
        <v>0.007126</v>
      </c>
      <c r="G158" s="44">
        <v>0.388475</v>
      </c>
      <c r="H158" s="389"/>
      <c r="I158" s="46" t="s">
        <v>1814</v>
      </c>
      <c r="J158" s="46" t="s">
        <v>442</v>
      </c>
      <c r="K158" s="46" t="s">
        <v>97</v>
      </c>
      <c r="L158" s="46" t="s">
        <v>1815</v>
      </c>
      <c r="M158" s="389"/>
      <c r="N158" s="46" t="s">
        <v>1570</v>
      </c>
      <c r="O158" s="45"/>
      <c r="P158" s="389"/>
      <c r="Q158" s="389"/>
      <c r="R158" s="46">
        <v>2.0</v>
      </c>
      <c r="S158" s="45"/>
      <c r="T158" s="46" t="s">
        <v>1630</v>
      </c>
      <c r="U158" s="44">
        <v>66.0</v>
      </c>
      <c r="V158" s="44">
        <v>14.0</v>
      </c>
      <c r="W158" s="389"/>
      <c r="X158" s="44">
        <v>21.0</v>
      </c>
      <c r="Y158" s="44">
        <v>7.236515</v>
      </c>
      <c r="Z158" s="44">
        <v>0.103788</v>
      </c>
      <c r="AA158" s="44">
        <v>6.431212</v>
      </c>
      <c r="AB158" s="44">
        <v>1.715</v>
      </c>
      <c r="AC158" s="44">
        <v>0.723636</v>
      </c>
      <c r="AD158" s="44">
        <v>1.329091</v>
      </c>
      <c r="AE158" s="44">
        <v>0.600413</v>
      </c>
      <c r="AF158" s="44">
        <v>4.845152</v>
      </c>
      <c r="AG158" s="44">
        <v>0.670013</v>
      </c>
      <c r="AH158" s="44">
        <v>1.96197</v>
      </c>
      <c r="AI158" s="44">
        <v>0.900303</v>
      </c>
      <c r="AJ158" s="44">
        <v>13.89034</v>
      </c>
      <c r="AK158" s="44">
        <v>-1.72804</v>
      </c>
      <c r="AL158" s="44">
        <v>-1.58332</v>
      </c>
      <c r="AM158" s="44">
        <v>0.132943</v>
      </c>
      <c r="AN158" s="44">
        <v>-0.97664</v>
      </c>
      <c r="AO158" s="44">
        <v>-0.85363</v>
      </c>
      <c r="AP158" s="44">
        <v>1.047479</v>
      </c>
      <c r="AQ158" s="44">
        <v>0.80279</v>
      </c>
      <c r="AR158" s="44">
        <v>-0.77685</v>
      </c>
      <c r="AS158" s="44">
        <v>1.254568</v>
      </c>
    </row>
    <row r="159">
      <c r="A159" s="44">
        <v>158.0</v>
      </c>
      <c r="B159" s="389"/>
      <c r="C159" s="389"/>
      <c r="D159" s="389"/>
      <c r="E159" s="44">
        <v>-0.30462</v>
      </c>
      <c r="F159" s="44">
        <v>6.55E-4</v>
      </c>
      <c r="G159" s="44">
        <v>-1.81386</v>
      </c>
      <c r="H159" s="389"/>
      <c r="I159" s="46" t="s">
        <v>780</v>
      </c>
      <c r="J159" s="46" t="s">
        <v>428</v>
      </c>
      <c r="K159" s="46" t="s">
        <v>1593</v>
      </c>
      <c r="L159" s="46" t="s">
        <v>1816</v>
      </c>
      <c r="M159" s="389"/>
      <c r="N159" s="46" t="s">
        <v>1570</v>
      </c>
      <c r="O159" s="46" t="s">
        <v>1817</v>
      </c>
      <c r="P159" s="389"/>
      <c r="Q159" s="389"/>
      <c r="R159" s="46">
        <v>4.0</v>
      </c>
      <c r="S159" s="45"/>
      <c r="T159" s="46" t="s">
        <v>1630</v>
      </c>
      <c r="U159" s="44">
        <v>66.0</v>
      </c>
      <c r="V159" s="44">
        <v>14.0</v>
      </c>
      <c r="W159" s="389"/>
      <c r="X159" s="44">
        <v>28.0</v>
      </c>
      <c r="Y159" s="44">
        <v>13.20227</v>
      </c>
      <c r="Z159" s="44">
        <v>1.781667</v>
      </c>
      <c r="AA159" s="44">
        <v>3.711818</v>
      </c>
      <c r="AB159" s="44">
        <v>3.181515</v>
      </c>
      <c r="AC159" s="44">
        <v>1.015758</v>
      </c>
      <c r="AD159" s="44">
        <v>0.412424</v>
      </c>
      <c r="AE159" s="44">
        <v>0.448405</v>
      </c>
      <c r="AF159" s="44">
        <v>10.60561</v>
      </c>
      <c r="AG159" s="44">
        <v>0.732973</v>
      </c>
      <c r="AH159" s="44">
        <v>2.605</v>
      </c>
      <c r="AI159" s="44">
        <v>1.178333</v>
      </c>
      <c r="AJ159" s="44">
        <v>19.76058</v>
      </c>
      <c r="AK159" s="44">
        <v>-0.67675</v>
      </c>
      <c r="AL159" s="44">
        <v>0.021479</v>
      </c>
      <c r="AM159" s="44">
        <v>-0.98298</v>
      </c>
      <c r="AN159" s="44">
        <v>-0.26912</v>
      </c>
      <c r="AO159" s="44">
        <v>0.01399</v>
      </c>
      <c r="AP159" s="44">
        <v>-0.60606</v>
      </c>
      <c r="AQ159" s="44">
        <v>-0.63287</v>
      </c>
      <c r="AR159" s="44">
        <v>-0.51266</v>
      </c>
      <c r="AS159" s="44">
        <v>0.903372</v>
      </c>
    </row>
    <row r="160">
      <c r="A160" s="44">
        <v>159.0</v>
      </c>
      <c r="B160" s="44">
        <v>144.5789</v>
      </c>
      <c r="C160" s="44">
        <v>39.0</v>
      </c>
      <c r="D160" s="44">
        <v>0.0</v>
      </c>
      <c r="E160" s="44">
        <v>-0.30613</v>
      </c>
      <c r="F160" s="270">
        <v>0.008627</v>
      </c>
      <c r="G160" s="44">
        <v>0.992491</v>
      </c>
      <c r="H160" s="389"/>
      <c r="I160" s="46" t="s">
        <v>1818</v>
      </c>
      <c r="J160" s="46" t="s">
        <v>287</v>
      </c>
      <c r="K160" s="46" t="s">
        <v>97</v>
      </c>
      <c r="L160" s="46" t="s">
        <v>1819</v>
      </c>
      <c r="M160" s="389"/>
      <c r="N160" s="46" t="s">
        <v>1562</v>
      </c>
      <c r="O160" s="389"/>
      <c r="P160" s="389"/>
      <c r="Q160" s="389"/>
      <c r="R160" s="46">
        <v>2.0</v>
      </c>
      <c r="S160" s="45"/>
      <c r="T160" s="46" t="s">
        <v>1630</v>
      </c>
      <c r="U160" s="44">
        <v>64.0</v>
      </c>
      <c r="V160" s="44">
        <v>16.0</v>
      </c>
      <c r="W160" s="389"/>
      <c r="X160" s="44">
        <v>22.0</v>
      </c>
      <c r="Y160" s="44">
        <v>8.24375</v>
      </c>
      <c r="Z160" s="44">
        <v>0.008281</v>
      </c>
      <c r="AA160" s="44">
        <v>6.004219</v>
      </c>
      <c r="AB160" s="44">
        <v>0.626094</v>
      </c>
      <c r="AC160" s="44">
        <v>0.635938</v>
      </c>
      <c r="AD160" s="44">
        <v>1.750625</v>
      </c>
      <c r="AE160" s="44">
        <v>0.713615</v>
      </c>
      <c r="AF160" s="44">
        <v>4.857969</v>
      </c>
      <c r="AG160" s="44">
        <v>0.670017</v>
      </c>
      <c r="AH160" s="44">
        <v>1.943281</v>
      </c>
      <c r="AI160" s="44">
        <v>1.519219</v>
      </c>
      <c r="AJ160" s="44">
        <v>14.24694</v>
      </c>
      <c r="AK160" s="44">
        <v>-1.55054</v>
      </c>
      <c r="AL160" s="44">
        <v>-1.67467</v>
      </c>
      <c r="AM160" s="44">
        <v>-0.04228</v>
      </c>
      <c r="AN160" s="44">
        <v>-1.50199</v>
      </c>
      <c r="AO160" s="44">
        <v>-1.1141</v>
      </c>
      <c r="AP160" s="44">
        <v>1.807868</v>
      </c>
      <c r="AQ160" s="44">
        <v>1.617331</v>
      </c>
      <c r="AR160" s="44">
        <v>-0.76955</v>
      </c>
      <c r="AS160" s="44">
        <v>0.47278</v>
      </c>
    </row>
    <row r="161">
      <c r="A161" s="44">
        <v>160.0</v>
      </c>
      <c r="B161" s="44">
        <v>135.4286</v>
      </c>
      <c r="C161" s="44">
        <v>67.0</v>
      </c>
      <c r="D161" s="44">
        <v>0.0</v>
      </c>
      <c r="E161" s="44">
        <v>-0.30655</v>
      </c>
      <c r="F161" s="44">
        <v>0.003395</v>
      </c>
      <c r="G161" s="44">
        <v>0.815933</v>
      </c>
      <c r="H161" s="389"/>
      <c r="I161" s="46" t="s">
        <v>1820</v>
      </c>
      <c r="J161" s="46" t="s">
        <v>295</v>
      </c>
      <c r="K161" s="46" t="s">
        <v>97</v>
      </c>
      <c r="L161" s="46" t="s">
        <v>1821</v>
      </c>
      <c r="M161" s="389"/>
      <c r="N161" s="46" t="s">
        <v>1570</v>
      </c>
      <c r="O161" s="46" t="s">
        <v>1689</v>
      </c>
      <c r="P161" s="389"/>
      <c r="Q161" s="45"/>
      <c r="R161" s="46">
        <v>1.0</v>
      </c>
      <c r="S161" s="45"/>
      <c r="T161" s="46" t="s">
        <v>1645</v>
      </c>
      <c r="U161" s="44">
        <v>66.0</v>
      </c>
      <c r="V161" s="44">
        <v>13.0</v>
      </c>
      <c r="W161" s="389"/>
      <c r="X161" s="44">
        <v>22.0</v>
      </c>
      <c r="Y161" s="44">
        <v>9.197879</v>
      </c>
      <c r="Z161" s="44">
        <v>1.536667</v>
      </c>
      <c r="AA161" s="44">
        <v>4.443939</v>
      </c>
      <c r="AB161" s="44">
        <v>1.018485</v>
      </c>
      <c r="AC161" s="44">
        <v>0.554394</v>
      </c>
      <c r="AD161" s="44">
        <v>1.203636</v>
      </c>
      <c r="AE161" s="44">
        <v>0.490806</v>
      </c>
      <c r="AF161" s="44">
        <v>7.03697</v>
      </c>
      <c r="AG161" s="44">
        <v>0.823919</v>
      </c>
      <c r="AH161" s="44">
        <v>0.914697</v>
      </c>
      <c r="AI161" s="44">
        <v>0.887576</v>
      </c>
      <c r="AJ161" s="44">
        <v>16.28607</v>
      </c>
      <c r="AK161" s="44">
        <v>-1.3824</v>
      </c>
      <c r="AL161" s="44">
        <v>-0.21285</v>
      </c>
      <c r="AM161" s="44">
        <v>-0.68255</v>
      </c>
      <c r="AN161" s="44">
        <v>-1.31268</v>
      </c>
      <c r="AO161" s="44">
        <v>-1.35629</v>
      </c>
      <c r="AP161" s="44">
        <v>0.821176</v>
      </c>
      <c r="AQ161" s="44">
        <v>0.023273</v>
      </c>
      <c r="AR161" s="44">
        <v>0.072727</v>
      </c>
      <c r="AS161" s="44">
        <v>1.270644</v>
      </c>
    </row>
    <row r="162">
      <c r="A162" s="44">
        <v>161.0</v>
      </c>
      <c r="B162" s="44">
        <v>128.2576</v>
      </c>
      <c r="C162" s="44">
        <v>94.0</v>
      </c>
      <c r="D162" s="44">
        <v>0.0</v>
      </c>
      <c r="E162" s="44">
        <v>-0.30753</v>
      </c>
      <c r="F162" s="44">
        <v>4.68E-4</v>
      </c>
      <c r="G162" s="44">
        <v>0.537156</v>
      </c>
      <c r="H162" s="389"/>
      <c r="I162" s="46" t="s">
        <v>134</v>
      </c>
      <c r="J162" s="46" t="s">
        <v>350</v>
      </c>
      <c r="K162" s="46" t="s">
        <v>1568</v>
      </c>
      <c r="L162" s="46" t="s">
        <v>1822</v>
      </c>
      <c r="M162" s="389"/>
      <c r="N162" s="46" t="s">
        <v>1570</v>
      </c>
      <c r="O162" s="389"/>
      <c r="P162" s="389"/>
      <c r="Q162" s="45"/>
      <c r="R162" s="46">
        <v>1.0</v>
      </c>
      <c r="S162" s="45"/>
      <c r="T162" s="46" t="s">
        <v>1630</v>
      </c>
      <c r="U162" s="44">
        <v>66.0</v>
      </c>
      <c r="V162" s="44">
        <v>14.0</v>
      </c>
      <c r="W162" s="389"/>
      <c r="X162" s="44">
        <v>27.0</v>
      </c>
      <c r="Y162" s="44">
        <v>14.88439</v>
      </c>
      <c r="Z162" s="44">
        <v>1.971667</v>
      </c>
      <c r="AA162" s="44">
        <v>3.11</v>
      </c>
      <c r="AB162" s="44">
        <v>4.365</v>
      </c>
      <c r="AC162" s="44">
        <v>0.737273</v>
      </c>
      <c r="AD162" s="44">
        <v>0.502727</v>
      </c>
      <c r="AE162" s="44">
        <v>0.462756</v>
      </c>
      <c r="AF162" s="44">
        <v>12.00318</v>
      </c>
      <c r="AG162" s="44">
        <v>0.838015</v>
      </c>
      <c r="AH162" s="44">
        <v>2.152273</v>
      </c>
      <c r="AI162" s="44">
        <v>2.073333</v>
      </c>
      <c r="AJ162" s="44">
        <v>24.98302</v>
      </c>
      <c r="AK162" s="44">
        <v>-0.38032</v>
      </c>
      <c r="AL162" s="44">
        <v>0.203204</v>
      </c>
      <c r="AM162" s="44">
        <v>-1.22994</v>
      </c>
      <c r="AN162" s="44">
        <v>0.301849</v>
      </c>
      <c r="AO162" s="44">
        <v>-0.81313</v>
      </c>
      <c r="AP162" s="44">
        <v>-0.44317</v>
      </c>
      <c r="AQ162" s="44">
        <v>-0.46271</v>
      </c>
      <c r="AR162" s="44">
        <v>0.283588</v>
      </c>
      <c r="AS162" s="44">
        <v>-0.22715</v>
      </c>
    </row>
    <row r="163">
      <c r="A163" s="44">
        <v>162.0</v>
      </c>
      <c r="B163" s="389"/>
      <c r="C163" s="389"/>
      <c r="D163" s="389"/>
      <c r="E163" s="44">
        <v>-0.31741</v>
      </c>
      <c r="F163" s="44">
        <v>0.123322</v>
      </c>
      <c r="G163" s="44">
        <v>0.360598</v>
      </c>
      <c r="H163" s="389"/>
      <c r="I163" s="46" t="s">
        <v>814</v>
      </c>
      <c r="J163" s="46" t="s">
        <v>291</v>
      </c>
      <c r="K163" s="46" t="s">
        <v>85</v>
      </c>
      <c r="L163" s="46" t="s">
        <v>1823</v>
      </c>
      <c r="M163" s="389"/>
      <c r="N163" s="46" t="s">
        <v>1570</v>
      </c>
      <c r="O163" s="46" t="s">
        <v>1571</v>
      </c>
      <c r="P163" s="389"/>
      <c r="Q163" s="389"/>
      <c r="R163" s="46">
        <v>2.0</v>
      </c>
      <c r="S163" s="45"/>
      <c r="T163" s="46" t="s">
        <v>1630</v>
      </c>
      <c r="U163" s="44">
        <v>66.0</v>
      </c>
      <c r="V163" s="44">
        <v>14.0</v>
      </c>
      <c r="W163" s="389"/>
      <c r="X163" s="44">
        <v>22.0</v>
      </c>
      <c r="Y163" s="44">
        <v>8.926667</v>
      </c>
      <c r="Z163" s="44">
        <v>1.158788</v>
      </c>
      <c r="AA163" s="44">
        <v>3.055303</v>
      </c>
      <c r="AB163" s="44">
        <v>3.934848</v>
      </c>
      <c r="AC163" s="44">
        <v>1.241364</v>
      </c>
      <c r="AD163" s="44">
        <v>0.324091</v>
      </c>
      <c r="AE163" s="44">
        <v>0.481174</v>
      </c>
      <c r="AF163" s="44">
        <v>6.804697</v>
      </c>
      <c r="AG163" s="44">
        <v>0.809007</v>
      </c>
      <c r="AH163" s="44">
        <v>1.507273</v>
      </c>
      <c r="AI163" s="44">
        <v>1.573939</v>
      </c>
      <c r="AJ163" s="44">
        <v>18.0279</v>
      </c>
      <c r="AK163" s="44">
        <v>-1.4302</v>
      </c>
      <c r="AL163" s="44">
        <v>-0.57427</v>
      </c>
      <c r="AM163" s="44">
        <v>-1.25239</v>
      </c>
      <c r="AN163" s="44">
        <v>0.094322</v>
      </c>
      <c r="AO163" s="44">
        <v>0.684056</v>
      </c>
      <c r="AP163" s="44">
        <v>-0.7654</v>
      </c>
      <c r="AQ163" s="44">
        <v>-0.07409</v>
      </c>
      <c r="AR163" s="44">
        <v>0.057586</v>
      </c>
      <c r="AS163" s="44">
        <v>0.403659</v>
      </c>
    </row>
    <row r="164">
      <c r="A164" s="44">
        <v>163.0</v>
      </c>
      <c r="B164" s="44">
        <v>110.7857</v>
      </c>
      <c r="C164" s="44">
        <v>100.0</v>
      </c>
      <c r="D164" s="44">
        <v>0.0</v>
      </c>
      <c r="E164" s="44">
        <v>-0.31795</v>
      </c>
      <c r="F164" s="44">
        <v>-9.0E-4</v>
      </c>
      <c r="G164" s="44">
        <v>-0.18766</v>
      </c>
      <c r="H164" s="389"/>
      <c r="I164" s="46" t="s">
        <v>170</v>
      </c>
      <c r="J164" s="46" t="s">
        <v>278</v>
      </c>
      <c r="K164" s="46" t="s">
        <v>85</v>
      </c>
      <c r="L164" s="46" t="s">
        <v>1824</v>
      </c>
      <c r="M164" s="389"/>
      <c r="N164" s="46" t="s">
        <v>1562</v>
      </c>
      <c r="O164" s="46" t="s">
        <v>1729</v>
      </c>
      <c r="P164" s="389"/>
      <c r="Q164" s="389"/>
      <c r="R164" s="46">
        <v>4.0</v>
      </c>
      <c r="S164" s="45"/>
      <c r="T164" s="46" t="s">
        <v>1564</v>
      </c>
      <c r="U164" s="44">
        <v>71.0</v>
      </c>
      <c r="V164" s="44">
        <v>14.0</v>
      </c>
      <c r="W164" s="389"/>
      <c r="X164" s="44">
        <v>27.0</v>
      </c>
      <c r="Y164" s="44">
        <v>12.91887</v>
      </c>
      <c r="Z164" s="44">
        <v>2.307042</v>
      </c>
      <c r="AA164" s="44">
        <v>2.499718</v>
      </c>
      <c r="AB164" s="44">
        <v>5.635211</v>
      </c>
      <c r="AC164" s="44">
        <v>0.852254</v>
      </c>
      <c r="AD164" s="44">
        <v>0.451831</v>
      </c>
      <c r="AE164" s="44">
        <v>0.41804</v>
      </c>
      <c r="AF164" s="44">
        <v>10.68028</v>
      </c>
      <c r="AG164" s="44">
        <v>0.828984</v>
      </c>
      <c r="AH164" s="44">
        <v>2.029296</v>
      </c>
      <c r="AI164" s="44">
        <v>2.035352</v>
      </c>
      <c r="AJ164" s="44">
        <v>21.55733</v>
      </c>
      <c r="AK164" s="44">
        <v>-0.72669</v>
      </c>
      <c r="AL164" s="44">
        <v>0.523973</v>
      </c>
      <c r="AM164" s="44">
        <v>-1.48038</v>
      </c>
      <c r="AN164" s="44">
        <v>0.914663</v>
      </c>
      <c r="AO164" s="44">
        <v>-0.47163</v>
      </c>
      <c r="AP164" s="44">
        <v>-0.53498</v>
      </c>
      <c r="AQ164" s="44">
        <v>-1.11648</v>
      </c>
      <c r="AR164" s="44">
        <v>0.209152</v>
      </c>
      <c r="AS164" s="44">
        <v>-0.17918</v>
      </c>
    </row>
    <row r="165">
      <c r="A165" s="44">
        <v>164.0</v>
      </c>
      <c r="B165" s="44">
        <v>144.5714</v>
      </c>
      <c r="C165" s="44">
        <v>76.0</v>
      </c>
      <c r="D165" s="44">
        <v>0.0</v>
      </c>
      <c r="E165" s="44">
        <v>-0.32363</v>
      </c>
      <c r="F165" s="44">
        <v>0.002346</v>
      </c>
      <c r="G165" s="44">
        <v>0.29555</v>
      </c>
      <c r="H165" s="389"/>
      <c r="I165" s="46" t="s">
        <v>225</v>
      </c>
      <c r="J165" s="46" t="s">
        <v>490</v>
      </c>
      <c r="K165" s="46" t="s">
        <v>1572</v>
      </c>
      <c r="L165" s="46" t="s">
        <v>1825</v>
      </c>
      <c r="M165" s="46" t="s">
        <v>1826</v>
      </c>
      <c r="N165" s="46" t="s">
        <v>1570</v>
      </c>
      <c r="O165" s="45"/>
      <c r="P165" s="389"/>
      <c r="Q165" s="389"/>
      <c r="R165" s="46">
        <v>3.0</v>
      </c>
      <c r="S165" s="45"/>
      <c r="T165" s="46" t="s">
        <v>1564</v>
      </c>
      <c r="U165" s="44">
        <v>61.0</v>
      </c>
      <c r="V165" s="44">
        <v>16.0</v>
      </c>
      <c r="W165" s="389"/>
      <c r="X165" s="44">
        <v>31.0</v>
      </c>
      <c r="Y165" s="44">
        <v>12.6759</v>
      </c>
      <c r="Z165" s="44">
        <v>1.154262</v>
      </c>
      <c r="AA165" s="44">
        <v>4.989016</v>
      </c>
      <c r="AB165" s="44">
        <v>3.592131</v>
      </c>
      <c r="AC165" s="44">
        <v>1.19459</v>
      </c>
      <c r="AD165" s="44">
        <v>0.66623</v>
      </c>
      <c r="AE165" s="44">
        <v>0.446223</v>
      </c>
      <c r="AF165" s="44">
        <v>10.37672</v>
      </c>
      <c r="AG165" s="44">
        <v>0.729003</v>
      </c>
      <c r="AH165" s="44">
        <v>3.101475</v>
      </c>
      <c r="AI165" s="44">
        <v>1.998361</v>
      </c>
      <c r="AJ165" s="44">
        <v>18.69978</v>
      </c>
      <c r="AK165" s="44">
        <v>-0.7695</v>
      </c>
      <c r="AL165" s="44">
        <v>-0.5786</v>
      </c>
      <c r="AM165" s="44">
        <v>-0.45887</v>
      </c>
      <c r="AN165" s="44">
        <v>-0.07102</v>
      </c>
      <c r="AO165" s="44">
        <v>0.545135</v>
      </c>
      <c r="AP165" s="44">
        <v>-0.14823</v>
      </c>
      <c r="AQ165" s="44">
        <v>-0.65251</v>
      </c>
      <c r="AR165" s="44">
        <v>-0.64657</v>
      </c>
      <c r="AS165" s="44">
        <v>-0.13245</v>
      </c>
    </row>
    <row r="166">
      <c r="A166" s="44">
        <v>165.0</v>
      </c>
      <c r="B166" s="44">
        <v>143.8333</v>
      </c>
      <c r="C166" s="44">
        <v>61.0</v>
      </c>
      <c r="D166" s="44">
        <v>0.0</v>
      </c>
      <c r="E166" s="44">
        <v>-0.32549</v>
      </c>
      <c r="F166" s="44">
        <v>0.019535</v>
      </c>
      <c r="G166" s="44">
        <v>0.723007</v>
      </c>
      <c r="H166" s="389"/>
      <c r="I166" s="46" t="s">
        <v>48</v>
      </c>
      <c r="J166" s="46" t="s">
        <v>375</v>
      </c>
      <c r="K166" s="46" t="s">
        <v>92</v>
      </c>
      <c r="L166" s="46" t="s">
        <v>1827</v>
      </c>
      <c r="M166" s="389"/>
      <c r="N166" s="46" t="s">
        <v>1570</v>
      </c>
      <c r="O166" s="46" t="s">
        <v>1571</v>
      </c>
      <c r="P166" s="389"/>
      <c r="Q166" s="45"/>
      <c r="R166" s="46">
        <v>2.0</v>
      </c>
      <c r="S166" s="45"/>
      <c r="T166" s="46" t="s">
        <v>1645</v>
      </c>
      <c r="U166" s="44">
        <v>66.0</v>
      </c>
      <c r="V166" s="44">
        <v>15.0</v>
      </c>
      <c r="W166" s="389"/>
      <c r="X166" s="44">
        <v>27.0</v>
      </c>
      <c r="Y166" s="44">
        <v>10.93212</v>
      </c>
      <c r="Z166" s="44">
        <v>1.858485</v>
      </c>
      <c r="AA166" s="44">
        <v>4.465152</v>
      </c>
      <c r="AB166" s="44">
        <v>3.142121</v>
      </c>
      <c r="AC166" s="44">
        <v>0.860152</v>
      </c>
      <c r="AD166" s="44">
        <v>0.336061</v>
      </c>
      <c r="AE166" s="44">
        <v>0.464691</v>
      </c>
      <c r="AF166" s="44">
        <v>8.543636</v>
      </c>
      <c r="AG166" s="44">
        <v>0.828993</v>
      </c>
      <c r="AH166" s="44">
        <v>1.367121</v>
      </c>
      <c r="AI166" s="44">
        <v>1.598636</v>
      </c>
      <c r="AJ166" s="44">
        <v>17.61474</v>
      </c>
      <c r="AK166" s="44">
        <v>-1.07679</v>
      </c>
      <c r="AL166" s="44">
        <v>0.094951</v>
      </c>
      <c r="AM166" s="44">
        <v>-0.67385</v>
      </c>
      <c r="AN166" s="44">
        <v>-0.28813</v>
      </c>
      <c r="AO166" s="44">
        <v>-0.44817</v>
      </c>
      <c r="AP166" s="44">
        <v>-0.74381</v>
      </c>
      <c r="AQ166" s="44">
        <v>-0.30288</v>
      </c>
      <c r="AR166" s="44">
        <v>0.136776</v>
      </c>
      <c r="AS166" s="44">
        <v>0.372463</v>
      </c>
    </row>
    <row r="167">
      <c r="A167" s="44">
        <v>166.0</v>
      </c>
      <c r="B167" s="44">
        <v>148.2</v>
      </c>
      <c r="C167" s="44">
        <v>27.0</v>
      </c>
      <c r="D167" s="44">
        <v>0.0</v>
      </c>
      <c r="E167" s="44">
        <v>-0.32647</v>
      </c>
      <c r="F167" s="44">
        <v>0.074489</v>
      </c>
      <c r="G167" s="44">
        <v>-0.42927</v>
      </c>
      <c r="H167" s="389"/>
      <c r="I167" s="46" t="s">
        <v>1828</v>
      </c>
      <c r="J167" s="46" t="s">
        <v>283</v>
      </c>
      <c r="K167" s="46" t="s">
        <v>92</v>
      </c>
      <c r="L167" s="46" t="s">
        <v>1829</v>
      </c>
      <c r="M167" s="389"/>
      <c r="N167" s="46" t="s">
        <v>1562</v>
      </c>
      <c r="O167" s="46" t="s">
        <v>1648</v>
      </c>
      <c r="P167" s="389"/>
      <c r="Q167" s="389"/>
      <c r="R167" s="46">
        <v>2.0</v>
      </c>
      <c r="S167" s="45"/>
      <c r="T167" s="46" t="s">
        <v>1645</v>
      </c>
      <c r="U167" s="44">
        <v>71.0</v>
      </c>
      <c r="V167" s="44">
        <v>14.0</v>
      </c>
      <c r="W167" s="389"/>
      <c r="X167" s="44">
        <v>31.0</v>
      </c>
      <c r="Y167" s="44">
        <v>12.91493</v>
      </c>
      <c r="Z167" s="44">
        <v>1.708451</v>
      </c>
      <c r="AA167" s="44">
        <v>4.493662</v>
      </c>
      <c r="AB167" s="44">
        <v>1.075915</v>
      </c>
      <c r="AC167" s="44">
        <v>0.630282</v>
      </c>
      <c r="AD167" s="44">
        <v>0.380845</v>
      </c>
      <c r="AE167" s="44">
        <v>0.508262</v>
      </c>
      <c r="AF167" s="44">
        <v>9.810282</v>
      </c>
      <c r="AG167" s="44">
        <v>0.739971</v>
      </c>
      <c r="AH167" s="44">
        <v>1.667746</v>
      </c>
      <c r="AI167" s="44">
        <v>0.632958</v>
      </c>
      <c r="AJ167" s="44">
        <v>16.00534</v>
      </c>
      <c r="AK167" s="44">
        <v>-0.72738</v>
      </c>
      <c r="AL167" s="44">
        <v>-0.04855</v>
      </c>
      <c r="AM167" s="44">
        <v>-0.66215</v>
      </c>
      <c r="AN167" s="44">
        <v>-1.28497</v>
      </c>
      <c r="AO167" s="44">
        <v>-1.1309</v>
      </c>
      <c r="AP167" s="44">
        <v>-0.66303</v>
      </c>
      <c r="AQ167" s="44">
        <v>0.282646</v>
      </c>
      <c r="AR167" s="44">
        <v>-0.29618</v>
      </c>
      <c r="AS167" s="44">
        <v>1.592267</v>
      </c>
    </row>
    <row r="168">
      <c r="A168" s="44">
        <v>167.0</v>
      </c>
      <c r="B168" s="44">
        <v>149.4545</v>
      </c>
      <c r="C168" s="44">
        <v>23.0</v>
      </c>
      <c r="D168" s="44">
        <v>0.0</v>
      </c>
      <c r="E168" s="44">
        <v>-0.32979</v>
      </c>
      <c r="F168" s="44">
        <v>-0.02991</v>
      </c>
      <c r="G168" s="44">
        <v>-3.30996</v>
      </c>
      <c r="H168" s="389"/>
      <c r="I168" s="46" t="s">
        <v>211</v>
      </c>
      <c r="J168" s="46" t="s">
        <v>465</v>
      </c>
      <c r="K168" s="46" t="s">
        <v>1572</v>
      </c>
      <c r="L168" s="46" t="s">
        <v>1830</v>
      </c>
      <c r="M168" s="389"/>
      <c r="N168" s="46" t="s">
        <v>1570</v>
      </c>
      <c r="O168" s="45"/>
      <c r="P168" s="389"/>
      <c r="Q168" s="45"/>
      <c r="R168" s="46">
        <v>3.0</v>
      </c>
      <c r="S168" s="45"/>
      <c r="T168" s="46" t="s">
        <v>1645</v>
      </c>
      <c r="U168" s="44">
        <v>56.0</v>
      </c>
      <c r="V168" s="44">
        <v>15.0</v>
      </c>
      <c r="W168" s="389"/>
      <c r="X168" s="44">
        <v>30.0</v>
      </c>
      <c r="Y168" s="44">
        <v>14.33929</v>
      </c>
      <c r="Z168" s="44">
        <v>2.3625</v>
      </c>
      <c r="AA168" s="44">
        <v>3.25125</v>
      </c>
      <c r="AB168" s="44">
        <v>1.785</v>
      </c>
      <c r="AC168" s="44">
        <v>0.826786</v>
      </c>
      <c r="AD168" s="44">
        <v>0.83</v>
      </c>
      <c r="AE168" s="44">
        <v>0.388125</v>
      </c>
      <c r="AF168" s="44">
        <v>11.98482</v>
      </c>
      <c r="AG168" s="44">
        <v>0.857994</v>
      </c>
      <c r="AH168" s="44">
        <v>3.116071</v>
      </c>
      <c r="AI168" s="44">
        <v>1.404286</v>
      </c>
      <c r="AJ168" s="44">
        <v>20.38126</v>
      </c>
      <c r="AK168" s="44">
        <v>-0.47638</v>
      </c>
      <c r="AL168" s="44">
        <v>0.577016</v>
      </c>
      <c r="AM168" s="44">
        <v>-1.17198</v>
      </c>
      <c r="AN168" s="44">
        <v>-0.94287</v>
      </c>
      <c r="AO168" s="44">
        <v>-0.54727</v>
      </c>
      <c r="AP168" s="44">
        <v>0.147187</v>
      </c>
      <c r="AQ168" s="44">
        <v>-1.78339</v>
      </c>
      <c r="AR168" s="44">
        <v>0.611642</v>
      </c>
      <c r="AS168" s="44">
        <v>0.617958</v>
      </c>
    </row>
    <row r="169">
      <c r="A169" s="44">
        <v>168.0</v>
      </c>
      <c r="B169" s="44">
        <v>147.0</v>
      </c>
      <c r="C169" s="44">
        <v>3.0</v>
      </c>
      <c r="D169" s="44">
        <v>0.0</v>
      </c>
      <c r="E169" s="44">
        <v>-0.33583</v>
      </c>
      <c r="F169" s="44">
        <v>0.011846</v>
      </c>
      <c r="G169" s="44">
        <v>0.416353</v>
      </c>
      <c r="H169" s="389"/>
      <c r="I169" s="46" t="s">
        <v>1831</v>
      </c>
      <c r="J169" s="46" t="s">
        <v>304</v>
      </c>
      <c r="K169" s="46" t="s">
        <v>90</v>
      </c>
      <c r="L169" s="46" t="s">
        <v>1832</v>
      </c>
      <c r="M169" s="389"/>
      <c r="N169" s="46" t="s">
        <v>1562</v>
      </c>
      <c r="O169" s="46" t="s">
        <v>1817</v>
      </c>
      <c r="P169" s="389"/>
      <c r="Q169" s="45"/>
      <c r="R169" s="46">
        <v>3.0</v>
      </c>
      <c r="S169" s="45"/>
      <c r="T169" s="46" t="s">
        <v>1630</v>
      </c>
      <c r="U169" s="44">
        <v>71.0</v>
      </c>
      <c r="V169" s="44">
        <v>13.0</v>
      </c>
      <c r="W169" s="389"/>
      <c r="X169" s="44">
        <v>17.0</v>
      </c>
      <c r="Y169" s="44">
        <v>8.200704</v>
      </c>
      <c r="Z169" s="44">
        <v>1.03493</v>
      </c>
      <c r="AA169" s="44">
        <v>3.550986</v>
      </c>
      <c r="AB169" s="44">
        <v>1.15338</v>
      </c>
      <c r="AC169" s="44">
        <v>0.948451</v>
      </c>
      <c r="AD169" s="44">
        <v>0.736338</v>
      </c>
      <c r="AE169" s="44">
        <v>0.491996</v>
      </c>
      <c r="AF169" s="44">
        <v>5.982817</v>
      </c>
      <c r="AG169" s="44">
        <v>0.84213</v>
      </c>
      <c r="AH169" s="44">
        <v>1.518451</v>
      </c>
      <c r="AI169" s="44">
        <v>0.717606</v>
      </c>
      <c r="AJ169" s="44">
        <v>17.81334</v>
      </c>
      <c r="AK169" s="44">
        <v>-1.55813</v>
      </c>
      <c r="AL169" s="44">
        <v>-0.69274</v>
      </c>
      <c r="AM169" s="44">
        <v>-1.04898</v>
      </c>
      <c r="AN169" s="44">
        <v>-1.2476</v>
      </c>
      <c r="AO169" s="44">
        <v>-0.18592</v>
      </c>
      <c r="AP169" s="44">
        <v>-0.02177</v>
      </c>
      <c r="AQ169" s="44">
        <v>0.031364</v>
      </c>
      <c r="AR169" s="44">
        <v>0.21592</v>
      </c>
      <c r="AS169" s="44">
        <v>1.485343</v>
      </c>
    </row>
    <row r="170">
      <c r="A170" s="44">
        <v>169.0</v>
      </c>
      <c r="B170" s="44">
        <v>144.6667</v>
      </c>
      <c r="C170" s="44">
        <v>57.0</v>
      </c>
      <c r="D170" s="44">
        <v>0.0</v>
      </c>
      <c r="E170" s="44">
        <v>-0.33597</v>
      </c>
      <c r="F170" s="44">
        <v>0.00588</v>
      </c>
      <c r="G170" s="44">
        <v>-0.74522</v>
      </c>
      <c r="H170" s="389"/>
      <c r="I170" s="46" t="s">
        <v>1833</v>
      </c>
      <c r="J170" s="46" t="s">
        <v>442</v>
      </c>
      <c r="K170" s="46" t="s">
        <v>97</v>
      </c>
      <c r="L170" s="46" t="s">
        <v>1834</v>
      </c>
      <c r="M170" s="389"/>
      <c r="N170" s="46" t="s">
        <v>1570</v>
      </c>
      <c r="O170" s="389"/>
      <c r="P170" s="389"/>
      <c r="Q170" s="389"/>
      <c r="R170" s="46">
        <v>3.0</v>
      </c>
      <c r="S170" s="45"/>
      <c r="T170" s="46" t="s">
        <v>1564</v>
      </c>
      <c r="U170" s="44">
        <v>66.0</v>
      </c>
      <c r="V170" s="44">
        <v>14.0</v>
      </c>
      <c r="W170" s="389"/>
      <c r="X170" s="44">
        <v>27.0</v>
      </c>
      <c r="Y170" s="44">
        <v>8.869091</v>
      </c>
      <c r="Z170" s="44">
        <v>0.749697</v>
      </c>
      <c r="AA170" s="44">
        <v>7.166212</v>
      </c>
      <c r="AB170" s="44">
        <v>1.598636</v>
      </c>
      <c r="AC170" s="44">
        <v>0.831667</v>
      </c>
      <c r="AD170" s="44">
        <v>0.716667</v>
      </c>
      <c r="AE170" s="44">
        <v>0.498604</v>
      </c>
      <c r="AF170" s="44">
        <v>6.891364</v>
      </c>
      <c r="AG170" s="44">
        <v>0.724011</v>
      </c>
      <c r="AH170" s="44">
        <v>1.722727</v>
      </c>
      <c r="AI170" s="44">
        <v>1.212727</v>
      </c>
      <c r="AJ170" s="44">
        <v>14.4873</v>
      </c>
      <c r="AK170" s="44">
        <v>-1.44034</v>
      </c>
      <c r="AL170" s="44">
        <v>-0.96555</v>
      </c>
      <c r="AM170" s="44">
        <v>0.434555</v>
      </c>
      <c r="AN170" s="44">
        <v>-1.03278</v>
      </c>
      <c r="AO170" s="44">
        <v>-0.53277</v>
      </c>
      <c r="AP170" s="44">
        <v>-0.05725</v>
      </c>
      <c r="AQ170" s="44">
        <v>0.102326</v>
      </c>
      <c r="AR170" s="44">
        <v>-0.3918</v>
      </c>
      <c r="AS170" s="44">
        <v>0.859927</v>
      </c>
    </row>
    <row r="171">
      <c r="A171" s="44">
        <v>170.0</v>
      </c>
      <c r="B171" s="389"/>
      <c r="C171" s="389"/>
      <c r="D171" s="389"/>
      <c r="E171" s="44">
        <v>-0.33971</v>
      </c>
      <c r="F171" s="44">
        <v>8.71E-4</v>
      </c>
      <c r="G171" s="44">
        <v>-0.05757</v>
      </c>
      <c r="H171" s="389"/>
      <c r="I171" s="46" t="s">
        <v>1835</v>
      </c>
      <c r="J171" s="46" t="s">
        <v>295</v>
      </c>
      <c r="K171" s="46" t="s">
        <v>88</v>
      </c>
      <c r="L171" s="46" t="s">
        <v>1836</v>
      </c>
      <c r="M171" s="46" t="s">
        <v>1837</v>
      </c>
      <c r="N171" s="46" t="s">
        <v>1562</v>
      </c>
      <c r="O171" s="389"/>
      <c r="P171" s="389"/>
      <c r="Q171" s="389"/>
      <c r="R171" s="46">
        <v>2.0</v>
      </c>
      <c r="S171" s="45"/>
      <c r="T171" s="46" t="s">
        <v>1630</v>
      </c>
      <c r="U171" s="44">
        <v>71.0</v>
      </c>
      <c r="V171" s="44">
        <v>13.0</v>
      </c>
      <c r="W171" s="389"/>
      <c r="X171" s="44">
        <v>25.0</v>
      </c>
      <c r="Y171" s="44">
        <v>8.88338</v>
      </c>
      <c r="Z171" s="44">
        <v>1.736761</v>
      </c>
      <c r="AA171" s="44">
        <v>4.20831</v>
      </c>
      <c r="AB171" s="44">
        <v>2.261972</v>
      </c>
      <c r="AC171" s="44">
        <v>0.86831</v>
      </c>
      <c r="AD171" s="44">
        <v>0.258028</v>
      </c>
      <c r="AE171" s="44">
        <v>0.437341</v>
      </c>
      <c r="AF171" s="44">
        <v>7.153662</v>
      </c>
      <c r="AG171" s="44">
        <v>0.888061</v>
      </c>
      <c r="AH171" s="44">
        <v>1.001549</v>
      </c>
      <c r="AI171" s="44">
        <v>0.736479</v>
      </c>
      <c r="AJ171" s="44">
        <v>14.3383</v>
      </c>
      <c r="AK171" s="44">
        <v>-1.43783</v>
      </c>
      <c r="AL171" s="44">
        <v>-0.02147</v>
      </c>
      <c r="AM171" s="44">
        <v>-0.77924</v>
      </c>
      <c r="AN171" s="44">
        <v>-0.71276</v>
      </c>
      <c r="AO171" s="44">
        <v>-0.42394</v>
      </c>
      <c r="AP171" s="44">
        <v>-0.88457</v>
      </c>
      <c r="AQ171" s="44">
        <v>-0.5415</v>
      </c>
      <c r="AR171" s="44">
        <v>0.282415</v>
      </c>
      <c r="AS171" s="44">
        <v>1.461503</v>
      </c>
    </row>
    <row r="172">
      <c r="A172" s="44">
        <v>171.0</v>
      </c>
      <c r="B172" s="44">
        <v>143.6667</v>
      </c>
      <c r="C172" s="44">
        <v>9.0</v>
      </c>
      <c r="D172" s="44">
        <v>0.0</v>
      </c>
      <c r="E172" s="44">
        <v>-0.34464</v>
      </c>
      <c r="F172" s="44">
        <v>0.169733</v>
      </c>
      <c r="G172" s="44">
        <v>0.7323</v>
      </c>
      <c r="H172" s="389"/>
      <c r="I172" s="46" t="s">
        <v>1838</v>
      </c>
      <c r="J172" s="46" t="s">
        <v>1578</v>
      </c>
      <c r="K172" s="46" t="s">
        <v>1593</v>
      </c>
      <c r="L172" s="46" t="s">
        <v>1839</v>
      </c>
      <c r="M172" s="389"/>
      <c r="N172" s="46" t="s">
        <v>1562</v>
      </c>
      <c r="O172" s="389"/>
      <c r="P172" s="389"/>
      <c r="Q172" s="45"/>
      <c r="R172" s="46">
        <v>4.0</v>
      </c>
      <c r="S172" s="45"/>
      <c r="T172" s="46" t="s">
        <v>1645</v>
      </c>
      <c r="U172" s="44">
        <v>71.0</v>
      </c>
      <c r="V172" s="44">
        <v>15.0</v>
      </c>
      <c r="W172" s="389"/>
      <c r="X172" s="44">
        <v>26.0</v>
      </c>
      <c r="Y172" s="44">
        <v>10.81141</v>
      </c>
      <c r="Z172" s="44">
        <v>1.835211</v>
      </c>
      <c r="AA172" s="44">
        <v>2.895775</v>
      </c>
      <c r="AB172" s="44">
        <v>1.423803</v>
      </c>
      <c r="AC172" s="44">
        <v>0.945493</v>
      </c>
      <c r="AD172" s="44">
        <v>0.543239</v>
      </c>
      <c r="AE172" s="44">
        <v>0.448994</v>
      </c>
      <c r="AF172" s="44">
        <v>8.473099</v>
      </c>
      <c r="AG172" s="44">
        <v>0.806999</v>
      </c>
      <c r="AH172" s="44">
        <v>1.694507</v>
      </c>
      <c r="AI172" s="44">
        <v>0.813239</v>
      </c>
      <c r="AJ172" s="44">
        <v>16.82399</v>
      </c>
      <c r="AK172" s="44">
        <v>-1.09807</v>
      </c>
      <c r="AL172" s="44">
        <v>0.072691</v>
      </c>
      <c r="AM172" s="44">
        <v>-1.31785</v>
      </c>
      <c r="AN172" s="44">
        <v>-1.11713</v>
      </c>
      <c r="AO172" s="44">
        <v>-0.1947</v>
      </c>
      <c r="AP172" s="44">
        <v>-0.37009</v>
      </c>
      <c r="AQ172" s="44">
        <v>-0.49682</v>
      </c>
      <c r="AR172" s="44">
        <v>0.055648</v>
      </c>
      <c r="AS172" s="44">
        <v>1.364543</v>
      </c>
    </row>
    <row r="173">
      <c r="A173" s="44">
        <v>172.0</v>
      </c>
      <c r="B173" s="44">
        <v>145.8889</v>
      </c>
      <c r="C173" s="44">
        <v>41.0</v>
      </c>
      <c r="D173" s="44">
        <v>0.0</v>
      </c>
      <c r="E173" s="44">
        <v>-0.34621</v>
      </c>
      <c r="F173" s="44">
        <v>-0.02872</v>
      </c>
      <c r="G173" s="44">
        <v>0.499986</v>
      </c>
      <c r="H173" s="389"/>
      <c r="I173" s="46" t="s">
        <v>184</v>
      </c>
      <c r="J173" s="46" t="s">
        <v>375</v>
      </c>
      <c r="K173" s="46" t="s">
        <v>85</v>
      </c>
      <c r="L173" s="46" t="s">
        <v>1840</v>
      </c>
      <c r="M173" s="46" t="s">
        <v>1708</v>
      </c>
      <c r="N173" s="46" t="s">
        <v>1562</v>
      </c>
      <c r="O173" s="46" t="s">
        <v>1571</v>
      </c>
      <c r="P173" s="389"/>
      <c r="Q173" s="45"/>
      <c r="R173" s="46">
        <v>2.0</v>
      </c>
      <c r="S173" s="45"/>
      <c r="T173" s="46" t="s">
        <v>1645</v>
      </c>
      <c r="U173" s="44">
        <v>71.0</v>
      </c>
      <c r="V173" s="44">
        <v>15.0</v>
      </c>
      <c r="W173" s="389"/>
      <c r="X173" s="44">
        <v>29.0</v>
      </c>
      <c r="Y173" s="44">
        <v>8.28</v>
      </c>
      <c r="Z173" s="44">
        <v>1.025915</v>
      </c>
      <c r="AA173" s="44">
        <v>2.723521</v>
      </c>
      <c r="AB173" s="44">
        <v>5.683944</v>
      </c>
      <c r="AC173" s="44">
        <v>1.302535</v>
      </c>
      <c r="AD173" s="44">
        <v>0.243099</v>
      </c>
      <c r="AE173" s="44">
        <v>0.470335</v>
      </c>
      <c r="AF173" s="44">
        <v>6.749155</v>
      </c>
      <c r="AG173" s="44">
        <v>0.705986</v>
      </c>
      <c r="AH173" s="44">
        <v>1.282394</v>
      </c>
      <c r="AI173" s="44">
        <v>1.755211</v>
      </c>
      <c r="AJ173" s="44">
        <v>13.84284</v>
      </c>
      <c r="AK173" s="44">
        <v>-1.54415</v>
      </c>
      <c r="AL173" s="44">
        <v>-0.70136</v>
      </c>
      <c r="AM173" s="44">
        <v>-1.38854</v>
      </c>
      <c r="AN173" s="44">
        <v>0.938174</v>
      </c>
      <c r="AO173" s="44">
        <v>0.86574</v>
      </c>
      <c r="AP173" s="44">
        <v>-0.9115</v>
      </c>
      <c r="AQ173" s="44">
        <v>-0.1815</v>
      </c>
      <c r="AR173" s="44">
        <v>-0.36744</v>
      </c>
      <c r="AS173" s="44">
        <v>0.174684</v>
      </c>
    </row>
    <row r="174">
      <c r="A174" s="44">
        <v>173.0</v>
      </c>
      <c r="B174" s="389"/>
      <c r="C174" s="389"/>
      <c r="D174" s="389"/>
      <c r="E174" s="44">
        <v>-0.34653</v>
      </c>
      <c r="F174" s="44">
        <v>-1.9E-4</v>
      </c>
      <c r="G174" s="44">
        <v>-0.3921</v>
      </c>
      <c r="H174" s="389"/>
      <c r="I174" s="46" t="s">
        <v>1841</v>
      </c>
      <c r="J174" s="46" t="s">
        <v>317</v>
      </c>
      <c r="K174" s="46" t="s">
        <v>88</v>
      </c>
      <c r="L174" s="46" t="s">
        <v>1842</v>
      </c>
      <c r="M174" s="389"/>
      <c r="N174" s="46" t="s">
        <v>1562</v>
      </c>
      <c r="O174" s="46" t="s">
        <v>1571</v>
      </c>
      <c r="P174" s="389"/>
      <c r="Q174" s="45"/>
      <c r="R174" s="46">
        <v>4.0</v>
      </c>
      <c r="S174" s="45"/>
      <c r="T174" s="46" t="s">
        <v>1630</v>
      </c>
      <c r="U174" s="44">
        <v>71.0</v>
      </c>
      <c r="V174" s="44">
        <v>14.0</v>
      </c>
      <c r="W174" s="389"/>
      <c r="X174" s="44">
        <v>23.0</v>
      </c>
      <c r="Y174" s="44">
        <v>9.584648</v>
      </c>
      <c r="Z174" s="44">
        <v>2.76662</v>
      </c>
      <c r="AA174" s="44">
        <v>2.661831</v>
      </c>
      <c r="AB174" s="44">
        <v>1.973099</v>
      </c>
      <c r="AC174" s="44">
        <v>0.836761</v>
      </c>
      <c r="AD174" s="44">
        <v>0.191549</v>
      </c>
      <c r="AE174" s="44">
        <v>0.421072</v>
      </c>
      <c r="AF174" s="44">
        <v>7.840141</v>
      </c>
      <c r="AG174" s="44">
        <v>0.916168</v>
      </c>
      <c r="AH174" s="44">
        <v>0.235211</v>
      </c>
      <c r="AI174" s="44">
        <v>0.527606</v>
      </c>
      <c r="AJ174" s="44">
        <v>15.74069</v>
      </c>
      <c r="AK174" s="44">
        <v>-1.31425</v>
      </c>
      <c r="AL174" s="44">
        <v>0.963535</v>
      </c>
      <c r="AM174" s="44">
        <v>-1.41385</v>
      </c>
      <c r="AN174" s="44">
        <v>-0.85212</v>
      </c>
      <c r="AO174" s="44">
        <v>-0.51764</v>
      </c>
      <c r="AP174" s="44">
        <v>-1.00449</v>
      </c>
      <c r="AQ174" s="44">
        <v>-0.78257</v>
      </c>
      <c r="AR174" s="44">
        <v>0.077301</v>
      </c>
      <c r="AS174" s="44">
        <v>1.725343</v>
      </c>
    </row>
    <row r="175">
      <c r="A175" s="44">
        <v>174.0</v>
      </c>
      <c r="B175" s="44">
        <v>151.25</v>
      </c>
      <c r="C175" s="44">
        <v>10.0</v>
      </c>
      <c r="D175" s="44">
        <v>0.0</v>
      </c>
      <c r="E175" s="44">
        <v>-0.34674</v>
      </c>
      <c r="F175" s="44">
        <v>-1.3E-4</v>
      </c>
      <c r="G175" s="44">
        <v>1.234097</v>
      </c>
      <c r="H175" s="389"/>
      <c r="I175" s="46" t="s">
        <v>559</v>
      </c>
      <c r="J175" s="46" t="s">
        <v>324</v>
      </c>
      <c r="K175" s="46" t="s">
        <v>1593</v>
      </c>
      <c r="L175" s="46" t="s">
        <v>1843</v>
      </c>
      <c r="M175" s="389"/>
      <c r="N175" s="46" t="s">
        <v>1562</v>
      </c>
      <c r="O175" s="46" t="s">
        <v>1689</v>
      </c>
      <c r="P175" s="389"/>
      <c r="Q175" s="389"/>
      <c r="R175" s="46">
        <v>5.0</v>
      </c>
      <c r="S175" s="45"/>
      <c r="T175" s="46" t="s">
        <v>1564</v>
      </c>
      <c r="U175" s="44">
        <v>71.0</v>
      </c>
      <c r="V175" s="44">
        <v>16.0</v>
      </c>
      <c r="W175" s="389"/>
      <c r="X175" s="44">
        <v>31.0</v>
      </c>
      <c r="Y175" s="44">
        <v>13.97732</v>
      </c>
      <c r="Z175" s="44">
        <v>2.426197</v>
      </c>
      <c r="AA175" s="44">
        <v>3.452676</v>
      </c>
      <c r="AB175" s="44">
        <v>2.685352</v>
      </c>
      <c r="AC175" s="44">
        <v>0.959014</v>
      </c>
      <c r="AD175" s="44">
        <v>0.192254</v>
      </c>
      <c r="AE175" s="44">
        <v>0.429553</v>
      </c>
      <c r="AF175" s="44">
        <v>11.7</v>
      </c>
      <c r="AG175" s="44">
        <v>0.801008</v>
      </c>
      <c r="AH175" s="44">
        <v>1.872113</v>
      </c>
      <c r="AI175" s="44">
        <v>1.470563</v>
      </c>
      <c r="AJ175" s="44">
        <v>19.7211</v>
      </c>
      <c r="AK175" s="44">
        <v>-0.54016</v>
      </c>
      <c r="AL175" s="44">
        <v>0.637939</v>
      </c>
      <c r="AM175" s="44">
        <v>-1.08932</v>
      </c>
      <c r="AN175" s="44">
        <v>-0.5085</v>
      </c>
      <c r="AO175" s="44">
        <v>-0.15454</v>
      </c>
      <c r="AP175" s="44">
        <v>-1.00322</v>
      </c>
      <c r="AQ175" s="44">
        <v>-1.02475</v>
      </c>
      <c r="AR175" s="44">
        <v>0.027629</v>
      </c>
      <c r="AS175" s="44">
        <v>0.534239</v>
      </c>
    </row>
    <row r="176">
      <c r="A176" s="44">
        <v>175.0</v>
      </c>
      <c r="B176" s="44">
        <v>94.11429</v>
      </c>
      <c r="C176" s="44">
        <v>100.0</v>
      </c>
      <c r="D176" s="44">
        <v>0.0</v>
      </c>
      <c r="E176" s="44">
        <v>-0.3525</v>
      </c>
      <c r="F176" s="44">
        <v>0.027812</v>
      </c>
      <c r="G176" s="44">
        <v>-1.84174</v>
      </c>
      <c r="H176" s="389"/>
      <c r="I176" s="46" t="s">
        <v>71</v>
      </c>
      <c r="J176" s="46" t="s">
        <v>332</v>
      </c>
      <c r="K176" s="46" t="s">
        <v>1616</v>
      </c>
      <c r="L176" s="46" t="s">
        <v>1844</v>
      </c>
      <c r="M176" s="389"/>
      <c r="N176" s="46" t="s">
        <v>1562</v>
      </c>
      <c r="O176" s="389"/>
      <c r="P176" s="389"/>
      <c r="Q176" s="45"/>
      <c r="R176" s="46">
        <v>2.0</v>
      </c>
      <c r="S176" s="45"/>
      <c r="T176" s="46" t="s">
        <v>1564</v>
      </c>
      <c r="U176" s="44">
        <v>71.0</v>
      </c>
      <c r="V176" s="44">
        <v>15.0</v>
      </c>
      <c r="W176" s="389"/>
      <c r="X176" s="44">
        <v>32.0</v>
      </c>
      <c r="Y176" s="44">
        <v>18.25493</v>
      </c>
      <c r="Z176" s="44">
        <v>1.642254</v>
      </c>
      <c r="AA176" s="44">
        <v>6.18</v>
      </c>
      <c r="AB176" s="44">
        <v>4.12</v>
      </c>
      <c r="AC176" s="44">
        <v>0.82338</v>
      </c>
      <c r="AD176" s="44">
        <v>0.274789</v>
      </c>
      <c r="AE176" s="44">
        <v>0.461323</v>
      </c>
      <c r="AF176" s="44">
        <v>14.83211</v>
      </c>
      <c r="AG176" s="44">
        <v>0.705013</v>
      </c>
      <c r="AH176" s="44">
        <v>4.152958</v>
      </c>
      <c r="AI176" s="44">
        <v>2.128732</v>
      </c>
      <c r="AJ176" s="44">
        <v>24.44804</v>
      </c>
      <c r="AK176" s="44">
        <v>0.21364</v>
      </c>
      <c r="AL176" s="44">
        <v>-0.11186</v>
      </c>
      <c r="AM176" s="44">
        <v>0.029856</v>
      </c>
      <c r="AN176" s="44">
        <v>0.183649</v>
      </c>
      <c r="AO176" s="44">
        <v>-0.55738</v>
      </c>
      <c r="AP176" s="44">
        <v>-0.85434</v>
      </c>
      <c r="AQ176" s="44">
        <v>-0.60484</v>
      </c>
      <c r="AR176" s="44">
        <v>-1.17406</v>
      </c>
      <c r="AS176" s="44">
        <v>-0.29713</v>
      </c>
    </row>
    <row r="177">
      <c r="A177" s="44">
        <v>176.0</v>
      </c>
      <c r="B177" s="44">
        <v>144.75</v>
      </c>
      <c r="C177" s="44">
        <v>3.0</v>
      </c>
      <c r="D177" s="44">
        <v>0.0</v>
      </c>
      <c r="E177" s="44">
        <v>-0.35686</v>
      </c>
      <c r="F177" s="44">
        <v>0.005272</v>
      </c>
      <c r="G177" s="44">
        <v>0.174746</v>
      </c>
      <c r="H177" s="389"/>
      <c r="I177" s="46" t="s">
        <v>1845</v>
      </c>
      <c r="J177" s="46" t="s">
        <v>428</v>
      </c>
      <c r="K177" s="46" t="s">
        <v>97</v>
      </c>
      <c r="L177" s="46" t="s">
        <v>1846</v>
      </c>
      <c r="M177" s="389"/>
      <c r="N177" s="46" t="s">
        <v>1562</v>
      </c>
      <c r="O177" s="389"/>
      <c r="P177" s="389"/>
      <c r="Q177" s="389"/>
      <c r="R177" s="46">
        <v>5.0</v>
      </c>
      <c r="S177" s="45"/>
      <c r="T177" s="46" t="s">
        <v>1630</v>
      </c>
      <c r="U177" s="44">
        <v>71.0</v>
      </c>
      <c r="V177" s="44">
        <v>14.0</v>
      </c>
      <c r="W177" s="389"/>
      <c r="X177" s="44">
        <v>22.0</v>
      </c>
      <c r="Y177" s="44">
        <v>6.927746</v>
      </c>
      <c r="Z177" s="44">
        <v>0.304085</v>
      </c>
      <c r="AA177" s="44">
        <v>5.647606</v>
      </c>
      <c r="AB177" s="44">
        <v>1.527606</v>
      </c>
      <c r="AC177" s="44">
        <v>0.37507</v>
      </c>
      <c r="AD177" s="44">
        <v>1.573944</v>
      </c>
      <c r="AE177" s="44">
        <v>0.583244</v>
      </c>
      <c r="AF177" s="44">
        <v>4.860141</v>
      </c>
      <c r="AG177" s="44">
        <v>0.739012</v>
      </c>
      <c r="AH177" s="44">
        <v>1.291408</v>
      </c>
      <c r="AI177" s="44">
        <v>0.965634</v>
      </c>
      <c r="AJ177" s="44">
        <v>12.43667</v>
      </c>
      <c r="AK177" s="44">
        <v>-1.78245</v>
      </c>
      <c r="AL177" s="44">
        <v>-1.39175</v>
      </c>
      <c r="AM177" s="44">
        <v>-0.18862</v>
      </c>
      <c r="AN177" s="44">
        <v>-1.06705</v>
      </c>
      <c r="AO177" s="44">
        <v>-1.8889</v>
      </c>
      <c r="AP177" s="44">
        <v>1.489159</v>
      </c>
      <c r="AQ177" s="44">
        <v>0.681978</v>
      </c>
      <c r="AR177" s="44">
        <v>-0.23611</v>
      </c>
      <c r="AS177" s="44">
        <v>1.172045</v>
      </c>
    </row>
    <row r="178">
      <c r="A178" s="44">
        <v>177.0</v>
      </c>
      <c r="B178" s="44">
        <v>141.6842</v>
      </c>
      <c r="C178" s="44">
        <v>70.0</v>
      </c>
      <c r="D178" s="44">
        <v>0.0</v>
      </c>
      <c r="E178" s="44">
        <v>-0.35701</v>
      </c>
      <c r="F178" s="44">
        <v>2.43E-4</v>
      </c>
      <c r="G178" s="44">
        <v>1.16905</v>
      </c>
      <c r="H178" s="389"/>
      <c r="I178" s="46" t="s">
        <v>207</v>
      </c>
      <c r="J178" s="46" t="s">
        <v>308</v>
      </c>
      <c r="K178" s="46" t="s">
        <v>85</v>
      </c>
      <c r="L178" s="46" t="s">
        <v>1847</v>
      </c>
      <c r="M178" s="389"/>
      <c r="N178" s="46" t="s">
        <v>1570</v>
      </c>
      <c r="O178" s="46" t="s">
        <v>1848</v>
      </c>
      <c r="P178" s="389"/>
      <c r="Q178" s="45"/>
      <c r="R178" s="46">
        <v>5.0</v>
      </c>
      <c r="S178" s="389"/>
      <c r="T178" s="46" t="s">
        <v>1630</v>
      </c>
      <c r="U178" s="44">
        <v>57.0</v>
      </c>
      <c r="V178" s="44">
        <v>15.0</v>
      </c>
      <c r="W178" s="389"/>
      <c r="X178" s="44">
        <v>24.0</v>
      </c>
      <c r="Y178" s="44">
        <v>7.234386</v>
      </c>
      <c r="Z178" s="44">
        <v>1.517368</v>
      </c>
      <c r="AA178" s="44">
        <v>3.055439</v>
      </c>
      <c r="AB178" s="44">
        <v>5.044035</v>
      </c>
      <c r="AC178" s="44">
        <v>1.012281</v>
      </c>
      <c r="AD178" s="44">
        <v>0.243509</v>
      </c>
      <c r="AE178" s="44">
        <v>0.424593</v>
      </c>
      <c r="AF178" s="44">
        <v>6.110702</v>
      </c>
      <c r="AG178" s="44">
        <v>0.86391</v>
      </c>
      <c r="AH178" s="44">
        <v>0.611053</v>
      </c>
      <c r="AI178" s="44">
        <v>1.31386</v>
      </c>
      <c r="AJ178" s="44">
        <v>14.321</v>
      </c>
      <c r="AK178" s="44">
        <v>-1.72841</v>
      </c>
      <c r="AL178" s="44">
        <v>-0.23131</v>
      </c>
      <c r="AM178" s="44">
        <v>-1.25233</v>
      </c>
      <c r="AN178" s="44">
        <v>0.629449</v>
      </c>
      <c r="AO178" s="44">
        <v>0.003663</v>
      </c>
      <c r="AP178" s="44">
        <v>-0.91076</v>
      </c>
      <c r="AQ178" s="44">
        <v>-0.5766</v>
      </c>
      <c r="AR178" s="44">
        <v>0.121023</v>
      </c>
      <c r="AS178" s="44">
        <v>0.732181</v>
      </c>
    </row>
    <row r="179">
      <c r="A179" s="44">
        <v>178.0</v>
      </c>
      <c r="B179" s="44">
        <v>129.625</v>
      </c>
      <c r="C179" s="44">
        <v>91.0</v>
      </c>
      <c r="D179" s="44">
        <v>0.0</v>
      </c>
      <c r="E179" s="44">
        <v>-0.35973</v>
      </c>
      <c r="F179" s="44">
        <v>-0.03956</v>
      </c>
      <c r="G179" s="44">
        <v>0.825225</v>
      </c>
      <c r="H179" s="389"/>
      <c r="I179" s="46" t="s">
        <v>237</v>
      </c>
      <c r="J179" s="46" t="s">
        <v>295</v>
      </c>
      <c r="K179" s="46" t="s">
        <v>85</v>
      </c>
      <c r="L179" s="46" t="s">
        <v>1849</v>
      </c>
      <c r="M179" s="46" t="s">
        <v>1850</v>
      </c>
      <c r="N179" s="46" t="s">
        <v>1570</v>
      </c>
      <c r="O179" s="389"/>
      <c r="P179" s="389"/>
      <c r="Q179" s="389"/>
      <c r="R179" s="46">
        <v>3.0</v>
      </c>
      <c r="S179" s="45"/>
      <c r="T179" s="46" t="s">
        <v>1630</v>
      </c>
      <c r="U179" s="44">
        <v>52.0</v>
      </c>
      <c r="V179" s="44">
        <v>13.0</v>
      </c>
      <c r="W179" s="389"/>
      <c r="X179" s="44">
        <v>21.0</v>
      </c>
      <c r="Y179" s="44">
        <v>9.879231</v>
      </c>
      <c r="Z179" s="44">
        <v>0.277885</v>
      </c>
      <c r="AA179" s="44">
        <v>2.828077</v>
      </c>
      <c r="AB179" s="44">
        <v>6.109808</v>
      </c>
      <c r="AC179" s="44">
        <v>1.104615</v>
      </c>
      <c r="AD179" s="44">
        <v>0.258654</v>
      </c>
      <c r="AE179" s="44">
        <v>0.518846</v>
      </c>
      <c r="AF179" s="44">
        <v>8.484808</v>
      </c>
      <c r="AG179" s="44">
        <v>0.730044</v>
      </c>
      <c r="AH179" s="44">
        <v>1.091346</v>
      </c>
      <c r="AI179" s="44">
        <v>1.811731</v>
      </c>
      <c r="AJ179" s="44">
        <v>22.08094</v>
      </c>
      <c r="AK179" s="44">
        <v>-1.26234</v>
      </c>
      <c r="AL179" s="44">
        <v>-1.41681</v>
      </c>
      <c r="AM179" s="44">
        <v>-1.34563</v>
      </c>
      <c r="AN179" s="44">
        <v>1.143632</v>
      </c>
      <c r="AO179" s="44">
        <v>0.277904</v>
      </c>
      <c r="AP179" s="44">
        <v>-0.88344</v>
      </c>
      <c r="AQ179" s="44">
        <v>0.378079</v>
      </c>
      <c r="AR179" s="44">
        <v>-0.23222</v>
      </c>
      <c r="AS179" s="44">
        <v>0.103291</v>
      </c>
    </row>
    <row r="180">
      <c r="A180" s="44">
        <v>179.0</v>
      </c>
      <c r="B180" s="389"/>
      <c r="C180" s="389"/>
      <c r="D180" s="389"/>
      <c r="E180" s="44">
        <v>-0.37175</v>
      </c>
      <c r="F180" s="44">
        <v>0.002492</v>
      </c>
      <c r="G180" s="44">
        <v>0.40706</v>
      </c>
      <c r="H180" s="389"/>
      <c r="I180" s="46" t="s">
        <v>1851</v>
      </c>
      <c r="J180" s="46" t="s">
        <v>317</v>
      </c>
      <c r="K180" s="46" t="s">
        <v>1581</v>
      </c>
      <c r="L180" s="46" t="s">
        <v>1852</v>
      </c>
      <c r="M180" s="389"/>
      <c r="N180" s="46" t="s">
        <v>1570</v>
      </c>
      <c r="O180" s="46" t="s">
        <v>1853</v>
      </c>
      <c r="P180" s="389"/>
      <c r="Q180" s="45"/>
      <c r="R180" s="46">
        <v>3.0</v>
      </c>
      <c r="S180" s="389"/>
      <c r="T180" s="46" t="s">
        <v>1630</v>
      </c>
      <c r="U180" s="44">
        <v>58.0</v>
      </c>
      <c r="V180" s="44">
        <v>14.0</v>
      </c>
      <c r="W180" s="389"/>
      <c r="X180" s="44">
        <v>22.0</v>
      </c>
      <c r="Y180" s="44">
        <v>7.270862</v>
      </c>
      <c r="Z180" s="44">
        <v>0.893276</v>
      </c>
      <c r="AA180" s="44">
        <v>4.768103</v>
      </c>
      <c r="AB180" s="44">
        <v>1.897931</v>
      </c>
      <c r="AC180" s="44">
        <v>1.030172</v>
      </c>
      <c r="AD180" s="44">
        <v>0.413621</v>
      </c>
      <c r="AE180" s="44">
        <v>0.476724</v>
      </c>
      <c r="AF180" s="44">
        <v>6.203621</v>
      </c>
      <c r="AG180" s="44">
        <v>0.74597</v>
      </c>
      <c r="AH180" s="44">
        <v>0.620345</v>
      </c>
      <c r="AI180" s="44">
        <v>0.782241</v>
      </c>
      <c r="AJ180" s="44">
        <v>14.10093</v>
      </c>
      <c r="AK180" s="44">
        <v>-1.72199</v>
      </c>
      <c r="AL180" s="44">
        <v>-0.82822</v>
      </c>
      <c r="AM180" s="44">
        <v>-0.54953</v>
      </c>
      <c r="AN180" s="44">
        <v>-0.88839</v>
      </c>
      <c r="AO180" s="44">
        <v>0.056803</v>
      </c>
      <c r="AP180" s="44">
        <v>-0.6039</v>
      </c>
      <c r="AQ180" s="44">
        <v>-0.10771</v>
      </c>
      <c r="AR180" s="44">
        <v>-0.10651</v>
      </c>
      <c r="AS180" s="44">
        <v>1.403698</v>
      </c>
    </row>
    <row r="181">
      <c r="A181" s="44">
        <v>180.0</v>
      </c>
      <c r="B181" s="44">
        <v>125.0294</v>
      </c>
      <c r="C181" s="44">
        <v>97.0</v>
      </c>
      <c r="D181" s="44">
        <v>0.0</v>
      </c>
      <c r="E181" s="44">
        <v>-0.37225</v>
      </c>
      <c r="F181" s="44">
        <v>0.021657</v>
      </c>
      <c r="G181" s="44">
        <v>-0.30847</v>
      </c>
      <c r="H181" s="389"/>
      <c r="I181" s="46" t="s">
        <v>169</v>
      </c>
      <c r="J181" s="46" t="s">
        <v>354</v>
      </c>
      <c r="K181" s="46" t="s">
        <v>85</v>
      </c>
      <c r="L181" s="46" t="s">
        <v>1854</v>
      </c>
      <c r="M181" s="389"/>
      <c r="N181" s="46" t="s">
        <v>1570</v>
      </c>
      <c r="O181" s="389"/>
      <c r="P181" s="389"/>
      <c r="Q181" s="389"/>
      <c r="R181" s="46">
        <v>1.0</v>
      </c>
      <c r="S181" s="45"/>
      <c r="T181" s="46" t="s">
        <v>1645</v>
      </c>
      <c r="U181" s="44">
        <v>66.0</v>
      </c>
      <c r="V181" s="44">
        <v>15.0</v>
      </c>
      <c r="W181" s="389"/>
      <c r="X181" s="44">
        <v>31.0</v>
      </c>
      <c r="Y181" s="44">
        <v>18.0503</v>
      </c>
      <c r="Z181" s="44">
        <v>2.764848</v>
      </c>
      <c r="AA181" s="44">
        <v>3.459091</v>
      </c>
      <c r="AB181" s="44">
        <v>4.656515</v>
      </c>
      <c r="AC181" s="44">
        <v>0.597273</v>
      </c>
      <c r="AD181" s="44">
        <v>0.133182</v>
      </c>
      <c r="AE181" s="44">
        <v>0.410035</v>
      </c>
      <c r="AF181" s="44">
        <v>14.30182</v>
      </c>
      <c r="AG181" s="44">
        <v>0.829013</v>
      </c>
      <c r="AH181" s="44">
        <v>4.290606</v>
      </c>
      <c r="AI181" s="44">
        <v>2.128636</v>
      </c>
      <c r="AJ181" s="44">
        <v>24.56253</v>
      </c>
      <c r="AK181" s="44">
        <v>0.177581</v>
      </c>
      <c r="AL181" s="44">
        <v>0.961841</v>
      </c>
      <c r="AM181" s="44">
        <v>-1.08669</v>
      </c>
      <c r="AN181" s="44">
        <v>0.44249</v>
      </c>
      <c r="AO181" s="44">
        <v>-1.22894</v>
      </c>
      <c r="AP181" s="44">
        <v>-1.10978</v>
      </c>
      <c r="AQ181" s="44">
        <v>-1.66661</v>
      </c>
      <c r="AR181" s="44">
        <v>0.456838</v>
      </c>
      <c r="AS181" s="44">
        <v>-0.29701</v>
      </c>
    </row>
    <row r="182">
      <c r="A182" s="44">
        <v>181.0</v>
      </c>
      <c r="B182" s="44">
        <v>145.25</v>
      </c>
      <c r="C182" s="44">
        <v>24.0</v>
      </c>
      <c r="D182" s="44">
        <v>0.0</v>
      </c>
      <c r="E182" s="44">
        <v>-0.37259</v>
      </c>
      <c r="F182" s="44">
        <v>0.079063</v>
      </c>
      <c r="G182" s="44">
        <v>0.29555</v>
      </c>
      <c r="H182" s="389"/>
      <c r="I182" s="46" t="s">
        <v>663</v>
      </c>
      <c r="J182" s="46" t="s">
        <v>354</v>
      </c>
      <c r="K182" s="46" t="s">
        <v>1572</v>
      </c>
      <c r="L182" s="46" t="s">
        <v>1855</v>
      </c>
      <c r="M182" s="389"/>
      <c r="N182" s="46" t="s">
        <v>1570</v>
      </c>
      <c r="O182" s="389"/>
      <c r="P182" s="389"/>
      <c r="Q182" s="389"/>
      <c r="R182" s="46">
        <v>3.0</v>
      </c>
      <c r="S182" s="45"/>
      <c r="T182" s="46" t="s">
        <v>1645</v>
      </c>
      <c r="U182" s="44">
        <v>66.0</v>
      </c>
      <c r="V182" s="44">
        <v>15.0</v>
      </c>
      <c r="W182" s="389"/>
      <c r="X182" s="44">
        <v>26.0</v>
      </c>
      <c r="Y182" s="44">
        <v>14.05864</v>
      </c>
      <c r="Z182" s="44">
        <v>2.952121</v>
      </c>
      <c r="AA182" s="44">
        <v>3.961212</v>
      </c>
      <c r="AB182" s="44">
        <v>2.192879</v>
      </c>
      <c r="AC182" s="44">
        <v>0.799848</v>
      </c>
      <c r="AD182" s="44">
        <v>0.164848</v>
      </c>
      <c r="AE182" s="44">
        <v>0.429777</v>
      </c>
      <c r="AF182" s="44">
        <v>11.38152</v>
      </c>
      <c r="AG182" s="44">
        <v>0.859998</v>
      </c>
      <c r="AH182" s="44">
        <v>1.538939</v>
      </c>
      <c r="AI182" s="44">
        <v>1.87303</v>
      </c>
      <c r="AJ182" s="44">
        <v>22.27302</v>
      </c>
      <c r="AK182" s="44">
        <v>-0.52584</v>
      </c>
      <c r="AL182" s="44">
        <v>1.140957</v>
      </c>
      <c r="AM182" s="44">
        <v>-0.88064</v>
      </c>
      <c r="AN182" s="44">
        <v>-0.74609</v>
      </c>
      <c r="AO182" s="44">
        <v>-0.62728</v>
      </c>
      <c r="AP182" s="44">
        <v>-1.05265</v>
      </c>
      <c r="AQ182" s="44">
        <v>-0.9929</v>
      </c>
      <c r="AR182" s="44">
        <v>0.305288</v>
      </c>
      <c r="AS182" s="44">
        <v>0.02586</v>
      </c>
    </row>
    <row r="183">
      <c r="A183" s="44">
        <v>182.0</v>
      </c>
      <c r="B183" s="44">
        <v>136.3659</v>
      </c>
      <c r="C183" s="44">
        <v>81.0</v>
      </c>
      <c r="D183" s="44">
        <v>0.0</v>
      </c>
      <c r="E183" s="44">
        <v>-0.37422</v>
      </c>
      <c r="F183" s="270">
        <v>6.9E-6</v>
      </c>
      <c r="G183" s="44">
        <v>-0.5222</v>
      </c>
      <c r="H183" s="389"/>
      <c r="I183" s="46" t="s">
        <v>261</v>
      </c>
      <c r="J183" s="46" t="s">
        <v>465</v>
      </c>
      <c r="K183" s="46" t="s">
        <v>85</v>
      </c>
      <c r="L183" s="46" t="s">
        <v>1856</v>
      </c>
      <c r="M183" s="46" t="s">
        <v>1857</v>
      </c>
      <c r="N183" s="46" t="s">
        <v>1570</v>
      </c>
      <c r="O183" s="389"/>
      <c r="P183" s="389"/>
      <c r="Q183" s="389"/>
      <c r="R183" s="46">
        <v>2.0</v>
      </c>
      <c r="S183" s="46" t="s">
        <v>1749</v>
      </c>
      <c r="T183" s="46" t="s">
        <v>1630</v>
      </c>
      <c r="U183" s="44">
        <v>50.0</v>
      </c>
      <c r="V183" s="44">
        <v>15.0</v>
      </c>
      <c r="W183" s="389"/>
      <c r="X183" s="44">
        <v>31.0</v>
      </c>
      <c r="Y183" s="44">
        <v>16.6454</v>
      </c>
      <c r="Z183" s="44">
        <v>2.289</v>
      </c>
      <c r="AA183" s="44">
        <v>3.4914</v>
      </c>
      <c r="AB183" s="44">
        <v>6.5312</v>
      </c>
      <c r="AC183" s="44">
        <v>0.9882</v>
      </c>
      <c r="AD183" s="44">
        <v>0.1936</v>
      </c>
      <c r="AE183" s="44">
        <v>0.433888</v>
      </c>
      <c r="AF183" s="44">
        <v>13.3062</v>
      </c>
      <c r="AG183" s="44">
        <v>0.782008</v>
      </c>
      <c r="AH183" s="44">
        <v>3.5928</v>
      </c>
      <c r="AI183" s="44">
        <v>3.3018</v>
      </c>
      <c r="AJ183" s="44">
        <v>24.30545</v>
      </c>
      <c r="AK183" s="44">
        <v>-0.06999</v>
      </c>
      <c r="AL183" s="44">
        <v>0.506717</v>
      </c>
      <c r="AM183" s="44">
        <v>-1.07343</v>
      </c>
      <c r="AN183" s="44">
        <v>1.346933</v>
      </c>
      <c r="AO183" s="44">
        <v>-0.06786</v>
      </c>
      <c r="AP183" s="44">
        <v>-1.00079</v>
      </c>
      <c r="AQ183" s="44">
        <v>-1.08119</v>
      </c>
      <c r="AR183" s="44">
        <v>-0.14943</v>
      </c>
      <c r="AS183" s="44">
        <v>-1.7789</v>
      </c>
    </row>
    <row r="184">
      <c r="A184" s="44">
        <v>183.0</v>
      </c>
      <c r="B184" s="44">
        <v>153.0</v>
      </c>
      <c r="C184" s="44">
        <v>1.0</v>
      </c>
      <c r="D184" s="44">
        <v>0.0</v>
      </c>
      <c r="E184" s="44">
        <v>-0.3813</v>
      </c>
      <c r="F184" s="44">
        <v>-0.00638</v>
      </c>
      <c r="G184" s="44">
        <v>0.36989</v>
      </c>
      <c r="H184" s="389"/>
      <c r="I184" s="46" t="s">
        <v>1858</v>
      </c>
      <c r="J184" s="46" t="s">
        <v>495</v>
      </c>
      <c r="K184" s="46" t="s">
        <v>97</v>
      </c>
      <c r="L184" s="46" t="s">
        <v>1859</v>
      </c>
      <c r="M184" s="389"/>
      <c r="N184" s="46" t="s">
        <v>1570</v>
      </c>
      <c r="O184" s="46" t="s">
        <v>1571</v>
      </c>
      <c r="P184" s="389"/>
      <c r="Q184" s="389"/>
      <c r="R184" s="46">
        <v>3.0</v>
      </c>
      <c r="S184" s="45"/>
      <c r="T184" s="46" t="s">
        <v>1630</v>
      </c>
      <c r="U184" s="44">
        <v>66.0</v>
      </c>
      <c r="V184" s="44">
        <v>14.0</v>
      </c>
      <c r="W184" s="389"/>
      <c r="X184" s="44">
        <v>19.0</v>
      </c>
      <c r="Y184" s="44">
        <v>8.458485</v>
      </c>
      <c r="Z184" s="44">
        <v>0.297879</v>
      </c>
      <c r="AA184" s="44">
        <v>7.288939</v>
      </c>
      <c r="AB184" s="44">
        <v>1.885</v>
      </c>
      <c r="AC184" s="44">
        <v>0.587879</v>
      </c>
      <c r="AD184" s="44">
        <v>0.931364</v>
      </c>
      <c r="AE184" s="44">
        <v>0.529205</v>
      </c>
      <c r="AF184" s="44">
        <v>6.897424</v>
      </c>
      <c r="AG184" s="44">
        <v>0.692946</v>
      </c>
      <c r="AH184" s="44">
        <v>1.241515</v>
      </c>
      <c r="AI184" s="44">
        <v>1.253939</v>
      </c>
      <c r="AJ184" s="44">
        <v>19.67775</v>
      </c>
      <c r="AK184" s="44">
        <v>-1.5127</v>
      </c>
      <c r="AL184" s="44">
        <v>-1.39769</v>
      </c>
      <c r="AM184" s="44">
        <v>0.484918</v>
      </c>
      <c r="AN184" s="44">
        <v>-0.89463</v>
      </c>
      <c r="AO184" s="44">
        <v>-1.25684</v>
      </c>
      <c r="AP184" s="44">
        <v>0.330033</v>
      </c>
      <c r="AQ184" s="44">
        <v>0.41423</v>
      </c>
      <c r="AR184" s="44">
        <v>-0.40693</v>
      </c>
      <c r="AS184" s="44">
        <v>0.807869</v>
      </c>
    </row>
    <row r="185">
      <c r="A185" s="44">
        <v>184.0</v>
      </c>
      <c r="B185" s="389"/>
      <c r="C185" s="389"/>
      <c r="D185" s="389"/>
      <c r="E185" s="44">
        <v>-0.38348</v>
      </c>
      <c r="F185" s="44">
        <v>0.155104</v>
      </c>
      <c r="G185" s="44">
        <v>1.261975</v>
      </c>
      <c r="H185" s="389"/>
      <c r="I185" s="46" t="s">
        <v>1860</v>
      </c>
      <c r="J185" s="46" t="s">
        <v>1639</v>
      </c>
      <c r="K185" s="46" t="s">
        <v>97</v>
      </c>
      <c r="L185" s="46" t="s">
        <v>1861</v>
      </c>
      <c r="M185" s="389"/>
      <c r="N185" s="46" t="s">
        <v>1562</v>
      </c>
      <c r="O185" s="46" t="s">
        <v>1607</v>
      </c>
      <c r="P185" s="389"/>
      <c r="Q185" s="45"/>
      <c r="R185" s="46">
        <v>5.0</v>
      </c>
      <c r="S185" s="45"/>
      <c r="T185" s="46" t="s">
        <v>1645</v>
      </c>
      <c r="U185" s="44">
        <v>71.0</v>
      </c>
      <c r="V185" s="44">
        <v>15.0</v>
      </c>
      <c r="W185" s="389"/>
      <c r="X185" s="44">
        <v>22.0</v>
      </c>
      <c r="Y185" s="44">
        <v>5.625493</v>
      </c>
      <c r="Z185" s="44">
        <v>0.060282</v>
      </c>
      <c r="AA185" s="44">
        <v>8.147324</v>
      </c>
      <c r="AB185" s="44">
        <v>2.036901</v>
      </c>
      <c r="AC185" s="44">
        <v>0.747887</v>
      </c>
      <c r="AD185" s="44">
        <v>0.644507</v>
      </c>
      <c r="AE185" s="44">
        <v>0.5127</v>
      </c>
      <c r="AF185" s="44">
        <v>4.397324</v>
      </c>
      <c r="AG185" s="44">
        <v>0.655966</v>
      </c>
      <c r="AH185" s="44">
        <v>1.610141</v>
      </c>
      <c r="AI185" s="44">
        <v>0.555493</v>
      </c>
      <c r="AJ185" s="44">
        <v>10.8425</v>
      </c>
      <c r="AK185" s="44">
        <v>-2.01194</v>
      </c>
      <c r="AL185" s="44">
        <v>-1.62494</v>
      </c>
      <c r="AM185" s="44">
        <v>0.837162</v>
      </c>
      <c r="AN185" s="44">
        <v>-0.82134</v>
      </c>
      <c r="AO185" s="44">
        <v>-0.7816</v>
      </c>
      <c r="AP185" s="44">
        <v>-0.18742</v>
      </c>
      <c r="AQ185" s="44">
        <v>0.159432</v>
      </c>
      <c r="AR185" s="44">
        <v>-0.7108</v>
      </c>
      <c r="AS185" s="44">
        <v>1.690117</v>
      </c>
    </row>
    <row r="186">
      <c r="A186" s="44">
        <v>185.0</v>
      </c>
      <c r="B186" s="44">
        <v>144.4286</v>
      </c>
      <c r="C186" s="44">
        <v>31.0</v>
      </c>
      <c r="D186" s="44">
        <v>0.0</v>
      </c>
      <c r="E186" s="44">
        <v>-0.38678</v>
      </c>
      <c r="F186" s="44">
        <v>-0.02321</v>
      </c>
      <c r="G186" s="44">
        <v>-0.48502</v>
      </c>
      <c r="H186" s="389"/>
      <c r="I186" s="46" t="s">
        <v>1862</v>
      </c>
      <c r="J186" s="46" t="s">
        <v>449</v>
      </c>
      <c r="K186" s="46" t="s">
        <v>1593</v>
      </c>
      <c r="L186" s="46" t="s">
        <v>1863</v>
      </c>
      <c r="M186" s="389"/>
      <c r="N186" s="46" t="s">
        <v>1570</v>
      </c>
      <c r="O186" s="46" t="s">
        <v>1648</v>
      </c>
      <c r="P186" s="389"/>
      <c r="Q186" s="389"/>
      <c r="R186" s="46">
        <v>5.0</v>
      </c>
      <c r="S186" s="45"/>
      <c r="T186" s="46" t="s">
        <v>1630</v>
      </c>
      <c r="U186" s="44">
        <v>66.0</v>
      </c>
      <c r="V186" s="44">
        <v>13.0</v>
      </c>
      <c r="W186" s="389"/>
      <c r="X186" s="44">
        <v>25.0</v>
      </c>
      <c r="Y186" s="44">
        <v>11.12409</v>
      </c>
      <c r="Z186" s="44">
        <v>1.324848</v>
      </c>
      <c r="AA186" s="44">
        <v>2.679697</v>
      </c>
      <c r="AB186" s="44">
        <v>3.497879</v>
      </c>
      <c r="AC186" s="44">
        <v>0.848333</v>
      </c>
      <c r="AD186" s="44">
        <v>0.334848</v>
      </c>
      <c r="AE186" s="44">
        <v>0.506935</v>
      </c>
      <c r="AF186" s="44">
        <v>8.641061</v>
      </c>
      <c r="AG186" s="44">
        <v>0.789971</v>
      </c>
      <c r="AH186" s="44">
        <v>1.314394</v>
      </c>
      <c r="AI186" s="44">
        <v>1.476515</v>
      </c>
      <c r="AJ186" s="44">
        <v>17.66561</v>
      </c>
      <c r="AK186" s="44">
        <v>-1.04297</v>
      </c>
      <c r="AL186" s="44">
        <v>-0.41544</v>
      </c>
      <c r="AM186" s="44">
        <v>-1.40652</v>
      </c>
      <c r="AN186" s="44">
        <v>-0.11649</v>
      </c>
      <c r="AO186" s="44">
        <v>-0.48327</v>
      </c>
      <c r="AP186" s="44">
        <v>-0.746</v>
      </c>
      <c r="AQ186" s="44">
        <v>0.232857</v>
      </c>
      <c r="AR186" s="44">
        <v>-0.02992</v>
      </c>
      <c r="AS186" s="44">
        <v>0.526721</v>
      </c>
    </row>
    <row r="187">
      <c r="A187" s="44">
        <v>186.0</v>
      </c>
      <c r="B187" s="44">
        <v>137.4375</v>
      </c>
      <c r="C187" s="44">
        <v>74.0</v>
      </c>
      <c r="D187" s="44">
        <v>0.0</v>
      </c>
      <c r="E187" s="44">
        <v>-0.39068</v>
      </c>
      <c r="F187" s="44">
        <v>-0.00183</v>
      </c>
      <c r="G187" s="44">
        <v>0.853103</v>
      </c>
      <c r="H187" s="389"/>
      <c r="I187" s="46" t="s">
        <v>199</v>
      </c>
      <c r="J187" s="46" t="s">
        <v>350</v>
      </c>
      <c r="K187" s="46" t="s">
        <v>85</v>
      </c>
      <c r="L187" s="46" t="s">
        <v>1864</v>
      </c>
      <c r="M187" s="389"/>
      <c r="N187" s="46" t="s">
        <v>1562</v>
      </c>
      <c r="O187" s="46" t="s">
        <v>1817</v>
      </c>
      <c r="P187" s="389"/>
      <c r="Q187" s="389"/>
      <c r="R187" s="46">
        <v>3.0</v>
      </c>
      <c r="S187" s="45"/>
      <c r="T187" s="46" t="s">
        <v>1564</v>
      </c>
      <c r="U187" s="44">
        <v>71.0</v>
      </c>
      <c r="V187" s="44">
        <v>14.0</v>
      </c>
      <c r="W187" s="389"/>
      <c r="X187" s="44">
        <v>31.0</v>
      </c>
      <c r="Y187" s="44">
        <v>13.20423</v>
      </c>
      <c r="Z187" s="44">
        <v>1.514789</v>
      </c>
      <c r="AA187" s="44">
        <v>3.007042</v>
      </c>
      <c r="AB187" s="44">
        <v>6.230141</v>
      </c>
      <c r="AC187" s="44">
        <v>0.814366</v>
      </c>
      <c r="AD187" s="44">
        <v>0.184507</v>
      </c>
      <c r="AE187" s="44">
        <v>0.409556</v>
      </c>
      <c r="AF187" s="44">
        <v>10.96239</v>
      </c>
      <c r="AG187" s="44">
        <v>0.82399</v>
      </c>
      <c r="AH187" s="44">
        <v>3.288873</v>
      </c>
      <c r="AI187" s="44">
        <v>1.850704</v>
      </c>
      <c r="AJ187" s="44">
        <v>20.65386</v>
      </c>
      <c r="AK187" s="44">
        <v>-0.6764</v>
      </c>
      <c r="AL187" s="44">
        <v>-0.23378</v>
      </c>
      <c r="AM187" s="44">
        <v>-1.27219</v>
      </c>
      <c r="AN187" s="44">
        <v>1.201686</v>
      </c>
      <c r="AO187" s="44">
        <v>-0.58416</v>
      </c>
      <c r="AP187" s="44">
        <v>-1.01719</v>
      </c>
      <c r="AQ187" s="44">
        <v>-1.28355</v>
      </c>
      <c r="AR187" s="44">
        <v>0.295365</v>
      </c>
      <c r="AS187" s="44">
        <v>0.054062</v>
      </c>
    </row>
    <row r="188">
      <c r="A188" s="44">
        <v>187.0</v>
      </c>
      <c r="B188" s="44">
        <v>137.9167</v>
      </c>
      <c r="C188" s="44">
        <v>76.0</v>
      </c>
      <c r="D188" s="44">
        <v>0.0</v>
      </c>
      <c r="E188" s="44">
        <v>-0.39251</v>
      </c>
      <c r="F188" s="44">
        <v>4.35E-4</v>
      </c>
      <c r="G188" s="44">
        <v>1.540752</v>
      </c>
      <c r="H188" s="389"/>
      <c r="I188" s="46" t="s">
        <v>847</v>
      </c>
      <c r="J188" s="46" t="s">
        <v>379</v>
      </c>
      <c r="K188" s="46" t="s">
        <v>1593</v>
      </c>
      <c r="L188" s="46" t="s">
        <v>1865</v>
      </c>
      <c r="M188" s="389"/>
      <c r="N188" s="46" t="s">
        <v>1562</v>
      </c>
      <c r="O188" s="389"/>
      <c r="P188" s="389"/>
      <c r="Q188" s="389"/>
      <c r="R188" s="46">
        <v>4.0</v>
      </c>
      <c r="S188" s="45"/>
      <c r="T188" s="46" t="s">
        <v>1564</v>
      </c>
      <c r="U188" s="44">
        <v>71.0</v>
      </c>
      <c r="V188" s="44">
        <v>14.0</v>
      </c>
      <c r="W188" s="389"/>
      <c r="X188" s="44">
        <v>29.0</v>
      </c>
      <c r="Y188" s="44">
        <v>11.68169</v>
      </c>
      <c r="Z188" s="44">
        <v>2.047887</v>
      </c>
      <c r="AA188" s="44">
        <v>4.440563</v>
      </c>
      <c r="AB188" s="44">
        <v>2.283803</v>
      </c>
      <c r="AC188" s="44">
        <v>0.641268</v>
      </c>
      <c r="AD188" s="44">
        <v>0.126056</v>
      </c>
      <c r="AE188" s="44">
        <v>0.43738</v>
      </c>
      <c r="AF188" s="44">
        <v>8.880986</v>
      </c>
      <c r="AG188" s="44">
        <v>0.840015</v>
      </c>
      <c r="AH188" s="44">
        <v>2.220282</v>
      </c>
      <c r="AI188" s="44">
        <v>1.01507</v>
      </c>
      <c r="AJ188" s="44">
        <v>15.22976</v>
      </c>
      <c r="AK188" s="44">
        <v>-0.9447</v>
      </c>
      <c r="AL188" s="44">
        <v>0.276105</v>
      </c>
      <c r="AM188" s="44">
        <v>-0.68394</v>
      </c>
      <c r="AN188" s="44">
        <v>-0.70223</v>
      </c>
      <c r="AO188" s="44">
        <v>-1.09827</v>
      </c>
      <c r="AP188" s="44">
        <v>-1.12263</v>
      </c>
      <c r="AQ188" s="44">
        <v>-0.67345</v>
      </c>
      <c r="AR188" s="44">
        <v>0.306889</v>
      </c>
      <c r="AS188" s="44">
        <v>1.109598</v>
      </c>
    </row>
    <row r="189">
      <c r="A189" s="44">
        <v>188.0</v>
      </c>
      <c r="B189" s="44">
        <v>142.3171</v>
      </c>
      <c r="C189" s="44">
        <v>69.0</v>
      </c>
      <c r="D189" s="44">
        <v>0.0</v>
      </c>
      <c r="E189" s="44">
        <v>-0.39462</v>
      </c>
      <c r="F189" s="44">
        <v>0.002014</v>
      </c>
      <c r="G189" s="44">
        <v>1.568629</v>
      </c>
      <c r="H189" s="389"/>
      <c r="I189" s="46" t="s">
        <v>147</v>
      </c>
      <c r="J189" s="46" t="s">
        <v>287</v>
      </c>
      <c r="K189" s="46" t="s">
        <v>88</v>
      </c>
      <c r="L189" s="46" t="s">
        <v>1866</v>
      </c>
      <c r="M189" s="46" t="s">
        <v>1867</v>
      </c>
      <c r="N189" s="46" t="s">
        <v>1562</v>
      </c>
      <c r="O189" s="389"/>
      <c r="P189" s="389"/>
      <c r="Q189" s="45"/>
      <c r="R189" s="46">
        <v>2.0</v>
      </c>
      <c r="S189" s="45"/>
      <c r="T189" s="46" t="s">
        <v>1645</v>
      </c>
      <c r="U189" s="44">
        <v>71.0</v>
      </c>
      <c r="V189" s="44">
        <v>16.0</v>
      </c>
      <c r="W189" s="389"/>
      <c r="X189" s="44">
        <v>30.0</v>
      </c>
      <c r="Y189" s="44">
        <v>11.32028</v>
      </c>
      <c r="Z189" s="44">
        <v>1.453662</v>
      </c>
      <c r="AA189" s="44">
        <v>4.062535</v>
      </c>
      <c r="AB189" s="44">
        <v>2.25</v>
      </c>
      <c r="AC189" s="44">
        <v>1.437465</v>
      </c>
      <c r="AD189" s="44">
        <v>0.437465</v>
      </c>
      <c r="AE189" s="44">
        <v>0.408019</v>
      </c>
      <c r="AF189" s="44">
        <v>9.87493</v>
      </c>
      <c r="AG189" s="44">
        <v>0.763</v>
      </c>
      <c r="AH189" s="44">
        <v>2.37</v>
      </c>
      <c r="AI189" s="44">
        <v>1.87507</v>
      </c>
      <c r="AJ189" s="44">
        <v>18.48061</v>
      </c>
      <c r="AK189" s="44">
        <v>-1.00839</v>
      </c>
      <c r="AL189" s="44">
        <v>-0.29224</v>
      </c>
      <c r="AM189" s="44">
        <v>-0.83906</v>
      </c>
      <c r="AN189" s="44">
        <v>-0.71853</v>
      </c>
      <c r="AO189" s="44">
        <v>1.26649</v>
      </c>
      <c r="AP189" s="44">
        <v>-0.56089</v>
      </c>
      <c r="AQ189" s="44">
        <v>-1.17796</v>
      </c>
      <c r="AR189" s="44">
        <v>-0.24427</v>
      </c>
      <c r="AS189" s="44">
        <v>0.023284</v>
      </c>
    </row>
    <row r="190">
      <c r="A190" s="44">
        <v>189.0</v>
      </c>
      <c r="B190" s="44">
        <v>127.0</v>
      </c>
      <c r="C190" s="389"/>
      <c r="D190" s="389"/>
      <c r="E190" s="44">
        <v>-0.39867</v>
      </c>
      <c r="F190" s="44">
        <v>0.030023</v>
      </c>
      <c r="G190" s="44">
        <v>0.221209</v>
      </c>
      <c r="H190" s="389"/>
      <c r="I190" s="46" t="s">
        <v>61</v>
      </c>
      <c r="J190" s="46" t="s">
        <v>428</v>
      </c>
      <c r="K190" s="46" t="s">
        <v>1593</v>
      </c>
      <c r="L190" s="46" t="s">
        <v>1868</v>
      </c>
      <c r="M190" s="389"/>
      <c r="N190" s="46" t="s">
        <v>1570</v>
      </c>
      <c r="O190" s="46" t="s">
        <v>1817</v>
      </c>
      <c r="P190" s="389"/>
      <c r="Q190" s="389"/>
      <c r="R190" s="46">
        <v>2.0</v>
      </c>
      <c r="S190" s="45"/>
      <c r="T190" s="46" t="s">
        <v>1630</v>
      </c>
      <c r="U190" s="44">
        <v>66.0</v>
      </c>
      <c r="V190" s="44">
        <v>14.0</v>
      </c>
      <c r="W190" s="389"/>
      <c r="X190" s="44">
        <v>27.0</v>
      </c>
      <c r="Y190" s="44">
        <v>12.19955</v>
      </c>
      <c r="Z190" s="44">
        <v>2.948182</v>
      </c>
      <c r="AA190" s="44">
        <v>2.613333</v>
      </c>
      <c r="AB190" s="44">
        <v>2.386061</v>
      </c>
      <c r="AC190" s="44">
        <v>0.693939</v>
      </c>
      <c r="AD190" s="44">
        <v>0.112273</v>
      </c>
      <c r="AE190" s="44">
        <v>0.442257</v>
      </c>
      <c r="AF190" s="44">
        <v>9.658788</v>
      </c>
      <c r="AG190" s="44">
        <v>0.889926</v>
      </c>
      <c r="AH190" s="44">
        <v>0.795606</v>
      </c>
      <c r="AI190" s="44">
        <v>1.306667</v>
      </c>
      <c r="AJ190" s="44">
        <v>17.93351</v>
      </c>
      <c r="AK190" s="44">
        <v>-0.85345</v>
      </c>
      <c r="AL190" s="44">
        <v>1.13719</v>
      </c>
      <c r="AM190" s="44">
        <v>-1.43375</v>
      </c>
      <c r="AN190" s="44">
        <v>-0.65289</v>
      </c>
      <c r="AO190" s="44">
        <v>-0.94183</v>
      </c>
      <c r="AP190" s="44">
        <v>-1.14749</v>
      </c>
      <c r="AQ190" s="44">
        <v>-0.66346</v>
      </c>
      <c r="AR190" s="44">
        <v>0.226374</v>
      </c>
      <c r="AS190" s="44">
        <v>0.741267</v>
      </c>
    </row>
    <row r="191">
      <c r="A191" s="44">
        <v>190.0</v>
      </c>
      <c r="B191" s="44">
        <v>115.1143</v>
      </c>
      <c r="C191" s="44">
        <v>100.0</v>
      </c>
      <c r="D191" s="44">
        <v>0.0</v>
      </c>
      <c r="E191" s="44">
        <v>-0.39978</v>
      </c>
      <c r="F191" s="44">
        <v>0.001021</v>
      </c>
      <c r="G191" s="44">
        <v>0.425645</v>
      </c>
      <c r="H191" s="389"/>
      <c r="I191" s="46" t="s">
        <v>145</v>
      </c>
      <c r="J191" s="46" t="s">
        <v>428</v>
      </c>
      <c r="K191" s="46" t="s">
        <v>88</v>
      </c>
      <c r="L191" s="46" t="s">
        <v>1869</v>
      </c>
      <c r="M191" s="389"/>
      <c r="N191" s="46" t="s">
        <v>1570</v>
      </c>
      <c r="O191" s="46" t="s">
        <v>1595</v>
      </c>
      <c r="P191" s="389"/>
      <c r="Q191" s="389"/>
      <c r="R191" s="46">
        <v>2.0</v>
      </c>
      <c r="S191" s="45"/>
      <c r="T191" s="46" t="s">
        <v>1564</v>
      </c>
      <c r="U191" s="44">
        <v>66.0</v>
      </c>
      <c r="V191" s="44">
        <v>14.0</v>
      </c>
      <c r="W191" s="389"/>
      <c r="X191" s="44">
        <v>32.0</v>
      </c>
      <c r="Y191" s="44">
        <v>18.80455</v>
      </c>
      <c r="Z191" s="44">
        <v>2.082727</v>
      </c>
      <c r="AA191" s="44">
        <v>4.04</v>
      </c>
      <c r="AB191" s="44">
        <v>4.309394</v>
      </c>
      <c r="AC191" s="44">
        <v>0.955758</v>
      </c>
      <c r="AD191" s="44">
        <v>0.400303</v>
      </c>
      <c r="AE191" s="44">
        <v>0.445997</v>
      </c>
      <c r="AF191" s="44">
        <v>14.81394</v>
      </c>
      <c r="AG191" s="44">
        <v>0.740012</v>
      </c>
      <c r="AH191" s="44">
        <v>4.740303</v>
      </c>
      <c r="AI191" s="44">
        <v>2.760606</v>
      </c>
      <c r="AJ191" s="44">
        <v>26.29022</v>
      </c>
      <c r="AK191" s="44">
        <v>0.310494</v>
      </c>
      <c r="AL191" s="44">
        <v>0.309428</v>
      </c>
      <c r="AM191" s="44">
        <v>-0.84831</v>
      </c>
      <c r="AN191" s="44">
        <v>0.275022</v>
      </c>
      <c r="AO191" s="44">
        <v>-0.16421</v>
      </c>
      <c r="AP191" s="44">
        <v>-0.62793</v>
      </c>
      <c r="AQ191" s="44">
        <v>-0.9395</v>
      </c>
      <c r="AR191" s="44">
        <v>-0.81773</v>
      </c>
      <c r="AS191" s="44">
        <v>-1.09529</v>
      </c>
    </row>
    <row r="192">
      <c r="A192" s="44">
        <v>191.0</v>
      </c>
      <c r="B192" s="44">
        <v>137.9787</v>
      </c>
      <c r="C192" s="44">
        <v>66.0</v>
      </c>
      <c r="D192" s="44">
        <v>0.0</v>
      </c>
      <c r="E192" s="44">
        <v>-0.40015</v>
      </c>
      <c r="F192" s="44">
        <v>0.003224</v>
      </c>
      <c r="G192" s="44">
        <v>1.094709</v>
      </c>
      <c r="H192" s="389"/>
      <c r="I192" s="46" t="s">
        <v>209</v>
      </c>
      <c r="J192" s="46" t="s">
        <v>308</v>
      </c>
      <c r="K192" s="46" t="s">
        <v>97</v>
      </c>
      <c r="L192" s="46" t="s">
        <v>1870</v>
      </c>
      <c r="M192" s="389"/>
      <c r="N192" s="46" t="s">
        <v>1562</v>
      </c>
      <c r="O192" s="46" t="s">
        <v>1607</v>
      </c>
      <c r="P192" s="389"/>
      <c r="Q192" s="389"/>
      <c r="R192" s="46">
        <v>4.0</v>
      </c>
      <c r="S192" s="45"/>
      <c r="T192" s="46" t="s">
        <v>1630</v>
      </c>
      <c r="U192" s="44">
        <v>71.0</v>
      </c>
      <c r="V192" s="44">
        <v>15.0</v>
      </c>
      <c r="W192" s="389"/>
      <c r="X192" s="44">
        <v>21.0</v>
      </c>
      <c r="Y192" s="44">
        <v>9.181127</v>
      </c>
      <c r="Z192" s="44">
        <v>1.169437</v>
      </c>
      <c r="AA192" s="44">
        <v>3.310141</v>
      </c>
      <c r="AB192" s="44">
        <v>1.004507</v>
      </c>
      <c r="AC192" s="44">
        <v>0.317465</v>
      </c>
      <c r="AD192" s="44">
        <v>1.315493</v>
      </c>
      <c r="AE192" s="44">
        <v>0.50761</v>
      </c>
      <c r="AF192" s="44">
        <v>6.875352</v>
      </c>
      <c r="AG192" s="44">
        <v>0.838005</v>
      </c>
      <c r="AH192" s="44">
        <v>1.231127</v>
      </c>
      <c r="AI192" s="44">
        <v>0.704366</v>
      </c>
      <c r="AJ192" s="44">
        <v>17.27735</v>
      </c>
      <c r="AK192" s="44">
        <v>-1.38536</v>
      </c>
      <c r="AL192" s="44">
        <v>-0.56409</v>
      </c>
      <c r="AM192" s="44">
        <v>-1.14781</v>
      </c>
      <c r="AN192" s="44">
        <v>-1.31942</v>
      </c>
      <c r="AO192" s="44">
        <v>-2.05999</v>
      </c>
      <c r="AP192" s="44">
        <v>1.02295</v>
      </c>
      <c r="AQ192" s="44">
        <v>0.193586</v>
      </c>
      <c r="AR192" s="44">
        <v>0.156714</v>
      </c>
      <c r="AS192" s="44">
        <v>1.502067</v>
      </c>
    </row>
    <row r="193">
      <c r="A193" s="44">
        <v>192.0</v>
      </c>
      <c r="B193" s="389"/>
      <c r="C193" s="389"/>
      <c r="D193" s="389"/>
      <c r="E193" s="44">
        <v>-0.4012</v>
      </c>
      <c r="F193" s="44">
        <v>0.003296</v>
      </c>
      <c r="G193" s="44">
        <v>-0.12262</v>
      </c>
      <c r="H193" s="389"/>
      <c r="I193" s="46" t="s">
        <v>1871</v>
      </c>
      <c r="J193" s="46" t="s">
        <v>299</v>
      </c>
      <c r="K193" s="46" t="s">
        <v>92</v>
      </c>
      <c r="L193" s="46" t="s">
        <v>1872</v>
      </c>
      <c r="M193" s="389"/>
      <c r="N193" s="46" t="s">
        <v>1562</v>
      </c>
      <c r="O193" s="389"/>
      <c r="P193" s="389"/>
      <c r="Q193" s="389"/>
      <c r="R193" s="46">
        <v>2.0</v>
      </c>
      <c r="S193" s="45"/>
      <c r="T193" s="46" t="s">
        <v>1630</v>
      </c>
      <c r="U193" s="44">
        <v>71.0</v>
      </c>
      <c r="V193" s="44">
        <v>13.0</v>
      </c>
      <c r="W193" s="389"/>
      <c r="X193" s="44">
        <v>18.0</v>
      </c>
      <c r="Y193" s="44">
        <v>6.729296</v>
      </c>
      <c r="Z193" s="44">
        <v>0.71493</v>
      </c>
      <c r="AA193" s="44">
        <v>4.87493</v>
      </c>
      <c r="AB193" s="44">
        <v>0.882113</v>
      </c>
      <c r="AC193" s="44">
        <v>0.819014</v>
      </c>
      <c r="AD193" s="44">
        <v>0.973662</v>
      </c>
      <c r="AE193" s="44">
        <v>0.451371</v>
      </c>
      <c r="AF193" s="44">
        <v>5.420423</v>
      </c>
      <c r="AG193" s="44">
        <v>0.765974</v>
      </c>
      <c r="AH193" s="44">
        <v>1.463662</v>
      </c>
      <c r="AI193" s="44">
        <v>0.554085</v>
      </c>
      <c r="AJ193" s="44">
        <v>15.23541</v>
      </c>
      <c r="AK193" s="44">
        <v>-1.81742</v>
      </c>
      <c r="AL193" s="44">
        <v>-0.9988</v>
      </c>
      <c r="AM193" s="44">
        <v>-0.50569</v>
      </c>
      <c r="AN193" s="44">
        <v>-1.37847</v>
      </c>
      <c r="AO193" s="44">
        <v>-0.57035</v>
      </c>
      <c r="AP193" s="44">
        <v>0.406334</v>
      </c>
      <c r="AQ193" s="44">
        <v>-0.29624</v>
      </c>
      <c r="AR193" s="44">
        <v>-0.14208</v>
      </c>
      <c r="AS193" s="44">
        <v>1.691896</v>
      </c>
    </row>
    <row r="194">
      <c r="A194" s="44">
        <v>193.0</v>
      </c>
      <c r="B194" s="389"/>
      <c r="C194" s="389"/>
      <c r="D194" s="389"/>
      <c r="E194" s="44">
        <v>-0.40506</v>
      </c>
      <c r="F194" s="44">
        <v>0.002044</v>
      </c>
      <c r="G194" s="44">
        <v>0.239794</v>
      </c>
      <c r="H194" s="389"/>
      <c r="I194" s="46" t="s">
        <v>1873</v>
      </c>
      <c r="J194" s="46" t="s">
        <v>273</v>
      </c>
      <c r="K194" s="46" t="s">
        <v>1581</v>
      </c>
      <c r="L194" s="46" t="s">
        <v>1874</v>
      </c>
      <c r="M194" s="389"/>
      <c r="N194" s="46" t="s">
        <v>1570</v>
      </c>
      <c r="O194" s="46" t="s">
        <v>1571</v>
      </c>
      <c r="P194" s="389"/>
      <c r="Q194" s="389"/>
      <c r="R194" s="46">
        <v>3.0</v>
      </c>
      <c r="S194" s="45"/>
      <c r="T194" s="46" t="s">
        <v>1630</v>
      </c>
      <c r="U194" s="44">
        <v>66.0</v>
      </c>
      <c r="V194" s="44">
        <v>13.0</v>
      </c>
      <c r="W194" s="389"/>
      <c r="X194" s="44">
        <v>19.0</v>
      </c>
      <c r="Y194" s="44">
        <v>6.164091</v>
      </c>
      <c r="Z194" s="44">
        <v>1.300455</v>
      </c>
      <c r="AA194" s="44">
        <v>6.056212</v>
      </c>
      <c r="AB194" s="44">
        <v>2.826212</v>
      </c>
      <c r="AC194" s="44">
        <v>0.564545</v>
      </c>
      <c r="AD194" s="44">
        <v>0.606061</v>
      </c>
      <c r="AE194" s="44">
        <v>0.437512</v>
      </c>
      <c r="AF194" s="44">
        <v>4.844545</v>
      </c>
      <c r="AG194" s="44">
        <v>0.759956</v>
      </c>
      <c r="AH194" s="44">
        <v>0.821818</v>
      </c>
      <c r="AI194" s="44">
        <v>0.928636</v>
      </c>
      <c r="AJ194" s="44">
        <v>13.82028</v>
      </c>
      <c r="AK194" s="44">
        <v>-1.91702</v>
      </c>
      <c r="AL194" s="44">
        <v>-0.43878</v>
      </c>
      <c r="AM194" s="44">
        <v>-0.02094</v>
      </c>
      <c r="AN194" s="44">
        <v>-0.44054</v>
      </c>
      <c r="AO194" s="44">
        <v>-1.32614</v>
      </c>
      <c r="AP194" s="44">
        <v>-0.25677</v>
      </c>
      <c r="AQ194" s="44">
        <v>-0.3632</v>
      </c>
      <c r="AR194" s="44">
        <v>-0.10089</v>
      </c>
      <c r="AS194" s="44">
        <v>1.218778</v>
      </c>
    </row>
    <row r="195">
      <c r="A195" s="44">
        <v>194.0</v>
      </c>
      <c r="B195" s="389"/>
      <c r="C195" s="389"/>
      <c r="D195" s="389"/>
      <c r="E195" s="44">
        <v>-0.40521</v>
      </c>
      <c r="F195" s="44">
        <v>0.001133</v>
      </c>
      <c r="G195" s="44">
        <v>-0.32705</v>
      </c>
      <c r="H195" s="389"/>
      <c r="I195" s="46" t="s">
        <v>854</v>
      </c>
      <c r="J195" s="46" t="s">
        <v>1578</v>
      </c>
      <c r="K195" s="46" t="s">
        <v>1568</v>
      </c>
      <c r="L195" s="46" t="s">
        <v>1875</v>
      </c>
      <c r="M195" s="46" t="s">
        <v>1876</v>
      </c>
      <c r="N195" s="46" t="s">
        <v>1570</v>
      </c>
      <c r="O195" s="46" t="s">
        <v>1607</v>
      </c>
      <c r="P195" s="389"/>
      <c r="Q195" s="45"/>
      <c r="R195" s="46">
        <v>4.0</v>
      </c>
      <c r="S195" s="45"/>
      <c r="T195" s="46" t="s">
        <v>1630</v>
      </c>
      <c r="U195" s="44">
        <v>53.0</v>
      </c>
      <c r="V195" s="44">
        <v>15.0</v>
      </c>
      <c r="W195" s="389"/>
      <c r="X195" s="44">
        <v>21.0</v>
      </c>
      <c r="Y195" s="44">
        <v>8.981132</v>
      </c>
      <c r="Z195" s="44">
        <v>1.77283</v>
      </c>
      <c r="AA195" s="44">
        <v>3.378302</v>
      </c>
      <c r="AB195" s="44">
        <v>2.728679</v>
      </c>
      <c r="AC195" s="44">
        <v>1.139434</v>
      </c>
      <c r="AD195" s="44">
        <v>0.352075</v>
      </c>
      <c r="AE195" s="44">
        <v>0.402917</v>
      </c>
      <c r="AF195" s="44">
        <v>7.709811</v>
      </c>
      <c r="AG195" s="44">
        <v>0.806975</v>
      </c>
      <c r="AH195" s="44">
        <v>1.233585</v>
      </c>
      <c r="AI195" s="44">
        <v>1.386038</v>
      </c>
      <c r="AJ195" s="44">
        <v>20.01308</v>
      </c>
      <c r="AK195" s="44">
        <v>-1.4206</v>
      </c>
      <c r="AL195" s="44">
        <v>0.013027</v>
      </c>
      <c r="AM195" s="44">
        <v>-1.11984</v>
      </c>
      <c r="AN195" s="44">
        <v>-0.48759</v>
      </c>
      <c r="AO195" s="44">
        <v>0.381317</v>
      </c>
      <c r="AP195" s="44">
        <v>-0.71492</v>
      </c>
      <c r="AQ195" s="44">
        <v>-0.97624</v>
      </c>
      <c r="AR195" s="44">
        <v>0.036946</v>
      </c>
      <c r="AS195" s="44">
        <v>0.641008</v>
      </c>
    </row>
    <row r="196">
      <c r="A196" s="44">
        <v>195.0</v>
      </c>
      <c r="B196" s="389"/>
      <c r="C196" s="389"/>
      <c r="D196" s="389"/>
      <c r="E196" s="44">
        <v>-0.40613</v>
      </c>
      <c r="F196" s="44">
        <v>0.003039</v>
      </c>
      <c r="G196" s="44">
        <v>-0.28988</v>
      </c>
      <c r="H196" s="389"/>
      <c r="I196" s="46" t="s">
        <v>1877</v>
      </c>
      <c r="J196" s="46" t="s">
        <v>1608</v>
      </c>
      <c r="K196" s="46" t="s">
        <v>1581</v>
      </c>
      <c r="L196" s="46" t="s">
        <v>1878</v>
      </c>
      <c r="M196" s="389"/>
      <c r="N196" s="46" t="s">
        <v>1562</v>
      </c>
      <c r="O196" s="46" t="s">
        <v>1729</v>
      </c>
      <c r="P196" s="389"/>
      <c r="Q196" s="389"/>
      <c r="R196" s="46">
        <v>4.0</v>
      </c>
      <c r="S196" s="45"/>
      <c r="T196" s="46" t="s">
        <v>1630</v>
      </c>
      <c r="U196" s="44">
        <v>71.0</v>
      </c>
      <c r="V196" s="44">
        <v>14.0</v>
      </c>
      <c r="W196" s="389"/>
      <c r="X196" s="44">
        <v>26.0</v>
      </c>
      <c r="Y196" s="44">
        <v>10.0407</v>
      </c>
      <c r="Z196" s="44">
        <v>1.281972</v>
      </c>
      <c r="AA196" s="44">
        <v>4.879859</v>
      </c>
      <c r="AB196" s="44">
        <v>2.007324</v>
      </c>
      <c r="AC196" s="44">
        <v>0.78338</v>
      </c>
      <c r="AD196" s="44">
        <v>0.272676</v>
      </c>
      <c r="AE196" s="44">
        <v>0.514476</v>
      </c>
      <c r="AF196" s="44">
        <v>7.292535</v>
      </c>
      <c r="AG196" s="44">
        <v>0.749012</v>
      </c>
      <c r="AH196" s="44">
        <v>1.675634</v>
      </c>
      <c r="AI196" s="44">
        <v>1.196901</v>
      </c>
      <c r="AJ196" s="44">
        <v>15.3989</v>
      </c>
      <c r="AK196" s="44">
        <v>-1.23388</v>
      </c>
      <c r="AL196" s="44">
        <v>-0.45645</v>
      </c>
      <c r="AM196" s="44">
        <v>-0.50367</v>
      </c>
      <c r="AN196" s="44">
        <v>-0.83561</v>
      </c>
      <c r="AO196" s="44">
        <v>-0.67619</v>
      </c>
      <c r="AP196" s="44">
        <v>-0.85815</v>
      </c>
      <c r="AQ196" s="44">
        <v>0.278864</v>
      </c>
      <c r="AR196" s="44">
        <v>-0.24999</v>
      </c>
      <c r="AS196" s="44">
        <v>0.879917</v>
      </c>
    </row>
    <row r="197">
      <c r="A197" s="44">
        <v>196.0</v>
      </c>
      <c r="B197" s="44">
        <v>148.5</v>
      </c>
      <c r="C197" s="44">
        <v>10.0</v>
      </c>
      <c r="D197" s="44">
        <v>0.0</v>
      </c>
      <c r="E197" s="44">
        <v>-0.40729</v>
      </c>
      <c r="F197" s="44">
        <v>0.046639</v>
      </c>
      <c r="G197" s="44">
        <v>0.258379</v>
      </c>
      <c r="H197" s="389"/>
      <c r="I197" s="46" t="s">
        <v>1879</v>
      </c>
      <c r="J197" s="46" t="s">
        <v>449</v>
      </c>
      <c r="K197" s="46" t="s">
        <v>85</v>
      </c>
      <c r="L197" s="46" t="s">
        <v>1880</v>
      </c>
      <c r="M197" s="389"/>
      <c r="N197" s="46" t="s">
        <v>1562</v>
      </c>
      <c r="O197" s="46" t="s">
        <v>1571</v>
      </c>
      <c r="P197" s="389"/>
      <c r="Q197" s="45"/>
      <c r="R197" s="46">
        <v>5.0</v>
      </c>
      <c r="S197" s="45"/>
      <c r="T197" s="46" t="s">
        <v>1630</v>
      </c>
      <c r="U197" s="44">
        <v>71.0</v>
      </c>
      <c r="V197" s="44">
        <v>13.0</v>
      </c>
      <c r="W197" s="389"/>
      <c r="X197" s="44">
        <v>21.0</v>
      </c>
      <c r="Y197" s="44">
        <v>8.987465</v>
      </c>
      <c r="Z197" s="44">
        <v>0.438028</v>
      </c>
      <c r="AA197" s="44">
        <v>2.985915</v>
      </c>
      <c r="AB197" s="44">
        <v>4.501831</v>
      </c>
      <c r="AC197" s="44">
        <v>0.869859</v>
      </c>
      <c r="AD197" s="44">
        <v>0.184085</v>
      </c>
      <c r="AE197" s="44">
        <v>0.489938</v>
      </c>
      <c r="AF197" s="44">
        <v>7.257887</v>
      </c>
      <c r="AG197" s="44">
        <v>0.83004</v>
      </c>
      <c r="AH197" s="44">
        <v>1.731972</v>
      </c>
      <c r="AI197" s="44">
        <v>0.966479</v>
      </c>
      <c r="AJ197" s="44">
        <v>17.66929</v>
      </c>
      <c r="AK197" s="44">
        <v>-1.41948</v>
      </c>
      <c r="AL197" s="44">
        <v>-1.26364</v>
      </c>
      <c r="AM197" s="44">
        <v>-1.28086</v>
      </c>
      <c r="AN197" s="44">
        <v>0.367863</v>
      </c>
      <c r="AO197" s="44">
        <v>-0.41934</v>
      </c>
      <c r="AP197" s="44">
        <v>-1.01796</v>
      </c>
      <c r="AQ197" s="44">
        <v>0.014474</v>
      </c>
      <c r="AR197" s="44">
        <v>0.182376</v>
      </c>
      <c r="AS197" s="44">
        <v>1.170977</v>
      </c>
    </row>
    <row r="198">
      <c r="A198" s="44">
        <v>197.0</v>
      </c>
      <c r="B198" s="44">
        <v>138.1379</v>
      </c>
      <c r="C198" s="44">
        <v>37.0</v>
      </c>
      <c r="D198" s="44">
        <v>0.0</v>
      </c>
      <c r="E198" s="44">
        <v>-0.41285</v>
      </c>
      <c r="F198" s="44">
        <v>8.09E-4</v>
      </c>
      <c r="G198" s="44">
        <v>1.568629</v>
      </c>
      <c r="H198" s="389"/>
      <c r="I198" s="46" t="s">
        <v>1881</v>
      </c>
      <c r="J198" s="46" t="s">
        <v>299</v>
      </c>
      <c r="K198" s="46" t="s">
        <v>1568</v>
      </c>
      <c r="L198" s="46" t="s">
        <v>1882</v>
      </c>
      <c r="M198" s="389"/>
      <c r="N198" s="46" t="s">
        <v>1562</v>
      </c>
      <c r="O198" s="46" t="s">
        <v>1817</v>
      </c>
      <c r="P198" s="389"/>
      <c r="Q198" s="389"/>
      <c r="R198" s="46">
        <v>5.0</v>
      </c>
      <c r="S198" s="45"/>
      <c r="T198" s="46" t="s">
        <v>1630</v>
      </c>
      <c r="U198" s="44">
        <v>71.0</v>
      </c>
      <c r="V198" s="44">
        <v>13.0</v>
      </c>
      <c r="W198" s="389"/>
      <c r="X198" s="44">
        <v>26.0</v>
      </c>
      <c r="Y198" s="44">
        <v>10.56887</v>
      </c>
      <c r="Z198" s="44">
        <v>1.80493</v>
      </c>
      <c r="AA198" s="44">
        <v>3.09831</v>
      </c>
      <c r="AB198" s="44">
        <v>2.877042</v>
      </c>
      <c r="AC198" s="44">
        <v>0.788732</v>
      </c>
      <c r="AD198" s="44">
        <v>0.56338</v>
      </c>
      <c r="AE198" s="44">
        <v>0.424005</v>
      </c>
      <c r="AF198" s="44">
        <v>8.450282</v>
      </c>
      <c r="AG198" s="44">
        <v>0.787971</v>
      </c>
      <c r="AH198" s="44">
        <v>2.028028</v>
      </c>
      <c r="AI198" s="44">
        <v>1.192394</v>
      </c>
      <c r="AJ198" s="44">
        <v>16.7891</v>
      </c>
      <c r="AK198" s="44">
        <v>-1.14081</v>
      </c>
      <c r="AL198" s="44">
        <v>0.043729</v>
      </c>
      <c r="AM198" s="44">
        <v>-1.23474</v>
      </c>
      <c r="AN198" s="44">
        <v>-0.41602</v>
      </c>
      <c r="AO198" s="44">
        <v>-0.66029</v>
      </c>
      <c r="AP198" s="44">
        <v>-0.33376</v>
      </c>
      <c r="AQ198" s="44">
        <v>-0.80742</v>
      </c>
      <c r="AR198" s="44">
        <v>-0.05196</v>
      </c>
      <c r="AS198" s="44">
        <v>0.88561</v>
      </c>
    </row>
    <row r="199">
      <c r="A199" s="44">
        <v>198.0</v>
      </c>
      <c r="B199" s="44">
        <v>143.0476</v>
      </c>
      <c r="C199" s="44">
        <v>34.0</v>
      </c>
      <c r="D199" s="44">
        <v>0.0</v>
      </c>
      <c r="E199" s="44">
        <v>-0.41397</v>
      </c>
      <c r="F199" s="44">
        <v>0.003926</v>
      </c>
      <c r="G199" s="44">
        <v>0.80664</v>
      </c>
      <c r="H199" s="389"/>
      <c r="I199" s="46" t="s">
        <v>1883</v>
      </c>
      <c r="J199" s="46" t="s">
        <v>1560</v>
      </c>
      <c r="K199" s="46" t="s">
        <v>1581</v>
      </c>
      <c r="L199" s="46" t="s">
        <v>1884</v>
      </c>
      <c r="M199" s="389"/>
      <c r="N199" s="46" t="s">
        <v>1570</v>
      </c>
      <c r="O199" s="46" t="s">
        <v>1595</v>
      </c>
      <c r="P199" s="389"/>
      <c r="Q199" s="389"/>
      <c r="R199" s="46">
        <v>3.0</v>
      </c>
      <c r="S199" s="45"/>
      <c r="T199" s="46" t="s">
        <v>1645</v>
      </c>
      <c r="U199" s="44">
        <v>66.0</v>
      </c>
      <c r="V199" s="44">
        <v>14.0</v>
      </c>
      <c r="W199" s="389"/>
      <c r="X199" s="44">
        <v>24.0</v>
      </c>
      <c r="Y199" s="44">
        <v>11.15848</v>
      </c>
      <c r="Z199" s="44">
        <v>0.570455</v>
      </c>
      <c r="AA199" s="44">
        <v>4.845</v>
      </c>
      <c r="AB199" s="44">
        <v>2.04</v>
      </c>
      <c r="AC199" s="44">
        <v>0.81197</v>
      </c>
      <c r="AD199" s="44">
        <v>0.40803</v>
      </c>
      <c r="AE199" s="44">
        <v>0.551717</v>
      </c>
      <c r="AF199" s="44">
        <v>8.364242</v>
      </c>
      <c r="AG199" s="44">
        <v>0.712006</v>
      </c>
      <c r="AH199" s="44">
        <v>1.908182</v>
      </c>
      <c r="AI199" s="44">
        <v>1.326061</v>
      </c>
      <c r="AJ199" s="44">
        <v>18.62892</v>
      </c>
      <c r="AK199" s="44">
        <v>-1.0369</v>
      </c>
      <c r="AL199" s="44">
        <v>-1.13698</v>
      </c>
      <c r="AM199" s="44">
        <v>-0.51797</v>
      </c>
      <c r="AN199" s="44">
        <v>-0.81985</v>
      </c>
      <c r="AO199" s="44">
        <v>-0.59127</v>
      </c>
      <c r="AP199" s="44">
        <v>-0.61399</v>
      </c>
      <c r="AQ199" s="44">
        <v>0.778993</v>
      </c>
      <c r="AR199" s="44">
        <v>-0.50448</v>
      </c>
      <c r="AS199" s="44">
        <v>0.716769</v>
      </c>
    </row>
    <row r="200">
      <c r="A200" s="44">
        <v>199.0</v>
      </c>
      <c r="B200" s="389"/>
      <c r="C200" s="389"/>
      <c r="D200" s="389"/>
      <c r="E200" s="44">
        <v>-0.41435</v>
      </c>
      <c r="F200" s="44">
        <v>0.0038</v>
      </c>
      <c r="G200" s="44">
        <v>1.085417</v>
      </c>
      <c r="H200" s="389"/>
      <c r="I200" s="46" t="s">
        <v>1885</v>
      </c>
      <c r="J200" s="46" t="s">
        <v>490</v>
      </c>
      <c r="K200" s="46" t="s">
        <v>90</v>
      </c>
      <c r="L200" s="46" t="s">
        <v>1886</v>
      </c>
      <c r="M200" s="389"/>
      <c r="N200" s="46" t="s">
        <v>1570</v>
      </c>
      <c r="O200" s="389"/>
      <c r="P200" s="389"/>
      <c r="Q200" s="389"/>
      <c r="R200" s="46">
        <v>4.0</v>
      </c>
      <c r="S200" s="45"/>
      <c r="T200" s="46" t="s">
        <v>1630</v>
      </c>
      <c r="U200" s="44">
        <v>66.0</v>
      </c>
      <c r="V200" s="44">
        <v>16.0</v>
      </c>
      <c r="W200" s="389"/>
      <c r="X200" s="44">
        <v>19.0</v>
      </c>
      <c r="Y200" s="44">
        <v>7.433939</v>
      </c>
      <c r="Z200" s="44">
        <v>0.969242</v>
      </c>
      <c r="AA200" s="44">
        <v>4.933333</v>
      </c>
      <c r="AB200" s="44">
        <v>0.834697</v>
      </c>
      <c r="AC200" s="44">
        <v>0.87303</v>
      </c>
      <c r="AD200" s="44">
        <v>0.538788</v>
      </c>
      <c r="AE200" s="44">
        <v>0.515248</v>
      </c>
      <c r="AF200" s="44">
        <v>5.544545</v>
      </c>
      <c r="AG200" s="44">
        <v>0.71293</v>
      </c>
      <c r="AH200" s="44">
        <v>1.053485</v>
      </c>
      <c r="AI200" s="44">
        <v>0.744091</v>
      </c>
      <c r="AJ200" s="44">
        <v>14.99373</v>
      </c>
      <c r="AK200" s="44">
        <v>-1.69325</v>
      </c>
      <c r="AL200" s="44">
        <v>-0.75556</v>
      </c>
      <c r="AM200" s="44">
        <v>-0.48172</v>
      </c>
      <c r="AN200" s="44">
        <v>-1.40135</v>
      </c>
      <c r="AO200" s="44">
        <v>-0.40992</v>
      </c>
      <c r="AP200" s="44">
        <v>-0.37812</v>
      </c>
      <c r="AQ200" s="44">
        <v>0.220052</v>
      </c>
      <c r="AR200" s="44">
        <v>-0.28118</v>
      </c>
      <c r="AS200" s="44">
        <v>1.451888</v>
      </c>
    </row>
    <row r="201">
      <c r="A201" s="44">
        <v>200.0</v>
      </c>
      <c r="B201" s="44">
        <v>134.6667</v>
      </c>
      <c r="C201" s="44">
        <v>99.0</v>
      </c>
      <c r="D201" s="44">
        <v>0.0</v>
      </c>
      <c r="E201" s="44">
        <v>-0.41804</v>
      </c>
      <c r="F201" s="270">
        <v>0.11904</v>
      </c>
      <c r="G201" s="44">
        <v>1.568629</v>
      </c>
      <c r="H201" s="389"/>
      <c r="I201" s="46" t="s">
        <v>186</v>
      </c>
      <c r="J201" s="46" t="s">
        <v>354</v>
      </c>
      <c r="K201" s="46" t="s">
        <v>1604</v>
      </c>
      <c r="L201" s="46" t="s">
        <v>1887</v>
      </c>
      <c r="M201" s="389"/>
      <c r="N201" s="46" t="s">
        <v>1570</v>
      </c>
      <c r="O201" s="389"/>
      <c r="P201" s="389"/>
      <c r="Q201" s="45"/>
      <c r="R201" s="46">
        <v>2.0</v>
      </c>
      <c r="S201" s="45"/>
      <c r="T201" s="46" t="s">
        <v>1645</v>
      </c>
      <c r="U201" s="44">
        <v>66.0</v>
      </c>
      <c r="V201" s="44">
        <v>15.0</v>
      </c>
      <c r="W201" s="389"/>
      <c r="X201" s="44">
        <v>31.0</v>
      </c>
      <c r="Y201" s="44">
        <v>15.67561</v>
      </c>
      <c r="Z201" s="44">
        <v>1.742273</v>
      </c>
      <c r="AA201" s="44">
        <v>5.321667</v>
      </c>
      <c r="AB201" s="44">
        <v>1.796061</v>
      </c>
      <c r="AC201" s="44">
        <v>0.864697</v>
      </c>
      <c r="AD201" s="44">
        <v>0.798182</v>
      </c>
      <c r="AE201" s="44">
        <v>0.429479</v>
      </c>
      <c r="AF201" s="44">
        <v>14.235</v>
      </c>
      <c r="AG201" s="44">
        <v>0.704984</v>
      </c>
      <c r="AH201" s="44">
        <v>2.42</v>
      </c>
      <c r="AI201" s="44">
        <v>1.862576</v>
      </c>
      <c r="AJ201" s="44">
        <v>23.01255</v>
      </c>
      <c r="AK201" s="44">
        <v>-0.24089</v>
      </c>
      <c r="AL201" s="44">
        <v>-0.0162</v>
      </c>
      <c r="AM201" s="44">
        <v>-0.32237</v>
      </c>
      <c r="AN201" s="44">
        <v>-0.93754</v>
      </c>
      <c r="AO201" s="44">
        <v>-0.43467</v>
      </c>
      <c r="AP201" s="44">
        <v>0.089792</v>
      </c>
      <c r="AQ201" s="44">
        <v>-1.24988</v>
      </c>
      <c r="AR201" s="44">
        <v>-0.68969</v>
      </c>
      <c r="AS201" s="44">
        <v>0.039066</v>
      </c>
    </row>
    <row r="202">
      <c r="A202" s="44">
        <v>201.0</v>
      </c>
      <c r="B202" s="389"/>
      <c r="C202" s="389"/>
      <c r="D202" s="389"/>
      <c r="E202" s="44">
        <v>-0.42403</v>
      </c>
      <c r="F202" s="44">
        <v>0.001967</v>
      </c>
      <c r="G202" s="44">
        <v>-0.34564</v>
      </c>
      <c r="H202" s="389"/>
      <c r="I202" s="46" t="s">
        <v>1888</v>
      </c>
      <c r="J202" s="46" t="s">
        <v>269</v>
      </c>
      <c r="K202" s="46" t="s">
        <v>1568</v>
      </c>
      <c r="L202" s="46" t="s">
        <v>1889</v>
      </c>
      <c r="M202" s="389"/>
      <c r="N202" s="46" t="s">
        <v>1562</v>
      </c>
      <c r="O202" s="46" t="s">
        <v>1853</v>
      </c>
      <c r="P202" s="389"/>
      <c r="Q202" s="45"/>
      <c r="R202" s="46">
        <v>2.0</v>
      </c>
      <c r="S202" s="45"/>
      <c r="T202" s="46" t="s">
        <v>1630</v>
      </c>
      <c r="U202" s="44">
        <v>71.0</v>
      </c>
      <c r="V202" s="44">
        <v>16.0</v>
      </c>
      <c r="W202" s="389"/>
      <c r="X202" s="44">
        <v>26.0</v>
      </c>
      <c r="Y202" s="44">
        <v>10.53634</v>
      </c>
      <c r="Z202" s="44">
        <v>0.975352</v>
      </c>
      <c r="AA202" s="44">
        <v>3.829577</v>
      </c>
      <c r="AB202" s="44">
        <v>2.735352</v>
      </c>
      <c r="AC202" s="44">
        <v>0.887606</v>
      </c>
      <c r="AD202" s="44">
        <v>0.382958</v>
      </c>
      <c r="AE202" s="44">
        <v>0.476666</v>
      </c>
      <c r="AF202" s="44">
        <v>8.589296</v>
      </c>
      <c r="AG202" s="44">
        <v>0.798967</v>
      </c>
      <c r="AH202" s="44">
        <v>1.717887</v>
      </c>
      <c r="AI202" s="44">
        <v>1.367746</v>
      </c>
      <c r="AJ202" s="44">
        <v>17.77311</v>
      </c>
      <c r="AK202" s="44">
        <v>-1.14654</v>
      </c>
      <c r="AL202" s="44">
        <v>-0.74972</v>
      </c>
      <c r="AM202" s="44">
        <v>-0.93466</v>
      </c>
      <c r="AN202" s="44">
        <v>-0.48438</v>
      </c>
      <c r="AO202" s="44">
        <v>-0.36663</v>
      </c>
      <c r="AP202" s="44">
        <v>-0.65922</v>
      </c>
      <c r="AQ202" s="44">
        <v>-0.15259</v>
      </c>
      <c r="AR202" s="44">
        <v>0.013299</v>
      </c>
      <c r="AS202" s="44">
        <v>0.664113</v>
      </c>
    </row>
    <row r="203">
      <c r="A203" s="44">
        <v>202.0</v>
      </c>
      <c r="B203" s="44">
        <v>133.4314</v>
      </c>
      <c r="C203" s="44">
        <v>83.0</v>
      </c>
      <c r="D203" s="44">
        <v>0.0</v>
      </c>
      <c r="E203" s="44">
        <v>-0.42522</v>
      </c>
      <c r="F203" s="44">
        <v>-7.9E-4</v>
      </c>
      <c r="G203" s="44">
        <v>0.193332</v>
      </c>
      <c r="H203" s="389"/>
      <c r="I203" s="46" t="s">
        <v>59</v>
      </c>
      <c r="J203" s="46" t="s">
        <v>278</v>
      </c>
      <c r="K203" s="46" t="s">
        <v>1593</v>
      </c>
      <c r="L203" s="46" t="s">
        <v>1890</v>
      </c>
      <c r="M203" s="389"/>
      <c r="N203" s="46" t="s">
        <v>1570</v>
      </c>
      <c r="O203" s="389"/>
      <c r="P203" s="389"/>
      <c r="Q203" s="389"/>
      <c r="R203" s="46">
        <v>5.0</v>
      </c>
      <c r="S203" s="45"/>
      <c r="T203" s="46" t="s">
        <v>1564</v>
      </c>
      <c r="U203" s="44">
        <v>66.0</v>
      </c>
      <c r="V203" s="44">
        <v>14.0</v>
      </c>
      <c r="W203" s="389"/>
      <c r="X203" s="44">
        <v>26.0</v>
      </c>
      <c r="Y203" s="44">
        <v>12.33727</v>
      </c>
      <c r="Z203" s="44">
        <v>2.696818</v>
      </c>
      <c r="AA203" s="44">
        <v>2.735455</v>
      </c>
      <c r="AB203" s="44">
        <v>1.695909</v>
      </c>
      <c r="AC203" s="44">
        <v>0.593333</v>
      </c>
      <c r="AD203" s="44">
        <v>0.441667</v>
      </c>
      <c r="AE203" s="44">
        <v>0.413114</v>
      </c>
      <c r="AF203" s="44">
        <v>10.83273</v>
      </c>
      <c r="AG203" s="44">
        <v>0.91009</v>
      </c>
      <c r="AH203" s="44">
        <v>0.758333</v>
      </c>
      <c r="AI203" s="44">
        <v>0.93</v>
      </c>
      <c r="AJ203" s="44">
        <v>19.89895</v>
      </c>
      <c r="AK203" s="44">
        <v>-0.82918</v>
      </c>
      <c r="AL203" s="44">
        <v>0.896773</v>
      </c>
      <c r="AM203" s="44">
        <v>-1.38364</v>
      </c>
      <c r="AN203" s="44">
        <v>-0.98585</v>
      </c>
      <c r="AO203" s="44">
        <v>-1.24064</v>
      </c>
      <c r="AP203" s="44">
        <v>-0.55331</v>
      </c>
      <c r="AQ203" s="44">
        <v>-1.21135</v>
      </c>
      <c r="AR203" s="44">
        <v>0.26315</v>
      </c>
      <c r="AS203" s="44">
        <v>1.217056</v>
      </c>
    </row>
    <row r="204">
      <c r="A204" s="44">
        <v>203.0</v>
      </c>
      <c r="B204" s="44">
        <v>145.7778</v>
      </c>
      <c r="C204" s="44">
        <v>7.0</v>
      </c>
      <c r="D204" s="44">
        <v>0.0</v>
      </c>
      <c r="E204" s="44">
        <v>-0.42677</v>
      </c>
      <c r="F204" s="44">
        <v>0.004033</v>
      </c>
      <c r="G204" s="44">
        <v>1.550044</v>
      </c>
      <c r="H204" s="389"/>
      <c r="I204" s="46" t="s">
        <v>1891</v>
      </c>
      <c r="J204" s="46" t="s">
        <v>269</v>
      </c>
      <c r="K204" s="46" t="s">
        <v>97</v>
      </c>
      <c r="L204" s="46" t="s">
        <v>1892</v>
      </c>
      <c r="M204" s="389"/>
      <c r="N204" s="46" t="s">
        <v>1562</v>
      </c>
      <c r="O204" s="46" t="s">
        <v>1689</v>
      </c>
      <c r="P204" s="389"/>
      <c r="Q204" s="389"/>
      <c r="R204" s="46">
        <v>5.0</v>
      </c>
      <c r="S204" s="45"/>
      <c r="T204" s="46" t="s">
        <v>1630</v>
      </c>
      <c r="U204" s="44">
        <v>71.0</v>
      </c>
      <c r="V204" s="44">
        <v>16.0</v>
      </c>
      <c r="W204" s="389"/>
      <c r="X204" s="44">
        <v>18.0</v>
      </c>
      <c r="Y204" s="44">
        <v>9.568169</v>
      </c>
      <c r="Z204" s="44">
        <v>0.129577</v>
      </c>
      <c r="AA204" s="44">
        <v>7.499296</v>
      </c>
      <c r="AB204" s="44">
        <v>1.881972</v>
      </c>
      <c r="AC204" s="44">
        <v>0.378732</v>
      </c>
      <c r="AD204" s="44">
        <v>0.493099</v>
      </c>
      <c r="AE204" s="44">
        <v>0.557903</v>
      </c>
      <c r="AF204" s="44">
        <v>7.120986</v>
      </c>
      <c r="AG204" s="44">
        <v>0.842005</v>
      </c>
      <c r="AH204" s="44">
        <v>1.773099</v>
      </c>
      <c r="AI204" s="44">
        <v>1.327183</v>
      </c>
      <c r="AJ204" s="44">
        <v>22.11464</v>
      </c>
      <c r="AK204" s="44">
        <v>-1.31715</v>
      </c>
      <c r="AL204" s="44">
        <v>-1.55866</v>
      </c>
      <c r="AM204" s="44">
        <v>0.571239</v>
      </c>
      <c r="AN204" s="44">
        <v>-0.89609</v>
      </c>
      <c r="AO204" s="44">
        <v>-1.87802</v>
      </c>
      <c r="AP204" s="44">
        <v>-0.46054</v>
      </c>
      <c r="AQ204" s="44">
        <v>0.729329</v>
      </c>
      <c r="AR204" s="44">
        <v>0.253577</v>
      </c>
      <c r="AS204" s="44">
        <v>0.715351</v>
      </c>
    </row>
    <row r="205">
      <c r="A205" s="44">
        <v>204.0</v>
      </c>
      <c r="B205" s="44">
        <v>124.0</v>
      </c>
      <c r="C205" s="44">
        <v>4.0</v>
      </c>
      <c r="D205" s="44">
        <v>0.0</v>
      </c>
      <c r="E205" s="44">
        <v>-0.42695</v>
      </c>
      <c r="F205" s="270">
        <v>3.84E-5</v>
      </c>
      <c r="G205" s="44">
        <v>0.80664</v>
      </c>
      <c r="H205" s="389"/>
      <c r="I205" s="46" t="s">
        <v>1893</v>
      </c>
      <c r="J205" s="46" t="s">
        <v>317</v>
      </c>
      <c r="K205" s="46" t="s">
        <v>1593</v>
      </c>
      <c r="L205" s="46" t="s">
        <v>1894</v>
      </c>
      <c r="M205" s="46" t="s">
        <v>1895</v>
      </c>
      <c r="N205" s="46" t="s">
        <v>1570</v>
      </c>
      <c r="O205" s="389"/>
      <c r="P205" s="389"/>
      <c r="Q205" s="45"/>
      <c r="R205" s="46">
        <v>4.0</v>
      </c>
      <c r="S205" s="45"/>
      <c r="T205" s="46" t="s">
        <v>1630</v>
      </c>
      <c r="U205" s="44">
        <v>38.0</v>
      </c>
      <c r="V205" s="44">
        <v>14.0</v>
      </c>
      <c r="W205" s="389"/>
      <c r="X205" s="44">
        <v>25.0</v>
      </c>
      <c r="Y205" s="44">
        <v>9.692895</v>
      </c>
      <c r="Z205" s="44">
        <v>2.248421</v>
      </c>
      <c r="AA205" s="44">
        <v>4.261053</v>
      </c>
      <c r="AB205" s="44">
        <v>2.998421</v>
      </c>
      <c r="AC205" s="44">
        <v>0.591842</v>
      </c>
      <c r="AD205" s="44">
        <v>0.207368</v>
      </c>
      <c r="AE205" s="44">
        <v>0.425487</v>
      </c>
      <c r="AF205" s="44">
        <v>7.995789</v>
      </c>
      <c r="AG205" s="44">
        <v>0.800856</v>
      </c>
      <c r="AH205" s="44">
        <v>0.799474</v>
      </c>
      <c r="AI205" s="44">
        <v>1.052105</v>
      </c>
      <c r="AJ205" s="44">
        <v>16.06856</v>
      </c>
      <c r="AK205" s="44">
        <v>-1.29517</v>
      </c>
      <c r="AL205" s="44">
        <v>0.467905</v>
      </c>
      <c r="AM205" s="44">
        <v>-0.7576</v>
      </c>
      <c r="AN205" s="44">
        <v>-0.35746</v>
      </c>
      <c r="AO205" s="44">
        <v>-1.24507</v>
      </c>
      <c r="AP205" s="44">
        <v>-0.97595</v>
      </c>
      <c r="AQ205" s="44">
        <v>-0.7461</v>
      </c>
      <c r="AR205" s="44">
        <v>0.004103</v>
      </c>
      <c r="AS205" s="44">
        <v>1.062818</v>
      </c>
    </row>
    <row r="206">
      <c r="A206" s="44">
        <v>205.0</v>
      </c>
      <c r="B206" s="389"/>
      <c r="C206" s="44">
        <v>1.0</v>
      </c>
      <c r="D206" s="44">
        <v>0.0</v>
      </c>
      <c r="E206" s="44">
        <v>-0.43002</v>
      </c>
      <c r="F206" s="44">
        <v>0.004791</v>
      </c>
      <c r="G206" s="44">
        <v>0.453523</v>
      </c>
      <c r="H206" s="389"/>
      <c r="I206" s="46" t="s">
        <v>1896</v>
      </c>
      <c r="J206" s="46" t="s">
        <v>1560</v>
      </c>
      <c r="K206" s="46" t="s">
        <v>97</v>
      </c>
      <c r="L206" s="46" t="s">
        <v>1897</v>
      </c>
      <c r="M206" s="389"/>
      <c r="N206" s="46" t="s">
        <v>1562</v>
      </c>
      <c r="O206" s="46" t="s">
        <v>1817</v>
      </c>
      <c r="P206" s="389"/>
      <c r="Q206" s="389"/>
      <c r="R206" s="46">
        <v>5.0</v>
      </c>
      <c r="S206" s="45"/>
      <c r="T206" s="46" t="s">
        <v>1630</v>
      </c>
      <c r="U206" s="44">
        <v>71.0</v>
      </c>
      <c r="V206" s="44">
        <v>14.0</v>
      </c>
      <c r="W206" s="389"/>
      <c r="X206" s="44">
        <v>17.0</v>
      </c>
      <c r="Y206" s="44">
        <v>5.980141</v>
      </c>
      <c r="Z206" s="44">
        <v>0.009859</v>
      </c>
      <c r="AA206" s="44">
        <v>5.093662</v>
      </c>
      <c r="AB206" s="44">
        <v>1.192113</v>
      </c>
      <c r="AC206" s="44">
        <v>0.426761</v>
      </c>
      <c r="AD206" s="44">
        <v>0.948028</v>
      </c>
      <c r="AE206" s="44">
        <v>0.684157</v>
      </c>
      <c r="AF206" s="44">
        <v>3.865352</v>
      </c>
      <c r="AG206" s="44">
        <v>0.704999</v>
      </c>
      <c r="AH206" s="44">
        <v>0.966338</v>
      </c>
      <c r="AI206" s="44">
        <v>0.361268</v>
      </c>
      <c r="AJ206" s="44">
        <v>11.61843</v>
      </c>
      <c r="AK206" s="44">
        <v>-1.94944</v>
      </c>
      <c r="AL206" s="44">
        <v>-1.67316</v>
      </c>
      <c r="AM206" s="44">
        <v>-0.41593</v>
      </c>
      <c r="AN206" s="44">
        <v>-1.22891</v>
      </c>
      <c r="AO206" s="44">
        <v>-1.73537</v>
      </c>
      <c r="AP206" s="44">
        <v>0.360094</v>
      </c>
      <c r="AQ206" s="44">
        <v>1.120096</v>
      </c>
      <c r="AR206" s="44">
        <v>-0.28302</v>
      </c>
      <c r="AS206" s="44">
        <v>1.935454</v>
      </c>
    </row>
    <row r="207">
      <c r="A207" s="44">
        <v>206.0</v>
      </c>
      <c r="B207" s="389"/>
      <c r="C207" s="389"/>
      <c r="D207" s="389"/>
      <c r="E207" s="44">
        <v>-0.43029</v>
      </c>
      <c r="F207" s="44">
        <v>-0.07726</v>
      </c>
      <c r="G207" s="44">
        <v>-0.0204</v>
      </c>
      <c r="H207" s="389"/>
      <c r="I207" s="46" t="s">
        <v>828</v>
      </c>
      <c r="J207" s="46" t="s">
        <v>495</v>
      </c>
      <c r="K207" s="46" t="s">
        <v>90</v>
      </c>
      <c r="L207" s="46" t="s">
        <v>1898</v>
      </c>
      <c r="M207" s="389"/>
      <c r="N207" s="46" t="s">
        <v>1570</v>
      </c>
      <c r="O207" s="46" t="s">
        <v>1571</v>
      </c>
      <c r="P207" s="389"/>
      <c r="Q207" s="389"/>
      <c r="R207" s="46">
        <v>3.0</v>
      </c>
      <c r="S207" s="45"/>
      <c r="T207" s="46" t="s">
        <v>1630</v>
      </c>
      <c r="U207" s="44">
        <v>66.0</v>
      </c>
      <c r="V207" s="44">
        <v>14.0</v>
      </c>
      <c r="W207" s="389"/>
      <c r="X207" s="44">
        <v>24.0</v>
      </c>
      <c r="Y207" s="44">
        <v>10.62788</v>
      </c>
      <c r="Z207" s="44">
        <v>1.915455</v>
      </c>
      <c r="AA207" s="44">
        <v>3.563939</v>
      </c>
      <c r="AB207" s="44">
        <v>1.088939</v>
      </c>
      <c r="AC207" s="44">
        <v>0.891061</v>
      </c>
      <c r="AD207" s="44">
        <v>0.398333</v>
      </c>
      <c r="AE207" s="44">
        <v>0.420515</v>
      </c>
      <c r="AF207" s="44">
        <v>8.661818</v>
      </c>
      <c r="AG207" s="44">
        <v>0.824034</v>
      </c>
      <c r="AH207" s="44">
        <v>1.732424</v>
      </c>
      <c r="AI207" s="44">
        <v>0.99</v>
      </c>
      <c r="AJ207" s="44">
        <v>18.65254</v>
      </c>
      <c r="AK207" s="44">
        <v>-1.13041</v>
      </c>
      <c r="AL207" s="44">
        <v>0.14944</v>
      </c>
      <c r="AM207" s="44">
        <v>-1.04366</v>
      </c>
      <c r="AN207" s="44">
        <v>-1.27869</v>
      </c>
      <c r="AO207" s="44">
        <v>-0.35637</v>
      </c>
      <c r="AP207" s="44">
        <v>-0.63148</v>
      </c>
      <c r="AQ207" s="44">
        <v>-0.87247</v>
      </c>
      <c r="AR207" s="44">
        <v>0.149778</v>
      </c>
      <c r="AS207" s="44">
        <v>1.141266</v>
      </c>
    </row>
    <row r="208">
      <c r="A208" s="44">
        <v>207.0</v>
      </c>
      <c r="B208" s="44">
        <v>141.1429</v>
      </c>
      <c r="C208" s="44">
        <v>44.0</v>
      </c>
      <c r="D208" s="44">
        <v>0.0</v>
      </c>
      <c r="E208" s="44">
        <v>-0.43605</v>
      </c>
      <c r="F208" s="44">
        <v>0.002914</v>
      </c>
      <c r="G208" s="44">
        <v>-1.16338</v>
      </c>
      <c r="H208" s="389"/>
      <c r="I208" s="46" t="s">
        <v>57</v>
      </c>
      <c r="J208" s="46" t="s">
        <v>278</v>
      </c>
      <c r="K208" s="46" t="s">
        <v>1899</v>
      </c>
      <c r="L208" s="46" t="s">
        <v>1900</v>
      </c>
      <c r="M208" s="389"/>
      <c r="N208" s="46" t="s">
        <v>1570</v>
      </c>
      <c r="O208" s="46" t="s">
        <v>1571</v>
      </c>
      <c r="P208" s="389"/>
      <c r="Q208" s="389"/>
      <c r="R208" s="46">
        <v>3.0</v>
      </c>
      <c r="S208" s="45"/>
      <c r="T208" s="46" t="s">
        <v>1645</v>
      </c>
      <c r="U208" s="44">
        <v>66.0</v>
      </c>
      <c r="V208" s="44">
        <v>14.0</v>
      </c>
      <c r="W208" s="389"/>
      <c r="X208" s="44">
        <v>27.0</v>
      </c>
      <c r="Y208" s="44">
        <v>12.27576</v>
      </c>
      <c r="Z208" s="44">
        <v>1.365909</v>
      </c>
      <c r="AA208" s="44">
        <v>5.113182</v>
      </c>
      <c r="AB208" s="44">
        <v>1.795</v>
      </c>
      <c r="AC208" s="44">
        <v>0.88197</v>
      </c>
      <c r="AD208" s="44">
        <v>0.625</v>
      </c>
      <c r="AE208" s="44">
        <v>0.4612</v>
      </c>
      <c r="AF208" s="44">
        <v>9.715758</v>
      </c>
      <c r="AG208" s="44">
        <v>0.701993</v>
      </c>
      <c r="AH208" s="44">
        <v>2.775</v>
      </c>
      <c r="AI208" s="44">
        <v>1.533939</v>
      </c>
      <c r="AJ208" s="44">
        <v>19.75489</v>
      </c>
      <c r="AK208" s="44">
        <v>-0.84002</v>
      </c>
      <c r="AL208" s="44">
        <v>-0.37617</v>
      </c>
      <c r="AM208" s="44">
        <v>-0.40792</v>
      </c>
      <c r="AN208" s="44">
        <v>-0.93805</v>
      </c>
      <c r="AO208" s="44">
        <v>-0.38337</v>
      </c>
      <c r="AP208" s="44">
        <v>-0.2226</v>
      </c>
      <c r="AQ208" s="44">
        <v>-0.39552</v>
      </c>
      <c r="AR208" s="44">
        <v>-0.81503</v>
      </c>
      <c r="AS208" s="44">
        <v>0.454185</v>
      </c>
    </row>
    <row r="209">
      <c r="A209" s="44">
        <v>208.0</v>
      </c>
      <c r="B209" s="389"/>
      <c r="C209" s="389"/>
      <c r="D209" s="389"/>
      <c r="E209" s="44">
        <v>-0.43938</v>
      </c>
      <c r="F209" s="44">
        <v>0.128056</v>
      </c>
      <c r="G209" s="44">
        <v>0.137576</v>
      </c>
      <c r="H209" s="389"/>
      <c r="I209" s="46" t="s">
        <v>1901</v>
      </c>
      <c r="J209" s="46" t="s">
        <v>449</v>
      </c>
      <c r="K209" s="46" t="s">
        <v>1593</v>
      </c>
      <c r="L209" s="46" t="s">
        <v>1902</v>
      </c>
      <c r="M209" s="389"/>
      <c r="N209" s="46" t="s">
        <v>1570</v>
      </c>
      <c r="O209" s="46" t="s">
        <v>1689</v>
      </c>
      <c r="P209" s="389"/>
      <c r="Q209" s="45"/>
      <c r="R209" s="46">
        <v>5.0</v>
      </c>
      <c r="S209" s="45"/>
      <c r="T209" s="46" t="s">
        <v>1645</v>
      </c>
      <c r="U209" s="44">
        <v>62.0</v>
      </c>
      <c r="V209" s="44">
        <v>13.0</v>
      </c>
      <c r="W209" s="389"/>
      <c r="X209" s="44">
        <v>26.0</v>
      </c>
      <c r="Y209" s="44">
        <v>9.773226</v>
      </c>
      <c r="Z209" s="44">
        <v>1.257742</v>
      </c>
      <c r="AA209" s="44">
        <v>3.185</v>
      </c>
      <c r="AB209" s="44">
        <v>1.820968</v>
      </c>
      <c r="AC209" s="44">
        <v>0.806129</v>
      </c>
      <c r="AD209" s="44">
        <v>0.451613</v>
      </c>
      <c r="AE209" s="44">
        <v>0.486912</v>
      </c>
      <c r="AF209" s="44">
        <v>7.449839</v>
      </c>
      <c r="AG209" s="44">
        <v>0.70497</v>
      </c>
      <c r="AH209" s="44">
        <v>1.788226</v>
      </c>
      <c r="AI209" s="44">
        <v>0.621613</v>
      </c>
      <c r="AJ209" s="44">
        <v>14.06781</v>
      </c>
      <c r="AK209" s="44">
        <v>-1.28102</v>
      </c>
      <c r="AL209" s="44">
        <v>-0.47963</v>
      </c>
      <c r="AM209" s="44">
        <v>-1.19917</v>
      </c>
      <c r="AN209" s="44">
        <v>-0.92552</v>
      </c>
      <c r="AO209" s="44">
        <v>-0.60862</v>
      </c>
      <c r="AP209" s="44">
        <v>-0.53537</v>
      </c>
      <c r="AQ209" s="44">
        <v>-0.01863</v>
      </c>
      <c r="AR209" s="44">
        <v>-0.51305</v>
      </c>
      <c r="AS209" s="44">
        <v>1.606597</v>
      </c>
    </row>
    <row r="210">
      <c r="A210" s="44">
        <v>209.0</v>
      </c>
      <c r="B210" s="389"/>
      <c r="C210" s="389"/>
      <c r="D210" s="389"/>
      <c r="E210" s="44">
        <v>-0.43972</v>
      </c>
      <c r="F210" s="44">
        <v>0.002619</v>
      </c>
      <c r="G210" s="44">
        <v>0.100406</v>
      </c>
      <c r="H210" s="389"/>
      <c r="I210" s="46" t="s">
        <v>1903</v>
      </c>
      <c r="J210" s="46" t="s">
        <v>375</v>
      </c>
      <c r="K210" s="46" t="s">
        <v>88</v>
      </c>
      <c r="L210" s="46" t="s">
        <v>1904</v>
      </c>
      <c r="M210" s="389"/>
      <c r="N210" s="46" t="s">
        <v>1570</v>
      </c>
      <c r="O210" s="46" t="s">
        <v>1571</v>
      </c>
      <c r="P210" s="389"/>
      <c r="Q210" s="389"/>
      <c r="R210" s="389"/>
      <c r="S210" s="45"/>
      <c r="T210" s="46" t="s">
        <v>1905</v>
      </c>
      <c r="U210" s="44">
        <v>52.0</v>
      </c>
      <c r="V210" s="44">
        <v>15.0</v>
      </c>
      <c r="W210" s="389"/>
      <c r="X210" s="44">
        <v>19.0</v>
      </c>
      <c r="Y210" s="44">
        <v>6.242308</v>
      </c>
      <c r="Z210" s="44">
        <v>0.99</v>
      </c>
      <c r="AA210" s="44">
        <v>2.383077</v>
      </c>
      <c r="AB210" s="44">
        <v>2.058077</v>
      </c>
      <c r="AC210" s="44">
        <v>1.208462</v>
      </c>
      <c r="AD210" s="44">
        <v>0.366923</v>
      </c>
      <c r="AE210" s="44">
        <v>0.462328</v>
      </c>
      <c r="AF210" s="44">
        <v>4.964423</v>
      </c>
      <c r="AG210" s="44">
        <v>0.828998</v>
      </c>
      <c r="AH210" s="44">
        <v>0.798462</v>
      </c>
      <c r="AI210" s="44">
        <v>0.913077</v>
      </c>
      <c r="AJ210" s="44">
        <v>14.51223</v>
      </c>
      <c r="AK210" s="44">
        <v>-1.90324</v>
      </c>
      <c r="AL210" s="44">
        <v>-0.73571</v>
      </c>
      <c r="AM210" s="44">
        <v>-1.52824</v>
      </c>
      <c r="AN210" s="44">
        <v>-0.81113</v>
      </c>
      <c r="AO210" s="44">
        <v>0.586334</v>
      </c>
      <c r="AP210" s="44">
        <v>-0.68814</v>
      </c>
      <c r="AQ210" s="44">
        <v>-0.19035</v>
      </c>
      <c r="AR210" s="44">
        <v>0.074588</v>
      </c>
      <c r="AS210" s="44">
        <v>1.238432</v>
      </c>
    </row>
    <row r="211">
      <c r="A211" s="44">
        <v>210.0</v>
      </c>
      <c r="B211" s="44">
        <v>145.0</v>
      </c>
      <c r="C211" s="389"/>
      <c r="D211" s="389"/>
      <c r="E211" s="44">
        <v>-0.43984</v>
      </c>
      <c r="F211" s="44">
        <v>0.005098</v>
      </c>
      <c r="G211" s="44">
        <v>-2.46434</v>
      </c>
      <c r="H211" s="389"/>
      <c r="I211" s="46" t="s">
        <v>1906</v>
      </c>
      <c r="J211" s="46" t="s">
        <v>442</v>
      </c>
      <c r="K211" s="46" t="s">
        <v>92</v>
      </c>
      <c r="L211" s="46" t="s">
        <v>1907</v>
      </c>
      <c r="M211" s="389"/>
      <c r="N211" s="46" t="s">
        <v>1570</v>
      </c>
      <c r="O211" s="389"/>
      <c r="P211" s="389"/>
      <c r="Q211" s="45"/>
      <c r="R211" s="46">
        <v>4.0</v>
      </c>
      <c r="S211" s="45"/>
      <c r="T211" s="46" t="s">
        <v>1630</v>
      </c>
      <c r="U211" s="44">
        <v>59.0</v>
      </c>
      <c r="V211" s="44">
        <v>14.0</v>
      </c>
      <c r="W211" s="389"/>
      <c r="X211" s="44">
        <v>16.0</v>
      </c>
      <c r="Y211" s="44">
        <v>4.407288</v>
      </c>
      <c r="Z211" s="44">
        <v>0.434068</v>
      </c>
      <c r="AA211" s="44">
        <v>4.638644</v>
      </c>
      <c r="AB211" s="44">
        <v>0.685932</v>
      </c>
      <c r="AC211" s="44">
        <v>0.947288</v>
      </c>
      <c r="AD211" s="44">
        <v>1.172881</v>
      </c>
      <c r="AE211" s="44">
        <v>0.440708</v>
      </c>
      <c r="AF211" s="44">
        <v>3.59322</v>
      </c>
      <c r="AG211" s="44">
        <v>0.717995</v>
      </c>
      <c r="AH211" s="44">
        <v>1.122712</v>
      </c>
      <c r="AI211" s="44">
        <v>0.65339</v>
      </c>
      <c r="AJ211" s="44">
        <v>13.07761</v>
      </c>
      <c r="AK211" s="44">
        <v>-2.22661</v>
      </c>
      <c r="AL211" s="44">
        <v>-1.26743</v>
      </c>
      <c r="AM211" s="44">
        <v>-0.60265</v>
      </c>
      <c r="AN211" s="44">
        <v>-1.47312</v>
      </c>
      <c r="AO211" s="44">
        <v>-0.18937</v>
      </c>
      <c r="AP211" s="44">
        <v>0.765698</v>
      </c>
      <c r="AQ211" s="44">
        <v>-0.25059</v>
      </c>
      <c r="AR211" s="44">
        <v>-0.28097</v>
      </c>
      <c r="AS211" s="44">
        <v>1.566458</v>
      </c>
    </row>
    <row r="212">
      <c r="A212" s="44">
        <v>211.0</v>
      </c>
      <c r="B212" s="389"/>
      <c r="C212" s="389"/>
      <c r="D212" s="389"/>
      <c r="E212" s="44">
        <v>-0.44109</v>
      </c>
      <c r="F212" s="44">
        <v>0.001383</v>
      </c>
      <c r="G212" s="44">
        <v>-1.03329</v>
      </c>
      <c r="H212" s="389"/>
      <c r="I212" s="46" t="s">
        <v>1908</v>
      </c>
      <c r="J212" s="46" t="s">
        <v>386</v>
      </c>
      <c r="K212" s="46" t="s">
        <v>1572</v>
      </c>
      <c r="L212" s="46" t="s">
        <v>1909</v>
      </c>
      <c r="M212" s="46" t="s">
        <v>1910</v>
      </c>
      <c r="N212" s="46" t="s">
        <v>1562</v>
      </c>
      <c r="O212" s="46" t="s">
        <v>1817</v>
      </c>
      <c r="P212" s="389"/>
      <c r="Q212" s="389"/>
      <c r="R212" s="46">
        <v>4.0</v>
      </c>
      <c r="S212" s="45"/>
      <c r="T212" s="46" t="s">
        <v>1630</v>
      </c>
      <c r="U212" s="44">
        <v>68.0</v>
      </c>
      <c r="V212" s="44">
        <v>14.0</v>
      </c>
      <c r="W212" s="389"/>
      <c r="X212" s="44">
        <v>28.0</v>
      </c>
      <c r="Y212" s="44">
        <v>8.950882</v>
      </c>
      <c r="Z212" s="44">
        <v>2.078971</v>
      </c>
      <c r="AA212" s="44">
        <v>3.535</v>
      </c>
      <c r="AB212" s="44">
        <v>1.237206</v>
      </c>
      <c r="AC212" s="44">
        <v>0.920147</v>
      </c>
      <c r="AD212" s="44">
        <v>0.359118</v>
      </c>
      <c r="AE212" s="44">
        <v>0.423434</v>
      </c>
      <c r="AF212" s="44">
        <v>7.658676</v>
      </c>
      <c r="AG212" s="44">
        <v>0.719967</v>
      </c>
      <c r="AH212" s="44">
        <v>0.536176</v>
      </c>
      <c r="AI212" s="44">
        <v>0.895735</v>
      </c>
      <c r="AJ212" s="44">
        <v>12.84331</v>
      </c>
      <c r="AK212" s="44">
        <v>-1.42593</v>
      </c>
      <c r="AL212" s="44">
        <v>0.305835</v>
      </c>
      <c r="AM212" s="44">
        <v>-1.05554</v>
      </c>
      <c r="AN212" s="44">
        <v>-1.20716</v>
      </c>
      <c r="AO212" s="44">
        <v>-0.26998</v>
      </c>
      <c r="AP212" s="44">
        <v>-0.70222</v>
      </c>
      <c r="AQ212" s="44">
        <v>-0.73758</v>
      </c>
      <c r="AR212" s="44">
        <v>-0.13754</v>
      </c>
      <c r="AS212" s="44">
        <v>1.260337</v>
      </c>
    </row>
    <row r="213">
      <c r="A213" s="44">
        <v>212.0</v>
      </c>
      <c r="B213" s="44">
        <v>142.6429</v>
      </c>
      <c r="C213" s="44">
        <v>39.0</v>
      </c>
      <c r="D213" s="44">
        <v>0.0</v>
      </c>
      <c r="E213" s="44">
        <v>-0.44246</v>
      </c>
      <c r="F213" s="44">
        <v>5.99E-4</v>
      </c>
      <c r="G213" s="44">
        <v>1.568629</v>
      </c>
      <c r="H213" s="389"/>
      <c r="I213" s="46" t="s">
        <v>760</v>
      </c>
      <c r="J213" s="46" t="s">
        <v>342</v>
      </c>
      <c r="K213" s="46" t="s">
        <v>1604</v>
      </c>
      <c r="L213" s="46" t="s">
        <v>1911</v>
      </c>
      <c r="M213" s="389"/>
      <c r="N213" s="46" t="s">
        <v>1562</v>
      </c>
      <c r="O213" s="389"/>
      <c r="P213" s="389"/>
      <c r="Q213" s="389"/>
      <c r="R213" s="46">
        <v>2.0</v>
      </c>
      <c r="S213" s="45"/>
      <c r="T213" s="46" t="s">
        <v>1645</v>
      </c>
      <c r="U213" s="44">
        <v>71.0</v>
      </c>
      <c r="V213" s="44">
        <v>16.0</v>
      </c>
      <c r="W213" s="389"/>
      <c r="X213" s="44">
        <v>31.0</v>
      </c>
      <c r="Y213" s="44">
        <v>11.60577</v>
      </c>
      <c r="Z213" s="44">
        <v>1.986761</v>
      </c>
      <c r="AA213" s="44">
        <v>3.422958</v>
      </c>
      <c r="AB213" s="44">
        <v>2.389577</v>
      </c>
      <c r="AC213" s="44">
        <v>0.904225</v>
      </c>
      <c r="AD213" s="44">
        <v>0.193803</v>
      </c>
      <c r="AE213" s="44">
        <v>0.416678</v>
      </c>
      <c r="AF213" s="44">
        <v>9.558169</v>
      </c>
      <c r="AG213" s="44">
        <v>0.865026</v>
      </c>
      <c r="AH213" s="44">
        <v>1.91169</v>
      </c>
      <c r="AI213" s="44">
        <v>1.55</v>
      </c>
      <c r="AJ213" s="44">
        <v>16.55024</v>
      </c>
      <c r="AK213" s="44">
        <v>-0.95808</v>
      </c>
      <c r="AL213" s="44">
        <v>0.21764</v>
      </c>
      <c r="AM213" s="44">
        <v>-1.10152</v>
      </c>
      <c r="AN213" s="44">
        <v>-0.65119</v>
      </c>
      <c r="AO213" s="44">
        <v>-0.31727</v>
      </c>
      <c r="AP213" s="44">
        <v>-1.00042</v>
      </c>
      <c r="AQ213" s="44">
        <v>-1.01767</v>
      </c>
      <c r="AR213" s="44">
        <v>0.412485</v>
      </c>
      <c r="AS213" s="44">
        <v>0.433898</v>
      </c>
    </row>
    <row r="214">
      <c r="A214" s="44">
        <v>213.0</v>
      </c>
      <c r="B214" s="44">
        <v>148.0</v>
      </c>
      <c r="C214" s="44">
        <v>3.0</v>
      </c>
      <c r="D214" s="44">
        <v>0.0</v>
      </c>
      <c r="E214" s="44">
        <v>-0.44471</v>
      </c>
      <c r="F214" s="44">
        <v>0.002141</v>
      </c>
      <c r="G214" s="44">
        <v>0.741592</v>
      </c>
      <c r="H214" s="389"/>
      <c r="I214" s="46" t="s">
        <v>1912</v>
      </c>
      <c r="J214" s="46" t="s">
        <v>308</v>
      </c>
      <c r="K214" s="46" t="s">
        <v>85</v>
      </c>
      <c r="L214" s="46" t="s">
        <v>1913</v>
      </c>
      <c r="M214" s="389"/>
      <c r="N214" s="46" t="s">
        <v>1570</v>
      </c>
      <c r="O214" s="45"/>
      <c r="P214" s="389"/>
      <c r="Q214" s="45"/>
      <c r="R214" s="46">
        <v>3.0</v>
      </c>
      <c r="S214" s="45"/>
      <c r="T214" s="46" t="s">
        <v>1630</v>
      </c>
      <c r="U214" s="44">
        <v>66.0</v>
      </c>
      <c r="V214" s="44">
        <v>15.0</v>
      </c>
      <c r="W214" s="389"/>
      <c r="X214" s="44">
        <v>20.0</v>
      </c>
      <c r="Y214" s="44">
        <v>5.546667</v>
      </c>
      <c r="Z214" s="44">
        <v>0.865758</v>
      </c>
      <c r="AA214" s="44">
        <v>2.829242</v>
      </c>
      <c r="AB214" s="44">
        <v>2.122727</v>
      </c>
      <c r="AC214" s="44">
        <v>1.252879</v>
      </c>
      <c r="AD214" s="44">
        <v>0.332273</v>
      </c>
      <c r="AE214" s="44">
        <v>0.441082</v>
      </c>
      <c r="AF214" s="44">
        <v>5.091818</v>
      </c>
      <c r="AG214" s="44">
        <v>0.8</v>
      </c>
      <c r="AH214" s="44">
        <v>0.236364</v>
      </c>
      <c r="AI214" s="44">
        <v>0.785909</v>
      </c>
      <c r="AJ214" s="44">
        <v>13.36169</v>
      </c>
      <c r="AK214" s="44">
        <v>-2.02583</v>
      </c>
      <c r="AL214" s="44">
        <v>-0.85454</v>
      </c>
      <c r="AM214" s="44">
        <v>-1.34515</v>
      </c>
      <c r="AN214" s="44">
        <v>-0.77994</v>
      </c>
      <c r="AO214" s="44">
        <v>0.718256</v>
      </c>
      <c r="AP214" s="44">
        <v>-0.75064</v>
      </c>
      <c r="AQ214" s="44">
        <v>-0.35524</v>
      </c>
      <c r="AR214" s="44">
        <v>-0.00841</v>
      </c>
      <c r="AS214" s="44">
        <v>1.399065</v>
      </c>
    </row>
    <row r="215">
      <c r="A215" s="44">
        <v>214.0</v>
      </c>
      <c r="B215" s="389"/>
      <c r="C215" s="389"/>
      <c r="D215" s="389"/>
      <c r="E215" s="44">
        <v>-0.4456</v>
      </c>
      <c r="F215" s="44">
        <v>0.010869</v>
      </c>
      <c r="G215" s="44">
        <v>0.704422</v>
      </c>
      <c r="H215" s="389"/>
      <c r="I215" s="46" t="s">
        <v>1914</v>
      </c>
      <c r="J215" s="46" t="s">
        <v>449</v>
      </c>
      <c r="K215" s="46" t="s">
        <v>1581</v>
      </c>
      <c r="L215" s="46" t="s">
        <v>1915</v>
      </c>
      <c r="M215" s="389"/>
      <c r="N215" s="46" t="s">
        <v>1570</v>
      </c>
      <c r="O215" s="46" t="s">
        <v>1648</v>
      </c>
      <c r="P215" s="389"/>
      <c r="Q215" s="389"/>
      <c r="R215" s="46">
        <v>3.0</v>
      </c>
      <c r="S215" s="45"/>
      <c r="T215" s="46" t="s">
        <v>1630</v>
      </c>
      <c r="U215" s="44">
        <v>66.0</v>
      </c>
      <c r="V215" s="44">
        <v>13.0</v>
      </c>
      <c r="W215" s="389"/>
      <c r="X215" s="44">
        <v>18.0</v>
      </c>
      <c r="Y215" s="44">
        <v>8.489697</v>
      </c>
      <c r="Z215" s="44">
        <v>0.667273</v>
      </c>
      <c r="AA215" s="44">
        <v>5.906212</v>
      </c>
      <c r="AB215" s="44">
        <v>2.23303</v>
      </c>
      <c r="AC215" s="44">
        <v>0.517576</v>
      </c>
      <c r="AD215" s="44">
        <v>0.586818</v>
      </c>
      <c r="AE215" s="44">
        <v>0.516853</v>
      </c>
      <c r="AF215" s="44">
        <v>6.221212</v>
      </c>
      <c r="AG215" s="44">
        <v>0.84404</v>
      </c>
      <c r="AH215" s="44">
        <v>1.648636</v>
      </c>
      <c r="AI215" s="44">
        <v>1.417424</v>
      </c>
      <c r="AJ215" s="44">
        <v>19.18644</v>
      </c>
      <c r="AK215" s="44">
        <v>-1.5072</v>
      </c>
      <c r="AL215" s="44">
        <v>-1.04438</v>
      </c>
      <c r="AM215" s="44">
        <v>-0.0825</v>
      </c>
      <c r="AN215" s="44">
        <v>-0.72672</v>
      </c>
      <c r="AO215" s="44">
        <v>-1.46565</v>
      </c>
      <c r="AP215" s="44">
        <v>-0.29148</v>
      </c>
      <c r="AQ215" s="44">
        <v>0.260793</v>
      </c>
      <c r="AR215" s="44">
        <v>0.245409</v>
      </c>
      <c r="AS215" s="44">
        <v>0.601362</v>
      </c>
    </row>
    <row r="216">
      <c r="A216" s="44">
        <v>215.0</v>
      </c>
      <c r="B216" s="389"/>
      <c r="C216" s="45"/>
      <c r="D216" s="45"/>
      <c r="E216" s="44">
        <v>-0.44968</v>
      </c>
      <c r="F216" s="44">
        <v>6.61E-4</v>
      </c>
      <c r="G216" s="44">
        <v>0.871688</v>
      </c>
      <c r="H216" s="389"/>
      <c r="I216" s="46" t="s">
        <v>1916</v>
      </c>
      <c r="J216" s="46" t="s">
        <v>324</v>
      </c>
      <c r="K216" s="46" t="s">
        <v>1572</v>
      </c>
      <c r="L216" s="46" t="s">
        <v>1917</v>
      </c>
      <c r="M216" s="389"/>
      <c r="N216" s="46" t="s">
        <v>1562</v>
      </c>
      <c r="O216" s="389"/>
      <c r="P216" s="389"/>
      <c r="Q216" s="389"/>
      <c r="R216" s="46">
        <v>4.0</v>
      </c>
      <c r="S216" s="45"/>
      <c r="T216" s="46" t="s">
        <v>1630</v>
      </c>
      <c r="U216" s="44">
        <v>71.0</v>
      </c>
      <c r="V216" s="44">
        <v>16.0</v>
      </c>
      <c r="W216" s="389"/>
      <c r="X216" s="44">
        <v>21.0</v>
      </c>
      <c r="Y216" s="44">
        <v>8.330141</v>
      </c>
      <c r="Z216" s="44">
        <v>2.183944</v>
      </c>
      <c r="AA216" s="44">
        <v>3.46507</v>
      </c>
      <c r="AB216" s="44">
        <v>2.338873</v>
      </c>
      <c r="AC216" s="44">
        <v>0.728732</v>
      </c>
      <c r="AD216" s="44">
        <v>0.392254</v>
      </c>
      <c r="AE216" s="44">
        <v>0.414646</v>
      </c>
      <c r="AF216" s="44">
        <v>7.016338</v>
      </c>
      <c r="AG216" s="44">
        <v>0.667049</v>
      </c>
      <c r="AH216" s="44">
        <v>0.491127</v>
      </c>
      <c r="AI216" s="44">
        <v>0.866197</v>
      </c>
      <c r="AJ216" s="44">
        <v>16.84745</v>
      </c>
      <c r="AK216" s="44">
        <v>-1.53532</v>
      </c>
      <c r="AL216" s="44">
        <v>0.406236</v>
      </c>
      <c r="AM216" s="44">
        <v>-1.08424</v>
      </c>
      <c r="AN216" s="44">
        <v>-0.67566</v>
      </c>
      <c r="AO216" s="44">
        <v>-0.8385</v>
      </c>
      <c r="AP216" s="44">
        <v>-0.64245</v>
      </c>
      <c r="AQ216" s="44">
        <v>-0.76621</v>
      </c>
      <c r="AR216" s="44">
        <v>-0.2086</v>
      </c>
      <c r="AS216" s="44">
        <v>1.297649</v>
      </c>
    </row>
    <row r="217">
      <c r="A217" s="44">
        <v>216.0</v>
      </c>
      <c r="B217" s="389"/>
      <c r="C217" s="389"/>
      <c r="D217" s="389"/>
      <c r="E217" s="44">
        <v>-0.45375</v>
      </c>
      <c r="F217" s="44">
        <v>-0.05004</v>
      </c>
      <c r="G217" s="44">
        <v>-0.84743</v>
      </c>
      <c r="H217" s="389"/>
      <c r="I217" s="46" t="s">
        <v>872</v>
      </c>
      <c r="J217" s="46" t="s">
        <v>283</v>
      </c>
      <c r="K217" s="46" t="s">
        <v>1568</v>
      </c>
      <c r="L217" s="46" t="s">
        <v>1918</v>
      </c>
      <c r="M217" s="389"/>
      <c r="N217" s="46" t="s">
        <v>1570</v>
      </c>
      <c r="O217" s="46" t="s">
        <v>1729</v>
      </c>
      <c r="P217" s="389"/>
      <c r="Q217" s="45"/>
      <c r="R217" s="46">
        <v>2.0</v>
      </c>
      <c r="S217" s="45"/>
      <c r="T217" s="46" t="s">
        <v>1645</v>
      </c>
      <c r="U217" s="44">
        <v>56.0</v>
      </c>
      <c r="V217" s="44">
        <v>14.0</v>
      </c>
      <c r="W217" s="389"/>
      <c r="X217" s="44">
        <v>25.0</v>
      </c>
      <c r="Y217" s="44">
        <v>8.720714</v>
      </c>
      <c r="Z217" s="44">
        <v>1.416071</v>
      </c>
      <c r="AA217" s="44">
        <v>2.347857</v>
      </c>
      <c r="AB217" s="44">
        <v>3.744643</v>
      </c>
      <c r="AC217" s="44">
        <v>1.395893</v>
      </c>
      <c r="AD217" s="44">
        <v>0.253214</v>
      </c>
      <c r="AE217" s="44">
        <v>0.394928</v>
      </c>
      <c r="AF217" s="44">
        <v>7.759107</v>
      </c>
      <c r="AG217" s="44">
        <v>0.75797</v>
      </c>
      <c r="AH217" s="44">
        <v>1.551607</v>
      </c>
      <c r="AI217" s="44">
        <v>1.684286</v>
      </c>
      <c r="AJ217" s="44">
        <v>17.98049</v>
      </c>
      <c r="AK217" s="44">
        <v>-1.46649</v>
      </c>
      <c r="AL217" s="44">
        <v>-0.32819</v>
      </c>
      <c r="AM217" s="44">
        <v>-1.54269</v>
      </c>
      <c r="AN217" s="44">
        <v>0.002557</v>
      </c>
      <c r="AO217" s="44">
        <v>1.143018</v>
      </c>
      <c r="AP217" s="44">
        <v>-0.89325</v>
      </c>
      <c r="AQ217" s="44">
        <v>-1.07411</v>
      </c>
      <c r="AR217" s="44">
        <v>-0.18882</v>
      </c>
      <c r="AS217" s="44">
        <v>0.264275</v>
      </c>
    </row>
    <row r="218">
      <c r="A218" s="44">
        <v>217.0</v>
      </c>
      <c r="B218" s="389"/>
      <c r="C218" s="389"/>
      <c r="D218" s="389"/>
      <c r="E218" s="44">
        <v>-0.45499</v>
      </c>
      <c r="F218" s="44">
        <v>1.39E-4</v>
      </c>
      <c r="G218" s="44">
        <v>-0.35493</v>
      </c>
      <c r="H218" s="389"/>
      <c r="I218" s="46" t="s">
        <v>1919</v>
      </c>
      <c r="J218" s="46" t="s">
        <v>365</v>
      </c>
      <c r="K218" s="46" t="s">
        <v>85</v>
      </c>
      <c r="L218" s="46" t="s">
        <v>1920</v>
      </c>
      <c r="M218" s="389"/>
      <c r="N218" s="46" t="s">
        <v>1570</v>
      </c>
      <c r="O218" s="46" t="s">
        <v>1648</v>
      </c>
      <c r="P218" s="389"/>
      <c r="Q218" s="45"/>
      <c r="R218" s="46">
        <v>3.0</v>
      </c>
      <c r="S218" s="45"/>
      <c r="T218" s="46" t="s">
        <v>1645</v>
      </c>
      <c r="U218" s="44">
        <v>60.0</v>
      </c>
      <c r="V218" s="44">
        <v>13.0</v>
      </c>
      <c r="W218" s="389"/>
      <c r="X218" s="44">
        <v>23.0</v>
      </c>
      <c r="Y218" s="44">
        <v>7.2275</v>
      </c>
      <c r="Z218" s="44">
        <v>1.507333</v>
      </c>
      <c r="AA218" s="44">
        <v>2.3245</v>
      </c>
      <c r="AB218" s="44">
        <v>4.124167</v>
      </c>
      <c r="AC218" s="44">
        <v>0.8065</v>
      </c>
      <c r="AD218" s="44">
        <v>0.190833</v>
      </c>
      <c r="AE218" s="44">
        <v>0.422494</v>
      </c>
      <c r="AF218" s="44">
        <v>5.739333</v>
      </c>
      <c r="AG218" s="44">
        <v>0.892058</v>
      </c>
      <c r="AH218" s="44">
        <v>0.975833</v>
      </c>
      <c r="AI218" s="44">
        <v>1.001</v>
      </c>
      <c r="AJ218" s="44">
        <v>13.52952</v>
      </c>
      <c r="AK218" s="44">
        <v>-1.72963</v>
      </c>
      <c r="AL218" s="44">
        <v>-0.24091</v>
      </c>
      <c r="AM218" s="44">
        <v>-1.55228</v>
      </c>
      <c r="AN218" s="44">
        <v>0.185659</v>
      </c>
      <c r="AO218" s="44">
        <v>-0.60752</v>
      </c>
      <c r="AP218" s="44">
        <v>-1.00578</v>
      </c>
      <c r="AQ218" s="44">
        <v>-0.55893</v>
      </c>
      <c r="AR218" s="44">
        <v>0.287075</v>
      </c>
      <c r="AS218" s="44">
        <v>1.127372</v>
      </c>
    </row>
    <row r="219">
      <c r="A219" s="44">
        <v>218.0</v>
      </c>
      <c r="B219" s="44">
        <v>145.8</v>
      </c>
      <c r="C219" s="44">
        <v>6.0</v>
      </c>
      <c r="D219" s="44">
        <v>0.0</v>
      </c>
      <c r="E219" s="44">
        <v>-0.46639</v>
      </c>
      <c r="F219" s="44">
        <v>0.004902</v>
      </c>
      <c r="G219" s="44">
        <v>-0.62441</v>
      </c>
      <c r="H219" s="389"/>
      <c r="I219" s="46" t="s">
        <v>1921</v>
      </c>
      <c r="J219" s="46" t="s">
        <v>379</v>
      </c>
      <c r="K219" s="46" t="s">
        <v>92</v>
      </c>
      <c r="L219" s="46" t="s">
        <v>1922</v>
      </c>
      <c r="M219" s="46" t="s">
        <v>1923</v>
      </c>
      <c r="N219" s="46" t="s">
        <v>1570</v>
      </c>
      <c r="O219" s="389"/>
      <c r="P219" s="389"/>
      <c r="Q219" s="389"/>
      <c r="R219" s="46">
        <v>3.0</v>
      </c>
      <c r="S219" s="45"/>
      <c r="T219" s="46" t="s">
        <v>1630</v>
      </c>
      <c r="U219" s="44">
        <v>46.0</v>
      </c>
      <c r="V219" s="44">
        <v>14.0</v>
      </c>
      <c r="W219" s="389"/>
      <c r="X219" s="44">
        <v>16.0</v>
      </c>
      <c r="Y219" s="44">
        <v>7.913696</v>
      </c>
      <c r="Z219" s="44">
        <v>0.011087</v>
      </c>
      <c r="AA219" s="44">
        <v>4.48</v>
      </c>
      <c r="AB219" s="44">
        <v>1.155</v>
      </c>
      <c r="AC219" s="44">
        <v>0.621304</v>
      </c>
      <c r="AD219" s="44">
        <v>0.529348</v>
      </c>
      <c r="AE219" s="44">
        <v>0.665204</v>
      </c>
      <c r="AF219" s="44">
        <v>5.250435</v>
      </c>
      <c r="AG219" s="44">
        <v>0.688081</v>
      </c>
      <c r="AH219" s="44">
        <v>1.333261</v>
      </c>
      <c r="AI219" s="44">
        <v>0.59913</v>
      </c>
      <c r="AJ219" s="44">
        <v>16.34</v>
      </c>
      <c r="AK219" s="44">
        <v>-1.60871</v>
      </c>
      <c r="AL219" s="44">
        <v>-1.67199</v>
      </c>
      <c r="AM219" s="44">
        <v>-0.66775</v>
      </c>
      <c r="AN219" s="44">
        <v>-1.24682</v>
      </c>
      <c r="AO219" s="44">
        <v>-1.15756</v>
      </c>
      <c r="AP219" s="44">
        <v>-0.39515</v>
      </c>
      <c r="AQ219" s="44">
        <v>1.37191</v>
      </c>
      <c r="AR219" s="44">
        <v>-0.45642</v>
      </c>
      <c r="AS219" s="44">
        <v>1.634996</v>
      </c>
    </row>
    <row r="220">
      <c r="A220" s="44">
        <v>219.0</v>
      </c>
      <c r="B220" s="389"/>
      <c r="C220" s="389"/>
      <c r="D220" s="389"/>
      <c r="E220" s="44">
        <v>-0.46989</v>
      </c>
      <c r="F220" s="44">
        <v>-2.4E-4</v>
      </c>
      <c r="G220" s="44">
        <v>1.345608</v>
      </c>
      <c r="H220" s="389"/>
      <c r="I220" s="46" t="s">
        <v>1924</v>
      </c>
      <c r="J220" s="46" t="s">
        <v>386</v>
      </c>
      <c r="K220" s="46" t="s">
        <v>85</v>
      </c>
      <c r="L220" s="46" t="s">
        <v>1925</v>
      </c>
      <c r="M220" s="389"/>
      <c r="N220" s="46" t="s">
        <v>1562</v>
      </c>
      <c r="O220" s="46" t="s">
        <v>1776</v>
      </c>
      <c r="P220" s="389"/>
      <c r="Q220" s="45"/>
      <c r="R220" s="46">
        <v>4.0</v>
      </c>
      <c r="S220" s="45"/>
      <c r="T220" s="46" t="s">
        <v>1630</v>
      </c>
      <c r="U220" s="44">
        <v>71.0</v>
      </c>
      <c r="V220" s="44">
        <v>14.0</v>
      </c>
      <c r="W220" s="389"/>
      <c r="X220" s="44">
        <v>22.0</v>
      </c>
      <c r="Y220" s="44">
        <v>10.82338</v>
      </c>
      <c r="Z220" s="44">
        <v>2.386338</v>
      </c>
      <c r="AA220" s="44">
        <v>1.944225</v>
      </c>
      <c r="AB220" s="44">
        <v>2.40662</v>
      </c>
      <c r="AC220" s="44">
        <v>0.648028</v>
      </c>
      <c r="AD220" s="44">
        <v>0.231408</v>
      </c>
      <c r="AE220" s="44">
        <v>0.426911</v>
      </c>
      <c r="AF220" s="44">
        <v>8.79493</v>
      </c>
      <c r="AG220" s="44">
        <v>0.87897</v>
      </c>
      <c r="AH220" s="44">
        <v>1.055493</v>
      </c>
      <c r="AI220" s="44">
        <v>0.972113</v>
      </c>
      <c r="AJ220" s="44">
        <v>19.02589</v>
      </c>
      <c r="AK220" s="44">
        <v>-1.09596</v>
      </c>
      <c r="AL220" s="44">
        <v>0.599815</v>
      </c>
      <c r="AM220" s="44">
        <v>-1.70833</v>
      </c>
      <c r="AN220" s="44">
        <v>-0.64297</v>
      </c>
      <c r="AO220" s="44">
        <v>-1.07819</v>
      </c>
      <c r="AP220" s="44">
        <v>-0.93259</v>
      </c>
      <c r="AQ220" s="44">
        <v>-0.80289</v>
      </c>
      <c r="AR220" s="44">
        <v>0.268205</v>
      </c>
      <c r="AS220" s="44">
        <v>1.163861</v>
      </c>
    </row>
    <row r="221">
      <c r="A221" s="44">
        <v>220.0</v>
      </c>
      <c r="B221" s="389"/>
      <c r="C221" s="389"/>
      <c r="D221" s="389"/>
      <c r="E221" s="44">
        <v>-0.48164</v>
      </c>
      <c r="F221" s="44">
        <v>-0.01003</v>
      </c>
      <c r="G221" s="44">
        <v>-0.0204</v>
      </c>
      <c r="H221" s="389"/>
      <c r="I221" s="46" t="s">
        <v>1926</v>
      </c>
      <c r="J221" s="46" t="s">
        <v>495</v>
      </c>
      <c r="K221" s="46" t="s">
        <v>1581</v>
      </c>
      <c r="L221" s="46" t="s">
        <v>1927</v>
      </c>
      <c r="M221" s="389"/>
      <c r="N221" s="46" t="s">
        <v>1570</v>
      </c>
      <c r="O221" s="45"/>
      <c r="P221" s="389"/>
      <c r="Q221" s="389"/>
      <c r="R221" s="46">
        <v>2.0</v>
      </c>
      <c r="S221" s="45"/>
      <c r="T221" s="46" t="s">
        <v>1630</v>
      </c>
      <c r="U221" s="44">
        <v>66.0</v>
      </c>
      <c r="V221" s="44">
        <v>14.0</v>
      </c>
      <c r="W221" s="389"/>
      <c r="X221" s="44">
        <v>24.0</v>
      </c>
      <c r="Y221" s="44">
        <v>11.26</v>
      </c>
      <c r="Z221" s="44">
        <v>1.874091</v>
      </c>
      <c r="AA221" s="44">
        <v>4.356061</v>
      </c>
      <c r="AB221" s="44">
        <v>1.019394</v>
      </c>
      <c r="AC221" s="44">
        <v>0.550758</v>
      </c>
      <c r="AD221" s="44">
        <v>0.643485</v>
      </c>
      <c r="AE221" s="44">
        <v>0.401847</v>
      </c>
      <c r="AF221" s="44">
        <v>9.206364</v>
      </c>
      <c r="AG221" s="44">
        <v>0.829989</v>
      </c>
      <c r="AH221" s="44">
        <v>2.393788</v>
      </c>
      <c r="AI221" s="44">
        <v>1.033182</v>
      </c>
      <c r="AJ221" s="44">
        <v>20.22642</v>
      </c>
      <c r="AK221" s="44">
        <v>-1.01902</v>
      </c>
      <c r="AL221" s="44">
        <v>0.109878</v>
      </c>
      <c r="AM221" s="44">
        <v>-0.71861</v>
      </c>
      <c r="AN221" s="44">
        <v>-1.31224</v>
      </c>
      <c r="AO221" s="44">
        <v>-1.36709</v>
      </c>
      <c r="AP221" s="44">
        <v>-0.18926</v>
      </c>
      <c r="AQ221" s="44">
        <v>-1.18167</v>
      </c>
      <c r="AR221" s="44">
        <v>0.256563</v>
      </c>
      <c r="AS221" s="44">
        <v>1.086721</v>
      </c>
    </row>
    <row r="222">
      <c r="A222" s="44">
        <v>221.0</v>
      </c>
      <c r="B222" s="389"/>
      <c r="C222" s="389"/>
      <c r="D222" s="389"/>
      <c r="E222" s="44">
        <v>-0.48219</v>
      </c>
      <c r="F222" s="44">
        <v>0.001932</v>
      </c>
      <c r="G222" s="44">
        <v>0.072528</v>
      </c>
      <c r="H222" s="389"/>
      <c r="I222" s="46" t="s">
        <v>1928</v>
      </c>
      <c r="J222" s="46" t="s">
        <v>278</v>
      </c>
      <c r="K222" s="46" t="s">
        <v>1572</v>
      </c>
      <c r="L222" s="46" t="s">
        <v>1929</v>
      </c>
      <c r="M222" s="389"/>
      <c r="N222" s="46" t="s">
        <v>1562</v>
      </c>
      <c r="O222" s="45"/>
      <c r="P222" s="389"/>
      <c r="Q222" s="45"/>
      <c r="R222" s="46">
        <v>3.0</v>
      </c>
      <c r="S222" s="45"/>
      <c r="T222" s="46" t="s">
        <v>1630</v>
      </c>
      <c r="U222" s="44">
        <v>71.0</v>
      </c>
      <c r="V222" s="44">
        <v>14.0</v>
      </c>
      <c r="W222" s="389"/>
      <c r="X222" s="44">
        <v>25.0</v>
      </c>
      <c r="Y222" s="44">
        <v>10.52915</v>
      </c>
      <c r="Z222" s="44">
        <v>0.972254</v>
      </c>
      <c r="AA222" s="44">
        <v>4.629155</v>
      </c>
      <c r="AB222" s="44">
        <v>2.49</v>
      </c>
      <c r="AC222" s="44">
        <v>0.860704</v>
      </c>
      <c r="AD222" s="44">
        <v>0.161831</v>
      </c>
      <c r="AE222" s="44">
        <v>0.468358</v>
      </c>
      <c r="AF222" s="44">
        <v>8.626479</v>
      </c>
      <c r="AG222" s="44">
        <v>0.791991</v>
      </c>
      <c r="AH222" s="44">
        <v>1.864085</v>
      </c>
      <c r="AI222" s="44">
        <v>1.450845</v>
      </c>
      <c r="AJ222" s="44">
        <v>18.64384</v>
      </c>
      <c r="AK222" s="44">
        <v>-1.14781</v>
      </c>
      <c r="AL222" s="44">
        <v>-0.75268</v>
      </c>
      <c r="AM222" s="44">
        <v>-0.60655</v>
      </c>
      <c r="AN222" s="44">
        <v>-0.60275</v>
      </c>
      <c r="AO222" s="44">
        <v>-0.44653</v>
      </c>
      <c r="AP222" s="44">
        <v>-1.0581</v>
      </c>
      <c r="AQ222" s="44">
        <v>-0.25915</v>
      </c>
      <c r="AR222" s="44">
        <v>-0.02529</v>
      </c>
      <c r="AS222" s="44">
        <v>0.559147</v>
      </c>
    </row>
    <row r="223">
      <c r="A223" s="44">
        <v>222.0</v>
      </c>
      <c r="B223" s="389"/>
      <c r="C223" s="389"/>
      <c r="D223" s="389"/>
      <c r="E223" s="44">
        <v>-0.4829</v>
      </c>
      <c r="F223" s="44">
        <v>-0.08756</v>
      </c>
      <c r="G223" s="44">
        <v>-0.46644</v>
      </c>
      <c r="H223" s="389"/>
      <c r="I223" s="46" t="s">
        <v>1930</v>
      </c>
      <c r="J223" s="46" t="s">
        <v>449</v>
      </c>
      <c r="K223" s="46" t="s">
        <v>97</v>
      </c>
      <c r="L223" s="46" t="s">
        <v>1931</v>
      </c>
      <c r="M223" s="389"/>
      <c r="N223" s="46" t="s">
        <v>1570</v>
      </c>
      <c r="O223" s="389"/>
      <c r="P223" s="389"/>
      <c r="Q223" s="45"/>
      <c r="R223" s="46">
        <v>2.0</v>
      </c>
      <c r="S223" s="45"/>
      <c r="T223" s="46" t="s">
        <v>1630</v>
      </c>
      <c r="U223" s="44">
        <v>58.0</v>
      </c>
      <c r="V223" s="44">
        <v>13.0</v>
      </c>
      <c r="W223" s="389"/>
      <c r="X223" s="44">
        <v>15.0</v>
      </c>
      <c r="Y223" s="44">
        <v>8.184483</v>
      </c>
      <c r="Z223" s="44">
        <v>0.974655</v>
      </c>
      <c r="AA223" s="44">
        <v>5.775</v>
      </c>
      <c r="AB223" s="44">
        <v>1.048448</v>
      </c>
      <c r="AC223" s="44">
        <v>0.265345</v>
      </c>
      <c r="AD223" s="44">
        <v>0.652069</v>
      </c>
      <c r="AE223" s="44">
        <v>0.499526</v>
      </c>
      <c r="AF223" s="44">
        <v>6.366379</v>
      </c>
      <c r="AG223" s="44">
        <v>0.784929</v>
      </c>
      <c r="AH223" s="44">
        <v>1.082241</v>
      </c>
      <c r="AI223" s="44">
        <v>0.525</v>
      </c>
      <c r="AJ223" s="44">
        <v>20.28074</v>
      </c>
      <c r="AK223" s="44">
        <v>-1.56099</v>
      </c>
      <c r="AL223" s="44">
        <v>-0.75039</v>
      </c>
      <c r="AM223" s="44">
        <v>-0.13634</v>
      </c>
      <c r="AN223" s="44">
        <v>-1.29822</v>
      </c>
      <c r="AO223" s="44">
        <v>-2.21479</v>
      </c>
      <c r="AP223" s="44">
        <v>-0.17378</v>
      </c>
      <c r="AQ223" s="44">
        <v>0.103745</v>
      </c>
      <c r="AR223" s="44">
        <v>-0.04401</v>
      </c>
      <c r="AS223" s="44">
        <v>1.728634</v>
      </c>
    </row>
    <row r="224">
      <c r="A224" s="44">
        <v>223.0</v>
      </c>
      <c r="B224" s="44">
        <v>143.6667</v>
      </c>
      <c r="C224" s="44">
        <v>4.0</v>
      </c>
      <c r="D224" s="44">
        <v>0.0</v>
      </c>
      <c r="E224" s="44">
        <v>-0.48297</v>
      </c>
      <c r="F224" s="44">
        <v>0.001376</v>
      </c>
      <c r="G224" s="44">
        <v>1.568629</v>
      </c>
      <c r="H224" s="389"/>
      <c r="I224" s="46" t="s">
        <v>1932</v>
      </c>
      <c r="J224" s="46" t="s">
        <v>1560</v>
      </c>
      <c r="K224" s="46" t="s">
        <v>1572</v>
      </c>
      <c r="L224" s="46" t="s">
        <v>1933</v>
      </c>
      <c r="M224" s="389"/>
      <c r="N224" s="46" t="s">
        <v>1612</v>
      </c>
      <c r="O224" s="46" t="s">
        <v>1648</v>
      </c>
      <c r="P224" s="389"/>
      <c r="Q224" s="45"/>
      <c r="R224" s="46">
        <v>3.0</v>
      </c>
      <c r="S224" s="45"/>
      <c r="T224" s="46" t="s">
        <v>1645</v>
      </c>
      <c r="U224" s="44">
        <v>75.0</v>
      </c>
      <c r="V224" s="44">
        <v>14.0</v>
      </c>
      <c r="W224" s="389"/>
      <c r="X224" s="44">
        <v>25.0</v>
      </c>
      <c r="Y224" s="44">
        <v>10.23293</v>
      </c>
      <c r="Z224" s="44">
        <v>1.772267</v>
      </c>
      <c r="AA224" s="44">
        <v>3.187467</v>
      </c>
      <c r="AB224" s="44">
        <v>1.328133</v>
      </c>
      <c r="AC224" s="44">
        <v>0.525733</v>
      </c>
      <c r="AD224" s="44">
        <v>0.1604</v>
      </c>
      <c r="AE224" s="44">
        <v>0.482701</v>
      </c>
      <c r="AF224" s="44">
        <v>7.384</v>
      </c>
      <c r="AG224" s="44">
        <v>0.82001</v>
      </c>
      <c r="AH224" s="44">
        <v>1.624533</v>
      </c>
      <c r="AI224" s="44">
        <v>0.5876</v>
      </c>
      <c r="AJ224" s="44">
        <v>14.75279</v>
      </c>
      <c r="AK224" s="44">
        <v>-1.20001</v>
      </c>
      <c r="AL224" s="44">
        <v>0.012488</v>
      </c>
      <c r="AM224" s="44">
        <v>-1.19815</v>
      </c>
      <c r="AN224" s="44">
        <v>-1.16329</v>
      </c>
      <c r="AO224" s="44">
        <v>-1.44142</v>
      </c>
      <c r="AP224" s="44">
        <v>-1.06068</v>
      </c>
      <c r="AQ224" s="44">
        <v>-0.06434</v>
      </c>
      <c r="AR224" s="44">
        <v>0.119145</v>
      </c>
      <c r="AS224" s="44">
        <v>1.649561</v>
      </c>
    </row>
    <row r="225">
      <c r="A225" s="44">
        <v>224.0</v>
      </c>
      <c r="B225" s="44">
        <v>137.4655</v>
      </c>
      <c r="C225" s="44">
        <v>76.0</v>
      </c>
      <c r="D225" s="44">
        <v>0.0</v>
      </c>
      <c r="E225" s="44">
        <v>-0.48326</v>
      </c>
      <c r="F225" s="44">
        <v>-0.05581</v>
      </c>
      <c r="G225" s="44">
        <v>-0.94965</v>
      </c>
      <c r="H225" s="389"/>
      <c r="I225" s="46" t="s">
        <v>131</v>
      </c>
      <c r="J225" s="46" t="s">
        <v>1578</v>
      </c>
      <c r="K225" s="46" t="s">
        <v>1581</v>
      </c>
      <c r="L225" s="46" t="s">
        <v>1934</v>
      </c>
      <c r="M225" s="389"/>
      <c r="N225" s="46" t="s">
        <v>1570</v>
      </c>
      <c r="O225" s="46" t="s">
        <v>1571</v>
      </c>
      <c r="P225" s="389"/>
      <c r="Q225" s="389"/>
      <c r="R225" s="46">
        <v>2.0</v>
      </c>
      <c r="S225" s="45"/>
      <c r="T225" s="46" t="s">
        <v>1630</v>
      </c>
      <c r="U225" s="44">
        <v>66.0</v>
      </c>
      <c r="V225" s="44">
        <v>15.0</v>
      </c>
      <c r="W225" s="389"/>
      <c r="X225" s="44">
        <v>25.0</v>
      </c>
      <c r="Y225" s="44">
        <v>16.08864</v>
      </c>
      <c r="Z225" s="44">
        <v>1.008636</v>
      </c>
      <c r="AA225" s="44">
        <v>5.104697</v>
      </c>
      <c r="AB225" s="44">
        <v>2.347727</v>
      </c>
      <c r="AC225" s="44">
        <v>0.784091</v>
      </c>
      <c r="AD225" s="44">
        <v>0.46</v>
      </c>
      <c r="AE225" s="44">
        <v>0.489767</v>
      </c>
      <c r="AF225" s="44">
        <v>11.75667</v>
      </c>
      <c r="AG225" s="44">
        <v>0.688987</v>
      </c>
      <c r="AH225" s="44">
        <v>5.172727</v>
      </c>
      <c r="AI225" s="44">
        <v>1.484242</v>
      </c>
      <c r="AJ225" s="44">
        <v>27.06346</v>
      </c>
      <c r="AK225" s="44">
        <v>-0.16811</v>
      </c>
      <c r="AL225" s="44">
        <v>-0.71788</v>
      </c>
      <c r="AM225" s="44">
        <v>-0.4114</v>
      </c>
      <c r="AN225" s="44">
        <v>-0.67138</v>
      </c>
      <c r="AO225" s="44">
        <v>-0.67408</v>
      </c>
      <c r="AP225" s="44">
        <v>-0.52024</v>
      </c>
      <c r="AQ225" s="44">
        <v>0.016082</v>
      </c>
      <c r="AR225" s="44">
        <v>-1.71932</v>
      </c>
      <c r="AS225" s="44">
        <v>0.516961</v>
      </c>
    </row>
    <row r="226">
      <c r="A226" s="44">
        <v>225.0</v>
      </c>
      <c r="B226" s="389"/>
      <c r="C226" s="389"/>
      <c r="D226" s="389"/>
      <c r="E226" s="44">
        <v>-0.48558</v>
      </c>
      <c r="F226" s="44">
        <v>0.002728</v>
      </c>
      <c r="G226" s="44">
        <v>0.258379</v>
      </c>
      <c r="H226" s="389"/>
      <c r="I226" s="46" t="s">
        <v>1935</v>
      </c>
      <c r="J226" s="46" t="s">
        <v>386</v>
      </c>
      <c r="K226" s="46" t="s">
        <v>1593</v>
      </c>
      <c r="L226" s="46" t="s">
        <v>1936</v>
      </c>
      <c r="M226" s="389"/>
      <c r="N226" s="46" t="s">
        <v>1570</v>
      </c>
      <c r="O226" s="46" t="s">
        <v>1853</v>
      </c>
      <c r="P226" s="389"/>
      <c r="Q226" s="389"/>
      <c r="R226" s="46">
        <v>4.0</v>
      </c>
      <c r="S226" s="45"/>
      <c r="T226" s="46" t="s">
        <v>1630</v>
      </c>
      <c r="U226" s="44">
        <v>66.0</v>
      </c>
      <c r="V226" s="44">
        <v>14.0</v>
      </c>
      <c r="W226" s="389"/>
      <c r="X226" s="44">
        <v>22.0</v>
      </c>
      <c r="Y226" s="44">
        <v>9.917273</v>
      </c>
      <c r="Z226" s="44">
        <v>1.148788</v>
      </c>
      <c r="AA226" s="44">
        <v>3.008939</v>
      </c>
      <c r="AB226" s="44">
        <v>1.249848</v>
      </c>
      <c r="AC226" s="44">
        <v>1.111061</v>
      </c>
      <c r="AD226" s="44">
        <v>0.596667</v>
      </c>
      <c r="AE226" s="44">
        <v>0.4296</v>
      </c>
      <c r="AF226" s="44">
        <v>7.406818</v>
      </c>
      <c r="AG226" s="44">
        <v>0.735983</v>
      </c>
      <c r="AH226" s="44">
        <v>3.267121</v>
      </c>
      <c r="AI226" s="44">
        <v>0.965</v>
      </c>
      <c r="AJ226" s="44">
        <v>18.24096</v>
      </c>
      <c r="AK226" s="44">
        <v>-1.25563</v>
      </c>
      <c r="AL226" s="44">
        <v>-0.58384</v>
      </c>
      <c r="AM226" s="44">
        <v>-1.27141</v>
      </c>
      <c r="AN226" s="44">
        <v>-1.20106</v>
      </c>
      <c r="AO226" s="44">
        <v>0.297046</v>
      </c>
      <c r="AP226" s="44">
        <v>-0.27371</v>
      </c>
      <c r="AQ226" s="44">
        <v>-0.64562</v>
      </c>
      <c r="AR226" s="44">
        <v>-0.60886</v>
      </c>
      <c r="AS226" s="44">
        <v>1.172845</v>
      </c>
    </row>
    <row r="227">
      <c r="A227" s="44">
        <v>226.0</v>
      </c>
      <c r="B227" s="44">
        <v>146.0</v>
      </c>
      <c r="C227" s="44">
        <v>4.0</v>
      </c>
      <c r="D227" s="44">
        <v>0.0</v>
      </c>
      <c r="E227" s="44">
        <v>-0.48764</v>
      </c>
      <c r="F227" s="44">
        <v>0.004831</v>
      </c>
      <c r="G227" s="44">
        <v>0.88098</v>
      </c>
      <c r="H227" s="389"/>
      <c r="I227" s="46" t="s">
        <v>1937</v>
      </c>
      <c r="J227" s="46" t="s">
        <v>442</v>
      </c>
      <c r="K227" s="46" t="s">
        <v>1568</v>
      </c>
      <c r="L227" s="46" t="s">
        <v>1938</v>
      </c>
      <c r="M227" s="389"/>
      <c r="N227" s="46" t="s">
        <v>1562</v>
      </c>
      <c r="O227" s="45"/>
      <c r="P227" s="389"/>
      <c r="Q227" s="45"/>
      <c r="R227" s="46">
        <v>4.0</v>
      </c>
      <c r="S227" s="45"/>
      <c r="T227" s="46" t="s">
        <v>1630</v>
      </c>
      <c r="U227" s="44">
        <v>71.0</v>
      </c>
      <c r="V227" s="44">
        <v>14.0</v>
      </c>
      <c r="W227" s="389"/>
      <c r="X227" s="44">
        <v>22.0</v>
      </c>
      <c r="Y227" s="44">
        <v>8.22662</v>
      </c>
      <c r="Z227" s="44">
        <v>0.725493</v>
      </c>
      <c r="AA227" s="44">
        <v>3.144225</v>
      </c>
      <c r="AB227" s="44">
        <v>2.245775</v>
      </c>
      <c r="AC227" s="44">
        <v>1.02831</v>
      </c>
      <c r="AD227" s="44">
        <v>0.540563</v>
      </c>
      <c r="AE227" s="44">
        <v>0.453449</v>
      </c>
      <c r="AF227" s="44">
        <v>7.007324</v>
      </c>
      <c r="AG227" s="44">
        <v>0.77898</v>
      </c>
      <c r="AH227" s="44">
        <v>1.471408</v>
      </c>
      <c r="AI227" s="44">
        <v>1.212817</v>
      </c>
      <c r="AJ227" s="44">
        <v>17.79084</v>
      </c>
      <c r="AK227" s="44">
        <v>-1.55356</v>
      </c>
      <c r="AL227" s="44">
        <v>-0.9887</v>
      </c>
      <c r="AM227" s="44">
        <v>-1.2159</v>
      </c>
      <c r="AN227" s="44">
        <v>-0.72057</v>
      </c>
      <c r="AO227" s="44">
        <v>0.051271</v>
      </c>
      <c r="AP227" s="44">
        <v>-0.37492</v>
      </c>
      <c r="AQ227" s="44">
        <v>-0.36352</v>
      </c>
      <c r="AR227" s="44">
        <v>-0.08272</v>
      </c>
      <c r="AS227" s="44">
        <v>0.859814</v>
      </c>
    </row>
    <row r="228">
      <c r="A228" s="44">
        <v>227.0</v>
      </c>
      <c r="B228" s="44">
        <v>148.0</v>
      </c>
      <c r="C228" s="389"/>
      <c r="D228" s="389"/>
      <c r="E228" s="44">
        <v>-0.49003</v>
      </c>
      <c r="F228" s="44">
        <v>0.020573</v>
      </c>
      <c r="G228" s="44">
        <v>1.020369</v>
      </c>
      <c r="H228" s="389"/>
      <c r="I228" s="46" t="s">
        <v>1939</v>
      </c>
      <c r="J228" s="46" t="s">
        <v>495</v>
      </c>
      <c r="K228" s="46" t="s">
        <v>1604</v>
      </c>
      <c r="L228" s="46" t="s">
        <v>1940</v>
      </c>
      <c r="M228" s="389"/>
      <c r="N228" s="46" t="s">
        <v>1570</v>
      </c>
      <c r="O228" s="46" t="s">
        <v>1689</v>
      </c>
      <c r="P228" s="389"/>
      <c r="Q228" s="389"/>
      <c r="R228" s="46">
        <v>2.0</v>
      </c>
      <c r="S228" s="45"/>
      <c r="T228" s="46" t="s">
        <v>1645</v>
      </c>
      <c r="U228" s="44">
        <v>56.0</v>
      </c>
      <c r="V228" s="44">
        <v>14.0</v>
      </c>
      <c r="W228" s="389"/>
      <c r="X228" s="44">
        <v>26.0</v>
      </c>
      <c r="Y228" s="44">
        <v>9.844286</v>
      </c>
      <c r="Z228" s="44">
        <v>1.069464</v>
      </c>
      <c r="AA228" s="44">
        <v>3.539286</v>
      </c>
      <c r="AB228" s="44">
        <v>2.10875</v>
      </c>
      <c r="AC228" s="44">
        <v>0.643571</v>
      </c>
      <c r="AD228" s="44">
        <v>0.212679</v>
      </c>
      <c r="AE228" s="44">
        <v>0.504588</v>
      </c>
      <c r="AF228" s="44">
        <v>7.6675</v>
      </c>
      <c r="AG228" s="44">
        <v>0.778001</v>
      </c>
      <c r="AH228" s="44">
        <v>1.332857</v>
      </c>
      <c r="AI228" s="44">
        <v>0.851964</v>
      </c>
      <c r="AJ228" s="44">
        <v>15.05493</v>
      </c>
      <c r="AK228" s="44">
        <v>-1.26849</v>
      </c>
      <c r="AL228" s="44">
        <v>-0.65971</v>
      </c>
      <c r="AM228" s="44">
        <v>-1.05378</v>
      </c>
      <c r="AN228" s="44">
        <v>-0.78668</v>
      </c>
      <c r="AO228" s="44">
        <v>-1.09143</v>
      </c>
      <c r="AP228" s="44">
        <v>-0.96638</v>
      </c>
      <c r="AQ228" s="44">
        <v>0.180837</v>
      </c>
      <c r="AR228" s="44">
        <v>-0.08022</v>
      </c>
      <c r="AS228" s="44">
        <v>1.315627</v>
      </c>
    </row>
    <row r="229">
      <c r="A229" s="44">
        <v>228.0</v>
      </c>
      <c r="B229" s="389"/>
      <c r="C229" s="389"/>
      <c r="D229" s="389"/>
      <c r="E229" s="44">
        <v>-0.49005</v>
      </c>
      <c r="F229" s="44">
        <v>0.0037</v>
      </c>
      <c r="G229" s="44">
        <v>0.685837</v>
      </c>
      <c r="H229" s="389"/>
      <c r="I229" s="46" t="s">
        <v>1941</v>
      </c>
      <c r="J229" s="46" t="s">
        <v>308</v>
      </c>
      <c r="K229" s="46" t="s">
        <v>1572</v>
      </c>
      <c r="L229" s="46" t="s">
        <v>1942</v>
      </c>
      <c r="M229" s="389"/>
      <c r="N229" s="46" t="s">
        <v>1562</v>
      </c>
      <c r="O229" s="389"/>
      <c r="P229" s="389"/>
      <c r="Q229" s="45"/>
      <c r="R229" s="46">
        <v>5.0</v>
      </c>
      <c r="S229" s="45"/>
      <c r="T229" s="46" t="s">
        <v>1630</v>
      </c>
      <c r="U229" s="44">
        <v>71.0</v>
      </c>
      <c r="V229" s="44">
        <v>15.0</v>
      </c>
      <c r="W229" s="389"/>
      <c r="X229" s="44">
        <v>24.0</v>
      </c>
      <c r="Y229" s="44">
        <v>9.432254</v>
      </c>
      <c r="Z229" s="44">
        <v>1.025211</v>
      </c>
      <c r="AA229" s="44">
        <v>3.298028</v>
      </c>
      <c r="AB229" s="44">
        <v>0.719155</v>
      </c>
      <c r="AC229" s="44">
        <v>0.869155</v>
      </c>
      <c r="AD229" s="44">
        <v>0.486338</v>
      </c>
      <c r="AE229" s="44">
        <v>0.525996</v>
      </c>
      <c r="AF229" s="44">
        <v>6.983662</v>
      </c>
      <c r="AG229" s="44">
        <v>0.665018</v>
      </c>
      <c r="AH229" s="44">
        <v>1.594366</v>
      </c>
      <c r="AI229" s="44">
        <v>0.777887</v>
      </c>
      <c r="AJ229" s="44">
        <v>15.75366</v>
      </c>
      <c r="AK229" s="44">
        <v>-1.3411</v>
      </c>
      <c r="AL229" s="44">
        <v>-0.70203</v>
      </c>
      <c r="AM229" s="44">
        <v>-1.15278</v>
      </c>
      <c r="AN229" s="44">
        <v>-1.45709</v>
      </c>
      <c r="AO229" s="44">
        <v>-0.42143</v>
      </c>
      <c r="AP229" s="44">
        <v>-0.47273</v>
      </c>
      <c r="AQ229" s="44">
        <v>0.386216</v>
      </c>
      <c r="AR229" s="44">
        <v>-0.65868</v>
      </c>
      <c r="AS229" s="44">
        <v>1.409198</v>
      </c>
    </row>
    <row r="230">
      <c r="A230" s="44">
        <v>229.0</v>
      </c>
      <c r="B230" s="44">
        <v>144.65</v>
      </c>
      <c r="C230" s="44">
        <v>79.0</v>
      </c>
      <c r="D230" s="44">
        <v>0.0</v>
      </c>
      <c r="E230" s="44">
        <v>-0.49205</v>
      </c>
      <c r="F230" s="44">
        <v>1.66E-4</v>
      </c>
      <c r="G230" s="44">
        <v>1.568629</v>
      </c>
      <c r="H230" s="389"/>
      <c r="I230" s="46" t="s">
        <v>771</v>
      </c>
      <c r="J230" s="46" t="s">
        <v>490</v>
      </c>
      <c r="K230" s="46" t="s">
        <v>85</v>
      </c>
      <c r="L230" s="46" t="s">
        <v>1943</v>
      </c>
      <c r="M230" s="389"/>
      <c r="N230" s="46" t="s">
        <v>1562</v>
      </c>
      <c r="O230" s="389"/>
      <c r="P230" s="389"/>
      <c r="Q230" s="389"/>
      <c r="R230" s="46">
        <v>2.0</v>
      </c>
      <c r="S230" s="45"/>
      <c r="T230" s="46" t="s">
        <v>1645</v>
      </c>
      <c r="U230" s="44">
        <v>71.0</v>
      </c>
      <c r="V230" s="44">
        <v>16.0</v>
      </c>
      <c r="W230" s="389"/>
      <c r="X230" s="44">
        <v>29.0</v>
      </c>
      <c r="Y230" s="44">
        <v>10.63042</v>
      </c>
      <c r="Z230" s="44">
        <v>1.815352</v>
      </c>
      <c r="AA230" s="44">
        <v>4.542676</v>
      </c>
      <c r="AB230" s="44">
        <v>5.289437</v>
      </c>
      <c r="AC230" s="44">
        <v>0.553662</v>
      </c>
      <c r="AD230" s="44">
        <v>0.313521</v>
      </c>
      <c r="AE230" s="44">
        <v>0.42416</v>
      </c>
      <c r="AF230" s="44">
        <v>9.08507</v>
      </c>
      <c r="AG230" s="44">
        <v>0.813043</v>
      </c>
      <c r="AH230" s="44">
        <v>1.362817</v>
      </c>
      <c r="AI230" s="44">
        <v>2.302535</v>
      </c>
      <c r="AJ230" s="44">
        <v>17.43979</v>
      </c>
      <c r="AK230" s="44">
        <v>-1.12996</v>
      </c>
      <c r="AL230" s="44">
        <v>0.053697</v>
      </c>
      <c r="AM230" s="44">
        <v>-0.64203</v>
      </c>
      <c r="AN230" s="44">
        <v>0.747843</v>
      </c>
      <c r="AO230" s="44">
        <v>-1.35847</v>
      </c>
      <c r="AP230" s="44">
        <v>-0.78447</v>
      </c>
      <c r="AQ230" s="44">
        <v>-0.86653</v>
      </c>
      <c r="AR230" s="44">
        <v>0.068101</v>
      </c>
      <c r="AS230" s="44">
        <v>-0.51667</v>
      </c>
    </row>
    <row r="231">
      <c r="A231" s="44">
        <v>230.0</v>
      </c>
      <c r="B231" s="44">
        <v>150.6</v>
      </c>
      <c r="C231" s="44">
        <v>43.0</v>
      </c>
      <c r="D231" s="44">
        <v>0.0</v>
      </c>
      <c r="E231" s="44">
        <v>-0.49415</v>
      </c>
      <c r="F231" s="44">
        <v>-0.13882</v>
      </c>
      <c r="G231" s="44">
        <v>1.568629</v>
      </c>
      <c r="H231" s="389"/>
      <c r="I231" s="46" t="s">
        <v>1944</v>
      </c>
      <c r="J231" s="46" t="s">
        <v>342</v>
      </c>
      <c r="K231" s="46" t="s">
        <v>97</v>
      </c>
      <c r="L231" s="46" t="s">
        <v>1945</v>
      </c>
      <c r="M231" s="389"/>
      <c r="N231" s="46" t="s">
        <v>1570</v>
      </c>
      <c r="O231" s="389"/>
      <c r="P231" s="389"/>
      <c r="Q231" s="45"/>
      <c r="R231" s="46">
        <v>3.0</v>
      </c>
      <c r="S231" s="45"/>
      <c r="T231" s="46" t="s">
        <v>1630</v>
      </c>
      <c r="U231" s="44">
        <v>66.0</v>
      </c>
      <c r="V231" s="44">
        <v>16.0</v>
      </c>
      <c r="W231" s="389"/>
      <c r="X231" s="44">
        <v>20.0</v>
      </c>
      <c r="Y231" s="44">
        <v>7.98803</v>
      </c>
      <c r="Z231" s="44">
        <v>0.1</v>
      </c>
      <c r="AA231" s="44">
        <v>4.75</v>
      </c>
      <c r="AB231" s="44">
        <v>0.791667</v>
      </c>
      <c r="AC231" s="44">
        <v>0.375</v>
      </c>
      <c r="AD231" s="44">
        <v>1.25</v>
      </c>
      <c r="AE231" s="44">
        <v>0.593739</v>
      </c>
      <c r="AF231" s="44">
        <v>5.832576</v>
      </c>
      <c r="AG231" s="44">
        <v>0.716996</v>
      </c>
      <c r="AH231" s="44">
        <v>1.341667</v>
      </c>
      <c r="AI231" s="44">
        <v>1.0</v>
      </c>
      <c r="AJ231" s="44">
        <v>15.93555</v>
      </c>
      <c r="AK231" s="44">
        <v>-1.59561</v>
      </c>
      <c r="AL231" s="44">
        <v>-1.58695</v>
      </c>
      <c r="AM231" s="44">
        <v>-0.55696</v>
      </c>
      <c r="AN231" s="44">
        <v>-1.42211</v>
      </c>
      <c r="AO231" s="44">
        <v>-1.88911</v>
      </c>
      <c r="AP231" s="44">
        <v>0.90481</v>
      </c>
      <c r="AQ231" s="44">
        <v>0.907448</v>
      </c>
      <c r="AR231" s="44">
        <v>-0.33749</v>
      </c>
      <c r="AS231" s="44">
        <v>1.128635</v>
      </c>
    </row>
    <row r="232">
      <c r="A232" s="44">
        <v>231.0</v>
      </c>
      <c r="B232" s="389"/>
      <c r="C232" s="44">
        <v>3.0</v>
      </c>
      <c r="D232" s="44">
        <v>0.0</v>
      </c>
      <c r="E232" s="44">
        <v>-0.49761</v>
      </c>
      <c r="F232" s="44">
        <v>0.022976</v>
      </c>
      <c r="G232" s="44">
        <v>0.184039</v>
      </c>
      <c r="H232" s="389"/>
      <c r="I232" s="46" t="s">
        <v>1946</v>
      </c>
      <c r="J232" s="46" t="s">
        <v>291</v>
      </c>
      <c r="K232" s="46" t="s">
        <v>88</v>
      </c>
      <c r="L232" s="46" t="s">
        <v>1947</v>
      </c>
      <c r="M232" s="389"/>
      <c r="N232" s="46" t="s">
        <v>1562</v>
      </c>
      <c r="O232" s="46" t="s">
        <v>1648</v>
      </c>
      <c r="P232" s="389"/>
      <c r="Q232" s="389"/>
      <c r="R232" s="46">
        <v>3.0</v>
      </c>
      <c r="S232" s="45"/>
      <c r="T232" s="46" t="s">
        <v>1645</v>
      </c>
      <c r="U232" s="44">
        <v>71.0</v>
      </c>
      <c r="V232" s="44">
        <v>14.0</v>
      </c>
      <c r="W232" s="389"/>
      <c r="X232" s="44">
        <v>28.0</v>
      </c>
      <c r="Y232" s="44">
        <v>8.329437</v>
      </c>
      <c r="Z232" s="44">
        <v>2.374789</v>
      </c>
      <c r="AA232" s="44">
        <v>2.945775</v>
      </c>
      <c r="AB232" s="44">
        <v>2.179859</v>
      </c>
      <c r="AC232" s="44">
        <v>0.588873</v>
      </c>
      <c r="AD232" s="44">
        <v>0.117887</v>
      </c>
      <c r="AE232" s="44">
        <v>0.418606</v>
      </c>
      <c r="AF232" s="44">
        <v>6.656901</v>
      </c>
      <c r="AG232" s="44">
        <v>0.819117</v>
      </c>
      <c r="AH232" s="44">
        <v>0.465634</v>
      </c>
      <c r="AI232" s="44">
        <v>0.648169</v>
      </c>
      <c r="AJ232" s="44">
        <v>11.76495</v>
      </c>
      <c r="AK232" s="44">
        <v>-1.53544</v>
      </c>
      <c r="AL232" s="44">
        <v>0.588769</v>
      </c>
      <c r="AM232" s="44">
        <v>-1.29733</v>
      </c>
      <c r="AN232" s="44">
        <v>-0.75237</v>
      </c>
      <c r="AO232" s="44">
        <v>-1.25389</v>
      </c>
      <c r="AP232" s="44">
        <v>-1.13737</v>
      </c>
      <c r="AQ232" s="44">
        <v>-0.68765</v>
      </c>
      <c r="AR232" s="44">
        <v>0.023739</v>
      </c>
      <c r="AS232" s="44">
        <v>1.573052</v>
      </c>
    </row>
    <row r="233">
      <c r="A233" s="44">
        <v>232.0</v>
      </c>
      <c r="B233" s="44">
        <v>148.6429</v>
      </c>
      <c r="C233" s="44">
        <v>14.0</v>
      </c>
      <c r="D233" s="44">
        <v>0.0</v>
      </c>
      <c r="E233" s="44">
        <v>-0.50107</v>
      </c>
      <c r="F233" s="44">
        <v>0.001112</v>
      </c>
      <c r="G233" s="44">
        <v>1.150464</v>
      </c>
      <c r="H233" s="389"/>
      <c r="I233" s="46" t="s">
        <v>1948</v>
      </c>
      <c r="J233" s="46" t="s">
        <v>442</v>
      </c>
      <c r="K233" s="46" t="s">
        <v>85</v>
      </c>
      <c r="L233" s="46" t="s">
        <v>1949</v>
      </c>
      <c r="M233" s="389"/>
      <c r="N233" s="46" t="s">
        <v>1562</v>
      </c>
      <c r="O233" s="46" t="s">
        <v>1848</v>
      </c>
      <c r="P233" s="389"/>
      <c r="Q233" s="45"/>
      <c r="R233" s="46">
        <v>4.0</v>
      </c>
      <c r="S233" s="45"/>
      <c r="T233" s="46" t="s">
        <v>1630</v>
      </c>
      <c r="U233" s="44">
        <v>71.0</v>
      </c>
      <c r="V233" s="44">
        <v>14.0</v>
      </c>
      <c r="W233" s="389"/>
      <c r="X233" s="44">
        <v>23.0</v>
      </c>
      <c r="Y233" s="44">
        <v>6.895352</v>
      </c>
      <c r="Z233" s="44">
        <v>1.374507</v>
      </c>
      <c r="AA233" s="44">
        <v>2.113099</v>
      </c>
      <c r="AB233" s="44">
        <v>4.367183</v>
      </c>
      <c r="AC233" s="44">
        <v>0.747324</v>
      </c>
      <c r="AD233" s="44">
        <v>0.094225</v>
      </c>
      <c r="AE233" s="44">
        <v>0.432147</v>
      </c>
      <c r="AF233" s="44">
        <v>6.151408</v>
      </c>
      <c r="AG233" s="44">
        <v>0.829994</v>
      </c>
      <c r="AH233" s="44">
        <v>0.246056</v>
      </c>
      <c r="AI233" s="44">
        <v>0.751268</v>
      </c>
      <c r="AJ233" s="44">
        <v>13.45437</v>
      </c>
      <c r="AK233" s="44">
        <v>-1.78816</v>
      </c>
      <c r="AL233" s="44">
        <v>-0.36795</v>
      </c>
      <c r="AM233" s="44">
        <v>-1.63903</v>
      </c>
      <c r="AN233" s="44">
        <v>0.302902</v>
      </c>
      <c r="AO233" s="44">
        <v>-0.78328</v>
      </c>
      <c r="AP233" s="44">
        <v>-1.18005</v>
      </c>
      <c r="AQ233" s="44">
        <v>-0.51185</v>
      </c>
      <c r="AR233" s="44">
        <v>0.014923</v>
      </c>
      <c r="AS233" s="44">
        <v>1.442823</v>
      </c>
    </row>
    <row r="234">
      <c r="A234" s="44">
        <v>233.0</v>
      </c>
      <c r="B234" s="44">
        <v>119.4783</v>
      </c>
      <c r="C234" s="44">
        <v>97.0</v>
      </c>
      <c r="D234" s="44">
        <v>0.0</v>
      </c>
      <c r="E234" s="44">
        <v>-0.50206</v>
      </c>
      <c r="F234" s="44">
        <v>0.001438</v>
      </c>
      <c r="G234" s="44">
        <v>1.559337</v>
      </c>
      <c r="H234" s="389"/>
      <c r="I234" s="46" t="s">
        <v>75</v>
      </c>
      <c r="J234" s="46" t="s">
        <v>1560</v>
      </c>
      <c r="K234" s="46" t="s">
        <v>1568</v>
      </c>
      <c r="L234" s="46" t="s">
        <v>1950</v>
      </c>
      <c r="M234" s="389"/>
      <c r="N234" s="46" t="s">
        <v>1612</v>
      </c>
      <c r="O234" s="389"/>
      <c r="P234" s="389"/>
      <c r="Q234" s="389"/>
      <c r="R234" s="46">
        <v>2.0</v>
      </c>
      <c r="S234" s="45"/>
      <c r="T234" s="46" t="s">
        <v>1645</v>
      </c>
      <c r="U234" s="44">
        <v>75.0</v>
      </c>
      <c r="V234" s="44">
        <v>14.0</v>
      </c>
      <c r="W234" s="389"/>
      <c r="X234" s="44">
        <v>29.0</v>
      </c>
      <c r="Y234" s="44">
        <v>14.5768</v>
      </c>
      <c r="Z234" s="44">
        <v>1.0628</v>
      </c>
      <c r="AA234" s="44">
        <v>3.8824</v>
      </c>
      <c r="AB234" s="44">
        <v>4.375333</v>
      </c>
      <c r="AC234" s="44">
        <v>0.986</v>
      </c>
      <c r="AD234" s="44">
        <v>0.3076</v>
      </c>
      <c r="AE234" s="44">
        <v>0.454414</v>
      </c>
      <c r="AF234" s="44">
        <v>11.77107</v>
      </c>
      <c r="AG234" s="44">
        <v>0.72501</v>
      </c>
      <c r="AH234" s="44">
        <v>3.884267</v>
      </c>
      <c r="AI234" s="44">
        <v>2.280133</v>
      </c>
      <c r="AJ234" s="44">
        <v>23.07493</v>
      </c>
      <c r="AK234" s="44">
        <v>-0.43452</v>
      </c>
      <c r="AL234" s="44">
        <v>-0.66608</v>
      </c>
      <c r="AM234" s="44">
        <v>-0.91298</v>
      </c>
      <c r="AN234" s="44">
        <v>0.306834</v>
      </c>
      <c r="AO234" s="44">
        <v>-0.07439</v>
      </c>
      <c r="AP234" s="44">
        <v>-0.79515</v>
      </c>
      <c r="AQ234" s="44">
        <v>-0.5987</v>
      </c>
      <c r="AR234" s="44">
        <v>-0.85519</v>
      </c>
      <c r="AS234" s="44">
        <v>-0.48837</v>
      </c>
    </row>
    <row r="235">
      <c r="A235" s="44">
        <v>234.0</v>
      </c>
      <c r="B235" s="389"/>
      <c r="C235" s="45"/>
      <c r="D235" s="45"/>
      <c r="E235" s="44">
        <v>-0.50213</v>
      </c>
      <c r="F235" s="44">
        <v>0.007491</v>
      </c>
      <c r="G235" s="44">
        <v>1.094709</v>
      </c>
      <c r="H235" s="389"/>
      <c r="I235" s="46" t="s">
        <v>1951</v>
      </c>
      <c r="J235" s="46" t="s">
        <v>304</v>
      </c>
      <c r="K235" s="46" t="s">
        <v>90</v>
      </c>
      <c r="L235" s="46" t="s">
        <v>1952</v>
      </c>
      <c r="M235" s="389"/>
      <c r="N235" s="46" t="s">
        <v>1562</v>
      </c>
      <c r="O235" s="389"/>
      <c r="P235" s="389"/>
      <c r="Q235" s="45"/>
      <c r="R235" s="46">
        <v>3.0</v>
      </c>
      <c r="S235" s="45"/>
      <c r="T235" s="46" t="s">
        <v>1630</v>
      </c>
      <c r="U235" s="44">
        <v>71.0</v>
      </c>
      <c r="V235" s="44">
        <v>13.0</v>
      </c>
      <c r="W235" s="389"/>
      <c r="X235" s="44">
        <v>21.0</v>
      </c>
      <c r="Y235" s="44">
        <v>8.561831</v>
      </c>
      <c r="Z235" s="44">
        <v>1.835775</v>
      </c>
      <c r="AA235" s="44">
        <v>4.227324</v>
      </c>
      <c r="AB235" s="44">
        <v>2.386338</v>
      </c>
      <c r="AC235" s="44">
        <v>0.833521</v>
      </c>
      <c r="AD235" s="44">
        <v>0.132113</v>
      </c>
      <c r="AE235" s="44">
        <v>0.400381</v>
      </c>
      <c r="AF235" s="44">
        <v>7.390845</v>
      </c>
      <c r="AG235" s="44">
        <v>0.768561</v>
      </c>
      <c r="AH235" s="44">
        <v>1.050986</v>
      </c>
      <c r="AI235" s="44">
        <v>1.081549</v>
      </c>
      <c r="AJ235" s="44">
        <v>17.48556</v>
      </c>
      <c r="AK235" s="44">
        <v>-1.49449</v>
      </c>
      <c r="AL235" s="44">
        <v>0.07323</v>
      </c>
      <c r="AM235" s="44">
        <v>-0.77144</v>
      </c>
      <c r="AN235" s="44">
        <v>-0.65276</v>
      </c>
      <c r="AO235" s="44">
        <v>-0.52727</v>
      </c>
      <c r="AP235" s="44">
        <v>-1.11171</v>
      </c>
      <c r="AQ235" s="44">
        <v>-0.96324</v>
      </c>
      <c r="AR235" s="44">
        <v>-0.09709</v>
      </c>
      <c r="AS235" s="44">
        <v>1.025625</v>
      </c>
    </row>
    <row r="236">
      <c r="A236" s="44">
        <v>235.0</v>
      </c>
      <c r="B236" s="389"/>
      <c r="C236" s="44">
        <v>3.0</v>
      </c>
      <c r="D236" s="44">
        <v>0.0</v>
      </c>
      <c r="E236" s="44">
        <v>-0.50328</v>
      </c>
      <c r="F236" s="44">
        <v>0.073354</v>
      </c>
      <c r="G236" s="44">
        <v>-0.22483</v>
      </c>
      <c r="H236" s="389"/>
      <c r="I236" s="46" t="s">
        <v>1953</v>
      </c>
      <c r="J236" s="46" t="s">
        <v>283</v>
      </c>
      <c r="K236" s="46" t="s">
        <v>92</v>
      </c>
      <c r="L236" s="46" t="s">
        <v>1954</v>
      </c>
      <c r="M236" s="389"/>
      <c r="N236" s="46" t="s">
        <v>1570</v>
      </c>
      <c r="O236" s="46" t="s">
        <v>1607</v>
      </c>
      <c r="P236" s="389"/>
      <c r="Q236" s="389"/>
      <c r="R236" s="46">
        <v>2.0</v>
      </c>
      <c r="S236" s="45"/>
      <c r="T236" s="46" t="s">
        <v>1630</v>
      </c>
      <c r="U236" s="44">
        <v>66.0</v>
      </c>
      <c r="V236" s="44">
        <v>14.0</v>
      </c>
      <c r="W236" s="389"/>
      <c r="X236" s="44">
        <v>23.0</v>
      </c>
      <c r="Y236" s="44">
        <v>7.838939</v>
      </c>
      <c r="Z236" s="44">
        <v>1.139394</v>
      </c>
      <c r="AA236" s="44">
        <v>3.287121</v>
      </c>
      <c r="AB236" s="44">
        <v>1.925303</v>
      </c>
      <c r="AC236" s="44">
        <v>1.00197</v>
      </c>
      <c r="AD236" s="44">
        <v>0.37197</v>
      </c>
      <c r="AE236" s="44">
        <v>0.460324</v>
      </c>
      <c r="AF236" s="44">
        <v>6.152121</v>
      </c>
      <c r="AG236" s="44">
        <v>0.731955</v>
      </c>
      <c r="AH236" s="44">
        <v>1.414848</v>
      </c>
      <c r="AI236" s="44">
        <v>1.12697</v>
      </c>
      <c r="AJ236" s="44">
        <v>15.25063</v>
      </c>
      <c r="AK236" s="44">
        <v>-1.62188</v>
      </c>
      <c r="AL236" s="44">
        <v>-0.59282</v>
      </c>
      <c r="AM236" s="44">
        <v>-1.15726</v>
      </c>
      <c r="AN236" s="44">
        <v>-0.87518</v>
      </c>
      <c r="AO236" s="44">
        <v>-0.02696</v>
      </c>
      <c r="AP236" s="44">
        <v>-0.67904</v>
      </c>
      <c r="AQ236" s="44">
        <v>-0.25581</v>
      </c>
      <c r="AR236" s="44">
        <v>-0.28879</v>
      </c>
      <c r="AS236" s="44">
        <v>0.968252</v>
      </c>
    </row>
    <row r="237">
      <c r="A237" s="44">
        <v>236.0</v>
      </c>
      <c r="B237" s="44">
        <v>154.0</v>
      </c>
      <c r="C237" s="44">
        <v>1.0</v>
      </c>
      <c r="D237" s="44">
        <v>0.0</v>
      </c>
      <c r="E237" s="44">
        <v>-0.50501</v>
      </c>
      <c r="F237" s="44">
        <v>0.069608</v>
      </c>
      <c r="G237" s="44">
        <v>0.211917</v>
      </c>
      <c r="H237" s="389"/>
      <c r="I237" s="46" t="s">
        <v>1955</v>
      </c>
      <c r="J237" s="46" t="s">
        <v>283</v>
      </c>
      <c r="K237" s="46" t="s">
        <v>92</v>
      </c>
      <c r="L237" s="46" t="s">
        <v>1956</v>
      </c>
      <c r="M237" s="389"/>
      <c r="N237" s="46" t="s">
        <v>1570</v>
      </c>
      <c r="O237" s="389"/>
      <c r="P237" s="389"/>
      <c r="Q237" s="45"/>
      <c r="R237" s="46">
        <v>3.0</v>
      </c>
      <c r="S237" s="45"/>
      <c r="T237" s="46" t="s">
        <v>1630</v>
      </c>
      <c r="U237" s="44">
        <v>58.0</v>
      </c>
      <c r="V237" s="44">
        <v>14.0</v>
      </c>
      <c r="W237" s="389"/>
      <c r="X237" s="44">
        <v>22.0</v>
      </c>
      <c r="Y237" s="44">
        <v>5.931379</v>
      </c>
      <c r="Z237" s="44">
        <v>0.245</v>
      </c>
      <c r="AA237" s="44">
        <v>5.39</v>
      </c>
      <c r="AB237" s="44">
        <v>1.347586</v>
      </c>
      <c r="AC237" s="44">
        <v>1.122931</v>
      </c>
      <c r="AD237" s="44">
        <v>0.265345</v>
      </c>
      <c r="AE237" s="44">
        <v>0.540324</v>
      </c>
      <c r="AF237" s="44">
        <v>4.536552</v>
      </c>
      <c r="AG237" s="44">
        <v>0.640062</v>
      </c>
      <c r="AH237" s="44">
        <v>1.224828</v>
      </c>
      <c r="AI237" s="44">
        <v>1.019483</v>
      </c>
      <c r="AJ237" s="44">
        <v>12.29837</v>
      </c>
      <c r="AK237" s="44">
        <v>-1.95803</v>
      </c>
      <c r="AL237" s="44">
        <v>-1.44826</v>
      </c>
      <c r="AM237" s="44">
        <v>-0.29433</v>
      </c>
      <c r="AN237" s="44">
        <v>-1.1539</v>
      </c>
      <c r="AO237" s="44">
        <v>0.332302</v>
      </c>
      <c r="AP237" s="44">
        <v>-0.87137</v>
      </c>
      <c r="AQ237" s="44">
        <v>0.349392</v>
      </c>
      <c r="AR237" s="44">
        <v>-0.60488</v>
      </c>
      <c r="AS237" s="44">
        <v>1.104025</v>
      </c>
    </row>
    <row r="238">
      <c r="A238" s="44">
        <v>237.0</v>
      </c>
      <c r="B238" s="44">
        <v>135.0</v>
      </c>
      <c r="C238" s="44">
        <v>1.0</v>
      </c>
      <c r="D238" s="44">
        <v>0.0</v>
      </c>
      <c r="E238" s="44">
        <v>-0.50503</v>
      </c>
      <c r="F238" s="44">
        <v>0.001296</v>
      </c>
      <c r="G238" s="44">
        <v>-1.64659</v>
      </c>
      <c r="H238" s="389"/>
      <c r="I238" s="46" t="s">
        <v>1957</v>
      </c>
      <c r="J238" s="46" t="s">
        <v>379</v>
      </c>
      <c r="K238" s="46" t="s">
        <v>88</v>
      </c>
      <c r="L238" s="46" t="s">
        <v>1958</v>
      </c>
      <c r="M238" s="389"/>
      <c r="N238" s="46" t="s">
        <v>1562</v>
      </c>
      <c r="O238" s="389"/>
      <c r="P238" s="389"/>
      <c r="Q238" s="389"/>
      <c r="R238" s="46">
        <v>2.0</v>
      </c>
      <c r="S238" s="45"/>
      <c r="T238" s="46" t="s">
        <v>1630</v>
      </c>
      <c r="U238" s="44">
        <v>71.0</v>
      </c>
      <c r="V238" s="44">
        <v>14.0</v>
      </c>
      <c r="W238" s="389"/>
      <c r="X238" s="44">
        <v>21.0</v>
      </c>
      <c r="Y238" s="44">
        <v>8.746479</v>
      </c>
      <c r="Z238" s="44">
        <v>1.449577</v>
      </c>
      <c r="AA238" s="44">
        <v>4.180282</v>
      </c>
      <c r="AB238" s="44">
        <v>2.670845</v>
      </c>
      <c r="AC238" s="44">
        <v>0.676479</v>
      </c>
      <c r="AD238" s="44">
        <v>0.418169</v>
      </c>
      <c r="AE238" s="44">
        <v>0.428821</v>
      </c>
      <c r="AF238" s="44">
        <v>7.35</v>
      </c>
      <c r="AG238" s="44">
        <v>0.79495</v>
      </c>
      <c r="AH238" s="44">
        <v>1.249437</v>
      </c>
      <c r="AI238" s="44">
        <v>1.286197</v>
      </c>
      <c r="AJ238" s="44">
        <v>17.76836</v>
      </c>
      <c r="AK238" s="44">
        <v>-1.46195</v>
      </c>
      <c r="AL238" s="44">
        <v>-0.29615</v>
      </c>
      <c r="AM238" s="44">
        <v>-0.79074</v>
      </c>
      <c r="AN238" s="44">
        <v>-0.5155</v>
      </c>
      <c r="AO238" s="44">
        <v>-0.99369</v>
      </c>
      <c r="AP238" s="44">
        <v>-0.5957</v>
      </c>
      <c r="AQ238" s="44">
        <v>-0.64907</v>
      </c>
      <c r="AR238" s="44">
        <v>-0.00956</v>
      </c>
      <c r="AS238" s="44">
        <v>0.767123</v>
      </c>
    </row>
    <row r="239">
      <c r="A239" s="44">
        <v>238.0</v>
      </c>
      <c r="B239" s="389"/>
      <c r="C239" s="389"/>
      <c r="D239" s="389"/>
      <c r="E239" s="44">
        <v>-0.50751</v>
      </c>
      <c r="F239" s="44">
        <v>4.11E-4</v>
      </c>
      <c r="G239" s="44">
        <v>-0.31776</v>
      </c>
      <c r="H239" s="389"/>
      <c r="I239" s="46" t="s">
        <v>1959</v>
      </c>
      <c r="J239" s="46" t="s">
        <v>1639</v>
      </c>
      <c r="K239" s="46" t="s">
        <v>85</v>
      </c>
      <c r="L239" s="46" t="s">
        <v>1960</v>
      </c>
      <c r="M239" s="46" t="s">
        <v>1961</v>
      </c>
      <c r="N239" s="46" t="s">
        <v>1570</v>
      </c>
      <c r="O239" s="46" t="s">
        <v>1615</v>
      </c>
      <c r="P239" s="389"/>
      <c r="Q239" s="389"/>
      <c r="R239" s="46">
        <v>5.0</v>
      </c>
      <c r="S239" s="45"/>
      <c r="T239" s="46" t="s">
        <v>1630</v>
      </c>
      <c r="U239" s="44">
        <v>66.0</v>
      </c>
      <c r="V239" s="44">
        <v>15.0</v>
      </c>
      <c r="W239" s="389"/>
      <c r="X239" s="44">
        <v>20.0</v>
      </c>
      <c r="Y239" s="44">
        <v>7.770909</v>
      </c>
      <c r="Z239" s="44">
        <v>1.416212</v>
      </c>
      <c r="AA239" s="44">
        <v>2.146212</v>
      </c>
      <c r="AB239" s="44">
        <v>2.945758</v>
      </c>
      <c r="AC239" s="44">
        <v>1.021212</v>
      </c>
      <c r="AD239" s="44">
        <v>0.214394</v>
      </c>
      <c r="AE239" s="44">
        <v>0.407275</v>
      </c>
      <c r="AF239" s="44">
        <v>6.902121</v>
      </c>
      <c r="AG239" s="44">
        <v>0.796934</v>
      </c>
      <c r="AH239" s="44">
        <v>0.919242</v>
      </c>
      <c r="AI239" s="44">
        <v>0.967879</v>
      </c>
      <c r="AJ239" s="44">
        <v>17.43201</v>
      </c>
      <c r="AK239" s="44">
        <v>-1.63387</v>
      </c>
      <c r="AL239" s="44">
        <v>-0.32806</v>
      </c>
      <c r="AM239" s="44">
        <v>-1.62544</v>
      </c>
      <c r="AN239" s="44">
        <v>-0.38286</v>
      </c>
      <c r="AO239" s="44">
        <v>0.03019</v>
      </c>
      <c r="AP239" s="44">
        <v>-0.96328</v>
      </c>
      <c r="AQ239" s="44">
        <v>-0.82879</v>
      </c>
      <c r="AR239" s="44">
        <v>-0.00468</v>
      </c>
      <c r="AS239" s="44">
        <v>1.169209</v>
      </c>
    </row>
    <row r="240">
      <c r="A240" s="44">
        <v>239.0</v>
      </c>
      <c r="B240" s="389"/>
      <c r="C240" s="389"/>
      <c r="D240" s="389"/>
      <c r="E240" s="44">
        <v>-0.50973</v>
      </c>
      <c r="F240" s="44">
        <v>0.008114</v>
      </c>
      <c r="G240" s="44">
        <v>1.066832</v>
      </c>
      <c r="H240" s="389"/>
      <c r="I240" s="46" t="s">
        <v>1962</v>
      </c>
      <c r="J240" s="46" t="s">
        <v>442</v>
      </c>
      <c r="K240" s="46" t="s">
        <v>97</v>
      </c>
      <c r="L240" s="46" t="s">
        <v>1963</v>
      </c>
      <c r="M240" s="46" t="s">
        <v>1964</v>
      </c>
      <c r="N240" s="46" t="s">
        <v>1570</v>
      </c>
      <c r="O240" s="46" t="s">
        <v>1776</v>
      </c>
      <c r="P240" s="389"/>
      <c r="Q240" s="45"/>
      <c r="R240" s="46">
        <v>3.0</v>
      </c>
      <c r="S240" s="45"/>
      <c r="T240" s="46" t="s">
        <v>1630</v>
      </c>
      <c r="U240" s="44">
        <v>40.0</v>
      </c>
      <c r="V240" s="44">
        <v>14.0</v>
      </c>
      <c r="W240" s="389"/>
      <c r="X240" s="44">
        <v>17.0</v>
      </c>
      <c r="Y240" s="44">
        <v>10.28125</v>
      </c>
      <c r="Z240" s="44">
        <v>0.65525</v>
      </c>
      <c r="AA240" s="44">
        <v>4.30375</v>
      </c>
      <c r="AB240" s="44">
        <v>1.181</v>
      </c>
      <c r="AC240" s="44">
        <v>0.59025</v>
      </c>
      <c r="AD240" s="44">
        <v>0.2775</v>
      </c>
      <c r="AE240" s="44">
        <v>0.572284</v>
      </c>
      <c r="AF240" s="44">
        <v>6.5955</v>
      </c>
      <c r="AG240" s="44">
        <v>0.787041</v>
      </c>
      <c r="AH240" s="44">
        <v>2.639</v>
      </c>
      <c r="AI240" s="44">
        <v>1.11075</v>
      </c>
      <c r="AJ240" s="44">
        <v>23.02304</v>
      </c>
      <c r="AK240" s="44">
        <v>-1.19149</v>
      </c>
      <c r="AL240" s="44">
        <v>-1.05588</v>
      </c>
      <c r="AM240" s="44">
        <v>-0.74008</v>
      </c>
      <c r="AN240" s="44">
        <v>-1.23427</v>
      </c>
      <c r="AO240" s="44">
        <v>-1.2498</v>
      </c>
      <c r="AP240" s="44">
        <v>-0.84945</v>
      </c>
      <c r="AQ240" s="44">
        <v>0.816162</v>
      </c>
      <c r="AR240" s="44">
        <v>-0.07148</v>
      </c>
      <c r="AS240" s="44">
        <v>0.98874</v>
      </c>
    </row>
    <row r="241">
      <c r="A241" s="44">
        <v>240.0</v>
      </c>
      <c r="B241" s="389"/>
      <c r="C241" s="389"/>
      <c r="D241" s="389"/>
      <c r="E241" s="44">
        <v>-0.50988</v>
      </c>
      <c r="F241" s="44">
        <v>-0.06253</v>
      </c>
      <c r="G241" s="44">
        <v>-0.72663</v>
      </c>
      <c r="H241" s="389"/>
      <c r="I241" s="46" t="s">
        <v>1965</v>
      </c>
      <c r="J241" s="46" t="s">
        <v>317</v>
      </c>
      <c r="K241" s="46" t="s">
        <v>92</v>
      </c>
      <c r="L241" s="46" t="s">
        <v>1966</v>
      </c>
      <c r="M241" s="389"/>
      <c r="N241" s="46" t="s">
        <v>1570</v>
      </c>
      <c r="O241" s="46" t="s">
        <v>1648</v>
      </c>
      <c r="P241" s="389"/>
      <c r="Q241" s="389"/>
      <c r="R241" s="46">
        <v>5.0</v>
      </c>
      <c r="S241" s="45"/>
      <c r="T241" s="46" t="s">
        <v>1630</v>
      </c>
      <c r="U241" s="44">
        <v>66.0</v>
      </c>
      <c r="V241" s="44">
        <v>14.0</v>
      </c>
      <c r="W241" s="389"/>
      <c r="X241" s="44">
        <v>22.0</v>
      </c>
      <c r="Y241" s="44">
        <v>6.230152</v>
      </c>
      <c r="Z241" s="44">
        <v>1.533939</v>
      </c>
      <c r="AA241" s="44">
        <v>3.703333</v>
      </c>
      <c r="AB241" s="44">
        <v>1.064697</v>
      </c>
      <c r="AC241" s="44">
        <v>0.752576</v>
      </c>
      <c r="AD241" s="44">
        <v>0.412576</v>
      </c>
      <c r="AE241" s="44">
        <v>0.427512</v>
      </c>
      <c r="AF241" s="44">
        <v>5.045758</v>
      </c>
      <c r="AG241" s="44">
        <v>0.670122</v>
      </c>
      <c r="AH241" s="44">
        <v>0.57</v>
      </c>
      <c r="AI241" s="44">
        <v>0.413182</v>
      </c>
      <c r="AJ241" s="44">
        <v>11.0917</v>
      </c>
      <c r="AK241" s="44">
        <v>-1.90538</v>
      </c>
      <c r="AL241" s="44">
        <v>-0.21546</v>
      </c>
      <c r="AM241" s="44">
        <v>-0.98646</v>
      </c>
      <c r="AN241" s="44">
        <v>-1.29038</v>
      </c>
      <c r="AO241" s="44">
        <v>-0.76768</v>
      </c>
      <c r="AP241" s="44">
        <v>-0.60579</v>
      </c>
      <c r="AQ241" s="44">
        <v>-0.45312</v>
      </c>
      <c r="AR241" s="44">
        <v>-0.23455</v>
      </c>
      <c r="AS241" s="44">
        <v>1.869878</v>
      </c>
    </row>
    <row r="242">
      <c r="A242" s="44">
        <v>241.0</v>
      </c>
      <c r="B242" s="44">
        <v>134.0167</v>
      </c>
      <c r="C242" s="44">
        <v>91.0</v>
      </c>
      <c r="D242" s="44">
        <v>0.0</v>
      </c>
      <c r="E242" s="44">
        <v>-0.51301</v>
      </c>
      <c r="F242" s="44">
        <v>-6.2E-4</v>
      </c>
      <c r="G242" s="44">
        <v>1.113294</v>
      </c>
      <c r="H242" s="389"/>
      <c r="I242" s="46" t="s">
        <v>1967</v>
      </c>
      <c r="J242" s="46" t="s">
        <v>354</v>
      </c>
      <c r="K242" s="46" t="s">
        <v>85</v>
      </c>
      <c r="L242" s="46" t="s">
        <v>1968</v>
      </c>
      <c r="M242" s="46" t="s">
        <v>1969</v>
      </c>
      <c r="N242" s="46" t="s">
        <v>1562</v>
      </c>
      <c r="O242" s="45"/>
      <c r="P242" s="389"/>
      <c r="Q242" s="45"/>
      <c r="R242" s="46">
        <v>3.0</v>
      </c>
      <c r="S242" s="45"/>
      <c r="T242" s="46" t="s">
        <v>1645</v>
      </c>
      <c r="U242" s="44">
        <v>71.0</v>
      </c>
      <c r="V242" s="44">
        <v>15.0</v>
      </c>
      <c r="W242" s="389"/>
      <c r="X242" s="44">
        <v>28.0</v>
      </c>
      <c r="Y242" s="44">
        <v>11.01352</v>
      </c>
      <c r="Z242" s="44">
        <v>0.794507</v>
      </c>
      <c r="AA242" s="44">
        <v>3.364648</v>
      </c>
      <c r="AB242" s="44">
        <v>6.609155</v>
      </c>
      <c r="AC242" s="44">
        <v>1.141549</v>
      </c>
      <c r="AD242" s="44">
        <v>0.241408</v>
      </c>
      <c r="AE242" s="44">
        <v>0.452277</v>
      </c>
      <c r="AF242" s="44">
        <v>9.132817</v>
      </c>
      <c r="AG242" s="44">
        <v>0.698999</v>
      </c>
      <c r="AH242" s="44">
        <v>2.800986</v>
      </c>
      <c r="AI242" s="44">
        <v>2.703803</v>
      </c>
      <c r="AJ242" s="44">
        <v>19.40149</v>
      </c>
      <c r="AK242" s="44">
        <v>-1.06245</v>
      </c>
      <c r="AL242" s="44">
        <v>-0.92269</v>
      </c>
      <c r="AM242" s="44">
        <v>-1.12545</v>
      </c>
      <c r="AN242" s="44">
        <v>1.384542</v>
      </c>
      <c r="AO242" s="44">
        <v>0.3876</v>
      </c>
      <c r="AP242" s="44">
        <v>-0.91455</v>
      </c>
      <c r="AQ242" s="44">
        <v>-0.49175</v>
      </c>
      <c r="AR242" s="44">
        <v>-0.84885</v>
      </c>
      <c r="AS242" s="44">
        <v>-1.02354</v>
      </c>
    </row>
    <row r="243">
      <c r="A243" s="44">
        <v>242.0</v>
      </c>
      <c r="B243" s="44">
        <v>145.0</v>
      </c>
      <c r="C243" s="389"/>
      <c r="D243" s="389"/>
      <c r="E243" s="44">
        <v>-0.51454</v>
      </c>
      <c r="F243" s="44">
        <v>5.21E-4</v>
      </c>
      <c r="G243" s="44">
        <v>-0.29917</v>
      </c>
      <c r="H243" s="389"/>
      <c r="I243" s="46" t="s">
        <v>1970</v>
      </c>
      <c r="J243" s="46" t="s">
        <v>308</v>
      </c>
      <c r="K243" s="46" t="s">
        <v>1593</v>
      </c>
      <c r="L243" s="46" t="s">
        <v>1971</v>
      </c>
      <c r="M243" s="46" t="s">
        <v>1793</v>
      </c>
      <c r="N243" s="46" t="s">
        <v>1570</v>
      </c>
      <c r="O243" s="45"/>
      <c r="P243" s="389"/>
      <c r="Q243" s="45"/>
      <c r="R243" s="46">
        <v>2.0</v>
      </c>
      <c r="S243" s="45"/>
      <c r="T243" s="46" t="s">
        <v>1630</v>
      </c>
      <c r="U243" s="44">
        <v>59.0</v>
      </c>
      <c r="V243" s="44">
        <v>15.0</v>
      </c>
      <c r="W243" s="389"/>
      <c r="X243" s="44">
        <v>22.0</v>
      </c>
      <c r="Y243" s="44">
        <v>9.842881</v>
      </c>
      <c r="Z243" s="44">
        <v>1.790847</v>
      </c>
      <c r="AA243" s="44">
        <v>2.667458</v>
      </c>
      <c r="AB243" s="44">
        <v>2.134068</v>
      </c>
      <c r="AC243" s="44">
        <v>0.616102</v>
      </c>
      <c r="AD243" s="44">
        <v>0.178983</v>
      </c>
      <c r="AE243" s="44">
        <v>0.445135</v>
      </c>
      <c r="AF243" s="44">
        <v>7.957966</v>
      </c>
      <c r="AG243" s="44">
        <v>0.883026</v>
      </c>
      <c r="AH243" s="44">
        <v>1.095424</v>
      </c>
      <c r="AI243" s="44">
        <v>0.933559</v>
      </c>
      <c r="AJ243" s="44">
        <v>19.03463</v>
      </c>
      <c r="AK243" s="44">
        <v>-1.26874</v>
      </c>
      <c r="AL243" s="44">
        <v>0.03026</v>
      </c>
      <c r="AM243" s="44">
        <v>-1.41154</v>
      </c>
      <c r="AN243" s="44">
        <v>-0.77446</v>
      </c>
      <c r="AO243" s="44">
        <v>-1.17302</v>
      </c>
      <c r="AP243" s="44">
        <v>-1.02716</v>
      </c>
      <c r="AQ243" s="44">
        <v>-0.51154</v>
      </c>
      <c r="AR243" s="44">
        <v>0.292778</v>
      </c>
      <c r="AS243" s="44">
        <v>1.21256</v>
      </c>
    </row>
    <row r="244">
      <c r="A244" s="44">
        <v>243.0</v>
      </c>
      <c r="B244" s="44">
        <v>136.25</v>
      </c>
      <c r="C244" s="44">
        <v>1.0</v>
      </c>
      <c r="D244" s="44">
        <v>0.0</v>
      </c>
      <c r="E244" s="44">
        <v>-0.52297</v>
      </c>
      <c r="F244" s="44">
        <v>2.76E-4</v>
      </c>
      <c r="G244" s="44">
        <v>1.28056</v>
      </c>
      <c r="H244" s="389"/>
      <c r="I244" s="46" t="s">
        <v>1972</v>
      </c>
      <c r="J244" s="46" t="s">
        <v>273</v>
      </c>
      <c r="K244" s="46" t="s">
        <v>1568</v>
      </c>
      <c r="L244" s="46" t="s">
        <v>1973</v>
      </c>
      <c r="M244" s="389"/>
      <c r="N244" s="46" t="s">
        <v>1562</v>
      </c>
      <c r="O244" s="389"/>
      <c r="P244" s="389"/>
      <c r="Q244" s="389"/>
      <c r="R244" s="46">
        <v>2.0</v>
      </c>
      <c r="S244" s="45"/>
      <c r="T244" s="46" t="s">
        <v>1630</v>
      </c>
      <c r="U244" s="44">
        <v>71.0</v>
      </c>
      <c r="V244" s="44">
        <v>13.0</v>
      </c>
      <c r="W244" s="389"/>
      <c r="X244" s="44">
        <v>19.0</v>
      </c>
      <c r="Y244" s="44">
        <v>8.915775</v>
      </c>
      <c r="Z244" s="44">
        <v>2.318451</v>
      </c>
      <c r="AA244" s="44">
        <v>2.301408</v>
      </c>
      <c r="AB244" s="44">
        <v>1.383944</v>
      </c>
      <c r="AC244" s="44">
        <v>0.515211</v>
      </c>
      <c r="AD244" s="44">
        <v>0.122535</v>
      </c>
      <c r="AE244" s="44">
        <v>0.439283</v>
      </c>
      <c r="AF244" s="44">
        <v>6.863944</v>
      </c>
      <c r="AG244" s="44">
        <v>0.852032</v>
      </c>
      <c r="AH244" s="44">
        <v>0.665352</v>
      </c>
      <c r="AI244" s="44">
        <v>0.403803</v>
      </c>
      <c r="AJ244" s="44">
        <v>17.0321</v>
      </c>
      <c r="AK244" s="44">
        <v>-1.43212</v>
      </c>
      <c r="AL244" s="44">
        <v>0.534885</v>
      </c>
      <c r="AM244" s="44">
        <v>-1.56175</v>
      </c>
      <c r="AN244" s="44">
        <v>-1.13636</v>
      </c>
      <c r="AO244" s="44">
        <v>-1.47267</v>
      </c>
      <c r="AP244" s="44">
        <v>-1.12898</v>
      </c>
      <c r="AQ244" s="44">
        <v>-0.49959</v>
      </c>
      <c r="AR244" s="44">
        <v>0.108113</v>
      </c>
      <c r="AS244" s="44">
        <v>1.881725</v>
      </c>
    </row>
    <row r="245">
      <c r="A245" s="44">
        <v>244.0</v>
      </c>
      <c r="B245" s="389"/>
      <c r="C245" s="389"/>
      <c r="D245" s="389"/>
      <c r="E245" s="44">
        <v>-0.5301</v>
      </c>
      <c r="F245" s="44">
        <v>0.003537</v>
      </c>
      <c r="G245" s="44">
        <v>1.559337</v>
      </c>
      <c r="H245" s="389"/>
      <c r="I245" s="46" t="s">
        <v>1974</v>
      </c>
      <c r="J245" s="46" t="s">
        <v>428</v>
      </c>
      <c r="K245" s="46" t="s">
        <v>1572</v>
      </c>
      <c r="L245" s="46" t="s">
        <v>1975</v>
      </c>
      <c r="M245" s="389"/>
      <c r="N245" s="46" t="s">
        <v>1562</v>
      </c>
      <c r="O245" s="45"/>
      <c r="P245" s="389"/>
      <c r="Q245" s="45"/>
      <c r="R245" s="46">
        <v>3.0</v>
      </c>
      <c r="S245" s="45"/>
      <c r="T245" s="46" t="s">
        <v>1630</v>
      </c>
      <c r="U245" s="44">
        <v>71.0</v>
      </c>
      <c r="V245" s="44">
        <v>14.0</v>
      </c>
      <c r="W245" s="389"/>
      <c r="X245" s="44">
        <v>23.0</v>
      </c>
      <c r="Y245" s="44">
        <v>9.877887</v>
      </c>
      <c r="Z245" s="44">
        <v>0.560704</v>
      </c>
      <c r="AA245" s="44">
        <v>3.92</v>
      </c>
      <c r="AB245" s="44">
        <v>2.080986</v>
      </c>
      <c r="AC245" s="44">
        <v>0.822676</v>
      </c>
      <c r="AD245" s="44">
        <v>0.387183</v>
      </c>
      <c r="AE245" s="44">
        <v>0.517372</v>
      </c>
      <c r="AF245" s="44">
        <v>7.21169</v>
      </c>
      <c r="AG245" s="44">
        <v>0.734974</v>
      </c>
      <c r="AH245" s="44">
        <v>2.523803</v>
      </c>
      <c r="AI245" s="44">
        <v>1.322535</v>
      </c>
      <c r="AJ245" s="44">
        <v>17.94384</v>
      </c>
      <c r="AK245" s="44">
        <v>-1.26257</v>
      </c>
      <c r="AL245" s="44">
        <v>-1.14631</v>
      </c>
      <c r="AM245" s="44">
        <v>-0.89755</v>
      </c>
      <c r="AN245" s="44">
        <v>-0.80007</v>
      </c>
      <c r="AO245" s="44">
        <v>-0.55948</v>
      </c>
      <c r="AP245" s="44">
        <v>-0.65159</v>
      </c>
      <c r="AQ245" s="44">
        <v>0.306711</v>
      </c>
      <c r="AR245" s="44">
        <v>-0.48123</v>
      </c>
      <c r="AS245" s="44">
        <v>0.721222</v>
      </c>
    </row>
    <row r="246">
      <c r="A246" s="44">
        <v>245.0</v>
      </c>
      <c r="B246" s="44">
        <v>145.2667</v>
      </c>
      <c r="C246" s="44">
        <v>40.0</v>
      </c>
      <c r="D246" s="44">
        <v>0.0</v>
      </c>
      <c r="E246" s="44">
        <v>-0.53639</v>
      </c>
      <c r="F246" s="44">
        <v>6.85E-4</v>
      </c>
      <c r="G246" s="44">
        <v>1.020369</v>
      </c>
      <c r="H246" s="389"/>
      <c r="I246" s="46" t="s">
        <v>1976</v>
      </c>
      <c r="J246" s="46" t="s">
        <v>287</v>
      </c>
      <c r="K246" s="46" t="s">
        <v>88</v>
      </c>
      <c r="L246" s="46" t="s">
        <v>1977</v>
      </c>
      <c r="M246" s="46" t="s">
        <v>1978</v>
      </c>
      <c r="N246" s="46" t="s">
        <v>1570</v>
      </c>
      <c r="O246" s="45"/>
      <c r="P246" s="389"/>
      <c r="Q246" s="389"/>
      <c r="R246" s="46">
        <v>2.0</v>
      </c>
      <c r="S246" s="45"/>
      <c r="T246" s="46" t="s">
        <v>1630</v>
      </c>
      <c r="U246" s="44">
        <v>50.0</v>
      </c>
      <c r="V246" s="44">
        <v>16.0</v>
      </c>
      <c r="W246" s="389"/>
      <c r="X246" s="44">
        <v>26.0</v>
      </c>
      <c r="Y246" s="44">
        <v>12.4224</v>
      </c>
      <c r="Z246" s="44">
        <v>1.7606</v>
      </c>
      <c r="AA246" s="44">
        <v>2.3834</v>
      </c>
      <c r="AB246" s="44">
        <v>2.4888</v>
      </c>
      <c r="AC246" s="44">
        <v>0.6738</v>
      </c>
      <c r="AD246" s="44">
        <v>0.0228</v>
      </c>
      <c r="AE246" s="44">
        <v>0.45862</v>
      </c>
      <c r="AF246" s="44">
        <v>9.8574</v>
      </c>
      <c r="AG246" s="44">
        <v>0.865491</v>
      </c>
      <c r="AH246" s="44">
        <v>1.872</v>
      </c>
      <c r="AI246" s="44">
        <v>1.5294</v>
      </c>
      <c r="AJ246" s="44">
        <v>20.35314</v>
      </c>
      <c r="AK246" s="44">
        <v>-0.81418</v>
      </c>
      <c r="AL246" s="44">
        <v>0.00133</v>
      </c>
      <c r="AM246" s="44">
        <v>-1.52811</v>
      </c>
      <c r="AN246" s="44">
        <v>-0.60332</v>
      </c>
      <c r="AO246" s="44">
        <v>-1.00165</v>
      </c>
      <c r="AP246" s="44">
        <v>-1.30889</v>
      </c>
      <c r="AQ246" s="44">
        <v>-0.43896</v>
      </c>
      <c r="AR246" s="44">
        <v>0.406389</v>
      </c>
      <c r="AS246" s="44">
        <v>0.459919</v>
      </c>
    </row>
    <row r="247">
      <c r="A247" s="44">
        <v>246.0</v>
      </c>
      <c r="B247" s="389"/>
      <c r="C247" s="389"/>
      <c r="D247" s="389"/>
      <c r="E247" s="44">
        <v>-0.53675</v>
      </c>
      <c r="F247" s="44">
        <v>0.00451</v>
      </c>
      <c r="G247" s="44">
        <v>0.84381</v>
      </c>
      <c r="H247" s="389"/>
      <c r="I247" s="46" t="s">
        <v>1979</v>
      </c>
      <c r="J247" s="46" t="s">
        <v>1639</v>
      </c>
      <c r="K247" s="46" t="s">
        <v>1581</v>
      </c>
      <c r="L247" s="46" t="s">
        <v>1980</v>
      </c>
      <c r="M247" s="389"/>
      <c r="N247" s="46" t="s">
        <v>1562</v>
      </c>
      <c r="O247" s="389"/>
      <c r="P247" s="389"/>
      <c r="Q247" s="389"/>
      <c r="R247" s="46">
        <v>3.0</v>
      </c>
      <c r="S247" s="45"/>
      <c r="T247" s="46" t="s">
        <v>1905</v>
      </c>
      <c r="U247" s="44">
        <v>46.0</v>
      </c>
      <c r="V247" s="44">
        <v>15.0</v>
      </c>
      <c r="W247" s="389"/>
      <c r="X247" s="44">
        <v>16.0</v>
      </c>
      <c r="Y247" s="44">
        <v>7.211957</v>
      </c>
      <c r="Z247" s="44">
        <v>0.498043</v>
      </c>
      <c r="AA247" s="44">
        <v>4.275652</v>
      </c>
      <c r="AB247" s="44">
        <v>0.877609</v>
      </c>
      <c r="AC247" s="44">
        <v>0.426304</v>
      </c>
      <c r="AD247" s="44">
        <v>0.740652</v>
      </c>
      <c r="AE247" s="44">
        <v>0.59461</v>
      </c>
      <c r="AF247" s="44">
        <v>5.049348</v>
      </c>
      <c r="AG247" s="44">
        <v>0.772986</v>
      </c>
      <c r="AH247" s="44">
        <v>0.917391</v>
      </c>
      <c r="AI247" s="44">
        <v>0.886957</v>
      </c>
      <c r="AJ247" s="44">
        <v>16.69567</v>
      </c>
      <c r="AK247" s="44">
        <v>-1.73237</v>
      </c>
      <c r="AL247" s="44">
        <v>-1.20624</v>
      </c>
      <c r="AM247" s="44">
        <v>-0.75161</v>
      </c>
      <c r="AN247" s="44">
        <v>-1.38064</v>
      </c>
      <c r="AO247" s="44">
        <v>-1.73673</v>
      </c>
      <c r="AP247" s="44">
        <v>-0.01398</v>
      </c>
      <c r="AQ247" s="44">
        <v>0.793035</v>
      </c>
      <c r="AR247" s="44">
        <v>-0.07363</v>
      </c>
      <c r="AS247" s="44">
        <v>1.271426</v>
      </c>
    </row>
    <row r="248">
      <c r="A248" s="44">
        <v>247.0</v>
      </c>
      <c r="B248" s="389"/>
      <c r="C248" s="389"/>
      <c r="D248" s="389"/>
      <c r="E248" s="44">
        <v>-0.53696</v>
      </c>
      <c r="F248" s="44">
        <v>0.037387</v>
      </c>
      <c r="G248" s="44">
        <v>1.020369</v>
      </c>
      <c r="H248" s="389"/>
      <c r="I248" s="46" t="s">
        <v>1981</v>
      </c>
      <c r="J248" s="46" t="s">
        <v>1578</v>
      </c>
      <c r="K248" s="46" t="s">
        <v>1581</v>
      </c>
      <c r="L248" s="46" t="s">
        <v>1982</v>
      </c>
      <c r="M248" s="389"/>
      <c r="N248" s="46" t="s">
        <v>1562</v>
      </c>
      <c r="O248" s="46" t="s">
        <v>1595</v>
      </c>
      <c r="P248" s="389"/>
      <c r="Q248" s="389"/>
      <c r="R248" s="46">
        <v>3.0</v>
      </c>
      <c r="S248" s="45"/>
      <c r="T248" s="46" t="s">
        <v>1630</v>
      </c>
      <c r="U248" s="44">
        <v>71.0</v>
      </c>
      <c r="V248" s="44">
        <v>15.0</v>
      </c>
      <c r="W248" s="389"/>
      <c r="X248" s="44">
        <v>19.0</v>
      </c>
      <c r="Y248" s="44">
        <v>9.167042</v>
      </c>
      <c r="Z248" s="44">
        <v>2.038451</v>
      </c>
      <c r="AA248" s="44">
        <v>3.526901</v>
      </c>
      <c r="AB248" s="44">
        <v>1.253944</v>
      </c>
      <c r="AC248" s="44">
        <v>0.439859</v>
      </c>
      <c r="AD248" s="44">
        <v>0.510141</v>
      </c>
      <c r="AE248" s="44">
        <v>0.441199</v>
      </c>
      <c r="AF248" s="44">
        <v>7.367887</v>
      </c>
      <c r="AG248" s="44">
        <v>0.777274</v>
      </c>
      <c r="AH248" s="44">
        <v>0.806901</v>
      </c>
      <c r="AI248" s="44">
        <v>0.908873</v>
      </c>
      <c r="AJ248" s="44">
        <v>19.80915</v>
      </c>
      <c r="AK248" s="44">
        <v>-1.38784</v>
      </c>
      <c r="AL248" s="44">
        <v>0.267079</v>
      </c>
      <c r="AM248" s="44">
        <v>-1.05886</v>
      </c>
      <c r="AN248" s="44">
        <v>-1.19908</v>
      </c>
      <c r="AO248" s="44">
        <v>-1.69647</v>
      </c>
      <c r="AP248" s="44">
        <v>-0.42979</v>
      </c>
      <c r="AQ248" s="44">
        <v>-0.51593</v>
      </c>
      <c r="AR248" s="44">
        <v>-0.05545</v>
      </c>
      <c r="AS248" s="44">
        <v>1.243742</v>
      </c>
    </row>
    <row r="249">
      <c r="A249" s="44">
        <v>248.0</v>
      </c>
      <c r="B249" s="44">
        <v>154.0</v>
      </c>
      <c r="C249" s="44">
        <v>9.0</v>
      </c>
      <c r="D249" s="44">
        <v>0.0</v>
      </c>
      <c r="E249" s="44">
        <v>-0.53844</v>
      </c>
      <c r="F249" s="44">
        <v>0.067868</v>
      </c>
      <c r="G249" s="44">
        <v>0.760177</v>
      </c>
      <c r="H249" s="389"/>
      <c r="I249" s="46" t="s">
        <v>1983</v>
      </c>
      <c r="J249" s="46" t="s">
        <v>375</v>
      </c>
      <c r="K249" s="46" t="s">
        <v>1593</v>
      </c>
      <c r="L249" s="46" t="s">
        <v>1984</v>
      </c>
      <c r="M249" s="389"/>
      <c r="N249" s="46" t="s">
        <v>1570</v>
      </c>
      <c r="O249" s="389"/>
      <c r="P249" s="389"/>
      <c r="Q249" s="389"/>
      <c r="R249" s="46">
        <v>4.0</v>
      </c>
      <c r="S249" s="45"/>
      <c r="T249" s="46" t="s">
        <v>1630</v>
      </c>
      <c r="U249" s="44">
        <v>66.0</v>
      </c>
      <c r="V249" s="44">
        <v>15.0</v>
      </c>
      <c r="W249" s="389"/>
      <c r="X249" s="44">
        <v>21.0</v>
      </c>
      <c r="Y249" s="44">
        <v>8.471364</v>
      </c>
      <c r="Z249" s="44">
        <v>0.563636</v>
      </c>
      <c r="AA249" s="44">
        <v>4.544697</v>
      </c>
      <c r="AB249" s="44">
        <v>2.743939</v>
      </c>
      <c r="AC249" s="44">
        <v>0.894242</v>
      </c>
      <c r="AD249" s="44">
        <v>0.215303</v>
      </c>
      <c r="AE249" s="44">
        <v>0.503188</v>
      </c>
      <c r="AF249" s="44">
        <v>6.773485</v>
      </c>
      <c r="AG249" s="44">
        <v>0.766961</v>
      </c>
      <c r="AH249" s="44">
        <v>1.422576</v>
      </c>
      <c r="AI249" s="44">
        <v>1.715</v>
      </c>
      <c r="AJ249" s="44">
        <v>19.21284</v>
      </c>
      <c r="AK249" s="44">
        <v>-1.51043</v>
      </c>
      <c r="AL249" s="44">
        <v>-1.1435</v>
      </c>
      <c r="AM249" s="44">
        <v>-0.6412</v>
      </c>
      <c r="AN249" s="44">
        <v>-0.48023</v>
      </c>
      <c r="AO249" s="44">
        <v>-0.34692</v>
      </c>
      <c r="AP249" s="44">
        <v>-0.96164</v>
      </c>
      <c r="AQ249" s="44">
        <v>0.146565</v>
      </c>
      <c r="AR249" s="44">
        <v>-0.13404</v>
      </c>
      <c r="AS249" s="44">
        <v>0.225478</v>
      </c>
    </row>
    <row r="250">
      <c r="A250" s="44">
        <v>249.0</v>
      </c>
      <c r="B250" s="389"/>
      <c r="C250" s="389"/>
      <c r="D250" s="389"/>
      <c r="E250" s="44">
        <v>-0.53917</v>
      </c>
      <c r="F250" s="44">
        <v>0.002071</v>
      </c>
      <c r="G250" s="44">
        <v>1.011076</v>
      </c>
      <c r="H250" s="389"/>
      <c r="I250" s="46" t="s">
        <v>1985</v>
      </c>
      <c r="J250" s="46" t="s">
        <v>295</v>
      </c>
      <c r="K250" s="46" t="s">
        <v>1593</v>
      </c>
      <c r="L250" s="46" t="s">
        <v>1986</v>
      </c>
      <c r="M250" s="46" t="s">
        <v>1987</v>
      </c>
      <c r="N250" s="46" t="s">
        <v>1562</v>
      </c>
      <c r="O250" s="389"/>
      <c r="P250" s="389"/>
      <c r="Q250" s="389"/>
      <c r="R250" s="46">
        <v>2.0</v>
      </c>
      <c r="S250" s="45"/>
      <c r="T250" s="46" t="s">
        <v>1630</v>
      </c>
      <c r="U250" s="44">
        <v>71.0</v>
      </c>
      <c r="V250" s="44">
        <v>13.0</v>
      </c>
      <c r="W250" s="389"/>
      <c r="X250" s="44">
        <v>19.0</v>
      </c>
      <c r="Y250" s="44">
        <v>7.411127</v>
      </c>
      <c r="Z250" s="44">
        <v>1.089718</v>
      </c>
      <c r="AA250" s="44">
        <v>3.758028</v>
      </c>
      <c r="AB250" s="44">
        <v>1.199437</v>
      </c>
      <c r="AC250" s="44">
        <v>0.741268</v>
      </c>
      <c r="AD250" s="44">
        <v>0.40169</v>
      </c>
      <c r="AE250" s="44">
        <v>0.434995</v>
      </c>
      <c r="AF250" s="44">
        <v>5.716761</v>
      </c>
      <c r="AG250" s="44">
        <v>0.785908</v>
      </c>
      <c r="AH250" s="44">
        <v>1.71507</v>
      </c>
      <c r="AI250" s="44">
        <v>0.619437</v>
      </c>
      <c r="AJ250" s="44">
        <v>16.05807</v>
      </c>
      <c r="AK250" s="44">
        <v>-1.69727</v>
      </c>
      <c r="AL250" s="44">
        <v>-0.64033</v>
      </c>
      <c r="AM250" s="44">
        <v>-0.96402</v>
      </c>
      <c r="AN250" s="44">
        <v>-1.22538</v>
      </c>
      <c r="AO250" s="44">
        <v>-0.80127</v>
      </c>
      <c r="AP250" s="44">
        <v>-0.62542</v>
      </c>
      <c r="AQ250" s="44">
        <v>-0.45112</v>
      </c>
      <c r="AR250" s="44">
        <v>-0.05702</v>
      </c>
      <c r="AS250" s="44">
        <v>1.609346</v>
      </c>
    </row>
    <row r="251">
      <c r="A251" s="44">
        <v>250.0</v>
      </c>
      <c r="B251" s="389"/>
      <c r="C251" s="389"/>
      <c r="D251" s="389"/>
      <c r="E251" s="44">
        <v>-0.54286</v>
      </c>
      <c r="F251" s="44">
        <v>3.07E-4</v>
      </c>
      <c r="G251" s="44">
        <v>0.490693</v>
      </c>
      <c r="H251" s="389"/>
      <c r="I251" s="46" t="s">
        <v>1988</v>
      </c>
      <c r="J251" s="46" t="s">
        <v>324</v>
      </c>
      <c r="K251" s="46" t="s">
        <v>85</v>
      </c>
      <c r="L251" s="46" t="s">
        <v>1989</v>
      </c>
      <c r="M251" s="389"/>
      <c r="N251" s="46" t="s">
        <v>1562</v>
      </c>
      <c r="O251" s="46" t="s">
        <v>1648</v>
      </c>
      <c r="P251" s="389"/>
      <c r="Q251" s="389"/>
      <c r="R251" s="46">
        <v>3.0</v>
      </c>
      <c r="S251" s="45"/>
      <c r="T251" s="46" t="s">
        <v>1630</v>
      </c>
      <c r="U251" s="44">
        <v>71.0</v>
      </c>
      <c r="V251" s="44">
        <v>16.0</v>
      </c>
      <c r="W251" s="389"/>
      <c r="X251" s="44">
        <v>17.0</v>
      </c>
      <c r="Y251" s="44">
        <v>6.650986</v>
      </c>
      <c r="Z251" s="44">
        <v>1.280704</v>
      </c>
      <c r="AA251" s="44">
        <v>2.41831</v>
      </c>
      <c r="AB251" s="44">
        <v>3.120563</v>
      </c>
      <c r="AC251" s="44">
        <v>0.820282</v>
      </c>
      <c r="AD251" s="44">
        <v>0.133521</v>
      </c>
      <c r="AE251" s="44">
        <v>0.410171</v>
      </c>
      <c r="AF251" s="44">
        <v>5.644507</v>
      </c>
      <c r="AG251" s="44">
        <v>0.839942</v>
      </c>
      <c r="AH251" s="44">
        <v>0.880845</v>
      </c>
      <c r="AI251" s="44">
        <v>0.76169</v>
      </c>
      <c r="AJ251" s="44">
        <v>17.45837</v>
      </c>
      <c r="AK251" s="44">
        <v>-1.83122</v>
      </c>
      <c r="AL251" s="44">
        <v>-0.45767</v>
      </c>
      <c r="AM251" s="44">
        <v>-1.51378</v>
      </c>
      <c r="AN251" s="44">
        <v>-0.29853</v>
      </c>
      <c r="AO251" s="44">
        <v>-0.56659</v>
      </c>
      <c r="AP251" s="44">
        <v>-1.10916</v>
      </c>
      <c r="AQ251" s="44">
        <v>-0.65234</v>
      </c>
      <c r="AR251" s="44">
        <v>0.113849</v>
      </c>
      <c r="AS251" s="44">
        <v>1.429657</v>
      </c>
    </row>
    <row r="252">
      <c r="A252" s="44">
        <v>251.0</v>
      </c>
      <c r="B252" s="389"/>
      <c r="C252" s="389"/>
      <c r="D252" s="389"/>
      <c r="E252" s="44">
        <v>-0.54294</v>
      </c>
      <c r="F252" s="44">
        <v>0.003215</v>
      </c>
      <c r="G252" s="44">
        <v>-0.90319</v>
      </c>
      <c r="H252" s="389"/>
      <c r="I252" s="46" t="s">
        <v>1990</v>
      </c>
      <c r="J252" s="46" t="s">
        <v>1578</v>
      </c>
      <c r="K252" s="46" t="s">
        <v>1568</v>
      </c>
      <c r="L252" s="46" t="s">
        <v>1991</v>
      </c>
      <c r="M252" s="389"/>
      <c r="N252" s="46" t="s">
        <v>1570</v>
      </c>
      <c r="O252" s="46" t="s">
        <v>1571</v>
      </c>
      <c r="P252" s="389"/>
      <c r="Q252" s="389"/>
      <c r="R252" s="389"/>
      <c r="S252" s="45"/>
      <c r="T252" s="46" t="s">
        <v>1630</v>
      </c>
      <c r="U252" s="44">
        <v>52.0</v>
      </c>
      <c r="V252" s="44">
        <v>15.0</v>
      </c>
      <c r="W252" s="389"/>
      <c r="X252" s="44">
        <v>16.0</v>
      </c>
      <c r="Y252" s="44">
        <v>5.861731</v>
      </c>
      <c r="Z252" s="44">
        <v>0.509808</v>
      </c>
      <c r="AA252" s="44">
        <v>2.936923</v>
      </c>
      <c r="AB252" s="44">
        <v>1.286923</v>
      </c>
      <c r="AC252" s="44">
        <v>0.890962</v>
      </c>
      <c r="AD252" s="44">
        <v>0.33</v>
      </c>
      <c r="AE252" s="44">
        <v>0.544097</v>
      </c>
      <c r="AF252" s="44">
        <v>4.685962</v>
      </c>
      <c r="AG252" s="44">
        <v>0.674192</v>
      </c>
      <c r="AH252" s="44">
        <v>0.374808</v>
      </c>
      <c r="AI252" s="44">
        <v>0.594038</v>
      </c>
      <c r="AJ252" s="44">
        <v>14.83848</v>
      </c>
      <c r="AK252" s="44">
        <v>-1.9703</v>
      </c>
      <c r="AL252" s="44">
        <v>-1.19499</v>
      </c>
      <c r="AM252" s="44">
        <v>-1.30097</v>
      </c>
      <c r="AN252" s="44">
        <v>-1.18317</v>
      </c>
      <c r="AO252" s="44">
        <v>-0.35666</v>
      </c>
      <c r="AP252" s="44">
        <v>-0.75474</v>
      </c>
      <c r="AQ252" s="44">
        <v>0.386783</v>
      </c>
      <c r="AR252" s="44">
        <v>-0.15382</v>
      </c>
      <c r="AS252" s="44">
        <v>1.641428</v>
      </c>
    </row>
    <row r="253">
      <c r="A253" s="44">
        <v>252.0</v>
      </c>
      <c r="B253" s="389"/>
      <c r="C253" s="45"/>
      <c r="D253" s="45"/>
      <c r="E253" s="44">
        <v>-0.54357</v>
      </c>
      <c r="F253" s="44">
        <v>-5.8E-4</v>
      </c>
      <c r="G253" s="44">
        <v>-0.86602</v>
      </c>
      <c r="H253" s="389"/>
      <c r="I253" s="46" t="s">
        <v>1992</v>
      </c>
      <c r="J253" s="46" t="s">
        <v>1608</v>
      </c>
      <c r="K253" s="46" t="s">
        <v>85</v>
      </c>
      <c r="L253" s="46" t="s">
        <v>1993</v>
      </c>
      <c r="M253" s="389"/>
      <c r="N253" s="46" t="s">
        <v>1570</v>
      </c>
      <c r="O253" s="46" t="s">
        <v>1994</v>
      </c>
      <c r="P253" s="389"/>
      <c r="Q253" s="389"/>
      <c r="R253" s="389"/>
      <c r="S253" s="45"/>
      <c r="T253" s="46" t="s">
        <v>1630</v>
      </c>
      <c r="U253" s="44">
        <v>48.0</v>
      </c>
      <c r="V253" s="44">
        <v>14.0</v>
      </c>
      <c r="W253" s="389"/>
      <c r="X253" s="44">
        <v>22.0</v>
      </c>
      <c r="Y253" s="44">
        <v>10.64688</v>
      </c>
      <c r="Z253" s="44">
        <v>1.119375</v>
      </c>
      <c r="AA253" s="44">
        <v>3.403125</v>
      </c>
      <c r="AB253" s="44">
        <v>3.766042</v>
      </c>
      <c r="AC253" s="44">
        <v>0.499167</v>
      </c>
      <c r="AD253" s="44">
        <v>0.181458</v>
      </c>
      <c r="AE253" s="44">
        <v>0.431525</v>
      </c>
      <c r="AF253" s="44">
        <v>9.119792</v>
      </c>
      <c r="AG253" s="44">
        <v>0.865006</v>
      </c>
      <c r="AH253" s="44">
        <v>1.915208</v>
      </c>
      <c r="AI253" s="44">
        <v>1.225208</v>
      </c>
      <c r="AJ253" s="44">
        <v>22.06651</v>
      </c>
      <c r="AK253" s="44">
        <v>-1.12706</v>
      </c>
      <c r="AL253" s="44">
        <v>-0.61197</v>
      </c>
      <c r="AM253" s="44">
        <v>-1.10966</v>
      </c>
      <c r="AN253" s="44">
        <v>0.012881</v>
      </c>
      <c r="AO253" s="44">
        <v>-1.52032</v>
      </c>
      <c r="AP253" s="44">
        <v>-1.02269</v>
      </c>
      <c r="AQ253" s="44">
        <v>-0.77064</v>
      </c>
      <c r="AR253" s="44">
        <v>0.413146</v>
      </c>
      <c r="AS253" s="44">
        <v>0.844161</v>
      </c>
    </row>
    <row r="254">
      <c r="A254" s="44">
        <v>253.0</v>
      </c>
      <c r="B254" s="44">
        <v>130.2381</v>
      </c>
      <c r="C254" s="44">
        <v>93.0</v>
      </c>
      <c r="D254" s="44">
        <v>0.0</v>
      </c>
      <c r="E254" s="44">
        <v>-0.54358</v>
      </c>
      <c r="F254" s="44">
        <v>-0.09108</v>
      </c>
      <c r="G254" s="44">
        <v>0.602204</v>
      </c>
      <c r="H254" s="389"/>
      <c r="I254" s="46" t="s">
        <v>1995</v>
      </c>
      <c r="J254" s="46" t="s">
        <v>1639</v>
      </c>
      <c r="K254" s="46" t="s">
        <v>97</v>
      </c>
      <c r="L254" s="46" t="s">
        <v>1996</v>
      </c>
      <c r="M254" s="389"/>
      <c r="N254" s="46" t="s">
        <v>1562</v>
      </c>
      <c r="O254" s="389"/>
      <c r="P254" s="389"/>
      <c r="Q254" s="45"/>
      <c r="R254" s="46">
        <v>3.0</v>
      </c>
      <c r="S254" s="45"/>
      <c r="T254" s="46" t="s">
        <v>1645</v>
      </c>
      <c r="U254" s="44">
        <v>71.0</v>
      </c>
      <c r="V254" s="44">
        <v>15.0</v>
      </c>
      <c r="W254" s="389"/>
      <c r="X254" s="44">
        <v>21.0</v>
      </c>
      <c r="Y254" s="44">
        <v>7.451127</v>
      </c>
      <c r="Z254" s="44">
        <v>0.01</v>
      </c>
      <c r="AA254" s="44">
        <v>6.893239</v>
      </c>
      <c r="AB254" s="44">
        <v>1.015211</v>
      </c>
      <c r="AC254" s="44">
        <v>0.347465</v>
      </c>
      <c r="AD254" s="44">
        <v>1.072254</v>
      </c>
      <c r="AE254" s="44">
        <v>0.55738</v>
      </c>
      <c r="AF254" s="44">
        <v>5.522817</v>
      </c>
      <c r="AG254" s="44">
        <v>0.611998</v>
      </c>
      <c r="AH254" s="44">
        <v>2.098873</v>
      </c>
      <c r="AI254" s="44">
        <v>0.707042</v>
      </c>
      <c r="AJ254" s="44">
        <v>14.35253</v>
      </c>
      <c r="AK254" s="44">
        <v>-1.69022</v>
      </c>
      <c r="AL254" s="44">
        <v>-1.67303</v>
      </c>
      <c r="AM254" s="44">
        <v>0.322539</v>
      </c>
      <c r="AN254" s="44">
        <v>-1.31426</v>
      </c>
      <c r="AO254" s="44">
        <v>-1.97089</v>
      </c>
      <c r="AP254" s="44">
        <v>0.584179</v>
      </c>
      <c r="AQ254" s="44">
        <v>0.562975</v>
      </c>
      <c r="AR254" s="44">
        <v>-1.21223</v>
      </c>
      <c r="AS254" s="44">
        <v>1.498686</v>
      </c>
    </row>
    <row r="255">
      <c r="A255" s="44">
        <v>254.0</v>
      </c>
      <c r="B255" s="389"/>
      <c r="C255" s="389"/>
      <c r="D255" s="389"/>
      <c r="E255" s="44">
        <v>-0.55361</v>
      </c>
      <c r="F255" s="44">
        <v>0.001726</v>
      </c>
      <c r="G255" s="44">
        <v>0.676544</v>
      </c>
      <c r="H255" s="389"/>
      <c r="I255" s="46" t="s">
        <v>1997</v>
      </c>
      <c r="J255" s="46" t="s">
        <v>299</v>
      </c>
      <c r="K255" s="46" t="s">
        <v>1568</v>
      </c>
      <c r="L255" s="46" t="s">
        <v>1998</v>
      </c>
      <c r="M255" s="389"/>
      <c r="N255" s="46" t="s">
        <v>1570</v>
      </c>
      <c r="O255" s="45"/>
      <c r="P255" s="389"/>
      <c r="Q255" s="389"/>
      <c r="R255" s="46">
        <v>4.0</v>
      </c>
      <c r="S255" s="45"/>
      <c r="T255" s="46" t="s">
        <v>1630</v>
      </c>
      <c r="U255" s="44">
        <v>66.0</v>
      </c>
      <c r="V255" s="44">
        <v>13.0</v>
      </c>
      <c r="W255" s="389"/>
      <c r="X255" s="44">
        <v>21.0</v>
      </c>
      <c r="Y255" s="44">
        <v>6.775455</v>
      </c>
      <c r="Z255" s="44">
        <v>1.547576</v>
      </c>
      <c r="AA255" s="44">
        <v>3.185</v>
      </c>
      <c r="AB255" s="44">
        <v>2.183939</v>
      </c>
      <c r="AC255" s="44">
        <v>0.623939</v>
      </c>
      <c r="AD255" s="44">
        <v>0.318485</v>
      </c>
      <c r="AE255" s="44">
        <v>0.452574</v>
      </c>
      <c r="AF255" s="44">
        <v>5.23303</v>
      </c>
      <c r="AG255" s="44">
        <v>0.748039</v>
      </c>
      <c r="AH255" s="44">
        <v>0.656667</v>
      </c>
      <c r="AI255" s="44">
        <v>0.873636</v>
      </c>
      <c r="AJ255" s="44">
        <v>12.61908</v>
      </c>
      <c r="AK255" s="44">
        <v>-1.80929</v>
      </c>
      <c r="AL255" s="44">
        <v>-0.20242</v>
      </c>
      <c r="AM255" s="44">
        <v>-1.19917</v>
      </c>
      <c r="AN255" s="44">
        <v>-0.7504</v>
      </c>
      <c r="AO255" s="44">
        <v>-1.14974</v>
      </c>
      <c r="AP255" s="44">
        <v>-0.77552</v>
      </c>
      <c r="AQ255" s="44">
        <v>-0.27645</v>
      </c>
      <c r="AR255" s="44">
        <v>-0.10774</v>
      </c>
      <c r="AS255" s="44">
        <v>1.288252</v>
      </c>
    </row>
    <row r="256">
      <c r="A256" s="44">
        <v>255.0</v>
      </c>
      <c r="B256" s="389"/>
      <c r="C256" s="389"/>
      <c r="D256" s="389"/>
      <c r="E256" s="44">
        <v>-0.5566</v>
      </c>
      <c r="F256" s="44">
        <v>0.002314</v>
      </c>
      <c r="G256" s="44">
        <v>0.29555</v>
      </c>
      <c r="H256" s="389"/>
      <c r="I256" s="46" t="s">
        <v>1999</v>
      </c>
      <c r="J256" s="46" t="s">
        <v>332</v>
      </c>
      <c r="K256" s="46" t="s">
        <v>1593</v>
      </c>
      <c r="L256" s="46" t="s">
        <v>2000</v>
      </c>
      <c r="M256" s="389"/>
      <c r="N256" s="46" t="s">
        <v>1562</v>
      </c>
      <c r="O256" s="46" t="s">
        <v>1595</v>
      </c>
      <c r="P256" s="389"/>
      <c r="Q256" s="389"/>
      <c r="R256" s="46">
        <v>4.0</v>
      </c>
      <c r="S256" s="45"/>
      <c r="T256" s="46" t="s">
        <v>1630</v>
      </c>
      <c r="U256" s="44">
        <v>71.0</v>
      </c>
      <c r="V256" s="44">
        <v>15.0</v>
      </c>
      <c r="W256" s="389"/>
      <c r="X256" s="44">
        <v>20.0</v>
      </c>
      <c r="Y256" s="44">
        <v>8.03338</v>
      </c>
      <c r="Z256" s="44">
        <v>1.214225</v>
      </c>
      <c r="AA256" s="44">
        <v>2.832535</v>
      </c>
      <c r="AB256" s="44">
        <v>0.975775</v>
      </c>
      <c r="AC256" s="44">
        <v>0.661972</v>
      </c>
      <c r="AD256" s="44">
        <v>0.351268</v>
      </c>
      <c r="AE256" s="44">
        <v>0.497442</v>
      </c>
      <c r="AF256" s="44">
        <v>6.523803</v>
      </c>
      <c r="AG256" s="44">
        <v>0.719926</v>
      </c>
      <c r="AH256" s="44">
        <v>0.45662</v>
      </c>
      <c r="AI256" s="44">
        <v>0.656338</v>
      </c>
      <c r="AJ256" s="44">
        <v>15.36733</v>
      </c>
      <c r="AK256" s="44">
        <v>-1.58761</v>
      </c>
      <c r="AL256" s="44">
        <v>-0.52125</v>
      </c>
      <c r="AM256" s="44">
        <v>-1.3438</v>
      </c>
      <c r="AN256" s="44">
        <v>-1.33328</v>
      </c>
      <c r="AO256" s="44">
        <v>-1.03678</v>
      </c>
      <c r="AP256" s="44">
        <v>-0.71638</v>
      </c>
      <c r="AQ256" s="44">
        <v>0.086045</v>
      </c>
      <c r="AR256" s="44">
        <v>-0.11908</v>
      </c>
      <c r="AS256" s="44">
        <v>1.562734</v>
      </c>
    </row>
    <row r="257">
      <c r="A257" s="44">
        <v>256.0</v>
      </c>
      <c r="B257" s="44">
        <v>143.5</v>
      </c>
      <c r="C257" s="44">
        <v>3.0</v>
      </c>
      <c r="D257" s="44">
        <v>0.0</v>
      </c>
      <c r="E257" s="44">
        <v>-0.56287</v>
      </c>
      <c r="F257" s="44">
        <v>-0.00139</v>
      </c>
      <c r="G257" s="44">
        <v>-0.59654</v>
      </c>
      <c r="H257" s="389"/>
      <c r="I257" s="46" t="s">
        <v>2001</v>
      </c>
      <c r="J257" s="46" t="s">
        <v>291</v>
      </c>
      <c r="K257" s="46" t="s">
        <v>85</v>
      </c>
      <c r="L257" s="46" t="s">
        <v>2002</v>
      </c>
      <c r="M257" s="389"/>
      <c r="N257" s="46" t="s">
        <v>1570</v>
      </c>
      <c r="O257" s="46" t="s">
        <v>1848</v>
      </c>
      <c r="P257" s="389"/>
      <c r="Q257" s="389"/>
      <c r="R257" s="46">
        <v>1.0</v>
      </c>
      <c r="S257" s="45"/>
      <c r="T257" s="46" t="s">
        <v>1630</v>
      </c>
      <c r="U257" s="44">
        <v>66.0</v>
      </c>
      <c r="V257" s="44">
        <v>14.0</v>
      </c>
      <c r="W257" s="389"/>
      <c r="X257" s="44">
        <v>19.0</v>
      </c>
      <c r="Y257" s="44">
        <v>8.731515</v>
      </c>
      <c r="Z257" s="44">
        <v>1.145</v>
      </c>
      <c r="AA257" s="44">
        <v>3.198333</v>
      </c>
      <c r="AB257" s="44">
        <v>3.038485</v>
      </c>
      <c r="AC257" s="44">
        <v>0.705455</v>
      </c>
      <c r="AD257" s="44">
        <v>0.359848</v>
      </c>
      <c r="AE257" s="44">
        <v>0.433853</v>
      </c>
      <c r="AF257" s="44">
        <v>7.195909</v>
      </c>
      <c r="AG257" s="44">
        <v>0.848024</v>
      </c>
      <c r="AH257" s="44">
        <v>1.583182</v>
      </c>
      <c r="AI257" s="44">
        <v>1.534545</v>
      </c>
      <c r="AJ257" s="44">
        <v>21.76374</v>
      </c>
      <c r="AK257" s="44">
        <v>-1.46459</v>
      </c>
      <c r="AL257" s="44">
        <v>-0.58746</v>
      </c>
      <c r="AM257" s="44">
        <v>-1.19369</v>
      </c>
      <c r="AN257" s="44">
        <v>-0.33813</v>
      </c>
      <c r="AO257" s="44">
        <v>-0.90763</v>
      </c>
      <c r="AP257" s="44">
        <v>-0.7009</v>
      </c>
      <c r="AQ257" s="44">
        <v>-0.58181</v>
      </c>
      <c r="AR257" s="44">
        <v>0.254948</v>
      </c>
      <c r="AS257" s="44">
        <v>0.45342</v>
      </c>
    </row>
    <row r="258">
      <c r="A258" s="44">
        <v>257.0</v>
      </c>
      <c r="B258" s="389"/>
      <c r="C258" s="389"/>
      <c r="D258" s="389"/>
      <c r="E258" s="44">
        <v>-0.56718</v>
      </c>
      <c r="F258" s="44">
        <v>0.002223</v>
      </c>
      <c r="G258" s="44">
        <v>0.267672</v>
      </c>
      <c r="H258" s="389"/>
      <c r="I258" s="46" t="s">
        <v>2003</v>
      </c>
      <c r="J258" s="46" t="s">
        <v>342</v>
      </c>
      <c r="K258" s="46" t="s">
        <v>92</v>
      </c>
      <c r="L258" s="46" t="s">
        <v>2004</v>
      </c>
      <c r="M258" s="46" t="s">
        <v>1964</v>
      </c>
      <c r="N258" s="46" t="s">
        <v>1570</v>
      </c>
      <c r="O258" s="389"/>
      <c r="P258" s="389"/>
      <c r="Q258" s="45"/>
      <c r="R258" s="46">
        <v>4.0</v>
      </c>
      <c r="S258" s="45"/>
      <c r="T258" s="46" t="s">
        <v>1630</v>
      </c>
      <c r="U258" s="44">
        <v>38.0</v>
      </c>
      <c r="V258" s="44">
        <v>16.0</v>
      </c>
      <c r="W258" s="389"/>
      <c r="X258" s="44">
        <v>24.0</v>
      </c>
      <c r="Y258" s="44">
        <v>7.137632</v>
      </c>
      <c r="Z258" s="44">
        <v>1.227632</v>
      </c>
      <c r="AA258" s="44">
        <v>4.5</v>
      </c>
      <c r="AB258" s="44">
        <v>1.65</v>
      </c>
      <c r="AC258" s="44">
        <v>0.675263</v>
      </c>
      <c r="AD258" s="44">
        <v>0.460526</v>
      </c>
      <c r="AE258" s="44">
        <v>0.413402</v>
      </c>
      <c r="AF258" s="44">
        <v>5.749474</v>
      </c>
      <c r="AG258" s="44">
        <v>0.790004</v>
      </c>
      <c r="AH258" s="44">
        <v>1.463684</v>
      </c>
      <c r="AI258" s="44">
        <v>1.1</v>
      </c>
      <c r="AJ258" s="44">
        <v>13.4059</v>
      </c>
      <c r="AK258" s="44">
        <v>-1.74546</v>
      </c>
      <c r="AL258" s="44">
        <v>-0.50843</v>
      </c>
      <c r="AM258" s="44">
        <v>-0.65954</v>
      </c>
      <c r="AN258" s="44">
        <v>-1.008</v>
      </c>
      <c r="AO258" s="44">
        <v>-0.9973</v>
      </c>
      <c r="AP258" s="44">
        <v>-0.51929</v>
      </c>
      <c r="AQ258" s="44">
        <v>-0.63715</v>
      </c>
      <c r="AR258" s="44">
        <v>-0.03172</v>
      </c>
      <c r="AS258" s="44">
        <v>1.002319</v>
      </c>
    </row>
    <row r="259">
      <c r="A259" s="44">
        <v>258.0</v>
      </c>
      <c r="B259" s="44">
        <v>153.0</v>
      </c>
      <c r="C259" s="44">
        <v>1.0</v>
      </c>
      <c r="D259" s="44">
        <v>0.0</v>
      </c>
      <c r="E259" s="44">
        <v>-0.57387</v>
      </c>
      <c r="F259" s="44">
        <v>0.001766</v>
      </c>
      <c r="G259" s="44">
        <v>0.871688</v>
      </c>
      <c r="H259" s="389"/>
      <c r="I259" s="46" t="s">
        <v>2005</v>
      </c>
      <c r="J259" s="46" t="s">
        <v>295</v>
      </c>
      <c r="K259" s="46" t="s">
        <v>1572</v>
      </c>
      <c r="L259" s="46" t="s">
        <v>2006</v>
      </c>
      <c r="M259" s="389"/>
      <c r="N259" s="46" t="s">
        <v>1570</v>
      </c>
      <c r="O259" s="389"/>
      <c r="P259" s="389"/>
      <c r="Q259" s="389"/>
      <c r="R259" s="46">
        <v>2.0</v>
      </c>
      <c r="S259" s="45"/>
      <c r="T259" s="46" t="s">
        <v>1630</v>
      </c>
      <c r="U259" s="44">
        <v>66.0</v>
      </c>
      <c r="V259" s="44">
        <v>13.0</v>
      </c>
      <c r="W259" s="389"/>
      <c r="X259" s="44">
        <v>18.0</v>
      </c>
      <c r="Y259" s="44">
        <v>7.401515</v>
      </c>
      <c r="Z259" s="44">
        <v>1.248788</v>
      </c>
      <c r="AA259" s="44">
        <v>3.408788</v>
      </c>
      <c r="AB259" s="44">
        <v>2.045303</v>
      </c>
      <c r="AC259" s="44">
        <v>0.606061</v>
      </c>
      <c r="AD259" s="44">
        <v>0.411364</v>
      </c>
      <c r="AE259" s="44">
        <v>0.45072</v>
      </c>
      <c r="AF259" s="44">
        <v>6.135303</v>
      </c>
      <c r="AG259" s="44">
        <v>0.780015</v>
      </c>
      <c r="AH259" s="44">
        <v>0.797576</v>
      </c>
      <c r="AI259" s="44">
        <v>0.984697</v>
      </c>
      <c r="AJ259" s="44">
        <v>17.8588</v>
      </c>
      <c r="AK259" s="44">
        <v>-1.69896</v>
      </c>
      <c r="AL259" s="44">
        <v>-0.48819</v>
      </c>
      <c r="AM259" s="44">
        <v>-1.10733</v>
      </c>
      <c r="AN259" s="44">
        <v>-0.81729</v>
      </c>
      <c r="AO259" s="44">
        <v>-1.20284</v>
      </c>
      <c r="AP259" s="44">
        <v>-0.60797</v>
      </c>
      <c r="AQ259" s="44">
        <v>-0.34214</v>
      </c>
      <c r="AR259" s="44">
        <v>-0.04809</v>
      </c>
      <c r="AS259" s="44">
        <v>1.147965</v>
      </c>
    </row>
    <row r="260">
      <c r="A260" s="44">
        <v>259.0</v>
      </c>
      <c r="B260" s="389"/>
      <c r="C260" s="44">
        <v>1.0</v>
      </c>
      <c r="D260" s="44">
        <v>0.0</v>
      </c>
      <c r="E260" s="44">
        <v>-0.57575</v>
      </c>
      <c r="F260" s="44">
        <v>9.6E-4</v>
      </c>
      <c r="G260" s="44">
        <v>0.630082</v>
      </c>
      <c r="H260" s="389"/>
      <c r="I260" s="46" t="s">
        <v>2007</v>
      </c>
      <c r="J260" s="46" t="s">
        <v>1639</v>
      </c>
      <c r="K260" s="46" t="s">
        <v>90</v>
      </c>
      <c r="L260" s="46" t="s">
        <v>2008</v>
      </c>
      <c r="M260" s="389"/>
      <c r="N260" s="46" t="s">
        <v>1570</v>
      </c>
      <c r="O260" s="46" t="s">
        <v>1689</v>
      </c>
      <c r="P260" s="389"/>
      <c r="Q260" s="389"/>
      <c r="R260" s="46">
        <v>2.0</v>
      </c>
      <c r="S260" s="45"/>
      <c r="T260" s="46" t="s">
        <v>1630</v>
      </c>
      <c r="U260" s="44">
        <v>59.0</v>
      </c>
      <c r="V260" s="44">
        <v>15.0</v>
      </c>
      <c r="W260" s="389"/>
      <c r="X260" s="44">
        <v>23.0</v>
      </c>
      <c r="Y260" s="44">
        <v>9.476949</v>
      </c>
      <c r="Z260" s="44">
        <v>1.386102</v>
      </c>
      <c r="AA260" s="44">
        <v>4.113729</v>
      </c>
      <c r="AB260" s="44">
        <v>0.907966</v>
      </c>
      <c r="AC260" s="44">
        <v>0.580678</v>
      </c>
      <c r="AD260" s="44">
        <v>0.151525</v>
      </c>
      <c r="AE260" s="44">
        <v>0.4246</v>
      </c>
      <c r="AF260" s="44">
        <v>7.742881</v>
      </c>
      <c r="AG260" s="44">
        <v>0.850971</v>
      </c>
      <c r="AH260" s="44">
        <v>1.781017</v>
      </c>
      <c r="AI260" s="44">
        <v>0.725932</v>
      </c>
      <c r="AJ260" s="44">
        <v>16.94989</v>
      </c>
      <c r="AK260" s="44">
        <v>-1.33323</v>
      </c>
      <c r="AL260" s="44">
        <v>-0.35686</v>
      </c>
      <c r="AM260" s="44">
        <v>-0.81805</v>
      </c>
      <c r="AN260" s="44">
        <v>-1.366</v>
      </c>
      <c r="AO260" s="44">
        <v>-1.27823</v>
      </c>
      <c r="AP260" s="44">
        <v>-1.07669</v>
      </c>
      <c r="AQ260" s="44">
        <v>-0.73243</v>
      </c>
      <c r="AR260" s="44">
        <v>0.30487</v>
      </c>
      <c r="AS260" s="44">
        <v>1.474825</v>
      </c>
    </row>
    <row r="261">
      <c r="A261" s="44">
        <v>260.0</v>
      </c>
      <c r="B261" s="44">
        <v>151.75</v>
      </c>
      <c r="C261" s="44">
        <v>3.0</v>
      </c>
      <c r="D261" s="44">
        <v>0.0</v>
      </c>
      <c r="E261" s="44">
        <v>-0.57591</v>
      </c>
      <c r="F261" s="44">
        <v>0.004429</v>
      </c>
      <c r="G261" s="44">
        <v>0.462816</v>
      </c>
      <c r="H261" s="389"/>
      <c r="I261" s="46" t="s">
        <v>2009</v>
      </c>
      <c r="J261" s="46" t="s">
        <v>386</v>
      </c>
      <c r="K261" s="46" t="s">
        <v>97</v>
      </c>
      <c r="L261" s="46" t="s">
        <v>2010</v>
      </c>
      <c r="M261" s="389"/>
      <c r="N261" s="46" t="s">
        <v>1570</v>
      </c>
      <c r="O261" s="46" t="s">
        <v>1817</v>
      </c>
      <c r="P261" s="389"/>
      <c r="Q261" s="45"/>
      <c r="R261" s="46">
        <v>5.0</v>
      </c>
      <c r="S261" s="45"/>
      <c r="T261" s="46" t="s">
        <v>1630</v>
      </c>
      <c r="U261" s="44">
        <v>51.0</v>
      </c>
      <c r="V261" s="44">
        <v>14.0</v>
      </c>
      <c r="W261" s="389"/>
      <c r="X261" s="44">
        <v>17.0</v>
      </c>
      <c r="Y261" s="44">
        <v>7.550784</v>
      </c>
      <c r="Z261" s="44">
        <v>0.0</v>
      </c>
      <c r="AA261" s="44">
        <v>6.438824</v>
      </c>
      <c r="AB261" s="44">
        <v>0.792549</v>
      </c>
      <c r="AC261" s="44">
        <v>0.465098</v>
      </c>
      <c r="AD261" s="44">
        <v>0.764706</v>
      </c>
      <c r="AE261" s="44">
        <v>0.554305</v>
      </c>
      <c r="AF261" s="44">
        <v>6.080392</v>
      </c>
      <c r="AG261" s="44">
        <v>0.555018</v>
      </c>
      <c r="AH261" s="44">
        <v>1.459412</v>
      </c>
      <c r="AI261" s="44">
        <v>0.653725</v>
      </c>
      <c r="AJ261" s="44">
        <v>17.75077</v>
      </c>
      <c r="AK261" s="44">
        <v>-1.67266</v>
      </c>
      <c r="AL261" s="44">
        <v>-1.68259</v>
      </c>
      <c r="AM261" s="44">
        <v>0.136066</v>
      </c>
      <c r="AN261" s="44">
        <v>-1.42168</v>
      </c>
      <c r="AO261" s="44">
        <v>-1.62151</v>
      </c>
      <c r="AP261" s="44">
        <v>0.029406</v>
      </c>
      <c r="AQ261" s="44">
        <v>0.591472</v>
      </c>
      <c r="AR261" s="44">
        <v>-1.10772</v>
      </c>
      <c r="AS261" s="44">
        <v>1.566034</v>
      </c>
    </row>
    <row r="262">
      <c r="A262" s="44">
        <v>261.0</v>
      </c>
      <c r="B262" s="44">
        <v>147.0</v>
      </c>
      <c r="C262" s="44">
        <v>7.0</v>
      </c>
      <c r="D262" s="44">
        <v>0.0</v>
      </c>
      <c r="E262" s="44">
        <v>-0.57763</v>
      </c>
      <c r="F262" s="44">
        <v>-0.00258</v>
      </c>
      <c r="G262" s="44">
        <v>1.568629</v>
      </c>
      <c r="H262" s="389"/>
      <c r="I262" s="46" t="s">
        <v>2011</v>
      </c>
      <c r="J262" s="46" t="s">
        <v>354</v>
      </c>
      <c r="K262" s="46" t="s">
        <v>1568</v>
      </c>
      <c r="L262" s="46" t="s">
        <v>2012</v>
      </c>
      <c r="M262" s="389"/>
      <c r="N262" s="46" t="s">
        <v>1562</v>
      </c>
      <c r="O262" s="389"/>
      <c r="P262" s="389"/>
      <c r="Q262" s="389"/>
      <c r="R262" s="46">
        <v>3.0</v>
      </c>
      <c r="S262" s="45"/>
      <c r="T262" s="46" t="s">
        <v>1630</v>
      </c>
      <c r="U262" s="44">
        <v>71.0</v>
      </c>
      <c r="V262" s="44">
        <v>15.0</v>
      </c>
      <c r="W262" s="389"/>
      <c r="X262" s="44">
        <v>21.0</v>
      </c>
      <c r="Y262" s="44">
        <v>9.924648</v>
      </c>
      <c r="Z262" s="44">
        <v>1.787887</v>
      </c>
      <c r="AA262" s="44">
        <v>2.568592</v>
      </c>
      <c r="AB262" s="44">
        <v>2.703803</v>
      </c>
      <c r="AC262" s="44">
        <v>0.720986</v>
      </c>
      <c r="AD262" s="44">
        <v>0.315493</v>
      </c>
      <c r="AE262" s="44">
        <v>0.408089</v>
      </c>
      <c r="AF262" s="44">
        <v>8.291127</v>
      </c>
      <c r="AG262" s="44">
        <v>0.825972</v>
      </c>
      <c r="AH262" s="44">
        <v>1.65831</v>
      </c>
      <c r="AI262" s="44">
        <v>1.532113</v>
      </c>
      <c r="AJ262" s="44">
        <v>20.88822</v>
      </c>
      <c r="AK262" s="44">
        <v>-1.25433</v>
      </c>
      <c r="AL262" s="44">
        <v>0.027429</v>
      </c>
      <c r="AM262" s="44">
        <v>-1.45211</v>
      </c>
      <c r="AN262" s="44">
        <v>-0.4996</v>
      </c>
      <c r="AO262" s="44">
        <v>-0.8615</v>
      </c>
      <c r="AP262" s="44">
        <v>-0.78091</v>
      </c>
      <c r="AQ262" s="44">
        <v>-0.98702</v>
      </c>
      <c r="AR262" s="44">
        <v>0.152913</v>
      </c>
      <c r="AS262" s="44">
        <v>0.456493</v>
      </c>
    </row>
    <row r="263">
      <c r="A263" s="44">
        <v>262.0</v>
      </c>
      <c r="B263" s="389"/>
      <c r="C263" s="45"/>
      <c r="D263" s="45"/>
      <c r="E263" s="44">
        <v>-0.57779</v>
      </c>
      <c r="F263" s="44">
        <v>-0.0805</v>
      </c>
      <c r="G263" s="44">
        <v>0.815933</v>
      </c>
      <c r="H263" s="389"/>
      <c r="I263" s="46" t="s">
        <v>2013</v>
      </c>
      <c r="J263" s="46" t="s">
        <v>291</v>
      </c>
      <c r="K263" s="46" t="s">
        <v>1593</v>
      </c>
      <c r="L263" s="46" t="s">
        <v>2014</v>
      </c>
      <c r="M263" s="389"/>
      <c r="N263" s="46" t="s">
        <v>1612</v>
      </c>
      <c r="O263" s="46" t="s">
        <v>1600</v>
      </c>
      <c r="P263" s="389"/>
      <c r="Q263" s="389"/>
      <c r="R263" s="46">
        <v>5.0</v>
      </c>
      <c r="S263" s="45"/>
      <c r="T263" s="46" t="s">
        <v>1630</v>
      </c>
      <c r="U263" s="44">
        <v>75.0</v>
      </c>
      <c r="V263" s="44">
        <v>14.0</v>
      </c>
      <c r="W263" s="389"/>
      <c r="X263" s="44">
        <v>24.0</v>
      </c>
      <c r="Y263" s="44">
        <v>6.575467</v>
      </c>
      <c r="Z263" s="44">
        <v>1.338267</v>
      </c>
      <c r="AA263" s="44">
        <v>2.525067</v>
      </c>
      <c r="AB263" s="44">
        <v>1.637867</v>
      </c>
      <c r="AC263" s="44">
        <v>0.852533</v>
      </c>
      <c r="AD263" s="44">
        <v>0.202933</v>
      </c>
      <c r="AE263" s="44">
        <v>0.455482</v>
      </c>
      <c r="AF263" s="44">
        <v>5.200933</v>
      </c>
      <c r="AG263" s="44">
        <v>0.800043</v>
      </c>
      <c r="AH263" s="44">
        <v>0.624133</v>
      </c>
      <c r="AI263" s="44">
        <v>0.912533</v>
      </c>
      <c r="AJ263" s="44">
        <v>11.67537</v>
      </c>
      <c r="AK263" s="44">
        <v>-1.84453</v>
      </c>
      <c r="AL263" s="44">
        <v>-0.40261</v>
      </c>
      <c r="AM263" s="44">
        <v>-1.46997</v>
      </c>
      <c r="AN263" s="44">
        <v>-1.01386</v>
      </c>
      <c r="AO263" s="44">
        <v>-0.4708</v>
      </c>
      <c r="AP263" s="44">
        <v>-0.98395</v>
      </c>
      <c r="AQ263" s="44">
        <v>-0.25236</v>
      </c>
      <c r="AR263" s="44">
        <v>-0.00119</v>
      </c>
      <c r="AS263" s="44">
        <v>1.239119</v>
      </c>
    </row>
    <row r="264">
      <c r="A264" s="44">
        <v>263.0</v>
      </c>
      <c r="B264" s="389"/>
      <c r="C264" s="45"/>
      <c r="D264" s="45"/>
      <c r="E264" s="44">
        <v>-0.57896</v>
      </c>
      <c r="F264" s="44">
        <v>9.58E-4</v>
      </c>
      <c r="G264" s="44">
        <v>-1.1355</v>
      </c>
      <c r="H264" s="389"/>
      <c r="I264" s="46" t="s">
        <v>2015</v>
      </c>
      <c r="J264" s="46" t="s">
        <v>299</v>
      </c>
      <c r="K264" s="46" t="s">
        <v>1568</v>
      </c>
      <c r="L264" s="46" t="s">
        <v>2016</v>
      </c>
      <c r="M264" s="389"/>
      <c r="N264" s="46" t="s">
        <v>1570</v>
      </c>
      <c r="O264" s="46" t="s">
        <v>1853</v>
      </c>
      <c r="P264" s="389"/>
      <c r="Q264" s="389"/>
      <c r="R264" s="46">
        <v>4.0</v>
      </c>
      <c r="S264" s="45"/>
      <c r="T264" s="46" t="s">
        <v>1630</v>
      </c>
      <c r="U264" s="44">
        <v>66.0</v>
      </c>
      <c r="V264" s="44">
        <v>13.0</v>
      </c>
      <c r="W264" s="389"/>
      <c r="X264" s="44">
        <v>22.0</v>
      </c>
      <c r="Y264" s="44">
        <v>7.963485</v>
      </c>
      <c r="Z264" s="44">
        <v>1.567273</v>
      </c>
      <c r="AA264" s="44">
        <v>2.71697</v>
      </c>
      <c r="AB264" s="44">
        <v>2.764697</v>
      </c>
      <c r="AC264" s="44">
        <v>0.524394</v>
      </c>
      <c r="AD264" s="44">
        <v>0.048636</v>
      </c>
      <c r="AE264" s="44">
        <v>0.468091</v>
      </c>
      <c r="AF264" s="44">
        <v>6.149091</v>
      </c>
      <c r="AG264" s="44">
        <v>0.919007</v>
      </c>
      <c r="AH264" s="44">
        <v>0.695909</v>
      </c>
      <c r="AI264" s="44">
        <v>1.048636</v>
      </c>
      <c r="AJ264" s="44">
        <v>14.13291</v>
      </c>
      <c r="AK264" s="44">
        <v>-1.59993</v>
      </c>
      <c r="AL264" s="44">
        <v>-0.18358</v>
      </c>
      <c r="AM264" s="44">
        <v>-1.39123</v>
      </c>
      <c r="AN264" s="44">
        <v>-0.47022</v>
      </c>
      <c r="AO264" s="44">
        <v>-1.4454</v>
      </c>
      <c r="AP264" s="44">
        <v>-1.26228</v>
      </c>
      <c r="AQ264" s="44">
        <v>-0.18512</v>
      </c>
      <c r="AR264" s="44">
        <v>0.259909</v>
      </c>
      <c r="AS264" s="44">
        <v>1.067199</v>
      </c>
    </row>
    <row r="265">
      <c r="A265" s="44">
        <v>264.0</v>
      </c>
      <c r="B265" s="44">
        <v>137.6667</v>
      </c>
      <c r="C265" s="44">
        <v>37.0</v>
      </c>
      <c r="D265" s="44">
        <v>0.0</v>
      </c>
      <c r="E265" s="44">
        <v>-0.57934</v>
      </c>
      <c r="F265" s="44">
        <v>0.001623</v>
      </c>
      <c r="G265" s="44">
        <v>1.568629</v>
      </c>
      <c r="H265" s="389"/>
      <c r="I265" s="46" t="s">
        <v>76</v>
      </c>
      <c r="J265" s="46" t="s">
        <v>1560</v>
      </c>
      <c r="K265" s="46" t="s">
        <v>88</v>
      </c>
      <c r="L265" s="46" t="s">
        <v>2017</v>
      </c>
      <c r="M265" s="389"/>
      <c r="N265" s="46" t="s">
        <v>1562</v>
      </c>
      <c r="O265" s="389"/>
      <c r="P265" s="389"/>
      <c r="Q265" s="45"/>
      <c r="R265" s="46">
        <v>3.0</v>
      </c>
      <c r="S265" s="45"/>
      <c r="T265" s="46" t="s">
        <v>1645</v>
      </c>
      <c r="U265" s="44">
        <v>71.0</v>
      </c>
      <c r="V265" s="44">
        <v>14.0</v>
      </c>
      <c r="W265" s="389"/>
      <c r="X265" s="44">
        <v>27.0</v>
      </c>
      <c r="Y265" s="44">
        <v>10.99056</v>
      </c>
      <c r="Z265" s="44">
        <v>1.210563</v>
      </c>
      <c r="AA265" s="44">
        <v>3.614648</v>
      </c>
      <c r="AB265" s="44">
        <v>3.786761</v>
      </c>
      <c r="AC265" s="44">
        <v>0.975352</v>
      </c>
      <c r="AD265" s="44">
        <v>0.40169</v>
      </c>
      <c r="AE265" s="44">
        <v>0.4194</v>
      </c>
      <c r="AF265" s="44">
        <v>9.409155</v>
      </c>
      <c r="AG265" s="44">
        <v>0.742987</v>
      </c>
      <c r="AH265" s="44">
        <v>2.540563</v>
      </c>
      <c r="AI265" s="44">
        <v>2.29493</v>
      </c>
      <c r="AJ265" s="44">
        <v>20.16342</v>
      </c>
      <c r="AK265" s="44">
        <v>-1.0665</v>
      </c>
      <c r="AL265" s="44">
        <v>-0.52475</v>
      </c>
      <c r="AM265" s="44">
        <v>-1.02286</v>
      </c>
      <c r="AN265" s="44">
        <v>0.022877</v>
      </c>
      <c r="AO265" s="44">
        <v>-0.10602</v>
      </c>
      <c r="AP265" s="44">
        <v>-0.62542</v>
      </c>
      <c r="AQ265" s="44">
        <v>-0.96386</v>
      </c>
      <c r="AR265" s="44">
        <v>-0.42047</v>
      </c>
      <c r="AS265" s="44">
        <v>-0.50706</v>
      </c>
    </row>
    <row r="266">
      <c r="A266" s="44">
        <v>265.0</v>
      </c>
      <c r="B266" s="44">
        <v>145.0</v>
      </c>
      <c r="C266" s="44">
        <v>4.0</v>
      </c>
      <c r="D266" s="44">
        <v>0.0</v>
      </c>
      <c r="E266" s="44">
        <v>-0.58161</v>
      </c>
      <c r="F266" s="44">
        <v>-6.6E-4</v>
      </c>
      <c r="G266" s="44">
        <v>-0.5129</v>
      </c>
      <c r="H266" s="389"/>
      <c r="I266" s="46" t="s">
        <v>2018</v>
      </c>
      <c r="J266" s="46" t="s">
        <v>1608</v>
      </c>
      <c r="K266" s="46" t="s">
        <v>1593</v>
      </c>
      <c r="L266" s="46" t="s">
        <v>2019</v>
      </c>
      <c r="M266" s="389"/>
      <c r="N266" s="46" t="s">
        <v>1570</v>
      </c>
      <c r="O266" s="46" t="s">
        <v>1848</v>
      </c>
      <c r="P266" s="389"/>
      <c r="Q266" s="45"/>
      <c r="R266" s="46">
        <v>3.0</v>
      </c>
      <c r="S266" s="45"/>
      <c r="T266" s="46" t="s">
        <v>1630</v>
      </c>
      <c r="U266" s="44">
        <v>66.0</v>
      </c>
      <c r="V266" s="44">
        <v>14.0</v>
      </c>
      <c r="W266" s="389"/>
      <c r="X266" s="44">
        <v>25.0</v>
      </c>
      <c r="Y266" s="44">
        <v>12.92879</v>
      </c>
      <c r="Z266" s="44">
        <v>1.978788</v>
      </c>
      <c r="AA266" s="44">
        <v>2.887424</v>
      </c>
      <c r="AB266" s="44">
        <v>3.918788</v>
      </c>
      <c r="AC266" s="44">
        <v>0.721212</v>
      </c>
      <c r="AD266" s="44">
        <v>0.154848</v>
      </c>
      <c r="AE266" s="44">
        <v>0.399699</v>
      </c>
      <c r="AF266" s="44">
        <v>11.08561</v>
      </c>
      <c r="AG266" s="44">
        <v>0.818992</v>
      </c>
      <c r="AH266" s="44">
        <v>2.549697</v>
      </c>
      <c r="AI266" s="44">
        <v>2.115152</v>
      </c>
      <c r="AJ266" s="44">
        <v>24.85985</v>
      </c>
      <c r="AK266" s="44">
        <v>-0.72494</v>
      </c>
      <c r="AL266" s="44">
        <v>0.210015</v>
      </c>
      <c r="AM266" s="44">
        <v>-1.32128</v>
      </c>
      <c r="AN266" s="44">
        <v>0.086574</v>
      </c>
      <c r="AO266" s="44">
        <v>-0.86083</v>
      </c>
      <c r="AP266" s="44">
        <v>-1.07069</v>
      </c>
      <c r="AQ266" s="44">
        <v>-1.45949</v>
      </c>
      <c r="AR266" s="44">
        <v>0.186125</v>
      </c>
      <c r="AS266" s="44">
        <v>-0.27998</v>
      </c>
    </row>
    <row r="267">
      <c r="A267" s="44">
        <v>266.0</v>
      </c>
      <c r="B267" s="389"/>
      <c r="C267" s="389"/>
      <c r="D267" s="389"/>
      <c r="E267" s="44">
        <v>-0.58204</v>
      </c>
      <c r="F267" s="44">
        <v>-0.00597</v>
      </c>
      <c r="G267" s="44">
        <v>0.908858</v>
      </c>
      <c r="H267" s="389"/>
      <c r="I267" s="46" t="s">
        <v>2020</v>
      </c>
      <c r="J267" s="46" t="s">
        <v>495</v>
      </c>
      <c r="K267" s="46" t="s">
        <v>1572</v>
      </c>
      <c r="L267" s="46" t="s">
        <v>2021</v>
      </c>
      <c r="M267" s="46" t="s">
        <v>2022</v>
      </c>
      <c r="N267" s="46" t="s">
        <v>1562</v>
      </c>
      <c r="O267" s="46" t="s">
        <v>1648</v>
      </c>
      <c r="P267" s="389"/>
      <c r="Q267" s="45"/>
      <c r="R267" s="46">
        <v>3.0</v>
      </c>
      <c r="S267" s="45"/>
      <c r="T267" s="46" t="s">
        <v>1630</v>
      </c>
      <c r="U267" s="44">
        <v>56.0</v>
      </c>
      <c r="V267" s="44">
        <v>14.0</v>
      </c>
      <c r="W267" s="389"/>
      <c r="X267" s="44">
        <v>22.0</v>
      </c>
      <c r="Y267" s="44">
        <v>5.300893</v>
      </c>
      <c r="Z267" s="44">
        <v>1.0275</v>
      </c>
      <c r="AA267" s="44">
        <v>3.63</v>
      </c>
      <c r="AB267" s="44">
        <v>1.488393</v>
      </c>
      <c r="AC267" s="44">
        <v>0.760536</v>
      </c>
      <c r="AD267" s="44">
        <v>0.317679</v>
      </c>
      <c r="AE267" s="44">
        <v>0.447227</v>
      </c>
      <c r="AF267" s="44">
        <v>4.491964</v>
      </c>
      <c r="AG267" s="44">
        <v>0.711233</v>
      </c>
      <c r="AH267" s="44">
        <v>0.359286</v>
      </c>
      <c r="AI267" s="44">
        <v>0.680536</v>
      </c>
      <c r="AJ267" s="44">
        <v>10.41551</v>
      </c>
      <c r="AK267" s="44">
        <v>-2.06914</v>
      </c>
      <c r="AL267" s="44">
        <v>-0.69984</v>
      </c>
      <c r="AM267" s="44">
        <v>-1.01656</v>
      </c>
      <c r="AN267" s="44">
        <v>-1.08597</v>
      </c>
      <c r="AO267" s="44">
        <v>-0.74404</v>
      </c>
      <c r="AP267" s="44">
        <v>-0.77697</v>
      </c>
      <c r="AQ267" s="44">
        <v>-0.27178</v>
      </c>
      <c r="AR267" s="44">
        <v>-0.10622</v>
      </c>
      <c r="AS267" s="44">
        <v>1.532168</v>
      </c>
    </row>
    <row r="268">
      <c r="A268" s="44">
        <v>267.0</v>
      </c>
      <c r="B268" s="389"/>
      <c r="C268" s="389"/>
      <c r="D268" s="389"/>
      <c r="E268" s="44">
        <v>-0.58383</v>
      </c>
      <c r="F268" s="44">
        <v>5.2E-4</v>
      </c>
      <c r="G268" s="44">
        <v>-0.57795</v>
      </c>
      <c r="H268" s="389"/>
      <c r="I268" s="46" t="s">
        <v>224</v>
      </c>
      <c r="J268" s="46" t="s">
        <v>1608</v>
      </c>
      <c r="K268" s="46" t="s">
        <v>1568</v>
      </c>
      <c r="L268" s="46" t="s">
        <v>2023</v>
      </c>
      <c r="M268" s="389"/>
      <c r="N268" s="46" t="s">
        <v>1570</v>
      </c>
      <c r="O268" s="45"/>
      <c r="P268" s="389"/>
      <c r="Q268" s="389"/>
      <c r="R268" s="46">
        <v>4.0</v>
      </c>
      <c r="S268" s="45"/>
      <c r="T268" s="46" t="s">
        <v>1630</v>
      </c>
      <c r="U268" s="44">
        <v>66.0</v>
      </c>
      <c r="V268" s="44">
        <v>14.0</v>
      </c>
      <c r="W268" s="389"/>
      <c r="X268" s="44">
        <v>19.0</v>
      </c>
      <c r="Y268" s="44">
        <v>7.135455</v>
      </c>
      <c r="Z268" s="44">
        <v>1.349697</v>
      </c>
      <c r="AA268" s="44">
        <v>1.881061</v>
      </c>
      <c r="AB268" s="44">
        <v>1.763485</v>
      </c>
      <c r="AC268" s="44">
        <v>0.797727</v>
      </c>
      <c r="AD268" s="44">
        <v>0.199848</v>
      </c>
      <c r="AE268" s="44">
        <v>0.423417</v>
      </c>
      <c r="AF268" s="44">
        <v>6.348788</v>
      </c>
      <c r="AG268" s="44">
        <v>0.806086</v>
      </c>
      <c r="AH268" s="44">
        <v>0.507879</v>
      </c>
      <c r="AI268" s="44">
        <v>0.470303</v>
      </c>
      <c r="AJ268" s="44">
        <v>16.08395</v>
      </c>
      <c r="AK268" s="44">
        <v>-1.74585</v>
      </c>
      <c r="AL268" s="44">
        <v>-0.39168</v>
      </c>
      <c r="AM268" s="44">
        <v>-1.73425</v>
      </c>
      <c r="AN268" s="44">
        <v>-0.95325</v>
      </c>
      <c r="AO268" s="44">
        <v>-0.63358</v>
      </c>
      <c r="AP268" s="44">
        <v>-0.98952</v>
      </c>
      <c r="AQ268" s="44">
        <v>-0.61038</v>
      </c>
      <c r="AR268" s="44">
        <v>0.006285</v>
      </c>
      <c r="AS268" s="44">
        <v>1.797725</v>
      </c>
    </row>
    <row r="269">
      <c r="A269" s="44">
        <v>268.0</v>
      </c>
      <c r="B269" s="44">
        <v>135.3333</v>
      </c>
      <c r="C269" s="44">
        <v>4.0</v>
      </c>
      <c r="D269" s="44">
        <v>0.0</v>
      </c>
      <c r="E269" s="44">
        <v>-0.58445</v>
      </c>
      <c r="F269" s="44">
        <v>0.003793</v>
      </c>
      <c r="G269" s="44">
        <v>1.24339</v>
      </c>
      <c r="H269" s="389"/>
      <c r="I269" s="46" t="s">
        <v>2024</v>
      </c>
      <c r="J269" s="46" t="s">
        <v>269</v>
      </c>
      <c r="K269" s="46" t="s">
        <v>1572</v>
      </c>
      <c r="L269" s="46" t="s">
        <v>2025</v>
      </c>
      <c r="M269" s="389"/>
      <c r="N269" s="46" t="s">
        <v>1562</v>
      </c>
      <c r="O269" s="46" t="s">
        <v>1595</v>
      </c>
      <c r="P269" s="389"/>
      <c r="Q269" s="389"/>
      <c r="R269" s="46">
        <v>4.0</v>
      </c>
      <c r="S269" s="45"/>
      <c r="T269" s="46" t="s">
        <v>1630</v>
      </c>
      <c r="U269" s="44">
        <v>71.0</v>
      </c>
      <c r="V269" s="44">
        <v>16.0</v>
      </c>
      <c r="W269" s="389"/>
      <c r="X269" s="44">
        <v>19.0</v>
      </c>
      <c r="Y269" s="44">
        <v>6.549859</v>
      </c>
      <c r="Z269" s="44">
        <v>0.520423</v>
      </c>
      <c r="AA269" s="44">
        <v>3.15831</v>
      </c>
      <c r="AB269" s="44">
        <v>1.026338</v>
      </c>
      <c r="AC269" s="44">
        <v>0.502817</v>
      </c>
      <c r="AD269" s="44">
        <v>1.223944</v>
      </c>
      <c r="AE269" s="44">
        <v>0.490779</v>
      </c>
      <c r="AF269" s="44">
        <v>5.116901</v>
      </c>
      <c r="AG269" s="44">
        <v>0.671016</v>
      </c>
      <c r="AH269" s="44">
        <v>1.500563</v>
      </c>
      <c r="AI269" s="44">
        <v>0.691549</v>
      </c>
      <c r="AJ269" s="44">
        <v>14.68562</v>
      </c>
      <c r="AK269" s="44">
        <v>-1.84904</v>
      </c>
      <c r="AL269" s="44">
        <v>-1.18484</v>
      </c>
      <c r="AM269" s="44">
        <v>-1.21012</v>
      </c>
      <c r="AN269" s="44">
        <v>-1.30889</v>
      </c>
      <c r="AO269" s="44">
        <v>-1.50948</v>
      </c>
      <c r="AP269" s="44">
        <v>0.857808</v>
      </c>
      <c r="AQ269" s="44">
        <v>0.018652</v>
      </c>
      <c r="AR269" s="44">
        <v>-0.59244</v>
      </c>
      <c r="AS269" s="44">
        <v>1.518256</v>
      </c>
    </row>
    <row r="270">
      <c r="A270" s="44">
        <v>269.0</v>
      </c>
      <c r="B270" s="44">
        <v>149.0</v>
      </c>
      <c r="C270" s="44">
        <v>1.0</v>
      </c>
      <c r="D270" s="44">
        <v>0.0</v>
      </c>
      <c r="E270" s="44">
        <v>-0.58568</v>
      </c>
      <c r="F270" s="44">
        <v>0.005879</v>
      </c>
      <c r="G270" s="44">
        <v>-0.0111</v>
      </c>
      <c r="H270" s="389"/>
      <c r="I270" s="46" t="s">
        <v>2026</v>
      </c>
      <c r="J270" s="46" t="s">
        <v>283</v>
      </c>
      <c r="K270" s="46" t="s">
        <v>97</v>
      </c>
      <c r="L270" s="46" t="s">
        <v>2027</v>
      </c>
      <c r="M270" s="389"/>
      <c r="N270" s="46" t="s">
        <v>1562</v>
      </c>
      <c r="O270" s="46" t="s">
        <v>1776</v>
      </c>
      <c r="P270" s="389"/>
      <c r="Q270" s="389"/>
      <c r="R270" s="46">
        <v>4.0</v>
      </c>
      <c r="S270" s="45"/>
      <c r="T270" s="46" t="s">
        <v>1630</v>
      </c>
      <c r="U270" s="44">
        <v>71.0</v>
      </c>
      <c r="V270" s="44">
        <v>14.0</v>
      </c>
      <c r="W270" s="389"/>
      <c r="X270" s="44">
        <v>17.0</v>
      </c>
      <c r="Y270" s="44">
        <v>6.260423</v>
      </c>
      <c r="Z270" s="44">
        <v>0.006056</v>
      </c>
      <c r="AA270" s="44">
        <v>4.026197</v>
      </c>
      <c r="AB270" s="44">
        <v>0.766479</v>
      </c>
      <c r="AC270" s="44">
        <v>0.512958</v>
      </c>
      <c r="AD270" s="44">
        <v>0.735352</v>
      </c>
      <c r="AE270" s="44">
        <v>0.747921</v>
      </c>
      <c r="AF270" s="44">
        <v>3.505493</v>
      </c>
      <c r="AG270" s="44">
        <v>0.643011</v>
      </c>
      <c r="AH270" s="44">
        <v>1.571831</v>
      </c>
      <c r="AI270" s="44">
        <v>0.699437</v>
      </c>
      <c r="AJ270" s="44">
        <v>12.78614</v>
      </c>
      <c r="AK270" s="44">
        <v>-1.90005</v>
      </c>
      <c r="AL270" s="44">
        <v>-1.6768</v>
      </c>
      <c r="AM270" s="44">
        <v>-0.85397</v>
      </c>
      <c r="AN270" s="44">
        <v>-1.43426</v>
      </c>
      <c r="AO270" s="44">
        <v>-1.47936</v>
      </c>
      <c r="AP270" s="44">
        <v>-0.02354</v>
      </c>
      <c r="AQ270" s="44">
        <v>1.346698</v>
      </c>
      <c r="AR270" s="44">
        <v>-0.75809</v>
      </c>
      <c r="AS270" s="44">
        <v>1.508293</v>
      </c>
    </row>
    <row r="271">
      <c r="A271" s="44">
        <v>270.0</v>
      </c>
      <c r="B271" s="389"/>
      <c r="C271" s="389"/>
      <c r="D271" s="389"/>
      <c r="E271" s="44">
        <v>-0.59121</v>
      </c>
      <c r="F271" s="44">
        <v>0.003345</v>
      </c>
      <c r="G271" s="44">
        <v>0.026066</v>
      </c>
      <c r="H271" s="389"/>
      <c r="I271" s="46" t="s">
        <v>2028</v>
      </c>
      <c r="J271" s="46" t="s">
        <v>1560</v>
      </c>
      <c r="K271" s="46" t="s">
        <v>97</v>
      </c>
      <c r="L271" s="46" t="s">
        <v>2029</v>
      </c>
      <c r="M271" s="389"/>
      <c r="N271" s="46" t="s">
        <v>1570</v>
      </c>
      <c r="O271" s="46" t="s">
        <v>1576</v>
      </c>
      <c r="P271" s="389"/>
      <c r="Q271" s="389"/>
      <c r="R271" s="46">
        <v>4.0</v>
      </c>
      <c r="S271" s="45"/>
      <c r="T271" s="46" t="s">
        <v>1630</v>
      </c>
      <c r="U271" s="44">
        <v>66.0</v>
      </c>
      <c r="V271" s="44">
        <v>14.0</v>
      </c>
      <c r="W271" s="389"/>
      <c r="X271" s="44">
        <v>17.0</v>
      </c>
      <c r="Y271" s="44">
        <v>7.19803</v>
      </c>
      <c r="Z271" s="44">
        <v>0.677273</v>
      </c>
      <c r="AA271" s="44">
        <v>3.829242</v>
      </c>
      <c r="AB271" s="44">
        <v>2.348182</v>
      </c>
      <c r="AC271" s="44">
        <v>0.626212</v>
      </c>
      <c r="AD271" s="44">
        <v>0.369545</v>
      </c>
      <c r="AE271" s="44">
        <v>0.511359</v>
      </c>
      <c r="AF271" s="44">
        <v>4.948788</v>
      </c>
      <c r="AG271" s="44">
        <v>0.805974</v>
      </c>
      <c r="AH271" s="44">
        <v>1.810909</v>
      </c>
      <c r="AI271" s="44">
        <v>1.372727</v>
      </c>
      <c r="AJ271" s="44">
        <v>17.77882</v>
      </c>
      <c r="AK271" s="44">
        <v>-1.73482</v>
      </c>
      <c r="AL271" s="44">
        <v>-1.03482</v>
      </c>
      <c r="AM271" s="44">
        <v>-0.9348</v>
      </c>
      <c r="AN271" s="44">
        <v>-0.67117</v>
      </c>
      <c r="AO271" s="44">
        <v>-1.14299</v>
      </c>
      <c r="AP271" s="44">
        <v>-0.68341</v>
      </c>
      <c r="AQ271" s="44">
        <v>0.168732</v>
      </c>
      <c r="AR271" s="44">
        <v>0.054525</v>
      </c>
      <c r="AS271" s="44">
        <v>0.657822</v>
      </c>
    </row>
    <row r="272">
      <c r="A272" s="44">
        <v>271.0</v>
      </c>
      <c r="B272" s="389"/>
      <c r="C272" s="389"/>
      <c r="D272" s="389"/>
      <c r="E272" s="44">
        <v>-0.59547</v>
      </c>
      <c r="F272" s="44">
        <v>2.22E-4</v>
      </c>
      <c r="G272" s="44">
        <v>1.066832</v>
      </c>
      <c r="H272" s="389"/>
      <c r="I272" s="46" t="s">
        <v>2030</v>
      </c>
      <c r="J272" s="46" t="s">
        <v>332</v>
      </c>
      <c r="K272" s="46" t="s">
        <v>85</v>
      </c>
      <c r="L272" s="46" t="s">
        <v>2031</v>
      </c>
      <c r="M272" s="389"/>
      <c r="N272" s="46" t="s">
        <v>1562</v>
      </c>
      <c r="O272" s="389"/>
      <c r="P272" s="389"/>
      <c r="Q272" s="389"/>
      <c r="R272" s="46">
        <v>4.0</v>
      </c>
      <c r="S272" s="45"/>
      <c r="T272" s="46" t="s">
        <v>1630</v>
      </c>
      <c r="U272" s="44">
        <v>71.0</v>
      </c>
      <c r="V272" s="44">
        <v>15.0</v>
      </c>
      <c r="W272" s="389"/>
      <c r="X272" s="44">
        <v>20.0</v>
      </c>
      <c r="Y272" s="44">
        <v>7.774507</v>
      </c>
      <c r="Z272" s="44">
        <v>0.97169</v>
      </c>
      <c r="AA272" s="44">
        <v>1.587887</v>
      </c>
      <c r="AB272" s="44">
        <v>4.26493</v>
      </c>
      <c r="AC272" s="44">
        <v>0.987042</v>
      </c>
      <c r="AD272" s="44">
        <v>0.172676</v>
      </c>
      <c r="AE272" s="44">
        <v>0.415807</v>
      </c>
      <c r="AF272" s="44">
        <v>7.124789</v>
      </c>
      <c r="AG272" s="44">
        <v>0.770048</v>
      </c>
      <c r="AH272" s="44">
        <v>1.139859</v>
      </c>
      <c r="AI272" s="44">
        <v>1.416197</v>
      </c>
      <c r="AJ272" s="44">
        <v>18.82651</v>
      </c>
      <c r="AK272" s="44">
        <v>-1.63323</v>
      </c>
      <c r="AL272" s="44">
        <v>-0.75322</v>
      </c>
      <c r="AM272" s="44">
        <v>-1.85455</v>
      </c>
      <c r="AN272" s="44">
        <v>0.25357</v>
      </c>
      <c r="AO272" s="44">
        <v>-0.0713</v>
      </c>
      <c r="AP272" s="44">
        <v>-1.03853</v>
      </c>
      <c r="AQ272" s="44">
        <v>-0.76595</v>
      </c>
      <c r="AR272" s="44">
        <v>-0.0989</v>
      </c>
      <c r="AS272" s="44">
        <v>0.602912</v>
      </c>
    </row>
    <row r="273">
      <c r="A273" s="44">
        <v>272.0</v>
      </c>
      <c r="B273" s="389"/>
      <c r="C273" s="45"/>
      <c r="D273" s="45"/>
      <c r="E273" s="44">
        <v>-0.59678</v>
      </c>
      <c r="F273" s="44">
        <v>0.002058</v>
      </c>
      <c r="G273" s="44">
        <v>-0.18766</v>
      </c>
      <c r="H273" s="389"/>
      <c r="I273" s="46" t="s">
        <v>2032</v>
      </c>
      <c r="J273" s="46" t="s">
        <v>1560</v>
      </c>
      <c r="K273" s="46" t="s">
        <v>1593</v>
      </c>
      <c r="L273" s="46" t="s">
        <v>2033</v>
      </c>
      <c r="M273" s="389"/>
      <c r="N273" s="46" t="s">
        <v>1562</v>
      </c>
      <c r="O273" s="45"/>
      <c r="P273" s="389"/>
      <c r="Q273" s="45"/>
      <c r="R273" s="46">
        <v>4.0</v>
      </c>
      <c r="S273" s="45"/>
      <c r="T273" s="46" t="s">
        <v>1630</v>
      </c>
      <c r="U273" s="44">
        <v>71.0</v>
      </c>
      <c r="V273" s="44">
        <v>14.0</v>
      </c>
      <c r="W273" s="389"/>
      <c r="X273" s="44">
        <v>20.0</v>
      </c>
      <c r="Y273" s="44">
        <v>9.773803</v>
      </c>
      <c r="Z273" s="44">
        <v>0.925915</v>
      </c>
      <c r="AA273" s="44">
        <v>3.99493</v>
      </c>
      <c r="AB273" s="44">
        <v>1.27493</v>
      </c>
      <c r="AC273" s="44">
        <v>0.497183</v>
      </c>
      <c r="AD273" s="44">
        <v>0.259014</v>
      </c>
      <c r="AE273" s="44">
        <v>0.487312</v>
      </c>
      <c r="AF273" s="44">
        <v>7.820141</v>
      </c>
      <c r="AG273" s="44">
        <v>0.784042</v>
      </c>
      <c r="AH273" s="44">
        <v>1.563944</v>
      </c>
      <c r="AI273" s="44">
        <v>0.904507</v>
      </c>
      <c r="AJ273" s="44">
        <v>19.98309</v>
      </c>
      <c r="AK273" s="44">
        <v>-1.28091</v>
      </c>
      <c r="AL273" s="44">
        <v>-0.797</v>
      </c>
      <c r="AM273" s="44">
        <v>-0.8668</v>
      </c>
      <c r="AN273" s="44">
        <v>-1.18896</v>
      </c>
      <c r="AO273" s="44">
        <v>-1.52621</v>
      </c>
      <c r="AP273" s="44">
        <v>-0.88279</v>
      </c>
      <c r="AQ273" s="44">
        <v>-0.0153</v>
      </c>
      <c r="AR273" s="44">
        <v>-0.06228</v>
      </c>
      <c r="AS273" s="44">
        <v>1.249257</v>
      </c>
    </row>
    <row r="274">
      <c r="A274" s="44">
        <v>273.0</v>
      </c>
      <c r="B274" s="389"/>
      <c r="C274" s="389"/>
      <c r="D274" s="389"/>
      <c r="E274" s="44">
        <v>-0.59691</v>
      </c>
      <c r="F274" s="44">
        <v>-0.05457</v>
      </c>
      <c r="G274" s="44">
        <v>0.750885</v>
      </c>
      <c r="H274" s="389"/>
      <c r="I274" s="46" t="s">
        <v>2034</v>
      </c>
      <c r="J274" s="46" t="s">
        <v>365</v>
      </c>
      <c r="K274" s="46" t="s">
        <v>88</v>
      </c>
      <c r="L274" s="46" t="s">
        <v>2035</v>
      </c>
      <c r="M274" s="389"/>
      <c r="N274" s="46" t="s">
        <v>1562</v>
      </c>
      <c r="O274" s="389"/>
      <c r="P274" s="389"/>
      <c r="Q274" s="45"/>
      <c r="R274" s="46">
        <v>2.0</v>
      </c>
      <c r="S274" s="45"/>
      <c r="T274" s="46" t="s">
        <v>1630</v>
      </c>
      <c r="U274" s="44">
        <v>71.0</v>
      </c>
      <c r="V274" s="44">
        <v>13.0</v>
      </c>
      <c r="W274" s="389"/>
      <c r="X274" s="44">
        <v>22.0</v>
      </c>
      <c r="Y274" s="44">
        <v>9.670423</v>
      </c>
      <c r="Z274" s="44">
        <v>0.742676</v>
      </c>
      <c r="AA274" s="44">
        <v>2.915775</v>
      </c>
      <c r="AB274" s="44">
        <v>1.724225</v>
      </c>
      <c r="AC274" s="44">
        <v>0.499155</v>
      </c>
      <c r="AD274" s="44">
        <v>0.285493</v>
      </c>
      <c r="AE274" s="44">
        <v>0.508004</v>
      </c>
      <c r="AF274" s="44">
        <v>7.803803</v>
      </c>
      <c r="AG274" s="44">
        <v>0.800023</v>
      </c>
      <c r="AH274" s="44">
        <v>1.248732</v>
      </c>
      <c r="AI274" s="44">
        <v>0.862113</v>
      </c>
      <c r="AJ274" s="44">
        <v>18.18021</v>
      </c>
      <c r="AK274" s="44">
        <v>-1.29913</v>
      </c>
      <c r="AL274" s="44">
        <v>-0.97226</v>
      </c>
      <c r="AM274" s="44">
        <v>-1.30964</v>
      </c>
      <c r="AN274" s="44">
        <v>-0.97219</v>
      </c>
      <c r="AO274" s="44">
        <v>-1.52036</v>
      </c>
      <c r="AP274" s="44">
        <v>-0.83503</v>
      </c>
      <c r="AQ274" s="44">
        <v>0.223313</v>
      </c>
      <c r="AR274" s="44">
        <v>0.010317</v>
      </c>
      <c r="AS274" s="44">
        <v>1.302808</v>
      </c>
    </row>
    <row r="275">
      <c r="A275" s="44">
        <v>274.0</v>
      </c>
      <c r="B275" s="44">
        <v>141.5952</v>
      </c>
      <c r="C275" s="44">
        <v>74.0</v>
      </c>
      <c r="D275" s="44">
        <v>0.0</v>
      </c>
      <c r="E275" s="44">
        <v>-0.59798</v>
      </c>
      <c r="F275" s="44">
        <v>-0.05242</v>
      </c>
      <c r="G275" s="44">
        <v>0.741592</v>
      </c>
      <c r="H275" s="389"/>
      <c r="I275" s="46" t="s">
        <v>74</v>
      </c>
      <c r="J275" s="46" t="s">
        <v>342</v>
      </c>
      <c r="K275" s="46" t="s">
        <v>1568</v>
      </c>
      <c r="L275" s="46" t="s">
        <v>2036</v>
      </c>
      <c r="M275" s="389"/>
      <c r="N275" s="46" t="s">
        <v>1570</v>
      </c>
      <c r="O275" s="46" t="s">
        <v>1576</v>
      </c>
      <c r="P275" s="389"/>
      <c r="Q275" s="45"/>
      <c r="R275" s="46">
        <v>2.0</v>
      </c>
      <c r="S275" s="45"/>
      <c r="T275" s="46" t="s">
        <v>1630</v>
      </c>
      <c r="U275" s="44">
        <v>61.0</v>
      </c>
      <c r="V275" s="44">
        <v>16.0</v>
      </c>
      <c r="W275" s="389"/>
      <c r="X275" s="44">
        <v>23.0</v>
      </c>
      <c r="Y275" s="44">
        <v>11.71197</v>
      </c>
      <c r="Z275" s="44">
        <v>1.141148</v>
      </c>
      <c r="AA275" s="44">
        <v>2.060492</v>
      </c>
      <c r="AB275" s="44">
        <v>2.875082</v>
      </c>
      <c r="AC275" s="44">
        <v>0.614262</v>
      </c>
      <c r="AD275" s="44">
        <v>0.096721</v>
      </c>
      <c r="AE275" s="44">
        <v>0.483709</v>
      </c>
      <c r="AF275" s="44">
        <v>8.96082</v>
      </c>
      <c r="AG275" s="44">
        <v>0.84903</v>
      </c>
      <c r="AH275" s="44">
        <v>2.240164</v>
      </c>
      <c r="AI275" s="44">
        <v>1.677049</v>
      </c>
      <c r="AJ275" s="44">
        <v>21.69869</v>
      </c>
      <c r="AK275" s="44">
        <v>-0.93937</v>
      </c>
      <c r="AL275" s="44">
        <v>-0.59114</v>
      </c>
      <c r="AM275" s="44">
        <v>-1.66062</v>
      </c>
      <c r="AN275" s="44">
        <v>-0.41696</v>
      </c>
      <c r="AO275" s="44">
        <v>-1.17848</v>
      </c>
      <c r="AP275" s="44">
        <v>-1.17555</v>
      </c>
      <c r="AQ275" s="44">
        <v>-0.06626</v>
      </c>
      <c r="AR275" s="44">
        <v>0.373118</v>
      </c>
      <c r="AS275" s="44">
        <v>0.273415</v>
      </c>
    </row>
    <row r="276">
      <c r="A276" s="44">
        <v>275.0</v>
      </c>
      <c r="B276" s="44">
        <v>142.0</v>
      </c>
      <c r="C276" s="44">
        <v>3.0</v>
      </c>
      <c r="D276" s="44">
        <v>0.0</v>
      </c>
      <c r="E276" s="44">
        <v>-0.61396</v>
      </c>
      <c r="F276" s="44">
        <v>0.002787</v>
      </c>
      <c r="G276" s="44">
        <v>-0.36422</v>
      </c>
      <c r="H276" s="389"/>
      <c r="I276" s="46" t="s">
        <v>2037</v>
      </c>
      <c r="J276" s="46" t="s">
        <v>354</v>
      </c>
      <c r="K276" s="46" t="s">
        <v>97</v>
      </c>
      <c r="L276" s="46" t="s">
        <v>2038</v>
      </c>
      <c r="M276" s="389"/>
      <c r="N276" s="46" t="s">
        <v>1570</v>
      </c>
      <c r="O276" s="46" t="s">
        <v>1576</v>
      </c>
      <c r="P276" s="389"/>
      <c r="Q276" s="389"/>
      <c r="R276" s="46">
        <v>2.0</v>
      </c>
      <c r="S276" s="45"/>
      <c r="T276" s="46" t="s">
        <v>1630</v>
      </c>
      <c r="U276" s="44">
        <v>40.0</v>
      </c>
      <c r="V276" s="44">
        <v>15.0</v>
      </c>
      <c r="W276" s="389"/>
      <c r="X276" s="44">
        <v>16.0</v>
      </c>
      <c r="Y276" s="44">
        <v>8.1085</v>
      </c>
      <c r="Z276" s="44">
        <v>0.40425</v>
      </c>
      <c r="AA276" s="44">
        <v>5.83675</v>
      </c>
      <c r="AB276" s="44">
        <v>2.266</v>
      </c>
      <c r="AC276" s="44">
        <v>0.63075</v>
      </c>
      <c r="AD276" s="44">
        <v>0.56025</v>
      </c>
      <c r="AE276" s="44">
        <v>0.502097</v>
      </c>
      <c r="AF276" s="44">
        <v>6.3185</v>
      </c>
      <c r="AG276" s="44">
        <v>0.651997</v>
      </c>
      <c r="AH276" s="44">
        <v>2.08475</v>
      </c>
      <c r="AI276" s="44">
        <v>1.5365</v>
      </c>
      <c r="AJ276" s="44">
        <v>22.78988</v>
      </c>
      <c r="AK276" s="44">
        <v>-1.57438</v>
      </c>
      <c r="AL276" s="44">
        <v>-1.29595</v>
      </c>
      <c r="AM276" s="44">
        <v>-0.111</v>
      </c>
      <c r="AN276" s="44">
        <v>-0.71081</v>
      </c>
      <c r="AO276" s="44">
        <v>-1.12951</v>
      </c>
      <c r="AP276" s="44">
        <v>-0.3394</v>
      </c>
      <c r="AQ276" s="44">
        <v>0.127016</v>
      </c>
      <c r="AR276" s="44">
        <v>-0.94252</v>
      </c>
      <c r="AS276" s="44">
        <v>0.450951</v>
      </c>
    </row>
    <row r="277">
      <c r="A277" s="44">
        <v>276.0</v>
      </c>
      <c r="B277" s="389"/>
      <c r="C277" s="389"/>
      <c r="D277" s="389"/>
      <c r="E277" s="44">
        <v>-0.61553</v>
      </c>
      <c r="F277" s="44">
        <v>0.001667</v>
      </c>
      <c r="G277" s="44">
        <v>0.964613</v>
      </c>
      <c r="H277" s="389"/>
      <c r="I277" s="46" t="s">
        <v>2039</v>
      </c>
      <c r="J277" s="46" t="s">
        <v>273</v>
      </c>
      <c r="K277" s="46" t="s">
        <v>1593</v>
      </c>
      <c r="L277" s="46" t="s">
        <v>2040</v>
      </c>
      <c r="M277" s="389"/>
      <c r="N277" s="46" t="s">
        <v>1570</v>
      </c>
      <c r="O277" s="46" t="s">
        <v>1571</v>
      </c>
      <c r="P277" s="389"/>
      <c r="Q277" s="389"/>
      <c r="R277" s="46">
        <v>1.0</v>
      </c>
      <c r="S277" s="45"/>
      <c r="T277" s="46" t="s">
        <v>1630</v>
      </c>
      <c r="U277" s="44">
        <v>59.0</v>
      </c>
      <c r="V277" s="44">
        <v>13.0</v>
      </c>
      <c r="W277" s="389"/>
      <c r="X277" s="44">
        <v>19.0</v>
      </c>
      <c r="Y277" s="44">
        <v>7.778136</v>
      </c>
      <c r="Z277" s="44">
        <v>0.878644</v>
      </c>
      <c r="AA277" s="44">
        <v>2.301356</v>
      </c>
      <c r="AB277" s="44">
        <v>2.018814</v>
      </c>
      <c r="AC277" s="44">
        <v>0.686441</v>
      </c>
      <c r="AD277" s="44">
        <v>0.129661</v>
      </c>
      <c r="AE277" s="44">
        <v>0.48202</v>
      </c>
      <c r="AF277" s="44">
        <v>6.05678</v>
      </c>
      <c r="AG277" s="44">
        <v>0.82016</v>
      </c>
      <c r="AH277" s="44">
        <v>1.293051</v>
      </c>
      <c r="AI277" s="44">
        <v>0.807458</v>
      </c>
      <c r="AJ277" s="44">
        <v>16.74527</v>
      </c>
      <c r="AK277" s="44">
        <v>-1.63259</v>
      </c>
      <c r="AL277" s="44">
        <v>-0.84222</v>
      </c>
      <c r="AM277" s="44">
        <v>-1.56178</v>
      </c>
      <c r="AN277" s="44">
        <v>-0.83007</v>
      </c>
      <c r="AO277" s="44">
        <v>-0.96411</v>
      </c>
      <c r="AP277" s="44">
        <v>-1.11613</v>
      </c>
      <c r="AQ277" s="44">
        <v>-0.05759</v>
      </c>
      <c r="AR277" s="44">
        <v>0.092838</v>
      </c>
      <c r="AS277" s="44">
        <v>1.371846</v>
      </c>
    </row>
    <row r="278">
      <c r="A278" s="44">
        <v>277.0</v>
      </c>
      <c r="B278" s="389"/>
      <c r="C278" s="44">
        <v>1.0</v>
      </c>
      <c r="D278" s="44">
        <v>0.0</v>
      </c>
      <c r="E278" s="44">
        <v>-0.61568</v>
      </c>
      <c r="F278" s="44">
        <v>0.026873</v>
      </c>
      <c r="G278" s="44">
        <v>-0.24342</v>
      </c>
      <c r="H278" s="389"/>
      <c r="I278" s="46" t="s">
        <v>2041</v>
      </c>
      <c r="J278" s="46" t="s">
        <v>342</v>
      </c>
      <c r="K278" s="46" t="s">
        <v>85</v>
      </c>
      <c r="L278" s="46" t="s">
        <v>2042</v>
      </c>
      <c r="M278" s="389"/>
      <c r="N278" s="46" t="s">
        <v>1570</v>
      </c>
      <c r="O278" s="46" t="s">
        <v>1571</v>
      </c>
      <c r="P278" s="389"/>
      <c r="Q278" s="389"/>
      <c r="R278" s="46">
        <v>3.0</v>
      </c>
      <c r="S278" s="45"/>
      <c r="T278" s="46" t="s">
        <v>1630</v>
      </c>
      <c r="U278" s="44">
        <v>58.0</v>
      </c>
      <c r="V278" s="44">
        <v>16.0</v>
      </c>
      <c r="W278" s="389"/>
      <c r="X278" s="44">
        <v>23.0</v>
      </c>
      <c r="Y278" s="44">
        <v>10.38448</v>
      </c>
      <c r="Z278" s="44">
        <v>1.327586</v>
      </c>
      <c r="AA278" s="44">
        <v>2.875</v>
      </c>
      <c r="AB278" s="44">
        <v>3.077586</v>
      </c>
      <c r="AC278" s="44">
        <v>0.766724</v>
      </c>
      <c r="AD278" s="44">
        <v>0.14569</v>
      </c>
      <c r="AE278" s="44">
        <v>0.42901</v>
      </c>
      <c r="AF278" s="44">
        <v>9.2</v>
      </c>
      <c r="AG278" s="44">
        <v>0.819983</v>
      </c>
      <c r="AH278" s="44">
        <v>1.418448</v>
      </c>
      <c r="AI278" s="44">
        <v>1.725</v>
      </c>
      <c r="AJ278" s="44">
        <v>21.55976</v>
      </c>
      <c r="AK278" s="44">
        <v>-1.1733</v>
      </c>
      <c r="AL278" s="44">
        <v>-0.41283</v>
      </c>
      <c r="AM278" s="44">
        <v>-1.32638</v>
      </c>
      <c r="AN278" s="44">
        <v>-0.31926</v>
      </c>
      <c r="AO278" s="44">
        <v>-0.72566</v>
      </c>
      <c r="AP278" s="44">
        <v>-1.08721</v>
      </c>
      <c r="AQ278" s="44">
        <v>-0.81165</v>
      </c>
      <c r="AR278" s="44">
        <v>0.102292</v>
      </c>
      <c r="AS278" s="44">
        <v>0.212846</v>
      </c>
    </row>
    <row r="279">
      <c r="A279" s="44">
        <v>278.0</v>
      </c>
      <c r="B279" s="44">
        <v>144.0</v>
      </c>
      <c r="C279" s="44">
        <v>3.0</v>
      </c>
      <c r="D279" s="44">
        <v>0.0</v>
      </c>
      <c r="E279" s="44">
        <v>-0.62096</v>
      </c>
      <c r="F279" s="44">
        <v>-0.05124</v>
      </c>
      <c r="G279" s="44">
        <v>0.137576</v>
      </c>
      <c r="H279" s="389"/>
      <c r="I279" s="46" t="s">
        <v>173</v>
      </c>
      <c r="J279" s="46" t="s">
        <v>332</v>
      </c>
      <c r="K279" s="46" t="s">
        <v>1593</v>
      </c>
      <c r="L279" s="46" t="s">
        <v>2043</v>
      </c>
      <c r="M279" s="389"/>
      <c r="N279" s="46" t="s">
        <v>1562</v>
      </c>
      <c r="O279" s="389"/>
      <c r="P279" s="389"/>
      <c r="Q279" s="45"/>
      <c r="R279" s="46">
        <v>3.0</v>
      </c>
      <c r="S279" s="45"/>
      <c r="T279" s="46" t="s">
        <v>1630</v>
      </c>
      <c r="U279" s="44">
        <v>71.0</v>
      </c>
      <c r="V279" s="44">
        <v>15.0</v>
      </c>
      <c r="W279" s="389"/>
      <c r="X279" s="44">
        <v>23.0</v>
      </c>
      <c r="Y279" s="44">
        <v>9.84493</v>
      </c>
      <c r="Z279" s="44">
        <v>1.593662</v>
      </c>
      <c r="AA279" s="44">
        <v>2.961268</v>
      </c>
      <c r="AB279" s="44">
        <v>1.184507</v>
      </c>
      <c r="AC279" s="44">
        <v>0.676761</v>
      </c>
      <c r="AD279" s="44">
        <v>0.1</v>
      </c>
      <c r="AE279" s="44">
        <v>0.418222</v>
      </c>
      <c r="AF279" s="44">
        <v>8.192958</v>
      </c>
      <c r="AG279" s="44">
        <v>0.841</v>
      </c>
      <c r="AH279" s="44">
        <v>1.662676</v>
      </c>
      <c r="AI279" s="44">
        <v>0.987042</v>
      </c>
      <c r="AJ279" s="44">
        <v>17.94424</v>
      </c>
      <c r="AK279" s="44">
        <v>-1.26838</v>
      </c>
      <c r="AL279" s="44">
        <v>-0.15834</v>
      </c>
      <c r="AM279" s="44">
        <v>-1.29098</v>
      </c>
      <c r="AN279" s="44">
        <v>-1.23258</v>
      </c>
      <c r="AO279" s="44">
        <v>-0.99286</v>
      </c>
      <c r="AP279" s="44">
        <v>-1.16963</v>
      </c>
      <c r="AQ279" s="44">
        <v>-0.85261</v>
      </c>
      <c r="AR279" s="44">
        <v>0.231746</v>
      </c>
      <c r="AS279" s="44">
        <v>1.145002</v>
      </c>
    </row>
    <row r="280">
      <c r="A280" s="44">
        <v>279.0</v>
      </c>
      <c r="B280" s="389"/>
      <c r="C280" s="45"/>
      <c r="D280" s="45"/>
      <c r="E280" s="44">
        <v>-0.621</v>
      </c>
      <c r="F280" s="44">
        <v>0.065349</v>
      </c>
      <c r="G280" s="44">
        <v>-0.23413</v>
      </c>
      <c r="H280" s="389"/>
      <c r="I280" s="46" t="s">
        <v>2044</v>
      </c>
      <c r="J280" s="46" t="s">
        <v>317</v>
      </c>
      <c r="K280" s="46" t="s">
        <v>85</v>
      </c>
      <c r="L280" s="46" t="s">
        <v>2045</v>
      </c>
      <c r="M280" s="389"/>
      <c r="N280" s="46" t="s">
        <v>1562</v>
      </c>
      <c r="O280" s="389"/>
      <c r="P280" s="389"/>
      <c r="Q280" s="45"/>
      <c r="R280" s="46">
        <v>3.0</v>
      </c>
      <c r="S280" s="45"/>
      <c r="T280" s="46" t="s">
        <v>1630</v>
      </c>
      <c r="U280" s="44">
        <v>71.0</v>
      </c>
      <c r="V280" s="44">
        <v>14.0</v>
      </c>
      <c r="W280" s="389"/>
      <c r="X280" s="44">
        <v>19.0</v>
      </c>
      <c r="Y280" s="44">
        <v>9.10662</v>
      </c>
      <c r="Z280" s="44">
        <v>0.860423</v>
      </c>
      <c r="AA280" s="44">
        <v>2.638592</v>
      </c>
      <c r="AB280" s="44">
        <v>2.518732</v>
      </c>
      <c r="AC280" s="44">
        <v>0.624789</v>
      </c>
      <c r="AD280" s="44">
        <v>0.479718</v>
      </c>
      <c r="AE280" s="44">
        <v>0.490127</v>
      </c>
      <c r="AF280" s="44">
        <v>6.876056</v>
      </c>
      <c r="AG280" s="44">
        <v>0.729979</v>
      </c>
      <c r="AH280" s="44">
        <v>2.062958</v>
      </c>
      <c r="AI280" s="44">
        <v>1.319296</v>
      </c>
      <c r="AJ280" s="44">
        <v>20.47567</v>
      </c>
      <c r="AK280" s="44">
        <v>-1.39849</v>
      </c>
      <c r="AL280" s="44">
        <v>-0.85964</v>
      </c>
      <c r="AM280" s="44">
        <v>-1.42339</v>
      </c>
      <c r="AN280" s="44">
        <v>-0.58888</v>
      </c>
      <c r="AO280" s="44">
        <v>-1.14722</v>
      </c>
      <c r="AP280" s="44">
        <v>-0.48467</v>
      </c>
      <c r="AQ280" s="44">
        <v>0.016004</v>
      </c>
      <c r="AR280" s="44">
        <v>-0.42802</v>
      </c>
      <c r="AS280" s="44">
        <v>0.725314</v>
      </c>
    </row>
    <row r="281">
      <c r="A281" s="44">
        <v>280.0</v>
      </c>
      <c r="B281" s="389"/>
      <c r="C281" s="45"/>
      <c r="D281" s="45"/>
      <c r="E281" s="44">
        <v>-0.62122</v>
      </c>
      <c r="F281" s="44">
        <v>0.001482</v>
      </c>
      <c r="G281" s="44">
        <v>1.494289</v>
      </c>
      <c r="H281" s="389"/>
      <c r="I281" s="46" t="s">
        <v>2046</v>
      </c>
      <c r="J281" s="46" t="s">
        <v>1560</v>
      </c>
      <c r="K281" s="46" t="s">
        <v>1572</v>
      </c>
      <c r="L281" s="46" t="s">
        <v>2047</v>
      </c>
      <c r="M281" s="389"/>
      <c r="N281" s="46" t="s">
        <v>1562</v>
      </c>
      <c r="O281" s="45"/>
      <c r="P281" s="389"/>
      <c r="Q281" s="389"/>
      <c r="R281" s="46">
        <v>2.0</v>
      </c>
      <c r="S281" s="45"/>
      <c r="T281" s="46" t="s">
        <v>1645</v>
      </c>
      <c r="U281" s="44">
        <v>71.0</v>
      </c>
      <c r="V281" s="44">
        <v>14.0</v>
      </c>
      <c r="W281" s="389"/>
      <c r="X281" s="44">
        <v>19.0</v>
      </c>
      <c r="Y281" s="44">
        <v>6.619718</v>
      </c>
      <c r="Z281" s="44">
        <v>1.470704</v>
      </c>
      <c r="AA281" s="44">
        <v>3.068451</v>
      </c>
      <c r="AB281" s="44">
        <v>1.146761</v>
      </c>
      <c r="AC281" s="44">
        <v>0.593239</v>
      </c>
      <c r="AD281" s="44">
        <v>0.327042</v>
      </c>
      <c r="AE281" s="44">
        <v>0.412247</v>
      </c>
      <c r="AF281" s="44">
        <v>5.53169</v>
      </c>
      <c r="AG281" s="44">
        <v>0.88606</v>
      </c>
      <c r="AH281" s="44">
        <v>0.663803</v>
      </c>
      <c r="AI281" s="44">
        <v>0.734507</v>
      </c>
      <c r="AJ281" s="44">
        <v>14.65583</v>
      </c>
      <c r="AK281" s="44">
        <v>-1.83673</v>
      </c>
      <c r="AL281" s="44">
        <v>-0.27594</v>
      </c>
      <c r="AM281" s="44">
        <v>-1.24699</v>
      </c>
      <c r="AN281" s="44">
        <v>-1.25079</v>
      </c>
      <c r="AO281" s="44">
        <v>-1.24092</v>
      </c>
      <c r="AP281" s="44">
        <v>-0.76008</v>
      </c>
      <c r="AQ281" s="44">
        <v>-0.62219</v>
      </c>
      <c r="AR281" s="44">
        <v>0.178706</v>
      </c>
      <c r="AS281" s="44">
        <v>1.463994</v>
      </c>
    </row>
    <row r="282">
      <c r="A282" s="44">
        <v>281.0</v>
      </c>
      <c r="B282" s="44">
        <v>154.0</v>
      </c>
      <c r="C282" s="389"/>
      <c r="D282" s="389"/>
      <c r="E282" s="44">
        <v>-0.62322</v>
      </c>
      <c r="F282" s="44">
        <v>0.003387</v>
      </c>
      <c r="G282" s="44">
        <v>1.568629</v>
      </c>
      <c r="H282" s="389"/>
      <c r="I282" s="46" t="s">
        <v>2048</v>
      </c>
      <c r="J282" s="46" t="s">
        <v>1639</v>
      </c>
      <c r="K282" s="46" t="s">
        <v>97</v>
      </c>
      <c r="L282" s="46" t="s">
        <v>2049</v>
      </c>
      <c r="M282" s="46" t="s">
        <v>2050</v>
      </c>
      <c r="N282" s="46" t="s">
        <v>1562</v>
      </c>
      <c r="O282" s="389"/>
      <c r="P282" s="389"/>
      <c r="Q282" s="389"/>
      <c r="R282" s="46">
        <v>1.0</v>
      </c>
      <c r="S282" s="45"/>
      <c r="T282" s="46" t="s">
        <v>1630</v>
      </c>
      <c r="U282" s="44">
        <v>71.0</v>
      </c>
      <c r="V282" s="44">
        <v>15.0</v>
      </c>
      <c r="W282" s="389"/>
      <c r="X282" s="44">
        <v>21.0</v>
      </c>
      <c r="Y282" s="44">
        <v>9.96493</v>
      </c>
      <c r="Z282" s="44">
        <v>0.17493</v>
      </c>
      <c r="AA282" s="44">
        <v>5.302535</v>
      </c>
      <c r="AB282" s="44">
        <v>1.325634</v>
      </c>
      <c r="AC282" s="44">
        <v>0.618592</v>
      </c>
      <c r="AD282" s="44">
        <v>0.486056</v>
      </c>
      <c r="AE282" s="44">
        <v>0.483698</v>
      </c>
      <c r="AF282" s="44">
        <v>7.953099</v>
      </c>
      <c r="AG282" s="44">
        <v>0.752998</v>
      </c>
      <c r="AH282" s="44">
        <v>2.783803</v>
      </c>
      <c r="AI282" s="44">
        <v>1.325634</v>
      </c>
      <c r="AJ282" s="44">
        <v>21.07447</v>
      </c>
      <c r="AK282" s="44">
        <v>-1.24723</v>
      </c>
      <c r="AL282" s="44">
        <v>-1.51528</v>
      </c>
      <c r="AM282" s="44">
        <v>-0.33022</v>
      </c>
      <c r="AN282" s="44">
        <v>-1.16449</v>
      </c>
      <c r="AO282" s="44">
        <v>-1.16562</v>
      </c>
      <c r="AP282" s="44">
        <v>-0.47324</v>
      </c>
      <c r="AQ282" s="44">
        <v>-0.05813</v>
      </c>
      <c r="AR282" s="44">
        <v>-0.37206</v>
      </c>
      <c r="AS282" s="44">
        <v>0.717308</v>
      </c>
    </row>
    <row r="283">
      <c r="A283" s="44">
        <v>282.0</v>
      </c>
      <c r="B283" s="389"/>
      <c r="C283" s="389"/>
      <c r="D283" s="389"/>
      <c r="E283" s="44">
        <v>-0.62366</v>
      </c>
      <c r="F283" s="44">
        <v>0.001271</v>
      </c>
      <c r="G283" s="44">
        <v>1.113294</v>
      </c>
      <c r="H283" s="389"/>
      <c r="I283" s="46" t="s">
        <v>2051</v>
      </c>
      <c r="J283" s="46" t="s">
        <v>332</v>
      </c>
      <c r="K283" s="46" t="s">
        <v>1568</v>
      </c>
      <c r="L283" s="46" t="s">
        <v>2052</v>
      </c>
      <c r="M283" s="389"/>
      <c r="N283" s="46" t="s">
        <v>1562</v>
      </c>
      <c r="O283" s="389"/>
      <c r="P283" s="389"/>
      <c r="Q283" s="389"/>
      <c r="R283" s="46">
        <v>3.0</v>
      </c>
      <c r="S283" s="45"/>
      <c r="T283" s="46" t="s">
        <v>1630</v>
      </c>
      <c r="U283" s="44">
        <v>71.0</v>
      </c>
      <c r="V283" s="44">
        <v>15.0</v>
      </c>
      <c r="W283" s="389"/>
      <c r="X283" s="44">
        <v>19.0</v>
      </c>
      <c r="Y283" s="44">
        <v>8.493662</v>
      </c>
      <c r="Z283" s="44">
        <v>1.366901</v>
      </c>
      <c r="AA283" s="44">
        <v>2.772394</v>
      </c>
      <c r="AB283" s="44">
        <v>1.350141</v>
      </c>
      <c r="AC283" s="44">
        <v>0.758592</v>
      </c>
      <c r="AD283" s="44">
        <v>0.165211</v>
      </c>
      <c r="AE283" s="44">
        <v>0.424002</v>
      </c>
      <c r="AF283" s="44">
        <v>7.053521</v>
      </c>
      <c r="AG283" s="44">
        <v>0.801024</v>
      </c>
      <c r="AH283" s="44">
        <v>1.429859</v>
      </c>
      <c r="AI283" s="44">
        <v>0.906761</v>
      </c>
      <c r="AJ283" s="44">
        <v>18.82437</v>
      </c>
      <c r="AK283" s="44">
        <v>-1.5065</v>
      </c>
      <c r="AL283" s="44">
        <v>-0.37522</v>
      </c>
      <c r="AM283" s="44">
        <v>-1.36848</v>
      </c>
      <c r="AN283" s="44">
        <v>-1.15267</v>
      </c>
      <c r="AO283" s="44">
        <v>-0.74981</v>
      </c>
      <c r="AP283" s="44">
        <v>-1.052</v>
      </c>
      <c r="AQ283" s="44">
        <v>-0.67282</v>
      </c>
      <c r="AR283" s="44">
        <v>0.01816</v>
      </c>
      <c r="AS283" s="44">
        <v>1.246411</v>
      </c>
    </row>
    <row r="284">
      <c r="A284" s="44">
        <v>283.0</v>
      </c>
      <c r="B284" s="44">
        <v>136.0</v>
      </c>
      <c r="C284" s="45"/>
      <c r="D284" s="45"/>
      <c r="E284" s="44">
        <v>-0.62632</v>
      </c>
      <c r="F284" s="44">
        <v>0.001436</v>
      </c>
      <c r="G284" s="44">
        <v>0.890273</v>
      </c>
      <c r="H284" s="389"/>
      <c r="I284" s="46" t="s">
        <v>2053</v>
      </c>
      <c r="J284" s="46" t="s">
        <v>317</v>
      </c>
      <c r="K284" s="46" t="s">
        <v>1593</v>
      </c>
      <c r="L284" s="46" t="s">
        <v>2054</v>
      </c>
      <c r="M284" s="389"/>
      <c r="N284" s="46" t="s">
        <v>1562</v>
      </c>
      <c r="O284" s="389"/>
      <c r="P284" s="389"/>
      <c r="Q284" s="389"/>
      <c r="R284" s="46">
        <v>3.0</v>
      </c>
      <c r="S284" s="45"/>
      <c r="T284" s="46" t="s">
        <v>1630</v>
      </c>
      <c r="U284" s="44">
        <v>71.0</v>
      </c>
      <c r="V284" s="44">
        <v>14.0</v>
      </c>
      <c r="W284" s="389"/>
      <c r="X284" s="44">
        <v>19.0</v>
      </c>
      <c r="Y284" s="44">
        <v>8.167465</v>
      </c>
      <c r="Z284" s="44">
        <v>0.952113</v>
      </c>
      <c r="AA284" s="44">
        <v>3.776197</v>
      </c>
      <c r="AB284" s="44">
        <v>1.839014</v>
      </c>
      <c r="AC284" s="44">
        <v>0.591408</v>
      </c>
      <c r="AD284" s="44">
        <v>0.167465</v>
      </c>
      <c r="AE284" s="44">
        <v>0.451404</v>
      </c>
      <c r="AF284" s="44">
        <v>6.876197</v>
      </c>
      <c r="AG284" s="44">
        <v>0.813951</v>
      </c>
      <c r="AH284" s="44">
        <v>1.237746</v>
      </c>
      <c r="AI284" s="44">
        <v>0.959437</v>
      </c>
      <c r="AJ284" s="44">
        <v>18.84984</v>
      </c>
      <c r="AK284" s="44">
        <v>-1.56399</v>
      </c>
      <c r="AL284" s="44">
        <v>-0.77195</v>
      </c>
      <c r="AM284" s="44">
        <v>-0.95656</v>
      </c>
      <c r="AN284" s="44">
        <v>-0.91681</v>
      </c>
      <c r="AO284" s="44">
        <v>-1.24636</v>
      </c>
      <c r="AP284" s="44">
        <v>-1.04793</v>
      </c>
      <c r="AQ284" s="44">
        <v>-0.37736</v>
      </c>
      <c r="AR284" s="44">
        <v>0.064207</v>
      </c>
      <c r="AS284" s="44">
        <v>1.179873</v>
      </c>
    </row>
    <row r="285">
      <c r="A285" s="44">
        <v>284.0</v>
      </c>
      <c r="B285" s="389"/>
      <c r="C285" s="389"/>
      <c r="D285" s="389"/>
      <c r="E285" s="44">
        <v>-0.62896</v>
      </c>
      <c r="F285" s="44">
        <v>0.001237</v>
      </c>
      <c r="G285" s="44">
        <v>0.704422</v>
      </c>
      <c r="H285" s="389"/>
      <c r="I285" s="46" t="s">
        <v>2055</v>
      </c>
      <c r="J285" s="46" t="s">
        <v>428</v>
      </c>
      <c r="K285" s="46" t="s">
        <v>85</v>
      </c>
      <c r="L285" s="46" t="s">
        <v>2056</v>
      </c>
      <c r="M285" s="389"/>
      <c r="N285" s="46" t="s">
        <v>1562</v>
      </c>
      <c r="O285" s="389"/>
      <c r="P285" s="389"/>
      <c r="Q285" s="45"/>
      <c r="R285" s="46">
        <v>3.0</v>
      </c>
      <c r="S285" s="45"/>
      <c r="T285" s="46" t="s">
        <v>1630</v>
      </c>
      <c r="U285" s="44">
        <v>71.0</v>
      </c>
      <c r="V285" s="44">
        <v>14.0</v>
      </c>
      <c r="W285" s="389"/>
      <c r="X285" s="44">
        <v>17.0</v>
      </c>
      <c r="Y285" s="44">
        <v>7.869155</v>
      </c>
      <c r="Z285" s="44">
        <v>1.13831</v>
      </c>
      <c r="AA285" s="44">
        <v>1.46662</v>
      </c>
      <c r="AB285" s="44">
        <v>2.871268</v>
      </c>
      <c r="AC285" s="44">
        <v>0.683521</v>
      </c>
      <c r="AD285" s="44">
        <v>0.106901</v>
      </c>
      <c r="AE285" s="44">
        <v>0.467341</v>
      </c>
      <c r="AF285" s="44">
        <v>6.080845</v>
      </c>
      <c r="AG285" s="44">
        <v>0.861031</v>
      </c>
      <c r="AH285" s="44">
        <v>1.216197</v>
      </c>
      <c r="AI285" s="44">
        <v>1.141408</v>
      </c>
      <c r="AJ285" s="44">
        <v>19.52633</v>
      </c>
      <c r="AK285" s="44">
        <v>-1.61655</v>
      </c>
      <c r="AL285" s="44">
        <v>-0.59386</v>
      </c>
      <c r="AM285" s="44">
        <v>-1.90432</v>
      </c>
      <c r="AN285" s="44">
        <v>-0.4188</v>
      </c>
      <c r="AO285" s="44">
        <v>-0.97278</v>
      </c>
      <c r="AP285" s="44">
        <v>-1.15718</v>
      </c>
      <c r="AQ285" s="44">
        <v>-0.18972</v>
      </c>
      <c r="AR285" s="44">
        <v>0.242527</v>
      </c>
      <c r="AS285" s="44">
        <v>0.950014</v>
      </c>
    </row>
    <row r="286">
      <c r="A286" s="44">
        <v>285.0</v>
      </c>
      <c r="B286" s="44">
        <v>151.0</v>
      </c>
      <c r="C286" s="44">
        <v>3.0</v>
      </c>
      <c r="D286" s="44">
        <v>0.0</v>
      </c>
      <c r="E286" s="44">
        <v>-0.64014</v>
      </c>
      <c r="F286" s="44">
        <v>0.008786</v>
      </c>
      <c r="G286" s="44">
        <v>0.276965</v>
      </c>
      <c r="H286" s="389"/>
      <c r="I286" s="46" t="s">
        <v>2057</v>
      </c>
      <c r="J286" s="46" t="s">
        <v>304</v>
      </c>
      <c r="K286" s="46" t="s">
        <v>97</v>
      </c>
      <c r="L286" s="46" t="s">
        <v>2058</v>
      </c>
      <c r="M286" s="389"/>
      <c r="N286" s="46" t="s">
        <v>1562</v>
      </c>
      <c r="O286" s="46" t="s">
        <v>1817</v>
      </c>
      <c r="P286" s="389"/>
      <c r="Q286" s="389"/>
      <c r="R286" s="46">
        <v>1.0</v>
      </c>
      <c r="S286" s="45"/>
      <c r="T286" s="46" t="s">
        <v>1630</v>
      </c>
      <c r="U286" s="44">
        <v>71.0</v>
      </c>
      <c r="V286" s="44">
        <v>13.0</v>
      </c>
      <c r="W286" s="389"/>
      <c r="X286" s="44">
        <v>18.0</v>
      </c>
      <c r="Y286" s="44">
        <v>9.744507</v>
      </c>
      <c r="Z286" s="44">
        <v>0.819155</v>
      </c>
      <c r="AA286" s="44">
        <v>4.673662</v>
      </c>
      <c r="AB286" s="44">
        <v>1.120141</v>
      </c>
      <c r="AC286" s="44">
        <v>0.42493</v>
      </c>
      <c r="AD286" s="44">
        <v>0.23169</v>
      </c>
      <c r="AE286" s="44">
        <v>0.516965</v>
      </c>
      <c r="AF286" s="44">
        <v>7.106479</v>
      </c>
      <c r="AG286" s="44">
        <v>0.739992</v>
      </c>
      <c r="AH286" s="44">
        <v>2.132113</v>
      </c>
      <c r="AI286" s="44">
        <v>1.081549</v>
      </c>
      <c r="AJ286" s="44">
        <v>20.83666</v>
      </c>
      <c r="AK286" s="44">
        <v>-1.28608</v>
      </c>
      <c r="AL286" s="44">
        <v>-0.89911</v>
      </c>
      <c r="AM286" s="44">
        <v>-0.58828</v>
      </c>
      <c r="AN286" s="44">
        <v>-1.26363</v>
      </c>
      <c r="AO286" s="44">
        <v>-1.74081</v>
      </c>
      <c r="AP286" s="44">
        <v>-0.93208</v>
      </c>
      <c r="AQ286" s="44">
        <v>0.298069</v>
      </c>
      <c r="AR286" s="44">
        <v>-0.37496</v>
      </c>
      <c r="AS286" s="44">
        <v>1.025625</v>
      </c>
    </row>
    <row r="287">
      <c r="A287" s="44">
        <v>286.0</v>
      </c>
      <c r="B287" s="389"/>
      <c r="C287" s="45"/>
      <c r="D287" s="45"/>
      <c r="E287" s="44">
        <v>-0.64473</v>
      </c>
      <c r="F287" s="44">
        <v>3.92E-4</v>
      </c>
      <c r="G287" s="44">
        <v>0.667252</v>
      </c>
      <c r="H287" s="389"/>
      <c r="I287" s="46" t="s">
        <v>2059</v>
      </c>
      <c r="J287" s="46" t="s">
        <v>269</v>
      </c>
      <c r="K287" s="46" t="s">
        <v>88</v>
      </c>
      <c r="L287" s="46" t="s">
        <v>2060</v>
      </c>
      <c r="M287" s="389"/>
      <c r="N287" s="46" t="s">
        <v>1562</v>
      </c>
      <c r="O287" s="389"/>
      <c r="P287" s="389"/>
      <c r="Q287" s="389"/>
      <c r="R287" s="46">
        <v>3.0</v>
      </c>
      <c r="S287" s="45"/>
      <c r="T287" s="46" t="s">
        <v>1630</v>
      </c>
      <c r="U287" s="44">
        <v>71.0</v>
      </c>
      <c r="V287" s="44">
        <v>16.0</v>
      </c>
      <c r="W287" s="389"/>
      <c r="X287" s="44">
        <v>18.0</v>
      </c>
      <c r="Y287" s="44">
        <v>6.422254</v>
      </c>
      <c r="Z287" s="44">
        <v>1.264648</v>
      </c>
      <c r="AA287" s="44">
        <v>1.969437</v>
      </c>
      <c r="AB287" s="44">
        <v>3.408732</v>
      </c>
      <c r="AC287" s="44">
        <v>0.553239</v>
      </c>
      <c r="AD287" s="44">
        <v>0.110845</v>
      </c>
      <c r="AE287" s="44">
        <v>0.448576</v>
      </c>
      <c r="AF287" s="44">
        <v>5.454507</v>
      </c>
      <c r="AG287" s="44">
        <v>0.75</v>
      </c>
      <c r="AH287" s="44">
        <v>0.352113</v>
      </c>
      <c r="AI287" s="44">
        <v>0.871127</v>
      </c>
      <c r="AJ287" s="44">
        <v>15.52993</v>
      </c>
      <c r="AK287" s="44">
        <v>-1.87153</v>
      </c>
      <c r="AL287" s="44">
        <v>-0.47302</v>
      </c>
      <c r="AM287" s="44">
        <v>-1.69798</v>
      </c>
      <c r="AN287" s="44">
        <v>-0.1595</v>
      </c>
      <c r="AO287" s="44">
        <v>-1.35972</v>
      </c>
      <c r="AP287" s="44">
        <v>-1.15007</v>
      </c>
      <c r="AQ287" s="44">
        <v>-0.32066</v>
      </c>
      <c r="AR287" s="44">
        <v>-0.06152</v>
      </c>
      <c r="AS287" s="44">
        <v>1.291422</v>
      </c>
    </row>
    <row r="288">
      <c r="A288" s="44">
        <v>287.0</v>
      </c>
      <c r="B288" s="389"/>
      <c r="C288" s="389"/>
      <c r="D288" s="389"/>
      <c r="E288" s="44">
        <v>-0.64873</v>
      </c>
      <c r="F288" s="44">
        <v>0.004777</v>
      </c>
      <c r="G288" s="44">
        <v>1.466411</v>
      </c>
      <c r="H288" s="389"/>
      <c r="I288" s="46" t="s">
        <v>2061</v>
      </c>
      <c r="J288" s="46" t="s">
        <v>295</v>
      </c>
      <c r="K288" s="46" t="s">
        <v>97</v>
      </c>
      <c r="L288" s="46" t="s">
        <v>2062</v>
      </c>
      <c r="M288" s="389"/>
      <c r="N288" s="46" t="s">
        <v>1562</v>
      </c>
      <c r="O288" s="46" t="s">
        <v>1648</v>
      </c>
      <c r="P288" s="389"/>
      <c r="Q288" s="389"/>
      <c r="R288" s="46">
        <v>2.0</v>
      </c>
      <c r="S288" s="45"/>
      <c r="T288" s="46" t="s">
        <v>1905</v>
      </c>
      <c r="U288" s="44">
        <v>46.0</v>
      </c>
      <c r="V288" s="44">
        <v>13.0</v>
      </c>
      <c r="W288" s="389"/>
      <c r="X288" s="44">
        <v>14.0</v>
      </c>
      <c r="Y288" s="44">
        <v>6.147826</v>
      </c>
      <c r="Z288" s="44">
        <v>0.081957</v>
      </c>
      <c r="AA288" s="44">
        <v>4.772174</v>
      </c>
      <c r="AB288" s="44">
        <v>0.760652</v>
      </c>
      <c r="AC288" s="44">
        <v>0.294565</v>
      </c>
      <c r="AD288" s="44">
        <v>0.755435</v>
      </c>
      <c r="AE288" s="44">
        <v>0.619574</v>
      </c>
      <c r="AF288" s="44">
        <v>4.271522</v>
      </c>
      <c r="AG288" s="44">
        <v>0.66598</v>
      </c>
      <c r="AH288" s="44">
        <v>1.160435</v>
      </c>
      <c r="AI288" s="44">
        <v>0.756957</v>
      </c>
      <c r="AJ288" s="44">
        <v>17.02388</v>
      </c>
      <c r="AK288" s="44">
        <v>-1.91989</v>
      </c>
      <c r="AL288" s="44">
        <v>-1.60421</v>
      </c>
      <c r="AM288" s="44">
        <v>-0.54786</v>
      </c>
      <c r="AN288" s="44">
        <v>-1.43707</v>
      </c>
      <c r="AO288" s="44">
        <v>-2.128</v>
      </c>
      <c r="AP288" s="44">
        <v>0.012682</v>
      </c>
      <c r="AQ288" s="44">
        <v>0.829498</v>
      </c>
      <c r="AR288" s="44">
        <v>-0.47938</v>
      </c>
      <c r="AS288" s="44">
        <v>1.435637</v>
      </c>
    </row>
    <row r="289">
      <c r="A289" s="44">
        <v>288.0</v>
      </c>
      <c r="B289" s="389"/>
      <c r="C289" s="45"/>
      <c r="D289" s="45"/>
      <c r="E289" s="44">
        <v>-0.65478</v>
      </c>
      <c r="F289" s="44">
        <v>0.00354</v>
      </c>
      <c r="G289" s="44">
        <v>0.853103</v>
      </c>
      <c r="H289" s="389"/>
      <c r="I289" s="46" t="s">
        <v>2063</v>
      </c>
      <c r="J289" s="46" t="s">
        <v>287</v>
      </c>
      <c r="K289" s="46" t="s">
        <v>92</v>
      </c>
      <c r="L289" s="46" t="s">
        <v>2064</v>
      </c>
      <c r="M289" s="389"/>
      <c r="N289" s="46" t="s">
        <v>1562</v>
      </c>
      <c r="O289" s="46" t="s">
        <v>2065</v>
      </c>
      <c r="P289" s="389"/>
      <c r="Q289" s="45"/>
      <c r="R289" s="46">
        <v>3.0</v>
      </c>
      <c r="S289" s="45"/>
      <c r="T289" s="46" t="s">
        <v>1630</v>
      </c>
      <c r="U289" s="44">
        <v>71.0</v>
      </c>
      <c r="V289" s="44">
        <v>16.0</v>
      </c>
      <c r="W289" s="389"/>
      <c r="X289" s="44">
        <v>19.0</v>
      </c>
      <c r="Y289" s="44">
        <v>8.557887</v>
      </c>
      <c r="Z289" s="44">
        <v>0.418873</v>
      </c>
      <c r="AA289" s="44">
        <v>3.720845</v>
      </c>
      <c r="AB289" s="44">
        <v>1.781268</v>
      </c>
      <c r="AC289" s="44">
        <v>0.555634</v>
      </c>
      <c r="AD289" s="44">
        <v>0.27662</v>
      </c>
      <c r="AE289" s="44">
        <v>0.535858</v>
      </c>
      <c r="AF289" s="44">
        <v>6.174648</v>
      </c>
      <c r="AG289" s="44">
        <v>0.769993</v>
      </c>
      <c r="AH289" s="44">
        <v>1.976056</v>
      </c>
      <c r="AI289" s="44">
        <v>1.306197</v>
      </c>
      <c r="AJ289" s="44">
        <v>19.04675</v>
      </c>
      <c r="AK289" s="44">
        <v>-1.49518</v>
      </c>
      <c r="AL289" s="44">
        <v>-1.28196</v>
      </c>
      <c r="AM289" s="44">
        <v>-0.97928</v>
      </c>
      <c r="AN289" s="44">
        <v>-0.94467</v>
      </c>
      <c r="AO289" s="44">
        <v>-1.35261</v>
      </c>
      <c r="AP289" s="44">
        <v>-0.85103</v>
      </c>
      <c r="AQ289" s="44">
        <v>0.432252</v>
      </c>
      <c r="AR289" s="44">
        <v>-0.16243</v>
      </c>
      <c r="AS289" s="44">
        <v>0.74186</v>
      </c>
    </row>
    <row r="290">
      <c r="A290" s="44">
        <v>289.0</v>
      </c>
      <c r="B290" s="389"/>
      <c r="C290" s="45"/>
      <c r="D290" s="45"/>
      <c r="E290" s="44">
        <v>-0.65479</v>
      </c>
      <c r="F290" s="44">
        <v>0.005172</v>
      </c>
      <c r="G290" s="44">
        <v>0.555741</v>
      </c>
      <c r="H290" s="389"/>
      <c r="I290" s="46" t="s">
        <v>2066</v>
      </c>
      <c r="J290" s="46" t="s">
        <v>299</v>
      </c>
      <c r="K290" s="46" t="s">
        <v>97</v>
      </c>
      <c r="L290" s="389"/>
      <c r="M290" s="389"/>
      <c r="N290" s="46" t="s">
        <v>1570</v>
      </c>
      <c r="O290" s="389"/>
      <c r="P290" s="389"/>
      <c r="Q290" s="389"/>
      <c r="R290" s="46">
        <v>3.0</v>
      </c>
      <c r="S290" s="45"/>
      <c r="T290" s="46" t="s">
        <v>1905</v>
      </c>
      <c r="U290" s="44">
        <v>34.0</v>
      </c>
      <c r="V290" s="44">
        <v>13.0</v>
      </c>
      <c r="W290" s="389"/>
      <c r="X290" s="44">
        <v>11.0</v>
      </c>
      <c r="Y290" s="44">
        <v>5.144706</v>
      </c>
      <c r="Z290" s="44">
        <v>0.008824</v>
      </c>
      <c r="AA290" s="44">
        <v>4.29</v>
      </c>
      <c r="AB290" s="44">
        <v>0.715</v>
      </c>
      <c r="AC290" s="44">
        <v>0.381471</v>
      </c>
      <c r="AD290" s="44">
        <v>0.834118</v>
      </c>
      <c r="AE290" s="44">
        <v>0.655479</v>
      </c>
      <c r="AF290" s="44">
        <v>3.478824</v>
      </c>
      <c r="AG290" s="44">
        <v>0.635891</v>
      </c>
      <c r="AH290" s="44">
        <v>0.904706</v>
      </c>
      <c r="AI290" s="44">
        <v>0.786471</v>
      </c>
      <c r="AJ290" s="44">
        <v>17.56598</v>
      </c>
      <c r="AK290" s="44">
        <v>-2.09666</v>
      </c>
      <c r="AL290" s="44">
        <v>-1.67415</v>
      </c>
      <c r="AM290" s="44">
        <v>-0.74572</v>
      </c>
      <c r="AN290" s="44">
        <v>-1.45909</v>
      </c>
      <c r="AO290" s="44">
        <v>-1.86989</v>
      </c>
      <c r="AP290" s="44">
        <v>0.154615</v>
      </c>
      <c r="AQ290" s="44">
        <v>0.861408</v>
      </c>
      <c r="AR290" s="44">
        <v>-0.46196</v>
      </c>
      <c r="AS290" s="44">
        <v>1.398356</v>
      </c>
    </row>
    <row r="291">
      <c r="A291" s="44">
        <v>290.0</v>
      </c>
      <c r="B291" s="389"/>
      <c r="C291" s="389"/>
      <c r="D291" s="389"/>
      <c r="E291" s="44">
        <v>-0.656</v>
      </c>
      <c r="F291" s="44">
        <v>0.001456</v>
      </c>
      <c r="G291" s="44">
        <v>1.327023</v>
      </c>
      <c r="H291" s="389"/>
      <c r="I291" s="46" t="s">
        <v>2067</v>
      </c>
      <c r="J291" s="46" t="s">
        <v>278</v>
      </c>
      <c r="K291" s="46" t="s">
        <v>1593</v>
      </c>
      <c r="L291" s="46" t="s">
        <v>2068</v>
      </c>
      <c r="M291" s="389"/>
      <c r="N291" s="46" t="s">
        <v>1562</v>
      </c>
      <c r="O291" s="389"/>
      <c r="P291" s="389"/>
      <c r="Q291" s="45"/>
      <c r="R291" s="46">
        <v>4.0</v>
      </c>
      <c r="S291" s="45"/>
      <c r="T291" s="46" t="s">
        <v>1630</v>
      </c>
      <c r="U291" s="44">
        <v>71.0</v>
      </c>
      <c r="V291" s="44">
        <v>14.0</v>
      </c>
      <c r="W291" s="389"/>
      <c r="X291" s="44">
        <v>22.0</v>
      </c>
      <c r="Y291" s="44">
        <v>7.795211</v>
      </c>
      <c r="Z291" s="44">
        <v>1.227746</v>
      </c>
      <c r="AA291" s="44">
        <v>2.777465</v>
      </c>
      <c r="AB291" s="44">
        <v>1.471268</v>
      </c>
      <c r="AC291" s="44">
        <v>0.616761</v>
      </c>
      <c r="AD291" s="44">
        <v>0.286761</v>
      </c>
      <c r="AE291" s="44">
        <v>0.420594</v>
      </c>
      <c r="AF291" s="44">
        <v>6.434225</v>
      </c>
      <c r="AG291" s="44">
        <v>0.847036</v>
      </c>
      <c r="AH291" s="44">
        <v>1.363662</v>
      </c>
      <c r="AI291" s="44">
        <v>0.998732</v>
      </c>
      <c r="AJ291" s="44">
        <v>15.61713</v>
      </c>
      <c r="AK291" s="44">
        <v>-1.62958</v>
      </c>
      <c r="AL291" s="44">
        <v>-0.50832</v>
      </c>
      <c r="AM291" s="44">
        <v>-1.3664</v>
      </c>
      <c r="AN291" s="44">
        <v>-1.09423</v>
      </c>
      <c r="AO291" s="44">
        <v>-1.17106</v>
      </c>
      <c r="AP291" s="44">
        <v>-0.83274</v>
      </c>
      <c r="AQ291" s="44">
        <v>-0.64552</v>
      </c>
      <c r="AR291" s="44">
        <v>0.213601</v>
      </c>
      <c r="AS291" s="44">
        <v>1.130236</v>
      </c>
    </row>
    <row r="292">
      <c r="A292" s="44">
        <v>291.0</v>
      </c>
      <c r="B292" s="389"/>
      <c r="C292" s="389"/>
      <c r="D292" s="389"/>
      <c r="E292" s="44">
        <v>-0.6571</v>
      </c>
      <c r="F292" s="44">
        <v>0.00396</v>
      </c>
      <c r="G292" s="44">
        <v>1.568629</v>
      </c>
      <c r="H292" s="389"/>
      <c r="I292" s="46" t="s">
        <v>2069</v>
      </c>
      <c r="J292" s="46" t="s">
        <v>332</v>
      </c>
      <c r="K292" s="46" t="s">
        <v>92</v>
      </c>
      <c r="L292" s="46" t="s">
        <v>2070</v>
      </c>
      <c r="M292" s="46" t="s">
        <v>2071</v>
      </c>
      <c r="N292" s="46" t="s">
        <v>1562</v>
      </c>
      <c r="O292" s="45"/>
      <c r="P292" s="389"/>
      <c r="Q292" s="389"/>
      <c r="R292" s="46">
        <v>3.0</v>
      </c>
      <c r="S292" s="45"/>
      <c r="T292" s="46" t="s">
        <v>1630</v>
      </c>
      <c r="U292" s="44">
        <v>71.0</v>
      </c>
      <c r="V292" s="44">
        <v>15.0</v>
      </c>
      <c r="W292" s="389"/>
      <c r="X292" s="44">
        <v>20.0</v>
      </c>
      <c r="Y292" s="44">
        <v>7.940704</v>
      </c>
      <c r="Z292" s="44">
        <v>0.105493</v>
      </c>
      <c r="AA292" s="44">
        <v>4.63507</v>
      </c>
      <c r="AB292" s="44">
        <v>1.416197</v>
      </c>
      <c r="AC292" s="44">
        <v>0.729577</v>
      </c>
      <c r="AD292" s="44">
        <v>0.472113</v>
      </c>
      <c r="AE292" s="44">
        <v>0.50432</v>
      </c>
      <c r="AF292" s="44">
        <v>6.308873</v>
      </c>
      <c r="AG292" s="44">
        <v>0.706989</v>
      </c>
      <c r="AH292" s="44">
        <v>2.081831</v>
      </c>
      <c r="AI292" s="44">
        <v>1.287465</v>
      </c>
      <c r="AJ292" s="44">
        <v>17.72267</v>
      </c>
      <c r="AK292" s="44">
        <v>-1.60395</v>
      </c>
      <c r="AL292" s="44">
        <v>-1.58169</v>
      </c>
      <c r="AM292" s="44">
        <v>-0.60412</v>
      </c>
      <c r="AN292" s="44">
        <v>-1.1208</v>
      </c>
      <c r="AO292" s="44">
        <v>-0.83599</v>
      </c>
      <c r="AP292" s="44">
        <v>-0.49839</v>
      </c>
      <c r="AQ292" s="44">
        <v>0.147551</v>
      </c>
      <c r="AR292" s="44">
        <v>-0.582</v>
      </c>
      <c r="AS292" s="44">
        <v>0.765522</v>
      </c>
    </row>
    <row r="293">
      <c r="A293" s="44">
        <v>292.0</v>
      </c>
      <c r="B293" s="389"/>
      <c r="C293" s="389"/>
      <c r="D293" s="389"/>
      <c r="E293" s="44">
        <v>-0.65736</v>
      </c>
      <c r="F293" s="44">
        <v>0.003752</v>
      </c>
      <c r="G293" s="44">
        <v>1.224805</v>
      </c>
      <c r="H293" s="389"/>
      <c r="I293" s="46" t="s">
        <v>2072</v>
      </c>
      <c r="J293" s="46" t="s">
        <v>428</v>
      </c>
      <c r="K293" s="46" t="s">
        <v>97</v>
      </c>
      <c r="L293" s="46" t="s">
        <v>2073</v>
      </c>
      <c r="M293" s="389"/>
      <c r="N293" s="46" t="s">
        <v>1562</v>
      </c>
      <c r="O293" s="46" t="s">
        <v>1571</v>
      </c>
      <c r="P293" s="389"/>
      <c r="Q293" s="389"/>
      <c r="R293" s="46">
        <v>4.0</v>
      </c>
      <c r="S293" s="45"/>
      <c r="T293" s="46" t="s">
        <v>1905</v>
      </c>
      <c r="U293" s="44">
        <v>46.0</v>
      </c>
      <c r="V293" s="44">
        <v>14.0</v>
      </c>
      <c r="W293" s="389"/>
      <c r="X293" s="44">
        <v>11.0</v>
      </c>
      <c r="Y293" s="44">
        <v>4.251087</v>
      </c>
      <c r="Z293" s="44">
        <v>0.203261</v>
      </c>
      <c r="AA293" s="44">
        <v>3.240435</v>
      </c>
      <c r="AB293" s="44">
        <v>0.820217</v>
      </c>
      <c r="AC293" s="44">
        <v>0.632609</v>
      </c>
      <c r="AD293" s="44">
        <v>0.656957</v>
      </c>
      <c r="AE293" s="44">
        <v>0.527387</v>
      </c>
      <c r="AF293" s="44">
        <v>3.333913</v>
      </c>
      <c r="AG293" s="44">
        <v>0.722863</v>
      </c>
      <c r="AH293" s="44">
        <v>0.735</v>
      </c>
      <c r="AI293" s="44">
        <v>0.561957</v>
      </c>
      <c r="AJ293" s="44">
        <v>16.41342</v>
      </c>
      <c r="AK293" s="44">
        <v>-2.25413</v>
      </c>
      <c r="AL293" s="44">
        <v>-1.48818</v>
      </c>
      <c r="AM293" s="44">
        <v>-1.17642</v>
      </c>
      <c r="AN293" s="44">
        <v>-1.40833</v>
      </c>
      <c r="AO293" s="44">
        <v>-1.12399</v>
      </c>
      <c r="AP293" s="44">
        <v>-0.16496</v>
      </c>
      <c r="AQ293" s="44">
        <v>0.194928</v>
      </c>
      <c r="AR293" s="44">
        <v>-0.17713</v>
      </c>
      <c r="AS293" s="44">
        <v>1.681952</v>
      </c>
    </row>
    <row r="294">
      <c r="A294" s="44">
        <v>293.0</v>
      </c>
      <c r="B294" s="44">
        <v>145.5</v>
      </c>
      <c r="C294" s="44">
        <v>10.0</v>
      </c>
      <c r="D294" s="44">
        <v>0.0</v>
      </c>
      <c r="E294" s="44">
        <v>-0.66074</v>
      </c>
      <c r="F294" s="44">
        <v>-0.00103</v>
      </c>
      <c r="G294" s="44">
        <v>1.568629</v>
      </c>
      <c r="H294" s="389"/>
      <c r="I294" s="46" t="s">
        <v>2074</v>
      </c>
      <c r="J294" s="46" t="s">
        <v>490</v>
      </c>
      <c r="K294" s="46" t="s">
        <v>88</v>
      </c>
      <c r="L294" s="46" t="s">
        <v>2075</v>
      </c>
      <c r="M294" s="389"/>
      <c r="N294" s="46" t="s">
        <v>1562</v>
      </c>
      <c r="O294" s="45"/>
      <c r="P294" s="389"/>
      <c r="Q294" s="389"/>
      <c r="R294" s="46">
        <v>2.0</v>
      </c>
      <c r="S294" s="45"/>
      <c r="T294" s="46" t="s">
        <v>1645</v>
      </c>
      <c r="U294" s="44">
        <v>71.0</v>
      </c>
      <c r="V294" s="44">
        <v>16.0</v>
      </c>
      <c r="W294" s="389"/>
      <c r="X294" s="44">
        <v>29.0</v>
      </c>
      <c r="Y294" s="44">
        <v>12.83352</v>
      </c>
      <c r="Z294" s="44">
        <v>1.952113</v>
      </c>
      <c r="AA294" s="44">
        <v>2.738028</v>
      </c>
      <c r="AB294" s="44">
        <v>2.364648</v>
      </c>
      <c r="AC294" s="44">
        <v>0.746761</v>
      </c>
      <c r="AD294" s="44">
        <v>0.248873</v>
      </c>
      <c r="AE294" s="44">
        <v>0.380994</v>
      </c>
      <c r="AF294" s="44">
        <v>12.07183</v>
      </c>
      <c r="AG294" s="44">
        <v>0.819985</v>
      </c>
      <c r="AH294" s="44">
        <v>2.052254</v>
      </c>
      <c r="AI294" s="44">
        <v>1.804648</v>
      </c>
      <c r="AJ294" s="44">
        <v>21.50209</v>
      </c>
      <c r="AK294" s="44">
        <v>-0.74173</v>
      </c>
      <c r="AL294" s="44">
        <v>0.184502</v>
      </c>
      <c r="AM294" s="44">
        <v>-1.38258</v>
      </c>
      <c r="AN294" s="44">
        <v>-0.66322</v>
      </c>
      <c r="AO294" s="44">
        <v>-0.78495</v>
      </c>
      <c r="AP294" s="44">
        <v>-0.90109</v>
      </c>
      <c r="AQ294" s="44">
        <v>-1.92356</v>
      </c>
      <c r="AR294" s="44">
        <v>0.153715</v>
      </c>
      <c r="AS294" s="44">
        <v>0.112238</v>
      </c>
    </row>
    <row r="295">
      <c r="A295" s="44">
        <v>294.0</v>
      </c>
      <c r="B295" s="389"/>
      <c r="C295" s="389"/>
      <c r="D295" s="389"/>
      <c r="E295" s="44">
        <v>-0.66264</v>
      </c>
      <c r="F295" s="44">
        <v>0.003328</v>
      </c>
      <c r="G295" s="44">
        <v>0.611496</v>
      </c>
      <c r="H295" s="389"/>
      <c r="I295" s="46" t="s">
        <v>2076</v>
      </c>
      <c r="J295" s="46" t="s">
        <v>379</v>
      </c>
      <c r="K295" s="46" t="s">
        <v>97</v>
      </c>
      <c r="L295" s="46" t="s">
        <v>2077</v>
      </c>
      <c r="M295" s="389"/>
      <c r="N295" s="46" t="s">
        <v>1562</v>
      </c>
      <c r="O295" s="46" t="s">
        <v>1848</v>
      </c>
      <c r="P295" s="389"/>
      <c r="Q295" s="389"/>
      <c r="R295" s="46">
        <v>4.0</v>
      </c>
      <c r="S295" s="45"/>
      <c r="T295" s="46" t="s">
        <v>1905</v>
      </c>
      <c r="U295" s="44">
        <v>46.0</v>
      </c>
      <c r="V295" s="44">
        <v>14.0</v>
      </c>
      <c r="W295" s="389"/>
      <c r="X295" s="44">
        <v>15.0</v>
      </c>
      <c r="Y295" s="44">
        <v>6.120217</v>
      </c>
      <c r="Z295" s="44">
        <v>0.297609</v>
      </c>
      <c r="AA295" s="44">
        <v>4.265652</v>
      </c>
      <c r="AB295" s="44">
        <v>1.19587</v>
      </c>
      <c r="AC295" s="44">
        <v>0.35587</v>
      </c>
      <c r="AD295" s="44">
        <v>0.496087</v>
      </c>
      <c r="AE295" s="44">
        <v>0.542964</v>
      </c>
      <c r="AF295" s="44">
        <v>4.594348</v>
      </c>
      <c r="AG295" s="44">
        <v>0.756064</v>
      </c>
      <c r="AH295" s="44">
        <v>1.102391</v>
      </c>
      <c r="AI295" s="44">
        <v>0.693696</v>
      </c>
      <c r="AJ295" s="44">
        <v>15.63364</v>
      </c>
      <c r="AK295" s="44">
        <v>-1.92475</v>
      </c>
      <c r="AL295" s="44">
        <v>-1.39794</v>
      </c>
      <c r="AM295" s="44">
        <v>-0.75571</v>
      </c>
      <c r="AN295" s="44">
        <v>-1.2271</v>
      </c>
      <c r="AO295" s="44">
        <v>-1.94592</v>
      </c>
      <c r="AP295" s="44">
        <v>-0.45515</v>
      </c>
      <c r="AQ295" s="44">
        <v>0.371672</v>
      </c>
      <c r="AR295" s="44">
        <v>-0.14444</v>
      </c>
      <c r="AS295" s="44">
        <v>1.515545</v>
      </c>
    </row>
    <row r="296">
      <c r="A296" s="44">
        <v>295.0</v>
      </c>
      <c r="B296" s="44">
        <v>149.4</v>
      </c>
      <c r="C296" s="44">
        <v>33.0</v>
      </c>
      <c r="D296" s="44">
        <v>0.0</v>
      </c>
      <c r="E296" s="44">
        <v>-0.66365</v>
      </c>
      <c r="F296" s="44">
        <v>0.005042</v>
      </c>
      <c r="G296" s="44">
        <v>1.568629</v>
      </c>
      <c r="H296" s="389"/>
      <c r="I296" s="46" t="s">
        <v>2078</v>
      </c>
      <c r="J296" s="46" t="s">
        <v>465</v>
      </c>
      <c r="K296" s="46" t="s">
        <v>97</v>
      </c>
      <c r="L296" s="46" t="s">
        <v>2079</v>
      </c>
      <c r="M296" s="389"/>
      <c r="N296" s="46" t="s">
        <v>1570</v>
      </c>
      <c r="O296" s="389"/>
      <c r="P296" s="389"/>
      <c r="Q296" s="45"/>
      <c r="R296" s="46">
        <v>1.0</v>
      </c>
      <c r="S296" s="45"/>
      <c r="T296" s="46" t="s">
        <v>1630</v>
      </c>
      <c r="U296" s="44">
        <v>66.0</v>
      </c>
      <c r="V296" s="44">
        <v>15.0</v>
      </c>
      <c r="W296" s="389"/>
      <c r="X296" s="44">
        <v>18.0</v>
      </c>
      <c r="Y296" s="44">
        <v>8.064242</v>
      </c>
      <c r="Z296" s="44">
        <v>0.172121</v>
      </c>
      <c r="AA296" s="44">
        <v>5.622727</v>
      </c>
      <c r="AB296" s="44">
        <v>1.721212</v>
      </c>
      <c r="AC296" s="44">
        <v>0.458939</v>
      </c>
      <c r="AD296" s="44">
        <v>0.91803</v>
      </c>
      <c r="AE296" s="44">
        <v>0.518863</v>
      </c>
      <c r="AF296" s="44">
        <v>6.502273</v>
      </c>
      <c r="AG296" s="44">
        <v>0.677003</v>
      </c>
      <c r="AH296" s="44">
        <v>1.690606</v>
      </c>
      <c r="AI296" s="44">
        <v>1.912424</v>
      </c>
      <c r="AJ296" s="44">
        <v>21.07732</v>
      </c>
      <c r="AK296" s="44">
        <v>-1.58218</v>
      </c>
      <c r="AL296" s="44">
        <v>-1.51797</v>
      </c>
      <c r="AM296" s="44">
        <v>-0.19883</v>
      </c>
      <c r="AN296" s="44">
        <v>-0.97365</v>
      </c>
      <c r="AO296" s="44">
        <v>-1.6398</v>
      </c>
      <c r="AP296" s="44">
        <v>0.305982</v>
      </c>
      <c r="AQ296" s="44">
        <v>0.291558</v>
      </c>
      <c r="AR296" s="44">
        <v>-0.63409</v>
      </c>
      <c r="AS296" s="44">
        <v>-0.0239</v>
      </c>
    </row>
    <row r="297">
      <c r="A297" s="44">
        <v>296.0</v>
      </c>
      <c r="B297" s="389"/>
      <c r="C297" s="389"/>
      <c r="D297" s="389"/>
      <c r="E297" s="44">
        <v>-0.66429</v>
      </c>
      <c r="F297" s="44">
        <v>0.002198</v>
      </c>
      <c r="G297" s="44">
        <v>-1.04258</v>
      </c>
      <c r="H297" s="389"/>
      <c r="I297" s="46" t="s">
        <v>2080</v>
      </c>
      <c r="J297" s="46" t="s">
        <v>308</v>
      </c>
      <c r="K297" s="46" t="s">
        <v>92</v>
      </c>
      <c r="L297" s="46" t="s">
        <v>2081</v>
      </c>
      <c r="M297" s="389"/>
      <c r="N297" s="46" t="s">
        <v>1570</v>
      </c>
      <c r="O297" s="46" t="s">
        <v>1571</v>
      </c>
      <c r="P297" s="389"/>
      <c r="Q297" s="45"/>
      <c r="R297" s="46">
        <v>5.0</v>
      </c>
      <c r="S297" s="45"/>
      <c r="T297" s="46" t="s">
        <v>1630</v>
      </c>
      <c r="U297" s="44">
        <v>59.0</v>
      </c>
      <c r="V297" s="44">
        <v>15.0</v>
      </c>
      <c r="W297" s="389"/>
      <c r="X297" s="44">
        <v>18.0</v>
      </c>
      <c r="Y297" s="44">
        <v>3.896441</v>
      </c>
      <c r="Z297" s="44">
        <v>1.103898</v>
      </c>
      <c r="AA297" s="44">
        <v>2.873559</v>
      </c>
      <c r="AB297" s="44">
        <v>1.089661</v>
      </c>
      <c r="AC297" s="44">
        <v>0.545593</v>
      </c>
      <c r="AD297" s="44">
        <v>0.43661</v>
      </c>
      <c r="AE297" s="44">
        <v>0.41794</v>
      </c>
      <c r="AF297" s="44">
        <v>3.129153</v>
      </c>
      <c r="AG297" s="44">
        <v>0.808675</v>
      </c>
      <c r="AH297" s="44">
        <v>0.218814</v>
      </c>
      <c r="AI297" s="44">
        <v>0.43661</v>
      </c>
      <c r="AJ297" s="44">
        <v>9.088986</v>
      </c>
      <c r="AK297" s="44">
        <v>-2.31663</v>
      </c>
      <c r="AL297" s="44">
        <v>-0.62677</v>
      </c>
      <c r="AM297" s="44">
        <v>-1.32697</v>
      </c>
      <c r="AN297" s="44">
        <v>-1.27834</v>
      </c>
      <c r="AO297" s="44">
        <v>-1.38243</v>
      </c>
      <c r="AP297" s="44">
        <v>-0.56243</v>
      </c>
      <c r="AQ297" s="44">
        <v>-0.32256</v>
      </c>
      <c r="AR297" s="44">
        <v>-0.00278</v>
      </c>
      <c r="AS297" s="44">
        <v>1.840284</v>
      </c>
    </row>
    <row r="298">
      <c r="A298" s="44">
        <v>297.0</v>
      </c>
      <c r="B298" s="44">
        <v>145.0</v>
      </c>
      <c r="C298" s="45"/>
      <c r="D298" s="45"/>
      <c r="E298" s="44">
        <v>-0.66554</v>
      </c>
      <c r="F298" s="44">
        <v>0.004439</v>
      </c>
      <c r="G298" s="44">
        <v>0.713715</v>
      </c>
      <c r="H298" s="389"/>
      <c r="I298" s="46" t="s">
        <v>2082</v>
      </c>
      <c r="J298" s="46" t="s">
        <v>1578</v>
      </c>
      <c r="K298" s="46" t="s">
        <v>97</v>
      </c>
      <c r="L298" s="46" t="s">
        <v>2083</v>
      </c>
      <c r="M298" s="389"/>
      <c r="N298" s="46" t="s">
        <v>1562</v>
      </c>
      <c r="O298" s="45"/>
      <c r="P298" s="389"/>
      <c r="Q298" s="389"/>
      <c r="R298" s="46">
        <v>3.0</v>
      </c>
      <c r="S298" s="45"/>
      <c r="T298" s="46" t="s">
        <v>1905</v>
      </c>
      <c r="U298" s="44">
        <v>46.0</v>
      </c>
      <c r="V298" s="44">
        <v>15.0</v>
      </c>
      <c r="W298" s="389"/>
      <c r="X298" s="44">
        <v>15.0</v>
      </c>
      <c r="Y298" s="44">
        <v>7.132826</v>
      </c>
      <c r="Z298" s="44">
        <v>0.022174</v>
      </c>
      <c r="AA298" s="44">
        <v>5.259348</v>
      </c>
      <c r="AB298" s="44">
        <v>1.445652</v>
      </c>
      <c r="AC298" s="44">
        <v>0.373261</v>
      </c>
      <c r="AD298" s="44">
        <v>0.70913</v>
      </c>
      <c r="AE298" s="44">
        <v>0.586579</v>
      </c>
      <c r="AF298" s="44">
        <v>5.073261</v>
      </c>
      <c r="AG298" s="44">
        <v>0.571015</v>
      </c>
      <c r="AH298" s="44">
        <v>2.029565</v>
      </c>
      <c r="AI298" s="44">
        <v>0.678696</v>
      </c>
      <c r="AJ298" s="44">
        <v>19.31611</v>
      </c>
      <c r="AK298" s="44">
        <v>-1.74631</v>
      </c>
      <c r="AL298" s="44">
        <v>-1.66138</v>
      </c>
      <c r="AM298" s="44">
        <v>-0.34794</v>
      </c>
      <c r="AN298" s="44">
        <v>-1.10659</v>
      </c>
      <c r="AO298" s="44">
        <v>-1.89427</v>
      </c>
      <c r="AP298" s="44">
        <v>-0.07084</v>
      </c>
      <c r="AQ298" s="44">
        <v>0.73657</v>
      </c>
      <c r="AR298" s="44">
        <v>-1.43361</v>
      </c>
      <c r="AS298" s="44">
        <v>1.534492</v>
      </c>
    </row>
    <row r="299">
      <c r="A299" s="44">
        <v>298.0</v>
      </c>
      <c r="B299" s="389"/>
      <c r="C299" s="45"/>
      <c r="D299" s="45"/>
      <c r="E299" s="44">
        <v>-0.66846</v>
      </c>
      <c r="F299" s="44">
        <v>0.002244</v>
      </c>
      <c r="G299" s="44">
        <v>0.88098</v>
      </c>
      <c r="H299" s="389"/>
      <c r="I299" s="46" t="s">
        <v>2084</v>
      </c>
      <c r="J299" s="46" t="s">
        <v>350</v>
      </c>
      <c r="K299" s="46" t="s">
        <v>85</v>
      </c>
      <c r="L299" s="46" t="s">
        <v>2085</v>
      </c>
      <c r="M299" s="389"/>
      <c r="N299" s="46" t="s">
        <v>1570</v>
      </c>
      <c r="O299" s="389"/>
      <c r="P299" s="389"/>
      <c r="Q299" s="389"/>
      <c r="R299" s="46">
        <v>4.0</v>
      </c>
      <c r="S299" s="45"/>
      <c r="T299" s="46" t="s">
        <v>1630</v>
      </c>
      <c r="U299" s="44">
        <v>66.0</v>
      </c>
      <c r="V299" s="44">
        <v>14.0</v>
      </c>
      <c r="W299" s="389"/>
      <c r="X299" s="44">
        <v>18.0</v>
      </c>
      <c r="Y299" s="44">
        <v>6.143636</v>
      </c>
      <c r="Z299" s="44">
        <v>0.800606</v>
      </c>
      <c r="AA299" s="44">
        <v>2.91</v>
      </c>
      <c r="AB299" s="44">
        <v>1.455</v>
      </c>
      <c r="AC299" s="44">
        <v>0.982121</v>
      </c>
      <c r="AD299" s="44">
        <v>0.248333</v>
      </c>
      <c r="AE299" s="44">
        <v>0.42088</v>
      </c>
      <c r="AF299" s="44">
        <v>5.456818</v>
      </c>
      <c r="AG299" s="44">
        <v>0.654324</v>
      </c>
      <c r="AH299" s="44">
        <v>1.145758</v>
      </c>
      <c r="AI299" s="44">
        <v>0.877879</v>
      </c>
      <c r="AJ299" s="44">
        <v>17.05872</v>
      </c>
      <c r="AK299" s="44">
        <v>-1.92063</v>
      </c>
      <c r="AL299" s="44">
        <v>-0.91685</v>
      </c>
      <c r="AM299" s="44">
        <v>-1.31201</v>
      </c>
      <c r="AN299" s="44">
        <v>-1.10208</v>
      </c>
      <c r="AO299" s="44">
        <v>-0.08591</v>
      </c>
      <c r="AP299" s="44">
        <v>-0.90206</v>
      </c>
      <c r="AQ299" s="44">
        <v>-0.54407</v>
      </c>
      <c r="AR299" s="44">
        <v>-0.51538</v>
      </c>
      <c r="AS299" s="44">
        <v>1.282893</v>
      </c>
    </row>
    <row r="300">
      <c r="A300" s="44">
        <v>299.0</v>
      </c>
      <c r="B300" s="389"/>
      <c r="C300" s="45"/>
      <c r="D300" s="45"/>
      <c r="E300" s="44">
        <v>-0.67067</v>
      </c>
      <c r="F300" s="44">
        <v>0.002173</v>
      </c>
      <c r="G300" s="44">
        <v>-0.10403</v>
      </c>
      <c r="H300" s="389"/>
      <c r="I300" s="46" t="s">
        <v>2086</v>
      </c>
      <c r="J300" s="46" t="s">
        <v>287</v>
      </c>
      <c r="K300" s="46" t="s">
        <v>1616</v>
      </c>
      <c r="L300" s="46" t="s">
        <v>2087</v>
      </c>
      <c r="M300" s="389"/>
      <c r="N300" s="46" t="s">
        <v>1562</v>
      </c>
      <c r="O300" s="45"/>
      <c r="P300" s="389"/>
      <c r="Q300" s="389"/>
      <c r="R300" s="46">
        <v>3.0</v>
      </c>
      <c r="S300" s="45"/>
      <c r="T300" s="46" t="s">
        <v>1630</v>
      </c>
      <c r="U300" s="44">
        <v>71.0</v>
      </c>
      <c r="V300" s="44">
        <v>16.0</v>
      </c>
      <c r="W300" s="389"/>
      <c r="X300" s="44">
        <v>19.0</v>
      </c>
      <c r="Y300" s="44">
        <v>7.138169</v>
      </c>
      <c r="Z300" s="44">
        <v>1.208592</v>
      </c>
      <c r="AA300" s="44">
        <v>2.414648</v>
      </c>
      <c r="AB300" s="44">
        <v>0.986338</v>
      </c>
      <c r="AC300" s="44">
        <v>0.709437</v>
      </c>
      <c r="AD300" s="44">
        <v>0.287324</v>
      </c>
      <c r="AE300" s="44">
        <v>0.454484</v>
      </c>
      <c r="AF300" s="44">
        <v>6.017042</v>
      </c>
      <c r="AG300" s="44">
        <v>0.702947</v>
      </c>
      <c r="AH300" s="44">
        <v>0.654789</v>
      </c>
      <c r="AI300" s="44">
        <v>0.857183</v>
      </c>
      <c r="AJ300" s="44">
        <v>16.33702</v>
      </c>
      <c r="AK300" s="44">
        <v>-1.74537</v>
      </c>
      <c r="AL300" s="44">
        <v>-0.52664</v>
      </c>
      <c r="AM300" s="44">
        <v>-1.51529</v>
      </c>
      <c r="AN300" s="44">
        <v>-1.32819</v>
      </c>
      <c r="AO300" s="44">
        <v>-0.89581</v>
      </c>
      <c r="AP300" s="44">
        <v>-0.83173</v>
      </c>
      <c r="AQ300" s="44">
        <v>-0.30195</v>
      </c>
      <c r="AR300" s="44">
        <v>-0.20011</v>
      </c>
      <c r="AS300" s="44">
        <v>1.309035</v>
      </c>
    </row>
    <row r="301">
      <c r="A301" s="44">
        <v>300.0</v>
      </c>
      <c r="B301" s="389"/>
      <c r="C301" s="45"/>
      <c r="D301" s="45"/>
      <c r="E301" s="44">
        <v>-0.67135</v>
      </c>
      <c r="F301" s="44">
        <v>0.003614</v>
      </c>
      <c r="G301" s="44">
        <v>0.676544</v>
      </c>
      <c r="H301" s="389"/>
      <c r="I301" s="46" t="s">
        <v>2088</v>
      </c>
      <c r="J301" s="46" t="s">
        <v>287</v>
      </c>
      <c r="K301" s="46" t="s">
        <v>90</v>
      </c>
      <c r="L301" s="46" t="s">
        <v>2089</v>
      </c>
      <c r="M301" s="389"/>
      <c r="N301" s="46" t="s">
        <v>1562</v>
      </c>
      <c r="O301" s="46" t="s">
        <v>2090</v>
      </c>
      <c r="P301" s="389"/>
      <c r="Q301" s="389"/>
      <c r="R301" s="46">
        <v>3.0</v>
      </c>
      <c r="S301" s="45"/>
      <c r="T301" s="46" t="s">
        <v>1905</v>
      </c>
      <c r="U301" s="44">
        <v>46.0</v>
      </c>
      <c r="V301" s="44">
        <v>16.0</v>
      </c>
      <c r="W301" s="389"/>
      <c r="X301" s="44">
        <v>16.0</v>
      </c>
      <c r="Y301" s="44">
        <v>5.508261</v>
      </c>
      <c r="Z301" s="44">
        <v>0.235435</v>
      </c>
      <c r="AA301" s="44">
        <v>3.4</v>
      </c>
      <c r="AB301" s="44">
        <v>0.866739</v>
      </c>
      <c r="AC301" s="44">
        <v>0.399348</v>
      </c>
      <c r="AD301" s="44">
        <v>0.633913</v>
      </c>
      <c r="AE301" s="44">
        <v>0.575316</v>
      </c>
      <c r="AF301" s="44">
        <v>3.866304</v>
      </c>
      <c r="AG301" s="44">
        <v>0.668018</v>
      </c>
      <c r="AH301" s="44">
        <v>1.233696</v>
      </c>
      <c r="AI301" s="44">
        <v>0.333696</v>
      </c>
      <c r="AJ301" s="44">
        <v>12.84663</v>
      </c>
      <c r="AK301" s="44">
        <v>-2.03259</v>
      </c>
      <c r="AL301" s="44">
        <v>-1.45741</v>
      </c>
      <c r="AM301" s="44">
        <v>-1.11094</v>
      </c>
      <c r="AN301" s="44">
        <v>-1.38589</v>
      </c>
      <c r="AO301" s="44">
        <v>-1.81679</v>
      </c>
      <c r="AP301" s="44">
        <v>-0.20653</v>
      </c>
      <c r="AQ301" s="44">
        <v>0.49869</v>
      </c>
      <c r="AR301" s="44">
        <v>-0.50095</v>
      </c>
      <c r="AS301" s="44">
        <v>1.970282</v>
      </c>
    </row>
    <row r="302">
      <c r="A302" s="44">
        <v>301.0</v>
      </c>
      <c r="B302" s="389"/>
      <c r="C302" s="44">
        <v>1.0</v>
      </c>
      <c r="D302" s="44">
        <v>0.0</v>
      </c>
      <c r="E302" s="44">
        <v>-0.67184</v>
      </c>
      <c r="F302" s="44">
        <v>0.004778</v>
      </c>
      <c r="G302" s="44">
        <v>1.568629</v>
      </c>
      <c r="H302" s="389"/>
      <c r="I302" s="46" t="s">
        <v>2091</v>
      </c>
      <c r="J302" s="46" t="s">
        <v>324</v>
      </c>
      <c r="K302" s="46" t="s">
        <v>97</v>
      </c>
      <c r="L302" s="46" t="s">
        <v>2092</v>
      </c>
      <c r="M302" s="389"/>
      <c r="N302" s="46" t="s">
        <v>1562</v>
      </c>
      <c r="O302" s="389"/>
      <c r="P302" s="389"/>
      <c r="Q302" s="389"/>
      <c r="R302" s="46">
        <v>1.0</v>
      </c>
      <c r="S302" s="45"/>
      <c r="T302" s="46" t="s">
        <v>1630</v>
      </c>
      <c r="U302" s="44">
        <v>71.0</v>
      </c>
      <c r="V302" s="44">
        <v>16.0</v>
      </c>
      <c r="W302" s="389"/>
      <c r="X302" s="44">
        <v>17.0</v>
      </c>
      <c r="Y302" s="44">
        <v>5.71</v>
      </c>
      <c r="Z302" s="44">
        <v>0.145775</v>
      </c>
      <c r="AA302" s="44">
        <v>4.908732</v>
      </c>
      <c r="AB302" s="44">
        <v>0.490845</v>
      </c>
      <c r="AC302" s="44">
        <v>0.280563</v>
      </c>
      <c r="AD302" s="44">
        <v>0.771408</v>
      </c>
      <c r="AE302" s="44">
        <v>0.586222</v>
      </c>
      <c r="AF302" s="44">
        <v>4.06662</v>
      </c>
      <c r="AG302" s="44">
        <v>0.753063</v>
      </c>
      <c r="AH302" s="44">
        <v>1.057465</v>
      </c>
      <c r="AI302" s="44">
        <v>0.91169</v>
      </c>
      <c r="AJ302" s="44">
        <v>13.98874</v>
      </c>
      <c r="AK302" s="44">
        <v>-1.99704</v>
      </c>
      <c r="AL302" s="44">
        <v>-1.54317</v>
      </c>
      <c r="AM302" s="44">
        <v>-0.49182</v>
      </c>
      <c r="AN302" s="44">
        <v>-1.56724</v>
      </c>
      <c r="AO302" s="44">
        <v>-2.16959</v>
      </c>
      <c r="AP302" s="44">
        <v>0.041496</v>
      </c>
      <c r="AQ302" s="44">
        <v>0.589682</v>
      </c>
      <c r="AR302" s="44">
        <v>-0.14903</v>
      </c>
      <c r="AS302" s="44">
        <v>1.240184</v>
      </c>
    </row>
    <row r="303">
      <c r="A303" s="44">
        <v>302.0</v>
      </c>
      <c r="B303" s="389"/>
      <c r="C303" s="389"/>
      <c r="D303" s="389"/>
      <c r="E303" s="44">
        <v>-0.67437</v>
      </c>
      <c r="F303" s="44">
        <v>0.003915</v>
      </c>
      <c r="G303" s="44">
        <v>0.100406</v>
      </c>
      <c r="H303" s="389"/>
      <c r="I303" s="46" t="s">
        <v>2093</v>
      </c>
      <c r="J303" s="46" t="s">
        <v>490</v>
      </c>
      <c r="K303" s="46" t="s">
        <v>1581</v>
      </c>
      <c r="L303" s="46" t="s">
        <v>2094</v>
      </c>
      <c r="M303" s="389"/>
      <c r="N303" s="46" t="s">
        <v>1570</v>
      </c>
      <c r="O303" s="46" t="s">
        <v>1848</v>
      </c>
      <c r="P303" s="389"/>
      <c r="Q303" s="45"/>
      <c r="R303" s="46">
        <v>5.0</v>
      </c>
      <c r="S303" s="45"/>
      <c r="T303" s="46" t="s">
        <v>1630</v>
      </c>
      <c r="U303" s="44">
        <v>66.0</v>
      </c>
      <c r="V303" s="44">
        <v>16.0</v>
      </c>
      <c r="W303" s="389"/>
      <c r="X303" s="44">
        <v>16.0</v>
      </c>
      <c r="Y303" s="44">
        <v>7.129697</v>
      </c>
      <c r="Z303" s="44">
        <v>0.25697</v>
      </c>
      <c r="AA303" s="44">
        <v>5.04697</v>
      </c>
      <c r="AB303" s="44">
        <v>0.722576</v>
      </c>
      <c r="AC303" s="44">
        <v>0.37803</v>
      </c>
      <c r="AD303" s="44">
        <v>0.480455</v>
      </c>
      <c r="AE303" s="44">
        <v>0.54411</v>
      </c>
      <c r="AF303" s="44">
        <v>5.28803</v>
      </c>
      <c r="AG303" s="44">
        <v>0.703997</v>
      </c>
      <c r="AH303" s="44">
        <v>1.588333</v>
      </c>
      <c r="AI303" s="44">
        <v>0.789394</v>
      </c>
      <c r="AJ303" s="44">
        <v>17.86866</v>
      </c>
      <c r="AK303" s="44">
        <v>-1.74686</v>
      </c>
      <c r="AL303" s="44">
        <v>-1.43681</v>
      </c>
      <c r="AM303" s="44">
        <v>-0.43509</v>
      </c>
      <c r="AN303" s="44">
        <v>-1.45544</v>
      </c>
      <c r="AO303" s="44">
        <v>-1.88011</v>
      </c>
      <c r="AP303" s="44">
        <v>-0.48334</v>
      </c>
      <c r="AQ303" s="44">
        <v>0.435676</v>
      </c>
      <c r="AR303" s="44">
        <v>-0.46197</v>
      </c>
      <c r="AS303" s="44">
        <v>1.394663</v>
      </c>
    </row>
    <row r="304">
      <c r="A304" s="44">
        <v>303.0</v>
      </c>
      <c r="B304" s="389"/>
      <c r="C304" s="45"/>
      <c r="D304" s="45"/>
      <c r="E304" s="44">
        <v>-0.67857</v>
      </c>
      <c r="F304" s="44">
        <v>0.003127</v>
      </c>
      <c r="G304" s="44">
        <v>1.038954</v>
      </c>
      <c r="H304" s="389"/>
      <c r="I304" s="46" t="s">
        <v>2095</v>
      </c>
      <c r="J304" s="46" t="s">
        <v>317</v>
      </c>
      <c r="K304" s="46" t="s">
        <v>97</v>
      </c>
      <c r="L304" s="389"/>
      <c r="M304" s="389"/>
      <c r="N304" s="46" t="s">
        <v>1570</v>
      </c>
      <c r="O304" s="389"/>
      <c r="P304" s="389"/>
      <c r="Q304" s="389"/>
      <c r="R304" s="389"/>
      <c r="S304" s="45"/>
      <c r="T304" s="46" t="s">
        <v>1630</v>
      </c>
      <c r="U304" s="44">
        <v>66.0</v>
      </c>
      <c r="V304" s="44">
        <v>14.0</v>
      </c>
      <c r="W304" s="389"/>
      <c r="X304" s="44">
        <v>12.0</v>
      </c>
      <c r="Y304" s="44">
        <v>5.758939</v>
      </c>
      <c r="Z304" s="44">
        <v>0.487576</v>
      </c>
      <c r="AA304" s="44">
        <v>3.408788</v>
      </c>
      <c r="AB304" s="44">
        <v>0.580758</v>
      </c>
      <c r="AC304" s="44">
        <v>0.30303</v>
      </c>
      <c r="AD304" s="44">
        <v>0.479697</v>
      </c>
      <c r="AE304" s="44">
        <v>0.543531</v>
      </c>
      <c r="AF304" s="44">
        <v>4.089697</v>
      </c>
      <c r="AG304" s="44">
        <v>0.841025</v>
      </c>
      <c r="AH304" s="44">
        <v>0.981667</v>
      </c>
      <c r="AI304" s="44">
        <v>0.429242</v>
      </c>
      <c r="AJ304" s="44">
        <v>17.63215</v>
      </c>
      <c r="AK304" s="44">
        <v>-1.98842</v>
      </c>
      <c r="AL304" s="44">
        <v>-1.21625</v>
      </c>
      <c r="AM304" s="44">
        <v>-1.10733</v>
      </c>
      <c r="AN304" s="44">
        <v>-1.52386</v>
      </c>
      <c r="AO304" s="44">
        <v>-2.10286</v>
      </c>
      <c r="AP304" s="44">
        <v>-0.48471</v>
      </c>
      <c r="AQ304" s="44">
        <v>0.335055</v>
      </c>
      <c r="AR304" s="44">
        <v>0.131675</v>
      </c>
      <c r="AS304" s="44">
        <v>1.849591</v>
      </c>
    </row>
    <row r="305">
      <c r="A305" s="44">
        <v>304.0</v>
      </c>
      <c r="B305" s="389"/>
      <c r="C305" s="45"/>
      <c r="D305" s="45"/>
      <c r="E305" s="44">
        <v>-0.67953</v>
      </c>
      <c r="F305" s="44">
        <v>-0.11159</v>
      </c>
      <c r="G305" s="44">
        <v>0.063236</v>
      </c>
      <c r="H305" s="389"/>
      <c r="I305" s="46" t="s">
        <v>2096</v>
      </c>
      <c r="J305" s="46" t="s">
        <v>449</v>
      </c>
      <c r="K305" s="46" t="s">
        <v>1572</v>
      </c>
      <c r="L305" s="46" t="s">
        <v>2097</v>
      </c>
      <c r="M305" s="389"/>
      <c r="N305" s="46" t="s">
        <v>1570</v>
      </c>
      <c r="O305" s="389"/>
      <c r="P305" s="389"/>
      <c r="Q305" s="389"/>
      <c r="R305" s="46">
        <v>4.0</v>
      </c>
      <c r="S305" s="45"/>
      <c r="T305" s="46" t="s">
        <v>1630</v>
      </c>
      <c r="U305" s="44">
        <v>66.0</v>
      </c>
      <c r="V305" s="44">
        <v>13.0</v>
      </c>
      <c r="W305" s="389"/>
      <c r="X305" s="44">
        <v>18.0</v>
      </c>
      <c r="Y305" s="44">
        <v>7.34803</v>
      </c>
      <c r="Z305" s="44">
        <v>1.164394</v>
      </c>
      <c r="AA305" s="44">
        <v>2.598788</v>
      </c>
      <c r="AB305" s="44">
        <v>1.333182</v>
      </c>
      <c r="AC305" s="44">
        <v>0.63</v>
      </c>
      <c r="AD305" s="44">
        <v>0.315</v>
      </c>
      <c r="AE305" s="44">
        <v>0.448869</v>
      </c>
      <c r="AF305" s="44">
        <v>6.221364</v>
      </c>
      <c r="AG305" s="44">
        <v>0.739978</v>
      </c>
      <c r="AH305" s="44">
        <v>0.808788</v>
      </c>
      <c r="AI305" s="44">
        <v>0.951515</v>
      </c>
      <c r="AJ305" s="44">
        <v>17.27035</v>
      </c>
      <c r="AK305" s="44">
        <v>-1.70839</v>
      </c>
      <c r="AL305" s="44">
        <v>-0.56891</v>
      </c>
      <c r="AM305" s="44">
        <v>-1.43972</v>
      </c>
      <c r="AN305" s="44">
        <v>-1.16085</v>
      </c>
      <c r="AO305" s="44">
        <v>-1.13174</v>
      </c>
      <c r="AP305" s="44">
        <v>-0.7818</v>
      </c>
      <c r="AQ305" s="44">
        <v>-0.36405</v>
      </c>
      <c r="AR305" s="44">
        <v>-0.15019</v>
      </c>
      <c r="AS305" s="44">
        <v>1.189879</v>
      </c>
    </row>
    <row r="306">
      <c r="A306" s="44">
        <v>305.0</v>
      </c>
      <c r="B306" s="389"/>
      <c r="C306" s="389"/>
      <c r="D306" s="389"/>
      <c r="E306" s="44">
        <v>-0.68248</v>
      </c>
      <c r="F306" s="44">
        <v>0.078871</v>
      </c>
      <c r="G306" s="44">
        <v>0.862395</v>
      </c>
      <c r="H306" s="389"/>
      <c r="I306" s="46" t="s">
        <v>2098</v>
      </c>
      <c r="J306" s="46" t="s">
        <v>332</v>
      </c>
      <c r="K306" s="46" t="s">
        <v>92</v>
      </c>
      <c r="L306" s="46" t="s">
        <v>2099</v>
      </c>
      <c r="M306" s="389"/>
      <c r="N306" s="46" t="s">
        <v>1612</v>
      </c>
      <c r="O306" s="46" t="s">
        <v>1729</v>
      </c>
      <c r="P306" s="389"/>
      <c r="Q306" s="45"/>
      <c r="R306" s="46">
        <v>2.0</v>
      </c>
      <c r="S306" s="45"/>
      <c r="T306" s="46" t="s">
        <v>1905</v>
      </c>
      <c r="U306" s="44">
        <v>49.0</v>
      </c>
      <c r="V306" s="44">
        <v>15.0</v>
      </c>
      <c r="W306" s="389"/>
      <c r="X306" s="44">
        <v>14.0</v>
      </c>
      <c r="Y306" s="44">
        <v>5.969388</v>
      </c>
      <c r="Z306" s="44">
        <v>0.792245</v>
      </c>
      <c r="AA306" s="44">
        <v>3.815306</v>
      </c>
      <c r="AB306" s="44">
        <v>0.991429</v>
      </c>
      <c r="AC306" s="44">
        <v>0.361429</v>
      </c>
      <c r="AD306" s="44">
        <v>0.36</v>
      </c>
      <c r="AE306" s="44">
        <v>0.490158</v>
      </c>
      <c r="AF306" s="44">
        <v>4.686122</v>
      </c>
      <c r="AG306" s="44">
        <v>0.73207</v>
      </c>
      <c r="AH306" s="44">
        <v>0.796735</v>
      </c>
      <c r="AI306" s="44">
        <v>0.480612</v>
      </c>
      <c r="AJ306" s="44">
        <v>16.41</v>
      </c>
      <c r="AK306" s="44">
        <v>-1.95133</v>
      </c>
      <c r="AL306" s="44">
        <v>-0.92485</v>
      </c>
      <c r="AM306" s="44">
        <v>-0.94051</v>
      </c>
      <c r="AN306" s="44">
        <v>-1.32573</v>
      </c>
      <c r="AO306" s="44">
        <v>-1.92941</v>
      </c>
      <c r="AP306" s="44">
        <v>-0.70063</v>
      </c>
      <c r="AQ306" s="44">
        <v>0.013378</v>
      </c>
      <c r="AR306" s="44">
        <v>-0.16791</v>
      </c>
      <c r="AS306" s="44">
        <v>1.784703</v>
      </c>
    </row>
    <row r="307">
      <c r="A307" s="44">
        <v>306.0</v>
      </c>
      <c r="B307" s="389"/>
      <c r="C307" s="389"/>
      <c r="D307" s="389"/>
      <c r="E307" s="44">
        <v>-0.69082</v>
      </c>
      <c r="F307" s="44">
        <v>0.001808</v>
      </c>
      <c r="G307" s="44">
        <v>0.379183</v>
      </c>
      <c r="H307" s="389"/>
      <c r="I307" s="46" t="s">
        <v>2100</v>
      </c>
      <c r="J307" s="46" t="s">
        <v>375</v>
      </c>
      <c r="K307" s="46" t="s">
        <v>90</v>
      </c>
      <c r="L307" s="46" t="s">
        <v>2101</v>
      </c>
      <c r="M307" s="46" t="s">
        <v>2102</v>
      </c>
      <c r="N307" s="46" t="s">
        <v>1562</v>
      </c>
      <c r="O307" s="46" t="s">
        <v>1576</v>
      </c>
      <c r="P307" s="389"/>
      <c r="Q307" s="45"/>
      <c r="R307" s="46">
        <v>4.0</v>
      </c>
      <c r="S307" s="45"/>
      <c r="T307" s="46" t="s">
        <v>1630</v>
      </c>
      <c r="U307" s="44">
        <v>71.0</v>
      </c>
      <c r="V307" s="44">
        <v>15.0</v>
      </c>
      <c r="W307" s="389"/>
      <c r="X307" s="44">
        <v>20.0</v>
      </c>
      <c r="Y307" s="44">
        <v>6.766338</v>
      </c>
      <c r="Z307" s="44">
        <v>1.17831</v>
      </c>
      <c r="AA307" s="44">
        <v>3.26662</v>
      </c>
      <c r="AB307" s="44">
        <v>1.08493</v>
      </c>
      <c r="AC307" s="44">
        <v>0.527746</v>
      </c>
      <c r="AD307" s="44">
        <v>0.204789</v>
      </c>
      <c r="AE307" s="44">
        <v>0.432447</v>
      </c>
      <c r="AF307" s="44">
        <v>5.471972</v>
      </c>
      <c r="AG307" s="44">
        <v>0.831007</v>
      </c>
      <c r="AH307" s="44">
        <v>1.029296</v>
      </c>
      <c r="AI307" s="44">
        <v>0.819014</v>
      </c>
      <c r="AJ307" s="44">
        <v>14.92662</v>
      </c>
      <c r="AK307" s="44">
        <v>-1.81089</v>
      </c>
      <c r="AL307" s="44">
        <v>-0.5556</v>
      </c>
      <c r="AM307" s="44">
        <v>-1.16567</v>
      </c>
      <c r="AN307" s="44">
        <v>-1.28062</v>
      </c>
      <c r="AO307" s="44">
        <v>-1.43544</v>
      </c>
      <c r="AP307" s="44">
        <v>-0.98061</v>
      </c>
      <c r="AQ307" s="44">
        <v>-0.4521</v>
      </c>
      <c r="AR307" s="44">
        <v>0.10633</v>
      </c>
      <c r="AS307" s="44">
        <v>1.357248</v>
      </c>
    </row>
    <row r="308">
      <c r="A308" s="44">
        <v>307.0</v>
      </c>
      <c r="B308" s="389"/>
      <c r="C308" s="45"/>
      <c r="D308" s="45"/>
      <c r="E308" s="44">
        <v>-0.69483</v>
      </c>
      <c r="F308" s="44">
        <v>4.34E-4</v>
      </c>
      <c r="G308" s="44">
        <v>0.890273</v>
      </c>
      <c r="H308" s="389"/>
      <c r="I308" s="46" t="s">
        <v>2103</v>
      </c>
      <c r="J308" s="46" t="s">
        <v>354</v>
      </c>
      <c r="K308" s="46" t="s">
        <v>1572</v>
      </c>
      <c r="L308" s="46" t="s">
        <v>2104</v>
      </c>
      <c r="M308" s="389"/>
      <c r="N308" s="46" t="s">
        <v>1570</v>
      </c>
      <c r="O308" s="46" t="s">
        <v>1689</v>
      </c>
      <c r="P308" s="389"/>
      <c r="Q308" s="45"/>
      <c r="R308" s="46">
        <v>3.0</v>
      </c>
      <c r="S308" s="45"/>
      <c r="T308" s="46" t="s">
        <v>1905</v>
      </c>
      <c r="U308" s="44">
        <v>43.0</v>
      </c>
      <c r="V308" s="44">
        <v>15.0</v>
      </c>
      <c r="W308" s="389"/>
      <c r="X308" s="44">
        <v>14.0</v>
      </c>
      <c r="Y308" s="44">
        <v>5.410465</v>
      </c>
      <c r="Z308" s="44">
        <v>0.205116</v>
      </c>
      <c r="AA308" s="44">
        <v>2.703721</v>
      </c>
      <c r="AB308" s="44">
        <v>2.403256</v>
      </c>
      <c r="AC308" s="44">
        <v>0.480698</v>
      </c>
      <c r="AD308" s="44">
        <v>0.457442</v>
      </c>
      <c r="AE308" s="44">
        <v>0.486328</v>
      </c>
      <c r="AF308" s="44">
        <v>4.567209</v>
      </c>
      <c r="AG308" s="44">
        <v>0.760019</v>
      </c>
      <c r="AH308" s="44">
        <v>1.003953</v>
      </c>
      <c r="AI308" s="44">
        <v>0.66093</v>
      </c>
      <c r="AJ308" s="44">
        <v>16.83429</v>
      </c>
      <c r="AK308" s="44">
        <v>-2.04983</v>
      </c>
      <c r="AL308" s="44">
        <v>-1.48641</v>
      </c>
      <c r="AM308" s="44">
        <v>-1.39666</v>
      </c>
      <c r="AN308" s="44">
        <v>-0.6446</v>
      </c>
      <c r="AO308" s="44">
        <v>-1.57518</v>
      </c>
      <c r="AP308" s="44">
        <v>-0.52486</v>
      </c>
      <c r="AQ308" s="44">
        <v>-0.01262</v>
      </c>
      <c r="AR308" s="44">
        <v>-0.12022</v>
      </c>
      <c r="AS308" s="44">
        <v>1.556933</v>
      </c>
    </row>
    <row r="309">
      <c r="A309" s="44">
        <v>308.0</v>
      </c>
      <c r="B309" s="389"/>
      <c r="C309" s="389"/>
      <c r="D309" s="389"/>
      <c r="E309" s="44">
        <v>-0.70065</v>
      </c>
      <c r="F309" s="44">
        <v>0.001512</v>
      </c>
      <c r="G309" s="44">
        <v>-0.36422</v>
      </c>
      <c r="H309" s="389"/>
      <c r="I309" s="46" t="s">
        <v>2105</v>
      </c>
      <c r="J309" s="46" t="s">
        <v>278</v>
      </c>
      <c r="K309" s="46" t="s">
        <v>85</v>
      </c>
      <c r="L309" s="46" t="s">
        <v>2106</v>
      </c>
      <c r="M309" s="46" t="s">
        <v>2107</v>
      </c>
      <c r="N309" s="46" t="s">
        <v>1570</v>
      </c>
      <c r="O309" s="46" t="s">
        <v>1776</v>
      </c>
      <c r="P309" s="389"/>
      <c r="Q309" s="389"/>
      <c r="R309" s="46">
        <v>5.0</v>
      </c>
      <c r="S309" s="45"/>
      <c r="T309" s="46" t="s">
        <v>1630</v>
      </c>
      <c r="U309" s="44">
        <v>50.0</v>
      </c>
      <c r="V309" s="44">
        <v>14.0</v>
      </c>
      <c r="W309" s="389"/>
      <c r="X309" s="44">
        <v>20.0</v>
      </c>
      <c r="Y309" s="44">
        <v>7.3184</v>
      </c>
      <c r="Z309" s="44">
        <v>0.9148</v>
      </c>
      <c r="AA309" s="44">
        <v>1.8938</v>
      </c>
      <c r="AB309" s="44">
        <v>2.525</v>
      </c>
      <c r="AC309" s="44">
        <v>0.5892</v>
      </c>
      <c r="AD309" s="44">
        <v>0.1684</v>
      </c>
      <c r="AE309" s="44">
        <v>0.471365</v>
      </c>
      <c r="AF309" s="44">
        <v>5.8494</v>
      </c>
      <c r="AG309" s="44">
        <v>0.76</v>
      </c>
      <c r="AH309" s="44">
        <v>1.17</v>
      </c>
      <c r="AI309" s="44">
        <v>1.0108</v>
      </c>
      <c r="AJ309" s="44">
        <v>15.77174</v>
      </c>
      <c r="AK309" s="44">
        <v>-1.71361</v>
      </c>
      <c r="AL309" s="44">
        <v>-0.80763</v>
      </c>
      <c r="AM309" s="44">
        <v>-1.72902</v>
      </c>
      <c r="AN309" s="44">
        <v>-0.58586</v>
      </c>
      <c r="AO309" s="44">
        <v>-1.25292</v>
      </c>
      <c r="AP309" s="44">
        <v>-1.04625</v>
      </c>
      <c r="AQ309" s="44">
        <v>-0.14746</v>
      </c>
      <c r="AR309" s="44">
        <v>-0.13807</v>
      </c>
      <c r="AS309" s="44">
        <v>1.114993</v>
      </c>
    </row>
    <row r="310">
      <c r="A310" s="44">
        <v>309.0</v>
      </c>
      <c r="B310" s="389"/>
      <c r="C310" s="45"/>
      <c r="D310" s="45"/>
      <c r="E310" s="44">
        <v>-0.70382</v>
      </c>
      <c r="F310" s="44">
        <v>0.004935</v>
      </c>
      <c r="G310" s="44">
        <v>-0.63371</v>
      </c>
      <c r="H310" s="389"/>
      <c r="I310" s="46" t="s">
        <v>2108</v>
      </c>
      <c r="J310" s="46" t="s">
        <v>324</v>
      </c>
      <c r="K310" s="46" t="s">
        <v>97</v>
      </c>
      <c r="L310" s="46" t="s">
        <v>2109</v>
      </c>
      <c r="M310" s="389"/>
      <c r="N310" s="46" t="s">
        <v>1570</v>
      </c>
      <c r="O310" s="46" t="s">
        <v>1648</v>
      </c>
      <c r="P310" s="389"/>
      <c r="Q310" s="45"/>
      <c r="R310" s="46">
        <v>5.0</v>
      </c>
      <c r="S310" s="45"/>
      <c r="T310" s="46" t="s">
        <v>1905</v>
      </c>
      <c r="U310" s="44">
        <v>43.0</v>
      </c>
      <c r="V310" s="44">
        <v>16.0</v>
      </c>
      <c r="W310" s="389"/>
      <c r="X310" s="44">
        <v>16.0</v>
      </c>
      <c r="Y310" s="44">
        <v>6.26907</v>
      </c>
      <c r="Z310" s="44">
        <v>0.010465</v>
      </c>
      <c r="AA310" s="44">
        <v>5.445116</v>
      </c>
      <c r="AB310" s="44">
        <v>0.51093</v>
      </c>
      <c r="AC310" s="44">
        <v>0.159302</v>
      </c>
      <c r="AD310" s="44">
        <v>0.640233</v>
      </c>
      <c r="AE310" s="44">
        <v>0.607584</v>
      </c>
      <c r="AF310" s="44">
        <v>4.157907</v>
      </c>
      <c r="AG310" s="44">
        <v>0.783976</v>
      </c>
      <c r="AH310" s="44">
        <v>1.538372</v>
      </c>
      <c r="AI310" s="44">
        <v>1.007907</v>
      </c>
      <c r="AJ310" s="44">
        <v>15.95274</v>
      </c>
      <c r="AK310" s="44">
        <v>-1.89852</v>
      </c>
      <c r="AL310" s="44">
        <v>-1.67258</v>
      </c>
      <c r="AM310" s="44">
        <v>-0.27171</v>
      </c>
      <c r="AN310" s="44">
        <v>-1.55755</v>
      </c>
      <c r="AO310" s="44">
        <v>-2.52974</v>
      </c>
      <c r="AP310" s="44">
        <v>-0.19513</v>
      </c>
      <c r="AQ310" s="44">
        <v>0.733979</v>
      </c>
      <c r="AR310" s="44">
        <v>-0.06179</v>
      </c>
      <c r="AS310" s="44">
        <v>1.118647</v>
      </c>
    </row>
    <row r="311">
      <c r="A311" s="44">
        <v>310.0</v>
      </c>
      <c r="B311" s="389"/>
      <c r="C311" s="45"/>
      <c r="D311" s="45"/>
      <c r="E311" s="44">
        <v>-0.70443</v>
      </c>
      <c r="F311" s="44">
        <v>0.001161</v>
      </c>
      <c r="G311" s="44">
        <v>0.760177</v>
      </c>
      <c r="H311" s="389"/>
      <c r="I311" s="46" t="s">
        <v>2110</v>
      </c>
      <c r="J311" s="46" t="s">
        <v>269</v>
      </c>
      <c r="K311" s="46" t="s">
        <v>1593</v>
      </c>
      <c r="L311" s="46" t="s">
        <v>2111</v>
      </c>
      <c r="M311" s="389"/>
      <c r="N311" s="46" t="s">
        <v>1570</v>
      </c>
      <c r="O311" s="45"/>
      <c r="P311" s="389"/>
      <c r="Q311" s="45"/>
      <c r="R311" s="46">
        <v>3.0</v>
      </c>
      <c r="S311" s="45"/>
      <c r="T311" s="46" t="s">
        <v>1630</v>
      </c>
      <c r="U311" s="44">
        <v>66.0</v>
      </c>
      <c r="V311" s="44">
        <v>16.0</v>
      </c>
      <c r="W311" s="389"/>
      <c r="X311" s="44">
        <v>19.0</v>
      </c>
      <c r="Y311" s="44">
        <v>8.452424</v>
      </c>
      <c r="Z311" s="44">
        <v>1.470909</v>
      </c>
      <c r="AA311" s="44">
        <v>1.958939</v>
      </c>
      <c r="AB311" s="44">
        <v>1.180152</v>
      </c>
      <c r="AC311" s="44">
        <v>0.476818</v>
      </c>
      <c r="AD311" s="44">
        <v>0.200606</v>
      </c>
      <c r="AE311" s="44">
        <v>0.43804</v>
      </c>
      <c r="AF311" s="44">
        <v>6.716212</v>
      </c>
      <c r="AG311" s="44">
        <v>0.817054</v>
      </c>
      <c r="AH311" s="44">
        <v>1.343333</v>
      </c>
      <c r="AI311" s="44">
        <v>0.802121</v>
      </c>
      <c r="AJ311" s="44">
        <v>18.41044</v>
      </c>
      <c r="AK311" s="44">
        <v>-1.51377</v>
      </c>
      <c r="AL311" s="44">
        <v>-0.27574</v>
      </c>
      <c r="AM311" s="44">
        <v>-1.70229</v>
      </c>
      <c r="AN311" s="44">
        <v>-1.23468</v>
      </c>
      <c r="AO311" s="44">
        <v>-1.5867</v>
      </c>
      <c r="AP311" s="44">
        <v>-0.98815</v>
      </c>
      <c r="AQ311" s="44">
        <v>-0.50102</v>
      </c>
      <c r="AR311" s="44">
        <v>0.083853</v>
      </c>
      <c r="AS311" s="44">
        <v>1.378587</v>
      </c>
    </row>
    <row r="312">
      <c r="A312" s="44">
        <v>311.0</v>
      </c>
      <c r="B312" s="44">
        <v>147.4286</v>
      </c>
      <c r="C312" s="44">
        <v>9.0</v>
      </c>
      <c r="D312" s="44">
        <v>0.0</v>
      </c>
      <c r="E312" s="44">
        <v>-0.70466</v>
      </c>
      <c r="F312" s="44">
        <v>-0.00636</v>
      </c>
      <c r="G312" s="44">
        <v>1.568629</v>
      </c>
      <c r="H312" s="389"/>
      <c r="I312" s="46" t="s">
        <v>2112</v>
      </c>
      <c r="J312" s="46" t="s">
        <v>495</v>
      </c>
      <c r="K312" s="46" t="s">
        <v>85</v>
      </c>
      <c r="L312" s="46" t="s">
        <v>2113</v>
      </c>
      <c r="M312" s="46" t="s">
        <v>2114</v>
      </c>
      <c r="N312" s="46" t="s">
        <v>1570</v>
      </c>
      <c r="O312" s="389"/>
      <c r="P312" s="389"/>
      <c r="Q312" s="389"/>
      <c r="R312" s="46">
        <v>1.0</v>
      </c>
      <c r="S312" s="45"/>
      <c r="T312" s="46" t="s">
        <v>1645</v>
      </c>
      <c r="U312" s="44">
        <v>66.0</v>
      </c>
      <c r="V312" s="44">
        <v>14.0</v>
      </c>
      <c r="W312" s="389"/>
      <c r="X312" s="44">
        <v>26.0</v>
      </c>
      <c r="Y312" s="44">
        <v>9.22803</v>
      </c>
      <c r="Z312" s="44">
        <v>1.363485</v>
      </c>
      <c r="AA312" s="44">
        <v>3.378333</v>
      </c>
      <c r="AB312" s="44">
        <v>5.14803</v>
      </c>
      <c r="AC312" s="44">
        <v>0.85803</v>
      </c>
      <c r="AD312" s="44">
        <v>0.268182</v>
      </c>
      <c r="AE312" s="44">
        <v>0.381572</v>
      </c>
      <c r="AF312" s="44">
        <v>8.901364</v>
      </c>
      <c r="AG312" s="44">
        <v>0.70805</v>
      </c>
      <c r="AH312" s="44">
        <v>1.513333</v>
      </c>
      <c r="AI312" s="44">
        <v>2.681212</v>
      </c>
      <c r="AJ312" s="44">
        <v>20.2505</v>
      </c>
      <c r="AK312" s="44">
        <v>-1.37709</v>
      </c>
      <c r="AL312" s="44">
        <v>-0.37849</v>
      </c>
      <c r="AM312" s="44">
        <v>-1.11983</v>
      </c>
      <c r="AN312" s="44">
        <v>0.679622</v>
      </c>
      <c r="AO312" s="44">
        <v>-0.45447</v>
      </c>
      <c r="AP312" s="44">
        <v>-0.86626</v>
      </c>
      <c r="AQ312" s="44">
        <v>-1.4089</v>
      </c>
      <c r="AR312" s="44">
        <v>-0.42152</v>
      </c>
      <c r="AS312" s="44">
        <v>-0.995</v>
      </c>
    </row>
    <row r="313">
      <c r="A313" s="44">
        <v>312.0</v>
      </c>
      <c r="B313" s="389"/>
      <c r="C313" s="45"/>
      <c r="D313" s="45"/>
      <c r="E313" s="44">
        <v>-0.70721</v>
      </c>
      <c r="F313" s="44">
        <v>0.004509</v>
      </c>
      <c r="G313" s="44">
        <v>-0.34564</v>
      </c>
      <c r="H313" s="389"/>
      <c r="I313" s="46" t="s">
        <v>2115</v>
      </c>
      <c r="J313" s="46" t="s">
        <v>287</v>
      </c>
      <c r="K313" s="46" t="s">
        <v>97</v>
      </c>
      <c r="L313" s="46" t="s">
        <v>2116</v>
      </c>
      <c r="M313" s="389"/>
      <c r="N313" s="46" t="s">
        <v>1570</v>
      </c>
      <c r="O313" s="389"/>
      <c r="P313" s="389"/>
      <c r="Q313" s="389"/>
      <c r="R313" s="46">
        <v>2.0</v>
      </c>
      <c r="S313" s="45"/>
      <c r="T313" s="46" t="s">
        <v>1905</v>
      </c>
      <c r="U313" s="44">
        <v>43.0</v>
      </c>
      <c r="V313" s="44">
        <v>16.0</v>
      </c>
      <c r="W313" s="389"/>
      <c r="X313" s="44">
        <v>15.0</v>
      </c>
      <c r="Y313" s="44">
        <v>5.639767</v>
      </c>
      <c r="Z313" s="44">
        <v>0.072558</v>
      </c>
      <c r="AA313" s="44">
        <v>6.25</v>
      </c>
      <c r="AB313" s="44">
        <v>0.519535</v>
      </c>
      <c r="AC313" s="44">
        <v>0.656279</v>
      </c>
      <c r="AD313" s="44">
        <v>0.439535</v>
      </c>
      <c r="AE313" s="44">
        <v>0.495381</v>
      </c>
      <c r="AF313" s="44">
        <v>4.531163</v>
      </c>
      <c r="AG313" s="44">
        <v>0.642946</v>
      </c>
      <c r="AH313" s="44">
        <v>1.676512</v>
      </c>
      <c r="AI313" s="44">
        <v>1.004186</v>
      </c>
      <c r="AJ313" s="44">
        <v>18.12412</v>
      </c>
      <c r="AK313" s="44">
        <v>-2.00942</v>
      </c>
      <c r="AL313" s="44">
        <v>-1.61319</v>
      </c>
      <c r="AM313" s="44">
        <v>0.058581</v>
      </c>
      <c r="AN313" s="44">
        <v>-1.5534</v>
      </c>
      <c r="AO313" s="44">
        <v>-1.05369</v>
      </c>
      <c r="AP313" s="44">
        <v>-0.55716</v>
      </c>
      <c r="AQ313" s="44">
        <v>0.048134</v>
      </c>
      <c r="AR313" s="44">
        <v>-0.80806</v>
      </c>
      <c r="AS313" s="44">
        <v>1.123347</v>
      </c>
    </row>
    <row r="314">
      <c r="A314" s="44">
        <v>313.0</v>
      </c>
      <c r="B314" s="389"/>
      <c r="C314" s="45"/>
      <c r="D314" s="45"/>
      <c r="E314" s="44">
        <v>-0.71106</v>
      </c>
      <c r="F314" s="44">
        <v>0.001453</v>
      </c>
      <c r="G314" s="44">
        <v>1.001784</v>
      </c>
      <c r="H314" s="389"/>
      <c r="I314" s="46" t="s">
        <v>2117</v>
      </c>
      <c r="J314" s="46" t="s">
        <v>490</v>
      </c>
      <c r="K314" s="46" t="s">
        <v>1572</v>
      </c>
      <c r="L314" s="46" t="s">
        <v>2118</v>
      </c>
      <c r="M314" s="389"/>
      <c r="N314" s="46" t="s">
        <v>1562</v>
      </c>
      <c r="O314" s="45"/>
      <c r="P314" s="389"/>
      <c r="Q314" s="45"/>
      <c r="R314" s="46">
        <v>5.0</v>
      </c>
      <c r="S314" s="45"/>
      <c r="T314" s="46" t="s">
        <v>1630</v>
      </c>
      <c r="U314" s="44">
        <v>58.0</v>
      </c>
      <c r="V314" s="44">
        <v>16.0</v>
      </c>
      <c r="W314" s="389"/>
      <c r="X314" s="44">
        <v>21.0</v>
      </c>
      <c r="Y314" s="44">
        <v>8.456897</v>
      </c>
      <c r="Z314" s="44">
        <v>1.460172</v>
      </c>
      <c r="AA314" s="44">
        <v>2.253103</v>
      </c>
      <c r="AB314" s="44">
        <v>1.330172</v>
      </c>
      <c r="AC314" s="44">
        <v>0.30569</v>
      </c>
      <c r="AD314" s="44">
        <v>0.183793</v>
      </c>
      <c r="AE314" s="44">
        <v>0.468508</v>
      </c>
      <c r="AF314" s="44">
        <v>6.353621</v>
      </c>
      <c r="AG314" s="44">
        <v>0.821031</v>
      </c>
      <c r="AH314" s="44">
        <v>1.27069</v>
      </c>
      <c r="AI314" s="44">
        <v>0.824828</v>
      </c>
      <c r="AJ314" s="44">
        <v>15.54548</v>
      </c>
      <c r="AK314" s="44">
        <v>-1.51298</v>
      </c>
      <c r="AL314" s="44">
        <v>-0.28601</v>
      </c>
      <c r="AM314" s="44">
        <v>-1.58158</v>
      </c>
      <c r="AN314" s="44">
        <v>-1.1623</v>
      </c>
      <c r="AO314" s="44">
        <v>-2.09496</v>
      </c>
      <c r="AP314" s="44">
        <v>-1.01848</v>
      </c>
      <c r="AQ314" s="44">
        <v>-0.1876</v>
      </c>
      <c r="AR314" s="44">
        <v>0.094486</v>
      </c>
      <c r="AS314" s="44">
        <v>1.349905</v>
      </c>
    </row>
    <row r="315">
      <c r="A315" s="44">
        <v>314.0</v>
      </c>
      <c r="B315" s="389"/>
      <c r="C315" s="45"/>
      <c r="D315" s="45"/>
      <c r="E315" s="44">
        <v>-0.71154</v>
      </c>
      <c r="F315" s="44">
        <v>0.002964</v>
      </c>
      <c r="G315" s="44">
        <v>0.983199</v>
      </c>
      <c r="H315" s="389"/>
      <c r="I315" s="46" t="s">
        <v>2119</v>
      </c>
      <c r="J315" s="46" t="s">
        <v>428</v>
      </c>
      <c r="K315" s="46" t="s">
        <v>1593</v>
      </c>
      <c r="L315" s="46" t="s">
        <v>2120</v>
      </c>
      <c r="M315" s="389"/>
      <c r="N315" s="46" t="s">
        <v>1612</v>
      </c>
      <c r="O315" s="46" t="s">
        <v>1787</v>
      </c>
      <c r="P315" s="389"/>
      <c r="Q315" s="389"/>
      <c r="R315" s="46">
        <v>3.0</v>
      </c>
      <c r="S315" s="45"/>
      <c r="T315" s="46" t="s">
        <v>1630</v>
      </c>
      <c r="U315" s="44">
        <v>75.0</v>
      </c>
      <c r="V315" s="44">
        <v>14.0</v>
      </c>
      <c r="W315" s="389"/>
      <c r="X315" s="44">
        <v>14.0</v>
      </c>
      <c r="Y315" s="44">
        <v>4.2708</v>
      </c>
      <c r="Z315" s="44">
        <v>0.477733</v>
      </c>
      <c r="AA315" s="44">
        <v>2.828</v>
      </c>
      <c r="AB315" s="44">
        <v>0.579467</v>
      </c>
      <c r="AC315" s="44">
        <v>0.690667</v>
      </c>
      <c r="AD315" s="44">
        <v>0.265067</v>
      </c>
      <c r="AE315" s="44">
        <v>0.492238</v>
      </c>
      <c r="AF315" s="44">
        <v>3.358267</v>
      </c>
      <c r="AG315" s="44">
        <v>0.725035</v>
      </c>
      <c r="AH315" s="44">
        <v>0.6716</v>
      </c>
      <c r="AI315" s="44">
        <v>0.387333</v>
      </c>
      <c r="AJ315" s="44">
        <v>12.35169</v>
      </c>
      <c r="AK315" s="44">
        <v>-2.25066</v>
      </c>
      <c r="AL315" s="44">
        <v>-1.22567</v>
      </c>
      <c r="AM315" s="44">
        <v>-1.34566</v>
      </c>
      <c r="AN315" s="44">
        <v>-1.52448</v>
      </c>
      <c r="AO315" s="44">
        <v>-0.95155</v>
      </c>
      <c r="AP315" s="44">
        <v>-0.87187</v>
      </c>
      <c r="AQ315" s="44">
        <v>0.021918</v>
      </c>
      <c r="AR315" s="44">
        <v>-0.15837</v>
      </c>
      <c r="AS315" s="44">
        <v>1.902529</v>
      </c>
    </row>
    <row r="316">
      <c r="A316" s="44">
        <v>315.0</v>
      </c>
      <c r="B316" s="389"/>
      <c r="C316" s="389"/>
      <c r="D316" s="389"/>
      <c r="E316" s="44">
        <v>-0.71172</v>
      </c>
      <c r="F316" s="44">
        <v>-0.06269</v>
      </c>
      <c r="G316" s="44">
        <v>1.076124</v>
      </c>
      <c r="H316" s="389"/>
      <c r="I316" s="46" t="s">
        <v>2121</v>
      </c>
      <c r="J316" s="46" t="s">
        <v>342</v>
      </c>
      <c r="K316" s="46" t="s">
        <v>97</v>
      </c>
      <c r="L316" s="46" t="s">
        <v>2122</v>
      </c>
      <c r="M316" s="389"/>
      <c r="N316" s="46" t="s">
        <v>1570</v>
      </c>
      <c r="O316" s="46" t="s">
        <v>1853</v>
      </c>
      <c r="P316" s="389"/>
      <c r="Q316" s="389"/>
      <c r="R316" s="46">
        <v>4.0</v>
      </c>
      <c r="S316" s="45"/>
      <c r="T316" s="46" t="s">
        <v>1630</v>
      </c>
      <c r="U316" s="44">
        <v>54.0</v>
      </c>
      <c r="V316" s="44">
        <v>16.0</v>
      </c>
      <c r="W316" s="389"/>
      <c r="X316" s="44">
        <v>15.0</v>
      </c>
      <c r="Y316" s="44">
        <v>4.458704</v>
      </c>
      <c r="Z316" s="44">
        <v>0.002593</v>
      </c>
      <c r="AA316" s="44">
        <v>5.281296</v>
      </c>
      <c r="AB316" s="44">
        <v>1.625</v>
      </c>
      <c r="AC316" s="44">
        <v>0.374815</v>
      </c>
      <c r="AD316" s="44">
        <v>0.437407</v>
      </c>
      <c r="AE316" s="44">
        <v>0.649082</v>
      </c>
      <c r="AF316" s="44">
        <v>2.530926</v>
      </c>
      <c r="AG316" s="44">
        <v>0.680043</v>
      </c>
      <c r="AH316" s="44">
        <v>1.721296</v>
      </c>
      <c r="AI316" s="44">
        <v>0.843704</v>
      </c>
      <c r="AJ316" s="44">
        <v>11.82747</v>
      </c>
      <c r="AK316" s="44">
        <v>-2.21755</v>
      </c>
      <c r="AL316" s="44">
        <v>-1.68011</v>
      </c>
      <c r="AM316" s="44">
        <v>-0.33893</v>
      </c>
      <c r="AN316" s="44">
        <v>-1.02006</v>
      </c>
      <c r="AO316" s="44">
        <v>-1.88966</v>
      </c>
      <c r="AP316" s="44">
        <v>-0.561</v>
      </c>
      <c r="AQ316" s="44">
        <v>0.604709</v>
      </c>
      <c r="AR316" s="44">
        <v>-0.62895</v>
      </c>
      <c r="AS316" s="44">
        <v>1.326061</v>
      </c>
    </row>
    <row r="317">
      <c r="A317" s="44">
        <v>316.0</v>
      </c>
      <c r="B317" s="44">
        <v>138.8627</v>
      </c>
      <c r="C317" s="44">
        <v>73.0</v>
      </c>
      <c r="D317" s="44">
        <v>0.0</v>
      </c>
      <c r="E317" s="44">
        <v>-0.71431</v>
      </c>
      <c r="F317" s="44">
        <v>-0.01788</v>
      </c>
      <c r="G317" s="44">
        <v>-0.12262</v>
      </c>
      <c r="H317" s="389"/>
      <c r="I317" s="46" t="s">
        <v>2123</v>
      </c>
      <c r="J317" s="46" t="s">
        <v>291</v>
      </c>
      <c r="K317" s="46" t="s">
        <v>1572</v>
      </c>
      <c r="L317" s="46" t="s">
        <v>2124</v>
      </c>
      <c r="M317" s="389"/>
      <c r="N317" s="46" t="s">
        <v>1570</v>
      </c>
      <c r="O317" s="389"/>
      <c r="P317" s="389"/>
      <c r="Q317" s="389"/>
      <c r="R317" s="46">
        <v>4.0</v>
      </c>
      <c r="S317" s="45"/>
      <c r="T317" s="46" t="s">
        <v>1630</v>
      </c>
      <c r="U317" s="44">
        <v>66.0</v>
      </c>
      <c r="V317" s="44">
        <v>14.0</v>
      </c>
      <c r="W317" s="389"/>
      <c r="X317" s="44">
        <v>29.0</v>
      </c>
      <c r="Y317" s="44">
        <v>14.64636</v>
      </c>
      <c r="Z317" s="44">
        <v>1.499848</v>
      </c>
      <c r="AA317" s="44">
        <v>4.027424</v>
      </c>
      <c r="AB317" s="44">
        <v>2.684848</v>
      </c>
      <c r="AC317" s="44">
        <v>0.492576</v>
      </c>
      <c r="AD317" s="44">
        <v>0.427121</v>
      </c>
      <c r="AE317" s="44">
        <v>0.464009</v>
      </c>
      <c r="AF317" s="44">
        <v>11.96</v>
      </c>
      <c r="AG317" s="44">
        <v>0.675009</v>
      </c>
      <c r="AH317" s="44">
        <v>3.033182</v>
      </c>
      <c r="AI317" s="44">
        <v>2.440909</v>
      </c>
      <c r="AJ317" s="44">
        <v>23.80093</v>
      </c>
      <c r="AK317" s="44">
        <v>-0.42227</v>
      </c>
      <c r="AL317" s="44">
        <v>-0.24807</v>
      </c>
      <c r="AM317" s="44">
        <v>-0.85347</v>
      </c>
      <c r="AN317" s="44">
        <v>-0.50874</v>
      </c>
      <c r="AO317" s="44">
        <v>-1.5399</v>
      </c>
      <c r="AP317" s="44">
        <v>-0.57955</v>
      </c>
      <c r="AQ317" s="44">
        <v>-0.43889</v>
      </c>
      <c r="AR317" s="44">
        <v>-1.14649</v>
      </c>
      <c r="AS317" s="44">
        <v>-0.69146</v>
      </c>
    </row>
    <row r="318">
      <c r="A318" s="44">
        <v>317.0</v>
      </c>
      <c r="B318" s="389"/>
      <c r="C318" s="45"/>
      <c r="D318" s="45"/>
      <c r="E318" s="44">
        <v>-0.71494</v>
      </c>
      <c r="F318" s="44">
        <v>0.001783</v>
      </c>
      <c r="G318" s="44">
        <v>0.88098</v>
      </c>
      <c r="H318" s="389"/>
      <c r="I318" s="46" t="s">
        <v>2125</v>
      </c>
      <c r="J318" s="46" t="s">
        <v>324</v>
      </c>
      <c r="K318" s="46" t="s">
        <v>85</v>
      </c>
      <c r="L318" s="46" t="s">
        <v>2126</v>
      </c>
      <c r="M318" s="389"/>
      <c r="N318" s="46" t="s">
        <v>1570</v>
      </c>
      <c r="O318" s="46" t="s">
        <v>1576</v>
      </c>
      <c r="P318" s="389"/>
      <c r="Q318" s="45"/>
      <c r="R318" s="46">
        <v>2.0</v>
      </c>
      <c r="S318" s="45"/>
      <c r="T318" s="46" t="s">
        <v>1905</v>
      </c>
      <c r="U318" s="44">
        <v>43.0</v>
      </c>
      <c r="V318" s="44">
        <v>16.0</v>
      </c>
      <c r="W318" s="389"/>
      <c r="X318" s="44">
        <v>14.0</v>
      </c>
      <c r="Y318" s="44">
        <v>4.625814</v>
      </c>
      <c r="Z318" s="44">
        <v>0.604884</v>
      </c>
      <c r="AA318" s="44">
        <v>2.598837</v>
      </c>
      <c r="AB318" s="44">
        <v>2.165581</v>
      </c>
      <c r="AC318" s="44">
        <v>0.677209</v>
      </c>
      <c r="AD318" s="44">
        <v>0.263488</v>
      </c>
      <c r="AE318" s="44">
        <v>0.42773</v>
      </c>
      <c r="AF318" s="44">
        <v>4.186512</v>
      </c>
      <c r="AG318" s="44">
        <v>0.780025</v>
      </c>
      <c r="AH318" s="44">
        <v>0.563488</v>
      </c>
      <c r="AI318" s="44">
        <v>0.837442</v>
      </c>
      <c r="AJ318" s="44">
        <v>16.45053</v>
      </c>
      <c r="AK318" s="44">
        <v>-2.1881</v>
      </c>
      <c r="AL318" s="44">
        <v>-1.10405</v>
      </c>
      <c r="AM318" s="44">
        <v>-1.4397</v>
      </c>
      <c r="AN318" s="44">
        <v>-0.75926</v>
      </c>
      <c r="AO318" s="44">
        <v>-0.99152</v>
      </c>
      <c r="AP318" s="44">
        <v>-0.87472</v>
      </c>
      <c r="AQ318" s="44">
        <v>-0.3734</v>
      </c>
      <c r="AR318" s="44">
        <v>-0.03771</v>
      </c>
      <c r="AS318" s="44">
        <v>1.333971</v>
      </c>
    </row>
    <row r="319">
      <c r="A319" s="44">
        <v>318.0</v>
      </c>
      <c r="B319" s="389"/>
      <c r="C319" s="45"/>
      <c r="D319" s="45"/>
      <c r="E319" s="44">
        <v>-0.71765</v>
      </c>
      <c r="F319" s="44">
        <v>0.00265</v>
      </c>
      <c r="G319" s="44">
        <v>1.392071</v>
      </c>
      <c r="H319" s="389"/>
      <c r="I319" s="46" t="s">
        <v>2127</v>
      </c>
      <c r="J319" s="46" t="s">
        <v>332</v>
      </c>
      <c r="K319" s="46" t="s">
        <v>1581</v>
      </c>
      <c r="L319" s="46" t="s">
        <v>2128</v>
      </c>
      <c r="M319" s="389"/>
      <c r="N319" s="46" t="s">
        <v>1562</v>
      </c>
      <c r="O319" s="389"/>
      <c r="P319" s="389"/>
      <c r="Q319" s="389"/>
      <c r="R319" s="46">
        <v>4.0</v>
      </c>
      <c r="S319" s="45"/>
      <c r="T319" s="46" t="s">
        <v>1630</v>
      </c>
      <c r="U319" s="44">
        <v>71.0</v>
      </c>
      <c r="V319" s="44">
        <v>15.0</v>
      </c>
      <c r="W319" s="389"/>
      <c r="X319" s="44">
        <v>16.0</v>
      </c>
      <c r="Y319" s="44">
        <v>4.706761</v>
      </c>
      <c r="Z319" s="44">
        <v>0.202113</v>
      </c>
      <c r="AA319" s="44">
        <v>3.879718</v>
      </c>
      <c r="AB319" s="44">
        <v>1.657042</v>
      </c>
      <c r="AC319" s="44">
        <v>0.625634</v>
      </c>
      <c r="AD319" s="44">
        <v>0.422394</v>
      </c>
      <c r="AE319" s="44">
        <v>0.449391</v>
      </c>
      <c r="AF319" s="44">
        <v>4.394366</v>
      </c>
      <c r="AG319" s="44">
        <v>0.743024</v>
      </c>
      <c r="AH319" s="44">
        <v>0.747042</v>
      </c>
      <c r="AI319" s="44">
        <v>0.911831</v>
      </c>
      <c r="AJ319" s="44">
        <v>14.6648</v>
      </c>
      <c r="AK319" s="44">
        <v>-2.17384</v>
      </c>
      <c r="AL319" s="44">
        <v>-1.48928</v>
      </c>
      <c r="AM319" s="44">
        <v>-0.91408</v>
      </c>
      <c r="AN319" s="44">
        <v>-1.00461</v>
      </c>
      <c r="AO319" s="44">
        <v>-1.14471</v>
      </c>
      <c r="AP319" s="44">
        <v>-0.58808</v>
      </c>
      <c r="AQ319" s="44">
        <v>-0.25167</v>
      </c>
      <c r="AR319" s="44">
        <v>-0.13256</v>
      </c>
      <c r="AS319" s="44">
        <v>1.240006</v>
      </c>
    </row>
    <row r="320">
      <c r="A320" s="44">
        <v>319.0</v>
      </c>
      <c r="B320" s="389"/>
      <c r="C320" s="45"/>
      <c r="D320" s="45"/>
      <c r="E320" s="44">
        <v>-0.71933</v>
      </c>
      <c r="F320" s="44">
        <v>0.056767</v>
      </c>
      <c r="G320" s="44">
        <v>1.540752</v>
      </c>
      <c r="H320" s="389"/>
      <c r="I320" s="46" t="s">
        <v>2129</v>
      </c>
      <c r="J320" s="46" t="s">
        <v>354</v>
      </c>
      <c r="K320" s="46" t="s">
        <v>92</v>
      </c>
      <c r="L320" s="46" t="s">
        <v>2130</v>
      </c>
      <c r="M320" s="46" t="s">
        <v>2131</v>
      </c>
      <c r="N320" s="46" t="s">
        <v>1562</v>
      </c>
      <c r="O320" s="46" t="s">
        <v>1576</v>
      </c>
      <c r="P320" s="389"/>
      <c r="Q320" s="389"/>
      <c r="R320" s="46">
        <v>4.0</v>
      </c>
      <c r="S320" s="45"/>
      <c r="T320" s="46" t="s">
        <v>1905</v>
      </c>
      <c r="U320" s="44">
        <v>46.0</v>
      </c>
      <c r="V320" s="44">
        <v>15.0</v>
      </c>
      <c r="W320" s="389"/>
      <c r="X320" s="44">
        <v>17.0</v>
      </c>
      <c r="Y320" s="44">
        <v>8.367609</v>
      </c>
      <c r="Z320" s="44">
        <v>1.839348</v>
      </c>
      <c r="AA320" s="44">
        <v>2.480652</v>
      </c>
      <c r="AB320" s="44">
        <v>1.164783</v>
      </c>
      <c r="AC320" s="44">
        <v>0.29913</v>
      </c>
      <c r="AD320" s="44">
        <v>0.143696</v>
      </c>
      <c r="AE320" s="44">
        <v>0.444552</v>
      </c>
      <c r="AF320" s="44">
        <v>6.712174</v>
      </c>
      <c r="AG320" s="44">
        <v>0.801866</v>
      </c>
      <c r="AH320" s="44">
        <v>0.698913</v>
      </c>
      <c r="AI320" s="44">
        <v>0.828261</v>
      </c>
      <c r="AJ320" s="44">
        <v>19.18919</v>
      </c>
      <c r="AK320" s="44">
        <v>-1.52872</v>
      </c>
      <c r="AL320" s="44">
        <v>0.076648</v>
      </c>
      <c r="AM320" s="44">
        <v>-1.4882</v>
      </c>
      <c r="AN320" s="44">
        <v>-1.2421</v>
      </c>
      <c r="AO320" s="44">
        <v>-2.11444</v>
      </c>
      <c r="AP320" s="44">
        <v>-1.09081</v>
      </c>
      <c r="AQ320" s="44">
        <v>-0.43613</v>
      </c>
      <c r="AR320" s="44">
        <v>0.004197</v>
      </c>
      <c r="AS320" s="44">
        <v>1.345568</v>
      </c>
    </row>
    <row r="321">
      <c r="A321" s="44">
        <v>320.0</v>
      </c>
      <c r="B321" s="389"/>
      <c r="C321" s="45"/>
      <c r="D321" s="45"/>
      <c r="E321" s="44">
        <v>-0.72059</v>
      </c>
      <c r="F321" s="44">
        <v>0.003098</v>
      </c>
      <c r="G321" s="44">
        <v>0.397768</v>
      </c>
      <c r="H321" s="389"/>
      <c r="I321" s="46" t="s">
        <v>2132</v>
      </c>
      <c r="J321" s="46" t="s">
        <v>287</v>
      </c>
      <c r="K321" s="46" t="s">
        <v>1899</v>
      </c>
      <c r="L321" s="46" t="s">
        <v>2133</v>
      </c>
      <c r="M321" s="389"/>
      <c r="N321" s="46" t="s">
        <v>1562</v>
      </c>
      <c r="O321" s="46" t="s">
        <v>2090</v>
      </c>
      <c r="P321" s="389"/>
      <c r="Q321" s="45"/>
      <c r="R321" s="46">
        <v>3.0</v>
      </c>
      <c r="S321" s="45"/>
      <c r="T321" s="46" t="s">
        <v>1905</v>
      </c>
      <c r="U321" s="44">
        <v>46.0</v>
      </c>
      <c r="V321" s="44">
        <v>16.0</v>
      </c>
      <c r="W321" s="389"/>
      <c r="X321" s="44">
        <v>16.0</v>
      </c>
      <c r="Y321" s="44">
        <v>6.242609</v>
      </c>
      <c r="Z321" s="44">
        <v>0.532609</v>
      </c>
      <c r="AA321" s="44">
        <v>4.233261</v>
      </c>
      <c r="AB321" s="44">
        <v>0.767826</v>
      </c>
      <c r="AC321" s="44">
        <v>0.500217</v>
      </c>
      <c r="AD321" s="44">
        <v>0.133261</v>
      </c>
      <c r="AE321" s="44">
        <v>0.51429</v>
      </c>
      <c r="AF321" s="44">
        <v>4.533478</v>
      </c>
      <c r="AG321" s="44">
        <v>0.720958</v>
      </c>
      <c r="AH321" s="44">
        <v>1.452174</v>
      </c>
      <c r="AI321" s="44">
        <v>0.633261</v>
      </c>
      <c r="AJ321" s="44">
        <v>15.72556</v>
      </c>
      <c r="AK321" s="44">
        <v>-1.90319</v>
      </c>
      <c r="AL321" s="44">
        <v>-1.17318</v>
      </c>
      <c r="AM321" s="44">
        <v>-0.769</v>
      </c>
      <c r="AN321" s="44">
        <v>-1.43361</v>
      </c>
      <c r="AO321" s="44">
        <v>-1.5172</v>
      </c>
      <c r="AP321" s="44">
        <v>-1.10963</v>
      </c>
      <c r="AQ321" s="44">
        <v>0.174798</v>
      </c>
      <c r="AR321" s="44">
        <v>-0.34618</v>
      </c>
      <c r="AS321" s="44">
        <v>1.591884</v>
      </c>
    </row>
    <row r="322">
      <c r="A322" s="44">
        <v>321.0</v>
      </c>
      <c r="B322" s="389"/>
      <c r="C322" s="45"/>
      <c r="D322" s="45"/>
      <c r="E322" s="44">
        <v>-0.72349</v>
      </c>
      <c r="F322" s="44">
        <v>0.030518</v>
      </c>
      <c r="G322" s="44">
        <v>1.568629</v>
      </c>
      <c r="H322" s="389"/>
      <c r="I322" s="46" t="s">
        <v>2134</v>
      </c>
      <c r="J322" s="46" t="s">
        <v>379</v>
      </c>
      <c r="K322" s="46" t="s">
        <v>1593</v>
      </c>
      <c r="L322" s="46" t="s">
        <v>2135</v>
      </c>
      <c r="M322" s="389"/>
      <c r="N322" s="46" t="s">
        <v>1562</v>
      </c>
      <c r="O322" s="389"/>
      <c r="P322" s="389"/>
      <c r="Q322" s="45"/>
      <c r="R322" s="46">
        <v>1.0</v>
      </c>
      <c r="S322" s="45"/>
      <c r="T322" s="46" t="s">
        <v>1630</v>
      </c>
      <c r="U322" s="44">
        <v>71.0</v>
      </c>
      <c r="V322" s="44">
        <v>14.0</v>
      </c>
      <c r="W322" s="389"/>
      <c r="X322" s="44">
        <v>18.0</v>
      </c>
      <c r="Y322" s="44">
        <v>6.791972</v>
      </c>
      <c r="Z322" s="44">
        <v>0.86493</v>
      </c>
      <c r="AA322" s="44">
        <v>3.819437</v>
      </c>
      <c r="AB322" s="44">
        <v>1.378169</v>
      </c>
      <c r="AC322" s="44">
        <v>0.551268</v>
      </c>
      <c r="AD322" s="44">
        <v>0.393803</v>
      </c>
      <c r="AE322" s="44">
        <v>0.450049</v>
      </c>
      <c r="AF322" s="44">
        <v>5.512394</v>
      </c>
      <c r="AG322" s="44">
        <v>0.795959</v>
      </c>
      <c r="AH322" s="44">
        <v>1.212817</v>
      </c>
      <c r="AI322" s="44">
        <v>1.456901</v>
      </c>
      <c r="AJ322" s="44">
        <v>16.93173</v>
      </c>
      <c r="AK322" s="44">
        <v>-1.80638</v>
      </c>
      <c r="AL322" s="44">
        <v>-0.85533</v>
      </c>
      <c r="AM322" s="44">
        <v>-0.93882</v>
      </c>
      <c r="AN322" s="44">
        <v>-1.13915</v>
      </c>
      <c r="AO322" s="44">
        <v>-1.36558</v>
      </c>
      <c r="AP322" s="44">
        <v>-0.63965</v>
      </c>
      <c r="AQ322" s="44">
        <v>-0.31215</v>
      </c>
      <c r="AR322" s="44">
        <v>-0.00581</v>
      </c>
      <c r="AS322" s="44">
        <v>0.551497</v>
      </c>
    </row>
    <row r="323">
      <c r="A323" s="44">
        <v>322.0</v>
      </c>
      <c r="B323" s="389"/>
      <c r="C323" s="45"/>
      <c r="D323" s="45"/>
      <c r="E323" s="44">
        <v>-0.72454</v>
      </c>
      <c r="F323" s="44">
        <v>0.001822</v>
      </c>
      <c r="G323" s="44">
        <v>0.908858</v>
      </c>
      <c r="H323" s="389"/>
      <c r="I323" s="46" t="s">
        <v>2136</v>
      </c>
      <c r="J323" s="46" t="s">
        <v>295</v>
      </c>
      <c r="K323" s="46" t="s">
        <v>85</v>
      </c>
      <c r="L323" s="46" t="s">
        <v>2137</v>
      </c>
      <c r="M323" s="46" t="s">
        <v>2138</v>
      </c>
      <c r="N323" s="46" t="s">
        <v>1562</v>
      </c>
      <c r="O323" s="46" t="s">
        <v>2139</v>
      </c>
      <c r="P323" s="389"/>
      <c r="Q323" s="45"/>
      <c r="R323" s="46">
        <v>2.0</v>
      </c>
      <c r="S323" s="45"/>
      <c r="T323" s="46" t="s">
        <v>1905</v>
      </c>
      <c r="U323" s="44">
        <v>28.0</v>
      </c>
      <c r="V323" s="44">
        <v>13.0</v>
      </c>
      <c r="W323" s="389"/>
      <c r="X323" s="44">
        <v>14.0</v>
      </c>
      <c r="Y323" s="44">
        <v>5.842143</v>
      </c>
      <c r="Z323" s="44">
        <v>0.532143</v>
      </c>
      <c r="AA323" s="44">
        <v>1.505</v>
      </c>
      <c r="AB323" s="44">
        <v>2.150357</v>
      </c>
      <c r="AC323" s="44">
        <v>0.653929</v>
      </c>
      <c r="AD323" s="44">
        <v>0.155714</v>
      </c>
      <c r="AE323" s="44">
        <v>0.474741</v>
      </c>
      <c r="AF323" s="44">
        <v>4.27</v>
      </c>
      <c r="AG323" s="44">
        <v>0.778048</v>
      </c>
      <c r="AH323" s="44">
        <v>1.613929</v>
      </c>
      <c r="AI323" s="44">
        <v>0.634643</v>
      </c>
      <c r="AJ323" s="44">
        <v>17.25655</v>
      </c>
      <c r="AK323" s="44">
        <v>-1.97376</v>
      </c>
      <c r="AL323" s="44">
        <v>-1.17363</v>
      </c>
      <c r="AM323" s="44">
        <v>-1.88857</v>
      </c>
      <c r="AN323" s="44">
        <v>-0.76661</v>
      </c>
      <c r="AO323" s="44">
        <v>-1.06067</v>
      </c>
      <c r="AP323" s="44">
        <v>-1.06913</v>
      </c>
      <c r="AQ323" s="44">
        <v>-0.08443</v>
      </c>
      <c r="AR323" s="44">
        <v>-0.09421</v>
      </c>
      <c r="AS323" s="44">
        <v>1.590138</v>
      </c>
    </row>
    <row r="324">
      <c r="A324" s="44">
        <v>323.0</v>
      </c>
      <c r="B324" s="389"/>
      <c r="C324" s="389"/>
      <c r="D324" s="389"/>
      <c r="E324" s="44">
        <v>-0.7246</v>
      </c>
      <c r="F324" s="44">
        <v>0.004161</v>
      </c>
      <c r="G324" s="44">
        <v>0.778762</v>
      </c>
      <c r="H324" s="389"/>
      <c r="I324" s="46" t="s">
        <v>2140</v>
      </c>
      <c r="J324" s="46" t="s">
        <v>350</v>
      </c>
      <c r="K324" s="46" t="s">
        <v>97</v>
      </c>
      <c r="L324" s="46" t="s">
        <v>2141</v>
      </c>
      <c r="M324" s="389"/>
      <c r="N324" s="46" t="s">
        <v>1570</v>
      </c>
      <c r="O324" s="46" t="s">
        <v>1848</v>
      </c>
      <c r="P324" s="389"/>
      <c r="Q324" s="45"/>
      <c r="R324" s="46">
        <v>3.0</v>
      </c>
      <c r="S324" s="45"/>
      <c r="T324" s="46" t="s">
        <v>1905</v>
      </c>
      <c r="U324" s="44">
        <v>43.0</v>
      </c>
      <c r="V324" s="44">
        <v>14.0</v>
      </c>
      <c r="W324" s="389"/>
      <c r="X324" s="44">
        <v>14.0</v>
      </c>
      <c r="Y324" s="44">
        <v>4.713721</v>
      </c>
      <c r="Z324" s="44">
        <v>0.035349</v>
      </c>
      <c r="AA324" s="44">
        <v>4.017442</v>
      </c>
      <c r="AB324" s="44">
        <v>0.892093</v>
      </c>
      <c r="AC324" s="44">
        <v>0.256047</v>
      </c>
      <c r="AD324" s="44">
        <v>0.733023</v>
      </c>
      <c r="AE324" s="44">
        <v>0.593711</v>
      </c>
      <c r="AF324" s="44">
        <v>3.394884</v>
      </c>
      <c r="AG324" s="44">
        <v>0.705987</v>
      </c>
      <c r="AH324" s="44">
        <v>0.916744</v>
      </c>
      <c r="AI324" s="44">
        <v>0.676977</v>
      </c>
      <c r="AJ324" s="44">
        <v>14.35239</v>
      </c>
      <c r="AK324" s="44">
        <v>-2.17261</v>
      </c>
      <c r="AL324" s="44">
        <v>-1.64878</v>
      </c>
      <c r="AM324" s="44">
        <v>-0.85757</v>
      </c>
      <c r="AN324" s="44">
        <v>-1.37366</v>
      </c>
      <c r="AO324" s="44">
        <v>-2.24241</v>
      </c>
      <c r="AP324" s="44">
        <v>-0.02775</v>
      </c>
      <c r="AQ324" s="44">
        <v>0.531009</v>
      </c>
      <c r="AR324" s="44">
        <v>-0.26631</v>
      </c>
      <c r="AS324" s="44">
        <v>1.536664</v>
      </c>
    </row>
    <row r="325">
      <c r="A325" s="44">
        <v>324.0</v>
      </c>
      <c r="B325" s="389"/>
      <c r="C325" s="389"/>
      <c r="D325" s="389"/>
      <c r="E325" s="44">
        <v>-0.72609</v>
      </c>
      <c r="F325" s="44">
        <v>0.00343</v>
      </c>
      <c r="G325" s="44">
        <v>0.574326</v>
      </c>
      <c r="H325" s="389"/>
      <c r="I325" s="46" t="s">
        <v>2142</v>
      </c>
      <c r="J325" s="46" t="s">
        <v>375</v>
      </c>
      <c r="K325" s="46" t="s">
        <v>1581</v>
      </c>
      <c r="L325" s="389"/>
      <c r="M325" s="389"/>
      <c r="N325" s="46" t="s">
        <v>1570</v>
      </c>
      <c r="O325" s="389"/>
      <c r="P325" s="389"/>
      <c r="Q325" s="45"/>
      <c r="R325" s="389"/>
      <c r="S325" s="45"/>
      <c r="T325" s="46" t="s">
        <v>1905</v>
      </c>
      <c r="U325" s="44">
        <v>43.0</v>
      </c>
      <c r="V325" s="44">
        <v>15.0</v>
      </c>
      <c r="W325" s="389"/>
      <c r="X325" s="44">
        <v>15.0</v>
      </c>
      <c r="Y325" s="44">
        <v>5.467674</v>
      </c>
      <c r="Z325" s="44">
        <v>0.096744</v>
      </c>
      <c r="AA325" s="44">
        <v>4.287442</v>
      </c>
      <c r="AB325" s="44">
        <v>0.704419</v>
      </c>
      <c r="AC325" s="44">
        <v>0.49</v>
      </c>
      <c r="AD325" s="44">
        <v>0.520698</v>
      </c>
      <c r="AE325" s="44">
        <v>0.512012</v>
      </c>
      <c r="AF325" s="44">
        <v>4.656047</v>
      </c>
      <c r="AG325" s="44">
        <v>0.61694</v>
      </c>
      <c r="AH325" s="44">
        <v>0.977442</v>
      </c>
      <c r="AI325" s="44">
        <v>0.58186</v>
      </c>
      <c r="AJ325" s="44">
        <v>16.72704</v>
      </c>
      <c r="AK325" s="44">
        <v>-2.03975</v>
      </c>
      <c r="AL325" s="44">
        <v>-1.59006</v>
      </c>
      <c r="AM325" s="44">
        <v>-0.74677</v>
      </c>
      <c r="AN325" s="44">
        <v>-1.4642</v>
      </c>
      <c r="AO325" s="44">
        <v>-1.54755</v>
      </c>
      <c r="AP325" s="44">
        <v>-0.41075</v>
      </c>
      <c r="AQ325" s="44">
        <v>0.163666</v>
      </c>
      <c r="AR325" s="44">
        <v>-0.5562</v>
      </c>
      <c r="AS325" s="44">
        <v>1.656811</v>
      </c>
    </row>
    <row r="326">
      <c r="A326" s="44">
        <v>325.0</v>
      </c>
      <c r="B326" s="389"/>
      <c r="C326" s="44">
        <v>1.0</v>
      </c>
      <c r="D326" s="44">
        <v>0.0</v>
      </c>
      <c r="E326" s="44">
        <v>-0.7262</v>
      </c>
      <c r="F326" s="44">
        <v>0.001319</v>
      </c>
      <c r="G326" s="44">
        <v>-1.09833</v>
      </c>
      <c r="H326" s="389"/>
      <c r="I326" s="46" t="s">
        <v>2143</v>
      </c>
      <c r="J326" s="46" t="s">
        <v>287</v>
      </c>
      <c r="K326" s="46" t="s">
        <v>85</v>
      </c>
      <c r="L326" s="46" t="s">
        <v>2144</v>
      </c>
      <c r="M326" s="389"/>
      <c r="N326" s="46" t="s">
        <v>1570</v>
      </c>
      <c r="O326" s="46" t="s">
        <v>1571</v>
      </c>
      <c r="P326" s="389"/>
      <c r="Q326" s="389"/>
      <c r="R326" s="46">
        <v>5.0</v>
      </c>
      <c r="S326" s="45"/>
      <c r="T326" s="46" t="s">
        <v>1905</v>
      </c>
      <c r="U326" s="44">
        <v>38.0</v>
      </c>
      <c r="V326" s="44">
        <v>16.0</v>
      </c>
      <c r="W326" s="389"/>
      <c r="X326" s="44">
        <v>17.0</v>
      </c>
      <c r="Y326" s="44">
        <v>3.097368</v>
      </c>
      <c r="Z326" s="44">
        <v>0.687105</v>
      </c>
      <c r="AA326" s="44">
        <v>1.806316</v>
      </c>
      <c r="AB326" s="44">
        <v>2.55</v>
      </c>
      <c r="AC326" s="44">
        <v>0.674474</v>
      </c>
      <c r="AD326" s="44">
        <v>0.255263</v>
      </c>
      <c r="AE326" s="44">
        <v>0.360739</v>
      </c>
      <c r="AF326" s="44">
        <v>2.691842</v>
      </c>
      <c r="AG326" s="44">
        <v>0.828212</v>
      </c>
      <c r="AH326" s="44">
        <v>0.565263</v>
      </c>
      <c r="AI326" s="44">
        <v>0.602105</v>
      </c>
      <c r="AJ326" s="44">
        <v>9.031354</v>
      </c>
      <c r="AK326" s="44">
        <v>-2.45744</v>
      </c>
      <c r="AL326" s="44">
        <v>-1.02541</v>
      </c>
      <c r="AM326" s="44">
        <v>-1.76492</v>
      </c>
      <c r="AN326" s="44">
        <v>-0.5738</v>
      </c>
      <c r="AO326" s="44">
        <v>-0.99965</v>
      </c>
      <c r="AP326" s="44">
        <v>-0.88956</v>
      </c>
      <c r="AQ326" s="44">
        <v>-0.50396</v>
      </c>
      <c r="AR326" s="44">
        <v>0.047682</v>
      </c>
      <c r="AS326" s="44">
        <v>1.631238</v>
      </c>
    </row>
    <row r="327">
      <c r="A327" s="44">
        <v>326.0</v>
      </c>
      <c r="B327" s="389"/>
      <c r="C327" s="45"/>
      <c r="D327" s="45"/>
      <c r="E327" s="44">
        <v>-0.7285</v>
      </c>
      <c r="F327" s="44">
        <v>-0.12256</v>
      </c>
      <c r="G327" s="44">
        <v>0.035358</v>
      </c>
      <c r="H327" s="389"/>
      <c r="I327" s="46" t="s">
        <v>2145</v>
      </c>
      <c r="J327" s="46" t="s">
        <v>495</v>
      </c>
      <c r="K327" s="46" t="s">
        <v>88</v>
      </c>
      <c r="L327" s="46" t="s">
        <v>2146</v>
      </c>
      <c r="M327" s="389"/>
      <c r="N327" s="46" t="s">
        <v>1570</v>
      </c>
      <c r="O327" s="389"/>
      <c r="P327" s="389"/>
      <c r="Q327" s="45"/>
      <c r="R327" s="46">
        <v>1.0</v>
      </c>
      <c r="S327" s="45"/>
      <c r="T327" s="46" t="s">
        <v>1630</v>
      </c>
      <c r="U327" s="44">
        <v>66.0</v>
      </c>
      <c r="V327" s="44">
        <v>14.0</v>
      </c>
      <c r="W327" s="389"/>
      <c r="X327" s="44">
        <v>17.0</v>
      </c>
      <c r="Y327" s="44">
        <v>7.716515</v>
      </c>
      <c r="Z327" s="44">
        <v>0.917576</v>
      </c>
      <c r="AA327" s="44">
        <v>2.699848</v>
      </c>
      <c r="AB327" s="44">
        <v>2.173939</v>
      </c>
      <c r="AC327" s="44">
        <v>0.490909</v>
      </c>
      <c r="AD327" s="44">
        <v>0.289545</v>
      </c>
      <c r="AE327" s="44">
        <v>0.442562</v>
      </c>
      <c r="AF327" s="44">
        <v>6.520909</v>
      </c>
      <c r="AG327" s="44">
        <v>0.749972</v>
      </c>
      <c r="AH327" s="44">
        <v>1.369545</v>
      </c>
      <c r="AI327" s="44">
        <v>1.051818</v>
      </c>
      <c r="AJ327" s="44">
        <v>20.67209</v>
      </c>
      <c r="AK327" s="44">
        <v>-1.64345</v>
      </c>
      <c r="AL327" s="44">
        <v>-0.80498</v>
      </c>
      <c r="AM327" s="44">
        <v>-1.39825</v>
      </c>
      <c r="AN327" s="44">
        <v>-0.75523</v>
      </c>
      <c r="AO327" s="44">
        <v>-1.54485</v>
      </c>
      <c r="AP327" s="44">
        <v>-0.82772</v>
      </c>
      <c r="AQ327" s="44">
        <v>-0.44267</v>
      </c>
      <c r="AR327" s="44">
        <v>-0.20253</v>
      </c>
      <c r="AS327" s="44">
        <v>1.06318</v>
      </c>
    </row>
    <row r="328">
      <c r="A328" s="44">
        <v>327.0</v>
      </c>
      <c r="B328" s="389"/>
      <c r="C328" s="45"/>
      <c r="D328" s="45"/>
      <c r="E328" s="44">
        <v>-0.72855</v>
      </c>
      <c r="F328" s="44">
        <v>0.001963</v>
      </c>
      <c r="G328" s="44">
        <v>1.141172</v>
      </c>
      <c r="H328" s="389"/>
      <c r="I328" s="46" t="s">
        <v>2147</v>
      </c>
      <c r="J328" s="46" t="s">
        <v>375</v>
      </c>
      <c r="K328" s="46" t="s">
        <v>1593</v>
      </c>
      <c r="L328" s="46" t="s">
        <v>2148</v>
      </c>
      <c r="M328" s="389"/>
      <c r="N328" s="46" t="s">
        <v>1562</v>
      </c>
      <c r="O328" s="45"/>
      <c r="P328" s="389"/>
      <c r="Q328" s="389"/>
      <c r="R328" s="46">
        <v>3.0</v>
      </c>
      <c r="S328" s="45"/>
      <c r="T328" s="46" t="s">
        <v>1630</v>
      </c>
      <c r="U328" s="44">
        <v>71.0</v>
      </c>
      <c r="V328" s="44">
        <v>15.0</v>
      </c>
      <c r="W328" s="389"/>
      <c r="X328" s="44">
        <v>18.0</v>
      </c>
      <c r="Y328" s="44">
        <v>6.653099</v>
      </c>
      <c r="Z328" s="44">
        <v>0.790845</v>
      </c>
      <c r="AA328" s="44">
        <v>2.278451</v>
      </c>
      <c r="AB328" s="44">
        <v>1.727183</v>
      </c>
      <c r="AC328" s="44">
        <v>0.739718</v>
      </c>
      <c r="AD328" s="44">
        <v>0.146479</v>
      </c>
      <c r="AE328" s="44">
        <v>0.455807</v>
      </c>
      <c r="AF328" s="44">
        <v>5.255493</v>
      </c>
      <c r="AG328" s="44">
        <v>0.672027</v>
      </c>
      <c r="AH328" s="44">
        <v>1.594085</v>
      </c>
      <c r="AI328" s="44">
        <v>0.69831</v>
      </c>
      <c r="AJ328" s="44">
        <v>16.36705</v>
      </c>
      <c r="AK328" s="44">
        <v>-1.83085</v>
      </c>
      <c r="AL328" s="44">
        <v>-0.92619</v>
      </c>
      <c r="AM328" s="44">
        <v>-1.57117</v>
      </c>
      <c r="AN328" s="44">
        <v>-0.97077</v>
      </c>
      <c r="AO328" s="44">
        <v>-0.80587</v>
      </c>
      <c r="AP328" s="44">
        <v>-1.08579</v>
      </c>
      <c r="AQ328" s="44">
        <v>-0.25256</v>
      </c>
      <c r="AR328" s="44">
        <v>-0.62351</v>
      </c>
      <c r="AS328" s="44">
        <v>1.509717</v>
      </c>
    </row>
    <row r="329">
      <c r="A329" s="44">
        <v>328.0</v>
      </c>
      <c r="B329" s="389"/>
      <c r="C329" s="45"/>
      <c r="D329" s="45"/>
      <c r="E329" s="44">
        <v>-0.72885</v>
      </c>
      <c r="F329" s="44">
        <v>0.001524</v>
      </c>
      <c r="G329" s="44">
        <v>-2.31566</v>
      </c>
      <c r="H329" s="389"/>
      <c r="I329" s="46" t="s">
        <v>2149</v>
      </c>
      <c r="J329" s="46" t="s">
        <v>287</v>
      </c>
      <c r="K329" s="46" t="s">
        <v>1593</v>
      </c>
      <c r="L329" s="46" t="s">
        <v>2150</v>
      </c>
      <c r="M329" s="389"/>
      <c r="N329" s="46" t="s">
        <v>1570</v>
      </c>
      <c r="O329" s="46" t="s">
        <v>1571</v>
      </c>
      <c r="P329" s="389"/>
      <c r="Q329" s="45"/>
      <c r="R329" s="46">
        <v>4.0</v>
      </c>
      <c r="S329" s="45"/>
      <c r="T329" s="46" t="s">
        <v>1905</v>
      </c>
      <c r="U329" s="44">
        <v>38.0</v>
      </c>
      <c r="V329" s="44">
        <v>16.0</v>
      </c>
      <c r="W329" s="389"/>
      <c r="X329" s="44">
        <v>18.0</v>
      </c>
      <c r="Y329" s="44">
        <v>5.390263</v>
      </c>
      <c r="Z329" s="44">
        <v>1.221053</v>
      </c>
      <c r="AA329" s="44">
        <v>1.05</v>
      </c>
      <c r="AB329" s="44">
        <v>1.5</v>
      </c>
      <c r="AC329" s="44">
        <v>0.671053</v>
      </c>
      <c r="AD329" s="44">
        <v>0.263421</v>
      </c>
      <c r="AE329" s="44">
        <v>0.414071</v>
      </c>
      <c r="AF329" s="44">
        <v>4.350263</v>
      </c>
      <c r="AG329" s="44">
        <v>0.773904</v>
      </c>
      <c r="AH329" s="44">
        <v>0.732105</v>
      </c>
      <c r="AI329" s="44">
        <v>0.639474</v>
      </c>
      <c r="AJ329" s="44">
        <v>12.78929</v>
      </c>
      <c r="AK329" s="44">
        <v>-2.05339</v>
      </c>
      <c r="AL329" s="44">
        <v>-0.51472</v>
      </c>
      <c r="AM329" s="44">
        <v>-2.07528</v>
      </c>
      <c r="AN329" s="44">
        <v>-1.08037</v>
      </c>
      <c r="AO329" s="44">
        <v>-1.00981</v>
      </c>
      <c r="AP329" s="44">
        <v>-0.87484</v>
      </c>
      <c r="AQ329" s="44">
        <v>-0.47607</v>
      </c>
      <c r="AR329" s="44">
        <v>-0.05923</v>
      </c>
      <c r="AS329" s="44">
        <v>1.584036</v>
      </c>
    </row>
    <row r="330">
      <c r="A330" s="44">
        <v>329.0</v>
      </c>
      <c r="B330" s="389"/>
      <c r="C330" s="45"/>
      <c r="D330" s="45"/>
      <c r="E330" s="44">
        <v>-0.72922</v>
      </c>
      <c r="F330" s="44">
        <v>7.1E-4</v>
      </c>
      <c r="G330" s="44">
        <v>-0.31776</v>
      </c>
      <c r="H330" s="389"/>
      <c r="I330" s="46" t="s">
        <v>2151</v>
      </c>
      <c r="J330" s="46" t="s">
        <v>283</v>
      </c>
      <c r="K330" s="46" t="s">
        <v>85</v>
      </c>
      <c r="L330" s="46" t="s">
        <v>2152</v>
      </c>
      <c r="M330" s="389"/>
      <c r="N330" s="46" t="s">
        <v>1570</v>
      </c>
      <c r="O330" s="46" t="s">
        <v>1648</v>
      </c>
      <c r="P330" s="389"/>
      <c r="Q330" s="45"/>
      <c r="R330" s="46">
        <v>4.0</v>
      </c>
      <c r="S330" s="45"/>
      <c r="T330" s="46" t="s">
        <v>1630</v>
      </c>
      <c r="U330" s="44">
        <v>62.0</v>
      </c>
      <c r="V330" s="44">
        <v>14.0</v>
      </c>
      <c r="W330" s="389"/>
      <c r="X330" s="44">
        <v>18.0</v>
      </c>
      <c r="Y330" s="44">
        <v>6.102258</v>
      </c>
      <c r="Z330" s="44">
        <v>1.608387</v>
      </c>
      <c r="AA330" s="44">
        <v>1.102581</v>
      </c>
      <c r="AB330" s="44">
        <v>0.992258</v>
      </c>
      <c r="AC330" s="44">
        <v>0.536774</v>
      </c>
      <c r="AD330" s="44">
        <v>0.149355</v>
      </c>
      <c r="AE330" s="44">
        <v>0.413673</v>
      </c>
      <c r="AF330" s="44">
        <v>5.180968</v>
      </c>
      <c r="AG330" s="44">
        <v>0.837785</v>
      </c>
      <c r="AH330" s="44">
        <v>0.247581</v>
      </c>
      <c r="AI330" s="44">
        <v>0.367419</v>
      </c>
      <c r="AJ330" s="44">
        <v>13.95204</v>
      </c>
      <c r="AK330" s="44">
        <v>-1.92792</v>
      </c>
      <c r="AL330" s="44">
        <v>-0.14425</v>
      </c>
      <c r="AM330" s="44">
        <v>-2.0537</v>
      </c>
      <c r="AN330" s="44">
        <v>-1.32533</v>
      </c>
      <c r="AO330" s="44">
        <v>-1.40863</v>
      </c>
      <c r="AP330" s="44">
        <v>-1.0806</v>
      </c>
      <c r="AQ330" s="44">
        <v>-0.57138</v>
      </c>
      <c r="AR330" s="44">
        <v>0.021147</v>
      </c>
      <c r="AS330" s="44">
        <v>1.927683</v>
      </c>
    </row>
    <row r="331">
      <c r="A331" s="44">
        <v>330.0</v>
      </c>
      <c r="B331" s="389"/>
      <c r="C331" s="44">
        <v>1.0</v>
      </c>
      <c r="D331" s="44">
        <v>0.0</v>
      </c>
      <c r="E331" s="44">
        <v>-0.73112</v>
      </c>
      <c r="F331" s="270">
        <v>1.59E-5</v>
      </c>
      <c r="G331" s="44">
        <v>0.44423</v>
      </c>
      <c r="H331" s="389"/>
      <c r="I331" s="46" t="s">
        <v>2153</v>
      </c>
      <c r="J331" s="46" t="s">
        <v>269</v>
      </c>
      <c r="K331" s="46" t="s">
        <v>1593</v>
      </c>
      <c r="L331" s="46" t="s">
        <v>2154</v>
      </c>
      <c r="M331" s="389"/>
      <c r="N331" s="46" t="s">
        <v>1562</v>
      </c>
      <c r="O331" s="46" t="s">
        <v>1853</v>
      </c>
      <c r="P331" s="389"/>
      <c r="Q331" s="45"/>
      <c r="R331" s="46">
        <v>4.0</v>
      </c>
      <c r="S331" s="45"/>
      <c r="T331" s="46" t="s">
        <v>1630</v>
      </c>
      <c r="U331" s="44">
        <v>71.0</v>
      </c>
      <c r="V331" s="44">
        <v>16.0</v>
      </c>
      <c r="W331" s="389"/>
      <c r="X331" s="44">
        <v>19.0</v>
      </c>
      <c r="Y331" s="44">
        <v>8.228169</v>
      </c>
      <c r="Z331" s="44">
        <v>1.66507</v>
      </c>
      <c r="AA331" s="44">
        <v>1.719155</v>
      </c>
      <c r="AB331" s="44">
        <v>0.972254</v>
      </c>
      <c r="AC331" s="44">
        <v>0.340704</v>
      </c>
      <c r="AD331" s="44">
        <v>0.082676</v>
      </c>
      <c r="AE331" s="44">
        <v>0.413022</v>
      </c>
      <c r="AF331" s="44">
        <v>6.716901</v>
      </c>
      <c r="AG331" s="44">
        <v>0.870995</v>
      </c>
      <c r="AH331" s="44">
        <v>1.16493</v>
      </c>
      <c r="AI331" s="44">
        <v>0.411549</v>
      </c>
      <c r="AJ331" s="44">
        <v>17.3471</v>
      </c>
      <c r="AK331" s="44">
        <v>-1.55329</v>
      </c>
      <c r="AL331" s="44">
        <v>-0.09004</v>
      </c>
      <c r="AM331" s="44">
        <v>-1.80069</v>
      </c>
      <c r="AN331" s="44">
        <v>-1.33498</v>
      </c>
      <c r="AO331" s="44">
        <v>-1.99097</v>
      </c>
      <c r="AP331" s="44">
        <v>-1.20088</v>
      </c>
      <c r="AQ331" s="44">
        <v>-0.74933</v>
      </c>
      <c r="AR331" s="44">
        <v>0.268188</v>
      </c>
      <c r="AS331" s="44">
        <v>1.87194</v>
      </c>
    </row>
    <row r="332">
      <c r="A332" s="44">
        <v>331.0</v>
      </c>
      <c r="B332" s="389"/>
      <c r="C332" s="45"/>
      <c r="D332" s="45"/>
      <c r="E332" s="44">
        <v>-0.7318</v>
      </c>
      <c r="F332" s="44">
        <v>0.002535</v>
      </c>
      <c r="G332" s="44">
        <v>0.156161</v>
      </c>
      <c r="H332" s="389"/>
      <c r="I332" s="46" t="s">
        <v>2155</v>
      </c>
      <c r="J332" s="46" t="s">
        <v>342</v>
      </c>
      <c r="K332" s="46" t="s">
        <v>1593</v>
      </c>
      <c r="L332" s="46" t="s">
        <v>2156</v>
      </c>
      <c r="M332" s="46" t="s">
        <v>2157</v>
      </c>
      <c r="N332" s="46" t="s">
        <v>1570</v>
      </c>
      <c r="O332" s="389"/>
      <c r="P332" s="389"/>
      <c r="Q332" s="45"/>
      <c r="R332" s="46">
        <v>4.0</v>
      </c>
      <c r="S332" s="45"/>
      <c r="T332" s="46" t="s">
        <v>1630</v>
      </c>
      <c r="U332" s="44">
        <v>50.0</v>
      </c>
      <c r="V332" s="44">
        <v>16.0</v>
      </c>
      <c r="W332" s="389"/>
      <c r="X332" s="44">
        <v>20.0</v>
      </c>
      <c r="Y332" s="44">
        <v>5.0202</v>
      </c>
      <c r="Z332" s="44">
        <v>0.8804</v>
      </c>
      <c r="AA332" s="44">
        <v>2.7084</v>
      </c>
      <c r="AB332" s="44">
        <v>1.1666</v>
      </c>
      <c r="AC332" s="44">
        <v>0.7958</v>
      </c>
      <c r="AD332" s="44">
        <v>0.1286</v>
      </c>
      <c r="AE332" s="44">
        <v>0.43371</v>
      </c>
      <c r="AF332" s="44">
        <v>4.2088</v>
      </c>
      <c r="AG332" s="44">
        <v>0.738002</v>
      </c>
      <c r="AH332" s="44">
        <v>0.6626</v>
      </c>
      <c r="AI332" s="44">
        <v>0.9166</v>
      </c>
      <c r="AJ332" s="44">
        <v>11.62913</v>
      </c>
      <c r="AK332" s="44">
        <v>-2.1186</v>
      </c>
      <c r="AL332" s="44">
        <v>-0.84054</v>
      </c>
      <c r="AM332" s="44">
        <v>-1.39474</v>
      </c>
      <c r="AN332" s="44">
        <v>-1.24122</v>
      </c>
      <c r="AO332" s="44">
        <v>-0.6393</v>
      </c>
      <c r="AP332" s="44">
        <v>-1.11804</v>
      </c>
      <c r="AQ332" s="44">
        <v>-0.33824</v>
      </c>
      <c r="AR332" s="44">
        <v>-0.12946</v>
      </c>
      <c r="AS332" s="44">
        <v>1.233982</v>
      </c>
    </row>
    <row r="333">
      <c r="A333" s="44">
        <v>332.0</v>
      </c>
      <c r="B333" s="389"/>
      <c r="C333" s="45"/>
      <c r="D333" s="45"/>
      <c r="E333" s="44">
        <v>-0.734</v>
      </c>
      <c r="F333" s="44">
        <v>0.003695</v>
      </c>
      <c r="G333" s="44">
        <v>1.196927</v>
      </c>
      <c r="H333" s="389"/>
      <c r="I333" s="46" t="s">
        <v>2158</v>
      </c>
      <c r="J333" s="46" t="s">
        <v>324</v>
      </c>
      <c r="K333" s="46" t="s">
        <v>1581</v>
      </c>
      <c r="L333" s="46" t="s">
        <v>2159</v>
      </c>
      <c r="M333" s="389"/>
      <c r="N333" s="46" t="s">
        <v>1570</v>
      </c>
      <c r="O333" s="389"/>
      <c r="P333" s="389"/>
      <c r="Q333" s="45"/>
      <c r="R333" s="46">
        <v>3.0</v>
      </c>
      <c r="S333" s="45"/>
      <c r="T333" s="46" t="s">
        <v>1630</v>
      </c>
      <c r="U333" s="44">
        <v>66.0</v>
      </c>
      <c r="V333" s="44">
        <v>16.0</v>
      </c>
      <c r="W333" s="389"/>
      <c r="X333" s="44">
        <v>17.0</v>
      </c>
      <c r="Y333" s="44">
        <v>4.97803</v>
      </c>
      <c r="Z333" s="44">
        <v>0.008939</v>
      </c>
      <c r="AA333" s="44">
        <v>3.155606</v>
      </c>
      <c r="AB333" s="44">
        <v>1.507727</v>
      </c>
      <c r="AC333" s="44">
        <v>0.457121</v>
      </c>
      <c r="AD333" s="44">
        <v>0.49</v>
      </c>
      <c r="AE333" s="44">
        <v>0.599021</v>
      </c>
      <c r="AF333" s="44">
        <v>3.715909</v>
      </c>
      <c r="AG333" s="44">
        <v>0.579922</v>
      </c>
      <c r="AH333" s="44">
        <v>0.89197</v>
      </c>
      <c r="AI333" s="44">
        <v>0.630152</v>
      </c>
      <c r="AJ333" s="44">
        <v>12.17689</v>
      </c>
      <c r="AK333" s="44">
        <v>-2.12603</v>
      </c>
      <c r="AL333" s="44">
        <v>-1.67404</v>
      </c>
      <c r="AM333" s="44">
        <v>-1.21123</v>
      </c>
      <c r="AN333" s="44">
        <v>-1.07664</v>
      </c>
      <c r="AO333" s="44">
        <v>-1.6452</v>
      </c>
      <c r="AP333" s="44">
        <v>-0.46613</v>
      </c>
      <c r="AQ333" s="44">
        <v>0.609701</v>
      </c>
      <c r="AR333" s="44">
        <v>-0.61228</v>
      </c>
      <c r="AS333" s="44">
        <v>1.595811</v>
      </c>
    </row>
    <row r="334">
      <c r="A334" s="44">
        <v>333.0</v>
      </c>
      <c r="B334" s="389"/>
      <c r="C334" s="45"/>
      <c r="D334" s="45"/>
      <c r="E334" s="44">
        <v>-0.73463</v>
      </c>
      <c r="F334" s="44">
        <v>0.002423</v>
      </c>
      <c r="G334" s="44">
        <v>0.416353</v>
      </c>
      <c r="H334" s="389"/>
      <c r="I334" s="46" t="s">
        <v>2160</v>
      </c>
      <c r="J334" s="46" t="s">
        <v>365</v>
      </c>
      <c r="K334" s="46" t="s">
        <v>1593</v>
      </c>
      <c r="L334" s="46" t="s">
        <v>2161</v>
      </c>
      <c r="M334" s="389"/>
      <c r="N334" s="46" t="s">
        <v>1570</v>
      </c>
      <c r="O334" s="46" t="s">
        <v>1595</v>
      </c>
      <c r="P334" s="389"/>
      <c r="Q334" s="45"/>
      <c r="R334" s="46">
        <v>4.0</v>
      </c>
      <c r="S334" s="45"/>
      <c r="T334" s="46" t="s">
        <v>1630</v>
      </c>
      <c r="U334" s="44">
        <v>66.0</v>
      </c>
      <c r="V334" s="44">
        <v>13.0</v>
      </c>
      <c r="W334" s="389"/>
      <c r="X334" s="44">
        <v>14.0</v>
      </c>
      <c r="Y334" s="44">
        <v>4.132424</v>
      </c>
      <c r="Z334" s="44">
        <v>0.462879</v>
      </c>
      <c r="AA334" s="44">
        <v>1.559242</v>
      </c>
      <c r="AB334" s="44">
        <v>0.923939</v>
      </c>
      <c r="AC334" s="44">
        <v>0.860606</v>
      </c>
      <c r="AD334" s="44">
        <v>0.083939</v>
      </c>
      <c r="AE334" s="44">
        <v>0.462339</v>
      </c>
      <c r="AF334" s="44">
        <v>3.204394</v>
      </c>
      <c r="AG334" s="44">
        <v>0.790071</v>
      </c>
      <c r="AH334" s="44">
        <v>0.894242</v>
      </c>
      <c r="AI334" s="44">
        <v>0.375303</v>
      </c>
      <c r="AJ334" s="44">
        <v>12.31736</v>
      </c>
      <c r="AK334" s="44">
        <v>-2.27505</v>
      </c>
      <c r="AL334" s="44">
        <v>-1.23987</v>
      </c>
      <c r="AM334" s="44">
        <v>-1.86631</v>
      </c>
      <c r="AN334" s="44">
        <v>-1.35829</v>
      </c>
      <c r="AO334" s="44">
        <v>-0.44682</v>
      </c>
      <c r="AP334" s="44">
        <v>-1.1986</v>
      </c>
      <c r="AQ334" s="44">
        <v>-0.1203</v>
      </c>
      <c r="AR334" s="44">
        <v>-0.02416</v>
      </c>
      <c r="AS334" s="44">
        <v>1.917725</v>
      </c>
    </row>
    <row r="335">
      <c r="A335" s="44">
        <v>334.0</v>
      </c>
      <c r="B335" s="389"/>
      <c r="C335" s="389"/>
      <c r="D335" s="389"/>
      <c r="E335" s="44">
        <v>-0.74033</v>
      </c>
      <c r="F335" s="44">
        <v>3.26E-4</v>
      </c>
      <c r="G335" s="44">
        <v>0.657959</v>
      </c>
      <c r="H335" s="389"/>
      <c r="I335" s="46" t="s">
        <v>2162</v>
      </c>
      <c r="J335" s="46" t="s">
        <v>1639</v>
      </c>
      <c r="K335" s="46" t="s">
        <v>88</v>
      </c>
      <c r="L335" s="46" t="s">
        <v>2163</v>
      </c>
      <c r="M335" s="389"/>
      <c r="N335" s="46" t="s">
        <v>1570</v>
      </c>
      <c r="O335" s="389"/>
      <c r="P335" s="389"/>
      <c r="Q335" s="389"/>
      <c r="R335" s="46">
        <v>4.0</v>
      </c>
      <c r="S335" s="45"/>
      <c r="T335" s="46" t="s">
        <v>1630</v>
      </c>
      <c r="U335" s="44">
        <v>66.0</v>
      </c>
      <c r="V335" s="44">
        <v>15.0</v>
      </c>
      <c r="W335" s="389"/>
      <c r="X335" s="44">
        <v>20.0</v>
      </c>
      <c r="Y335" s="44">
        <v>8.687121</v>
      </c>
      <c r="Z335" s="44">
        <v>1.653182</v>
      </c>
      <c r="AA335" s="44">
        <v>2.356667</v>
      </c>
      <c r="AB335" s="44">
        <v>1.017121</v>
      </c>
      <c r="AC335" s="44">
        <v>0.45697</v>
      </c>
      <c r="AD335" s="44">
        <v>0.296818</v>
      </c>
      <c r="AE335" s="44">
        <v>0.391488</v>
      </c>
      <c r="AF335" s="44">
        <v>7.743182</v>
      </c>
      <c r="AG335" s="44">
        <v>0.80095</v>
      </c>
      <c r="AH335" s="44">
        <v>1.212576</v>
      </c>
      <c r="AI335" s="44">
        <v>0.847273</v>
      </c>
      <c r="AJ335" s="44">
        <v>19.22172</v>
      </c>
      <c r="AK335" s="44">
        <v>-1.47241</v>
      </c>
      <c r="AL335" s="44">
        <v>-0.10141</v>
      </c>
      <c r="AM335" s="44">
        <v>-1.53908</v>
      </c>
      <c r="AN335" s="44">
        <v>-1.31334</v>
      </c>
      <c r="AO335" s="44">
        <v>-1.64565</v>
      </c>
      <c r="AP335" s="44">
        <v>-0.8146</v>
      </c>
      <c r="AQ335" s="44">
        <v>-1.11123</v>
      </c>
      <c r="AR335" s="44">
        <v>0.013176</v>
      </c>
      <c r="AS335" s="44">
        <v>1.321553</v>
      </c>
    </row>
    <row r="336">
      <c r="A336" s="44">
        <v>335.0</v>
      </c>
      <c r="B336" s="389"/>
      <c r="C336" s="45"/>
      <c r="D336" s="45"/>
      <c r="E336" s="44">
        <v>-0.74382</v>
      </c>
      <c r="F336" s="44">
        <v>4.78E-4</v>
      </c>
      <c r="G336" s="44">
        <v>0.165454</v>
      </c>
      <c r="H336" s="389"/>
      <c r="I336" s="46" t="s">
        <v>2164</v>
      </c>
      <c r="J336" s="46" t="s">
        <v>354</v>
      </c>
      <c r="K336" s="46" t="s">
        <v>90</v>
      </c>
      <c r="L336" s="46" t="s">
        <v>2165</v>
      </c>
      <c r="M336" s="389"/>
      <c r="N336" s="46" t="s">
        <v>1562</v>
      </c>
      <c r="O336" s="389"/>
      <c r="P336" s="389"/>
      <c r="Q336" s="389"/>
      <c r="R336" s="46">
        <v>4.0</v>
      </c>
      <c r="S336" s="45"/>
      <c r="T336" s="46" t="s">
        <v>1905</v>
      </c>
      <c r="U336" s="44">
        <v>46.0</v>
      </c>
      <c r="V336" s="44">
        <v>15.0</v>
      </c>
      <c r="W336" s="389"/>
      <c r="X336" s="44">
        <v>17.0</v>
      </c>
      <c r="Y336" s="44">
        <v>7.860435</v>
      </c>
      <c r="Z336" s="44">
        <v>1.668478</v>
      </c>
      <c r="AA336" s="44">
        <v>2.042826</v>
      </c>
      <c r="AB336" s="44">
        <v>1.823913</v>
      </c>
      <c r="AC336" s="44">
        <v>0.439348</v>
      </c>
      <c r="AD336" s="44">
        <v>0.10913</v>
      </c>
      <c r="AE336" s="44">
        <v>0.414192</v>
      </c>
      <c r="AF336" s="44">
        <v>6.712391</v>
      </c>
      <c r="AG336" s="44">
        <v>0.779029</v>
      </c>
      <c r="AH336" s="44">
        <v>0.810652</v>
      </c>
      <c r="AI336" s="44">
        <v>0.910217</v>
      </c>
      <c r="AJ336" s="44">
        <v>19.51033</v>
      </c>
      <c r="AK336" s="44">
        <v>-1.61809</v>
      </c>
      <c r="AL336" s="44">
        <v>-0.08678</v>
      </c>
      <c r="AM336" s="44">
        <v>-1.66786</v>
      </c>
      <c r="AN336" s="44">
        <v>-0.9241</v>
      </c>
      <c r="AO336" s="44">
        <v>-1.69799</v>
      </c>
      <c r="AP336" s="44">
        <v>-1.15316</v>
      </c>
      <c r="AQ336" s="44">
        <v>-0.73722</v>
      </c>
      <c r="AR336" s="44">
        <v>-0.05118</v>
      </c>
      <c r="AS336" s="44">
        <v>1.242044</v>
      </c>
    </row>
    <row r="337">
      <c r="A337" s="44">
        <v>336.0</v>
      </c>
      <c r="B337" s="389"/>
      <c r="C337" s="45"/>
      <c r="D337" s="45"/>
      <c r="E337" s="44">
        <v>-0.74648</v>
      </c>
      <c r="F337" s="44">
        <v>0.050051</v>
      </c>
      <c r="G337" s="44">
        <v>1.568629</v>
      </c>
      <c r="H337" s="389"/>
      <c r="I337" s="46" t="s">
        <v>2166</v>
      </c>
      <c r="J337" s="46" t="s">
        <v>495</v>
      </c>
      <c r="K337" s="46" t="s">
        <v>1899</v>
      </c>
      <c r="L337" s="46" t="s">
        <v>2167</v>
      </c>
      <c r="M337" s="389"/>
      <c r="N337" s="46" t="s">
        <v>1562</v>
      </c>
      <c r="O337" s="389"/>
      <c r="P337" s="389"/>
      <c r="Q337" s="45"/>
      <c r="R337" s="46">
        <v>2.0</v>
      </c>
      <c r="S337" s="45"/>
      <c r="T337" s="46" t="s">
        <v>1630</v>
      </c>
      <c r="U337" s="44">
        <v>71.0</v>
      </c>
      <c r="V337" s="44">
        <v>14.0</v>
      </c>
      <c r="W337" s="389"/>
      <c r="X337" s="44">
        <v>18.0</v>
      </c>
      <c r="Y337" s="44">
        <v>6.912676</v>
      </c>
      <c r="Z337" s="44">
        <v>0.74338</v>
      </c>
      <c r="AA337" s="44">
        <v>5.011831</v>
      </c>
      <c r="AB337" s="44">
        <v>1.707746</v>
      </c>
      <c r="AC337" s="44">
        <v>0.445493</v>
      </c>
      <c r="AD337" s="44">
        <v>0.631127</v>
      </c>
      <c r="AE337" s="44">
        <v>0.436266</v>
      </c>
      <c r="AF337" s="44">
        <v>6.16338</v>
      </c>
      <c r="AG337" s="44">
        <v>0.675968</v>
      </c>
      <c r="AH337" s="44">
        <v>1.170986</v>
      </c>
      <c r="AI337" s="44">
        <v>1.670563</v>
      </c>
      <c r="AJ337" s="44">
        <v>19.93881</v>
      </c>
      <c r="AK337" s="44">
        <v>-1.78511</v>
      </c>
      <c r="AL337" s="44">
        <v>-0.97159</v>
      </c>
      <c r="AM337" s="44">
        <v>-0.44951</v>
      </c>
      <c r="AN337" s="44">
        <v>-0.98014</v>
      </c>
      <c r="AO337" s="44">
        <v>-1.67974</v>
      </c>
      <c r="AP337" s="44">
        <v>-0.21155</v>
      </c>
      <c r="AQ337" s="44">
        <v>-0.47535</v>
      </c>
      <c r="AR337" s="44">
        <v>-0.44692</v>
      </c>
      <c r="AS337" s="44">
        <v>0.281608</v>
      </c>
    </row>
    <row r="338">
      <c r="A338" s="44">
        <v>337.0</v>
      </c>
      <c r="B338" s="389"/>
      <c r="C338" s="45"/>
      <c r="D338" s="45"/>
      <c r="E338" s="44">
        <v>-0.75043</v>
      </c>
      <c r="F338" s="44">
        <v>0.003027</v>
      </c>
      <c r="G338" s="44">
        <v>0.360598</v>
      </c>
      <c r="H338" s="389"/>
      <c r="I338" s="46" t="s">
        <v>2168</v>
      </c>
      <c r="J338" s="46" t="s">
        <v>490</v>
      </c>
      <c r="K338" s="46" t="s">
        <v>97</v>
      </c>
      <c r="L338" s="46" t="s">
        <v>2169</v>
      </c>
      <c r="M338" s="389"/>
      <c r="N338" s="46" t="s">
        <v>1562</v>
      </c>
      <c r="O338" s="46" t="s">
        <v>2139</v>
      </c>
      <c r="P338" s="389"/>
      <c r="Q338" s="389"/>
      <c r="R338" s="46">
        <v>3.0</v>
      </c>
      <c r="S338" s="45"/>
      <c r="T338" s="46" t="s">
        <v>1905</v>
      </c>
      <c r="U338" s="44">
        <v>40.0</v>
      </c>
      <c r="V338" s="44">
        <v>16.0</v>
      </c>
      <c r="W338" s="389"/>
      <c r="X338" s="44">
        <v>13.0</v>
      </c>
      <c r="Y338" s="44">
        <v>5.9605</v>
      </c>
      <c r="Z338" s="44">
        <v>0.711</v>
      </c>
      <c r="AA338" s="44">
        <v>3.14825</v>
      </c>
      <c r="AB338" s="44">
        <v>0.9735</v>
      </c>
      <c r="AC338" s="44">
        <v>0.31575</v>
      </c>
      <c r="AD338" s="44">
        <v>0.5555</v>
      </c>
      <c r="AE338" s="44">
        <v>0.484511</v>
      </c>
      <c r="AF338" s="44">
        <v>4.57575</v>
      </c>
      <c r="AG338" s="44">
        <v>0.775006</v>
      </c>
      <c r="AH338" s="44">
        <v>1.05225</v>
      </c>
      <c r="AI338" s="44">
        <v>0.89275</v>
      </c>
      <c r="AJ338" s="44">
        <v>19.25042</v>
      </c>
      <c r="AK338" s="44">
        <v>-1.9529</v>
      </c>
      <c r="AL338" s="44">
        <v>-1.00256</v>
      </c>
      <c r="AM338" s="44">
        <v>-1.21425</v>
      </c>
      <c r="AN338" s="44">
        <v>-1.33438</v>
      </c>
      <c r="AO338" s="44">
        <v>-2.06508</v>
      </c>
      <c r="AP338" s="44">
        <v>-0.34797</v>
      </c>
      <c r="AQ338" s="44">
        <v>-0.02494</v>
      </c>
      <c r="AR338" s="44">
        <v>-0.07591</v>
      </c>
      <c r="AS338" s="44">
        <v>1.264108</v>
      </c>
    </row>
    <row r="339">
      <c r="A339" s="44">
        <v>338.0</v>
      </c>
      <c r="B339" s="389"/>
      <c r="C339" s="45"/>
      <c r="D339" s="45"/>
      <c r="E339" s="44">
        <v>-0.75435</v>
      </c>
      <c r="F339" s="44">
        <v>0.002475</v>
      </c>
      <c r="G339" s="44">
        <v>1.31773</v>
      </c>
      <c r="H339" s="389"/>
      <c r="I339" s="46" t="s">
        <v>2170</v>
      </c>
      <c r="J339" s="46" t="s">
        <v>442</v>
      </c>
      <c r="K339" s="46" t="s">
        <v>1572</v>
      </c>
      <c r="L339" s="46" t="s">
        <v>2171</v>
      </c>
      <c r="M339" s="389"/>
      <c r="N339" s="46" t="s">
        <v>1562</v>
      </c>
      <c r="O339" s="389"/>
      <c r="P339" s="389"/>
      <c r="Q339" s="389"/>
      <c r="R339" s="46">
        <v>4.0</v>
      </c>
      <c r="S339" s="45"/>
      <c r="T339" s="46" t="s">
        <v>1630</v>
      </c>
      <c r="U339" s="44">
        <v>71.0</v>
      </c>
      <c r="V339" s="44">
        <v>14.0</v>
      </c>
      <c r="W339" s="389"/>
      <c r="X339" s="44">
        <v>18.0</v>
      </c>
      <c r="Y339" s="44">
        <v>5.963944</v>
      </c>
      <c r="Z339" s="44">
        <v>0.87662</v>
      </c>
      <c r="AA339" s="44">
        <v>2.719437</v>
      </c>
      <c r="AB339" s="44">
        <v>1.233099</v>
      </c>
      <c r="AC339" s="44">
        <v>0.397887</v>
      </c>
      <c r="AD339" s="44">
        <v>0.222535</v>
      </c>
      <c r="AE339" s="44">
        <v>0.43361</v>
      </c>
      <c r="AF339" s="44">
        <v>5.218873</v>
      </c>
      <c r="AG339" s="44">
        <v>0.849893</v>
      </c>
      <c r="AH339" s="44">
        <v>0.660563</v>
      </c>
      <c r="AI339" s="44">
        <v>0.551268</v>
      </c>
      <c r="AJ339" s="44">
        <v>14.8618</v>
      </c>
      <c r="AK339" s="44">
        <v>-1.95229</v>
      </c>
      <c r="AL339" s="44">
        <v>-0.84415</v>
      </c>
      <c r="AM339" s="44">
        <v>-1.39021</v>
      </c>
      <c r="AN339" s="44">
        <v>-1.20914</v>
      </c>
      <c r="AO339" s="44">
        <v>-1.82113</v>
      </c>
      <c r="AP339" s="44">
        <v>-0.9486</v>
      </c>
      <c r="AQ339" s="44">
        <v>-0.42189</v>
      </c>
      <c r="AR339" s="44">
        <v>0.10281</v>
      </c>
      <c r="AS339" s="44">
        <v>1.695454</v>
      </c>
    </row>
    <row r="340">
      <c r="A340" s="44">
        <v>339.0</v>
      </c>
      <c r="B340" s="389"/>
      <c r="C340" s="45"/>
      <c r="D340" s="45"/>
      <c r="E340" s="44">
        <v>-0.75672</v>
      </c>
      <c r="F340" s="44">
        <v>0.003017</v>
      </c>
      <c r="G340" s="44">
        <v>1.568629</v>
      </c>
      <c r="H340" s="389"/>
      <c r="I340" s="46" t="s">
        <v>2172</v>
      </c>
      <c r="J340" s="46" t="s">
        <v>350</v>
      </c>
      <c r="K340" s="46" t="s">
        <v>1581</v>
      </c>
      <c r="L340" s="46" t="s">
        <v>2173</v>
      </c>
      <c r="M340" s="389"/>
      <c r="N340" s="46" t="s">
        <v>1562</v>
      </c>
      <c r="O340" s="45"/>
      <c r="P340" s="389"/>
      <c r="Q340" s="45"/>
      <c r="R340" s="46">
        <v>1.0</v>
      </c>
      <c r="S340" s="45"/>
      <c r="T340" s="46" t="s">
        <v>1905</v>
      </c>
      <c r="U340" s="44">
        <v>46.0</v>
      </c>
      <c r="V340" s="44">
        <v>14.0</v>
      </c>
      <c r="W340" s="389"/>
      <c r="X340" s="44">
        <v>15.0</v>
      </c>
      <c r="Y340" s="44">
        <v>5.207391</v>
      </c>
      <c r="Z340" s="44">
        <v>0.538043</v>
      </c>
      <c r="AA340" s="44">
        <v>4.243696</v>
      </c>
      <c r="AB340" s="44">
        <v>0.818478</v>
      </c>
      <c r="AC340" s="44">
        <v>0.333478</v>
      </c>
      <c r="AD340" s="44">
        <v>0.515217</v>
      </c>
      <c r="AE340" s="44">
        <v>0.46893</v>
      </c>
      <c r="AF340" s="44">
        <v>4.456957</v>
      </c>
      <c r="AG340" s="44">
        <v>0.732033</v>
      </c>
      <c r="AH340" s="44">
        <v>0.668478</v>
      </c>
      <c r="AI340" s="44">
        <v>0.848696</v>
      </c>
      <c r="AJ340" s="44">
        <v>16.76166</v>
      </c>
      <c r="AK340" s="44">
        <v>-2.08561</v>
      </c>
      <c r="AL340" s="44">
        <v>-1.16798</v>
      </c>
      <c r="AM340" s="44">
        <v>-0.76472</v>
      </c>
      <c r="AN340" s="44">
        <v>-1.40917</v>
      </c>
      <c r="AO340" s="44">
        <v>-2.01243</v>
      </c>
      <c r="AP340" s="44">
        <v>-0.42064</v>
      </c>
      <c r="AQ340" s="44">
        <v>-0.1267</v>
      </c>
      <c r="AR340" s="44">
        <v>-0.14302</v>
      </c>
      <c r="AS340" s="44">
        <v>1.319756</v>
      </c>
    </row>
    <row r="341">
      <c r="A341" s="44">
        <v>340.0</v>
      </c>
      <c r="B341" s="389"/>
      <c r="C341" s="45"/>
      <c r="D341" s="45"/>
      <c r="E341" s="44">
        <v>-0.75709</v>
      </c>
      <c r="F341" s="44">
        <v>0.006733</v>
      </c>
      <c r="G341" s="44">
        <v>0.620789</v>
      </c>
      <c r="H341" s="389"/>
      <c r="I341" s="46" t="s">
        <v>2174</v>
      </c>
      <c r="J341" s="46" t="s">
        <v>449</v>
      </c>
      <c r="K341" s="46" t="s">
        <v>90</v>
      </c>
      <c r="L341" s="46" t="s">
        <v>2175</v>
      </c>
      <c r="M341" s="389"/>
      <c r="N341" s="46" t="s">
        <v>1562</v>
      </c>
      <c r="O341" s="389"/>
      <c r="P341" s="389"/>
      <c r="Q341" s="389"/>
      <c r="R341" s="46">
        <v>4.0</v>
      </c>
      <c r="S341" s="45"/>
      <c r="T341" s="46" t="s">
        <v>1630</v>
      </c>
      <c r="U341" s="44">
        <v>49.0</v>
      </c>
      <c r="V341" s="44">
        <v>13.0</v>
      </c>
      <c r="W341" s="389"/>
      <c r="X341" s="44">
        <v>14.0</v>
      </c>
      <c r="Y341" s="44">
        <v>5.012857</v>
      </c>
      <c r="Z341" s="44">
        <v>0.660816</v>
      </c>
      <c r="AA341" s="44">
        <v>2.082449</v>
      </c>
      <c r="AB341" s="44">
        <v>0.493061</v>
      </c>
      <c r="AC341" s="44">
        <v>0.49</v>
      </c>
      <c r="AD341" s="44">
        <v>0.275306</v>
      </c>
      <c r="AE341" s="44">
        <v>0.4735</v>
      </c>
      <c r="AF341" s="44">
        <v>3.796735</v>
      </c>
      <c r="AG341" s="44">
        <v>0.830049</v>
      </c>
      <c r="AH341" s="44">
        <v>0.911429</v>
      </c>
      <c r="AI341" s="44">
        <v>0.336531</v>
      </c>
      <c r="AJ341" s="44">
        <v>13.37312</v>
      </c>
      <c r="AK341" s="44">
        <v>-2.11989</v>
      </c>
      <c r="AL341" s="44">
        <v>-1.05056</v>
      </c>
      <c r="AM341" s="44">
        <v>-1.65161</v>
      </c>
      <c r="AN341" s="44">
        <v>-1.56617</v>
      </c>
      <c r="AO341" s="44">
        <v>-1.54755</v>
      </c>
      <c r="AP341" s="44">
        <v>-0.8534</v>
      </c>
      <c r="AQ341" s="44">
        <v>-0.08125</v>
      </c>
      <c r="AR341" s="44">
        <v>0.089953</v>
      </c>
      <c r="AS341" s="44">
        <v>1.966701</v>
      </c>
    </row>
    <row r="342">
      <c r="A342" s="44">
        <v>341.0</v>
      </c>
      <c r="B342" s="389"/>
      <c r="C342" s="45"/>
      <c r="D342" s="45"/>
      <c r="E342" s="44">
        <v>-0.75918</v>
      </c>
      <c r="F342" s="44">
        <v>0.002187</v>
      </c>
      <c r="G342" s="44">
        <v>1.150464</v>
      </c>
      <c r="H342" s="389"/>
      <c r="I342" s="46" t="s">
        <v>2176</v>
      </c>
      <c r="J342" s="46" t="s">
        <v>273</v>
      </c>
      <c r="K342" s="46" t="s">
        <v>92</v>
      </c>
      <c r="L342" s="46" t="s">
        <v>2177</v>
      </c>
      <c r="M342" s="46" t="s">
        <v>2178</v>
      </c>
      <c r="N342" s="46" t="s">
        <v>1570</v>
      </c>
      <c r="O342" s="389"/>
      <c r="P342" s="389"/>
      <c r="Q342" s="45"/>
      <c r="R342" s="46">
        <v>4.0</v>
      </c>
      <c r="S342" s="45"/>
      <c r="T342" s="46" t="s">
        <v>1630</v>
      </c>
      <c r="U342" s="44">
        <v>36.0</v>
      </c>
      <c r="V342" s="44">
        <v>13.0</v>
      </c>
      <c r="W342" s="389"/>
      <c r="X342" s="44">
        <v>14.0</v>
      </c>
      <c r="Y342" s="44">
        <v>4.712222</v>
      </c>
      <c r="Z342" s="44">
        <v>0.673611</v>
      </c>
      <c r="AA342" s="44">
        <v>2.796389</v>
      </c>
      <c r="AB342" s="44">
        <v>1.153889</v>
      </c>
      <c r="AC342" s="44">
        <v>0.525</v>
      </c>
      <c r="AD342" s="44">
        <v>0.090278</v>
      </c>
      <c r="AE342" s="44">
        <v>0.490772</v>
      </c>
      <c r="AF342" s="44">
        <v>3.868056</v>
      </c>
      <c r="AG342" s="44">
        <v>0.647103</v>
      </c>
      <c r="AH342" s="44">
        <v>0.373889</v>
      </c>
      <c r="AI342" s="44">
        <v>0.480556</v>
      </c>
      <c r="AJ342" s="44">
        <v>13.79813</v>
      </c>
      <c r="AK342" s="44">
        <v>-2.17287</v>
      </c>
      <c r="AL342" s="44">
        <v>-1.03832</v>
      </c>
      <c r="AM342" s="44">
        <v>-1.35863</v>
      </c>
      <c r="AN342" s="44">
        <v>-1.24735</v>
      </c>
      <c r="AO342" s="44">
        <v>-1.4436</v>
      </c>
      <c r="AP342" s="44">
        <v>-1.18717</v>
      </c>
      <c r="AQ342" s="44">
        <v>0.015791</v>
      </c>
      <c r="AR342" s="44">
        <v>-0.18525</v>
      </c>
      <c r="AS342" s="44">
        <v>1.784774</v>
      </c>
    </row>
    <row r="343">
      <c r="A343" s="44">
        <v>342.0</v>
      </c>
      <c r="B343" s="389"/>
      <c r="C343" s="45"/>
      <c r="D343" s="45"/>
      <c r="E343" s="44">
        <v>-0.76045</v>
      </c>
      <c r="F343" s="44">
        <v>0.085332</v>
      </c>
      <c r="G343" s="44">
        <v>1.568629</v>
      </c>
      <c r="H343" s="389"/>
      <c r="I343" s="46" t="s">
        <v>2179</v>
      </c>
      <c r="J343" s="46" t="s">
        <v>365</v>
      </c>
      <c r="K343" s="46" t="s">
        <v>1581</v>
      </c>
      <c r="L343" s="46" t="s">
        <v>2180</v>
      </c>
      <c r="M343" s="389"/>
      <c r="N343" s="46" t="s">
        <v>1562</v>
      </c>
      <c r="O343" s="389"/>
      <c r="P343" s="389"/>
      <c r="Q343" s="45"/>
      <c r="R343" s="46">
        <v>4.0</v>
      </c>
      <c r="S343" s="45"/>
      <c r="T343" s="46" t="s">
        <v>1630</v>
      </c>
      <c r="U343" s="44">
        <v>48.0</v>
      </c>
      <c r="V343" s="44">
        <v>13.0</v>
      </c>
      <c r="W343" s="389"/>
      <c r="X343" s="44">
        <v>17.0</v>
      </c>
      <c r="Y343" s="44">
        <v>4.065833</v>
      </c>
      <c r="Z343" s="44">
        <v>0.0</v>
      </c>
      <c r="AA343" s="44">
        <v>3.716667</v>
      </c>
      <c r="AB343" s="44">
        <v>0.490833</v>
      </c>
      <c r="AC343" s="44">
        <v>0.420833</v>
      </c>
      <c r="AD343" s="44">
        <v>1.016875</v>
      </c>
      <c r="AE343" s="44">
        <v>0.564286</v>
      </c>
      <c r="AF343" s="44">
        <v>3.120833</v>
      </c>
      <c r="AG343" s="44">
        <v>0.528019</v>
      </c>
      <c r="AH343" s="44">
        <v>1.029792</v>
      </c>
      <c r="AI343" s="44">
        <v>0.73625</v>
      </c>
      <c r="AJ343" s="44">
        <v>11.00416</v>
      </c>
      <c r="AK343" s="44">
        <v>-2.28678</v>
      </c>
      <c r="AL343" s="44">
        <v>-1.68259</v>
      </c>
      <c r="AM343" s="44">
        <v>-0.98099</v>
      </c>
      <c r="AN343" s="44">
        <v>-1.56724</v>
      </c>
      <c r="AO343" s="44">
        <v>-1.75298</v>
      </c>
      <c r="AP343" s="44">
        <v>0.484284</v>
      </c>
      <c r="AQ343" s="44">
        <v>0.353047</v>
      </c>
      <c r="AR343" s="44">
        <v>-0.87262</v>
      </c>
      <c r="AS343" s="44">
        <v>1.461792</v>
      </c>
    </row>
    <row r="344">
      <c r="A344" s="44">
        <v>343.0</v>
      </c>
      <c r="B344" s="389"/>
      <c r="C344" s="389"/>
      <c r="D344" s="389"/>
      <c r="E344" s="44">
        <v>-0.76079</v>
      </c>
      <c r="F344" s="44">
        <v>7.68E-4</v>
      </c>
      <c r="G344" s="44">
        <v>0.862395</v>
      </c>
      <c r="H344" s="389"/>
      <c r="I344" s="46" t="s">
        <v>2181</v>
      </c>
      <c r="J344" s="46" t="s">
        <v>379</v>
      </c>
      <c r="K344" s="46" t="s">
        <v>88</v>
      </c>
      <c r="L344" s="46" t="s">
        <v>2182</v>
      </c>
      <c r="M344" s="389"/>
      <c r="N344" s="46" t="s">
        <v>1562</v>
      </c>
      <c r="O344" s="46" t="s">
        <v>1571</v>
      </c>
      <c r="P344" s="389"/>
      <c r="Q344" s="45"/>
      <c r="R344" s="46">
        <v>4.0</v>
      </c>
      <c r="S344" s="45"/>
      <c r="T344" s="46" t="s">
        <v>2183</v>
      </c>
      <c r="U344" s="44">
        <v>16.0</v>
      </c>
      <c r="V344" s="44">
        <v>14.0</v>
      </c>
      <c r="W344" s="389"/>
      <c r="X344" s="44">
        <v>11.0</v>
      </c>
      <c r="Y344" s="44">
        <v>5.28</v>
      </c>
      <c r="Z344" s="44">
        <v>1.005625</v>
      </c>
      <c r="AA344" s="44">
        <v>1.395</v>
      </c>
      <c r="AB344" s="44">
        <v>1.7325</v>
      </c>
      <c r="AC344" s="44">
        <v>0.4175</v>
      </c>
      <c r="AD344" s="44">
        <v>0.06375</v>
      </c>
      <c r="AE344" s="44">
        <v>0.433807</v>
      </c>
      <c r="AF344" s="44">
        <v>4.093125</v>
      </c>
      <c r="AG344" s="44">
        <v>0.883881</v>
      </c>
      <c r="AH344" s="44">
        <v>0.818125</v>
      </c>
      <c r="AI344" s="44">
        <v>0.344375</v>
      </c>
      <c r="AJ344" s="44">
        <v>17.71587</v>
      </c>
      <c r="AK344" s="44">
        <v>-2.07282</v>
      </c>
      <c r="AL344" s="44">
        <v>-0.72076</v>
      </c>
      <c r="AM344" s="44">
        <v>-1.93371</v>
      </c>
      <c r="AN344" s="44">
        <v>-0.9682</v>
      </c>
      <c r="AO344" s="44">
        <v>-1.76288</v>
      </c>
      <c r="AP344" s="44">
        <v>-1.23502</v>
      </c>
      <c r="AQ344" s="44">
        <v>-0.32817</v>
      </c>
      <c r="AR344" s="44">
        <v>0.217625</v>
      </c>
      <c r="AS344" s="44">
        <v>1.956792</v>
      </c>
    </row>
    <row r="345">
      <c r="A345" s="44">
        <v>344.0</v>
      </c>
      <c r="B345" s="389"/>
      <c r="C345" s="45"/>
      <c r="D345" s="45"/>
      <c r="E345" s="44">
        <v>-0.76455</v>
      </c>
      <c r="F345" s="44">
        <v>0.005165</v>
      </c>
      <c r="G345" s="44">
        <v>-0.04827</v>
      </c>
      <c r="H345" s="389"/>
      <c r="I345" s="46" t="s">
        <v>2184</v>
      </c>
      <c r="J345" s="46" t="s">
        <v>386</v>
      </c>
      <c r="K345" s="46" t="s">
        <v>97</v>
      </c>
      <c r="L345" s="46" t="s">
        <v>2185</v>
      </c>
      <c r="M345" s="389"/>
      <c r="N345" s="46" t="s">
        <v>1570</v>
      </c>
      <c r="O345" s="46" t="s">
        <v>1571</v>
      </c>
      <c r="P345" s="389"/>
      <c r="Q345" s="45"/>
      <c r="R345" s="46">
        <v>4.0</v>
      </c>
      <c r="S345" s="45"/>
      <c r="T345" s="46" t="s">
        <v>1630</v>
      </c>
      <c r="U345" s="44">
        <v>54.0</v>
      </c>
      <c r="V345" s="44">
        <v>14.0</v>
      </c>
      <c r="W345" s="389"/>
      <c r="X345" s="44">
        <v>17.0</v>
      </c>
      <c r="Y345" s="44">
        <v>5.202407</v>
      </c>
      <c r="Z345" s="44">
        <v>0.004074</v>
      </c>
      <c r="AA345" s="44">
        <v>6.867963</v>
      </c>
      <c r="AB345" s="44">
        <v>1.073148</v>
      </c>
      <c r="AC345" s="44">
        <v>0.50037</v>
      </c>
      <c r="AD345" s="44">
        <v>0.608333</v>
      </c>
      <c r="AE345" s="44">
        <v>0.554539</v>
      </c>
      <c r="AF345" s="44">
        <v>4.006667</v>
      </c>
      <c r="AG345" s="44">
        <v>0.438031</v>
      </c>
      <c r="AH345" s="44">
        <v>1.722778</v>
      </c>
      <c r="AI345" s="44">
        <v>0.965741</v>
      </c>
      <c r="AJ345" s="44">
        <v>13.79013</v>
      </c>
      <c r="AK345" s="44">
        <v>-2.08649</v>
      </c>
      <c r="AL345" s="44">
        <v>-1.6787</v>
      </c>
      <c r="AM345" s="44">
        <v>0.312167</v>
      </c>
      <c r="AN345" s="44">
        <v>-1.28631</v>
      </c>
      <c r="AO345" s="44">
        <v>-1.51675</v>
      </c>
      <c r="AP345" s="44">
        <v>-0.25267</v>
      </c>
      <c r="AQ345" s="44">
        <v>0.393551</v>
      </c>
      <c r="AR345" s="44">
        <v>-1.9377</v>
      </c>
      <c r="AS345" s="44">
        <v>1.17191</v>
      </c>
    </row>
    <row r="346">
      <c r="A346" s="44">
        <v>345.0</v>
      </c>
      <c r="B346" s="389"/>
      <c r="C346" s="389"/>
      <c r="D346" s="389"/>
      <c r="E346" s="44">
        <v>-0.76945</v>
      </c>
      <c r="F346" s="44">
        <v>0.002388</v>
      </c>
      <c r="G346" s="44">
        <v>0.695129</v>
      </c>
      <c r="H346" s="389"/>
      <c r="I346" s="46" t="s">
        <v>2186</v>
      </c>
      <c r="J346" s="46" t="s">
        <v>386</v>
      </c>
      <c r="K346" s="46" t="s">
        <v>90</v>
      </c>
      <c r="L346" s="46" t="s">
        <v>2187</v>
      </c>
      <c r="M346" s="46" t="s">
        <v>1785</v>
      </c>
      <c r="N346" s="46" t="s">
        <v>1570</v>
      </c>
      <c r="O346" s="46" t="s">
        <v>1776</v>
      </c>
      <c r="P346" s="389"/>
      <c r="Q346" s="389"/>
      <c r="R346" s="46">
        <v>4.0</v>
      </c>
      <c r="S346" s="45"/>
      <c r="T346" s="46" t="s">
        <v>1630</v>
      </c>
      <c r="U346" s="44">
        <v>66.0</v>
      </c>
      <c r="V346" s="44">
        <v>14.0</v>
      </c>
      <c r="W346" s="389"/>
      <c r="X346" s="44">
        <v>15.0</v>
      </c>
      <c r="Y346" s="44">
        <v>4.696515</v>
      </c>
      <c r="Z346" s="44">
        <v>0.461667</v>
      </c>
      <c r="AA346" s="44">
        <v>2.714394</v>
      </c>
      <c r="AB346" s="44">
        <v>1.150606</v>
      </c>
      <c r="AC346" s="44">
        <v>0.596667</v>
      </c>
      <c r="AD346" s="44">
        <v>0.221515</v>
      </c>
      <c r="AE346" s="44">
        <v>0.468387</v>
      </c>
      <c r="AF346" s="44">
        <v>3.944545</v>
      </c>
      <c r="AG346" s="44">
        <v>0.683948</v>
      </c>
      <c r="AH346" s="44">
        <v>0.789091</v>
      </c>
      <c r="AI346" s="44">
        <v>0.536515</v>
      </c>
      <c r="AJ346" s="44">
        <v>13.16829</v>
      </c>
      <c r="AK346" s="44">
        <v>-2.17564</v>
      </c>
      <c r="AL346" s="44">
        <v>-1.24103</v>
      </c>
      <c r="AM346" s="44">
        <v>-1.39228</v>
      </c>
      <c r="AN346" s="44">
        <v>-1.24894</v>
      </c>
      <c r="AO346" s="44">
        <v>-1.23074</v>
      </c>
      <c r="AP346" s="44">
        <v>-0.95044</v>
      </c>
      <c r="AQ346" s="44">
        <v>-0.11448</v>
      </c>
      <c r="AR346" s="44">
        <v>-0.28557</v>
      </c>
      <c r="AS346" s="44">
        <v>1.714089</v>
      </c>
    </row>
    <row r="347">
      <c r="A347" s="44">
        <v>346.0</v>
      </c>
      <c r="B347" s="389"/>
      <c r="C347" s="45"/>
      <c r="D347" s="45"/>
      <c r="E347" s="44">
        <v>-0.77048</v>
      </c>
      <c r="F347" s="44">
        <v>0.001107</v>
      </c>
      <c r="G347" s="44">
        <v>1.447826</v>
      </c>
      <c r="H347" s="389"/>
      <c r="I347" s="46" t="s">
        <v>2188</v>
      </c>
      <c r="J347" s="46" t="s">
        <v>283</v>
      </c>
      <c r="K347" s="46" t="s">
        <v>90</v>
      </c>
      <c r="L347" s="46" t="s">
        <v>2189</v>
      </c>
      <c r="M347" s="389"/>
      <c r="N347" s="46" t="s">
        <v>1562</v>
      </c>
      <c r="O347" s="389"/>
      <c r="P347" s="389"/>
      <c r="Q347" s="389"/>
      <c r="R347" s="46">
        <v>4.0</v>
      </c>
      <c r="S347" s="45"/>
      <c r="T347" s="46" t="s">
        <v>1630</v>
      </c>
      <c r="U347" s="44">
        <v>71.0</v>
      </c>
      <c r="V347" s="44">
        <v>14.0</v>
      </c>
      <c r="W347" s="389"/>
      <c r="X347" s="44">
        <v>16.0</v>
      </c>
      <c r="Y347" s="44">
        <v>7.824225</v>
      </c>
      <c r="Z347" s="44">
        <v>1.446901</v>
      </c>
      <c r="AA347" s="44">
        <v>2.319296</v>
      </c>
      <c r="AB347" s="44">
        <v>0.656479</v>
      </c>
      <c r="AC347" s="44">
        <v>0.22507</v>
      </c>
      <c r="AD347" s="44">
        <v>0.098873</v>
      </c>
      <c r="AE347" s="44">
        <v>0.467406</v>
      </c>
      <c r="AF347" s="44">
        <v>6.272254</v>
      </c>
      <c r="AG347" s="44">
        <v>0.744998</v>
      </c>
      <c r="AH347" s="44">
        <v>0.689859</v>
      </c>
      <c r="AI347" s="44">
        <v>0.428028</v>
      </c>
      <c r="AJ347" s="44">
        <v>19.43186</v>
      </c>
      <c r="AK347" s="44">
        <v>-1.62447</v>
      </c>
      <c r="AL347" s="44">
        <v>-0.29871</v>
      </c>
      <c r="AM347" s="44">
        <v>-1.55441</v>
      </c>
      <c r="AN347" s="44">
        <v>-1.48733</v>
      </c>
      <c r="AO347" s="44">
        <v>-2.33441</v>
      </c>
      <c r="AP347" s="44">
        <v>-1.17166</v>
      </c>
      <c r="AQ347" s="44">
        <v>-0.19532</v>
      </c>
      <c r="AR347" s="44">
        <v>-0.11912</v>
      </c>
      <c r="AS347" s="44">
        <v>1.851125</v>
      </c>
    </row>
    <row r="348">
      <c r="A348" s="44">
        <v>347.0</v>
      </c>
      <c r="B348" s="389"/>
      <c r="C348" s="45"/>
      <c r="D348" s="45"/>
      <c r="E348" s="44">
        <v>-0.77169</v>
      </c>
      <c r="F348" s="44">
        <v>6.44E-4</v>
      </c>
      <c r="G348" s="44">
        <v>-2.17627</v>
      </c>
      <c r="H348" s="389"/>
      <c r="I348" s="46" t="s">
        <v>2190</v>
      </c>
      <c r="J348" s="46" t="s">
        <v>291</v>
      </c>
      <c r="K348" s="46" t="s">
        <v>88</v>
      </c>
      <c r="L348" s="46" t="s">
        <v>2191</v>
      </c>
      <c r="M348" s="389"/>
      <c r="N348" s="46" t="s">
        <v>1570</v>
      </c>
      <c r="O348" s="46" t="s">
        <v>1729</v>
      </c>
      <c r="P348" s="389"/>
      <c r="Q348" s="45"/>
      <c r="R348" s="46">
        <v>3.0</v>
      </c>
      <c r="S348" s="45"/>
      <c r="T348" s="46" t="s">
        <v>1630</v>
      </c>
      <c r="U348" s="44">
        <v>48.0</v>
      </c>
      <c r="V348" s="44">
        <v>14.0</v>
      </c>
      <c r="W348" s="389"/>
      <c r="X348" s="44">
        <v>18.0</v>
      </c>
      <c r="Y348" s="44">
        <v>3.49875</v>
      </c>
      <c r="Z348" s="44">
        <v>0.828333</v>
      </c>
      <c r="AA348" s="44">
        <v>1.477083</v>
      </c>
      <c r="AB348" s="44">
        <v>0.941042</v>
      </c>
      <c r="AC348" s="44">
        <v>0.680208</v>
      </c>
      <c r="AD348" s="44">
        <v>0.265417</v>
      </c>
      <c r="AE348" s="44">
        <v>0.407159</v>
      </c>
      <c r="AF348" s="44">
        <v>3.142708</v>
      </c>
      <c r="AG348" s="44">
        <v>0.708223</v>
      </c>
      <c r="AH348" s="44">
        <v>0.157083</v>
      </c>
      <c r="AI348" s="44">
        <v>0.417083</v>
      </c>
      <c r="AJ348" s="44">
        <v>8.843305</v>
      </c>
      <c r="AK348" s="44">
        <v>-2.38671</v>
      </c>
      <c r="AL348" s="44">
        <v>-0.89033</v>
      </c>
      <c r="AM348" s="44">
        <v>-1.90002</v>
      </c>
      <c r="AN348" s="44">
        <v>-1.35004</v>
      </c>
      <c r="AO348" s="44">
        <v>-0.98262</v>
      </c>
      <c r="AP348" s="44">
        <v>-0.87124</v>
      </c>
      <c r="AQ348" s="44">
        <v>-0.37404</v>
      </c>
      <c r="AR348" s="44">
        <v>-0.05511</v>
      </c>
      <c r="AS348" s="44">
        <v>1.86495</v>
      </c>
    </row>
    <row r="349">
      <c r="A349" s="44">
        <v>348.0</v>
      </c>
      <c r="B349" s="389"/>
      <c r="C349" s="45"/>
      <c r="D349" s="45"/>
      <c r="E349" s="44">
        <v>-0.77273</v>
      </c>
      <c r="F349" s="44">
        <v>0.447533</v>
      </c>
      <c r="G349" s="44">
        <v>0.29555</v>
      </c>
      <c r="H349" s="389"/>
      <c r="I349" s="46" t="s">
        <v>2192</v>
      </c>
      <c r="J349" s="46" t="s">
        <v>365</v>
      </c>
      <c r="K349" s="46" t="s">
        <v>1593</v>
      </c>
      <c r="L349" s="389"/>
      <c r="M349" s="389"/>
      <c r="N349" s="46" t="s">
        <v>1612</v>
      </c>
      <c r="O349" s="389"/>
      <c r="P349" s="389"/>
      <c r="Q349" s="45"/>
      <c r="R349" s="389"/>
      <c r="S349" s="45"/>
      <c r="T349" s="46" t="s">
        <v>1905</v>
      </c>
      <c r="U349" s="44">
        <v>49.0</v>
      </c>
      <c r="V349" s="44">
        <v>13.0</v>
      </c>
      <c r="W349" s="389"/>
      <c r="X349" s="44">
        <v>15.0</v>
      </c>
      <c r="Y349" s="44">
        <v>6.452041</v>
      </c>
      <c r="Z349" s="44">
        <v>1.323061</v>
      </c>
      <c r="AA349" s="44">
        <v>2.072857</v>
      </c>
      <c r="AB349" s="44">
        <v>0.773469</v>
      </c>
      <c r="AC349" s="44">
        <v>0.402245</v>
      </c>
      <c r="AD349" s="44">
        <v>0.092857</v>
      </c>
      <c r="AE349" s="44">
        <v>0.427938</v>
      </c>
      <c r="AF349" s="44">
        <v>5.475714</v>
      </c>
      <c r="AG349" s="44">
        <v>0.808051</v>
      </c>
      <c r="AH349" s="44">
        <v>0.547551</v>
      </c>
      <c r="AI349" s="44">
        <v>0.402245</v>
      </c>
      <c r="AJ349" s="44">
        <v>17.70476</v>
      </c>
      <c r="AK349" s="44">
        <v>-1.86628</v>
      </c>
      <c r="AL349" s="44">
        <v>-0.41715</v>
      </c>
      <c r="AM349" s="44">
        <v>-1.65554</v>
      </c>
      <c r="AN349" s="44">
        <v>-1.43089</v>
      </c>
      <c r="AO349" s="44">
        <v>-1.80819</v>
      </c>
      <c r="AP349" s="44">
        <v>-1.18252</v>
      </c>
      <c r="AQ349" s="44">
        <v>-0.48889</v>
      </c>
      <c r="AR349" s="44">
        <v>0.011149</v>
      </c>
      <c r="AS349" s="44">
        <v>1.883693</v>
      </c>
    </row>
    <row r="350">
      <c r="A350" s="44">
        <v>349.0</v>
      </c>
      <c r="B350" s="389"/>
      <c r="C350" s="45"/>
      <c r="D350" s="45"/>
      <c r="E350" s="44">
        <v>-0.7732</v>
      </c>
      <c r="F350" s="44">
        <v>-0.04913</v>
      </c>
      <c r="G350" s="44">
        <v>-0.71734</v>
      </c>
      <c r="H350" s="389"/>
      <c r="I350" s="46" t="s">
        <v>2193</v>
      </c>
      <c r="J350" s="46" t="s">
        <v>375</v>
      </c>
      <c r="K350" s="46" t="s">
        <v>85</v>
      </c>
      <c r="L350" s="46" t="s">
        <v>2194</v>
      </c>
      <c r="M350" s="389"/>
      <c r="N350" s="46" t="s">
        <v>1570</v>
      </c>
      <c r="O350" s="46" t="s">
        <v>1648</v>
      </c>
      <c r="P350" s="389"/>
      <c r="Q350" s="45"/>
      <c r="R350" s="46">
        <v>3.0</v>
      </c>
      <c r="S350" s="45"/>
      <c r="T350" s="46" t="s">
        <v>1630</v>
      </c>
      <c r="U350" s="44">
        <v>66.0</v>
      </c>
      <c r="V350" s="44">
        <v>15.0</v>
      </c>
      <c r="W350" s="389"/>
      <c r="X350" s="44">
        <v>18.0</v>
      </c>
      <c r="Y350" s="44">
        <v>6.895</v>
      </c>
      <c r="Z350" s="44">
        <v>1.112576</v>
      </c>
      <c r="AA350" s="44">
        <v>2.572576</v>
      </c>
      <c r="AB350" s="44">
        <v>1.681515</v>
      </c>
      <c r="AC350" s="44">
        <v>0.423182</v>
      </c>
      <c r="AD350" s="44">
        <v>0.11303</v>
      </c>
      <c r="AE350" s="44">
        <v>0.407107</v>
      </c>
      <c r="AF350" s="44">
        <v>6.173636</v>
      </c>
      <c r="AG350" s="44">
        <v>0.81999</v>
      </c>
      <c r="AH350" s="44">
        <v>0.921667</v>
      </c>
      <c r="AI350" s="44">
        <v>0.735</v>
      </c>
      <c r="AJ350" s="44">
        <v>17.98765</v>
      </c>
      <c r="AK350" s="44">
        <v>-1.78822</v>
      </c>
      <c r="AL350" s="44">
        <v>-0.61847</v>
      </c>
      <c r="AM350" s="44">
        <v>-1.45048</v>
      </c>
      <c r="AN350" s="44">
        <v>-0.9928</v>
      </c>
      <c r="AO350" s="44">
        <v>-1.746</v>
      </c>
      <c r="AP350" s="44">
        <v>-1.14613</v>
      </c>
      <c r="AQ350" s="44">
        <v>-0.74209</v>
      </c>
      <c r="AR350" s="44">
        <v>0.062016</v>
      </c>
      <c r="AS350" s="44">
        <v>1.463371</v>
      </c>
    </row>
    <row r="351">
      <c r="A351" s="44">
        <v>350.0</v>
      </c>
      <c r="B351" s="389"/>
      <c r="C351" s="45"/>
      <c r="D351" s="45"/>
      <c r="E351" s="44">
        <v>-0.77486</v>
      </c>
      <c r="F351" s="44">
        <v>0.004206</v>
      </c>
      <c r="G351" s="44">
        <v>0.80664</v>
      </c>
      <c r="H351" s="389"/>
      <c r="I351" s="46" t="s">
        <v>2195</v>
      </c>
      <c r="J351" s="46" t="s">
        <v>269</v>
      </c>
      <c r="K351" s="46" t="s">
        <v>1581</v>
      </c>
      <c r="L351" s="46" t="s">
        <v>2196</v>
      </c>
      <c r="M351" s="389"/>
      <c r="N351" s="46" t="s">
        <v>1570</v>
      </c>
      <c r="O351" s="389"/>
      <c r="P351" s="389"/>
      <c r="Q351" s="45"/>
      <c r="R351" s="46">
        <v>2.0</v>
      </c>
      <c r="S351" s="45"/>
      <c r="T351" s="46" t="s">
        <v>1905</v>
      </c>
      <c r="U351" s="44">
        <v>33.0</v>
      </c>
      <c r="V351" s="44">
        <v>16.0</v>
      </c>
      <c r="W351" s="389"/>
      <c r="X351" s="44">
        <v>14.0</v>
      </c>
      <c r="Y351" s="44">
        <v>6.628182</v>
      </c>
      <c r="Z351" s="44">
        <v>0.187576</v>
      </c>
      <c r="AA351" s="44">
        <v>3.240303</v>
      </c>
      <c r="AB351" s="44">
        <v>0.824848</v>
      </c>
      <c r="AC351" s="44">
        <v>0.323939</v>
      </c>
      <c r="AD351" s="44">
        <v>0.677576</v>
      </c>
      <c r="AE351" s="44">
        <v>0.553559</v>
      </c>
      <c r="AF351" s="44">
        <v>4.653636</v>
      </c>
      <c r="AG351" s="44">
        <v>0.692057</v>
      </c>
      <c r="AH351" s="44">
        <v>1.861818</v>
      </c>
      <c r="AI351" s="44">
        <v>0.883636</v>
      </c>
      <c r="AJ351" s="44">
        <v>19.58472</v>
      </c>
      <c r="AK351" s="44">
        <v>-1.83524</v>
      </c>
      <c r="AL351" s="44">
        <v>-1.50319</v>
      </c>
      <c r="AM351" s="44">
        <v>-1.17647</v>
      </c>
      <c r="AN351" s="44">
        <v>-1.4061</v>
      </c>
      <c r="AO351" s="44">
        <v>-2.04076</v>
      </c>
      <c r="AP351" s="44">
        <v>-0.12776</v>
      </c>
      <c r="AQ351" s="44">
        <v>0.449216</v>
      </c>
      <c r="AR351" s="44">
        <v>-0.60907</v>
      </c>
      <c r="AS351" s="44">
        <v>1.27562</v>
      </c>
    </row>
    <row r="352">
      <c r="A352" s="44">
        <v>351.0</v>
      </c>
      <c r="B352" s="389"/>
      <c r="C352" s="45"/>
      <c r="D352" s="45"/>
      <c r="E352" s="44">
        <v>-0.77618</v>
      </c>
      <c r="F352" s="44">
        <v>0.002395</v>
      </c>
      <c r="G352" s="44">
        <v>-2.05547</v>
      </c>
      <c r="H352" s="389"/>
      <c r="I352" s="46" t="s">
        <v>2197</v>
      </c>
      <c r="J352" s="46" t="s">
        <v>278</v>
      </c>
      <c r="K352" s="46" t="s">
        <v>90</v>
      </c>
      <c r="L352" s="46" t="s">
        <v>2198</v>
      </c>
      <c r="M352" s="389"/>
      <c r="N352" s="46" t="s">
        <v>1570</v>
      </c>
      <c r="O352" s="389"/>
      <c r="P352" s="389"/>
      <c r="Q352" s="389"/>
      <c r="R352" s="46">
        <v>5.0</v>
      </c>
      <c r="S352" s="45"/>
      <c r="T352" s="46" t="s">
        <v>1630</v>
      </c>
      <c r="U352" s="44">
        <v>59.0</v>
      </c>
      <c r="V352" s="44">
        <v>14.0</v>
      </c>
      <c r="W352" s="389"/>
      <c r="X352" s="44">
        <v>17.0</v>
      </c>
      <c r="Y352" s="44">
        <v>4.762712</v>
      </c>
      <c r="Z352" s="44">
        <v>0.545424</v>
      </c>
      <c r="AA352" s="44">
        <v>2.468136</v>
      </c>
      <c r="AB352" s="44">
        <v>1.359322</v>
      </c>
      <c r="AC352" s="44">
        <v>0.605424</v>
      </c>
      <c r="AD352" s="44">
        <v>0.371525</v>
      </c>
      <c r="AE352" s="44">
        <v>0.430762</v>
      </c>
      <c r="AF352" s="44">
        <v>4.078305</v>
      </c>
      <c r="AG352" s="44">
        <v>0.73604</v>
      </c>
      <c r="AH352" s="44">
        <v>0.956102</v>
      </c>
      <c r="AI352" s="44">
        <v>0.786949</v>
      </c>
      <c r="AJ352" s="44">
        <v>13.29906</v>
      </c>
      <c r="AK352" s="44">
        <v>-2.16398</v>
      </c>
      <c r="AL352" s="44">
        <v>-1.16092</v>
      </c>
      <c r="AM352" s="44">
        <v>-1.49334</v>
      </c>
      <c r="AN352" s="44">
        <v>-1.14824</v>
      </c>
      <c r="AO352" s="44">
        <v>-1.20473</v>
      </c>
      <c r="AP352" s="44">
        <v>-0.67984</v>
      </c>
      <c r="AQ352" s="44">
        <v>-0.3453</v>
      </c>
      <c r="AR352" s="44">
        <v>-0.18704</v>
      </c>
      <c r="AS352" s="44">
        <v>1.397751</v>
      </c>
    </row>
    <row r="353">
      <c r="A353" s="44">
        <v>352.0</v>
      </c>
      <c r="B353" s="389"/>
      <c r="C353" s="45"/>
      <c r="D353" s="45"/>
      <c r="E353" s="44">
        <v>-0.77878</v>
      </c>
      <c r="F353" s="44">
        <v>0.00134</v>
      </c>
      <c r="G353" s="44">
        <v>0.44423</v>
      </c>
      <c r="H353" s="389"/>
      <c r="I353" s="46" t="s">
        <v>2199</v>
      </c>
      <c r="J353" s="46" t="s">
        <v>278</v>
      </c>
      <c r="K353" s="46" t="s">
        <v>85</v>
      </c>
      <c r="L353" s="46" t="s">
        <v>2200</v>
      </c>
      <c r="M353" s="389"/>
      <c r="N353" s="46" t="s">
        <v>1562</v>
      </c>
      <c r="O353" s="46" t="s">
        <v>1648</v>
      </c>
      <c r="P353" s="389"/>
      <c r="Q353" s="389"/>
      <c r="R353" s="389"/>
      <c r="S353" s="45"/>
      <c r="T353" s="46" t="s">
        <v>1630</v>
      </c>
      <c r="U353" s="44">
        <v>71.0</v>
      </c>
      <c r="V353" s="44">
        <v>14.0</v>
      </c>
      <c r="W353" s="389"/>
      <c r="X353" s="44">
        <v>17.0</v>
      </c>
      <c r="Y353" s="44">
        <v>8.494225</v>
      </c>
      <c r="Z353" s="44">
        <v>0.78169</v>
      </c>
      <c r="AA353" s="44">
        <v>1.93169</v>
      </c>
      <c r="AB353" s="44">
        <v>2.611268</v>
      </c>
      <c r="AC353" s="44">
        <v>0.679577</v>
      </c>
      <c r="AD353" s="44">
        <v>0.214648</v>
      </c>
      <c r="AE353" s="44">
        <v>0.424288</v>
      </c>
      <c r="AF353" s="44">
        <v>7.082958</v>
      </c>
      <c r="AG353" s="44">
        <v>0.750994</v>
      </c>
      <c r="AH353" s="44">
        <v>2.266479</v>
      </c>
      <c r="AI353" s="44">
        <v>1.39507</v>
      </c>
      <c r="AJ353" s="44">
        <v>23.83915</v>
      </c>
      <c r="AK353" s="44">
        <v>-1.5064</v>
      </c>
      <c r="AL353" s="44">
        <v>-0.93495</v>
      </c>
      <c r="AM353" s="44">
        <v>-1.71347</v>
      </c>
      <c r="AN353" s="44">
        <v>-0.54424</v>
      </c>
      <c r="AO353" s="44">
        <v>-0.98449</v>
      </c>
      <c r="AP353" s="44">
        <v>-0.96282</v>
      </c>
      <c r="AQ353" s="44">
        <v>-0.67267</v>
      </c>
      <c r="AR353" s="44">
        <v>-0.31954</v>
      </c>
      <c r="AS353" s="44">
        <v>0.629599</v>
      </c>
    </row>
    <row r="354">
      <c r="A354" s="44">
        <v>353.0</v>
      </c>
      <c r="B354" s="389"/>
      <c r="C354" s="45"/>
      <c r="D354" s="45"/>
      <c r="E354" s="44">
        <v>-0.77948</v>
      </c>
      <c r="F354" s="44">
        <v>0.002218</v>
      </c>
      <c r="G354" s="44">
        <v>1.568629</v>
      </c>
      <c r="H354" s="389"/>
      <c r="I354" s="46" t="s">
        <v>2201</v>
      </c>
      <c r="J354" s="46" t="s">
        <v>324</v>
      </c>
      <c r="K354" s="46" t="s">
        <v>1572</v>
      </c>
      <c r="L354" s="46" t="s">
        <v>2202</v>
      </c>
      <c r="M354" s="389"/>
      <c r="N354" s="46" t="s">
        <v>1562</v>
      </c>
      <c r="O354" s="46" t="s">
        <v>2203</v>
      </c>
      <c r="P354" s="389"/>
      <c r="Q354" s="389"/>
      <c r="R354" s="46">
        <v>1.0</v>
      </c>
      <c r="S354" s="45"/>
      <c r="T354" s="46" t="s">
        <v>1905</v>
      </c>
      <c r="U354" s="44">
        <v>46.0</v>
      </c>
      <c r="V354" s="44">
        <v>16.0</v>
      </c>
      <c r="W354" s="389"/>
      <c r="X354" s="44">
        <v>14.0</v>
      </c>
      <c r="Y354" s="44">
        <v>5.35587</v>
      </c>
      <c r="Z354" s="44">
        <v>0.880217</v>
      </c>
      <c r="AA354" s="44">
        <v>2.541087</v>
      </c>
      <c r="AB354" s="44">
        <v>0.952826</v>
      </c>
      <c r="AC354" s="44">
        <v>0.577391</v>
      </c>
      <c r="AD354" s="44">
        <v>0.173261</v>
      </c>
      <c r="AE354" s="44">
        <v>0.425422</v>
      </c>
      <c r="AF354" s="44">
        <v>4.388478</v>
      </c>
      <c r="AG354" s="44">
        <v>0.844973</v>
      </c>
      <c r="AH354" s="44">
        <v>0.877826</v>
      </c>
      <c r="AI354" s="44">
        <v>0.866304</v>
      </c>
      <c r="AJ354" s="44">
        <v>17.6024</v>
      </c>
      <c r="AK354" s="44">
        <v>-2.05945</v>
      </c>
      <c r="AL354" s="44">
        <v>-0.84071</v>
      </c>
      <c r="AM354" s="44">
        <v>-1.4634</v>
      </c>
      <c r="AN354" s="44">
        <v>-1.34436</v>
      </c>
      <c r="AO354" s="44">
        <v>-1.28799</v>
      </c>
      <c r="AP354" s="44">
        <v>-1.03748</v>
      </c>
      <c r="AQ354" s="44">
        <v>-0.40672</v>
      </c>
      <c r="AR354" s="44">
        <v>0.127271</v>
      </c>
      <c r="AS354" s="44">
        <v>1.297513</v>
      </c>
    </row>
    <row r="355">
      <c r="A355" s="44">
        <v>354.0</v>
      </c>
      <c r="B355" s="389"/>
      <c r="C355" s="45"/>
      <c r="D355" s="45"/>
      <c r="E355" s="44">
        <v>-0.7811</v>
      </c>
      <c r="F355" s="44">
        <v>0.002793</v>
      </c>
      <c r="G355" s="44">
        <v>-1.59084</v>
      </c>
      <c r="H355" s="389"/>
      <c r="I355" s="46" t="s">
        <v>2204</v>
      </c>
      <c r="J355" s="46" t="s">
        <v>379</v>
      </c>
      <c r="K355" s="46" t="s">
        <v>88</v>
      </c>
      <c r="L355" s="46" t="s">
        <v>2205</v>
      </c>
      <c r="M355" s="389"/>
      <c r="N355" s="46" t="s">
        <v>1562</v>
      </c>
      <c r="O355" s="389"/>
      <c r="P355" s="389"/>
      <c r="Q355" s="45"/>
      <c r="R355" s="46">
        <v>4.0</v>
      </c>
      <c r="S355" s="45"/>
      <c r="T355" s="46" t="s">
        <v>1905</v>
      </c>
      <c r="U355" s="44">
        <v>34.0</v>
      </c>
      <c r="V355" s="44">
        <v>14.0</v>
      </c>
      <c r="W355" s="389"/>
      <c r="X355" s="44">
        <v>11.0</v>
      </c>
      <c r="Y355" s="44">
        <v>2.028235</v>
      </c>
      <c r="Z355" s="44">
        <v>0.430588</v>
      </c>
      <c r="AA355" s="44">
        <v>3.128235</v>
      </c>
      <c r="AB355" s="44">
        <v>0.873529</v>
      </c>
      <c r="AC355" s="44">
        <v>0.558235</v>
      </c>
      <c r="AD355" s="44">
        <v>0.240588</v>
      </c>
      <c r="AE355" s="44">
        <v>0.431342</v>
      </c>
      <c r="AF355" s="44">
        <v>1.683529</v>
      </c>
      <c r="AG355" s="44">
        <v>0.862129</v>
      </c>
      <c r="AH355" s="44">
        <v>0.168529</v>
      </c>
      <c r="AI355" s="44">
        <v>0.415882</v>
      </c>
      <c r="AJ355" s="44">
        <v>8.02643</v>
      </c>
      <c r="AK355" s="44">
        <v>-2.64585</v>
      </c>
      <c r="AL355" s="44">
        <v>-1.27076</v>
      </c>
      <c r="AM355" s="44">
        <v>-1.22246</v>
      </c>
      <c r="AN355" s="44">
        <v>-1.38261</v>
      </c>
      <c r="AO355" s="44">
        <v>-1.34488</v>
      </c>
      <c r="AP355" s="44">
        <v>-0.91603</v>
      </c>
      <c r="AQ355" s="44">
        <v>-0.13693</v>
      </c>
      <c r="AR355" s="44">
        <v>0.023192</v>
      </c>
      <c r="AS355" s="44">
        <v>1.866467</v>
      </c>
    </row>
    <row r="356">
      <c r="A356" s="44">
        <v>355.0</v>
      </c>
      <c r="B356" s="389"/>
      <c r="C356" s="45"/>
      <c r="D356" s="45"/>
      <c r="E356" s="44">
        <v>-0.78198</v>
      </c>
      <c r="F356" s="44">
        <v>0.004591</v>
      </c>
      <c r="G356" s="44">
        <v>0.84381</v>
      </c>
      <c r="H356" s="389"/>
      <c r="I356" s="46" t="s">
        <v>2206</v>
      </c>
      <c r="J356" s="46" t="s">
        <v>299</v>
      </c>
      <c r="K356" s="46" t="s">
        <v>97</v>
      </c>
      <c r="L356" s="46" t="s">
        <v>2207</v>
      </c>
      <c r="M356" s="389"/>
      <c r="N356" s="46" t="s">
        <v>1562</v>
      </c>
      <c r="O356" s="46" t="s">
        <v>1607</v>
      </c>
      <c r="P356" s="389"/>
      <c r="Q356" s="389"/>
      <c r="R356" s="46">
        <v>2.0</v>
      </c>
      <c r="S356" s="45"/>
      <c r="T356" s="46" t="s">
        <v>1905</v>
      </c>
      <c r="U356" s="44">
        <v>28.0</v>
      </c>
      <c r="V356" s="44">
        <v>13.0</v>
      </c>
      <c r="W356" s="389"/>
      <c r="X356" s="44">
        <v>10.0</v>
      </c>
      <c r="Y356" s="44">
        <v>4.163929</v>
      </c>
      <c r="Z356" s="44">
        <v>0.0</v>
      </c>
      <c r="AA356" s="44">
        <v>3.575</v>
      </c>
      <c r="AB356" s="44">
        <v>0.450714</v>
      </c>
      <c r="AC356" s="44">
        <v>0.26</v>
      </c>
      <c r="AD356" s="44">
        <v>0.563214</v>
      </c>
      <c r="AE356" s="44">
        <v>0.687936</v>
      </c>
      <c r="AF356" s="44">
        <v>2.664286</v>
      </c>
      <c r="AG356" s="44">
        <v>0.651869</v>
      </c>
      <c r="AH356" s="44">
        <v>0.764286</v>
      </c>
      <c r="AI356" s="44">
        <v>0.571786</v>
      </c>
      <c r="AJ356" s="44">
        <v>14.80201</v>
      </c>
      <c r="AK356" s="44">
        <v>-2.26949</v>
      </c>
      <c r="AL356" s="44">
        <v>-1.68259</v>
      </c>
      <c r="AM356" s="44">
        <v>-1.03913</v>
      </c>
      <c r="AN356" s="44">
        <v>-1.5866</v>
      </c>
      <c r="AO356" s="44">
        <v>-2.23066</v>
      </c>
      <c r="AP356" s="44">
        <v>-0.33406</v>
      </c>
      <c r="AQ356" s="44">
        <v>0.78913</v>
      </c>
      <c r="AR356" s="44">
        <v>-0.35393</v>
      </c>
      <c r="AS356" s="44">
        <v>1.669536</v>
      </c>
    </row>
    <row r="357">
      <c r="A357" s="44">
        <v>356.0</v>
      </c>
      <c r="B357" s="389"/>
      <c r="C357" s="389"/>
      <c r="D357" s="389"/>
      <c r="E357" s="44">
        <v>-0.78578</v>
      </c>
      <c r="F357" s="44">
        <v>0.025221</v>
      </c>
      <c r="G357" s="44">
        <v>0.40706</v>
      </c>
      <c r="H357" s="389"/>
      <c r="I357" s="46" t="s">
        <v>2208</v>
      </c>
      <c r="J357" s="46" t="s">
        <v>379</v>
      </c>
      <c r="K357" s="46" t="s">
        <v>92</v>
      </c>
      <c r="L357" s="46" t="s">
        <v>2209</v>
      </c>
      <c r="M357" s="389"/>
      <c r="N357" s="46" t="s">
        <v>1570</v>
      </c>
      <c r="O357" s="389"/>
      <c r="P357" s="389"/>
      <c r="Q357" s="389"/>
      <c r="R357" s="46">
        <v>2.0</v>
      </c>
      <c r="S357" s="45"/>
      <c r="T357" s="46" t="s">
        <v>1630</v>
      </c>
      <c r="U357" s="44">
        <v>66.0</v>
      </c>
      <c r="V357" s="44">
        <v>14.0</v>
      </c>
      <c r="W357" s="389"/>
      <c r="X357" s="44">
        <v>18.0</v>
      </c>
      <c r="Y357" s="44">
        <v>8.403788</v>
      </c>
      <c r="Z357" s="44">
        <v>1.248182</v>
      </c>
      <c r="AA357" s="44">
        <v>3.740606</v>
      </c>
      <c r="AB357" s="44">
        <v>0.970909</v>
      </c>
      <c r="AC357" s="44">
        <v>0.418788</v>
      </c>
      <c r="AD357" s="44">
        <v>0.281212</v>
      </c>
      <c r="AE357" s="44">
        <v>0.402232</v>
      </c>
      <c r="AF357" s="44">
        <v>7.481364</v>
      </c>
      <c r="AG357" s="44">
        <v>0.76</v>
      </c>
      <c r="AH357" s="44">
        <v>1.496212</v>
      </c>
      <c r="AI357" s="44">
        <v>1.121364</v>
      </c>
      <c r="AJ357" s="44">
        <v>20.89925</v>
      </c>
      <c r="AK357" s="44">
        <v>-1.52234</v>
      </c>
      <c r="AL357" s="44">
        <v>-0.48877</v>
      </c>
      <c r="AM357" s="44">
        <v>-0.97117</v>
      </c>
      <c r="AN357" s="44">
        <v>-1.33563</v>
      </c>
      <c r="AO357" s="44">
        <v>-1.75905</v>
      </c>
      <c r="AP357" s="44">
        <v>-0.84275</v>
      </c>
      <c r="AQ357" s="44">
        <v>-0.95467</v>
      </c>
      <c r="AR357" s="44">
        <v>-0.173</v>
      </c>
      <c r="AS357" s="44">
        <v>0.975333</v>
      </c>
    </row>
    <row r="358">
      <c r="A358" s="44">
        <v>357.0</v>
      </c>
      <c r="B358" s="389"/>
      <c r="C358" s="45"/>
      <c r="D358" s="45"/>
      <c r="E358" s="44">
        <v>-0.79294</v>
      </c>
      <c r="F358" s="44">
        <v>0.00236</v>
      </c>
      <c r="G358" s="44">
        <v>1.568629</v>
      </c>
      <c r="H358" s="389"/>
      <c r="I358" s="46" t="s">
        <v>2210</v>
      </c>
      <c r="J358" s="46" t="s">
        <v>350</v>
      </c>
      <c r="K358" s="46" t="s">
        <v>1568</v>
      </c>
      <c r="L358" s="46" t="s">
        <v>2211</v>
      </c>
      <c r="M358" s="389"/>
      <c r="N358" s="46" t="s">
        <v>1562</v>
      </c>
      <c r="O358" s="389"/>
      <c r="P358" s="389"/>
      <c r="Q358" s="45"/>
      <c r="R358" s="46">
        <v>2.0</v>
      </c>
      <c r="S358" s="45"/>
      <c r="T358" s="46" t="s">
        <v>1630</v>
      </c>
      <c r="U358" s="44">
        <v>71.0</v>
      </c>
      <c r="V358" s="44">
        <v>14.0</v>
      </c>
      <c r="W358" s="389"/>
      <c r="X358" s="44">
        <v>18.0</v>
      </c>
      <c r="Y358" s="44">
        <v>5.786338</v>
      </c>
      <c r="Z358" s="44">
        <v>0.832535</v>
      </c>
      <c r="AA358" s="44">
        <v>3.52831</v>
      </c>
      <c r="AB358" s="44">
        <v>1.600563</v>
      </c>
      <c r="AC358" s="44">
        <v>0.545634</v>
      </c>
      <c r="AD358" s="44">
        <v>0.290986</v>
      </c>
      <c r="AE358" s="44">
        <v>0.417425</v>
      </c>
      <c r="AF358" s="44">
        <v>5.092254</v>
      </c>
      <c r="AG358" s="44">
        <v>0.726055</v>
      </c>
      <c r="AH358" s="44">
        <v>0.967606</v>
      </c>
      <c r="AI358" s="44">
        <v>1.273099</v>
      </c>
      <c r="AJ358" s="44">
        <v>16.93966</v>
      </c>
      <c r="AK358" s="44">
        <v>-1.98359</v>
      </c>
      <c r="AL358" s="44">
        <v>-0.88632</v>
      </c>
      <c r="AM358" s="44">
        <v>-1.05829</v>
      </c>
      <c r="AN358" s="44">
        <v>-1.03185</v>
      </c>
      <c r="AO358" s="44">
        <v>-1.38231</v>
      </c>
      <c r="AP358" s="44">
        <v>-0.82512</v>
      </c>
      <c r="AQ358" s="44">
        <v>-0.53324</v>
      </c>
      <c r="AR358" s="44">
        <v>-0.21945</v>
      </c>
      <c r="AS358" s="44">
        <v>0.783668</v>
      </c>
    </row>
    <row r="359">
      <c r="A359" s="44">
        <v>358.0</v>
      </c>
      <c r="B359" s="389"/>
      <c r="C359" s="45"/>
      <c r="D359" s="45"/>
      <c r="E359" s="44">
        <v>-0.79477</v>
      </c>
      <c r="F359" s="44">
        <v>0.003046</v>
      </c>
      <c r="G359" s="44">
        <v>0.072528</v>
      </c>
      <c r="H359" s="389"/>
      <c r="I359" s="46" t="s">
        <v>2212</v>
      </c>
      <c r="J359" s="46" t="s">
        <v>354</v>
      </c>
      <c r="K359" s="46" t="s">
        <v>97</v>
      </c>
      <c r="L359" s="46" t="s">
        <v>2213</v>
      </c>
      <c r="M359" s="389"/>
      <c r="N359" s="46" t="s">
        <v>1570</v>
      </c>
      <c r="O359" s="46" t="s">
        <v>2214</v>
      </c>
      <c r="P359" s="389"/>
      <c r="Q359" s="389"/>
      <c r="R359" s="389"/>
      <c r="S359" s="45"/>
      <c r="T359" s="46" t="s">
        <v>1905</v>
      </c>
      <c r="U359" s="44">
        <v>43.0</v>
      </c>
      <c r="V359" s="44">
        <v>15.0</v>
      </c>
      <c r="W359" s="389"/>
      <c r="X359" s="44">
        <v>10.0</v>
      </c>
      <c r="Y359" s="44">
        <v>4.059767</v>
      </c>
      <c r="Z359" s="44">
        <v>0.0</v>
      </c>
      <c r="AA359" s="44">
        <v>4.056047</v>
      </c>
      <c r="AB359" s="44">
        <v>0.367907</v>
      </c>
      <c r="AC359" s="44">
        <v>0.419535</v>
      </c>
      <c r="AD359" s="44">
        <v>0.194186</v>
      </c>
      <c r="AE359" s="44">
        <v>0.595833</v>
      </c>
      <c r="AF359" s="44">
        <v>2.790698</v>
      </c>
      <c r="AG359" s="44">
        <v>0.725914</v>
      </c>
      <c r="AH359" s="44">
        <v>1.011395</v>
      </c>
      <c r="AI359" s="44">
        <v>0.448605</v>
      </c>
      <c r="AJ359" s="44">
        <v>15.31461</v>
      </c>
      <c r="AK359" s="44">
        <v>-2.28785</v>
      </c>
      <c r="AL359" s="44">
        <v>-1.68259</v>
      </c>
      <c r="AM359" s="44">
        <v>-0.84172</v>
      </c>
      <c r="AN359" s="44">
        <v>-1.62655</v>
      </c>
      <c r="AO359" s="44">
        <v>-1.75683</v>
      </c>
      <c r="AP359" s="44">
        <v>-0.99973</v>
      </c>
      <c r="AQ359" s="44">
        <v>0.446515</v>
      </c>
      <c r="AR359" s="44">
        <v>-0.22925</v>
      </c>
      <c r="AS359" s="44">
        <v>1.825134</v>
      </c>
    </row>
    <row r="360">
      <c r="A360" s="44">
        <v>359.0</v>
      </c>
      <c r="B360" s="389"/>
      <c r="C360" s="45"/>
      <c r="D360" s="45"/>
      <c r="E360" s="44">
        <v>-0.80217</v>
      </c>
      <c r="F360" s="44">
        <v>0.002071</v>
      </c>
      <c r="G360" s="44">
        <v>0.434938</v>
      </c>
      <c r="H360" s="389"/>
      <c r="I360" s="46" t="s">
        <v>2215</v>
      </c>
      <c r="J360" s="46" t="s">
        <v>350</v>
      </c>
      <c r="K360" s="46" t="s">
        <v>97</v>
      </c>
      <c r="L360" s="46" t="s">
        <v>2216</v>
      </c>
      <c r="M360" s="389"/>
      <c r="N360" s="46" t="s">
        <v>1570</v>
      </c>
      <c r="O360" s="46" t="s">
        <v>1576</v>
      </c>
      <c r="P360" s="389"/>
      <c r="Q360" s="389"/>
      <c r="R360" s="46">
        <v>2.0</v>
      </c>
      <c r="S360" s="45"/>
      <c r="T360" s="46" t="s">
        <v>1905</v>
      </c>
      <c r="U360" s="44">
        <v>43.0</v>
      </c>
      <c r="V360" s="44">
        <v>14.0</v>
      </c>
      <c r="W360" s="389"/>
      <c r="X360" s="44">
        <v>17.0</v>
      </c>
      <c r="Y360" s="44">
        <v>5.54093</v>
      </c>
      <c r="Z360" s="44">
        <v>0.77186</v>
      </c>
      <c r="AA360" s="44">
        <v>4.019535</v>
      </c>
      <c r="AB360" s="44">
        <v>1.717674</v>
      </c>
      <c r="AC360" s="44">
        <v>0.486977</v>
      </c>
      <c r="AD360" s="44">
        <v>0.102326</v>
      </c>
      <c r="AE360" s="44">
        <v>0.418714</v>
      </c>
      <c r="AF360" s="44">
        <v>4.809302</v>
      </c>
      <c r="AG360" s="44">
        <v>0.771035</v>
      </c>
      <c r="AH360" s="44">
        <v>0.96186</v>
      </c>
      <c r="AI360" s="44">
        <v>1.195116</v>
      </c>
      <c r="AJ360" s="44">
        <v>16.97616</v>
      </c>
      <c r="AK360" s="44">
        <v>-2.02684</v>
      </c>
      <c r="AL360" s="44">
        <v>-0.94435</v>
      </c>
      <c r="AM360" s="44">
        <v>-0.85671</v>
      </c>
      <c r="AN360" s="44">
        <v>-0.97535</v>
      </c>
      <c r="AO360" s="44">
        <v>-1.55653</v>
      </c>
      <c r="AP360" s="44">
        <v>-1.16544</v>
      </c>
      <c r="AQ360" s="44">
        <v>-0.49406</v>
      </c>
      <c r="AR360" s="44">
        <v>-0.08247</v>
      </c>
      <c r="AS360" s="44">
        <v>0.882172</v>
      </c>
    </row>
    <row r="361">
      <c r="A361" s="44">
        <v>360.0</v>
      </c>
      <c r="B361" s="44">
        <v>140.0</v>
      </c>
      <c r="C361" s="44">
        <v>1.0</v>
      </c>
      <c r="D361" s="44">
        <v>0.0</v>
      </c>
      <c r="E361" s="44">
        <v>-0.81587</v>
      </c>
      <c r="F361" s="44">
        <v>0.001527</v>
      </c>
      <c r="G361" s="44">
        <v>0.973906</v>
      </c>
      <c r="H361" s="389"/>
      <c r="I361" s="46" t="s">
        <v>2217</v>
      </c>
      <c r="J361" s="46" t="s">
        <v>324</v>
      </c>
      <c r="K361" s="46" t="s">
        <v>1568</v>
      </c>
      <c r="L361" s="46" t="s">
        <v>2218</v>
      </c>
      <c r="M361" s="389"/>
      <c r="N361" s="46" t="s">
        <v>1570</v>
      </c>
      <c r="O361" s="46" t="s">
        <v>1848</v>
      </c>
      <c r="P361" s="389"/>
      <c r="Q361" s="45"/>
      <c r="R361" s="46">
        <v>3.0</v>
      </c>
      <c r="S361" s="45"/>
      <c r="T361" s="46" t="s">
        <v>2183</v>
      </c>
      <c r="U361" s="44">
        <v>28.0</v>
      </c>
      <c r="V361" s="44">
        <v>16.0</v>
      </c>
      <c r="W361" s="389"/>
      <c r="X361" s="44">
        <v>12.0</v>
      </c>
      <c r="Y361" s="44">
        <v>5.192857</v>
      </c>
      <c r="Z361" s="44">
        <v>0.689643</v>
      </c>
      <c r="AA361" s="44">
        <v>1.2375</v>
      </c>
      <c r="AB361" s="44">
        <v>2.425357</v>
      </c>
      <c r="AC361" s="44">
        <v>0.468214</v>
      </c>
      <c r="AD361" s="44">
        <v>0.153214</v>
      </c>
      <c r="AE361" s="44">
        <v>0.461422</v>
      </c>
      <c r="AF361" s="44">
        <v>4.258571</v>
      </c>
      <c r="AG361" s="44">
        <v>0.823077</v>
      </c>
      <c r="AH361" s="44">
        <v>0.696429</v>
      </c>
      <c r="AI361" s="44">
        <v>0.940357</v>
      </c>
      <c r="AJ361" s="44">
        <v>20.04223</v>
      </c>
      <c r="AK361" s="44">
        <v>-2.08817</v>
      </c>
      <c r="AL361" s="44">
        <v>-1.02298</v>
      </c>
      <c r="AM361" s="44">
        <v>-1.99834</v>
      </c>
      <c r="AN361" s="44">
        <v>-0.63393</v>
      </c>
      <c r="AO361" s="44">
        <v>-1.61225</v>
      </c>
      <c r="AP361" s="44">
        <v>-1.07364</v>
      </c>
      <c r="AQ361" s="44">
        <v>-0.16798</v>
      </c>
      <c r="AR361" s="44">
        <v>0.050486</v>
      </c>
      <c r="AS361" s="44">
        <v>1.203973</v>
      </c>
    </row>
    <row r="362">
      <c r="A362" s="44">
        <v>361.0</v>
      </c>
      <c r="B362" s="389"/>
      <c r="C362" s="45"/>
      <c r="D362" s="45"/>
      <c r="E362" s="44">
        <v>-0.81625</v>
      </c>
      <c r="F362" s="44">
        <v>0.053441</v>
      </c>
      <c r="G362" s="44">
        <v>1.568629</v>
      </c>
      <c r="H362" s="389"/>
      <c r="I362" s="46" t="s">
        <v>2219</v>
      </c>
      <c r="J362" s="46" t="s">
        <v>442</v>
      </c>
      <c r="K362" s="46" t="s">
        <v>1568</v>
      </c>
      <c r="L362" s="46" t="s">
        <v>2220</v>
      </c>
      <c r="M362" s="389"/>
      <c r="N362" s="46" t="s">
        <v>1562</v>
      </c>
      <c r="O362" s="45"/>
      <c r="P362" s="389"/>
      <c r="Q362" s="389"/>
      <c r="R362" s="46">
        <v>2.0</v>
      </c>
      <c r="S362" s="45"/>
      <c r="T362" s="46" t="s">
        <v>1630</v>
      </c>
      <c r="U362" s="44">
        <v>71.0</v>
      </c>
      <c r="V362" s="44">
        <v>14.0</v>
      </c>
      <c r="W362" s="389"/>
      <c r="X362" s="44">
        <v>16.0</v>
      </c>
      <c r="Y362" s="44">
        <v>6.128592</v>
      </c>
      <c r="Z362" s="44">
        <v>0.826338</v>
      </c>
      <c r="AA362" s="44">
        <v>1.731268</v>
      </c>
      <c r="AB362" s="44">
        <v>1.045352</v>
      </c>
      <c r="AC362" s="44">
        <v>0.457324</v>
      </c>
      <c r="AD362" s="44">
        <v>0.16338</v>
      </c>
      <c r="AE362" s="44">
        <v>0.457636</v>
      </c>
      <c r="AF362" s="44">
        <v>4.802394</v>
      </c>
      <c r="AG362" s="44">
        <v>0.820964</v>
      </c>
      <c r="AH362" s="44">
        <v>1.104507</v>
      </c>
      <c r="AI362" s="44">
        <v>0.783944</v>
      </c>
      <c r="AJ362" s="44">
        <v>16.75134</v>
      </c>
      <c r="AK362" s="44">
        <v>-1.92328</v>
      </c>
      <c r="AL362" s="44">
        <v>-0.89224</v>
      </c>
      <c r="AM362" s="44">
        <v>-1.79572</v>
      </c>
      <c r="AN362" s="44">
        <v>-1.29972</v>
      </c>
      <c r="AO362" s="44">
        <v>-1.6446</v>
      </c>
      <c r="AP362" s="44">
        <v>-1.0553</v>
      </c>
      <c r="AQ362" s="44">
        <v>-0.2172</v>
      </c>
      <c r="AR362" s="44">
        <v>0.080227</v>
      </c>
      <c r="AS362" s="44">
        <v>1.401548</v>
      </c>
    </row>
    <row r="363">
      <c r="A363" s="44">
        <v>362.0</v>
      </c>
      <c r="B363" s="389"/>
      <c r="C363" s="44">
        <v>1.0</v>
      </c>
      <c r="D363" s="44">
        <v>0.0</v>
      </c>
      <c r="E363" s="44">
        <v>-0.82559</v>
      </c>
      <c r="F363" s="44">
        <v>9.5E-4</v>
      </c>
      <c r="G363" s="44">
        <v>0.80664</v>
      </c>
      <c r="H363" s="389"/>
      <c r="I363" s="46" t="s">
        <v>2221</v>
      </c>
      <c r="J363" s="46" t="s">
        <v>273</v>
      </c>
      <c r="K363" s="46" t="s">
        <v>85</v>
      </c>
      <c r="L363" s="46" t="s">
        <v>2222</v>
      </c>
      <c r="M363" s="46" t="s">
        <v>2223</v>
      </c>
      <c r="N363" s="46" t="s">
        <v>1562</v>
      </c>
      <c r="O363" s="45"/>
      <c r="P363" s="389"/>
      <c r="Q363" s="45"/>
      <c r="R363" s="46">
        <v>2.0</v>
      </c>
      <c r="S363" s="45"/>
      <c r="T363" s="46" t="s">
        <v>1630</v>
      </c>
      <c r="U363" s="44">
        <v>48.0</v>
      </c>
      <c r="V363" s="44">
        <v>13.0</v>
      </c>
      <c r="W363" s="389"/>
      <c r="X363" s="44">
        <v>16.0</v>
      </c>
      <c r="Y363" s="44">
        <v>6.045625</v>
      </c>
      <c r="Z363" s="44">
        <v>0.70625</v>
      </c>
      <c r="AA363" s="44">
        <v>1.802083</v>
      </c>
      <c r="AB363" s="44">
        <v>3.093958</v>
      </c>
      <c r="AC363" s="44">
        <v>0.476042</v>
      </c>
      <c r="AD363" s="44">
        <v>0.102083</v>
      </c>
      <c r="AE363" s="44">
        <v>0.424891</v>
      </c>
      <c r="AF363" s="44">
        <v>5.304792</v>
      </c>
      <c r="AG363" s="44">
        <v>0.825098</v>
      </c>
      <c r="AH363" s="44">
        <v>1.007708</v>
      </c>
      <c r="AI363" s="44">
        <v>1.292083</v>
      </c>
      <c r="AJ363" s="44">
        <v>18.8339</v>
      </c>
      <c r="AK363" s="44">
        <v>-1.9379</v>
      </c>
      <c r="AL363" s="44">
        <v>-1.0071</v>
      </c>
      <c r="AM363" s="44">
        <v>-1.76666</v>
      </c>
      <c r="AN363" s="44">
        <v>-0.31137</v>
      </c>
      <c r="AO363" s="44">
        <v>-1.58901</v>
      </c>
      <c r="AP363" s="44">
        <v>-1.16587</v>
      </c>
      <c r="AQ363" s="44">
        <v>-0.49729</v>
      </c>
      <c r="AR363" s="44">
        <v>0.085149</v>
      </c>
      <c r="AS363" s="44">
        <v>0.759688</v>
      </c>
    </row>
    <row r="364">
      <c r="A364" s="44">
        <v>363.0</v>
      </c>
      <c r="B364" s="389"/>
      <c r="C364" s="389"/>
      <c r="D364" s="389"/>
      <c r="E364" s="44">
        <v>-0.83244</v>
      </c>
      <c r="F364" s="44">
        <v>0.003748</v>
      </c>
      <c r="G364" s="44">
        <v>0.76947</v>
      </c>
      <c r="H364" s="389"/>
      <c r="I364" s="46" t="s">
        <v>2224</v>
      </c>
      <c r="J364" s="46" t="s">
        <v>283</v>
      </c>
      <c r="K364" s="46" t="s">
        <v>97</v>
      </c>
      <c r="L364" s="46" t="s">
        <v>2225</v>
      </c>
      <c r="M364" s="389"/>
      <c r="N364" s="46" t="s">
        <v>1570</v>
      </c>
      <c r="O364" s="46" t="s">
        <v>2139</v>
      </c>
      <c r="P364" s="389"/>
      <c r="Q364" s="45"/>
      <c r="R364" s="46">
        <v>3.0</v>
      </c>
      <c r="S364" s="45"/>
      <c r="T364" s="46" t="s">
        <v>2183</v>
      </c>
      <c r="U364" s="44">
        <v>16.0</v>
      </c>
      <c r="V364" s="44">
        <v>14.0</v>
      </c>
      <c r="W364" s="389"/>
      <c r="X364" s="44">
        <v>10.0</v>
      </c>
      <c r="Y364" s="44">
        <v>2.895625</v>
      </c>
      <c r="Z364" s="44">
        <v>0.015625</v>
      </c>
      <c r="AA364" s="44">
        <v>2.654375</v>
      </c>
      <c r="AB364" s="44">
        <v>0.3975</v>
      </c>
      <c r="AC364" s="44">
        <v>0.2425</v>
      </c>
      <c r="AD364" s="44">
        <v>0.63625</v>
      </c>
      <c r="AE364" s="44">
        <v>0.620067</v>
      </c>
      <c r="AF364" s="44">
        <v>2.043125</v>
      </c>
      <c r="AG364" s="44">
        <v>0.652532</v>
      </c>
      <c r="AH364" s="44">
        <v>0.530625</v>
      </c>
      <c r="AI364" s="44">
        <v>0.286875</v>
      </c>
      <c r="AJ364" s="44">
        <v>11.37964</v>
      </c>
      <c r="AK364" s="44">
        <v>-2.493</v>
      </c>
      <c r="AL364" s="44">
        <v>-1.66765</v>
      </c>
      <c r="AM364" s="44">
        <v>-1.41691</v>
      </c>
      <c r="AN364" s="44">
        <v>-1.61227</v>
      </c>
      <c r="AO364" s="44">
        <v>-2.28264</v>
      </c>
      <c r="AP364" s="44">
        <v>-0.20231</v>
      </c>
      <c r="AQ364" s="44">
        <v>0.40195</v>
      </c>
      <c r="AR364" s="44">
        <v>-0.24852</v>
      </c>
      <c r="AS364" s="44">
        <v>2.029423</v>
      </c>
    </row>
    <row r="365">
      <c r="A365" s="44">
        <v>364.0</v>
      </c>
      <c r="B365" s="389"/>
      <c r="C365" s="45"/>
      <c r="D365" s="45"/>
      <c r="E365" s="44">
        <v>-0.83365</v>
      </c>
      <c r="F365" s="44">
        <v>0.001098</v>
      </c>
      <c r="G365" s="44">
        <v>0.323427</v>
      </c>
      <c r="H365" s="389"/>
      <c r="I365" s="46" t="s">
        <v>2226</v>
      </c>
      <c r="J365" s="46" t="s">
        <v>365</v>
      </c>
      <c r="K365" s="46" t="s">
        <v>85</v>
      </c>
      <c r="L365" s="46" t="s">
        <v>2227</v>
      </c>
      <c r="M365" s="389"/>
      <c r="N365" s="46" t="s">
        <v>1570</v>
      </c>
      <c r="O365" s="389"/>
      <c r="P365" s="389"/>
      <c r="Q365" s="45"/>
      <c r="R365" s="389"/>
      <c r="S365" s="45"/>
      <c r="T365" s="46" t="s">
        <v>1905</v>
      </c>
      <c r="U365" s="44">
        <v>43.0</v>
      </c>
      <c r="V365" s="44">
        <v>13.0</v>
      </c>
      <c r="W365" s="389"/>
      <c r="X365" s="44">
        <v>12.0</v>
      </c>
      <c r="Y365" s="44">
        <v>5.835581</v>
      </c>
      <c r="Z365" s="44">
        <v>1.104884</v>
      </c>
      <c r="AA365" s="44">
        <v>1.410698</v>
      </c>
      <c r="AB365" s="44">
        <v>1.955349</v>
      </c>
      <c r="AC365" s="44">
        <v>0.494884</v>
      </c>
      <c r="AD365" s="44">
        <v>0.148605</v>
      </c>
      <c r="AE365" s="44">
        <v>0.394513</v>
      </c>
      <c r="AF365" s="44">
        <v>4.950465</v>
      </c>
      <c r="AG365" s="44">
        <v>0.832981</v>
      </c>
      <c r="AH365" s="44">
        <v>0.99</v>
      </c>
      <c r="AI365" s="44">
        <v>1.039535</v>
      </c>
      <c r="AJ365" s="44">
        <v>23.2403</v>
      </c>
      <c r="AK365" s="44">
        <v>-1.97491</v>
      </c>
      <c r="AL365" s="44">
        <v>-0.62583</v>
      </c>
      <c r="AM365" s="44">
        <v>-1.92726</v>
      </c>
      <c r="AN365" s="44">
        <v>-0.86069</v>
      </c>
      <c r="AO365" s="44">
        <v>-1.53304</v>
      </c>
      <c r="AP365" s="44">
        <v>-1.08196</v>
      </c>
      <c r="AQ365" s="44">
        <v>-0.68577</v>
      </c>
      <c r="AR365" s="44">
        <v>0.107915</v>
      </c>
      <c r="AS365" s="44">
        <v>1.078696</v>
      </c>
    </row>
    <row r="366">
      <c r="A366" s="44">
        <v>365.0</v>
      </c>
      <c r="B366" s="389"/>
      <c r="C366" s="45"/>
      <c r="D366" s="45"/>
      <c r="E366" s="44">
        <v>-0.8345</v>
      </c>
      <c r="F366" s="44">
        <v>0.002872</v>
      </c>
      <c r="G366" s="44">
        <v>0.230502</v>
      </c>
      <c r="H366" s="389"/>
      <c r="I366" s="46" t="s">
        <v>2228</v>
      </c>
      <c r="J366" s="46" t="s">
        <v>291</v>
      </c>
      <c r="K366" s="46" t="s">
        <v>97</v>
      </c>
      <c r="L366" s="46" t="s">
        <v>2229</v>
      </c>
      <c r="M366" s="389"/>
      <c r="N366" s="46" t="s">
        <v>1570</v>
      </c>
      <c r="O366" s="46" t="s">
        <v>1600</v>
      </c>
      <c r="P366" s="389"/>
      <c r="Q366" s="389"/>
      <c r="R366" s="46">
        <v>4.0</v>
      </c>
      <c r="S366" s="45"/>
      <c r="T366" s="46" t="s">
        <v>1630</v>
      </c>
      <c r="U366" s="44">
        <v>56.0</v>
      </c>
      <c r="V366" s="44">
        <v>14.0</v>
      </c>
      <c r="W366" s="389"/>
      <c r="X366" s="44">
        <v>13.0</v>
      </c>
      <c r="Y366" s="44">
        <v>2.449107</v>
      </c>
      <c r="Z366" s="44">
        <v>0.0</v>
      </c>
      <c r="AA366" s="44">
        <v>4.376607</v>
      </c>
      <c r="AB366" s="44">
        <v>0.605714</v>
      </c>
      <c r="AC366" s="44">
        <v>0.219286</v>
      </c>
      <c r="AD366" s="44">
        <v>0.437143</v>
      </c>
      <c r="AE366" s="44">
        <v>0.66715</v>
      </c>
      <c r="AF366" s="44">
        <v>1.723214</v>
      </c>
      <c r="AG366" s="44">
        <v>0.621021</v>
      </c>
      <c r="AH366" s="44">
        <v>0.24125</v>
      </c>
      <c r="AI366" s="44">
        <v>0.656429</v>
      </c>
      <c r="AJ366" s="44">
        <v>8.387503</v>
      </c>
      <c r="AK366" s="44">
        <v>-2.57168</v>
      </c>
      <c r="AL366" s="44">
        <v>-1.68259</v>
      </c>
      <c r="AM366" s="44">
        <v>-0.71018</v>
      </c>
      <c r="AN366" s="44">
        <v>-1.51182</v>
      </c>
      <c r="AO366" s="44">
        <v>-2.35159</v>
      </c>
      <c r="AP366" s="44">
        <v>-0.56147</v>
      </c>
      <c r="AQ366" s="44">
        <v>0.459986</v>
      </c>
      <c r="AR366" s="44">
        <v>-0.1438</v>
      </c>
      <c r="AS366" s="44">
        <v>1.562619</v>
      </c>
    </row>
    <row r="367">
      <c r="A367" s="44">
        <v>366.0</v>
      </c>
      <c r="B367" s="389"/>
      <c r="C367" s="45"/>
      <c r="D367" s="45"/>
      <c r="E367" s="44">
        <v>-0.83584</v>
      </c>
      <c r="F367" s="44">
        <v>0.002358</v>
      </c>
      <c r="G367" s="44">
        <v>1.568629</v>
      </c>
      <c r="H367" s="389"/>
      <c r="I367" s="46" t="s">
        <v>2230</v>
      </c>
      <c r="J367" s="46" t="s">
        <v>299</v>
      </c>
      <c r="K367" s="46" t="s">
        <v>1572</v>
      </c>
      <c r="L367" s="46" t="s">
        <v>2231</v>
      </c>
      <c r="M367" s="389"/>
      <c r="N367" s="46" t="s">
        <v>1562</v>
      </c>
      <c r="O367" s="389"/>
      <c r="P367" s="389"/>
      <c r="Q367" s="45"/>
      <c r="R367" s="46">
        <v>2.0</v>
      </c>
      <c r="S367" s="45"/>
      <c r="T367" s="46" t="s">
        <v>1905</v>
      </c>
      <c r="U367" s="44">
        <v>46.0</v>
      </c>
      <c r="V367" s="44">
        <v>13.0</v>
      </c>
      <c r="W367" s="389"/>
      <c r="X367" s="44">
        <v>14.0</v>
      </c>
      <c r="Y367" s="44">
        <v>5.058478</v>
      </c>
      <c r="Z367" s="44">
        <v>0.445652</v>
      </c>
      <c r="AA367" s="44">
        <v>3.003043</v>
      </c>
      <c r="AB367" s="44">
        <v>0.485435</v>
      </c>
      <c r="AC367" s="44">
        <v>0.424565</v>
      </c>
      <c r="AD367" s="44">
        <v>0.455</v>
      </c>
      <c r="AE367" s="44">
        <v>0.417769</v>
      </c>
      <c r="AF367" s="44">
        <v>4.551087</v>
      </c>
      <c r="AG367" s="44">
        <v>0.741987</v>
      </c>
      <c r="AH367" s="44">
        <v>1.091957</v>
      </c>
      <c r="AI367" s="44">
        <v>0.606739</v>
      </c>
      <c r="AJ367" s="44">
        <v>16.68726</v>
      </c>
      <c r="AK367" s="44">
        <v>-2.11186</v>
      </c>
      <c r="AL367" s="44">
        <v>-1.25635</v>
      </c>
      <c r="AM367" s="44">
        <v>-1.27383</v>
      </c>
      <c r="AN367" s="44">
        <v>-1.56985</v>
      </c>
      <c r="AO367" s="44">
        <v>-1.74189</v>
      </c>
      <c r="AP367" s="44">
        <v>-0.52926</v>
      </c>
      <c r="AQ367" s="44">
        <v>-0.47351</v>
      </c>
      <c r="AR367" s="44">
        <v>-0.19143</v>
      </c>
      <c r="AS367" s="44">
        <v>1.625385</v>
      </c>
    </row>
    <row r="368">
      <c r="A368" s="44">
        <v>367.0</v>
      </c>
      <c r="B368" s="389"/>
      <c r="C368" s="45"/>
      <c r="D368" s="45"/>
      <c r="E368" s="44">
        <v>-0.83595</v>
      </c>
      <c r="F368" s="44">
        <v>0.002102</v>
      </c>
      <c r="G368" s="44">
        <v>1.150464</v>
      </c>
      <c r="H368" s="389"/>
      <c r="I368" s="46" t="s">
        <v>2232</v>
      </c>
      <c r="J368" s="46" t="s">
        <v>465</v>
      </c>
      <c r="K368" s="46" t="s">
        <v>88</v>
      </c>
      <c r="L368" s="46" t="s">
        <v>2233</v>
      </c>
      <c r="M368" s="389"/>
      <c r="N368" s="46" t="s">
        <v>1562</v>
      </c>
      <c r="O368" s="46" t="s">
        <v>1848</v>
      </c>
      <c r="P368" s="389"/>
      <c r="Q368" s="389"/>
      <c r="R368" s="46">
        <v>3.0</v>
      </c>
      <c r="S368" s="45"/>
      <c r="T368" s="46" t="s">
        <v>1630</v>
      </c>
      <c r="U368" s="44">
        <v>71.0</v>
      </c>
      <c r="V368" s="44">
        <v>15.0</v>
      </c>
      <c r="W368" s="389"/>
      <c r="X368" s="44">
        <v>17.0</v>
      </c>
      <c r="Y368" s="44">
        <v>6.385915</v>
      </c>
      <c r="Z368" s="44">
        <v>0.540704</v>
      </c>
      <c r="AA368" s="44">
        <v>1.770141</v>
      </c>
      <c r="AB368" s="44">
        <v>2.384225</v>
      </c>
      <c r="AC368" s="44">
        <v>0.726479</v>
      </c>
      <c r="AD368" s="44">
        <v>0.18</v>
      </c>
      <c r="AE368" s="44">
        <v>0.444962</v>
      </c>
      <c r="AF368" s="44">
        <v>5.202535</v>
      </c>
      <c r="AG368" s="44">
        <v>0.648992</v>
      </c>
      <c r="AH368" s="44">
        <v>1.872676</v>
      </c>
      <c r="AI368" s="44">
        <v>1.083803</v>
      </c>
      <c r="AJ368" s="44">
        <v>17.32609</v>
      </c>
      <c r="AK368" s="44">
        <v>-1.87793</v>
      </c>
      <c r="AL368" s="44">
        <v>-1.16544</v>
      </c>
      <c r="AM368" s="44">
        <v>-1.77976</v>
      </c>
      <c r="AN368" s="44">
        <v>-0.65378</v>
      </c>
      <c r="AO368" s="44">
        <v>-0.84519</v>
      </c>
      <c r="AP368" s="44">
        <v>-1.02532</v>
      </c>
      <c r="AQ368" s="44">
        <v>-0.3333</v>
      </c>
      <c r="AR368" s="44">
        <v>-0.86559</v>
      </c>
      <c r="AS368" s="44">
        <v>1.022779</v>
      </c>
    </row>
    <row r="369">
      <c r="A369" s="44">
        <v>368.0</v>
      </c>
      <c r="B369" s="389"/>
      <c r="C369" s="45"/>
      <c r="D369" s="45"/>
      <c r="E369" s="44">
        <v>-0.83906</v>
      </c>
      <c r="F369" s="44">
        <v>8.96E-4</v>
      </c>
      <c r="G369" s="44">
        <v>1.261975</v>
      </c>
      <c r="H369" s="389"/>
      <c r="I369" s="46" t="s">
        <v>2234</v>
      </c>
      <c r="J369" s="46" t="s">
        <v>342</v>
      </c>
      <c r="K369" s="46" t="s">
        <v>85</v>
      </c>
      <c r="L369" s="46" t="s">
        <v>2235</v>
      </c>
      <c r="M369" s="389"/>
      <c r="N369" s="46" t="s">
        <v>1570</v>
      </c>
      <c r="O369" s="46" t="s">
        <v>1853</v>
      </c>
      <c r="P369" s="389"/>
      <c r="Q369" s="45"/>
      <c r="R369" s="46">
        <v>4.0</v>
      </c>
      <c r="S369" s="45"/>
      <c r="T369" s="46" t="s">
        <v>1905</v>
      </c>
      <c r="U369" s="44">
        <v>43.0</v>
      </c>
      <c r="V369" s="44">
        <v>16.0</v>
      </c>
      <c r="W369" s="389"/>
      <c r="X369" s="44">
        <v>16.0</v>
      </c>
      <c r="Y369" s="44">
        <v>6.167907</v>
      </c>
      <c r="Z369" s="44">
        <v>0.844186</v>
      </c>
      <c r="AA369" s="44">
        <v>1.533256</v>
      </c>
      <c r="AB369" s="44">
        <v>2.118605</v>
      </c>
      <c r="AC369" s="44">
        <v>0.455116</v>
      </c>
      <c r="AD369" s="44">
        <v>0.141395</v>
      </c>
      <c r="AE369" s="44">
        <v>0.406408</v>
      </c>
      <c r="AF369" s="44">
        <v>5.066512</v>
      </c>
      <c r="AG369" s="44">
        <v>0.773039</v>
      </c>
      <c r="AH369" s="44">
        <v>1.559535</v>
      </c>
      <c r="AI369" s="44">
        <v>0.805814</v>
      </c>
      <c r="AJ369" s="44">
        <v>17.59985</v>
      </c>
      <c r="AK369" s="44">
        <v>-1.91635</v>
      </c>
      <c r="AL369" s="44">
        <v>-0.87517</v>
      </c>
      <c r="AM369" s="44">
        <v>-1.87697</v>
      </c>
      <c r="AN369" s="44">
        <v>-0.78193</v>
      </c>
      <c r="AO369" s="44">
        <v>-1.65115</v>
      </c>
      <c r="AP369" s="44">
        <v>-1.09496</v>
      </c>
      <c r="AQ369" s="44">
        <v>-0.61298</v>
      </c>
      <c r="AR369" s="44">
        <v>-0.11598</v>
      </c>
      <c r="AS369" s="44">
        <v>1.373922</v>
      </c>
    </row>
    <row r="370">
      <c r="A370" s="44">
        <v>369.0</v>
      </c>
      <c r="B370" s="389"/>
      <c r="C370" s="45"/>
      <c r="D370" s="45"/>
      <c r="E370" s="44">
        <v>-0.84187</v>
      </c>
      <c r="F370" s="44">
        <v>-0.09918</v>
      </c>
      <c r="G370" s="44">
        <v>0.908858</v>
      </c>
      <c r="H370" s="389"/>
      <c r="I370" s="46" t="s">
        <v>2236</v>
      </c>
      <c r="J370" s="46" t="s">
        <v>365</v>
      </c>
      <c r="K370" s="46" t="s">
        <v>85</v>
      </c>
      <c r="L370" s="46" t="s">
        <v>2237</v>
      </c>
      <c r="M370" s="389"/>
      <c r="N370" s="46" t="s">
        <v>1562</v>
      </c>
      <c r="O370" s="389"/>
      <c r="P370" s="389"/>
      <c r="Q370" s="389"/>
      <c r="R370" s="46">
        <v>3.0</v>
      </c>
      <c r="S370" s="45"/>
      <c r="T370" s="46" t="s">
        <v>1630</v>
      </c>
      <c r="U370" s="44">
        <v>71.0</v>
      </c>
      <c r="V370" s="44">
        <v>13.0</v>
      </c>
      <c r="W370" s="389"/>
      <c r="X370" s="44">
        <v>15.0</v>
      </c>
      <c r="Y370" s="44">
        <v>6.555493</v>
      </c>
      <c r="Z370" s="44">
        <v>0.722958</v>
      </c>
      <c r="AA370" s="44">
        <v>1.550563</v>
      </c>
      <c r="AB370" s="44">
        <v>2.598732</v>
      </c>
      <c r="AC370" s="44">
        <v>0.592113</v>
      </c>
      <c r="AD370" s="44">
        <v>0.049577</v>
      </c>
      <c r="AE370" s="44">
        <v>0.447521</v>
      </c>
      <c r="AF370" s="44">
        <v>5.940704</v>
      </c>
      <c r="AG370" s="44">
        <v>0.72298</v>
      </c>
      <c r="AH370" s="44">
        <v>0.712817</v>
      </c>
      <c r="AI370" s="44">
        <v>1.324789</v>
      </c>
      <c r="AJ370" s="44">
        <v>21.92995</v>
      </c>
      <c r="AK370" s="44">
        <v>-1.84805</v>
      </c>
      <c r="AL370" s="44">
        <v>-0.99112</v>
      </c>
      <c r="AM370" s="44">
        <v>-1.86987</v>
      </c>
      <c r="AN370" s="44">
        <v>-0.55029</v>
      </c>
      <c r="AO370" s="44">
        <v>-1.24427</v>
      </c>
      <c r="AP370" s="44">
        <v>-1.26059</v>
      </c>
      <c r="AQ370" s="44">
        <v>-0.35913</v>
      </c>
      <c r="AR370" s="44">
        <v>-0.1719</v>
      </c>
      <c r="AS370" s="44">
        <v>0.718376</v>
      </c>
    </row>
    <row r="371">
      <c r="A371" s="44">
        <v>370.0</v>
      </c>
      <c r="B371" s="389"/>
      <c r="C371" s="45"/>
      <c r="D371" s="45"/>
      <c r="E371" s="44">
        <v>-0.85938</v>
      </c>
      <c r="F371" s="44">
        <v>0.360885</v>
      </c>
      <c r="G371" s="44">
        <v>1.364193</v>
      </c>
      <c r="H371" s="389"/>
      <c r="I371" s="46" t="s">
        <v>2238</v>
      </c>
      <c r="J371" s="46" t="s">
        <v>495</v>
      </c>
      <c r="K371" s="46" t="s">
        <v>88</v>
      </c>
      <c r="L371" s="46" t="s">
        <v>2239</v>
      </c>
      <c r="M371" s="389"/>
      <c r="N371" s="46" t="s">
        <v>1562</v>
      </c>
      <c r="O371" s="46" t="s">
        <v>1595</v>
      </c>
      <c r="P371" s="389"/>
      <c r="Q371" s="389"/>
      <c r="R371" s="46">
        <v>4.0</v>
      </c>
      <c r="S371" s="45"/>
      <c r="T371" s="46" t="s">
        <v>1630</v>
      </c>
      <c r="U371" s="44">
        <v>71.0</v>
      </c>
      <c r="V371" s="44">
        <v>14.0</v>
      </c>
      <c r="W371" s="389"/>
      <c r="X371" s="44">
        <v>14.0</v>
      </c>
      <c r="Y371" s="44">
        <v>5.865352</v>
      </c>
      <c r="Z371" s="44">
        <v>1.058169</v>
      </c>
      <c r="AA371" s="44">
        <v>2.31</v>
      </c>
      <c r="AB371" s="44">
        <v>1.270563</v>
      </c>
      <c r="AC371" s="44">
        <v>0.33</v>
      </c>
      <c r="AD371" s="44">
        <v>0.089155</v>
      </c>
      <c r="AE371" s="44">
        <v>0.425301</v>
      </c>
      <c r="AF371" s="44">
        <v>5.081408</v>
      </c>
      <c r="AG371" s="44">
        <v>0.798099</v>
      </c>
      <c r="AH371" s="44">
        <v>0.607606</v>
      </c>
      <c r="AI371" s="44">
        <v>0.828592</v>
      </c>
      <c r="AJ371" s="44">
        <v>18.96715</v>
      </c>
      <c r="AK371" s="44">
        <v>-1.96967</v>
      </c>
      <c r="AL371" s="44">
        <v>-0.67051</v>
      </c>
      <c r="AM371" s="44">
        <v>-1.55823</v>
      </c>
      <c r="AN371" s="44">
        <v>-1.19106</v>
      </c>
      <c r="AO371" s="44">
        <v>-2.02276</v>
      </c>
      <c r="AP371" s="44">
        <v>-1.18919</v>
      </c>
      <c r="AQ371" s="44">
        <v>-0.47297</v>
      </c>
      <c r="AR371" s="44">
        <v>-0.0052</v>
      </c>
      <c r="AS371" s="44">
        <v>1.34515</v>
      </c>
    </row>
    <row r="372">
      <c r="A372" s="44">
        <v>371.0</v>
      </c>
      <c r="B372" s="389"/>
      <c r="C372" s="45"/>
      <c r="D372" s="45"/>
      <c r="E372" s="44">
        <v>-0.8596</v>
      </c>
      <c r="F372" s="44">
        <v>-1.8E-4</v>
      </c>
      <c r="G372" s="44">
        <v>0.834518</v>
      </c>
      <c r="H372" s="389"/>
      <c r="I372" s="46" t="s">
        <v>2240</v>
      </c>
      <c r="J372" s="46" t="s">
        <v>354</v>
      </c>
      <c r="K372" s="46" t="s">
        <v>88</v>
      </c>
      <c r="L372" s="46" t="s">
        <v>2241</v>
      </c>
      <c r="M372" s="389"/>
      <c r="N372" s="46" t="s">
        <v>1562</v>
      </c>
      <c r="O372" s="45"/>
      <c r="P372" s="389"/>
      <c r="Q372" s="389"/>
      <c r="R372" s="46">
        <v>3.0</v>
      </c>
      <c r="S372" s="45"/>
      <c r="T372" s="46" t="s">
        <v>1630</v>
      </c>
      <c r="U372" s="44">
        <v>71.0</v>
      </c>
      <c r="V372" s="44">
        <v>15.0</v>
      </c>
      <c r="W372" s="389"/>
      <c r="X372" s="44">
        <v>20.0</v>
      </c>
      <c r="Y372" s="44">
        <v>6.30662</v>
      </c>
      <c r="Z372" s="44">
        <v>1.134648</v>
      </c>
      <c r="AA372" s="44">
        <v>2.145775</v>
      </c>
      <c r="AB372" s="44">
        <v>1.416197</v>
      </c>
      <c r="AC372" s="44">
        <v>0.42493</v>
      </c>
      <c r="AD372" s="44">
        <v>0.302254</v>
      </c>
      <c r="AE372" s="44">
        <v>0.367309</v>
      </c>
      <c r="AF372" s="44">
        <v>6.093803</v>
      </c>
      <c r="AG372" s="44">
        <v>0.724963</v>
      </c>
      <c r="AH372" s="44">
        <v>0.959155</v>
      </c>
      <c r="AI372" s="44">
        <v>0.819577</v>
      </c>
      <c r="AJ372" s="44">
        <v>15.24556</v>
      </c>
      <c r="AK372" s="44">
        <v>-1.89191</v>
      </c>
      <c r="AL372" s="44">
        <v>-0.59736</v>
      </c>
      <c r="AM372" s="44">
        <v>-1.62562</v>
      </c>
      <c r="AN372" s="44">
        <v>-1.1208</v>
      </c>
      <c r="AO372" s="44">
        <v>-1.74081</v>
      </c>
      <c r="AP372" s="44">
        <v>-0.80479</v>
      </c>
      <c r="AQ372" s="44">
        <v>-1.09069</v>
      </c>
      <c r="AR372" s="44">
        <v>-0.22093</v>
      </c>
      <c r="AS372" s="44">
        <v>1.356537</v>
      </c>
    </row>
    <row r="373">
      <c r="A373" s="44">
        <v>372.0</v>
      </c>
      <c r="B373" s="389"/>
      <c r="C373" s="45"/>
      <c r="D373" s="45"/>
      <c r="E373" s="44">
        <v>-0.86184</v>
      </c>
      <c r="F373" s="44">
        <v>0.007479</v>
      </c>
      <c r="G373" s="44">
        <v>1.568629</v>
      </c>
      <c r="H373" s="389"/>
      <c r="I373" s="46" t="s">
        <v>2242</v>
      </c>
      <c r="J373" s="46" t="s">
        <v>304</v>
      </c>
      <c r="K373" s="46" t="s">
        <v>1581</v>
      </c>
      <c r="L373" s="46" t="s">
        <v>2243</v>
      </c>
      <c r="M373" s="389"/>
      <c r="N373" s="46" t="s">
        <v>1562</v>
      </c>
      <c r="O373" s="46" t="s">
        <v>2244</v>
      </c>
      <c r="P373" s="389"/>
      <c r="Q373" s="389"/>
      <c r="R373" s="46">
        <v>1.0</v>
      </c>
      <c r="S373" s="45"/>
      <c r="T373" s="46" t="s">
        <v>1905</v>
      </c>
      <c r="U373" s="44">
        <v>46.0</v>
      </c>
      <c r="V373" s="44">
        <v>13.0</v>
      </c>
      <c r="W373" s="389"/>
      <c r="X373" s="44">
        <v>12.0</v>
      </c>
      <c r="Y373" s="44">
        <v>5.10587</v>
      </c>
      <c r="Z373" s="44">
        <v>0.039565</v>
      </c>
      <c r="AA373" s="44">
        <v>3.579348</v>
      </c>
      <c r="AB373" s="44">
        <v>1.055652</v>
      </c>
      <c r="AC373" s="44">
        <v>0.360435</v>
      </c>
      <c r="AD373" s="44">
        <v>0.643696</v>
      </c>
      <c r="AE373" s="44">
        <v>0.509156</v>
      </c>
      <c r="AF373" s="44">
        <v>3.965217</v>
      </c>
      <c r="AG373" s="44">
        <v>0.665027</v>
      </c>
      <c r="AH373" s="44">
        <v>1.546522</v>
      </c>
      <c r="AI373" s="44">
        <v>1.133043</v>
      </c>
      <c r="AJ373" s="44">
        <v>19.79082</v>
      </c>
      <c r="AK373" s="44">
        <v>-2.1035</v>
      </c>
      <c r="AL373" s="44">
        <v>-1.64475</v>
      </c>
      <c r="AM373" s="44">
        <v>-1.03734</v>
      </c>
      <c r="AN373" s="44">
        <v>-1.29475</v>
      </c>
      <c r="AO373" s="44">
        <v>-1.93237</v>
      </c>
      <c r="AP373" s="44">
        <v>-0.18888</v>
      </c>
      <c r="AQ373" s="44">
        <v>0.123701</v>
      </c>
      <c r="AR373" s="44">
        <v>-0.63925</v>
      </c>
      <c r="AS373" s="44">
        <v>0.96058</v>
      </c>
    </row>
    <row r="374">
      <c r="A374" s="44">
        <v>373.0</v>
      </c>
      <c r="B374" s="389"/>
      <c r="C374" s="389"/>
      <c r="D374" s="389"/>
      <c r="E374" s="44">
        <v>-0.86226</v>
      </c>
      <c r="F374" s="44">
        <v>-1.1E-4</v>
      </c>
      <c r="G374" s="44">
        <v>-2.50151</v>
      </c>
      <c r="H374" s="389"/>
      <c r="I374" s="46" t="s">
        <v>2245</v>
      </c>
      <c r="J374" s="46" t="s">
        <v>354</v>
      </c>
      <c r="K374" s="46" t="s">
        <v>92</v>
      </c>
      <c r="L374" s="46" t="s">
        <v>2246</v>
      </c>
      <c r="M374" s="389"/>
      <c r="N374" s="46" t="s">
        <v>1570</v>
      </c>
      <c r="O374" s="46" t="s">
        <v>1576</v>
      </c>
      <c r="P374" s="389"/>
      <c r="Q374" s="389"/>
      <c r="R374" s="46">
        <v>2.0</v>
      </c>
      <c r="S374" s="45"/>
      <c r="T374" s="46" t="s">
        <v>2183</v>
      </c>
      <c r="U374" s="44">
        <v>16.0</v>
      </c>
      <c r="V374" s="44">
        <v>15.0</v>
      </c>
      <c r="W374" s="389"/>
      <c r="X374" s="44">
        <v>9.0</v>
      </c>
      <c r="Y374" s="44">
        <v>4.6425</v>
      </c>
      <c r="Z374" s="44">
        <v>0.921875</v>
      </c>
      <c r="AA374" s="44">
        <v>3.360625</v>
      </c>
      <c r="AB374" s="44">
        <v>0.830625</v>
      </c>
      <c r="AC374" s="44">
        <v>0.24125</v>
      </c>
      <c r="AD374" s="44">
        <v>0.118125</v>
      </c>
      <c r="AE374" s="44">
        <v>0.383313</v>
      </c>
      <c r="AF374" s="44">
        <v>4.135</v>
      </c>
      <c r="AG374" s="44">
        <v>0.783808</v>
      </c>
      <c r="AH374" s="44">
        <v>0.7025</v>
      </c>
      <c r="AI374" s="44">
        <v>0.425</v>
      </c>
      <c r="AJ374" s="44">
        <v>22.48823</v>
      </c>
      <c r="AK374" s="44">
        <v>-2.18516</v>
      </c>
      <c r="AL374" s="44">
        <v>-0.80087</v>
      </c>
      <c r="AM374" s="44">
        <v>-1.1271</v>
      </c>
      <c r="AN374" s="44">
        <v>-1.40331</v>
      </c>
      <c r="AO374" s="44">
        <v>-2.28635</v>
      </c>
      <c r="AP374" s="44">
        <v>-1.13694</v>
      </c>
      <c r="AQ374" s="44">
        <v>-0.64005</v>
      </c>
      <c r="AR374" s="44">
        <v>-0.03552</v>
      </c>
      <c r="AS374" s="44">
        <v>1.85495</v>
      </c>
    </row>
    <row r="375">
      <c r="A375" s="44">
        <v>374.0</v>
      </c>
      <c r="B375" s="389"/>
      <c r="C375" s="45"/>
      <c r="D375" s="45"/>
      <c r="E375" s="44">
        <v>-0.86601</v>
      </c>
      <c r="F375" s="44">
        <v>0.003925</v>
      </c>
      <c r="G375" s="44">
        <v>0.84381</v>
      </c>
      <c r="H375" s="389"/>
      <c r="I375" s="46" t="s">
        <v>2247</v>
      </c>
      <c r="J375" s="46" t="s">
        <v>295</v>
      </c>
      <c r="K375" s="46" t="s">
        <v>97</v>
      </c>
      <c r="L375" s="46" t="s">
        <v>2248</v>
      </c>
      <c r="M375" s="389"/>
      <c r="N375" s="46" t="s">
        <v>1570</v>
      </c>
      <c r="O375" s="46" t="s">
        <v>1571</v>
      </c>
      <c r="P375" s="389"/>
      <c r="Q375" s="45"/>
      <c r="R375" s="46">
        <v>3.0</v>
      </c>
      <c r="S375" s="45"/>
      <c r="T375" s="46" t="s">
        <v>1905</v>
      </c>
      <c r="U375" s="44">
        <v>35.0</v>
      </c>
      <c r="V375" s="44">
        <v>13.0</v>
      </c>
      <c r="W375" s="389"/>
      <c r="X375" s="44">
        <v>13.0</v>
      </c>
      <c r="Y375" s="44">
        <v>5.464286</v>
      </c>
      <c r="Z375" s="44">
        <v>0.107143</v>
      </c>
      <c r="AA375" s="44">
        <v>3.938857</v>
      </c>
      <c r="AB375" s="44">
        <v>0.538571</v>
      </c>
      <c r="AC375" s="44">
        <v>0.131429</v>
      </c>
      <c r="AD375" s="44">
        <v>0.447714</v>
      </c>
      <c r="AE375" s="44">
        <v>0.563986</v>
      </c>
      <c r="AF375" s="44">
        <v>3.965143</v>
      </c>
      <c r="AG375" s="44">
        <v>0.696983</v>
      </c>
      <c r="AH375" s="44">
        <v>1.269143</v>
      </c>
      <c r="AI375" s="44">
        <v>0.808857</v>
      </c>
      <c r="AJ375" s="44">
        <v>17.64945</v>
      </c>
      <c r="AK375" s="44">
        <v>-2.04034</v>
      </c>
      <c r="AL375" s="44">
        <v>-1.58012</v>
      </c>
      <c r="AM375" s="44">
        <v>-0.88981</v>
      </c>
      <c r="AN375" s="44">
        <v>-1.54421</v>
      </c>
      <c r="AO375" s="44">
        <v>-2.61253</v>
      </c>
      <c r="AP375" s="44">
        <v>-0.5424</v>
      </c>
      <c r="AQ375" s="44">
        <v>0.444888</v>
      </c>
      <c r="AR375" s="44">
        <v>-0.39963</v>
      </c>
      <c r="AS375" s="44">
        <v>1.370078</v>
      </c>
    </row>
    <row r="376">
      <c r="A376" s="44">
        <v>375.0</v>
      </c>
      <c r="B376" s="389"/>
      <c r="C376" s="45"/>
      <c r="D376" s="45"/>
      <c r="E376" s="44">
        <v>-0.86866</v>
      </c>
      <c r="F376" s="44">
        <v>0.002187</v>
      </c>
      <c r="G376" s="44">
        <v>0.592911</v>
      </c>
      <c r="H376" s="389"/>
      <c r="I376" s="46" t="s">
        <v>2249</v>
      </c>
      <c r="J376" s="46" t="s">
        <v>1578</v>
      </c>
      <c r="K376" s="46" t="s">
        <v>92</v>
      </c>
      <c r="L376" s="46" t="s">
        <v>2250</v>
      </c>
      <c r="M376" s="389"/>
      <c r="N376" s="46" t="s">
        <v>1562</v>
      </c>
      <c r="O376" s="46" t="s">
        <v>1595</v>
      </c>
      <c r="P376" s="389"/>
      <c r="Q376" s="389"/>
      <c r="R376" s="46">
        <v>5.0</v>
      </c>
      <c r="S376" s="45"/>
      <c r="T376" s="46" t="s">
        <v>1630</v>
      </c>
      <c r="U376" s="44">
        <v>71.0</v>
      </c>
      <c r="V376" s="44">
        <v>15.0</v>
      </c>
      <c r="W376" s="389"/>
      <c r="X376" s="44">
        <v>12.0</v>
      </c>
      <c r="Y376" s="44">
        <v>3.655493</v>
      </c>
      <c r="Z376" s="44">
        <v>0.543803</v>
      </c>
      <c r="AA376" s="44">
        <v>2.747183</v>
      </c>
      <c r="AB376" s="44">
        <v>1.212817</v>
      </c>
      <c r="AC376" s="44">
        <v>0.368169</v>
      </c>
      <c r="AD376" s="44">
        <v>0.149155</v>
      </c>
      <c r="AE376" s="44">
        <v>0.4344</v>
      </c>
      <c r="AF376" s="44">
        <v>2.944648</v>
      </c>
      <c r="AG376" s="44">
        <v>0.762913</v>
      </c>
      <c r="AH376" s="44">
        <v>0.725352</v>
      </c>
      <c r="AI376" s="44">
        <v>0.621268</v>
      </c>
      <c r="AJ376" s="44">
        <v>14.11679</v>
      </c>
      <c r="AK376" s="44">
        <v>-2.35909</v>
      </c>
      <c r="AL376" s="44">
        <v>-1.16247</v>
      </c>
      <c r="AM376" s="44">
        <v>-1.37883</v>
      </c>
      <c r="AN376" s="44">
        <v>-1.21892</v>
      </c>
      <c r="AO376" s="44">
        <v>-1.90939</v>
      </c>
      <c r="AP376" s="44">
        <v>-1.08096</v>
      </c>
      <c r="AQ376" s="44">
        <v>-0.23152</v>
      </c>
      <c r="AR376" s="44">
        <v>-0.08382</v>
      </c>
      <c r="AS376" s="44">
        <v>1.607033</v>
      </c>
    </row>
    <row r="377">
      <c r="A377" s="44">
        <v>376.0</v>
      </c>
      <c r="B377" s="389"/>
      <c r="C377" s="45"/>
      <c r="D377" s="45"/>
      <c r="E377" s="44">
        <v>-0.87082</v>
      </c>
      <c r="F377" s="44">
        <v>0.003004</v>
      </c>
      <c r="G377" s="44">
        <v>0.323427</v>
      </c>
      <c r="H377" s="389"/>
      <c r="I377" s="46" t="s">
        <v>2251</v>
      </c>
      <c r="J377" s="46" t="s">
        <v>365</v>
      </c>
      <c r="K377" s="46" t="s">
        <v>90</v>
      </c>
      <c r="L377" s="46" t="s">
        <v>2252</v>
      </c>
      <c r="M377" s="46" t="s">
        <v>2253</v>
      </c>
      <c r="N377" s="46" t="s">
        <v>1562</v>
      </c>
      <c r="O377" s="389"/>
      <c r="P377" s="389"/>
      <c r="Q377" s="389"/>
      <c r="R377" s="46">
        <v>2.0</v>
      </c>
      <c r="S377" s="45"/>
      <c r="T377" s="46" t="s">
        <v>1905</v>
      </c>
      <c r="U377" s="44">
        <v>46.0</v>
      </c>
      <c r="V377" s="44">
        <v>13.0</v>
      </c>
      <c r="W377" s="389"/>
      <c r="X377" s="44">
        <v>8.0</v>
      </c>
      <c r="Y377" s="44">
        <v>4.802391</v>
      </c>
      <c r="Z377" s="44">
        <v>0.248478</v>
      </c>
      <c r="AA377" s="44">
        <v>2.64</v>
      </c>
      <c r="AB377" s="44">
        <v>0.313478</v>
      </c>
      <c r="AC377" s="44">
        <v>0.247609</v>
      </c>
      <c r="AD377" s="44">
        <v>0.247391</v>
      </c>
      <c r="AE377" s="44">
        <v>0.52279</v>
      </c>
      <c r="AF377" s="44">
        <v>3.166957</v>
      </c>
      <c r="AG377" s="44">
        <v>0.784518</v>
      </c>
      <c r="AH377" s="44">
        <v>1.583913</v>
      </c>
      <c r="AI377" s="44">
        <v>0.383043</v>
      </c>
      <c r="AJ377" s="44">
        <v>23.04059</v>
      </c>
      <c r="AK377" s="44">
        <v>-2.15698</v>
      </c>
      <c r="AL377" s="44">
        <v>-1.44494</v>
      </c>
      <c r="AM377" s="44">
        <v>-1.42281</v>
      </c>
      <c r="AN377" s="44">
        <v>-1.65281</v>
      </c>
      <c r="AO377" s="44">
        <v>-2.26747</v>
      </c>
      <c r="AP377" s="44">
        <v>-0.90376</v>
      </c>
      <c r="AQ377" s="44">
        <v>0.164014</v>
      </c>
      <c r="AR377" s="44">
        <v>-0.06054</v>
      </c>
      <c r="AS377" s="44">
        <v>1.907948</v>
      </c>
    </row>
    <row r="378">
      <c r="A378" s="44">
        <v>377.0</v>
      </c>
      <c r="B378" s="389"/>
      <c r="C378" s="45"/>
      <c r="D378" s="45"/>
      <c r="E378" s="44">
        <v>-0.87296</v>
      </c>
      <c r="F378" s="44">
        <v>0.003253</v>
      </c>
      <c r="G378" s="44">
        <v>0.323427</v>
      </c>
      <c r="H378" s="389"/>
      <c r="I378" s="46" t="s">
        <v>2254</v>
      </c>
      <c r="J378" s="46" t="s">
        <v>442</v>
      </c>
      <c r="K378" s="46" t="s">
        <v>97</v>
      </c>
      <c r="L378" s="46" t="s">
        <v>2255</v>
      </c>
      <c r="M378" s="389"/>
      <c r="N378" s="46" t="s">
        <v>1562</v>
      </c>
      <c r="O378" s="46" t="s">
        <v>2256</v>
      </c>
      <c r="P378" s="389"/>
      <c r="Q378" s="45"/>
      <c r="R378" s="46">
        <v>3.0</v>
      </c>
      <c r="S378" s="45"/>
      <c r="T378" s="46" t="s">
        <v>2183</v>
      </c>
      <c r="U378" s="44">
        <v>16.0</v>
      </c>
      <c r="V378" s="44">
        <v>14.0</v>
      </c>
      <c r="W378" s="389"/>
      <c r="X378" s="44">
        <v>12.0</v>
      </c>
      <c r="Y378" s="44">
        <v>3.99</v>
      </c>
      <c r="Z378" s="44">
        <v>0.255</v>
      </c>
      <c r="AA378" s="44">
        <v>3.331875</v>
      </c>
      <c r="AB378" s="44">
        <v>1.0325</v>
      </c>
      <c r="AC378" s="44">
        <v>0.26125</v>
      </c>
      <c r="AD378" s="44">
        <v>0.274375</v>
      </c>
      <c r="AE378" s="44">
        <v>0.485336</v>
      </c>
      <c r="AF378" s="44">
        <v>3.260625</v>
      </c>
      <c r="AG378" s="44">
        <v>0.760634</v>
      </c>
      <c r="AH378" s="44">
        <v>0.749375</v>
      </c>
      <c r="AI378" s="44">
        <v>0.69625</v>
      </c>
      <c r="AJ378" s="44">
        <v>15.76691</v>
      </c>
      <c r="AK378" s="44">
        <v>-2.30014</v>
      </c>
      <c r="AL378" s="44">
        <v>-1.4387</v>
      </c>
      <c r="AM378" s="44">
        <v>-1.13889</v>
      </c>
      <c r="AN378" s="44">
        <v>-1.30592</v>
      </c>
      <c r="AO378" s="44">
        <v>-2.22695</v>
      </c>
      <c r="AP378" s="44">
        <v>-0.85508</v>
      </c>
      <c r="AQ378" s="44">
        <v>-0.01176</v>
      </c>
      <c r="AR378" s="44">
        <v>-0.09153</v>
      </c>
      <c r="AS378" s="44">
        <v>1.512319</v>
      </c>
    </row>
    <row r="379">
      <c r="A379" s="44">
        <v>378.0</v>
      </c>
      <c r="B379" s="389"/>
      <c r="C379" s="45"/>
      <c r="D379" s="45"/>
      <c r="E379" s="44">
        <v>-0.87773</v>
      </c>
      <c r="F379" s="44">
        <v>0.002024</v>
      </c>
      <c r="G379" s="44">
        <v>1.568629</v>
      </c>
      <c r="H379" s="389"/>
      <c r="I379" s="46" t="s">
        <v>2257</v>
      </c>
      <c r="J379" s="46" t="s">
        <v>1639</v>
      </c>
      <c r="K379" s="46" t="s">
        <v>85</v>
      </c>
      <c r="L379" s="46" t="s">
        <v>2258</v>
      </c>
      <c r="M379" s="389"/>
      <c r="N379" s="46" t="s">
        <v>1562</v>
      </c>
      <c r="O379" s="389"/>
      <c r="P379" s="389"/>
      <c r="Q379" s="389"/>
      <c r="R379" s="46">
        <v>2.0</v>
      </c>
      <c r="S379" s="45"/>
      <c r="T379" s="46" t="s">
        <v>1630</v>
      </c>
      <c r="U379" s="44">
        <v>71.0</v>
      </c>
      <c r="V379" s="44">
        <v>15.0</v>
      </c>
      <c r="W379" s="389"/>
      <c r="X379" s="44">
        <v>19.0</v>
      </c>
      <c r="Y379" s="44">
        <v>8.607887</v>
      </c>
      <c r="Z379" s="44">
        <v>0.717746</v>
      </c>
      <c r="AA379" s="44">
        <v>2.478732</v>
      </c>
      <c r="AB379" s="44">
        <v>2.438732</v>
      </c>
      <c r="AC379" s="44">
        <v>0.879577</v>
      </c>
      <c r="AD379" s="44">
        <v>0.12</v>
      </c>
      <c r="AE379" s="44">
        <v>0.377985</v>
      </c>
      <c r="AF379" s="44">
        <v>7.595493</v>
      </c>
      <c r="AG379" s="44">
        <v>0.80801</v>
      </c>
      <c r="AH379" s="44">
        <v>2.658592</v>
      </c>
      <c r="AI379" s="44">
        <v>2.398732</v>
      </c>
      <c r="AJ379" s="44">
        <v>24.75734</v>
      </c>
      <c r="AK379" s="44">
        <v>-1.48637</v>
      </c>
      <c r="AL379" s="44">
        <v>-0.99611</v>
      </c>
      <c r="AM379" s="44">
        <v>-1.48899</v>
      </c>
      <c r="AN379" s="44">
        <v>-0.62748</v>
      </c>
      <c r="AO379" s="44">
        <v>-0.39048</v>
      </c>
      <c r="AP379" s="44">
        <v>-1.13355</v>
      </c>
      <c r="AQ379" s="44">
        <v>-1.24142</v>
      </c>
      <c r="AR379" s="44">
        <v>0.103009</v>
      </c>
      <c r="AS379" s="44">
        <v>-0.63818</v>
      </c>
    </row>
    <row r="380">
      <c r="A380" s="44">
        <v>379.0</v>
      </c>
      <c r="B380" s="389"/>
      <c r="C380" s="45"/>
      <c r="D380" s="45"/>
      <c r="E380" s="44">
        <v>-0.87991</v>
      </c>
      <c r="F380" s="44">
        <v>0.001265</v>
      </c>
      <c r="G380" s="44">
        <v>0.918151</v>
      </c>
      <c r="H380" s="389"/>
      <c r="I380" s="46" t="s">
        <v>2259</v>
      </c>
      <c r="J380" s="46" t="s">
        <v>299</v>
      </c>
      <c r="K380" s="46" t="s">
        <v>85</v>
      </c>
      <c r="L380" s="46" t="s">
        <v>2260</v>
      </c>
      <c r="M380" s="389"/>
      <c r="N380" s="46" t="s">
        <v>1562</v>
      </c>
      <c r="O380" s="46" t="s">
        <v>2139</v>
      </c>
      <c r="P380" s="389"/>
      <c r="Q380" s="45"/>
      <c r="R380" s="46">
        <v>4.0</v>
      </c>
      <c r="S380" s="45"/>
      <c r="T380" s="46" t="s">
        <v>2183</v>
      </c>
      <c r="U380" s="44">
        <v>16.0</v>
      </c>
      <c r="V380" s="44">
        <v>13.0</v>
      </c>
      <c r="W380" s="389"/>
      <c r="X380" s="44">
        <v>10.0</v>
      </c>
      <c r="Y380" s="44">
        <v>3.558125</v>
      </c>
      <c r="Z380" s="44">
        <v>0.52125</v>
      </c>
      <c r="AA380" s="44">
        <v>1.018125</v>
      </c>
      <c r="AB380" s="44">
        <v>1.95</v>
      </c>
      <c r="AC380" s="44">
        <v>0.52</v>
      </c>
      <c r="AD380" s="44">
        <v>0.154375</v>
      </c>
      <c r="AE380" s="44">
        <v>0.400577</v>
      </c>
      <c r="AF380" s="44">
        <v>3.466875</v>
      </c>
      <c r="AG380" s="44">
        <v>0.864583</v>
      </c>
      <c r="AH380" s="44">
        <v>0.3</v>
      </c>
      <c r="AI380" s="44">
        <v>0.693125</v>
      </c>
      <c r="AJ380" s="44">
        <v>17.78384</v>
      </c>
      <c r="AK380" s="44">
        <v>-2.37625</v>
      </c>
      <c r="AL380" s="44">
        <v>-1.18404</v>
      </c>
      <c r="AM380" s="44">
        <v>-2.08836</v>
      </c>
      <c r="AN380" s="44">
        <v>-0.86327</v>
      </c>
      <c r="AO380" s="44">
        <v>-1.45845</v>
      </c>
      <c r="AP380" s="44">
        <v>-1.07155</v>
      </c>
      <c r="AQ380" s="44">
        <v>-0.44707</v>
      </c>
      <c r="AR380" s="44">
        <v>0.053553</v>
      </c>
      <c r="AS380" s="44">
        <v>1.516266</v>
      </c>
    </row>
    <row r="381">
      <c r="A381" s="44">
        <v>380.0</v>
      </c>
      <c r="B381" s="389"/>
      <c r="C381" s="45"/>
      <c r="D381" s="45"/>
      <c r="E381" s="44">
        <v>-0.88143</v>
      </c>
      <c r="F381" s="44">
        <v>0.005418</v>
      </c>
      <c r="G381" s="44">
        <v>0.258379</v>
      </c>
      <c r="H381" s="389"/>
      <c r="I381" s="46" t="s">
        <v>2261</v>
      </c>
      <c r="J381" s="46" t="s">
        <v>304</v>
      </c>
      <c r="K381" s="46" t="s">
        <v>92</v>
      </c>
      <c r="L381" s="46" t="s">
        <v>2262</v>
      </c>
      <c r="M381" s="389"/>
      <c r="N381" s="46" t="s">
        <v>1562</v>
      </c>
      <c r="O381" s="389"/>
      <c r="P381" s="389"/>
      <c r="Q381" s="45"/>
      <c r="R381" s="46">
        <v>4.0</v>
      </c>
      <c r="S381" s="45"/>
      <c r="T381" s="46" t="s">
        <v>1630</v>
      </c>
      <c r="U381" s="44">
        <v>71.0</v>
      </c>
      <c r="V381" s="44">
        <v>13.0</v>
      </c>
      <c r="W381" s="389"/>
      <c r="X381" s="44">
        <v>14.0</v>
      </c>
      <c r="Y381" s="44">
        <v>4.24</v>
      </c>
      <c r="Z381" s="44">
        <v>0.691408</v>
      </c>
      <c r="AA381" s="44">
        <v>2.853944</v>
      </c>
      <c r="AB381" s="44">
        <v>0.678732</v>
      </c>
      <c r="AC381" s="44">
        <v>0.510704</v>
      </c>
      <c r="AD381" s="44">
        <v>0.307746</v>
      </c>
      <c r="AE381" s="44">
        <v>0.381994</v>
      </c>
      <c r="AF381" s="44">
        <v>4.115915</v>
      </c>
      <c r="AG381" s="44">
        <v>0.623018</v>
      </c>
      <c r="AH381" s="44">
        <v>0.648592</v>
      </c>
      <c r="AI381" s="44">
        <v>0.750986</v>
      </c>
      <c r="AJ381" s="44">
        <v>15.12461</v>
      </c>
      <c r="AK381" s="44">
        <v>-2.25609</v>
      </c>
      <c r="AL381" s="44">
        <v>-1.0213</v>
      </c>
      <c r="AM381" s="44">
        <v>-1.33502</v>
      </c>
      <c r="AN381" s="44">
        <v>-1.47659</v>
      </c>
      <c r="AO381" s="44">
        <v>-1.48605</v>
      </c>
      <c r="AP381" s="44">
        <v>-0.79489</v>
      </c>
      <c r="AQ381" s="44">
        <v>-0.64509</v>
      </c>
      <c r="AR381" s="44">
        <v>-0.361</v>
      </c>
      <c r="AS381" s="44">
        <v>1.443179</v>
      </c>
    </row>
    <row r="382">
      <c r="A382" s="44">
        <v>381.0</v>
      </c>
      <c r="B382" s="389"/>
      <c r="C382" s="45"/>
      <c r="D382" s="45"/>
      <c r="E382" s="44">
        <v>-0.88188</v>
      </c>
      <c r="F382" s="44">
        <v>0.002117</v>
      </c>
      <c r="G382" s="44">
        <v>0.230502</v>
      </c>
      <c r="H382" s="389"/>
      <c r="I382" s="46" t="s">
        <v>2263</v>
      </c>
      <c r="J382" s="46" t="s">
        <v>465</v>
      </c>
      <c r="K382" s="46" t="s">
        <v>97</v>
      </c>
      <c r="L382" s="46" t="s">
        <v>2264</v>
      </c>
      <c r="M382" s="389"/>
      <c r="N382" s="46" t="s">
        <v>1562</v>
      </c>
      <c r="O382" s="46" t="s">
        <v>1595</v>
      </c>
      <c r="P382" s="389"/>
      <c r="Q382" s="389"/>
      <c r="R382" s="46">
        <v>4.0</v>
      </c>
      <c r="S382" s="45"/>
      <c r="T382" s="46" t="s">
        <v>1905</v>
      </c>
      <c r="U382" s="44">
        <v>46.0</v>
      </c>
      <c r="V382" s="44">
        <v>15.0</v>
      </c>
      <c r="W382" s="389"/>
      <c r="X382" s="44">
        <v>9.0</v>
      </c>
      <c r="Y382" s="44">
        <v>4.356957</v>
      </c>
      <c r="Z382" s="44">
        <v>0.728478</v>
      </c>
      <c r="AA382" s="44">
        <v>1.816957</v>
      </c>
      <c r="AB382" s="44">
        <v>0.438261</v>
      </c>
      <c r="AC382" s="44">
        <v>0.241522</v>
      </c>
      <c r="AD382" s="44">
        <v>0.291522</v>
      </c>
      <c r="AE382" s="44">
        <v>0.462531</v>
      </c>
      <c r="AF382" s="44">
        <v>3.53913</v>
      </c>
      <c r="AG382" s="44">
        <v>0.770794</v>
      </c>
      <c r="AH382" s="44">
        <v>0.46</v>
      </c>
      <c r="AI382" s="44">
        <v>0.368478</v>
      </c>
      <c r="AJ382" s="44">
        <v>18.91737</v>
      </c>
      <c r="AK382" s="44">
        <v>-2.23548</v>
      </c>
      <c r="AL382" s="44">
        <v>-0.98584</v>
      </c>
      <c r="AM382" s="44">
        <v>-1.76055</v>
      </c>
      <c r="AN382" s="44">
        <v>-1.59261</v>
      </c>
      <c r="AO382" s="44">
        <v>-2.28555</v>
      </c>
      <c r="AP382" s="44">
        <v>-0.82415</v>
      </c>
      <c r="AQ382" s="44">
        <v>-0.13261</v>
      </c>
      <c r="AR382" s="44">
        <v>-0.04645</v>
      </c>
      <c r="AS382" s="44">
        <v>1.926346</v>
      </c>
    </row>
    <row r="383">
      <c r="A383" s="44">
        <v>382.0</v>
      </c>
      <c r="B383" s="389"/>
      <c r="C383" s="45"/>
      <c r="D383" s="45"/>
      <c r="E383" s="44">
        <v>-0.88207</v>
      </c>
      <c r="F383" s="44">
        <v>0.002015</v>
      </c>
      <c r="G383" s="44">
        <v>0.379183</v>
      </c>
      <c r="H383" s="389"/>
      <c r="I383" s="46" t="s">
        <v>2265</v>
      </c>
      <c r="J383" s="46" t="s">
        <v>465</v>
      </c>
      <c r="K383" s="46" t="s">
        <v>90</v>
      </c>
      <c r="L383" s="46" t="s">
        <v>2266</v>
      </c>
      <c r="M383" s="389"/>
      <c r="N383" s="46" t="s">
        <v>1562</v>
      </c>
      <c r="O383" s="45"/>
      <c r="P383" s="389"/>
      <c r="Q383" s="45"/>
      <c r="R383" s="46">
        <v>5.0</v>
      </c>
      <c r="S383" s="45"/>
      <c r="T383" s="46" t="s">
        <v>1630</v>
      </c>
      <c r="U383" s="44">
        <v>71.0</v>
      </c>
      <c r="V383" s="44">
        <v>15.0</v>
      </c>
      <c r="W383" s="389"/>
      <c r="X383" s="44">
        <v>15.0</v>
      </c>
      <c r="Y383" s="44">
        <v>4.666479</v>
      </c>
      <c r="Z383" s="44">
        <v>0.52169</v>
      </c>
      <c r="AA383" s="44">
        <v>2.709437</v>
      </c>
      <c r="AB383" s="44">
        <v>0.913662</v>
      </c>
      <c r="AC383" s="44">
        <v>0.50169</v>
      </c>
      <c r="AD383" s="44">
        <v>0.257465</v>
      </c>
      <c r="AE383" s="44">
        <v>0.411825</v>
      </c>
      <c r="AF383" s="44">
        <v>4.430986</v>
      </c>
      <c r="AG383" s="44">
        <v>0.605059</v>
      </c>
      <c r="AH383" s="44">
        <v>0.818451</v>
      </c>
      <c r="AI383" s="44">
        <v>0.642676</v>
      </c>
      <c r="AJ383" s="44">
        <v>15.00622</v>
      </c>
      <c r="AK383" s="44">
        <v>-2.18093</v>
      </c>
      <c r="AL383" s="44">
        <v>-1.18362</v>
      </c>
      <c r="AM383" s="44">
        <v>-1.39432</v>
      </c>
      <c r="AN383" s="44">
        <v>-1.36325</v>
      </c>
      <c r="AO383" s="44">
        <v>-1.51283</v>
      </c>
      <c r="AP383" s="44">
        <v>-0.88559</v>
      </c>
      <c r="AQ383" s="44">
        <v>-0.49974</v>
      </c>
      <c r="AR383" s="44">
        <v>-0.49831</v>
      </c>
      <c r="AS383" s="44">
        <v>1.579991</v>
      </c>
    </row>
    <row r="384">
      <c r="A384" s="44">
        <v>383.0</v>
      </c>
      <c r="B384" s="389"/>
      <c r="C384" s="45"/>
      <c r="D384" s="45"/>
      <c r="E384" s="44">
        <v>-0.88238</v>
      </c>
      <c r="F384" s="44">
        <v>0.002648</v>
      </c>
      <c r="G384" s="44">
        <v>1.568629</v>
      </c>
      <c r="H384" s="389"/>
      <c r="I384" s="46" t="s">
        <v>2267</v>
      </c>
      <c r="J384" s="46" t="s">
        <v>283</v>
      </c>
      <c r="K384" s="46" t="s">
        <v>1572</v>
      </c>
      <c r="L384" s="46" t="s">
        <v>2268</v>
      </c>
      <c r="M384" s="46" t="s">
        <v>1665</v>
      </c>
      <c r="N384" s="46" t="s">
        <v>1562</v>
      </c>
      <c r="O384" s="389"/>
      <c r="P384" s="389"/>
      <c r="Q384" s="389"/>
      <c r="R384" s="46">
        <v>4.0</v>
      </c>
      <c r="S384" s="45"/>
      <c r="T384" s="46" t="s">
        <v>1630</v>
      </c>
      <c r="U384" s="44">
        <v>71.0</v>
      </c>
      <c r="V384" s="44">
        <v>14.0</v>
      </c>
      <c r="W384" s="389"/>
      <c r="X384" s="44">
        <v>12.0</v>
      </c>
      <c r="Y384" s="44">
        <v>3.554085</v>
      </c>
      <c r="Z384" s="44">
        <v>0.226056</v>
      </c>
      <c r="AA384" s="44">
        <v>2.229437</v>
      </c>
      <c r="AB384" s="44">
        <v>0.710563</v>
      </c>
      <c r="AC384" s="44">
        <v>0.49</v>
      </c>
      <c r="AD384" s="44">
        <v>0.293944</v>
      </c>
      <c r="AE384" s="44">
        <v>0.442937</v>
      </c>
      <c r="AF384" s="44">
        <v>3.061831</v>
      </c>
      <c r="AG384" s="44">
        <v>0.71797</v>
      </c>
      <c r="AH384" s="44">
        <v>0.857465</v>
      </c>
      <c r="AI384" s="44">
        <v>0.514507</v>
      </c>
      <c r="AJ384" s="44">
        <v>14.62559</v>
      </c>
      <c r="AK384" s="44">
        <v>-2.37696</v>
      </c>
      <c r="AL384" s="44">
        <v>-1.46638</v>
      </c>
      <c r="AM384" s="44">
        <v>-1.59129</v>
      </c>
      <c r="AN384" s="44">
        <v>-1.46123</v>
      </c>
      <c r="AO384" s="44">
        <v>-1.54755</v>
      </c>
      <c r="AP384" s="44">
        <v>-0.81978</v>
      </c>
      <c r="AQ384" s="44">
        <v>-0.2024</v>
      </c>
      <c r="AR384" s="44">
        <v>-0.21768</v>
      </c>
      <c r="AS384" s="44">
        <v>1.741888</v>
      </c>
    </row>
    <row r="385">
      <c r="A385" s="44">
        <v>384.0</v>
      </c>
      <c r="B385" s="389"/>
      <c r="C385" s="45"/>
      <c r="D385" s="45"/>
      <c r="E385" s="44">
        <v>-0.8834</v>
      </c>
      <c r="F385" s="44">
        <v>0.005756</v>
      </c>
      <c r="G385" s="44">
        <v>1.568629</v>
      </c>
      <c r="H385" s="389"/>
      <c r="I385" s="46" t="s">
        <v>2269</v>
      </c>
      <c r="J385" s="46" t="s">
        <v>449</v>
      </c>
      <c r="K385" s="46" t="s">
        <v>1572</v>
      </c>
      <c r="L385" s="46" t="s">
        <v>2270</v>
      </c>
      <c r="M385" s="389"/>
      <c r="N385" s="46" t="s">
        <v>1562</v>
      </c>
      <c r="O385" s="389"/>
      <c r="P385" s="389"/>
      <c r="Q385" s="45"/>
      <c r="R385" s="46">
        <v>3.0</v>
      </c>
      <c r="S385" s="45"/>
      <c r="T385" s="46" t="s">
        <v>1905</v>
      </c>
      <c r="U385" s="44">
        <v>46.0</v>
      </c>
      <c r="V385" s="44">
        <v>13.0</v>
      </c>
      <c r="W385" s="389"/>
      <c r="X385" s="44">
        <v>14.0</v>
      </c>
      <c r="Y385" s="44">
        <v>5.63913</v>
      </c>
      <c r="Z385" s="44">
        <v>0.45</v>
      </c>
      <c r="AA385" s="44">
        <v>2.327391</v>
      </c>
      <c r="AB385" s="44">
        <v>0.673696</v>
      </c>
      <c r="AC385" s="44">
        <v>0.459348</v>
      </c>
      <c r="AD385" s="44">
        <v>0.245</v>
      </c>
      <c r="AE385" s="44">
        <v>0.445244</v>
      </c>
      <c r="AF385" s="44">
        <v>4.41087</v>
      </c>
      <c r="AG385" s="44">
        <v>0.71506</v>
      </c>
      <c r="AH385" s="44">
        <v>1.763913</v>
      </c>
      <c r="AI385" s="44">
        <v>0.612609</v>
      </c>
      <c r="AJ385" s="44">
        <v>17.10492</v>
      </c>
      <c r="AK385" s="44">
        <v>-2.00953</v>
      </c>
      <c r="AL385" s="44">
        <v>-1.25219</v>
      </c>
      <c r="AM385" s="44">
        <v>-1.55109</v>
      </c>
      <c r="AN385" s="44">
        <v>-1.47902</v>
      </c>
      <c r="AO385" s="44">
        <v>-1.63859</v>
      </c>
      <c r="AP385" s="44">
        <v>-0.90807</v>
      </c>
      <c r="AQ385" s="44">
        <v>-0.27966</v>
      </c>
      <c r="AR385" s="44">
        <v>-0.4504</v>
      </c>
      <c r="AS385" s="44">
        <v>1.617971</v>
      </c>
    </row>
    <row r="386">
      <c r="A386" s="44">
        <v>385.0</v>
      </c>
      <c r="B386" s="389"/>
      <c r="C386" s="45"/>
      <c r="D386" s="45"/>
      <c r="E386" s="44">
        <v>-0.88363</v>
      </c>
      <c r="F386" s="44">
        <v>0.002936</v>
      </c>
      <c r="G386" s="44">
        <v>1.568629</v>
      </c>
      <c r="H386" s="389"/>
      <c r="I386" s="46" t="s">
        <v>2271</v>
      </c>
      <c r="J386" s="46" t="s">
        <v>1560</v>
      </c>
      <c r="K386" s="46" t="s">
        <v>1572</v>
      </c>
      <c r="L386" s="46" t="s">
        <v>2272</v>
      </c>
      <c r="M386" s="389"/>
      <c r="N386" s="46" t="s">
        <v>1562</v>
      </c>
      <c r="O386" s="45"/>
      <c r="P386" s="389"/>
      <c r="Q386" s="45"/>
      <c r="R386" s="46">
        <v>3.0</v>
      </c>
      <c r="S386" s="45"/>
      <c r="T386" s="46" t="s">
        <v>1905</v>
      </c>
      <c r="U386" s="44">
        <v>46.0</v>
      </c>
      <c r="V386" s="44">
        <v>14.0</v>
      </c>
      <c r="W386" s="389"/>
      <c r="X386" s="44">
        <v>12.0</v>
      </c>
      <c r="Y386" s="44">
        <v>2.385217</v>
      </c>
      <c r="Z386" s="44">
        <v>0.371087</v>
      </c>
      <c r="AA386" s="44">
        <v>2.295</v>
      </c>
      <c r="AB386" s="44">
        <v>0.51</v>
      </c>
      <c r="AC386" s="44">
        <v>0.535435</v>
      </c>
      <c r="AD386" s="44">
        <v>0.51</v>
      </c>
      <c r="AE386" s="44">
        <v>0.354141</v>
      </c>
      <c r="AF386" s="44">
        <v>2.472609</v>
      </c>
      <c r="AG386" s="44">
        <v>0.70826</v>
      </c>
      <c r="AH386" s="44">
        <v>0.371087</v>
      </c>
      <c r="AI386" s="44">
        <v>0.688478</v>
      </c>
      <c r="AJ386" s="44">
        <v>11.76256</v>
      </c>
      <c r="AK386" s="44">
        <v>-2.58294</v>
      </c>
      <c r="AL386" s="44">
        <v>-1.32767</v>
      </c>
      <c r="AM386" s="44">
        <v>-1.56438</v>
      </c>
      <c r="AN386" s="44">
        <v>-1.558</v>
      </c>
      <c r="AO386" s="44">
        <v>-1.4126</v>
      </c>
      <c r="AP386" s="44">
        <v>-0.43005</v>
      </c>
      <c r="AQ386" s="44">
        <v>-0.48644</v>
      </c>
      <c r="AR386" s="44">
        <v>-0.11275</v>
      </c>
      <c r="AS386" s="44">
        <v>1.522136</v>
      </c>
    </row>
    <row r="387">
      <c r="A387" s="44">
        <v>386.0</v>
      </c>
      <c r="B387" s="389"/>
      <c r="C387" s="45"/>
      <c r="D387" s="45"/>
      <c r="E387" s="44">
        <v>-0.88495</v>
      </c>
      <c r="F387" s="44">
        <v>0.001404</v>
      </c>
      <c r="G387" s="44">
        <v>0.583619</v>
      </c>
      <c r="H387" s="389"/>
      <c r="I387" s="46" t="s">
        <v>2273</v>
      </c>
      <c r="J387" s="46" t="s">
        <v>1608</v>
      </c>
      <c r="K387" s="46" t="s">
        <v>88</v>
      </c>
      <c r="L387" s="46" t="s">
        <v>2274</v>
      </c>
      <c r="M387" s="389"/>
      <c r="N387" s="46" t="s">
        <v>1570</v>
      </c>
      <c r="O387" s="46" t="s">
        <v>1776</v>
      </c>
      <c r="P387" s="389"/>
      <c r="Q387" s="389"/>
      <c r="R387" s="389"/>
      <c r="S387" s="45"/>
      <c r="T387" s="46" t="s">
        <v>1905</v>
      </c>
      <c r="U387" s="44">
        <v>43.0</v>
      </c>
      <c r="V387" s="44">
        <v>14.0</v>
      </c>
      <c r="W387" s="389"/>
      <c r="X387" s="44">
        <v>12.0</v>
      </c>
      <c r="Y387" s="44">
        <v>4.672093</v>
      </c>
      <c r="Z387" s="44">
        <v>1.071628</v>
      </c>
      <c r="AA387" s="44">
        <v>0.99</v>
      </c>
      <c r="AB387" s="44">
        <v>0.544419</v>
      </c>
      <c r="AC387" s="44">
        <v>0.371163</v>
      </c>
      <c r="AD387" s="44">
        <v>0.074186</v>
      </c>
      <c r="AE387" s="44">
        <v>0.430863</v>
      </c>
      <c r="AF387" s="44">
        <v>3.885116</v>
      </c>
      <c r="AG387" s="44">
        <v>0.812266</v>
      </c>
      <c r="AH387" s="44">
        <v>0.31093</v>
      </c>
      <c r="AI387" s="44">
        <v>0.346512</v>
      </c>
      <c r="AJ387" s="44">
        <v>15.7965</v>
      </c>
      <c r="AK387" s="44">
        <v>-2.17994</v>
      </c>
      <c r="AL387" s="44">
        <v>-0.65764</v>
      </c>
      <c r="AM387" s="44">
        <v>-2.0999</v>
      </c>
      <c r="AN387" s="44">
        <v>-1.54139</v>
      </c>
      <c r="AO387" s="44">
        <v>-1.9005</v>
      </c>
      <c r="AP387" s="44">
        <v>-1.2162</v>
      </c>
      <c r="AQ387" s="44">
        <v>-0.32803</v>
      </c>
      <c r="AR387" s="44">
        <v>0.004928</v>
      </c>
      <c r="AS387" s="44">
        <v>1.954093</v>
      </c>
    </row>
    <row r="388">
      <c r="A388" s="44">
        <v>387.0</v>
      </c>
      <c r="B388" s="389"/>
      <c r="C388" s="389"/>
      <c r="D388" s="389"/>
      <c r="E388" s="44">
        <v>-0.89105</v>
      </c>
      <c r="F388" s="44">
        <v>0.001846</v>
      </c>
      <c r="G388" s="44">
        <v>1.28056</v>
      </c>
      <c r="H388" s="389"/>
      <c r="I388" s="46" t="s">
        <v>2275</v>
      </c>
      <c r="J388" s="46" t="s">
        <v>342</v>
      </c>
      <c r="K388" s="46" t="s">
        <v>92</v>
      </c>
      <c r="L388" s="46" t="s">
        <v>2276</v>
      </c>
      <c r="M388" s="389"/>
      <c r="N388" s="46" t="s">
        <v>1570</v>
      </c>
      <c r="O388" s="45"/>
      <c r="P388" s="389"/>
      <c r="Q388" s="45"/>
      <c r="R388" s="46">
        <v>4.0</v>
      </c>
      <c r="S388" s="45"/>
      <c r="T388" s="46" t="s">
        <v>1630</v>
      </c>
      <c r="U388" s="44">
        <v>66.0</v>
      </c>
      <c r="V388" s="44">
        <v>16.0</v>
      </c>
      <c r="W388" s="389"/>
      <c r="X388" s="44">
        <v>16.0</v>
      </c>
      <c r="Y388" s="44">
        <v>5.094848</v>
      </c>
      <c r="Z388" s="44">
        <v>0.716818</v>
      </c>
      <c r="AA388" s="44">
        <v>3.933333</v>
      </c>
      <c r="AB388" s="44">
        <v>1.033333</v>
      </c>
      <c r="AC388" s="44">
        <v>0.3</v>
      </c>
      <c r="AD388" s="44">
        <v>0.170455</v>
      </c>
      <c r="AE388" s="44">
        <v>0.389966</v>
      </c>
      <c r="AF388" s="44">
        <v>4.367121</v>
      </c>
      <c r="AG388" s="44">
        <v>0.718043</v>
      </c>
      <c r="AH388" s="44">
        <v>1.353636</v>
      </c>
      <c r="AI388" s="44">
        <v>0.781667</v>
      </c>
      <c r="AJ388" s="44">
        <v>15.41511</v>
      </c>
      <c r="AK388" s="44">
        <v>-2.10545</v>
      </c>
      <c r="AL388" s="44">
        <v>-0.99699</v>
      </c>
      <c r="AM388" s="44">
        <v>-0.89208</v>
      </c>
      <c r="AN388" s="44">
        <v>-1.30551</v>
      </c>
      <c r="AO388" s="44">
        <v>-2.11186</v>
      </c>
      <c r="AP388" s="44">
        <v>-1.04254</v>
      </c>
      <c r="AQ388" s="44">
        <v>-0.63346</v>
      </c>
      <c r="AR388" s="44">
        <v>-0.33594</v>
      </c>
      <c r="AS388" s="44">
        <v>1.404424</v>
      </c>
    </row>
    <row r="389">
      <c r="A389" s="44">
        <v>388.0</v>
      </c>
      <c r="B389" s="389"/>
      <c r="C389" s="45"/>
      <c r="D389" s="45"/>
      <c r="E389" s="44">
        <v>-0.89541</v>
      </c>
      <c r="F389" s="44">
        <v>0.002493</v>
      </c>
      <c r="G389" s="44">
        <v>1.261975</v>
      </c>
      <c r="H389" s="389"/>
      <c r="I389" s="46" t="s">
        <v>2277</v>
      </c>
      <c r="J389" s="46" t="s">
        <v>273</v>
      </c>
      <c r="K389" s="46" t="s">
        <v>97</v>
      </c>
      <c r="L389" s="46" t="s">
        <v>2278</v>
      </c>
      <c r="M389" s="389"/>
      <c r="N389" s="46" t="s">
        <v>1562</v>
      </c>
      <c r="O389" s="46" t="s">
        <v>2139</v>
      </c>
      <c r="P389" s="389"/>
      <c r="Q389" s="389"/>
      <c r="R389" s="46">
        <v>3.0</v>
      </c>
      <c r="S389" s="45"/>
      <c r="T389" s="46" t="s">
        <v>1905</v>
      </c>
      <c r="U389" s="44">
        <v>46.0</v>
      </c>
      <c r="V389" s="44">
        <v>13.0</v>
      </c>
      <c r="W389" s="389"/>
      <c r="X389" s="44">
        <v>8.0</v>
      </c>
      <c r="Y389" s="44">
        <v>3.547174</v>
      </c>
      <c r="Z389" s="44">
        <v>0.646957</v>
      </c>
      <c r="AA389" s="44">
        <v>1.53</v>
      </c>
      <c r="AB389" s="44">
        <v>0.407826</v>
      </c>
      <c r="AC389" s="44">
        <v>0.141522</v>
      </c>
      <c r="AD389" s="44">
        <v>0.543913</v>
      </c>
      <c r="AE389" s="44">
        <v>0.463438</v>
      </c>
      <c r="AF389" s="44">
        <v>2.720217</v>
      </c>
      <c r="AG389" s="44">
        <v>0.76014</v>
      </c>
      <c r="AH389" s="44">
        <v>0.498478</v>
      </c>
      <c r="AI389" s="44">
        <v>0.323696</v>
      </c>
      <c r="AJ389" s="44">
        <v>17.45946</v>
      </c>
      <c r="AK389" s="44">
        <v>-2.37818</v>
      </c>
      <c r="AL389" s="44">
        <v>-1.06381</v>
      </c>
      <c r="AM389" s="44">
        <v>-1.87831</v>
      </c>
      <c r="AN389" s="44">
        <v>-1.60729</v>
      </c>
      <c r="AO389" s="44">
        <v>-2.58255</v>
      </c>
      <c r="AP389" s="44">
        <v>-0.36887</v>
      </c>
      <c r="AQ389" s="44">
        <v>-0.09664</v>
      </c>
      <c r="AR389" s="44">
        <v>-0.06593</v>
      </c>
      <c r="AS389" s="44">
        <v>1.982913</v>
      </c>
    </row>
    <row r="390">
      <c r="A390" s="44">
        <v>389.0</v>
      </c>
      <c r="B390" s="389"/>
      <c r="C390" s="44">
        <v>1.0</v>
      </c>
      <c r="D390" s="44">
        <v>0.0</v>
      </c>
      <c r="E390" s="44">
        <v>-0.89657</v>
      </c>
      <c r="F390" s="44">
        <v>0.06588</v>
      </c>
      <c r="G390" s="44">
        <v>1.568629</v>
      </c>
      <c r="H390" s="389"/>
      <c r="I390" s="46" t="s">
        <v>2279</v>
      </c>
      <c r="J390" s="46" t="s">
        <v>495</v>
      </c>
      <c r="K390" s="46" t="s">
        <v>1568</v>
      </c>
      <c r="L390" s="46" t="s">
        <v>2280</v>
      </c>
      <c r="M390" s="389"/>
      <c r="N390" s="46" t="s">
        <v>1562</v>
      </c>
      <c r="O390" s="389"/>
      <c r="P390" s="389"/>
      <c r="Q390" s="389"/>
      <c r="R390" s="46">
        <v>1.0</v>
      </c>
      <c r="S390" s="45"/>
      <c r="T390" s="46" t="s">
        <v>1645</v>
      </c>
      <c r="U390" s="44">
        <v>71.0</v>
      </c>
      <c r="V390" s="44">
        <v>14.0</v>
      </c>
      <c r="W390" s="389"/>
      <c r="X390" s="44">
        <v>19.0</v>
      </c>
      <c r="Y390" s="44">
        <v>6.764789</v>
      </c>
      <c r="Z390" s="44">
        <v>0.650423</v>
      </c>
      <c r="AA390" s="44">
        <v>2.155352</v>
      </c>
      <c r="AB390" s="44">
        <v>2.351268</v>
      </c>
      <c r="AC390" s="44">
        <v>0.705352</v>
      </c>
      <c r="AD390" s="44">
        <v>0.156761</v>
      </c>
      <c r="AE390" s="44">
        <v>0.381617</v>
      </c>
      <c r="AF390" s="44">
        <v>6.779155</v>
      </c>
      <c r="AG390" s="44">
        <v>0.730016</v>
      </c>
      <c r="AH390" s="44">
        <v>1.288028</v>
      </c>
      <c r="AI390" s="44">
        <v>1.567465</v>
      </c>
      <c r="AJ390" s="44">
        <v>20.16581</v>
      </c>
      <c r="AK390" s="44">
        <v>-1.81117</v>
      </c>
      <c r="AL390" s="44">
        <v>-1.0605</v>
      </c>
      <c r="AM390" s="44">
        <v>-1.62169</v>
      </c>
      <c r="AN390" s="44">
        <v>-0.66968</v>
      </c>
      <c r="AO390" s="44">
        <v>-0.90794</v>
      </c>
      <c r="AP390" s="44">
        <v>-1.06724</v>
      </c>
      <c r="AQ390" s="44">
        <v>-1.07086</v>
      </c>
      <c r="AR390" s="44">
        <v>-0.27188</v>
      </c>
      <c r="AS390" s="44">
        <v>0.411838</v>
      </c>
    </row>
    <row r="391">
      <c r="A391" s="44">
        <v>390.0</v>
      </c>
      <c r="B391" s="389"/>
      <c r="C391" s="45"/>
      <c r="D391" s="45"/>
      <c r="E391" s="44">
        <v>-0.8966</v>
      </c>
      <c r="F391" s="44">
        <v>0.003763</v>
      </c>
      <c r="G391" s="44">
        <v>0.788055</v>
      </c>
      <c r="H391" s="389"/>
      <c r="I391" s="46" t="s">
        <v>2281</v>
      </c>
      <c r="J391" s="46" t="s">
        <v>449</v>
      </c>
      <c r="K391" s="46" t="s">
        <v>85</v>
      </c>
      <c r="L391" s="46" t="s">
        <v>2282</v>
      </c>
      <c r="M391" s="389"/>
      <c r="N391" s="46" t="s">
        <v>1562</v>
      </c>
      <c r="O391" s="46" t="s">
        <v>1648</v>
      </c>
      <c r="P391" s="389"/>
      <c r="Q391" s="389"/>
      <c r="R391" s="46">
        <v>5.0</v>
      </c>
      <c r="S391" s="45"/>
      <c r="T391" s="46" t="s">
        <v>2183</v>
      </c>
      <c r="U391" s="44">
        <v>16.0</v>
      </c>
      <c r="V391" s="44">
        <v>13.0</v>
      </c>
      <c r="W391" s="389"/>
      <c r="X391" s="44">
        <v>10.0</v>
      </c>
      <c r="Y391" s="44">
        <v>4.2525</v>
      </c>
      <c r="Z391" s="44">
        <v>0.9475</v>
      </c>
      <c r="AA391" s="44">
        <v>1.028125</v>
      </c>
      <c r="AB391" s="44">
        <v>1.18125</v>
      </c>
      <c r="AC391" s="44">
        <v>0.36625</v>
      </c>
      <c r="AD391" s="44">
        <v>0.1325</v>
      </c>
      <c r="AE391" s="44">
        <v>0.386989</v>
      </c>
      <c r="AF391" s="44">
        <v>4.111875</v>
      </c>
      <c r="AG391" s="44">
        <v>0.765625</v>
      </c>
      <c r="AH391" s="44">
        <v>0.16</v>
      </c>
      <c r="AI391" s="44">
        <v>0.3525</v>
      </c>
      <c r="AJ391" s="44">
        <v>18.72435</v>
      </c>
      <c r="AK391" s="44">
        <v>-2.25389</v>
      </c>
      <c r="AL391" s="44">
        <v>-0.77636</v>
      </c>
      <c r="AM391" s="44">
        <v>-2.08426</v>
      </c>
      <c r="AN391" s="44">
        <v>-1.23415</v>
      </c>
      <c r="AO391" s="44">
        <v>-1.91509</v>
      </c>
      <c r="AP391" s="44">
        <v>-1.11101</v>
      </c>
      <c r="AQ391" s="44">
        <v>-0.61411</v>
      </c>
      <c r="AR391" s="44">
        <v>-0.02708</v>
      </c>
      <c r="AS391" s="44">
        <v>1.946529</v>
      </c>
    </row>
    <row r="392">
      <c r="A392" s="44">
        <v>391.0</v>
      </c>
      <c r="B392" s="389"/>
      <c r="C392" s="45"/>
      <c r="D392" s="45"/>
      <c r="E392" s="44">
        <v>-0.90362</v>
      </c>
      <c r="F392" s="44">
        <v>0.002973</v>
      </c>
      <c r="G392" s="44">
        <v>1.568629</v>
      </c>
      <c r="H392" s="389"/>
      <c r="I392" s="46" t="s">
        <v>2283</v>
      </c>
      <c r="J392" s="46" t="s">
        <v>324</v>
      </c>
      <c r="K392" s="46" t="s">
        <v>1572</v>
      </c>
      <c r="L392" s="46" t="s">
        <v>2284</v>
      </c>
      <c r="M392" s="389"/>
      <c r="N392" s="46" t="s">
        <v>1562</v>
      </c>
      <c r="O392" s="389"/>
      <c r="P392" s="389"/>
      <c r="Q392" s="389"/>
      <c r="R392" s="46">
        <v>2.0</v>
      </c>
      <c r="S392" s="45"/>
      <c r="T392" s="46" t="s">
        <v>1905</v>
      </c>
      <c r="U392" s="44">
        <v>46.0</v>
      </c>
      <c r="V392" s="44">
        <v>16.0</v>
      </c>
      <c r="W392" s="389"/>
      <c r="X392" s="44">
        <v>10.0</v>
      </c>
      <c r="Y392" s="44">
        <v>3.274348</v>
      </c>
      <c r="Z392" s="44">
        <v>0.405217</v>
      </c>
      <c r="AA392" s="44">
        <v>2.268696</v>
      </c>
      <c r="AB392" s="44">
        <v>0.371304</v>
      </c>
      <c r="AC392" s="44">
        <v>0.309348</v>
      </c>
      <c r="AD392" s="44">
        <v>0.412609</v>
      </c>
      <c r="AE392" s="44">
        <v>0.465407</v>
      </c>
      <c r="AF392" s="44">
        <v>2.680217</v>
      </c>
      <c r="AG392" s="44">
        <v>0.698014</v>
      </c>
      <c r="AH392" s="44">
        <v>0.536304</v>
      </c>
      <c r="AI392" s="44">
        <v>0.515652</v>
      </c>
      <c r="AJ392" s="44">
        <v>14.99233</v>
      </c>
      <c r="AK392" s="44">
        <v>-2.42626</v>
      </c>
      <c r="AL392" s="44">
        <v>-1.29502</v>
      </c>
      <c r="AM392" s="44">
        <v>-1.57518</v>
      </c>
      <c r="AN392" s="44">
        <v>-1.62491</v>
      </c>
      <c r="AO392" s="44">
        <v>-2.0841</v>
      </c>
      <c r="AP392" s="44">
        <v>-0.60573</v>
      </c>
      <c r="AQ392" s="44">
        <v>-0.08732</v>
      </c>
      <c r="AR392" s="44">
        <v>-0.17451</v>
      </c>
      <c r="AS392" s="44">
        <v>1.740442</v>
      </c>
    </row>
    <row r="393">
      <c r="A393" s="44">
        <v>392.0</v>
      </c>
      <c r="B393" s="389"/>
      <c r="C393" s="45"/>
      <c r="D393" s="45"/>
      <c r="E393" s="44">
        <v>-0.904</v>
      </c>
      <c r="F393" s="44">
        <v>0.005334</v>
      </c>
      <c r="G393" s="44">
        <v>0.137576</v>
      </c>
      <c r="H393" s="389"/>
      <c r="I393" s="46" t="s">
        <v>2285</v>
      </c>
      <c r="J393" s="46" t="s">
        <v>449</v>
      </c>
      <c r="K393" s="46" t="s">
        <v>1593</v>
      </c>
      <c r="L393" s="46" t="s">
        <v>2286</v>
      </c>
      <c r="M393" s="389"/>
      <c r="N393" s="46" t="s">
        <v>1562</v>
      </c>
      <c r="O393" s="46" t="s">
        <v>1595</v>
      </c>
      <c r="P393" s="389"/>
      <c r="Q393" s="389"/>
      <c r="R393" s="46">
        <v>5.0</v>
      </c>
      <c r="S393" s="45"/>
      <c r="T393" s="46" t="s">
        <v>1905</v>
      </c>
      <c r="U393" s="44">
        <v>46.0</v>
      </c>
      <c r="V393" s="44">
        <v>13.0</v>
      </c>
      <c r="W393" s="389"/>
      <c r="X393" s="44">
        <v>11.0</v>
      </c>
      <c r="Y393" s="44">
        <v>3.926739</v>
      </c>
      <c r="Z393" s="44">
        <v>0.419565</v>
      </c>
      <c r="AA393" s="44">
        <v>1.54</v>
      </c>
      <c r="AB393" s="44">
        <v>1.10413</v>
      </c>
      <c r="AC393" s="44">
        <v>0.497609</v>
      </c>
      <c r="AD393" s="44">
        <v>0.144348</v>
      </c>
      <c r="AE393" s="44">
        <v>0.452235</v>
      </c>
      <c r="AF393" s="44">
        <v>3.224565</v>
      </c>
      <c r="AG393" s="44">
        <v>0.697024</v>
      </c>
      <c r="AH393" s="44">
        <v>0.847391</v>
      </c>
      <c r="AI393" s="44">
        <v>0.581739</v>
      </c>
      <c r="AJ393" s="44">
        <v>15.68726</v>
      </c>
      <c r="AK393" s="44">
        <v>-2.31129</v>
      </c>
      <c r="AL393" s="44">
        <v>-1.2813</v>
      </c>
      <c r="AM393" s="44">
        <v>-1.8742</v>
      </c>
      <c r="AN393" s="44">
        <v>-1.27136</v>
      </c>
      <c r="AO393" s="44">
        <v>-1.52495</v>
      </c>
      <c r="AP393" s="44">
        <v>-1.08963</v>
      </c>
      <c r="AQ393" s="44">
        <v>-0.16924</v>
      </c>
      <c r="AR393" s="44">
        <v>-0.27096</v>
      </c>
      <c r="AS393" s="44">
        <v>1.656964</v>
      </c>
    </row>
    <row r="394">
      <c r="A394" s="44">
        <v>393.0</v>
      </c>
      <c r="B394" s="389"/>
      <c r="C394" s="45"/>
      <c r="D394" s="45"/>
      <c r="E394" s="44">
        <v>-0.90433</v>
      </c>
      <c r="F394" s="44">
        <v>0.004715</v>
      </c>
      <c r="G394" s="44">
        <v>0.955321</v>
      </c>
      <c r="H394" s="389"/>
      <c r="I394" s="46" t="s">
        <v>2287</v>
      </c>
      <c r="J394" s="46" t="s">
        <v>1608</v>
      </c>
      <c r="K394" s="46" t="s">
        <v>97</v>
      </c>
      <c r="L394" s="46" t="s">
        <v>2288</v>
      </c>
      <c r="M394" s="389"/>
      <c r="N394" s="46" t="s">
        <v>1570</v>
      </c>
      <c r="O394" s="46" t="s">
        <v>2289</v>
      </c>
      <c r="P394" s="389"/>
      <c r="Q394" s="389"/>
      <c r="R394" s="46">
        <v>3.0</v>
      </c>
      <c r="S394" s="45"/>
      <c r="T394" s="46" t="s">
        <v>1905</v>
      </c>
      <c r="U394" s="44">
        <v>43.0</v>
      </c>
      <c r="V394" s="44">
        <v>14.0</v>
      </c>
      <c r="W394" s="389"/>
      <c r="X394" s="44">
        <v>11.0</v>
      </c>
      <c r="Y394" s="44">
        <v>3.405116</v>
      </c>
      <c r="Z394" s="44">
        <v>0.0</v>
      </c>
      <c r="AA394" s="44">
        <v>2.722558</v>
      </c>
      <c r="AB394" s="44">
        <v>0.512326</v>
      </c>
      <c r="AC394" s="44">
        <v>0.222558</v>
      </c>
      <c r="AD394" s="44">
        <v>0.603721</v>
      </c>
      <c r="AE394" s="44">
        <v>0.67735</v>
      </c>
      <c r="AF394" s="44">
        <v>2.176744</v>
      </c>
      <c r="AG394" s="44">
        <v>0.600367</v>
      </c>
      <c r="AH394" s="44">
        <v>0.76</v>
      </c>
      <c r="AI394" s="44">
        <v>0.81814</v>
      </c>
      <c r="AJ394" s="44">
        <v>13.13331</v>
      </c>
      <c r="AK394" s="44">
        <v>-2.40321</v>
      </c>
      <c r="AL394" s="44">
        <v>-1.68259</v>
      </c>
      <c r="AM394" s="44">
        <v>-1.38893</v>
      </c>
      <c r="AN394" s="44">
        <v>-1.55687</v>
      </c>
      <c r="AO394" s="44">
        <v>-2.34187</v>
      </c>
      <c r="AP394" s="44">
        <v>-0.26099</v>
      </c>
      <c r="AQ394" s="44">
        <v>0.611984</v>
      </c>
      <c r="AR394" s="44">
        <v>-0.47483</v>
      </c>
      <c r="AS394" s="44">
        <v>1.358353</v>
      </c>
    </row>
    <row r="395">
      <c r="A395" s="44">
        <v>394.0</v>
      </c>
      <c r="B395" s="389"/>
      <c r="C395" s="45"/>
      <c r="D395" s="45"/>
      <c r="E395" s="44">
        <v>-0.90524</v>
      </c>
      <c r="F395" s="44">
        <v>-0.04011</v>
      </c>
      <c r="G395" s="44">
        <v>1.568629</v>
      </c>
      <c r="H395" s="389"/>
      <c r="I395" s="46" t="s">
        <v>2290</v>
      </c>
      <c r="J395" s="46" t="s">
        <v>342</v>
      </c>
      <c r="K395" s="46" t="s">
        <v>1572</v>
      </c>
      <c r="L395" s="46" t="s">
        <v>2291</v>
      </c>
      <c r="M395" s="389"/>
      <c r="N395" s="46" t="s">
        <v>1562</v>
      </c>
      <c r="O395" s="389"/>
      <c r="P395" s="389"/>
      <c r="Q395" s="389"/>
      <c r="R395" s="46">
        <v>2.0</v>
      </c>
      <c r="S395" s="45"/>
      <c r="T395" s="46" t="s">
        <v>1630</v>
      </c>
      <c r="U395" s="44">
        <v>71.0</v>
      </c>
      <c r="V395" s="44">
        <v>16.0</v>
      </c>
      <c r="W395" s="389"/>
      <c r="X395" s="44">
        <v>15.0</v>
      </c>
      <c r="Y395" s="44">
        <v>5.35169</v>
      </c>
      <c r="Z395" s="44">
        <v>0.948873</v>
      </c>
      <c r="AA395" s="44">
        <v>2.5</v>
      </c>
      <c r="AB395" s="44">
        <v>0.968732</v>
      </c>
      <c r="AC395" s="44">
        <v>0.312535</v>
      </c>
      <c r="AD395" s="44">
        <v>0.12507</v>
      </c>
      <c r="AE395" s="44">
        <v>0.393404</v>
      </c>
      <c r="AF395" s="44">
        <v>4.531408</v>
      </c>
      <c r="AG395" s="44">
        <v>0.840068</v>
      </c>
      <c r="AH395" s="44">
        <v>0.996901</v>
      </c>
      <c r="AI395" s="44">
        <v>0.937465</v>
      </c>
      <c r="AJ395" s="44">
        <v>16.90971</v>
      </c>
      <c r="AK395" s="44">
        <v>-2.06018</v>
      </c>
      <c r="AL395" s="44">
        <v>-0.77504</v>
      </c>
      <c r="AM395" s="44">
        <v>-1.48026</v>
      </c>
      <c r="AN395" s="44">
        <v>-1.33668</v>
      </c>
      <c r="AO395" s="44">
        <v>-2.07463</v>
      </c>
      <c r="AP395" s="44">
        <v>-1.12441</v>
      </c>
      <c r="AQ395" s="44">
        <v>-0.63454</v>
      </c>
      <c r="AR395" s="44">
        <v>0.130923</v>
      </c>
      <c r="AS395" s="44">
        <v>1.207626</v>
      </c>
    </row>
    <row r="396">
      <c r="A396" s="44">
        <v>395.0</v>
      </c>
      <c r="B396" s="389"/>
      <c r="C396" s="45"/>
      <c r="D396" s="45"/>
      <c r="E396" s="44">
        <v>-0.90748</v>
      </c>
      <c r="F396" s="44">
        <v>0.002403</v>
      </c>
      <c r="G396" s="44">
        <v>-1.18197</v>
      </c>
      <c r="H396" s="389"/>
      <c r="I396" s="46" t="s">
        <v>2292</v>
      </c>
      <c r="J396" s="46" t="s">
        <v>283</v>
      </c>
      <c r="K396" s="46" t="s">
        <v>92</v>
      </c>
      <c r="L396" s="46" t="s">
        <v>2293</v>
      </c>
      <c r="M396" s="46" t="s">
        <v>2294</v>
      </c>
      <c r="N396" s="46" t="s">
        <v>1570</v>
      </c>
      <c r="O396" s="46" t="s">
        <v>1648</v>
      </c>
      <c r="P396" s="389"/>
      <c r="Q396" s="389"/>
      <c r="R396" s="46">
        <v>4.0</v>
      </c>
      <c r="S396" s="45"/>
      <c r="T396" s="46" t="s">
        <v>1905</v>
      </c>
      <c r="U396" s="44">
        <v>39.0</v>
      </c>
      <c r="V396" s="44">
        <v>14.0</v>
      </c>
      <c r="W396" s="389"/>
      <c r="X396" s="44">
        <v>14.0</v>
      </c>
      <c r="Y396" s="44">
        <v>2.878205</v>
      </c>
      <c r="Z396" s="44">
        <v>0.458462</v>
      </c>
      <c r="AA396" s="44">
        <v>1.88641</v>
      </c>
      <c r="AB396" s="44">
        <v>0.852564</v>
      </c>
      <c r="AC396" s="44">
        <v>0.220513</v>
      </c>
      <c r="AD396" s="44">
        <v>0.437949</v>
      </c>
      <c r="AE396" s="44">
        <v>0.434142</v>
      </c>
      <c r="AF396" s="44">
        <v>2.314615</v>
      </c>
      <c r="AG396" s="44">
        <v>0.76986</v>
      </c>
      <c r="AH396" s="44">
        <v>0.532564</v>
      </c>
      <c r="AI396" s="44">
        <v>0.436667</v>
      </c>
      <c r="AJ396" s="44">
        <v>9.466827</v>
      </c>
      <c r="AK396" s="44">
        <v>-2.49607</v>
      </c>
      <c r="AL396" s="44">
        <v>-1.2441</v>
      </c>
      <c r="AM396" s="44">
        <v>-1.73205</v>
      </c>
      <c r="AN396" s="44">
        <v>-1.39273</v>
      </c>
      <c r="AO396" s="44">
        <v>-2.34794</v>
      </c>
      <c r="AP396" s="44">
        <v>-0.56002</v>
      </c>
      <c r="AQ396" s="44">
        <v>-0.18135</v>
      </c>
      <c r="AR396" s="44">
        <v>-0.05332</v>
      </c>
      <c r="AS396" s="44">
        <v>1.840213</v>
      </c>
    </row>
    <row r="397">
      <c r="A397" s="44">
        <v>396.0</v>
      </c>
      <c r="B397" s="389"/>
      <c r="C397" s="45"/>
      <c r="D397" s="45"/>
      <c r="E397" s="44">
        <v>-0.90901</v>
      </c>
      <c r="F397" s="44">
        <v>0.002249</v>
      </c>
      <c r="G397" s="44">
        <v>1.308438</v>
      </c>
      <c r="H397" s="389"/>
      <c r="I397" s="46" t="s">
        <v>2295</v>
      </c>
      <c r="J397" s="46" t="s">
        <v>490</v>
      </c>
      <c r="K397" s="46" t="s">
        <v>90</v>
      </c>
      <c r="L397" s="46" t="s">
        <v>2296</v>
      </c>
      <c r="M397" s="389"/>
      <c r="N397" s="46" t="s">
        <v>1562</v>
      </c>
      <c r="O397" s="46" t="s">
        <v>1689</v>
      </c>
      <c r="P397" s="389"/>
      <c r="Q397" s="389"/>
      <c r="R397" s="46">
        <v>5.0</v>
      </c>
      <c r="S397" s="45"/>
      <c r="T397" s="46" t="s">
        <v>1630</v>
      </c>
      <c r="U397" s="44">
        <v>50.0</v>
      </c>
      <c r="V397" s="44">
        <v>16.0</v>
      </c>
      <c r="W397" s="389"/>
      <c r="X397" s="44">
        <v>13.0</v>
      </c>
      <c r="Y397" s="44">
        <v>2.9652</v>
      </c>
      <c r="Z397" s="44">
        <v>0.3128</v>
      </c>
      <c r="AA397" s="44">
        <v>2.9914</v>
      </c>
      <c r="AB397" s="44">
        <v>1.4324</v>
      </c>
      <c r="AC397" s="44">
        <v>0.433</v>
      </c>
      <c r="AD397" s="44">
        <v>0.0756</v>
      </c>
      <c r="AE397" s="44">
        <v>0.424475</v>
      </c>
      <c r="AF397" s="44">
        <v>2.7064</v>
      </c>
      <c r="AG397" s="44">
        <v>0.65558</v>
      </c>
      <c r="AH397" s="44">
        <v>0.5412</v>
      </c>
      <c r="AI397" s="44">
        <v>0.702</v>
      </c>
      <c r="AJ397" s="44">
        <v>11.83467</v>
      </c>
      <c r="AK397" s="44">
        <v>-2.48074</v>
      </c>
      <c r="AL397" s="44">
        <v>-1.38342</v>
      </c>
      <c r="AM397" s="44">
        <v>-1.27861</v>
      </c>
      <c r="AN397" s="44">
        <v>-1.11298</v>
      </c>
      <c r="AO397" s="44">
        <v>-1.71684</v>
      </c>
      <c r="AP397" s="44">
        <v>-1.21365</v>
      </c>
      <c r="AQ397" s="44">
        <v>-0.25189</v>
      </c>
      <c r="AR397" s="44">
        <v>-0.24804</v>
      </c>
      <c r="AS397" s="44">
        <v>1.505055</v>
      </c>
    </row>
    <row r="398">
      <c r="A398" s="44">
        <v>397.0</v>
      </c>
      <c r="B398" s="389"/>
      <c r="C398" s="45"/>
      <c r="D398" s="45"/>
      <c r="E398" s="44">
        <v>-0.91125</v>
      </c>
      <c r="F398" s="44">
        <v>0.002423</v>
      </c>
      <c r="G398" s="44">
        <v>1.568629</v>
      </c>
      <c r="H398" s="389"/>
      <c r="I398" s="46" t="s">
        <v>2297</v>
      </c>
      <c r="J398" s="46" t="s">
        <v>342</v>
      </c>
      <c r="K398" s="46" t="s">
        <v>1568</v>
      </c>
      <c r="L398" s="46" t="s">
        <v>2298</v>
      </c>
      <c r="M398" s="389"/>
      <c r="N398" s="46" t="s">
        <v>1562</v>
      </c>
      <c r="O398" s="389"/>
      <c r="P398" s="389"/>
      <c r="Q398" s="45"/>
      <c r="R398" s="46">
        <v>4.0</v>
      </c>
      <c r="S398" s="45"/>
      <c r="T398" s="46" t="s">
        <v>1905</v>
      </c>
      <c r="U398" s="44">
        <v>32.0</v>
      </c>
      <c r="V398" s="44">
        <v>16.0</v>
      </c>
      <c r="W398" s="389"/>
      <c r="X398" s="44">
        <v>11.0</v>
      </c>
      <c r="Y398" s="44">
        <v>2.472813</v>
      </c>
      <c r="Z398" s="44">
        <v>0.335625</v>
      </c>
      <c r="AA398" s="44">
        <v>1.833438</v>
      </c>
      <c r="AB398" s="44">
        <v>1.008438</v>
      </c>
      <c r="AC398" s="44">
        <v>0.504063</v>
      </c>
      <c r="AD398" s="44">
        <v>0.1375</v>
      </c>
      <c r="AE398" s="44">
        <v>0.41904</v>
      </c>
      <c r="AF398" s="44">
        <v>2.084375</v>
      </c>
      <c r="AG398" s="44">
        <v>0.719885</v>
      </c>
      <c r="AH398" s="44">
        <v>0.542188</v>
      </c>
      <c r="AI398" s="44">
        <v>0.504063</v>
      </c>
      <c r="AJ398" s="44">
        <v>11.03459</v>
      </c>
      <c r="AK398" s="44">
        <v>-2.5675</v>
      </c>
      <c r="AL398" s="44">
        <v>-1.36158</v>
      </c>
      <c r="AM398" s="44">
        <v>-1.75379</v>
      </c>
      <c r="AN398" s="44">
        <v>-1.31753</v>
      </c>
      <c r="AO398" s="44">
        <v>-1.50578</v>
      </c>
      <c r="AP398" s="44">
        <v>-1.10199</v>
      </c>
      <c r="AQ398" s="44">
        <v>-0.20911</v>
      </c>
      <c r="AR398" s="44">
        <v>-0.13908</v>
      </c>
      <c r="AS398" s="44">
        <v>1.755082</v>
      </c>
    </row>
    <row r="399">
      <c r="A399" s="44">
        <v>398.0</v>
      </c>
      <c r="B399" s="389"/>
      <c r="C399" s="45"/>
      <c r="D399" s="45"/>
      <c r="E399" s="44">
        <v>-0.91145</v>
      </c>
      <c r="F399" s="44">
        <v>0.005507</v>
      </c>
      <c r="G399" s="44">
        <v>-0.0204</v>
      </c>
      <c r="H399" s="389"/>
      <c r="I399" s="46" t="s">
        <v>2299</v>
      </c>
      <c r="J399" s="46" t="s">
        <v>304</v>
      </c>
      <c r="K399" s="46" t="s">
        <v>97</v>
      </c>
      <c r="L399" s="46" t="s">
        <v>2300</v>
      </c>
      <c r="M399" s="389"/>
      <c r="N399" s="46" t="s">
        <v>1570</v>
      </c>
      <c r="O399" s="46" t="s">
        <v>1648</v>
      </c>
      <c r="P399" s="389"/>
      <c r="Q399" s="45"/>
      <c r="R399" s="46">
        <v>2.0</v>
      </c>
      <c r="S399" s="45"/>
      <c r="T399" s="46" t="s">
        <v>1905</v>
      </c>
      <c r="U399" s="44">
        <v>39.0</v>
      </c>
      <c r="V399" s="44">
        <v>13.0</v>
      </c>
      <c r="W399" s="389"/>
      <c r="X399" s="44">
        <v>12.0</v>
      </c>
      <c r="Y399" s="44">
        <v>3.827436</v>
      </c>
      <c r="Z399" s="44">
        <v>0.425385</v>
      </c>
      <c r="AA399" s="44">
        <v>2.575128</v>
      </c>
      <c r="AB399" s="44">
        <v>0.798205</v>
      </c>
      <c r="AC399" s="44">
        <v>0.619487</v>
      </c>
      <c r="AD399" s="44">
        <v>0.308974</v>
      </c>
      <c r="AE399" s="44">
        <v>0.382066</v>
      </c>
      <c r="AF399" s="44">
        <v>3.760256</v>
      </c>
      <c r="AG399" s="44">
        <v>0.585962</v>
      </c>
      <c r="AH399" s="44">
        <v>0.902308</v>
      </c>
      <c r="AI399" s="44">
        <v>0.772564</v>
      </c>
      <c r="AJ399" s="44">
        <v>16.88356</v>
      </c>
      <c r="AK399" s="44">
        <v>-2.32879</v>
      </c>
      <c r="AL399" s="44">
        <v>-1.27573</v>
      </c>
      <c r="AM399" s="44">
        <v>-1.44943</v>
      </c>
      <c r="AN399" s="44">
        <v>-1.41895</v>
      </c>
      <c r="AO399" s="44">
        <v>-1.16296</v>
      </c>
      <c r="AP399" s="44">
        <v>-0.79267</v>
      </c>
      <c r="AQ399" s="44">
        <v>-0.58833</v>
      </c>
      <c r="AR399" s="44">
        <v>-0.60213</v>
      </c>
      <c r="AS399" s="44">
        <v>1.415922</v>
      </c>
    </row>
    <row r="400">
      <c r="A400" s="44">
        <v>399.0</v>
      </c>
      <c r="B400" s="389"/>
      <c r="C400" s="389"/>
      <c r="D400" s="389"/>
      <c r="E400" s="44">
        <v>-0.91638</v>
      </c>
      <c r="F400" s="44">
        <v>0.001167</v>
      </c>
      <c r="G400" s="44">
        <v>0.648667</v>
      </c>
      <c r="H400" s="389"/>
      <c r="I400" s="46" t="s">
        <v>2301</v>
      </c>
      <c r="J400" s="46" t="s">
        <v>278</v>
      </c>
      <c r="K400" s="46" t="s">
        <v>88</v>
      </c>
      <c r="L400" s="46" t="s">
        <v>2302</v>
      </c>
      <c r="M400" s="389"/>
      <c r="N400" s="46" t="s">
        <v>1570</v>
      </c>
      <c r="O400" s="389"/>
      <c r="P400" s="389"/>
      <c r="Q400" s="45"/>
      <c r="R400" s="46">
        <v>3.0</v>
      </c>
      <c r="S400" s="45"/>
      <c r="T400" s="46" t="s">
        <v>1905</v>
      </c>
      <c r="U400" s="44">
        <v>43.0</v>
      </c>
      <c r="V400" s="44">
        <v>14.0</v>
      </c>
      <c r="W400" s="389"/>
      <c r="X400" s="44">
        <v>15.0</v>
      </c>
      <c r="Y400" s="44">
        <v>8.013256</v>
      </c>
      <c r="Z400" s="44">
        <v>1.235349</v>
      </c>
      <c r="AA400" s="44">
        <v>1.388837</v>
      </c>
      <c r="AB400" s="44">
        <v>1.357209</v>
      </c>
      <c r="AC400" s="44">
        <v>0.410465</v>
      </c>
      <c r="AD400" s="44">
        <v>0.063023</v>
      </c>
      <c r="AE400" s="44">
        <v>0.420334</v>
      </c>
      <c r="AF400" s="44">
        <v>6.880465</v>
      </c>
      <c r="AG400" s="44">
        <v>0.759915</v>
      </c>
      <c r="AH400" s="44">
        <v>1.307674</v>
      </c>
      <c r="AI400" s="44">
        <v>1.262558</v>
      </c>
      <c r="AJ400" s="44">
        <v>24.85955</v>
      </c>
      <c r="AK400" s="44">
        <v>-1.59116</v>
      </c>
      <c r="AL400" s="44">
        <v>-0.50105</v>
      </c>
      <c r="AM400" s="44">
        <v>-1.93623</v>
      </c>
      <c r="AN400" s="44">
        <v>-1.14926</v>
      </c>
      <c r="AO400" s="44">
        <v>-1.78377</v>
      </c>
      <c r="AP400" s="44">
        <v>-1.23633</v>
      </c>
      <c r="AQ400" s="44">
        <v>-0.69342</v>
      </c>
      <c r="AR400" s="44">
        <v>-0.15316</v>
      </c>
      <c r="AS400" s="44">
        <v>0.796983</v>
      </c>
    </row>
    <row r="401">
      <c r="A401" s="44">
        <v>400.0</v>
      </c>
      <c r="B401" s="389"/>
      <c r="C401" s="45"/>
      <c r="D401" s="45"/>
      <c r="E401" s="44">
        <v>-0.91658</v>
      </c>
      <c r="F401" s="44">
        <v>0.002277</v>
      </c>
      <c r="G401" s="44">
        <v>0.918151</v>
      </c>
      <c r="H401" s="389"/>
      <c r="I401" s="46" t="s">
        <v>2303</v>
      </c>
      <c r="J401" s="46" t="s">
        <v>269</v>
      </c>
      <c r="K401" s="46" t="s">
        <v>1572</v>
      </c>
      <c r="L401" s="46" t="s">
        <v>2304</v>
      </c>
      <c r="M401" s="389"/>
      <c r="N401" s="46" t="s">
        <v>1562</v>
      </c>
      <c r="O401" s="45"/>
      <c r="P401" s="389"/>
      <c r="Q401" s="389"/>
      <c r="R401" s="389"/>
      <c r="S401" s="45"/>
      <c r="T401" s="46" t="s">
        <v>1905</v>
      </c>
      <c r="U401" s="44">
        <v>46.0</v>
      </c>
      <c r="V401" s="44">
        <v>16.0</v>
      </c>
      <c r="W401" s="389"/>
      <c r="X401" s="44">
        <v>10.0</v>
      </c>
      <c r="Y401" s="44">
        <v>2.496087</v>
      </c>
      <c r="Z401" s="44">
        <v>0.430435</v>
      </c>
      <c r="AA401" s="44">
        <v>1.725435</v>
      </c>
      <c r="AB401" s="44">
        <v>0.58913</v>
      </c>
      <c r="AC401" s="44">
        <v>0.336739</v>
      </c>
      <c r="AD401" s="44">
        <v>0.210435</v>
      </c>
      <c r="AE401" s="44">
        <v>0.446365</v>
      </c>
      <c r="AF401" s="44">
        <v>2.12587</v>
      </c>
      <c r="AG401" s="44">
        <v>0.789366</v>
      </c>
      <c r="AH401" s="44">
        <v>0.212609</v>
      </c>
      <c r="AI401" s="44">
        <v>0.294565</v>
      </c>
      <c r="AJ401" s="44">
        <v>10.84405</v>
      </c>
      <c r="AK401" s="44">
        <v>-2.5634</v>
      </c>
      <c r="AL401" s="44">
        <v>-1.2709</v>
      </c>
      <c r="AM401" s="44">
        <v>-1.79811</v>
      </c>
      <c r="AN401" s="44">
        <v>-1.51982</v>
      </c>
      <c r="AO401" s="44">
        <v>-2.00274</v>
      </c>
      <c r="AP401" s="44">
        <v>-0.97042</v>
      </c>
      <c r="AQ401" s="44">
        <v>-0.12759</v>
      </c>
      <c r="AR401" s="44">
        <v>-0.01594</v>
      </c>
      <c r="AS401" s="44">
        <v>2.019709</v>
      </c>
    </row>
    <row r="402">
      <c r="A402" s="44">
        <v>401.0</v>
      </c>
      <c r="B402" s="389"/>
      <c r="C402" s="45"/>
      <c r="D402" s="45"/>
      <c r="E402" s="44">
        <v>-0.92558</v>
      </c>
      <c r="F402" s="44">
        <v>0.002873</v>
      </c>
      <c r="G402" s="44">
        <v>0.760177</v>
      </c>
      <c r="H402" s="389"/>
      <c r="I402" s="46" t="s">
        <v>2305</v>
      </c>
      <c r="J402" s="46" t="s">
        <v>269</v>
      </c>
      <c r="K402" s="46" t="s">
        <v>1581</v>
      </c>
      <c r="L402" s="46" t="s">
        <v>2306</v>
      </c>
      <c r="M402" s="389"/>
      <c r="N402" s="46" t="s">
        <v>1562</v>
      </c>
      <c r="O402" s="389"/>
      <c r="P402" s="389"/>
      <c r="Q402" s="45"/>
      <c r="R402" s="46">
        <v>4.0</v>
      </c>
      <c r="S402" s="45"/>
      <c r="T402" s="46" t="s">
        <v>2183</v>
      </c>
      <c r="U402" s="44">
        <v>16.0</v>
      </c>
      <c r="V402" s="44">
        <v>16.0</v>
      </c>
      <c r="W402" s="389"/>
      <c r="X402" s="44">
        <v>9.0</v>
      </c>
      <c r="Y402" s="44">
        <v>2.65125</v>
      </c>
      <c r="Z402" s="44">
        <v>0.2725</v>
      </c>
      <c r="AA402" s="44">
        <v>1.855625</v>
      </c>
      <c r="AB402" s="44">
        <v>0.363125</v>
      </c>
      <c r="AC402" s="44">
        <v>0.24625</v>
      </c>
      <c r="AD402" s="44">
        <v>0.515</v>
      </c>
      <c r="AE402" s="44">
        <v>0.464405</v>
      </c>
      <c r="AF402" s="44">
        <v>2.063125</v>
      </c>
      <c r="AG402" s="44">
        <v>0.656028</v>
      </c>
      <c r="AH402" s="44">
        <v>0.705</v>
      </c>
      <c r="AI402" s="44">
        <v>0.24625</v>
      </c>
      <c r="AJ402" s="44">
        <v>12.55502</v>
      </c>
      <c r="AK402" s="44">
        <v>-2.53606</v>
      </c>
      <c r="AL402" s="44">
        <v>-1.42196</v>
      </c>
      <c r="AM402" s="44">
        <v>-1.74468</v>
      </c>
      <c r="AN402" s="44">
        <v>-1.62886</v>
      </c>
      <c r="AO402" s="44">
        <v>-2.2715</v>
      </c>
      <c r="AP402" s="44">
        <v>-0.42103</v>
      </c>
      <c r="AQ402" s="44">
        <v>-0.06863</v>
      </c>
      <c r="AR402" s="44">
        <v>-0.31826</v>
      </c>
      <c r="AS402" s="44">
        <v>2.080739</v>
      </c>
    </row>
    <row r="403">
      <c r="A403" s="44">
        <v>402.0</v>
      </c>
      <c r="B403" s="389"/>
      <c r="C403" s="45"/>
      <c r="D403" s="45"/>
      <c r="E403" s="44">
        <v>-0.92946</v>
      </c>
      <c r="F403" s="44">
        <v>9.3E-4</v>
      </c>
      <c r="G403" s="44">
        <v>1.568629</v>
      </c>
      <c r="H403" s="389"/>
      <c r="I403" s="46" t="s">
        <v>2307</v>
      </c>
      <c r="J403" s="46" t="s">
        <v>317</v>
      </c>
      <c r="K403" s="46" t="s">
        <v>1568</v>
      </c>
      <c r="L403" s="46" t="s">
        <v>2308</v>
      </c>
      <c r="M403" s="389"/>
      <c r="N403" s="46" t="s">
        <v>1562</v>
      </c>
      <c r="O403" s="389"/>
      <c r="P403" s="389"/>
      <c r="Q403" s="45"/>
      <c r="R403" s="46">
        <v>2.0</v>
      </c>
      <c r="S403" s="45"/>
      <c r="T403" s="46" t="s">
        <v>1905</v>
      </c>
      <c r="U403" s="44">
        <v>46.0</v>
      </c>
      <c r="V403" s="44">
        <v>14.0</v>
      </c>
      <c r="W403" s="389"/>
      <c r="X403" s="44">
        <v>16.0</v>
      </c>
      <c r="Y403" s="44">
        <v>5.071522</v>
      </c>
      <c r="Z403" s="44">
        <v>0.936522</v>
      </c>
      <c r="AA403" s="44">
        <v>1.616087</v>
      </c>
      <c r="AB403" s="44">
        <v>1.851739</v>
      </c>
      <c r="AC403" s="44">
        <v>0.370435</v>
      </c>
      <c r="AD403" s="44">
        <v>0.101087</v>
      </c>
      <c r="AE403" s="44">
        <v>0.386383</v>
      </c>
      <c r="AF403" s="44">
        <v>4.748043</v>
      </c>
      <c r="AG403" s="44">
        <v>0.754843</v>
      </c>
      <c r="AH403" s="44">
        <v>0.617174</v>
      </c>
      <c r="AI403" s="44">
        <v>0.976304</v>
      </c>
      <c r="AJ403" s="44">
        <v>16.01546</v>
      </c>
      <c r="AK403" s="44">
        <v>-2.10956</v>
      </c>
      <c r="AL403" s="44">
        <v>-0.78686</v>
      </c>
      <c r="AM403" s="44">
        <v>-1.84298</v>
      </c>
      <c r="AN403" s="44">
        <v>-0.91067</v>
      </c>
      <c r="AO403" s="44">
        <v>-1.90266</v>
      </c>
      <c r="AP403" s="44">
        <v>-1.16767</v>
      </c>
      <c r="AQ403" s="44">
        <v>-0.71446</v>
      </c>
      <c r="AR403" s="44">
        <v>-0.08885</v>
      </c>
      <c r="AS403" s="44">
        <v>1.158566</v>
      </c>
    </row>
    <row r="404">
      <c r="A404" s="44">
        <v>403.0</v>
      </c>
      <c r="B404" s="389"/>
      <c r="C404" s="45"/>
      <c r="D404" s="45"/>
      <c r="E404" s="44">
        <v>-0.9325</v>
      </c>
      <c r="F404" s="44">
        <v>0.001614</v>
      </c>
      <c r="G404" s="44">
        <v>0.88098</v>
      </c>
      <c r="H404" s="389"/>
      <c r="I404" s="46" t="s">
        <v>2309</v>
      </c>
      <c r="J404" s="46" t="s">
        <v>1560</v>
      </c>
      <c r="K404" s="46" t="s">
        <v>88</v>
      </c>
      <c r="L404" s="46" t="s">
        <v>2310</v>
      </c>
      <c r="M404" s="389"/>
      <c r="N404" s="46" t="s">
        <v>1562</v>
      </c>
      <c r="O404" s="46" t="s">
        <v>1848</v>
      </c>
      <c r="P404" s="389"/>
      <c r="Q404" s="389"/>
      <c r="R404" s="46">
        <v>2.0</v>
      </c>
      <c r="S404" s="45"/>
      <c r="T404" s="46" t="s">
        <v>1905</v>
      </c>
      <c r="U404" s="44">
        <v>46.0</v>
      </c>
      <c r="V404" s="44">
        <v>14.0</v>
      </c>
      <c r="W404" s="389"/>
      <c r="X404" s="44">
        <v>9.0</v>
      </c>
      <c r="Y404" s="44">
        <v>3.10587</v>
      </c>
      <c r="Z404" s="44">
        <v>0.793478</v>
      </c>
      <c r="AA404" s="44">
        <v>1.185652</v>
      </c>
      <c r="AB404" s="44">
        <v>0.560217</v>
      </c>
      <c r="AC404" s="44">
        <v>0.278478</v>
      </c>
      <c r="AD404" s="44">
        <v>0.155435</v>
      </c>
      <c r="AE404" s="44">
        <v>0.413365</v>
      </c>
      <c r="AF404" s="44">
        <v>2.677391</v>
      </c>
      <c r="AG404" s="44">
        <v>0.77911</v>
      </c>
      <c r="AH404" s="44">
        <v>0.126957</v>
      </c>
      <c r="AI404" s="44">
        <v>0.232826</v>
      </c>
      <c r="AJ404" s="44">
        <v>13.99312</v>
      </c>
      <c r="AK404" s="44">
        <v>-2.45595</v>
      </c>
      <c r="AL404" s="44">
        <v>-0.92367</v>
      </c>
      <c r="AM404" s="44">
        <v>-2.01961</v>
      </c>
      <c r="AN404" s="44">
        <v>-1.53377</v>
      </c>
      <c r="AO404" s="44">
        <v>-2.17578</v>
      </c>
      <c r="AP404" s="44">
        <v>-1.06964</v>
      </c>
      <c r="AQ404" s="44">
        <v>-0.29307</v>
      </c>
      <c r="AR404" s="44">
        <v>-0.01875</v>
      </c>
      <c r="AS404" s="44">
        <v>2.097696</v>
      </c>
    </row>
    <row r="405">
      <c r="A405" s="44">
        <v>404.0</v>
      </c>
      <c r="B405" s="389"/>
      <c r="C405" s="45"/>
      <c r="D405" s="45"/>
      <c r="E405" s="44">
        <v>-0.93389</v>
      </c>
      <c r="F405" s="44">
        <v>0.002732</v>
      </c>
      <c r="G405" s="44">
        <v>0.88098</v>
      </c>
      <c r="H405" s="389"/>
      <c r="I405" s="46" t="s">
        <v>2311</v>
      </c>
      <c r="J405" s="46" t="s">
        <v>428</v>
      </c>
      <c r="K405" s="46" t="s">
        <v>90</v>
      </c>
      <c r="L405" s="46" t="s">
        <v>2312</v>
      </c>
      <c r="M405" s="389"/>
      <c r="N405" s="46" t="s">
        <v>1562</v>
      </c>
      <c r="O405" s="389"/>
      <c r="P405" s="389"/>
      <c r="Q405" s="45"/>
      <c r="R405" s="46">
        <v>2.0</v>
      </c>
      <c r="S405" s="45"/>
      <c r="T405" s="46" t="s">
        <v>1905</v>
      </c>
      <c r="U405" s="44">
        <v>23.0</v>
      </c>
      <c r="V405" s="44">
        <v>14.0</v>
      </c>
      <c r="W405" s="389"/>
      <c r="X405" s="44">
        <v>10.0</v>
      </c>
      <c r="Y405" s="44">
        <v>3.418261</v>
      </c>
      <c r="Z405" s="44">
        <v>0.36913</v>
      </c>
      <c r="AA405" s="44">
        <v>1.920435</v>
      </c>
      <c r="AB405" s="44">
        <v>0.53087</v>
      </c>
      <c r="AC405" s="44">
        <v>0.383478</v>
      </c>
      <c r="AD405" s="44">
        <v>0.171739</v>
      </c>
      <c r="AE405" s="44">
        <v>0.466063</v>
      </c>
      <c r="AF405" s="44">
        <v>2.735217</v>
      </c>
      <c r="AG405" s="44">
        <v>0.768048</v>
      </c>
      <c r="AH405" s="44">
        <v>0.650435</v>
      </c>
      <c r="AI405" s="44">
        <v>0.588696</v>
      </c>
      <c r="AJ405" s="44">
        <v>15.44807</v>
      </c>
      <c r="AK405" s="44">
        <v>-2.4009</v>
      </c>
      <c r="AL405" s="44">
        <v>-1.32954</v>
      </c>
      <c r="AM405" s="44">
        <v>-1.71809</v>
      </c>
      <c r="AN405" s="44">
        <v>-1.54793</v>
      </c>
      <c r="AO405" s="44">
        <v>-1.86392</v>
      </c>
      <c r="AP405" s="44">
        <v>-1.04022</v>
      </c>
      <c r="AQ405" s="44">
        <v>-0.0866</v>
      </c>
      <c r="AR405" s="44">
        <v>-0.066</v>
      </c>
      <c r="AS405" s="44">
        <v>1.648177</v>
      </c>
    </row>
    <row r="406">
      <c r="A406" s="44">
        <v>405.0</v>
      </c>
      <c r="B406" s="389"/>
      <c r="C406" s="45"/>
      <c r="D406" s="45"/>
      <c r="E406" s="44">
        <v>-0.9348</v>
      </c>
      <c r="F406" s="44">
        <v>0.002184</v>
      </c>
      <c r="G406" s="44">
        <v>1.28056</v>
      </c>
      <c r="H406" s="389"/>
      <c r="I406" s="46" t="s">
        <v>2313</v>
      </c>
      <c r="J406" s="46" t="s">
        <v>1578</v>
      </c>
      <c r="K406" s="46" t="s">
        <v>92</v>
      </c>
      <c r="L406" s="389"/>
      <c r="M406" s="389"/>
      <c r="N406" s="46" t="s">
        <v>1562</v>
      </c>
      <c r="O406" s="46" t="s">
        <v>2139</v>
      </c>
      <c r="P406" s="389"/>
      <c r="Q406" s="389"/>
      <c r="R406" s="46">
        <v>3.0</v>
      </c>
      <c r="S406" s="45"/>
      <c r="T406" s="46" t="s">
        <v>2183</v>
      </c>
      <c r="U406" s="44">
        <v>16.0</v>
      </c>
      <c r="V406" s="44">
        <v>15.0</v>
      </c>
      <c r="W406" s="389"/>
      <c r="X406" s="44">
        <v>8.0</v>
      </c>
      <c r="Y406" s="44">
        <v>3.073125</v>
      </c>
      <c r="Z406" s="44">
        <v>0.475</v>
      </c>
      <c r="AA406" s="44">
        <v>1.58625</v>
      </c>
      <c r="AB406" s="44">
        <v>0.495</v>
      </c>
      <c r="AC406" s="44">
        <v>0.30125</v>
      </c>
      <c r="AD406" s="44">
        <v>0.215</v>
      </c>
      <c r="AE406" s="44">
        <v>0.446364</v>
      </c>
      <c r="AF406" s="44">
        <v>2.604375</v>
      </c>
      <c r="AG406" s="44">
        <v>0.748288</v>
      </c>
      <c r="AH406" s="44">
        <v>0.365</v>
      </c>
      <c r="AI406" s="44">
        <v>0.3175</v>
      </c>
      <c r="AJ406" s="44">
        <v>16.80071</v>
      </c>
      <c r="AK406" s="44">
        <v>-2.46172</v>
      </c>
      <c r="AL406" s="44">
        <v>-1.22828</v>
      </c>
      <c r="AM406" s="44">
        <v>-1.85522</v>
      </c>
      <c r="AN406" s="44">
        <v>-1.56523</v>
      </c>
      <c r="AO406" s="44">
        <v>-2.10815</v>
      </c>
      <c r="AP406" s="44">
        <v>-0.96219</v>
      </c>
      <c r="AQ406" s="44">
        <v>-0.15791</v>
      </c>
      <c r="AR406" s="44">
        <v>-0.06527</v>
      </c>
      <c r="AS406" s="44">
        <v>1.990739</v>
      </c>
    </row>
    <row r="407">
      <c r="A407" s="44">
        <v>406.0</v>
      </c>
      <c r="B407" s="389"/>
      <c r="C407" s="45"/>
      <c r="D407" s="45"/>
      <c r="E407" s="44">
        <v>-0.93711</v>
      </c>
      <c r="F407" s="44">
        <v>0.002534</v>
      </c>
      <c r="G407" s="44">
        <v>0.741592</v>
      </c>
      <c r="H407" s="389"/>
      <c r="I407" s="46" t="s">
        <v>2314</v>
      </c>
      <c r="J407" s="46" t="s">
        <v>308</v>
      </c>
      <c r="K407" s="46" t="s">
        <v>92</v>
      </c>
      <c r="L407" s="46" t="s">
        <v>2315</v>
      </c>
      <c r="M407" s="389"/>
      <c r="N407" s="46" t="s">
        <v>1562</v>
      </c>
      <c r="O407" s="389"/>
      <c r="P407" s="389"/>
      <c r="Q407" s="389"/>
      <c r="R407" s="46">
        <v>2.0</v>
      </c>
      <c r="S407" s="45"/>
      <c r="T407" s="46" t="s">
        <v>1630</v>
      </c>
      <c r="U407" s="44">
        <v>71.0</v>
      </c>
      <c r="V407" s="44">
        <v>15.0</v>
      </c>
      <c r="W407" s="389"/>
      <c r="X407" s="44">
        <v>10.0</v>
      </c>
      <c r="Y407" s="44">
        <v>3.581127</v>
      </c>
      <c r="Z407" s="44">
        <v>0.282394</v>
      </c>
      <c r="AA407" s="44">
        <v>2.020845</v>
      </c>
      <c r="AB407" s="44">
        <v>0.848732</v>
      </c>
      <c r="AC407" s="44">
        <v>0.287465</v>
      </c>
      <c r="AD407" s="44">
        <v>0.141408</v>
      </c>
      <c r="AE407" s="44">
        <v>0.511621</v>
      </c>
      <c r="AF407" s="44">
        <v>2.951127</v>
      </c>
      <c r="AG407" s="44">
        <v>0.675418</v>
      </c>
      <c r="AH407" s="44">
        <v>0.413099</v>
      </c>
      <c r="AI407" s="44">
        <v>0.525352</v>
      </c>
      <c r="AJ407" s="44">
        <v>16.34321</v>
      </c>
      <c r="AK407" s="44">
        <v>-2.3722</v>
      </c>
      <c r="AL407" s="44">
        <v>-1.4125</v>
      </c>
      <c r="AM407" s="44">
        <v>-1.67689</v>
      </c>
      <c r="AN407" s="44">
        <v>-1.39458</v>
      </c>
      <c r="AO407" s="44">
        <v>-2.14909</v>
      </c>
      <c r="AP407" s="44">
        <v>-1.09494</v>
      </c>
      <c r="AQ407" s="44">
        <v>0.104627</v>
      </c>
      <c r="AR407" s="44">
        <v>-0.16664</v>
      </c>
      <c r="AS407" s="44">
        <v>1.728189</v>
      </c>
    </row>
    <row r="408">
      <c r="A408" s="44">
        <v>407.0</v>
      </c>
      <c r="B408" s="389"/>
      <c r="C408" s="45"/>
      <c r="D408" s="45"/>
      <c r="E408" s="44">
        <v>-0.94138</v>
      </c>
      <c r="F408" s="44">
        <v>0.002166</v>
      </c>
      <c r="G408" s="44">
        <v>1.150464</v>
      </c>
      <c r="H408" s="389"/>
      <c r="I408" s="46" t="s">
        <v>2316</v>
      </c>
      <c r="J408" s="46" t="s">
        <v>350</v>
      </c>
      <c r="K408" s="46" t="s">
        <v>88</v>
      </c>
      <c r="L408" s="46" t="s">
        <v>2317</v>
      </c>
      <c r="M408" s="389"/>
      <c r="N408" s="46" t="s">
        <v>1562</v>
      </c>
      <c r="O408" s="46" t="s">
        <v>2318</v>
      </c>
      <c r="P408" s="389"/>
      <c r="Q408" s="45"/>
      <c r="R408" s="46">
        <v>2.0</v>
      </c>
      <c r="S408" s="45"/>
      <c r="T408" s="46" t="s">
        <v>2183</v>
      </c>
      <c r="U408" s="44">
        <v>16.0</v>
      </c>
      <c r="V408" s="44">
        <v>14.0</v>
      </c>
      <c r="W408" s="389"/>
      <c r="X408" s="44">
        <v>10.0</v>
      </c>
      <c r="Y408" s="44">
        <v>3.951875</v>
      </c>
      <c r="Z408" s="44">
        <v>0.725625</v>
      </c>
      <c r="AA408" s="44">
        <v>1.616875</v>
      </c>
      <c r="AB408" s="44">
        <v>0.3175</v>
      </c>
      <c r="AC408" s="44">
        <v>0.2375</v>
      </c>
      <c r="AD408" s="44">
        <v>0.20125</v>
      </c>
      <c r="AE408" s="44">
        <v>0.450097</v>
      </c>
      <c r="AF408" s="44">
        <v>3.23125</v>
      </c>
      <c r="AG408" s="44">
        <v>0.755952</v>
      </c>
      <c r="AH408" s="44">
        <v>0.42</v>
      </c>
      <c r="AI408" s="44">
        <v>0.43375</v>
      </c>
      <c r="AJ408" s="44">
        <v>17.28523</v>
      </c>
      <c r="AK408" s="44">
        <v>-2.30686</v>
      </c>
      <c r="AL408" s="44">
        <v>-0.98857</v>
      </c>
      <c r="AM408" s="44">
        <v>-1.84266</v>
      </c>
      <c r="AN408" s="44">
        <v>-1.65087</v>
      </c>
      <c r="AO408" s="44">
        <v>-2.29749</v>
      </c>
      <c r="AP408" s="44">
        <v>-0.98699</v>
      </c>
      <c r="AQ408" s="44">
        <v>-0.17981</v>
      </c>
      <c r="AR408" s="44">
        <v>-0.06308</v>
      </c>
      <c r="AS408" s="44">
        <v>1.843897</v>
      </c>
    </row>
    <row r="409">
      <c r="A409" s="44">
        <v>408.0</v>
      </c>
      <c r="B409" s="389"/>
      <c r="C409" s="45"/>
      <c r="D409" s="45"/>
      <c r="E409" s="44">
        <v>-0.94273</v>
      </c>
      <c r="F409" s="44">
        <v>-0.00321</v>
      </c>
      <c r="G409" s="44">
        <v>1.568629</v>
      </c>
      <c r="H409" s="389"/>
      <c r="I409" s="46" t="s">
        <v>2319</v>
      </c>
      <c r="J409" s="46" t="s">
        <v>495</v>
      </c>
      <c r="K409" s="46" t="s">
        <v>1568</v>
      </c>
      <c r="L409" s="46" t="s">
        <v>2320</v>
      </c>
      <c r="M409" s="389"/>
      <c r="N409" s="46" t="s">
        <v>1570</v>
      </c>
      <c r="O409" s="389"/>
      <c r="P409" s="389"/>
      <c r="Q409" s="389"/>
      <c r="R409" s="46">
        <v>1.0</v>
      </c>
      <c r="S409" s="45"/>
      <c r="T409" s="46" t="s">
        <v>1630</v>
      </c>
      <c r="U409" s="44">
        <v>66.0</v>
      </c>
      <c r="V409" s="44">
        <v>14.0</v>
      </c>
      <c r="W409" s="389"/>
      <c r="X409" s="44">
        <v>17.0</v>
      </c>
      <c r="Y409" s="44">
        <v>6.299394</v>
      </c>
      <c r="Z409" s="44">
        <v>0.901818</v>
      </c>
      <c r="AA409" s="44">
        <v>1.367424</v>
      </c>
      <c r="AB409" s="44">
        <v>3.155606</v>
      </c>
      <c r="AC409" s="44">
        <v>0.420758</v>
      </c>
      <c r="AD409" s="44">
        <v>0.210303</v>
      </c>
      <c r="AE409" s="44">
        <v>0.390482</v>
      </c>
      <c r="AF409" s="44">
        <v>5.995303</v>
      </c>
      <c r="AG409" s="44">
        <v>0.701947</v>
      </c>
      <c r="AH409" s="44">
        <v>1.019242</v>
      </c>
      <c r="AI409" s="44">
        <v>1.612879</v>
      </c>
      <c r="AJ409" s="44">
        <v>20.372</v>
      </c>
      <c r="AK409" s="44">
        <v>-1.89318</v>
      </c>
      <c r="AL409" s="44">
        <v>-0.82005</v>
      </c>
      <c r="AM409" s="44">
        <v>-1.94502</v>
      </c>
      <c r="AN409" s="44">
        <v>-0.28162</v>
      </c>
      <c r="AO409" s="44">
        <v>-1.7532</v>
      </c>
      <c r="AP409" s="44">
        <v>-0.97066</v>
      </c>
      <c r="AQ409" s="44">
        <v>-0.8677</v>
      </c>
      <c r="AR409" s="44">
        <v>-0.30758</v>
      </c>
      <c r="AS409" s="44">
        <v>0.354473</v>
      </c>
    </row>
    <row r="410">
      <c r="A410" s="44">
        <v>409.0</v>
      </c>
      <c r="B410" s="389"/>
      <c r="C410" s="45"/>
      <c r="D410" s="45"/>
      <c r="E410" s="44">
        <v>-0.94494</v>
      </c>
      <c r="F410" s="44">
        <v>0.001452</v>
      </c>
      <c r="G410" s="44">
        <v>-0.07615</v>
      </c>
      <c r="H410" s="389"/>
      <c r="I410" s="46" t="s">
        <v>2321</v>
      </c>
      <c r="J410" s="46" t="s">
        <v>283</v>
      </c>
      <c r="K410" s="46" t="s">
        <v>88</v>
      </c>
      <c r="L410" s="46" t="s">
        <v>2322</v>
      </c>
      <c r="M410" s="389"/>
      <c r="N410" s="46" t="s">
        <v>1562</v>
      </c>
      <c r="O410" s="389"/>
      <c r="P410" s="389"/>
      <c r="Q410" s="45"/>
      <c r="R410" s="46">
        <v>3.0</v>
      </c>
      <c r="S410" s="45"/>
      <c r="T410" s="46" t="s">
        <v>1905</v>
      </c>
      <c r="U410" s="44">
        <v>46.0</v>
      </c>
      <c r="V410" s="44">
        <v>14.0</v>
      </c>
      <c r="W410" s="389"/>
      <c r="X410" s="44">
        <v>11.0</v>
      </c>
      <c r="Y410" s="44">
        <v>3.815217</v>
      </c>
      <c r="Z410" s="44">
        <v>0.556304</v>
      </c>
      <c r="AA410" s="44">
        <v>1.122826</v>
      </c>
      <c r="AB410" s="44">
        <v>1.20587</v>
      </c>
      <c r="AC410" s="44">
        <v>0.49413</v>
      </c>
      <c r="AD410" s="44">
        <v>0.128478</v>
      </c>
      <c r="AE410" s="44">
        <v>0.377631</v>
      </c>
      <c r="AF410" s="44">
        <v>3.615217</v>
      </c>
      <c r="AG410" s="44">
        <v>0.750077</v>
      </c>
      <c r="AH410" s="44">
        <v>0.704565</v>
      </c>
      <c r="AI410" s="44">
        <v>0.628913</v>
      </c>
      <c r="AJ410" s="44">
        <v>18.37862</v>
      </c>
      <c r="AK410" s="44">
        <v>-2.33094</v>
      </c>
      <c r="AL410" s="44">
        <v>-1.15052</v>
      </c>
      <c r="AM410" s="44">
        <v>-2.04539</v>
      </c>
      <c r="AN410" s="44">
        <v>-1.22227</v>
      </c>
      <c r="AO410" s="44">
        <v>-1.53528</v>
      </c>
      <c r="AP410" s="44">
        <v>-1.11826</v>
      </c>
      <c r="AQ410" s="44">
        <v>-0.58905</v>
      </c>
      <c r="AR410" s="44">
        <v>-0.11016</v>
      </c>
      <c r="AS410" s="44">
        <v>1.597376</v>
      </c>
    </row>
    <row r="411">
      <c r="A411" s="44">
        <v>410.0</v>
      </c>
      <c r="B411" s="389"/>
      <c r="C411" s="45"/>
      <c r="D411" s="45"/>
      <c r="E411" s="44">
        <v>-0.94621</v>
      </c>
      <c r="F411" s="44">
        <v>0.001549</v>
      </c>
      <c r="G411" s="44">
        <v>0.509278</v>
      </c>
      <c r="H411" s="389"/>
      <c r="I411" s="46" t="s">
        <v>2323</v>
      </c>
      <c r="J411" s="46" t="s">
        <v>269</v>
      </c>
      <c r="K411" s="46" t="s">
        <v>92</v>
      </c>
      <c r="L411" s="46" t="s">
        <v>2324</v>
      </c>
      <c r="M411" s="389"/>
      <c r="N411" s="46" t="s">
        <v>1562</v>
      </c>
      <c r="O411" s="389"/>
      <c r="P411" s="389"/>
      <c r="Q411" s="389"/>
      <c r="R411" s="46">
        <v>5.0</v>
      </c>
      <c r="S411" s="45"/>
      <c r="T411" s="46" t="s">
        <v>2183</v>
      </c>
      <c r="U411" s="44">
        <v>16.0</v>
      </c>
      <c r="V411" s="44">
        <v>16.0</v>
      </c>
      <c r="W411" s="389"/>
      <c r="X411" s="44">
        <v>10.0</v>
      </c>
      <c r="Y411" s="44">
        <v>4.015</v>
      </c>
      <c r="Z411" s="44">
        <v>0.7</v>
      </c>
      <c r="AA411" s="44">
        <v>1.974375</v>
      </c>
      <c r="AB411" s="44">
        <v>0.466875</v>
      </c>
      <c r="AC411" s="44">
        <v>0.26125</v>
      </c>
      <c r="AD411" s="44">
        <v>0.1175</v>
      </c>
      <c r="AE411" s="44">
        <v>0.404669</v>
      </c>
      <c r="AF411" s="44">
        <v>3.53375</v>
      </c>
      <c r="AG411" s="44">
        <v>0.756757</v>
      </c>
      <c r="AH411" s="44">
        <v>0.60125</v>
      </c>
      <c r="AI411" s="44">
        <v>0.349375</v>
      </c>
      <c r="AJ411" s="44">
        <v>17.89097</v>
      </c>
      <c r="AK411" s="44">
        <v>-2.29574</v>
      </c>
      <c r="AL411" s="44">
        <v>-1.01308</v>
      </c>
      <c r="AM411" s="44">
        <v>-1.69595</v>
      </c>
      <c r="AN411" s="44">
        <v>-1.5788</v>
      </c>
      <c r="AO411" s="44">
        <v>-2.22695</v>
      </c>
      <c r="AP411" s="44">
        <v>-1.13806</v>
      </c>
      <c r="AQ411" s="44">
        <v>-0.43446</v>
      </c>
      <c r="AR411" s="44">
        <v>-0.08327</v>
      </c>
      <c r="AS411" s="44">
        <v>1.950476</v>
      </c>
    </row>
    <row r="412">
      <c r="A412" s="44">
        <v>411.0</v>
      </c>
      <c r="B412" s="389"/>
      <c r="C412" s="45"/>
      <c r="D412" s="45"/>
      <c r="E412" s="44">
        <v>-0.94696</v>
      </c>
      <c r="F412" s="44">
        <v>0.002876</v>
      </c>
      <c r="G412" s="44">
        <v>0.983199</v>
      </c>
      <c r="H412" s="389"/>
      <c r="I412" s="46" t="s">
        <v>2325</v>
      </c>
      <c r="J412" s="46" t="s">
        <v>379</v>
      </c>
      <c r="K412" s="46" t="s">
        <v>97</v>
      </c>
      <c r="L412" s="46" t="s">
        <v>2326</v>
      </c>
      <c r="M412" s="389"/>
      <c r="N412" s="46" t="s">
        <v>1562</v>
      </c>
      <c r="O412" s="46" t="s">
        <v>2318</v>
      </c>
      <c r="P412" s="389"/>
      <c r="Q412" s="45"/>
      <c r="R412" s="46">
        <v>4.0</v>
      </c>
      <c r="S412" s="45"/>
      <c r="T412" s="46" t="s">
        <v>1905</v>
      </c>
      <c r="U412" s="44">
        <v>46.0</v>
      </c>
      <c r="V412" s="44">
        <v>14.0</v>
      </c>
      <c r="W412" s="389"/>
      <c r="X412" s="44">
        <v>6.0</v>
      </c>
      <c r="Y412" s="44">
        <v>3.216522</v>
      </c>
      <c r="Z412" s="44">
        <v>0.226087</v>
      </c>
      <c r="AA412" s="44">
        <v>1.706304</v>
      </c>
      <c r="AB412" s="44">
        <v>0.32087</v>
      </c>
      <c r="AC412" s="44">
        <v>0.143696</v>
      </c>
      <c r="AD412" s="44">
        <v>0.315</v>
      </c>
      <c r="AE412" s="44">
        <v>0.557784</v>
      </c>
      <c r="AF412" s="44">
        <v>2.362609</v>
      </c>
      <c r="AG412" s="44">
        <v>0.760839</v>
      </c>
      <c r="AH412" s="44">
        <v>0.466304</v>
      </c>
      <c r="AI412" s="44">
        <v>0.303478</v>
      </c>
      <c r="AJ412" s="44">
        <v>19.43855</v>
      </c>
      <c r="AK412" s="44">
        <v>-2.43645</v>
      </c>
      <c r="AL412" s="44">
        <v>-1.46635</v>
      </c>
      <c r="AM412" s="44">
        <v>-1.80596</v>
      </c>
      <c r="AN412" s="44">
        <v>-1.64924</v>
      </c>
      <c r="AO412" s="44">
        <v>-2.5761</v>
      </c>
      <c r="AP412" s="44">
        <v>-0.7818</v>
      </c>
      <c r="AQ412" s="44">
        <v>0.246303</v>
      </c>
      <c r="AR412" s="44">
        <v>-0.06148</v>
      </c>
      <c r="AS412" s="44">
        <v>2.008451</v>
      </c>
    </row>
    <row r="413">
      <c r="A413" s="44">
        <v>412.0</v>
      </c>
      <c r="B413" s="389"/>
      <c r="C413" s="45"/>
      <c r="D413" s="45"/>
      <c r="E413" s="44">
        <v>-0.94857</v>
      </c>
      <c r="F413" s="44">
        <v>0.002456</v>
      </c>
      <c r="G413" s="44">
        <v>1.196927</v>
      </c>
      <c r="H413" s="389"/>
      <c r="I413" s="46" t="s">
        <v>2327</v>
      </c>
      <c r="J413" s="46" t="s">
        <v>1608</v>
      </c>
      <c r="K413" s="46" t="s">
        <v>90</v>
      </c>
      <c r="L413" s="46" t="s">
        <v>2328</v>
      </c>
      <c r="M413" s="389"/>
      <c r="N413" s="46" t="s">
        <v>1562</v>
      </c>
      <c r="O413" s="46" t="s">
        <v>2329</v>
      </c>
      <c r="P413" s="389"/>
      <c r="Q413" s="389"/>
      <c r="R413" s="46">
        <v>2.0</v>
      </c>
      <c r="S413" s="45"/>
      <c r="T413" s="46" t="s">
        <v>2183</v>
      </c>
      <c r="U413" s="44">
        <v>16.0</v>
      </c>
      <c r="V413" s="44">
        <v>14.0</v>
      </c>
      <c r="W413" s="389"/>
      <c r="X413" s="44">
        <v>10.0</v>
      </c>
      <c r="Y413" s="44">
        <v>3.398125</v>
      </c>
      <c r="Z413" s="44">
        <v>0.325625</v>
      </c>
      <c r="AA413" s="44">
        <v>1.753125</v>
      </c>
      <c r="AB413" s="44">
        <v>0.55</v>
      </c>
      <c r="AC413" s="44">
        <v>0.37125</v>
      </c>
      <c r="AD413" s="44">
        <v>0.151875</v>
      </c>
      <c r="AE413" s="44">
        <v>0.446469</v>
      </c>
      <c r="AF413" s="44">
        <v>2.74375</v>
      </c>
      <c r="AG413" s="44">
        <v>0.775701</v>
      </c>
      <c r="AH413" s="44">
        <v>0.8025</v>
      </c>
      <c r="AI413" s="44">
        <v>0.495625</v>
      </c>
      <c r="AJ413" s="44">
        <v>15.58869</v>
      </c>
      <c r="AK413" s="44">
        <v>-2.40444</v>
      </c>
      <c r="AL413" s="44">
        <v>-1.37115</v>
      </c>
      <c r="AM413" s="44">
        <v>-1.78675</v>
      </c>
      <c r="AN413" s="44">
        <v>-1.5387</v>
      </c>
      <c r="AO413" s="44">
        <v>-1.90024</v>
      </c>
      <c r="AP413" s="44">
        <v>-1.07606</v>
      </c>
      <c r="AQ413" s="44">
        <v>-0.16632</v>
      </c>
      <c r="AR413" s="44">
        <v>-0.05917</v>
      </c>
      <c r="AS413" s="44">
        <v>1.765739</v>
      </c>
    </row>
    <row r="414">
      <c r="A414" s="44">
        <v>413.0</v>
      </c>
      <c r="B414" s="389"/>
      <c r="C414" s="45"/>
      <c r="D414" s="45"/>
      <c r="E414" s="44">
        <v>-0.94973</v>
      </c>
      <c r="F414" s="44">
        <v>0.001992</v>
      </c>
      <c r="G414" s="44">
        <v>1.215512</v>
      </c>
      <c r="H414" s="389"/>
      <c r="I414" s="46" t="s">
        <v>2330</v>
      </c>
      <c r="J414" s="46" t="s">
        <v>342</v>
      </c>
      <c r="K414" s="46" t="s">
        <v>1593</v>
      </c>
      <c r="L414" s="46" t="s">
        <v>2331</v>
      </c>
      <c r="M414" s="389"/>
      <c r="N414" s="46" t="s">
        <v>1562</v>
      </c>
      <c r="O414" s="46" t="s">
        <v>2332</v>
      </c>
      <c r="P414" s="389"/>
      <c r="Q414" s="389"/>
      <c r="R414" s="46">
        <v>5.0</v>
      </c>
      <c r="S414" s="45"/>
      <c r="T414" s="46" t="s">
        <v>1905</v>
      </c>
      <c r="U414" s="44">
        <v>29.0</v>
      </c>
      <c r="V414" s="44">
        <v>16.0</v>
      </c>
      <c r="W414" s="389"/>
      <c r="X414" s="44">
        <v>11.0</v>
      </c>
      <c r="Y414" s="44">
        <v>4.311724</v>
      </c>
      <c r="Z414" s="44">
        <v>0.665517</v>
      </c>
      <c r="AA414" s="44">
        <v>1.065172</v>
      </c>
      <c r="AB414" s="44">
        <v>0.57931</v>
      </c>
      <c r="AC414" s="44">
        <v>0.323448</v>
      </c>
      <c r="AD414" s="44">
        <v>0.072414</v>
      </c>
      <c r="AE414" s="44">
        <v>0.459703</v>
      </c>
      <c r="AF414" s="44">
        <v>3.482759</v>
      </c>
      <c r="AG414" s="44">
        <v>0.79703</v>
      </c>
      <c r="AH414" s="44">
        <v>0.557241</v>
      </c>
      <c r="AI414" s="44">
        <v>0.508276</v>
      </c>
      <c r="AJ414" s="44">
        <v>16.53518</v>
      </c>
      <c r="AK414" s="44">
        <v>-2.24345</v>
      </c>
      <c r="AL414" s="44">
        <v>-1.04606</v>
      </c>
      <c r="AM414" s="44">
        <v>-2.06905</v>
      </c>
      <c r="AN414" s="44">
        <v>-1.52456</v>
      </c>
      <c r="AO414" s="44">
        <v>-2.04222</v>
      </c>
      <c r="AP414" s="44">
        <v>-1.21939</v>
      </c>
      <c r="AQ414" s="44">
        <v>-0.14493</v>
      </c>
      <c r="AR414" s="44">
        <v>-0.0077</v>
      </c>
      <c r="AS414" s="44">
        <v>1.749759</v>
      </c>
    </row>
    <row r="415">
      <c r="A415" s="44">
        <v>414.0</v>
      </c>
      <c r="B415" s="389"/>
      <c r="C415" s="45"/>
      <c r="D415" s="45"/>
      <c r="E415" s="44">
        <v>-0.95204</v>
      </c>
      <c r="F415" s="44">
        <v>0.001734</v>
      </c>
      <c r="G415" s="44">
        <v>1.568629</v>
      </c>
      <c r="H415" s="389"/>
      <c r="I415" s="46" t="s">
        <v>2333</v>
      </c>
      <c r="J415" s="46" t="s">
        <v>295</v>
      </c>
      <c r="K415" s="46" t="s">
        <v>1568</v>
      </c>
      <c r="L415" s="46" t="s">
        <v>2334</v>
      </c>
      <c r="M415" s="389"/>
      <c r="N415" s="46" t="s">
        <v>1562</v>
      </c>
      <c r="O415" s="46" t="s">
        <v>2244</v>
      </c>
      <c r="P415" s="389"/>
      <c r="Q415" s="45"/>
      <c r="R415" s="46">
        <v>1.0</v>
      </c>
      <c r="S415" s="45"/>
      <c r="T415" s="46" t="s">
        <v>2183</v>
      </c>
      <c r="U415" s="44">
        <v>16.0</v>
      </c>
      <c r="V415" s="44">
        <v>13.0</v>
      </c>
      <c r="W415" s="389"/>
      <c r="X415" s="44">
        <v>10.0</v>
      </c>
      <c r="Y415" s="44">
        <v>3.406875</v>
      </c>
      <c r="Z415" s="44">
        <v>0.64125</v>
      </c>
      <c r="AA415" s="44">
        <v>1.53625</v>
      </c>
      <c r="AB415" s="44">
        <v>0.505</v>
      </c>
      <c r="AC415" s="44">
        <v>0.315625</v>
      </c>
      <c r="AD415" s="44">
        <v>0.063125</v>
      </c>
      <c r="AE415" s="44">
        <v>0.414757</v>
      </c>
      <c r="AF415" s="44">
        <v>2.863125</v>
      </c>
      <c r="AG415" s="44">
        <v>0.758495</v>
      </c>
      <c r="AH415" s="44">
        <v>0.515</v>
      </c>
      <c r="AI415" s="44">
        <v>0.294375</v>
      </c>
      <c r="AJ415" s="44">
        <v>14.56106</v>
      </c>
      <c r="AK415" s="44">
        <v>-2.4029</v>
      </c>
      <c r="AL415" s="44">
        <v>-1.06927</v>
      </c>
      <c r="AM415" s="44">
        <v>-1.87574</v>
      </c>
      <c r="AN415" s="44">
        <v>-1.56041</v>
      </c>
      <c r="AO415" s="44">
        <v>-2.06545</v>
      </c>
      <c r="AP415" s="44">
        <v>-1.23615</v>
      </c>
      <c r="AQ415" s="44">
        <v>-0.308</v>
      </c>
      <c r="AR415" s="44">
        <v>-0.07035</v>
      </c>
      <c r="AS415" s="44">
        <v>2.01995</v>
      </c>
    </row>
    <row r="416">
      <c r="A416" s="44">
        <v>415.0</v>
      </c>
      <c r="B416" s="389"/>
      <c r="C416" s="45"/>
      <c r="D416" s="45"/>
      <c r="E416" s="44">
        <v>-0.95328</v>
      </c>
      <c r="F416" s="44">
        <v>0.002125</v>
      </c>
      <c r="G416" s="44">
        <v>1.354901</v>
      </c>
      <c r="H416" s="389"/>
      <c r="I416" s="46" t="s">
        <v>2335</v>
      </c>
      <c r="J416" s="46" t="s">
        <v>317</v>
      </c>
      <c r="K416" s="46" t="s">
        <v>92</v>
      </c>
      <c r="L416" s="46" t="s">
        <v>2336</v>
      </c>
      <c r="M416" s="389"/>
      <c r="N416" s="46" t="s">
        <v>1562</v>
      </c>
      <c r="O416" s="46" t="s">
        <v>2139</v>
      </c>
      <c r="P416" s="389"/>
      <c r="Q416" s="389"/>
      <c r="R416" s="46">
        <v>3.0</v>
      </c>
      <c r="S416" s="45"/>
      <c r="T416" s="46" t="s">
        <v>2183</v>
      </c>
      <c r="U416" s="44">
        <v>16.0</v>
      </c>
      <c r="V416" s="44">
        <v>14.0</v>
      </c>
      <c r="W416" s="389"/>
      <c r="X416" s="44">
        <v>9.0</v>
      </c>
      <c r="Y416" s="44">
        <v>4.355625</v>
      </c>
      <c r="Z416" s="44">
        <v>0.294375</v>
      </c>
      <c r="AA416" s="44">
        <v>2.1775</v>
      </c>
      <c r="AB416" s="44">
        <v>0.353125</v>
      </c>
      <c r="AC416" s="44">
        <v>0.26</v>
      </c>
      <c r="AD416" s="44">
        <v>0.219375</v>
      </c>
      <c r="AE416" s="44">
        <v>0.439725</v>
      </c>
      <c r="AF416" s="44">
        <v>3.634375</v>
      </c>
      <c r="AG416" s="44">
        <v>0.743287</v>
      </c>
      <c r="AH416" s="44">
        <v>1.16375</v>
      </c>
      <c r="AI416" s="44">
        <v>0.353125</v>
      </c>
      <c r="AJ416" s="44">
        <v>21.36639</v>
      </c>
      <c r="AK416" s="44">
        <v>-2.23571</v>
      </c>
      <c r="AL416" s="44">
        <v>-1.40104</v>
      </c>
      <c r="AM416" s="44">
        <v>-1.6126</v>
      </c>
      <c r="AN416" s="44">
        <v>-1.63368</v>
      </c>
      <c r="AO416" s="44">
        <v>-2.23066</v>
      </c>
      <c r="AP416" s="44">
        <v>-0.9543</v>
      </c>
      <c r="AQ416" s="44">
        <v>-0.25882</v>
      </c>
      <c r="AR416" s="44">
        <v>-0.19843</v>
      </c>
      <c r="AS416" s="44">
        <v>1.945739</v>
      </c>
    </row>
    <row r="417">
      <c r="A417" s="44">
        <v>416.0</v>
      </c>
      <c r="B417" s="389"/>
      <c r="C417" s="45"/>
      <c r="D417" s="45"/>
      <c r="E417" s="44">
        <v>-0.95517</v>
      </c>
      <c r="F417" s="44">
        <v>0.001508</v>
      </c>
      <c r="G417" s="44">
        <v>1.141172</v>
      </c>
      <c r="H417" s="389"/>
      <c r="I417" s="46" t="s">
        <v>2337</v>
      </c>
      <c r="J417" s="46" t="s">
        <v>342</v>
      </c>
      <c r="K417" s="46" t="s">
        <v>85</v>
      </c>
      <c r="L417" s="46" t="s">
        <v>2338</v>
      </c>
      <c r="M417" s="389"/>
      <c r="N417" s="46" t="s">
        <v>1562</v>
      </c>
      <c r="O417" s="46" t="s">
        <v>2139</v>
      </c>
      <c r="P417" s="389"/>
      <c r="Q417" s="45"/>
      <c r="R417" s="46">
        <v>5.0</v>
      </c>
      <c r="S417" s="45"/>
      <c r="T417" s="46" t="s">
        <v>1905</v>
      </c>
      <c r="U417" s="44">
        <v>32.0</v>
      </c>
      <c r="V417" s="44">
        <v>16.0</v>
      </c>
      <c r="W417" s="389"/>
      <c r="X417" s="44">
        <v>11.0</v>
      </c>
      <c r="Y417" s="44">
        <v>4.049375</v>
      </c>
      <c r="Z417" s="44">
        <v>0.499063</v>
      </c>
      <c r="AA417" s="44">
        <v>1.44375</v>
      </c>
      <c r="AB417" s="44">
        <v>1.157813</v>
      </c>
      <c r="AC417" s="44">
        <v>0.418125</v>
      </c>
      <c r="AD417" s="44">
        <v>0.0725</v>
      </c>
      <c r="AE417" s="44">
        <v>0.390993</v>
      </c>
      <c r="AF417" s="44">
        <v>3.7125</v>
      </c>
      <c r="AG417" s="44">
        <v>0.83006</v>
      </c>
      <c r="AH417" s="44">
        <v>0.779688</v>
      </c>
      <c r="AI417" s="44">
        <v>0.710313</v>
      </c>
      <c r="AJ417" s="44">
        <v>18.60257</v>
      </c>
      <c r="AK417" s="44">
        <v>-2.28968</v>
      </c>
      <c r="AL417" s="44">
        <v>-1.20526</v>
      </c>
      <c r="AM417" s="44">
        <v>-1.9137</v>
      </c>
      <c r="AN417" s="44">
        <v>-1.24546</v>
      </c>
      <c r="AO417" s="44">
        <v>-1.76102</v>
      </c>
      <c r="AP417" s="44">
        <v>-1.21924</v>
      </c>
      <c r="AQ417" s="44">
        <v>-0.53181</v>
      </c>
      <c r="AR417" s="44">
        <v>0.075132</v>
      </c>
      <c r="AS417" s="44">
        <v>1.494555</v>
      </c>
    </row>
    <row r="418">
      <c r="A418" s="44">
        <v>417.0</v>
      </c>
      <c r="B418" s="389"/>
      <c r="C418" s="45"/>
      <c r="D418" s="45"/>
      <c r="E418" s="44">
        <v>-0.95568</v>
      </c>
      <c r="F418" s="44">
        <v>0.004647</v>
      </c>
      <c r="G418" s="44">
        <v>1.568629</v>
      </c>
      <c r="H418" s="389"/>
      <c r="I418" s="46" t="s">
        <v>2339</v>
      </c>
      <c r="J418" s="46" t="s">
        <v>304</v>
      </c>
      <c r="K418" s="46" t="s">
        <v>1616</v>
      </c>
      <c r="L418" s="46" t="s">
        <v>2340</v>
      </c>
      <c r="M418" s="389"/>
      <c r="N418" s="46" t="s">
        <v>1562</v>
      </c>
      <c r="O418" s="389"/>
      <c r="P418" s="389"/>
      <c r="Q418" s="389"/>
      <c r="R418" s="46">
        <v>1.0</v>
      </c>
      <c r="S418" s="45"/>
      <c r="T418" s="46" t="s">
        <v>1630</v>
      </c>
      <c r="U418" s="44">
        <v>71.0</v>
      </c>
      <c r="V418" s="44">
        <v>13.0</v>
      </c>
      <c r="W418" s="389"/>
      <c r="X418" s="44">
        <v>16.0</v>
      </c>
      <c r="Y418" s="44">
        <v>4.750282</v>
      </c>
      <c r="Z418" s="44">
        <v>0.663239</v>
      </c>
      <c r="AA418" s="44">
        <v>2.471972</v>
      </c>
      <c r="AB418" s="44">
        <v>1.37338</v>
      </c>
      <c r="AC418" s="44">
        <v>0.411972</v>
      </c>
      <c r="AD418" s="44">
        <v>0.274648</v>
      </c>
      <c r="AE418" s="44">
        <v>0.368305</v>
      </c>
      <c r="AF418" s="44">
        <v>4.360282</v>
      </c>
      <c r="AG418" s="44">
        <v>0.772021</v>
      </c>
      <c r="AH418" s="44">
        <v>1.133662</v>
      </c>
      <c r="AI418" s="44">
        <v>1.304648</v>
      </c>
      <c r="AJ418" s="44">
        <v>15.83205</v>
      </c>
      <c r="AK418" s="44">
        <v>-2.16617</v>
      </c>
      <c r="AL418" s="44">
        <v>-1.04824</v>
      </c>
      <c r="AM418" s="44">
        <v>-1.49176</v>
      </c>
      <c r="AN418" s="44">
        <v>-1.14146</v>
      </c>
      <c r="AO418" s="44">
        <v>-1.7793</v>
      </c>
      <c r="AP418" s="44">
        <v>-0.85459</v>
      </c>
      <c r="AQ418" s="44">
        <v>-0.77198</v>
      </c>
      <c r="AR418" s="44">
        <v>-0.09141</v>
      </c>
      <c r="AS418" s="44">
        <v>0.743817</v>
      </c>
    </row>
    <row r="419">
      <c r="A419" s="44">
        <v>418.0</v>
      </c>
      <c r="B419" s="389"/>
      <c r="C419" s="389"/>
      <c r="D419" s="389"/>
      <c r="E419" s="44">
        <v>-0.95702</v>
      </c>
      <c r="F419" s="44">
        <v>0.004238</v>
      </c>
      <c r="G419" s="44">
        <v>1.568629</v>
      </c>
      <c r="H419" s="389"/>
      <c r="I419" s="46" t="s">
        <v>2341</v>
      </c>
      <c r="J419" s="46" t="s">
        <v>304</v>
      </c>
      <c r="K419" s="46" t="s">
        <v>1568</v>
      </c>
      <c r="L419" s="46" t="s">
        <v>2342</v>
      </c>
      <c r="M419" s="389"/>
      <c r="N419" s="46" t="s">
        <v>1562</v>
      </c>
      <c r="O419" s="46" t="s">
        <v>2139</v>
      </c>
      <c r="P419" s="389"/>
      <c r="Q419" s="389"/>
      <c r="R419" s="46">
        <v>3.0</v>
      </c>
      <c r="S419" s="45"/>
      <c r="T419" s="46" t="s">
        <v>1905</v>
      </c>
      <c r="U419" s="44">
        <v>46.0</v>
      </c>
      <c r="V419" s="44">
        <v>13.0</v>
      </c>
      <c r="W419" s="389"/>
      <c r="X419" s="44">
        <v>10.0</v>
      </c>
      <c r="Y419" s="44">
        <v>3.796304</v>
      </c>
      <c r="Z419" s="44">
        <v>0.72413</v>
      </c>
      <c r="AA419" s="44">
        <v>1.201739</v>
      </c>
      <c r="AB419" s="44">
        <v>0.94413</v>
      </c>
      <c r="AC419" s="44">
        <v>0.321957</v>
      </c>
      <c r="AD419" s="44">
        <v>0.08587</v>
      </c>
      <c r="AE419" s="44">
        <v>0.396406</v>
      </c>
      <c r="AF419" s="44">
        <v>2.94</v>
      </c>
      <c r="AG419" s="44">
        <v>0.788075</v>
      </c>
      <c r="AH419" s="44">
        <v>0.940652</v>
      </c>
      <c r="AI419" s="44">
        <v>0.515</v>
      </c>
      <c r="AJ419" s="44">
        <v>15.90006</v>
      </c>
      <c r="AK419" s="44">
        <v>-2.33428</v>
      </c>
      <c r="AL419" s="44">
        <v>-0.99</v>
      </c>
      <c r="AM419" s="44">
        <v>-2.01301</v>
      </c>
      <c r="AN419" s="44">
        <v>-1.34855</v>
      </c>
      <c r="AO419" s="44">
        <v>-2.04665</v>
      </c>
      <c r="AP419" s="44">
        <v>-1.19512</v>
      </c>
      <c r="AQ419" s="44">
        <v>-0.39616</v>
      </c>
      <c r="AR419" s="44">
        <v>-0.03064</v>
      </c>
      <c r="AS419" s="44">
        <v>1.741266</v>
      </c>
    </row>
    <row r="420">
      <c r="A420" s="44">
        <v>419.0</v>
      </c>
      <c r="B420" s="389"/>
      <c r="C420" s="45"/>
      <c r="D420" s="45"/>
      <c r="E420" s="44">
        <v>-0.9586</v>
      </c>
      <c r="F420" s="44">
        <v>0.003179</v>
      </c>
      <c r="G420" s="44">
        <v>1.568629</v>
      </c>
      <c r="H420" s="389"/>
      <c r="I420" s="46" t="s">
        <v>2343</v>
      </c>
      <c r="J420" s="46" t="s">
        <v>287</v>
      </c>
      <c r="K420" s="46" t="s">
        <v>1899</v>
      </c>
      <c r="L420" s="46" t="s">
        <v>2344</v>
      </c>
      <c r="M420" s="389"/>
      <c r="N420" s="46" t="s">
        <v>1562</v>
      </c>
      <c r="O420" s="389"/>
      <c r="P420" s="389"/>
      <c r="Q420" s="389"/>
      <c r="R420" s="46">
        <v>3.0</v>
      </c>
      <c r="S420" s="45"/>
      <c r="T420" s="46" t="s">
        <v>2183</v>
      </c>
      <c r="U420" s="44">
        <v>16.0</v>
      </c>
      <c r="V420" s="44">
        <v>16.0</v>
      </c>
      <c r="W420" s="389"/>
      <c r="X420" s="44">
        <v>9.0</v>
      </c>
      <c r="Y420" s="44">
        <v>3.345</v>
      </c>
      <c r="Z420" s="44">
        <v>0.081875</v>
      </c>
      <c r="AA420" s="44">
        <v>2.25</v>
      </c>
      <c r="AB420" s="44">
        <v>0.43125</v>
      </c>
      <c r="AC420" s="44">
        <v>0.24375</v>
      </c>
      <c r="AD420" s="44">
        <v>0.45</v>
      </c>
      <c r="AE420" s="44">
        <v>0.495063</v>
      </c>
      <c r="AF420" s="44">
        <v>2.848125</v>
      </c>
      <c r="AG420" s="44">
        <v>0.64808</v>
      </c>
      <c r="AH420" s="44">
        <v>0.68375</v>
      </c>
      <c r="AI420" s="44">
        <v>0.5625</v>
      </c>
      <c r="AJ420" s="44">
        <v>17.87212</v>
      </c>
      <c r="AK420" s="44">
        <v>-2.41381</v>
      </c>
      <c r="AL420" s="44">
        <v>-1.60428</v>
      </c>
      <c r="AM420" s="44">
        <v>-1.58285</v>
      </c>
      <c r="AN420" s="44">
        <v>-1.59599</v>
      </c>
      <c r="AO420" s="44">
        <v>-2.27893</v>
      </c>
      <c r="AP420" s="44">
        <v>-0.53828</v>
      </c>
      <c r="AQ420" s="44">
        <v>0.03155</v>
      </c>
      <c r="AR420" s="44">
        <v>-0.3261</v>
      </c>
      <c r="AS420" s="44">
        <v>1.681266</v>
      </c>
    </row>
    <row r="421">
      <c r="A421" s="44">
        <v>420.0</v>
      </c>
      <c r="B421" s="389"/>
      <c r="C421" s="45"/>
      <c r="D421" s="45"/>
      <c r="E421" s="44">
        <v>-0.95965</v>
      </c>
      <c r="F421" s="44">
        <v>0.001134</v>
      </c>
      <c r="G421" s="44">
        <v>1.568629</v>
      </c>
      <c r="H421" s="389"/>
      <c r="I421" s="46" t="s">
        <v>2345</v>
      </c>
      <c r="J421" s="46" t="s">
        <v>295</v>
      </c>
      <c r="K421" s="46" t="s">
        <v>1568</v>
      </c>
      <c r="L421" s="46" t="s">
        <v>2346</v>
      </c>
      <c r="M421" s="46" t="s">
        <v>2347</v>
      </c>
      <c r="N421" s="46" t="s">
        <v>1562</v>
      </c>
      <c r="O421" s="389"/>
      <c r="P421" s="389"/>
      <c r="Q421" s="389"/>
      <c r="R421" s="46">
        <v>2.0</v>
      </c>
      <c r="S421" s="45"/>
      <c r="T421" s="46" t="s">
        <v>1905</v>
      </c>
      <c r="U421" s="44">
        <v>40.0</v>
      </c>
      <c r="V421" s="44">
        <v>13.0</v>
      </c>
      <c r="W421" s="389"/>
      <c r="X421" s="44">
        <v>12.0</v>
      </c>
      <c r="Y421" s="44">
        <v>4.47125</v>
      </c>
      <c r="Z421" s="44">
        <v>0.84425</v>
      </c>
      <c r="AA421" s="44">
        <v>1.313</v>
      </c>
      <c r="AB421" s="44">
        <v>1.23725</v>
      </c>
      <c r="AC421" s="44">
        <v>0.404</v>
      </c>
      <c r="AD421" s="44">
        <v>0.07575</v>
      </c>
      <c r="AE421" s="44">
        <v>0.386404</v>
      </c>
      <c r="AF421" s="44">
        <v>4.34325</v>
      </c>
      <c r="AG421" s="44">
        <v>0.692258</v>
      </c>
      <c r="AH421" s="44">
        <v>0.39075</v>
      </c>
      <c r="AI421" s="44">
        <v>0.7575</v>
      </c>
      <c r="AJ421" s="44">
        <v>18.90602</v>
      </c>
      <c r="AK421" s="44">
        <v>-2.21534</v>
      </c>
      <c r="AL421" s="44">
        <v>-0.87511</v>
      </c>
      <c r="AM421" s="44">
        <v>-1.96735</v>
      </c>
      <c r="AN421" s="44">
        <v>-1.20713</v>
      </c>
      <c r="AO421" s="44">
        <v>-1.80297</v>
      </c>
      <c r="AP421" s="44">
        <v>-1.21338</v>
      </c>
      <c r="AQ421" s="44">
        <v>-0.65281</v>
      </c>
      <c r="AR421" s="44">
        <v>-0.13767</v>
      </c>
      <c r="AS421" s="44">
        <v>1.43495</v>
      </c>
    </row>
    <row r="422">
      <c r="A422" s="44">
        <v>421.0</v>
      </c>
      <c r="B422" s="389"/>
      <c r="C422" s="45"/>
      <c r="D422" s="45"/>
      <c r="E422" s="44">
        <v>-0.9605</v>
      </c>
      <c r="F422" s="44">
        <v>0.002046</v>
      </c>
      <c r="G422" s="44">
        <v>0.109699</v>
      </c>
      <c r="H422" s="389"/>
      <c r="I422" s="46" t="s">
        <v>2348</v>
      </c>
      <c r="J422" s="46" t="s">
        <v>308</v>
      </c>
      <c r="K422" s="46" t="s">
        <v>90</v>
      </c>
      <c r="L422" s="46" t="s">
        <v>2349</v>
      </c>
      <c r="M422" s="389"/>
      <c r="N422" s="46" t="s">
        <v>1562</v>
      </c>
      <c r="O422" s="46" t="s">
        <v>2214</v>
      </c>
      <c r="P422" s="389"/>
      <c r="Q422" s="45"/>
      <c r="R422" s="46">
        <v>2.0</v>
      </c>
      <c r="S422" s="45"/>
      <c r="T422" s="46" t="s">
        <v>1905</v>
      </c>
      <c r="U422" s="44">
        <v>46.0</v>
      </c>
      <c r="V422" s="44">
        <v>15.0</v>
      </c>
      <c r="W422" s="389"/>
      <c r="X422" s="44">
        <v>10.0</v>
      </c>
      <c r="Y422" s="44">
        <v>3.921522</v>
      </c>
      <c r="Z422" s="44">
        <v>0.332826</v>
      </c>
      <c r="AA422" s="44">
        <v>1.293261</v>
      </c>
      <c r="AB422" s="44">
        <v>0.658261</v>
      </c>
      <c r="AC422" s="44">
        <v>0.339348</v>
      </c>
      <c r="AD422" s="44">
        <v>0.101087</v>
      </c>
      <c r="AE422" s="44">
        <v>0.450199</v>
      </c>
      <c r="AF422" s="44">
        <v>3.273913</v>
      </c>
      <c r="AG422" s="44">
        <v>0.829955</v>
      </c>
      <c r="AH422" s="44">
        <v>0.772174</v>
      </c>
      <c r="AI422" s="44">
        <v>0.496739</v>
      </c>
      <c r="AJ422" s="44">
        <v>18.36326</v>
      </c>
      <c r="AK422" s="44">
        <v>-2.31221</v>
      </c>
      <c r="AL422" s="44">
        <v>-1.36426</v>
      </c>
      <c r="AM422" s="44">
        <v>-1.97545</v>
      </c>
      <c r="AN422" s="44">
        <v>-1.48647</v>
      </c>
      <c r="AO422" s="44">
        <v>-1.995</v>
      </c>
      <c r="AP422" s="44">
        <v>-1.16767</v>
      </c>
      <c r="AQ422" s="44">
        <v>-0.18178</v>
      </c>
      <c r="AR422" s="44">
        <v>0.07403</v>
      </c>
      <c r="AS422" s="44">
        <v>1.764332</v>
      </c>
    </row>
    <row r="423">
      <c r="A423" s="44">
        <v>422.0</v>
      </c>
      <c r="B423" s="389"/>
      <c r="C423" s="45"/>
      <c r="D423" s="45"/>
      <c r="E423" s="44">
        <v>-0.96202</v>
      </c>
      <c r="F423" s="44">
        <v>0.002318</v>
      </c>
      <c r="G423" s="44">
        <v>-1.36782</v>
      </c>
      <c r="H423" s="389"/>
      <c r="I423" s="46" t="s">
        <v>2350</v>
      </c>
      <c r="J423" s="46" t="s">
        <v>1639</v>
      </c>
      <c r="K423" s="46" t="s">
        <v>85</v>
      </c>
      <c r="L423" s="389"/>
      <c r="M423" s="389"/>
      <c r="N423" s="46" t="s">
        <v>1570</v>
      </c>
      <c r="O423" s="46" t="s">
        <v>1853</v>
      </c>
      <c r="P423" s="389"/>
      <c r="Q423" s="45"/>
      <c r="R423" s="46">
        <v>4.0</v>
      </c>
      <c r="S423" s="45"/>
      <c r="T423" s="46" t="s">
        <v>1905</v>
      </c>
      <c r="U423" s="44">
        <v>43.0</v>
      </c>
      <c r="V423" s="44">
        <v>15.0</v>
      </c>
      <c r="W423" s="389"/>
      <c r="X423" s="44">
        <v>7.0</v>
      </c>
      <c r="Y423" s="44">
        <v>1.998605</v>
      </c>
      <c r="Z423" s="44">
        <v>0.251163</v>
      </c>
      <c r="AA423" s="44">
        <v>1.09</v>
      </c>
      <c r="AB423" s="44">
        <v>0.603953</v>
      </c>
      <c r="AC423" s="44">
        <v>0.486047</v>
      </c>
      <c r="AD423" s="44">
        <v>0.103023</v>
      </c>
      <c r="AE423" s="44">
        <v>0.396621</v>
      </c>
      <c r="AF423" s="44">
        <v>1.679302</v>
      </c>
      <c r="AG423" s="44">
        <v>0.77316</v>
      </c>
      <c r="AH423" s="44">
        <v>0.537209</v>
      </c>
      <c r="AI423" s="44">
        <v>0.309302</v>
      </c>
      <c r="AJ423" s="44">
        <v>13.3926</v>
      </c>
      <c r="AK423" s="44">
        <v>-2.65107</v>
      </c>
      <c r="AL423" s="44">
        <v>-1.44237</v>
      </c>
      <c r="AM423" s="44">
        <v>-2.05886</v>
      </c>
      <c r="AN423" s="44">
        <v>-1.51267</v>
      </c>
      <c r="AO423" s="44">
        <v>-1.55929</v>
      </c>
      <c r="AP423" s="44">
        <v>-1.16418</v>
      </c>
      <c r="AQ423" s="44">
        <v>-0.22271</v>
      </c>
      <c r="AR423" s="44">
        <v>-0.04811</v>
      </c>
      <c r="AS423" s="44">
        <v>2.001094</v>
      </c>
    </row>
    <row r="424">
      <c r="A424" s="44">
        <v>423.0</v>
      </c>
      <c r="B424" s="389"/>
      <c r="C424" s="45"/>
      <c r="D424" s="45"/>
      <c r="E424" s="44">
        <v>-0.96531</v>
      </c>
      <c r="F424" s="44">
        <v>0.002872</v>
      </c>
      <c r="G424" s="44">
        <v>0.276965</v>
      </c>
      <c r="H424" s="389"/>
      <c r="I424" s="46" t="s">
        <v>2351</v>
      </c>
      <c r="J424" s="46" t="s">
        <v>442</v>
      </c>
      <c r="K424" s="46" t="s">
        <v>90</v>
      </c>
      <c r="L424" s="389"/>
      <c r="M424" s="389"/>
      <c r="N424" s="46" t="s">
        <v>1562</v>
      </c>
      <c r="O424" s="46" t="s">
        <v>2318</v>
      </c>
      <c r="P424" s="389"/>
      <c r="Q424" s="45"/>
      <c r="R424" s="46">
        <v>3.0</v>
      </c>
      <c r="S424" s="45"/>
      <c r="T424" s="46" t="s">
        <v>1905</v>
      </c>
      <c r="U424" s="44">
        <v>46.0</v>
      </c>
      <c r="V424" s="44">
        <v>14.0</v>
      </c>
      <c r="W424" s="389"/>
      <c r="X424" s="44">
        <v>9.0</v>
      </c>
      <c r="Y424" s="44">
        <v>3.318261</v>
      </c>
      <c r="Z424" s="44">
        <v>0.421957</v>
      </c>
      <c r="AA424" s="44">
        <v>1.341304</v>
      </c>
      <c r="AB424" s="44">
        <v>0.362609</v>
      </c>
      <c r="AC424" s="44">
        <v>0.377826</v>
      </c>
      <c r="AD424" s="44">
        <v>0.13</v>
      </c>
      <c r="AE424" s="44">
        <v>0.446629</v>
      </c>
      <c r="AF424" s="44">
        <v>2.608913</v>
      </c>
      <c r="AG424" s="44">
        <v>0.725878</v>
      </c>
      <c r="AH424" s="44">
        <v>0.779565</v>
      </c>
      <c r="AI424" s="44">
        <v>0.367391</v>
      </c>
      <c r="AJ424" s="44">
        <v>16.27873</v>
      </c>
      <c r="AK424" s="44">
        <v>-2.41852</v>
      </c>
      <c r="AL424" s="44">
        <v>-1.27901</v>
      </c>
      <c r="AM424" s="44">
        <v>-1.95574</v>
      </c>
      <c r="AN424" s="44">
        <v>-1.62911</v>
      </c>
      <c r="AO424" s="44">
        <v>-1.88071</v>
      </c>
      <c r="AP424" s="44">
        <v>-1.11552</v>
      </c>
      <c r="AQ424" s="44">
        <v>-0.15718</v>
      </c>
      <c r="AR424" s="44">
        <v>-0.17972</v>
      </c>
      <c r="AS424" s="44">
        <v>1.927719</v>
      </c>
    </row>
    <row r="425">
      <c r="A425" s="44">
        <v>424.0</v>
      </c>
      <c r="B425" s="389"/>
      <c r="C425" s="45"/>
      <c r="D425" s="45"/>
      <c r="E425" s="44">
        <v>-0.96606</v>
      </c>
      <c r="F425" s="44">
        <v>0.002014</v>
      </c>
      <c r="G425" s="44">
        <v>0.890273</v>
      </c>
      <c r="H425" s="389"/>
      <c r="I425" s="46" t="s">
        <v>2352</v>
      </c>
      <c r="J425" s="46" t="s">
        <v>465</v>
      </c>
      <c r="K425" s="46" t="s">
        <v>88</v>
      </c>
      <c r="L425" s="46" t="s">
        <v>2353</v>
      </c>
      <c r="M425" s="389"/>
      <c r="N425" s="46" t="s">
        <v>1562</v>
      </c>
      <c r="O425" s="46" t="s">
        <v>1595</v>
      </c>
      <c r="P425" s="389"/>
      <c r="Q425" s="389"/>
      <c r="R425" s="46">
        <v>4.0</v>
      </c>
      <c r="S425" s="45"/>
      <c r="T425" s="46" t="s">
        <v>1905</v>
      </c>
      <c r="U425" s="44">
        <v>46.0</v>
      </c>
      <c r="V425" s="44">
        <v>15.0</v>
      </c>
      <c r="W425" s="389"/>
      <c r="X425" s="44">
        <v>12.0</v>
      </c>
      <c r="Y425" s="44">
        <v>4.942609</v>
      </c>
      <c r="Z425" s="44">
        <v>0.488261</v>
      </c>
      <c r="AA425" s="44">
        <v>1.836087</v>
      </c>
      <c r="AB425" s="44">
        <v>0.611957</v>
      </c>
      <c r="AC425" s="44">
        <v>0.306739</v>
      </c>
      <c r="AD425" s="44">
        <v>0.076304</v>
      </c>
      <c r="AE425" s="44">
        <v>0.4498</v>
      </c>
      <c r="AF425" s="44">
        <v>4.285</v>
      </c>
      <c r="AG425" s="44">
        <v>0.774067</v>
      </c>
      <c r="AH425" s="44">
        <v>0.774565</v>
      </c>
      <c r="AI425" s="44">
        <v>0.687609</v>
      </c>
      <c r="AJ425" s="44">
        <v>18.34228</v>
      </c>
      <c r="AK425" s="44">
        <v>-2.13227</v>
      </c>
      <c r="AL425" s="44">
        <v>-1.2156</v>
      </c>
      <c r="AM425" s="44">
        <v>-1.7527</v>
      </c>
      <c r="AN425" s="44">
        <v>-1.50881</v>
      </c>
      <c r="AO425" s="44">
        <v>-2.09185</v>
      </c>
      <c r="AP425" s="44">
        <v>-1.21238</v>
      </c>
      <c r="AQ425" s="44">
        <v>-0.24264</v>
      </c>
      <c r="AR425" s="44">
        <v>-0.06153</v>
      </c>
      <c r="AS425" s="44">
        <v>1.523234</v>
      </c>
    </row>
    <row r="426">
      <c r="A426" s="44">
        <v>425.0</v>
      </c>
      <c r="B426" s="389"/>
      <c r="C426" s="45"/>
      <c r="D426" s="45"/>
      <c r="E426" s="44">
        <v>-0.96685</v>
      </c>
      <c r="F426" s="44">
        <v>0.002135</v>
      </c>
      <c r="G426" s="44">
        <v>0.899566</v>
      </c>
      <c r="H426" s="389"/>
      <c r="I426" s="46" t="s">
        <v>2354</v>
      </c>
      <c r="J426" s="46" t="s">
        <v>379</v>
      </c>
      <c r="K426" s="46" t="s">
        <v>92</v>
      </c>
      <c r="L426" s="46" t="s">
        <v>2355</v>
      </c>
      <c r="M426" s="389"/>
      <c r="N426" s="46" t="s">
        <v>1562</v>
      </c>
      <c r="O426" s="46" t="s">
        <v>2244</v>
      </c>
      <c r="P426" s="389"/>
      <c r="Q426" s="45"/>
      <c r="R426" s="46">
        <v>4.0</v>
      </c>
      <c r="S426" s="45"/>
      <c r="T426" s="46" t="s">
        <v>1905</v>
      </c>
      <c r="U426" s="44">
        <v>33.0</v>
      </c>
      <c r="V426" s="44">
        <v>14.0</v>
      </c>
      <c r="W426" s="389"/>
      <c r="X426" s="44">
        <v>10.0</v>
      </c>
      <c r="Y426" s="44">
        <v>3.837576</v>
      </c>
      <c r="Z426" s="44">
        <v>0.230606</v>
      </c>
      <c r="AA426" s="44">
        <v>1.837576</v>
      </c>
      <c r="AB426" s="44">
        <v>0.691818</v>
      </c>
      <c r="AC426" s="44">
        <v>0.370303</v>
      </c>
      <c r="AD426" s="44">
        <v>0.109697</v>
      </c>
      <c r="AE426" s="44">
        <v>0.451578</v>
      </c>
      <c r="AF426" s="44">
        <v>3.063333</v>
      </c>
      <c r="AG426" s="44">
        <v>0.657888</v>
      </c>
      <c r="AH426" s="44">
        <v>1.277273</v>
      </c>
      <c r="AI426" s="44">
        <v>0.241212</v>
      </c>
      <c r="AJ426" s="44">
        <v>15.706</v>
      </c>
      <c r="AK426" s="44">
        <v>-2.327</v>
      </c>
      <c r="AL426" s="44">
        <v>-1.46203</v>
      </c>
      <c r="AM426" s="44">
        <v>-1.75209</v>
      </c>
      <c r="AN426" s="44">
        <v>-1.47028</v>
      </c>
      <c r="AO426" s="44">
        <v>-1.90306</v>
      </c>
      <c r="AP426" s="44">
        <v>-1.15214</v>
      </c>
      <c r="AQ426" s="44">
        <v>-0.1634</v>
      </c>
      <c r="AR426" s="44">
        <v>-0.55879</v>
      </c>
      <c r="AS426" s="44">
        <v>2.087103</v>
      </c>
    </row>
    <row r="427">
      <c r="A427" s="44">
        <v>426.0</v>
      </c>
      <c r="B427" s="389"/>
      <c r="C427" s="45"/>
      <c r="D427" s="45"/>
      <c r="E427" s="44">
        <v>-0.96703</v>
      </c>
      <c r="F427" s="44">
        <v>0.001921</v>
      </c>
      <c r="G427" s="44">
        <v>0.518571</v>
      </c>
      <c r="H427" s="389"/>
      <c r="I427" s="46" t="s">
        <v>2356</v>
      </c>
      <c r="J427" s="46" t="s">
        <v>273</v>
      </c>
      <c r="K427" s="46" t="s">
        <v>1581</v>
      </c>
      <c r="L427" s="46" t="s">
        <v>2357</v>
      </c>
      <c r="M427" s="389"/>
      <c r="N427" s="46" t="s">
        <v>1570</v>
      </c>
      <c r="O427" s="46" t="s">
        <v>1595</v>
      </c>
      <c r="P427" s="389"/>
      <c r="Q427" s="389"/>
      <c r="R427" s="46">
        <v>4.0</v>
      </c>
      <c r="S427" s="45"/>
      <c r="T427" s="46" t="s">
        <v>1905</v>
      </c>
      <c r="U427" s="44">
        <v>26.0</v>
      </c>
      <c r="V427" s="44">
        <v>13.0</v>
      </c>
      <c r="W427" s="389"/>
      <c r="X427" s="44">
        <v>9.0</v>
      </c>
      <c r="Y427" s="44">
        <v>3.295385</v>
      </c>
      <c r="Z427" s="44">
        <v>0.505</v>
      </c>
      <c r="AA427" s="44">
        <v>1.683077</v>
      </c>
      <c r="AB427" s="44">
        <v>0.704231</v>
      </c>
      <c r="AC427" s="44">
        <v>0.262692</v>
      </c>
      <c r="AD427" s="44">
        <v>0.115769</v>
      </c>
      <c r="AE427" s="44">
        <v>0.435808</v>
      </c>
      <c r="AF427" s="44">
        <v>2.87</v>
      </c>
      <c r="AG427" s="44">
        <v>0.744301</v>
      </c>
      <c r="AH427" s="44">
        <v>0.388077</v>
      </c>
      <c r="AI427" s="44">
        <v>0.424615</v>
      </c>
      <c r="AJ427" s="44">
        <v>16.4808</v>
      </c>
      <c r="AK427" s="44">
        <v>-2.42255</v>
      </c>
      <c r="AL427" s="44">
        <v>-1.19959</v>
      </c>
      <c r="AM427" s="44">
        <v>-1.81549</v>
      </c>
      <c r="AN427" s="44">
        <v>-1.46429</v>
      </c>
      <c r="AO427" s="44">
        <v>-2.22267</v>
      </c>
      <c r="AP427" s="44">
        <v>-1.14119</v>
      </c>
      <c r="AQ427" s="44">
        <v>-0.2195</v>
      </c>
      <c r="AR427" s="44">
        <v>-0.07344</v>
      </c>
      <c r="AS427" s="44">
        <v>1.855436</v>
      </c>
    </row>
    <row r="428">
      <c r="A428" s="44">
        <v>427.0</v>
      </c>
      <c r="B428" s="389"/>
      <c r="C428" s="45"/>
      <c r="D428" s="45"/>
      <c r="E428" s="44">
        <v>-0.96807</v>
      </c>
      <c r="F428" s="44">
        <v>0.001727</v>
      </c>
      <c r="G428" s="44">
        <v>0.908858</v>
      </c>
      <c r="H428" s="389"/>
      <c r="I428" s="46" t="s">
        <v>2358</v>
      </c>
      <c r="J428" s="46" t="s">
        <v>332</v>
      </c>
      <c r="K428" s="46" t="s">
        <v>88</v>
      </c>
      <c r="L428" s="46" t="s">
        <v>2359</v>
      </c>
      <c r="M428" s="389"/>
      <c r="N428" s="46" t="s">
        <v>1562</v>
      </c>
      <c r="O428" s="46" t="s">
        <v>1648</v>
      </c>
      <c r="P428" s="389"/>
      <c r="Q428" s="389"/>
      <c r="R428" s="46">
        <v>4.0</v>
      </c>
      <c r="S428" s="45"/>
      <c r="T428" s="46" t="s">
        <v>1905</v>
      </c>
      <c r="U428" s="44">
        <v>46.0</v>
      </c>
      <c r="V428" s="44">
        <v>15.0</v>
      </c>
      <c r="W428" s="389"/>
      <c r="X428" s="44">
        <v>10.0</v>
      </c>
      <c r="Y428" s="44">
        <v>4.581522</v>
      </c>
      <c r="Z428" s="44">
        <v>0.604348</v>
      </c>
      <c r="AA428" s="44">
        <v>1.502174</v>
      </c>
      <c r="AB428" s="44">
        <v>0.562174</v>
      </c>
      <c r="AC428" s="44">
        <v>0.276087</v>
      </c>
      <c r="AD428" s="44">
        <v>0.107826</v>
      </c>
      <c r="AE428" s="44">
        <v>0.438478</v>
      </c>
      <c r="AF428" s="44">
        <v>3.777391</v>
      </c>
      <c r="AG428" s="44">
        <v>0.688979</v>
      </c>
      <c r="AH428" s="44">
        <v>0.964565</v>
      </c>
      <c r="AI428" s="44">
        <v>0.345</v>
      </c>
      <c r="AJ428" s="44">
        <v>18.93285</v>
      </c>
      <c r="AK428" s="44">
        <v>-2.19591</v>
      </c>
      <c r="AL428" s="44">
        <v>-1.10457</v>
      </c>
      <c r="AM428" s="44">
        <v>-1.88973</v>
      </c>
      <c r="AN428" s="44">
        <v>-1.53283</v>
      </c>
      <c r="AO428" s="44">
        <v>-2.18288</v>
      </c>
      <c r="AP428" s="44">
        <v>-1.15551</v>
      </c>
      <c r="AQ428" s="44">
        <v>-0.27624</v>
      </c>
      <c r="AR428" s="44">
        <v>-0.33101</v>
      </c>
      <c r="AS428" s="44">
        <v>1.956002</v>
      </c>
    </row>
    <row r="429">
      <c r="A429" s="44">
        <v>428.0</v>
      </c>
      <c r="B429" s="389"/>
      <c r="C429" s="45"/>
      <c r="D429" s="45"/>
      <c r="E429" s="44">
        <v>-0.96848</v>
      </c>
      <c r="F429" s="44">
        <v>0.002023</v>
      </c>
      <c r="G429" s="44">
        <v>1.410656</v>
      </c>
      <c r="H429" s="389"/>
      <c r="I429" s="46" t="s">
        <v>2360</v>
      </c>
      <c r="J429" s="46" t="s">
        <v>1560</v>
      </c>
      <c r="K429" s="46" t="s">
        <v>1572</v>
      </c>
      <c r="L429" s="389"/>
      <c r="M429" s="389"/>
      <c r="N429" s="46" t="s">
        <v>1562</v>
      </c>
      <c r="O429" s="46" t="s">
        <v>2361</v>
      </c>
      <c r="P429" s="389"/>
      <c r="Q429" s="389"/>
      <c r="R429" s="46">
        <v>2.0</v>
      </c>
      <c r="S429" s="45"/>
      <c r="T429" s="46" t="s">
        <v>2183</v>
      </c>
      <c r="U429" s="44">
        <v>16.0</v>
      </c>
      <c r="V429" s="44">
        <v>14.0</v>
      </c>
      <c r="W429" s="389"/>
      <c r="X429" s="44">
        <v>9.0</v>
      </c>
      <c r="Y429" s="44">
        <v>3.989375</v>
      </c>
      <c r="Z429" s="44">
        <v>0.563125</v>
      </c>
      <c r="AA429" s="44">
        <v>1.33875</v>
      </c>
      <c r="AB429" s="44">
        <v>0.45875</v>
      </c>
      <c r="AC429" s="44">
        <v>0.3825</v>
      </c>
      <c r="AD429" s="44">
        <v>0.13375</v>
      </c>
      <c r="AE429" s="44">
        <v>0.418605</v>
      </c>
      <c r="AF429" s="44">
        <v>3.520625</v>
      </c>
      <c r="AG429" s="44">
        <v>0.75617</v>
      </c>
      <c r="AH429" s="44">
        <v>0.633125</v>
      </c>
      <c r="AI429" s="44">
        <v>0.554375</v>
      </c>
      <c r="AJ429" s="44">
        <v>20.53894</v>
      </c>
      <c r="AK429" s="44">
        <v>-2.30025</v>
      </c>
      <c r="AL429" s="44">
        <v>-1.14399</v>
      </c>
      <c r="AM429" s="44">
        <v>-1.95679</v>
      </c>
      <c r="AN429" s="44">
        <v>-1.58272</v>
      </c>
      <c r="AO429" s="44">
        <v>-1.86683</v>
      </c>
      <c r="AP429" s="44">
        <v>-1.10875</v>
      </c>
      <c r="AQ429" s="44">
        <v>-0.36034</v>
      </c>
      <c r="AR429" s="44">
        <v>-0.08818</v>
      </c>
      <c r="AS429" s="44">
        <v>1.691529</v>
      </c>
    </row>
    <row r="430">
      <c r="A430" s="44">
        <v>429.0</v>
      </c>
      <c r="B430" s="389"/>
      <c r="C430" s="45"/>
      <c r="D430" s="45"/>
      <c r="E430" s="44">
        <v>-0.97576</v>
      </c>
      <c r="F430" s="44">
        <v>0.001097</v>
      </c>
      <c r="G430" s="44">
        <v>1.234097</v>
      </c>
      <c r="H430" s="389"/>
      <c r="I430" s="46" t="s">
        <v>2362</v>
      </c>
      <c r="J430" s="46" t="s">
        <v>295</v>
      </c>
      <c r="K430" s="46" t="s">
        <v>85</v>
      </c>
      <c r="L430" s="46" t="s">
        <v>2363</v>
      </c>
      <c r="M430" s="389"/>
      <c r="N430" s="46" t="s">
        <v>1562</v>
      </c>
      <c r="O430" s="46" t="s">
        <v>2139</v>
      </c>
      <c r="P430" s="389"/>
      <c r="Q430" s="45"/>
      <c r="R430" s="46">
        <v>1.0</v>
      </c>
      <c r="S430" s="45"/>
      <c r="T430" s="46" t="s">
        <v>1905</v>
      </c>
      <c r="U430" s="44">
        <v>46.0</v>
      </c>
      <c r="V430" s="44">
        <v>13.0</v>
      </c>
      <c r="W430" s="389"/>
      <c r="X430" s="44">
        <v>9.0</v>
      </c>
      <c r="Y430" s="44">
        <v>3.064565</v>
      </c>
      <c r="Z430" s="44">
        <v>0.596087</v>
      </c>
      <c r="AA430" s="44">
        <v>1.133913</v>
      </c>
      <c r="AB430" s="44">
        <v>1.515</v>
      </c>
      <c r="AC430" s="44">
        <v>0.337391</v>
      </c>
      <c r="AD430" s="44">
        <v>0.074565</v>
      </c>
      <c r="AE430" s="44">
        <v>0.371534</v>
      </c>
      <c r="AF430" s="44">
        <v>2.877609</v>
      </c>
      <c r="AG430" s="44">
        <v>0.761785</v>
      </c>
      <c r="AH430" s="44">
        <v>0.433478</v>
      </c>
      <c r="AI430" s="44">
        <v>0.568043</v>
      </c>
      <c r="AJ430" s="44">
        <v>17.38509</v>
      </c>
      <c r="AK430" s="44">
        <v>-2.46323</v>
      </c>
      <c r="AL430" s="44">
        <v>-1.11247</v>
      </c>
      <c r="AM430" s="44">
        <v>-2.04084</v>
      </c>
      <c r="AN430" s="44">
        <v>-1.07313</v>
      </c>
      <c r="AO430" s="44">
        <v>-2.00081</v>
      </c>
      <c r="AP430" s="44">
        <v>-1.21551</v>
      </c>
      <c r="AQ430" s="44">
        <v>-0.49334</v>
      </c>
      <c r="AR430" s="44">
        <v>-0.05676</v>
      </c>
      <c r="AS430" s="44">
        <v>1.674264</v>
      </c>
    </row>
    <row r="431">
      <c r="A431" s="44">
        <v>430.0</v>
      </c>
      <c r="B431" s="389"/>
      <c r="C431" s="45"/>
      <c r="D431" s="45"/>
      <c r="E431" s="44">
        <v>-0.97849</v>
      </c>
      <c r="F431" s="44">
        <v>0.003699</v>
      </c>
      <c r="G431" s="44">
        <v>1.234097</v>
      </c>
      <c r="H431" s="389"/>
      <c r="I431" s="46" t="s">
        <v>2364</v>
      </c>
      <c r="J431" s="46" t="s">
        <v>1560</v>
      </c>
      <c r="K431" s="46" t="s">
        <v>97</v>
      </c>
      <c r="L431" s="46" t="s">
        <v>2365</v>
      </c>
      <c r="M431" s="389"/>
      <c r="N431" s="46" t="s">
        <v>1562</v>
      </c>
      <c r="O431" s="389"/>
      <c r="P431" s="389"/>
      <c r="Q431" s="389"/>
      <c r="R431" s="389"/>
      <c r="S431" s="45"/>
      <c r="T431" s="46" t="s">
        <v>2183</v>
      </c>
      <c r="U431" s="44">
        <v>16.0</v>
      </c>
      <c r="V431" s="44">
        <v>14.0</v>
      </c>
      <c r="W431" s="389"/>
      <c r="X431" s="44">
        <v>9.0</v>
      </c>
      <c r="Y431" s="44">
        <v>2.265</v>
      </c>
      <c r="Z431" s="44">
        <v>0.0</v>
      </c>
      <c r="AA431" s="44">
        <v>2.54375</v>
      </c>
      <c r="AB431" s="44">
        <v>0.57375</v>
      </c>
      <c r="AC431" s="44">
        <v>0.19125</v>
      </c>
      <c r="AD431" s="44">
        <v>0.51625</v>
      </c>
      <c r="AE431" s="44">
        <v>0.575177</v>
      </c>
      <c r="AF431" s="44">
        <v>1.7625</v>
      </c>
      <c r="AG431" s="44">
        <v>0.421754</v>
      </c>
      <c r="AH431" s="44">
        <v>0.563125</v>
      </c>
      <c r="AI431" s="44">
        <v>0.4975</v>
      </c>
      <c r="AJ431" s="44">
        <v>11.83098</v>
      </c>
      <c r="AK431" s="44">
        <v>-2.60413</v>
      </c>
      <c r="AL431" s="44">
        <v>-1.68259</v>
      </c>
      <c r="AM431" s="44">
        <v>-1.46231</v>
      </c>
      <c r="AN431" s="44">
        <v>-1.52724</v>
      </c>
      <c r="AO431" s="44">
        <v>-2.43486</v>
      </c>
      <c r="AP431" s="44">
        <v>-0.41877</v>
      </c>
      <c r="AQ431" s="44">
        <v>0.23083</v>
      </c>
      <c r="AR431" s="44">
        <v>-0.67073</v>
      </c>
      <c r="AS431" s="44">
        <v>1.763371</v>
      </c>
    </row>
    <row r="432">
      <c r="A432" s="44">
        <v>431.0</v>
      </c>
      <c r="B432" s="389"/>
      <c r="C432" s="45"/>
      <c r="D432" s="45"/>
      <c r="E432" s="44">
        <v>-0.97962</v>
      </c>
      <c r="F432" s="44">
        <v>0.00178</v>
      </c>
      <c r="G432" s="44">
        <v>0.80664</v>
      </c>
      <c r="H432" s="389"/>
      <c r="I432" s="46" t="s">
        <v>2366</v>
      </c>
      <c r="J432" s="46" t="s">
        <v>386</v>
      </c>
      <c r="K432" s="46" t="s">
        <v>92</v>
      </c>
      <c r="L432" s="46" t="s">
        <v>2367</v>
      </c>
      <c r="M432" s="389"/>
      <c r="N432" s="46" t="s">
        <v>1570</v>
      </c>
      <c r="O432" s="46" t="s">
        <v>1776</v>
      </c>
      <c r="P432" s="389"/>
      <c r="Q432" s="389"/>
      <c r="R432" s="46">
        <v>4.0</v>
      </c>
      <c r="S432" s="45"/>
      <c r="T432" s="46" t="s">
        <v>1905</v>
      </c>
      <c r="U432" s="44">
        <v>43.0</v>
      </c>
      <c r="V432" s="44">
        <v>14.0</v>
      </c>
      <c r="W432" s="389"/>
      <c r="X432" s="44">
        <v>10.0</v>
      </c>
      <c r="Y432" s="44">
        <v>3.767209</v>
      </c>
      <c r="Z432" s="44">
        <v>0.54093</v>
      </c>
      <c r="AA432" s="44">
        <v>1.304651</v>
      </c>
      <c r="AB432" s="44">
        <v>0.514884</v>
      </c>
      <c r="AC432" s="44">
        <v>0.142326</v>
      </c>
      <c r="AD432" s="44">
        <v>0.171628</v>
      </c>
      <c r="AE432" s="44">
        <v>0.448746</v>
      </c>
      <c r="AF432" s="44">
        <v>3.051395</v>
      </c>
      <c r="AG432" s="44">
        <v>0.799162</v>
      </c>
      <c r="AH432" s="44">
        <v>0.610233</v>
      </c>
      <c r="AI432" s="44">
        <v>0.299302</v>
      </c>
      <c r="AJ432" s="44">
        <v>14.80616</v>
      </c>
      <c r="AK432" s="44">
        <v>-2.3394</v>
      </c>
      <c r="AL432" s="44">
        <v>-1.16522</v>
      </c>
      <c r="AM432" s="44">
        <v>-1.97078</v>
      </c>
      <c r="AN432" s="44">
        <v>-1.55564</v>
      </c>
      <c r="AO432" s="44">
        <v>-2.58017</v>
      </c>
      <c r="AP432" s="44">
        <v>-1.04043</v>
      </c>
      <c r="AQ432" s="44">
        <v>-0.1755</v>
      </c>
      <c r="AR432" s="44">
        <v>-0.00313</v>
      </c>
      <c r="AS432" s="44">
        <v>2.013726</v>
      </c>
    </row>
    <row r="433">
      <c r="A433" s="44">
        <v>432.0</v>
      </c>
      <c r="B433" s="389"/>
      <c r="C433" s="45"/>
      <c r="D433" s="45"/>
      <c r="E433" s="44">
        <v>-0.98003</v>
      </c>
      <c r="F433" s="44">
        <v>0.001632</v>
      </c>
      <c r="G433" s="44">
        <v>0.360598</v>
      </c>
      <c r="H433" s="389"/>
      <c r="I433" s="46" t="s">
        <v>2368</v>
      </c>
      <c r="J433" s="46" t="s">
        <v>1560</v>
      </c>
      <c r="K433" s="46" t="s">
        <v>85</v>
      </c>
      <c r="L433" s="46" t="s">
        <v>2369</v>
      </c>
      <c r="M433" s="389"/>
      <c r="N433" s="46" t="s">
        <v>1570</v>
      </c>
      <c r="O433" s="46" t="s">
        <v>1648</v>
      </c>
      <c r="P433" s="389"/>
      <c r="Q433" s="389"/>
      <c r="R433" s="46">
        <v>4.0</v>
      </c>
      <c r="S433" s="45"/>
      <c r="T433" s="46" t="s">
        <v>1905</v>
      </c>
      <c r="U433" s="44">
        <v>43.0</v>
      </c>
      <c r="V433" s="44">
        <v>14.0</v>
      </c>
      <c r="W433" s="389"/>
      <c r="X433" s="44">
        <v>8.0</v>
      </c>
      <c r="Y433" s="44">
        <v>1.927674</v>
      </c>
      <c r="Z433" s="44">
        <v>0.409535</v>
      </c>
      <c r="AA433" s="44">
        <v>0.73093</v>
      </c>
      <c r="AB433" s="44">
        <v>1.453488</v>
      </c>
      <c r="AC433" s="44">
        <v>0.34</v>
      </c>
      <c r="AD433" s="44">
        <v>0.068605</v>
      </c>
      <c r="AE433" s="44">
        <v>0.397293</v>
      </c>
      <c r="AF433" s="44">
        <v>1.649535</v>
      </c>
      <c r="AG433" s="44">
        <v>0.762393</v>
      </c>
      <c r="AH433" s="44">
        <v>0.272093</v>
      </c>
      <c r="AI433" s="44">
        <v>0.373953</v>
      </c>
      <c r="AJ433" s="44">
        <v>11.37494</v>
      </c>
      <c r="AK433" s="44">
        <v>-2.66357</v>
      </c>
      <c r="AL433" s="44">
        <v>-1.29089</v>
      </c>
      <c r="AM433" s="44">
        <v>-2.20621</v>
      </c>
      <c r="AN433" s="44">
        <v>-1.10281</v>
      </c>
      <c r="AO433" s="44">
        <v>-1.99306</v>
      </c>
      <c r="AP433" s="44">
        <v>-1.22626</v>
      </c>
      <c r="AQ433" s="44">
        <v>-0.217</v>
      </c>
      <c r="AR433" s="44">
        <v>-0.03986</v>
      </c>
      <c r="AS433" s="44">
        <v>1.91943</v>
      </c>
    </row>
    <row r="434">
      <c r="A434" s="44">
        <v>433.0</v>
      </c>
      <c r="B434" s="389"/>
      <c r="C434" s="45"/>
      <c r="D434" s="45"/>
      <c r="E434" s="44">
        <v>-0.98114</v>
      </c>
      <c r="F434" s="44">
        <v>0.003168</v>
      </c>
      <c r="G434" s="44">
        <v>0.973906</v>
      </c>
      <c r="H434" s="389"/>
      <c r="I434" s="46" t="s">
        <v>2370</v>
      </c>
      <c r="J434" s="46" t="s">
        <v>278</v>
      </c>
      <c r="K434" s="46" t="s">
        <v>97</v>
      </c>
      <c r="L434" s="46" t="s">
        <v>2371</v>
      </c>
      <c r="M434" s="389"/>
      <c r="N434" s="46" t="s">
        <v>1562</v>
      </c>
      <c r="O434" s="46" t="s">
        <v>1648</v>
      </c>
      <c r="P434" s="389"/>
      <c r="Q434" s="45"/>
      <c r="R434" s="46">
        <v>5.0</v>
      </c>
      <c r="S434" s="45"/>
      <c r="T434" s="46" t="s">
        <v>1905</v>
      </c>
      <c r="U434" s="44">
        <v>46.0</v>
      </c>
      <c r="V434" s="44">
        <v>14.0</v>
      </c>
      <c r="W434" s="389"/>
      <c r="X434" s="44">
        <v>8.0</v>
      </c>
      <c r="Y434" s="44">
        <v>1.590652</v>
      </c>
      <c r="Z434" s="44">
        <v>0.011087</v>
      </c>
      <c r="AA434" s="44">
        <v>1.59913</v>
      </c>
      <c r="AB434" s="44">
        <v>0.687826</v>
      </c>
      <c r="AC434" s="44">
        <v>0.262826</v>
      </c>
      <c r="AD434" s="44">
        <v>0.221739</v>
      </c>
      <c r="AE434" s="44">
        <v>0.690966</v>
      </c>
      <c r="AF434" s="44">
        <v>0.909565</v>
      </c>
      <c r="AG434" s="44">
        <v>0.657219</v>
      </c>
      <c r="AH434" s="44">
        <v>0.49087</v>
      </c>
      <c r="AI434" s="44">
        <v>0.306522</v>
      </c>
      <c r="AJ434" s="44">
        <v>7.656351</v>
      </c>
      <c r="AK434" s="44">
        <v>-2.72296</v>
      </c>
      <c r="AL434" s="44">
        <v>-1.67199</v>
      </c>
      <c r="AM434" s="44">
        <v>-1.84994</v>
      </c>
      <c r="AN434" s="44">
        <v>-1.4722</v>
      </c>
      <c r="AO434" s="44">
        <v>-2.22227</v>
      </c>
      <c r="AP434" s="44">
        <v>-0.95003</v>
      </c>
      <c r="AQ434" s="44">
        <v>0.278144</v>
      </c>
      <c r="AR434" s="44">
        <v>-0.22364</v>
      </c>
      <c r="AS434" s="44">
        <v>2.004607</v>
      </c>
    </row>
    <row r="435">
      <c r="A435" s="44">
        <v>434.0</v>
      </c>
      <c r="B435" s="389"/>
      <c r="C435" s="45"/>
      <c r="D435" s="45"/>
      <c r="E435" s="44">
        <v>-0.98288</v>
      </c>
      <c r="F435" s="44">
        <v>0.003978</v>
      </c>
      <c r="G435" s="44">
        <v>1.568629</v>
      </c>
      <c r="H435" s="389"/>
      <c r="I435" s="46" t="s">
        <v>2372</v>
      </c>
      <c r="J435" s="46" t="s">
        <v>308</v>
      </c>
      <c r="K435" s="46" t="s">
        <v>1899</v>
      </c>
      <c r="L435" s="46" t="s">
        <v>2373</v>
      </c>
      <c r="M435" s="389"/>
      <c r="N435" s="46" t="s">
        <v>1562</v>
      </c>
      <c r="O435" s="389"/>
      <c r="P435" s="389"/>
      <c r="Q435" s="389"/>
      <c r="R435" s="46">
        <v>1.0</v>
      </c>
      <c r="S435" s="45"/>
      <c r="T435" s="46" t="s">
        <v>1905</v>
      </c>
      <c r="U435" s="44">
        <v>46.0</v>
      </c>
      <c r="V435" s="44">
        <v>15.0</v>
      </c>
      <c r="W435" s="389"/>
      <c r="X435" s="44">
        <v>9.0</v>
      </c>
      <c r="Y435" s="44">
        <v>3.137391</v>
      </c>
      <c r="Z435" s="44">
        <v>0.041304</v>
      </c>
      <c r="AA435" s="44">
        <v>2.182609</v>
      </c>
      <c r="AB435" s="44">
        <v>0.254565</v>
      </c>
      <c r="AC435" s="44">
        <v>0.181957</v>
      </c>
      <c r="AD435" s="44">
        <v>0.581957</v>
      </c>
      <c r="AE435" s="44">
        <v>0.540023</v>
      </c>
      <c r="AF435" s="44">
        <v>2.292174</v>
      </c>
      <c r="AG435" s="44">
        <v>0.676945</v>
      </c>
      <c r="AH435" s="44">
        <v>0.916522</v>
      </c>
      <c r="AI435" s="44">
        <v>0.727609</v>
      </c>
      <c r="AJ435" s="44">
        <v>16.99166</v>
      </c>
      <c r="AK435" s="44">
        <v>-2.45039</v>
      </c>
      <c r="AL435" s="44">
        <v>-1.64309</v>
      </c>
      <c r="AM435" s="44">
        <v>-1.6105</v>
      </c>
      <c r="AN435" s="44">
        <v>-1.68123</v>
      </c>
      <c r="AO435" s="44">
        <v>-2.46246</v>
      </c>
      <c r="AP435" s="44">
        <v>-0.30025</v>
      </c>
      <c r="AQ435" s="44">
        <v>0.179025</v>
      </c>
      <c r="AR435" s="44">
        <v>-0.34977</v>
      </c>
      <c r="AS435" s="44">
        <v>1.472708</v>
      </c>
    </row>
    <row r="436">
      <c r="A436" s="44">
        <v>435.0</v>
      </c>
      <c r="B436" s="389"/>
      <c r="C436" s="45"/>
      <c r="D436" s="45"/>
      <c r="E436" s="44">
        <v>-0.98384</v>
      </c>
      <c r="F436" s="44">
        <v>0.001441</v>
      </c>
      <c r="G436" s="44">
        <v>1.568629</v>
      </c>
      <c r="H436" s="389"/>
      <c r="I436" s="46" t="s">
        <v>2374</v>
      </c>
      <c r="J436" s="46" t="s">
        <v>324</v>
      </c>
      <c r="K436" s="46" t="s">
        <v>1568</v>
      </c>
      <c r="L436" s="46" t="s">
        <v>2375</v>
      </c>
      <c r="M436" s="389"/>
      <c r="N436" s="46" t="s">
        <v>1562</v>
      </c>
      <c r="O436" s="46" t="s">
        <v>2139</v>
      </c>
      <c r="P436" s="389"/>
      <c r="Q436" s="45"/>
      <c r="R436" s="46">
        <v>3.0</v>
      </c>
      <c r="S436" s="45"/>
      <c r="T436" s="46" t="s">
        <v>2183</v>
      </c>
      <c r="U436" s="44">
        <v>30.0</v>
      </c>
      <c r="V436" s="44">
        <v>16.0</v>
      </c>
      <c r="W436" s="389"/>
      <c r="X436" s="44">
        <v>10.0</v>
      </c>
      <c r="Y436" s="44">
        <v>3.240667</v>
      </c>
      <c r="Z436" s="44">
        <v>0.884667</v>
      </c>
      <c r="AA436" s="44">
        <v>1.175667</v>
      </c>
      <c r="AB436" s="44">
        <v>0.474333</v>
      </c>
      <c r="AC436" s="44">
        <v>0.185667</v>
      </c>
      <c r="AD436" s="44">
        <v>0.103</v>
      </c>
      <c r="AE436" s="44">
        <v>0.39672</v>
      </c>
      <c r="AF436" s="44">
        <v>2.804667</v>
      </c>
      <c r="AG436" s="44">
        <v>0.776238</v>
      </c>
      <c r="AH436" s="44">
        <v>0.168333</v>
      </c>
      <c r="AI436" s="44">
        <v>0.288667</v>
      </c>
      <c r="AJ436" s="44">
        <v>13.83709</v>
      </c>
      <c r="AK436" s="44">
        <v>-2.43219</v>
      </c>
      <c r="AL436" s="44">
        <v>-0.83645</v>
      </c>
      <c r="AM436" s="44">
        <v>-2.02371</v>
      </c>
      <c r="AN436" s="44">
        <v>-1.5752</v>
      </c>
      <c r="AO436" s="44">
        <v>-2.45144</v>
      </c>
      <c r="AP436" s="44">
        <v>-1.16422</v>
      </c>
      <c r="AQ436" s="44">
        <v>-0.3763</v>
      </c>
      <c r="AR436" s="44">
        <v>-0.02222</v>
      </c>
      <c r="AS436" s="44">
        <v>2.02716</v>
      </c>
    </row>
    <row r="437">
      <c r="A437" s="44">
        <v>436.0</v>
      </c>
      <c r="B437" s="389"/>
      <c r="C437" s="45"/>
      <c r="D437" s="45"/>
      <c r="E437" s="44">
        <v>-0.98505</v>
      </c>
      <c r="F437" s="44">
        <v>0.003019</v>
      </c>
      <c r="G437" s="44">
        <v>0.156161</v>
      </c>
      <c r="H437" s="389"/>
      <c r="I437" s="46" t="s">
        <v>2376</v>
      </c>
      <c r="J437" s="46" t="s">
        <v>442</v>
      </c>
      <c r="K437" s="46" t="s">
        <v>90</v>
      </c>
      <c r="L437" s="46" t="s">
        <v>2377</v>
      </c>
      <c r="M437" s="389"/>
      <c r="N437" s="46" t="s">
        <v>1562</v>
      </c>
      <c r="O437" s="45"/>
      <c r="P437" s="389"/>
      <c r="Q437" s="389"/>
      <c r="R437" s="46">
        <v>2.0</v>
      </c>
      <c r="S437" s="45"/>
      <c r="T437" s="46" t="s">
        <v>1905</v>
      </c>
      <c r="U437" s="44">
        <v>46.0</v>
      </c>
      <c r="V437" s="44">
        <v>14.0</v>
      </c>
      <c r="W437" s="389"/>
      <c r="X437" s="44">
        <v>12.0</v>
      </c>
      <c r="Y437" s="44">
        <v>4.746522</v>
      </c>
      <c r="Z437" s="44">
        <v>0.938913</v>
      </c>
      <c r="AA437" s="44">
        <v>1.200435</v>
      </c>
      <c r="AB437" s="44">
        <v>0.636957</v>
      </c>
      <c r="AC437" s="44">
        <v>0.247391</v>
      </c>
      <c r="AD437" s="44">
        <v>0.195</v>
      </c>
      <c r="AE437" s="44">
        <v>0.410908</v>
      </c>
      <c r="AF437" s="44">
        <v>4.312826</v>
      </c>
      <c r="AG437" s="44">
        <v>0.66685</v>
      </c>
      <c r="AH437" s="44">
        <v>0.394783</v>
      </c>
      <c r="AI437" s="44">
        <v>0.686087</v>
      </c>
      <c r="AJ437" s="44">
        <v>19.02585</v>
      </c>
      <c r="AK437" s="44">
        <v>-2.16683</v>
      </c>
      <c r="AL437" s="44">
        <v>-0.78457</v>
      </c>
      <c r="AM437" s="44">
        <v>-2.01355</v>
      </c>
      <c r="AN437" s="44">
        <v>-1.49675</v>
      </c>
      <c r="AO437" s="44">
        <v>-2.26811</v>
      </c>
      <c r="AP437" s="44">
        <v>-0.99826</v>
      </c>
      <c r="AQ437" s="44">
        <v>-0.49206</v>
      </c>
      <c r="AR437" s="44">
        <v>-0.17043</v>
      </c>
      <c r="AS437" s="44">
        <v>1.525156</v>
      </c>
    </row>
    <row r="438">
      <c r="A438" s="44">
        <v>437.0</v>
      </c>
      <c r="B438" s="389"/>
      <c r="C438" s="45"/>
      <c r="D438" s="45"/>
      <c r="E438" s="44">
        <v>-0.98533</v>
      </c>
      <c r="F438" s="44">
        <v>0.001176</v>
      </c>
      <c r="G438" s="44">
        <v>0.834518</v>
      </c>
      <c r="H438" s="389"/>
      <c r="I438" s="46" t="s">
        <v>2378</v>
      </c>
      <c r="J438" s="46" t="s">
        <v>1608</v>
      </c>
      <c r="K438" s="46" t="s">
        <v>85</v>
      </c>
      <c r="L438" s="46" t="s">
        <v>2379</v>
      </c>
      <c r="M438" s="389"/>
      <c r="N438" s="46" t="s">
        <v>1562</v>
      </c>
      <c r="O438" s="389"/>
      <c r="P438" s="389"/>
      <c r="Q438" s="45"/>
      <c r="R438" s="46">
        <v>4.0</v>
      </c>
      <c r="S438" s="45"/>
      <c r="T438" s="46" t="s">
        <v>1905</v>
      </c>
      <c r="U438" s="44">
        <v>46.0</v>
      </c>
      <c r="V438" s="44">
        <v>14.0</v>
      </c>
      <c r="W438" s="389"/>
      <c r="X438" s="44">
        <v>8.0</v>
      </c>
      <c r="Y438" s="44">
        <v>2.209565</v>
      </c>
      <c r="Z438" s="44">
        <v>0.367609</v>
      </c>
      <c r="AA438" s="44">
        <v>0.66</v>
      </c>
      <c r="AB438" s="44">
        <v>1.98</v>
      </c>
      <c r="AC438" s="44">
        <v>0.31</v>
      </c>
      <c r="AD438" s="44">
        <v>0.075652</v>
      </c>
      <c r="AE438" s="44">
        <v>0.371965</v>
      </c>
      <c r="AF438" s="44">
        <v>1.978913</v>
      </c>
      <c r="AG438" s="44">
        <v>0.778134</v>
      </c>
      <c r="AH438" s="44">
        <v>0.475217</v>
      </c>
      <c r="AI438" s="44">
        <v>0.445435</v>
      </c>
      <c r="AJ438" s="44">
        <v>14.284</v>
      </c>
      <c r="AK438" s="44">
        <v>-2.61389</v>
      </c>
      <c r="AL438" s="44">
        <v>-1.33099</v>
      </c>
      <c r="AM438" s="44">
        <v>-2.23532</v>
      </c>
      <c r="AN438" s="44">
        <v>-0.84879</v>
      </c>
      <c r="AO438" s="44">
        <v>-2.08216</v>
      </c>
      <c r="AP438" s="44">
        <v>-1.21355</v>
      </c>
      <c r="AQ438" s="44">
        <v>-0.33579</v>
      </c>
      <c r="AR438" s="44">
        <v>-0.03662</v>
      </c>
      <c r="AS438" s="44">
        <v>1.829138</v>
      </c>
    </row>
    <row r="439">
      <c r="A439" s="44">
        <v>438.0</v>
      </c>
      <c r="B439" s="389"/>
      <c r="C439" s="45"/>
      <c r="D439" s="45"/>
      <c r="E439" s="44">
        <v>-0.98542</v>
      </c>
      <c r="F439" s="44">
        <v>0.003292</v>
      </c>
      <c r="G439" s="44">
        <v>1.178342</v>
      </c>
      <c r="H439" s="389"/>
      <c r="I439" s="46" t="s">
        <v>2380</v>
      </c>
      <c r="J439" s="46" t="s">
        <v>350</v>
      </c>
      <c r="K439" s="46" t="s">
        <v>92</v>
      </c>
      <c r="L439" s="389"/>
      <c r="M439" s="389"/>
      <c r="N439" s="46" t="s">
        <v>1562</v>
      </c>
      <c r="O439" s="46" t="s">
        <v>1595</v>
      </c>
      <c r="P439" s="389"/>
      <c r="Q439" s="45"/>
      <c r="R439" s="46">
        <v>4.0</v>
      </c>
      <c r="S439" s="45"/>
      <c r="T439" s="46" t="s">
        <v>2183</v>
      </c>
      <c r="U439" s="44">
        <v>16.0</v>
      </c>
      <c r="V439" s="44">
        <v>14.0</v>
      </c>
      <c r="W439" s="389"/>
      <c r="X439" s="44">
        <v>7.0</v>
      </c>
      <c r="Y439" s="44">
        <v>3.246875</v>
      </c>
      <c r="Z439" s="44">
        <v>0.094375</v>
      </c>
      <c r="AA439" s="44">
        <v>1.365625</v>
      </c>
      <c r="AB439" s="44">
        <v>0.3275</v>
      </c>
      <c r="AC439" s="44">
        <v>0.13</v>
      </c>
      <c r="AD439" s="44">
        <v>0.240625</v>
      </c>
      <c r="AE439" s="44">
        <v>0.654107</v>
      </c>
      <c r="AF439" s="44">
        <v>2.123125</v>
      </c>
      <c r="AG439" s="44">
        <v>0.679502</v>
      </c>
      <c r="AH439" s="44">
        <v>0.551875</v>
      </c>
      <c r="AI439" s="44">
        <v>0.336875</v>
      </c>
      <c r="AJ439" s="44">
        <v>17.33632</v>
      </c>
      <c r="AK439" s="44">
        <v>-2.4311</v>
      </c>
      <c r="AL439" s="44">
        <v>-1.59233</v>
      </c>
      <c r="AM439" s="44">
        <v>-1.94576</v>
      </c>
      <c r="AN439" s="44">
        <v>-1.64604</v>
      </c>
      <c r="AO439" s="44">
        <v>-2.61677</v>
      </c>
      <c r="AP439" s="44">
        <v>-0.91596</v>
      </c>
      <c r="AQ439" s="44">
        <v>0.524177</v>
      </c>
      <c r="AR439" s="44">
        <v>-0.21126</v>
      </c>
      <c r="AS439" s="44">
        <v>1.966266</v>
      </c>
    </row>
    <row r="440">
      <c r="A440" s="44">
        <v>439.0</v>
      </c>
      <c r="B440" s="389"/>
      <c r="C440" s="45"/>
      <c r="D440" s="45"/>
      <c r="E440" s="44">
        <v>-0.98679</v>
      </c>
      <c r="F440" s="44">
        <v>0.00156</v>
      </c>
      <c r="G440" s="44">
        <v>1.354901</v>
      </c>
      <c r="H440" s="389"/>
      <c r="I440" s="46" t="s">
        <v>2381</v>
      </c>
      <c r="J440" s="46" t="s">
        <v>332</v>
      </c>
      <c r="K440" s="46" t="s">
        <v>90</v>
      </c>
      <c r="L440" s="46" t="s">
        <v>2382</v>
      </c>
      <c r="M440" s="389"/>
      <c r="N440" s="46" t="s">
        <v>1562</v>
      </c>
      <c r="O440" s="389"/>
      <c r="P440" s="389"/>
      <c r="Q440" s="45"/>
      <c r="R440" s="46">
        <v>3.0</v>
      </c>
      <c r="S440" s="45"/>
      <c r="T440" s="46" t="s">
        <v>1905</v>
      </c>
      <c r="U440" s="44">
        <v>46.0</v>
      </c>
      <c r="V440" s="44">
        <v>15.0</v>
      </c>
      <c r="W440" s="389"/>
      <c r="X440" s="44">
        <v>9.0</v>
      </c>
      <c r="Y440" s="44">
        <v>3.132826</v>
      </c>
      <c r="Z440" s="44">
        <v>0.79087</v>
      </c>
      <c r="AA440" s="44">
        <v>1.371087</v>
      </c>
      <c r="AB440" s="44">
        <v>0.37587</v>
      </c>
      <c r="AC440" s="44">
        <v>0.143478</v>
      </c>
      <c r="AD440" s="44">
        <v>0.080652</v>
      </c>
      <c r="AE440" s="44">
        <v>0.419752</v>
      </c>
      <c r="AF440" s="44">
        <v>2.665652</v>
      </c>
      <c r="AG440" s="44">
        <v>0.888683</v>
      </c>
      <c r="AH440" s="44">
        <v>0.117174</v>
      </c>
      <c r="AI440" s="44">
        <v>0.240217</v>
      </c>
      <c r="AJ440" s="44">
        <v>13.68301</v>
      </c>
      <c r="AK440" s="44">
        <v>-2.4512</v>
      </c>
      <c r="AL440" s="44">
        <v>-0.92617</v>
      </c>
      <c r="AM440" s="44">
        <v>-1.94352</v>
      </c>
      <c r="AN440" s="44">
        <v>-1.62271</v>
      </c>
      <c r="AO440" s="44">
        <v>-2.57674</v>
      </c>
      <c r="AP440" s="44">
        <v>-1.20453</v>
      </c>
      <c r="AQ440" s="44">
        <v>-0.2666</v>
      </c>
      <c r="AR440" s="44">
        <v>0.021998</v>
      </c>
      <c r="AS440" s="44">
        <v>2.088359</v>
      </c>
    </row>
    <row r="441">
      <c r="A441" s="44">
        <v>440.0</v>
      </c>
      <c r="B441" s="389"/>
      <c r="C441" s="45"/>
      <c r="D441" s="45"/>
      <c r="E441" s="44">
        <v>-0.9882</v>
      </c>
      <c r="F441" s="44">
        <v>0.00186</v>
      </c>
      <c r="G441" s="44">
        <v>0.741592</v>
      </c>
      <c r="H441" s="389"/>
      <c r="I441" s="46" t="s">
        <v>2383</v>
      </c>
      <c r="J441" s="46" t="s">
        <v>490</v>
      </c>
      <c r="K441" s="46" t="s">
        <v>1568</v>
      </c>
      <c r="L441" s="46" t="s">
        <v>2384</v>
      </c>
      <c r="M441" s="389"/>
      <c r="N441" s="46" t="s">
        <v>1562</v>
      </c>
      <c r="O441" s="46" t="s">
        <v>1668</v>
      </c>
      <c r="P441" s="389"/>
      <c r="Q441" s="389"/>
      <c r="R441" s="46">
        <v>4.0</v>
      </c>
      <c r="S441" s="45"/>
      <c r="T441" s="46" t="s">
        <v>2183</v>
      </c>
      <c r="U441" s="44">
        <v>16.0</v>
      </c>
      <c r="V441" s="44">
        <v>16.0</v>
      </c>
      <c r="W441" s="389"/>
      <c r="X441" s="44">
        <v>11.0</v>
      </c>
      <c r="Y441" s="44">
        <v>4.4725</v>
      </c>
      <c r="Z441" s="44">
        <v>0.65125</v>
      </c>
      <c r="AA441" s="44">
        <v>1.109375</v>
      </c>
      <c r="AB441" s="44">
        <v>0.910625</v>
      </c>
      <c r="AC441" s="44">
        <v>0.208125</v>
      </c>
      <c r="AD441" s="44">
        <v>0.0475</v>
      </c>
      <c r="AE441" s="44">
        <v>0.46302</v>
      </c>
      <c r="AF441" s="44">
        <v>3.63375</v>
      </c>
      <c r="AG441" s="44">
        <v>0.837156</v>
      </c>
      <c r="AH441" s="44">
        <v>0.545</v>
      </c>
      <c r="AI441" s="44">
        <v>0.69125</v>
      </c>
      <c r="AJ441" s="44">
        <v>17.5085</v>
      </c>
      <c r="AK441" s="44">
        <v>-2.21512</v>
      </c>
      <c r="AL441" s="44">
        <v>-1.05971</v>
      </c>
      <c r="AM441" s="44">
        <v>-2.05091</v>
      </c>
      <c r="AN441" s="44">
        <v>-1.36472</v>
      </c>
      <c r="AO441" s="44">
        <v>-2.38474</v>
      </c>
      <c r="AP441" s="44">
        <v>-1.26433</v>
      </c>
      <c r="AQ441" s="44">
        <v>-0.13372</v>
      </c>
      <c r="AR441" s="44">
        <v>0.060809</v>
      </c>
      <c r="AS441" s="44">
        <v>1.518634</v>
      </c>
    </row>
    <row r="442">
      <c r="A442" s="44">
        <v>441.0</v>
      </c>
      <c r="B442" s="389"/>
      <c r="C442" s="45"/>
      <c r="D442" s="45"/>
      <c r="E442" s="44">
        <v>-0.99023</v>
      </c>
      <c r="F442" s="44">
        <v>-0.06388</v>
      </c>
      <c r="G442" s="44">
        <v>1.568629</v>
      </c>
      <c r="H442" s="389"/>
      <c r="I442" s="46" t="s">
        <v>2385</v>
      </c>
      <c r="J442" s="46" t="s">
        <v>495</v>
      </c>
      <c r="K442" s="46" t="s">
        <v>2386</v>
      </c>
      <c r="L442" s="46" t="s">
        <v>2387</v>
      </c>
      <c r="M442" s="389"/>
      <c r="N442" s="46" t="s">
        <v>1570</v>
      </c>
      <c r="O442" s="45"/>
      <c r="P442" s="389"/>
      <c r="Q442" s="45"/>
      <c r="R442" s="46">
        <v>4.0</v>
      </c>
      <c r="S442" s="45"/>
      <c r="T442" s="46" t="s">
        <v>1905</v>
      </c>
      <c r="U442" s="44">
        <v>43.0</v>
      </c>
      <c r="V442" s="44">
        <v>14.0</v>
      </c>
      <c r="W442" s="389"/>
      <c r="X442" s="44">
        <v>11.0</v>
      </c>
      <c r="Y442" s="44">
        <v>2.748605</v>
      </c>
      <c r="Z442" s="44">
        <v>0.51186</v>
      </c>
      <c r="AA442" s="44">
        <v>1.361163</v>
      </c>
      <c r="AB442" s="44">
        <v>0.49907</v>
      </c>
      <c r="AC442" s="44">
        <v>0.272326</v>
      </c>
      <c r="AD442" s="44">
        <v>0.204186</v>
      </c>
      <c r="AE442" s="44">
        <v>0.393962</v>
      </c>
      <c r="AF442" s="44">
        <v>2.495814</v>
      </c>
      <c r="AG442" s="44">
        <v>0.676762</v>
      </c>
      <c r="AH442" s="44">
        <v>0.399302</v>
      </c>
      <c r="AI442" s="44">
        <v>0.317674</v>
      </c>
      <c r="AJ442" s="44">
        <v>11.68121</v>
      </c>
      <c r="AK442" s="44">
        <v>-2.5189</v>
      </c>
      <c r="AL442" s="44">
        <v>-1.19302</v>
      </c>
      <c r="AM442" s="44">
        <v>-1.94759</v>
      </c>
      <c r="AN442" s="44">
        <v>-1.56327</v>
      </c>
      <c r="AO442" s="44">
        <v>-2.19406</v>
      </c>
      <c r="AP442" s="44">
        <v>-0.98169</v>
      </c>
      <c r="AQ442" s="44">
        <v>-0.34425</v>
      </c>
      <c r="AR442" s="44">
        <v>-0.15982</v>
      </c>
      <c r="AS442" s="44">
        <v>1.990519</v>
      </c>
    </row>
    <row r="443">
      <c r="A443" s="44">
        <v>442.0</v>
      </c>
      <c r="B443" s="389"/>
      <c r="C443" s="45"/>
      <c r="D443" s="45"/>
      <c r="E443" s="44">
        <v>-0.99051</v>
      </c>
      <c r="F443" s="44">
        <v>0.003603</v>
      </c>
      <c r="G443" s="44">
        <v>1.568629</v>
      </c>
      <c r="H443" s="389"/>
      <c r="I443" s="46" t="s">
        <v>2388</v>
      </c>
      <c r="J443" s="46" t="s">
        <v>350</v>
      </c>
      <c r="K443" s="46" t="s">
        <v>97</v>
      </c>
      <c r="L443" s="46" t="s">
        <v>2389</v>
      </c>
      <c r="M443" s="389"/>
      <c r="N443" s="46" t="s">
        <v>1562</v>
      </c>
      <c r="O443" s="46" t="s">
        <v>2244</v>
      </c>
      <c r="P443" s="389"/>
      <c r="Q443" s="389"/>
      <c r="R443" s="46">
        <v>3.0</v>
      </c>
      <c r="S443" s="45"/>
      <c r="T443" s="46" t="s">
        <v>2183</v>
      </c>
      <c r="U443" s="44">
        <v>16.0</v>
      </c>
      <c r="V443" s="44">
        <v>14.0</v>
      </c>
      <c r="W443" s="389"/>
      <c r="X443" s="44">
        <v>7.0</v>
      </c>
      <c r="Y443" s="44">
        <v>1.668125</v>
      </c>
      <c r="Z443" s="44">
        <v>0.005</v>
      </c>
      <c r="AA443" s="44">
        <v>1.6975</v>
      </c>
      <c r="AB443" s="44">
        <v>0.283125</v>
      </c>
      <c r="AC443" s="44">
        <v>0.2125</v>
      </c>
      <c r="AD443" s="44">
        <v>0.43875</v>
      </c>
      <c r="AE443" s="44">
        <v>0.631523</v>
      </c>
      <c r="AF443" s="44">
        <v>1.17375</v>
      </c>
      <c r="AG443" s="44">
        <v>0.54943</v>
      </c>
      <c r="AH443" s="44">
        <v>0.32875</v>
      </c>
      <c r="AI443" s="44">
        <v>0.39625</v>
      </c>
      <c r="AJ443" s="44">
        <v>10.99802</v>
      </c>
      <c r="AK443" s="44">
        <v>-2.70931</v>
      </c>
      <c r="AL443" s="44">
        <v>-1.67781</v>
      </c>
      <c r="AM443" s="44">
        <v>-1.80957</v>
      </c>
      <c r="AN443" s="44">
        <v>-1.66745</v>
      </c>
      <c r="AO443" s="44">
        <v>-2.37174</v>
      </c>
      <c r="AP443" s="44">
        <v>-0.55857</v>
      </c>
      <c r="AQ443" s="44">
        <v>0.253797</v>
      </c>
      <c r="AR443" s="44">
        <v>-0.26518</v>
      </c>
      <c r="AS443" s="44">
        <v>1.891266</v>
      </c>
    </row>
    <row r="444">
      <c r="A444" s="44">
        <v>443.0</v>
      </c>
      <c r="B444" s="389"/>
      <c r="C444" s="45"/>
      <c r="D444" s="45"/>
      <c r="E444" s="44">
        <v>-0.993</v>
      </c>
      <c r="F444" s="44">
        <v>0.001677</v>
      </c>
      <c r="G444" s="44">
        <v>1.568629</v>
      </c>
      <c r="H444" s="389"/>
      <c r="I444" s="46" t="s">
        <v>2390</v>
      </c>
      <c r="J444" s="46" t="s">
        <v>428</v>
      </c>
      <c r="K444" s="46" t="s">
        <v>1568</v>
      </c>
      <c r="L444" s="46" t="s">
        <v>2391</v>
      </c>
      <c r="M444" s="389"/>
      <c r="N444" s="46" t="s">
        <v>1562</v>
      </c>
      <c r="O444" s="389"/>
      <c r="P444" s="389"/>
      <c r="Q444" s="389"/>
      <c r="R444" s="46">
        <v>2.0</v>
      </c>
      <c r="S444" s="45"/>
      <c r="T444" s="46" t="s">
        <v>1905</v>
      </c>
      <c r="U444" s="44">
        <v>32.0</v>
      </c>
      <c r="V444" s="44">
        <v>14.0</v>
      </c>
      <c r="W444" s="389"/>
      <c r="X444" s="44">
        <v>10.0</v>
      </c>
      <c r="Y444" s="44">
        <v>3.615313</v>
      </c>
      <c r="Z444" s="44">
        <v>0.746563</v>
      </c>
      <c r="AA444" s="44">
        <v>1.220313</v>
      </c>
      <c r="AB444" s="44">
        <v>0.484063</v>
      </c>
      <c r="AC444" s="44">
        <v>0.2525</v>
      </c>
      <c r="AD444" s="44">
        <v>0.084063</v>
      </c>
      <c r="AE444" s="44">
        <v>0.405303</v>
      </c>
      <c r="AF444" s="44">
        <v>3.135</v>
      </c>
      <c r="AG444" s="44">
        <v>0.803681</v>
      </c>
      <c r="AH444" s="44">
        <v>0.4075</v>
      </c>
      <c r="AI444" s="44">
        <v>0.462813</v>
      </c>
      <c r="AJ444" s="44">
        <v>16.16272</v>
      </c>
      <c r="AK444" s="44">
        <v>-2.36617</v>
      </c>
      <c r="AL444" s="44">
        <v>-0.96854</v>
      </c>
      <c r="AM444" s="44">
        <v>-2.00539</v>
      </c>
      <c r="AN444" s="44">
        <v>-1.57051</v>
      </c>
      <c r="AO444" s="44">
        <v>-2.25294</v>
      </c>
      <c r="AP444" s="44">
        <v>-1.19838</v>
      </c>
      <c r="AQ444" s="44">
        <v>-0.3817</v>
      </c>
      <c r="AR444" s="44">
        <v>-5.5E-4</v>
      </c>
      <c r="AS444" s="44">
        <v>1.807187</v>
      </c>
    </row>
    <row r="445">
      <c r="A445" s="44">
        <v>444.0</v>
      </c>
      <c r="B445" s="389"/>
      <c r="C445" s="45"/>
      <c r="D445" s="45"/>
      <c r="E445" s="44">
        <v>-0.99362</v>
      </c>
      <c r="F445" s="44">
        <v>0.002774</v>
      </c>
      <c r="G445" s="44">
        <v>0.778762</v>
      </c>
      <c r="H445" s="389"/>
      <c r="I445" s="46" t="s">
        <v>2392</v>
      </c>
      <c r="J445" s="46" t="s">
        <v>375</v>
      </c>
      <c r="K445" s="46" t="s">
        <v>90</v>
      </c>
      <c r="L445" s="46" t="s">
        <v>2393</v>
      </c>
      <c r="M445" s="389"/>
      <c r="N445" s="46" t="s">
        <v>1562</v>
      </c>
      <c r="O445" s="46" t="s">
        <v>1595</v>
      </c>
      <c r="P445" s="389"/>
      <c r="Q445" s="389"/>
      <c r="R445" s="46">
        <v>4.0</v>
      </c>
      <c r="S445" s="45"/>
      <c r="T445" s="46" t="s">
        <v>2183</v>
      </c>
      <c r="U445" s="44">
        <v>16.0</v>
      </c>
      <c r="V445" s="44">
        <v>15.0</v>
      </c>
      <c r="W445" s="389"/>
      <c r="X445" s="44">
        <v>8.0</v>
      </c>
      <c r="Y445" s="44">
        <v>2.74375</v>
      </c>
      <c r="Z445" s="44">
        <v>0.205625</v>
      </c>
      <c r="AA445" s="44">
        <v>1.829375</v>
      </c>
      <c r="AB445" s="44">
        <v>0.38375</v>
      </c>
      <c r="AC445" s="44">
        <v>0.235625</v>
      </c>
      <c r="AD445" s="44">
        <v>0.170625</v>
      </c>
      <c r="AE445" s="44">
        <v>0.5172</v>
      </c>
      <c r="AF445" s="44">
        <v>2.089375</v>
      </c>
      <c r="AG445" s="44">
        <v>0.643543</v>
      </c>
      <c r="AH445" s="44">
        <v>0.585625</v>
      </c>
      <c r="AI445" s="44">
        <v>0.326875</v>
      </c>
      <c r="AJ445" s="44">
        <v>14.79589</v>
      </c>
      <c r="AK445" s="44">
        <v>-2.51976</v>
      </c>
      <c r="AL445" s="44">
        <v>-1.48592</v>
      </c>
      <c r="AM445" s="44">
        <v>-1.75546</v>
      </c>
      <c r="AN445" s="44">
        <v>-1.61891</v>
      </c>
      <c r="AO445" s="44">
        <v>-2.30306</v>
      </c>
      <c r="AP445" s="44">
        <v>-1.04223</v>
      </c>
      <c r="AQ445" s="44">
        <v>0.093366</v>
      </c>
      <c r="AR445" s="44">
        <v>-0.28947</v>
      </c>
      <c r="AS445" s="44">
        <v>1.978897</v>
      </c>
    </row>
    <row r="446">
      <c r="A446" s="44">
        <v>445.0</v>
      </c>
      <c r="B446" s="389"/>
      <c r="C446" s="45"/>
      <c r="D446" s="45"/>
      <c r="E446" s="44">
        <v>-0.99607</v>
      </c>
      <c r="F446" s="44">
        <v>0.001274</v>
      </c>
      <c r="G446" s="44">
        <v>1.085417</v>
      </c>
      <c r="H446" s="389"/>
      <c r="I446" s="46" t="s">
        <v>2394</v>
      </c>
      <c r="J446" s="46" t="s">
        <v>490</v>
      </c>
      <c r="K446" s="46" t="s">
        <v>1568</v>
      </c>
      <c r="L446" s="46" t="s">
        <v>2395</v>
      </c>
      <c r="M446" s="389"/>
      <c r="N446" s="46" t="s">
        <v>1562</v>
      </c>
      <c r="O446" s="389"/>
      <c r="P446" s="389"/>
      <c r="Q446" s="389"/>
      <c r="R446" s="46">
        <v>3.0</v>
      </c>
      <c r="S446" s="45"/>
      <c r="T446" s="46" t="s">
        <v>1630</v>
      </c>
      <c r="U446" s="44">
        <v>39.0</v>
      </c>
      <c r="V446" s="44">
        <v>16.0</v>
      </c>
      <c r="W446" s="389"/>
      <c r="X446" s="44">
        <v>14.0</v>
      </c>
      <c r="Y446" s="44">
        <v>4.526667</v>
      </c>
      <c r="Z446" s="44">
        <v>0.501795</v>
      </c>
      <c r="AA446" s="44">
        <v>1.261795</v>
      </c>
      <c r="AB446" s="44">
        <v>1.433846</v>
      </c>
      <c r="AC446" s="44">
        <v>0.269744</v>
      </c>
      <c r="AD446" s="44">
        <v>0.08</v>
      </c>
      <c r="AE446" s="44">
        <v>0.415784</v>
      </c>
      <c r="AF446" s="44">
        <v>4.236667</v>
      </c>
      <c r="AG446" s="44">
        <v>0.826785</v>
      </c>
      <c r="AH446" s="44">
        <v>0.606923</v>
      </c>
      <c r="AI446" s="44">
        <v>0.820769</v>
      </c>
      <c r="AJ446" s="44">
        <v>16.04609</v>
      </c>
      <c r="AK446" s="44">
        <v>-2.20557</v>
      </c>
      <c r="AL446" s="44">
        <v>-1.20265</v>
      </c>
      <c r="AM446" s="44">
        <v>-1.98837</v>
      </c>
      <c r="AN446" s="44">
        <v>-1.11229</v>
      </c>
      <c r="AO446" s="44">
        <v>-2.20172</v>
      </c>
      <c r="AP446" s="44">
        <v>-1.20571</v>
      </c>
      <c r="AQ446" s="44">
        <v>-0.45273</v>
      </c>
      <c r="AR446" s="44">
        <v>0.049419</v>
      </c>
      <c r="AS446" s="44">
        <v>1.355031</v>
      </c>
    </row>
    <row r="447">
      <c r="A447" s="44">
        <v>446.0</v>
      </c>
      <c r="B447" s="389"/>
      <c r="C447" s="45"/>
      <c r="D447" s="45"/>
      <c r="E447" s="44">
        <v>-0.99612</v>
      </c>
      <c r="F447" s="44">
        <v>0.002442</v>
      </c>
      <c r="G447" s="44">
        <v>0.499986</v>
      </c>
      <c r="H447" s="389"/>
      <c r="I447" s="46" t="s">
        <v>2396</v>
      </c>
      <c r="J447" s="46" t="s">
        <v>428</v>
      </c>
      <c r="K447" s="46" t="s">
        <v>88</v>
      </c>
      <c r="L447" s="46" t="s">
        <v>2397</v>
      </c>
      <c r="M447" s="389"/>
      <c r="N447" s="46" t="s">
        <v>1562</v>
      </c>
      <c r="O447" s="46" t="s">
        <v>2318</v>
      </c>
      <c r="P447" s="389"/>
      <c r="Q447" s="389"/>
      <c r="R447" s="46">
        <v>3.0</v>
      </c>
      <c r="S447" s="45"/>
      <c r="T447" s="46" t="s">
        <v>2183</v>
      </c>
      <c r="U447" s="44">
        <v>16.0</v>
      </c>
      <c r="V447" s="44">
        <v>14.0</v>
      </c>
      <c r="W447" s="389"/>
      <c r="X447" s="44">
        <v>8.0</v>
      </c>
      <c r="Y447" s="44">
        <v>2.31125</v>
      </c>
      <c r="Z447" s="44">
        <v>0.23125</v>
      </c>
      <c r="AA447" s="44">
        <v>1.245625</v>
      </c>
      <c r="AB447" s="44">
        <v>0.623125</v>
      </c>
      <c r="AC447" s="44">
        <v>0.37375</v>
      </c>
      <c r="AD447" s="44">
        <v>0.134375</v>
      </c>
      <c r="AE447" s="44">
        <v>0.451873</v>
      </c>
      <c r="AF447" s="44">
        <v>1.935</v>
      </c>
      <c r="AG447" s="44">
        <v>0.633971</v>
      </c>
      <c r="AH447" s="44">
        <v>0.5225</v>
      </c>
      <c r="AI447" s="44">
        <v>0.336875</v>
      </c>
      <c r="AJ447" s="44">
        <v>13.38174</v>
      </c>
      <c r="AK447" s="44">
        <v>-2.59598</v>
      </c>
      <c r="AL447" s="44">
        <v>-1.46141</v>
      </c>
      <c r="AM447" s="44">
        <v>-1.995</v>
      </c>
      <c r="AN447" s="44">
        <v>-1.50342</v>
      </c>
      <c r="AO447" s="44">
        <v>-1.89282</v>
      </c>
      <c r="AP447" s="44">
        <v>-1.10762</v>
      </c>
      <c r="AQ447" s="44">
        <v>-0.09975</v>
      </c>
      <c r="AR447" s="44">
        <v>-0.27534</v>
      </c>
      <c r="AS447" s="44">
        <v>1.966266</v>
      </c>
    </row>
    <row r="448">
      <c r="A448" s="44">
        <v>447.0</v>
      </c>
      <c r="B448" s="389"/>
      <c r="C448" s="45"/>
      <c r="D448" s="45"/>
      <c r="E448" s="44">
        <v>-0.99816</v>
      </c>
      <c r="F448" s="44">
        <v>0.003338</v>
      </c>
      <c r="G448" s="44">
        <v>1.568629</v>
      </c>
      <c r="H448" s="389"/>
      <c r="I448" s="46" t="s">
        <v>2398</v>
      </c>
      <c r="J448" s="46" t="s">
        <v>375</v>
      </c>
      <c r="K448" s="46" t="s">
        <v>97</v>
      </c>
      <c r="L448" s="46" t="s">
        <v>2399</v>
      </c>
      <c r="M448" s="389"/>
      <c r="N448" s="46" t="s">
        <v>1562</v>
      </c>
      <c r="O448" s="46" t="s">
        <v>2139</v>
      </c>
      <c r="P448" s="389"/>
      <c r="Q448" s="45"/>
      <c r="R448" s="46">
        <v>4.0</v>
      </c>
      <c r="S448" s="45"/>
      <c r="T448" s="46" t="s">
        <v>2183</v>
      </c>
      <c r="U448" s="44">
        <v>16.0</v>
      </c>
      <c r="V448" s="44">
        <v>15.0</v>
      </c>
      <c r="W448" s="389"/>
      <c r="X448" s="44">
        <v>8.0</v>
      </c>
      <c r="Y448" s="44">
        <v>2.786875</v>
      </c>
      <c r="Z448" s="44">
        <v>0.010625</v>
      </c>
      <c r="AA448" s="44">
        <v>1.861875</v>
      </c>
      <c r="AB448" s="44">
        <v>0.26125</v>
      </c>
      <c r="AC448" s="44">
        <v>0.163125</v>
      </c>
      <c r="AD448" s="44">
        <v>0.359375</v>
      </c>
      <c r="AE448" s="44">
        <v>0.563945</v>
      </c>
      <c r="AF448" s="44">
        <v>2.028125</v>
      </c>
      <c r="AG448" s="44">
        <v>0.689594</v>
      </c>
      <c r="AH448" s="44">
        <v>0.70875</v>
      </c>
      <c r="AI448" s="44">
        <v>0.424375</v>
      </c>
      <c r="AJ448" s="44">
        <v>15.29625</v>
      </c>
      <c r="AK448" s="44">
        <v>-2.51216</v>
      </c>
      <c r="AL448" s="44">
        <v>-1.67243</v>
      </c>
      <c r="AM448" s="44">
        <v>-1.74212</v>
      </c>
      <c r="AN448" s="44">
        <v>-1.67801</v>
      </c>
      <c r="AO448" s="44">
        <v>-2.51839</v>
      </c>
      <c r="AP448" s="44">
        <v>-0.70176</v>
      </c>
      <c r="AQ448" s="44">
        <v>0.230894</v>
      </c>
      <c r="AR448" s="44">
        <v>-0.24524</v>
      </c>
      <c r="AS448" s="44">
        <v>1.855739</v>
      </c>
    </row>
    <row r="449">
      <c r="A449" s="44">
        <v>448.0</v>
      </c>
      <c r="B449" s="389"/>
      <c r="C449" s="45"/>
      <c r="D449" s="45"/>
      <c r="E449" s="44">
        <v>-1.00312</v>
      </c>
      <c r="F449" s="44">
        <v>0.002088</v>
      </c>
      <c r="G449" s="44">
        <v>0.518571</v>
      </c>
      <c r="H449" s="389"/>
      <c r="I449" s="46" t="s">
        <v>2400</v>
      </c>
      <c r="J449" s="46" t="s">
        <v>324</v>
      </c>
      <c r="K449" s="46" t="s">
        <v>92</v>
      </c>
      <c r="L449" s="46" t="s">
        <v>2401</v>
      </c>
      <c r="M449" s="389"/>
      <c r="N449" s="46" t="s">
        <v>1570</v>
      </c>
      <c r="O449" s="46" t="s">
        <v>2318</v>
      </c>
      <c r="P449" s="389"/>
      <c r="Q449" s="389"/>
      <c r="R449" s="46">
        <v>3.0</v>
      </c>
      <c r="S449" s="45"/>
      <c r="T449" s="46" t="s">
        <v>2183</v>
      </c>
      <c r="U449" s="44">
        <v>16.0</v>
      </c>
      <c r="V449" s="44">
        <v>16.0</v>
      </c>
      <c r="W449" s="389"/>
      <c r="X449" s="44">
        <v>9.0</v>
      </c>
      <c r="Y449" s="44">
        <v>2.595625</v>
      </c>
      <c r="Z449" s="44">
        <v>0.541875</v>
      </c>
      <c r="AA449" s="44">
        <v>1.039375</v>
      </c>
      <c r="AB449" s="44">
        <v>0.288125</v>
      </c>
      <c r="AC449" s="44">
        <v>0.220625</v>
      </c>
      <c r="AD449" s="44">
        <v>0.15625</v>
      </c>
      <c r="AE449" s="44">
        <v>0.430729</v>
      </c>
      <c r="AF449" s="44">
        <v>2.151875</v>
      </c>
      <c r="AG449" s="44">
        <v>0.776699</v>
      </c>
      <c r="AH449" s="44">
        <v>0.2575</v>
      </c>
      <c r="AI449" s="44">
        <v>0.271875</v>
      </c>
      <c r="AJ449" s="44">
        <v>12.31483</v>
      </c>
      <c r="AK449" s="44">
        <v>-2.54586</v>
      </c>
      <c r="AL449" s="44">
        <v>-1.16432</v>
      </c>
      <c r="AM449" s="44">
        <v>-2.07964</v>
      </c>
      <c r="AN449" s="44">
        <v>-1.66504</v>
      </c>
      <c r="AO449" s="44">
        <v>-2.34761</v>
      </c>
      <c r="AP449" s="44">
        <v>-1.06816</v>
      </c>
      <c r="AQ449" s="44">
        <v>-0.17895</v>
      </c>
      <c r="AR449" s="44">
        <v>-0.02685</v>
      </c>
      <c r="AS449" s="44">
        <v>2.048371</v>
      </c>
    </row>
    <row r="450">
      <c r="A450" s="44">
        <v>449.0</v>
      </c>
      <c r="B450" s="389"/>
      <c r="C450" s="45"/>
      <c r="D450" s="45"/>
      <c r="E450" s="44">
        <v>-1.0039</v>
      </c>
      <c r="F450" s="44">
        <v>0.00164</v>
      </c>
      <c r="G450" s="44">
        <v>1.187635</v>
      </c>
      <c r="H450" s="389"/>
      <c r="I450" s="46" t="s">
        <v>2402</v>
      </c>
      <c r="J450" s="46" t="s">
        <v>354</v>
      </c>
      <c r="K450" s="46" t="s">
        <v>88</v>
      </c>
      <c r="L450" s="389"/>
      <c r="M450" s="389"/>
      <c r="N450" s="46" t="s">
        <v>1562</v>
      </c>
      <c r="O450" s="46" t="s">
        <v>2139</v>
      </c>
      <c r="P450" s="389"/>
      <c r="Q450" s="389"/>
      <c r="R450" s="46">
        <v>4.0</v>
      </c>
      <c r="S450" s="45"/>
      <c r="T450" s="46" t="s">
        <v>2183</v>
      </c>
      <c r="U450" s="44">
        <v>16.0</v>
      </c>
      <c r="V450" s="44">
        <v>15.0</v>
      </c>
      <c r="W450" s="389"/>
      <c r="X450" s="44">
        <v>9.0</v>
      </c>
      <c r="Y450" s="44">
        <v>2.688125</v>
      </c>
      <c r="Z450" s="44">
        <v>0.5525</v>
      </c>
      <c r="AA450" s="44">
        <v>1.44125</v>
      </c>
      <c r="AB450" s="44">
        <v>0.4825</v>
      </c>
      <c r="AC450" s="44">
        <v>0.42375</v>
      </c>
      <c r="AD450" s="44">
        <v>0.07375</v>
      </c>
      <c r="AE450" s="44">
        <v>0.358597</v>
      </c>
      <c r="AF450" s="44">
        <v>2.548125</v>
      </c>
      <c r="AG450" s="44">
        <v>0.671662</v>
      </c>
      <c r="AH450" s="44">
        <v>0.45875</v>
      </c>
      <c r="AI450" s="44">
        <v>0.4925</v>
      </c>
      <c r="AJ450" s="44">
        <v>14.97556</v>
      </c>
      <c r="AK450" s="44">
        <v>-2.52956</v>
      </c>
      <c r="AL450" s="44">
        <v>-1.15415</v>
      </c>
      <c r="AM450" s="44">
        <v>-1.91473</v>
      </c>
      <c r="AN450" s="44">
        <v>-1.57126</v>
      </c>
      <c r="AO450" s="44">
        <v>-1.74431</v>
      </c>
      <c r="AP450" s="44">
        <v>-1.21698</v>
      </c>
      <c r="AQ450" s="44">
        <v>-0.48474</v>
      </c>
      <c r="AR450" s="44">
        <v>-0.18905</v>
      </c>
      <c r="AS450" s="44">
        <v>1.769687</v>
      </c>
    </row>
    <row r="451">
      <c r="A451" s="44">
        <v>450.0</v>
      </c>
      <c r="B451" s="389"/>
      <c r="C451" s="45"/>
      <c r="D451" s="45"/>
      <c r="E451" s="44">
        <v>-1.00917</v>
      </c>
      <c r="F451" s="44">
        <v>0.002398</v>
      </c>
      <c r="G451" s="44">
        <v>1.568629</v>
      </c>
      <c r="H451" s="389"/>
      <c r="I451" s="46" t="s">
        <v>2403</v>
      </c>
      <c r="J451" s="46" t="s">
        <v>283</v>
      </c>
      <c r="K451" s="46" t="s">
        <v>1568</v>
      </c>
      <c r="L451" s="389"/>
      <c r="M451" s="389"/>
      <c r="N451" s="46" t="s">
        <v>1562</v>
      </c>
      <c r="O451" s="46" t="s">
        <v>2139</v>
      </c>
      <c r="P451" s="389"/>
      <c r="Q451" s="45"/>
      <c r="R451" s="46">
        <v>1.0</v>
      </c>
      <c r="S451" s="45"/>
      <c r="T451" s="46" t="s">
        <v>2183</v>
      </c>
      <c r="U451" s="44">
        <v>16.0</v>
      </c>
      <c r="V451" s="44">
        <v>14.0</v>
      </c>
      <c r="W451" s="389"/>
      <c r="X451" s="44">
        <v>7.0</v>
      </c>
      <c r="Y451" s="44">
        <v>2.76125</v>
      </c>
      <c r="Z451" s="44">
        <v>0.19375</v>
      </c>
      <c r="AA451" s="44">
        <v>1.000625</v>
      </c>
      <c r="AB451" s="44">
        <v>0.7</v>
      </c>
      <c r="AC451" s="44">
        <v>0.32875</v>
      </c>
      <c r="AD451" s="44">
        <v>0.1575</v>
      </c>
      <c r="AE451" s="44">
        <v>0.460146</v>
      </c>
      <c r="AF451" s="44">
        <v>2.313125</v>
      </c>
      <c r="AG451" s="44">
        <v>0.728972</v>
      </c>
      <c r="AH451" s="44">
        <v>0.601875</v>
      </c>
      <c r="AI451" s="44">
        <v>0.4575</v>
      </c>
      <c r="AJ451" s="44">
        <v>19.24972</v>
      </c>
      <c r="AK451" s="44">
        <v>-2.51668</v>
      </c>
      <c r="AL451" s="44">
        <v>-1.49728</v>
      </c>
      <c r="AM451" s="44">
        <v>-2.09554</v>
      </c>
      <c r="AN451" s="44">
        <v>-1.46633</v>
      </c>
      <c r="AO451" s="44">
        <v>-2.02647</v>
      </c>
      <c r="AP451" s="44">
        <v>-1.06591</v>
      </c>
      <c r="AQ451" s="44">
        <v>-0.09236</v>
      </c>
      <c r="AR451" s="44">
        <v>-0.13582</v>
      </c>
      <c r="AS451" s="44">
        <v>1.813897</v>
      </c>
    </row>
    <row r="452">
      <c r="A452" s="44">
        <v>451.0</v>
      </c>
      <c r="B452" s="389"/>
      <c r="C452" s="45"/>
      <c r="D452" s="45"/>
      <c r="E452" s="44">
        <v>-1.01027</v>
      </c>
      <c r="F452" s="44">
        <v>0.002005</v>
      </c>
      <c r="G452" s="44">
        <v>0.509278</v>
      </c>
      <c r="H452" s="389"/>
      <c r="I452" s="46" t="s">
        <v>2404</v>
      </c>
      <c r="J452" s="46" t="s">
        <v>342</v>
      </c>
      <c r="K452" s="46" t="s">
        <v>92</v>
      </c>
      <c r="L452" s="46" t="s">
        <v>2405</v>
      </c>
      <c r="M452" s="389"/>
      <c r="N452" s="46" t="s">
        <v>1562</v>
      </c>
      <c r="O452" s="46" t="s">
        <v>2332</v>
      </c>
      <c r="P452" s="389"/>
      <c r="Q452" s="389"/>
      <c r="R452" s="46">
        <v>4.0</v>
      </c>
      <c r="S452" s="45"/>
      <c r="T452" s="46" t="s">
        <v>2183</v>
      </c>
      <c r="U452" s="44">
        <v>16.0</v>
      </c>
      <c r="V452" s="44">
        <v>16.0</v>
      </c>
      <c r="W452" s="389"/>
      <c r="X452" s="44">
        <v>7.0</v>
      </c>
      <c r="Y452" s="44">
        <v>2.43375</v>
      </c>
      <c r="Z452" s="44">
        <v>0.614375</v>
      </c>
      <c r="AA452" s="44">
        <v>1.4875</v>
      </c>
      <c r="AB452" s="44">
        <v>0.39375</v>
      </c>
      <c r="AC452" s="44">
        <v>0.19125</v>
      </c>
      <c r="AD452" s="44">
        <v>0.08375</v>
      </c>
      <c r="AE452" s="44">
        <v>0.402028</v>
      </c>
      <c r="AF452" s="44">
        <v>1.910625</v>
      </c>
      <c r="AG452" s="44">
        <v>0.751244</v>
      </c>
      <c r="AH452" s="44">
        <v>0.376875</v>
      </c>
      <c r="AI452" s="44">
        <v>0.291875</v>
      </c>
      <c r="AJ452" s="44">
        <v>14.52667</v>
      </c>
      <c r="AK452" s="44">
        <v>-2.57439</v>
      </c>
      <c r="AL452" s="44">
        <v>-1.09497</v>
      </c>
      <c r="AM452" s="44">
        <v>-1.89575</v>
      </c>
      <c r="AN452" s="44">
        <v>-1.61408</v>
      </c>
      <c r="AO452" s="44">
        <v>-2.43486</v>
      </c>
      <c r="AP452" s="44">
        <v>-1.19894</v>
      </c>
      <c r="AQ452" s="44">
        <v>-0.2391</v>
      </c>
      <c r="AR452" s="44">
        <v>-0.06348</v>
      </c>
      <c r="AS452" s="44">
        <v>2.023108</v>
      </c>
    </row>
    <row r="453">
      <c r="A453" s="44">
        <v>452.0</v>
      </c>
      <c r="B453" s="389"/>
      <c r="C453" s="389"/>
      <c r="D453" s="389"/>
      <c r="E453" s="44">
        <v>-1.01112</v>
      </c>
      <c r="F453" s="44">
        <v>0.001873</v>
      </c>
      <c r="G453" s="44">
        <v>1.568629</v>
      </c>
      <c r="H453" s="389"/>
      <c r="I453" s="46" t="s">
        <v>2406</v>
      </c>
      <c r="J453" s="46" t="s">
        <v>332</v>
      </c>
      <c r="K453" s="46" t="s">
        <v>1568</v>
      </c>
      <c r="L453" s="389"/>
      <c r="M453" s="389"/>
      <c r="N453" s="46" t="s">
        <v>1612</v>
      </c>
      <c r="O453" s="46" t="s">
        <v>2139</v>
      </c>
      <c r="P453" s="389"/>
      <c r="Q453" s="389"/>
      <c r="R453" s="46">
        <v>2.0</v>
      </c>
      <c r="S453" s="45"/>
      <c r="T453" s="46" t="s">
        <v>2183</v>
      </c>
      <c r="U453" s="44">
        <v>16.0</v>
      </c>
      <c r="V453" s="44">
        <v>15.0</v>
      </c>
      <c r="W453" s="389"/>
      <c r="X453" s="44">
        <v>8.0</v>
      </c>
      <c r="Y453" s="44">
        <v>2.978125</v>
      </c>
      <c r="Z453" s="44">
        <v>0.5375</v>
      </c>
      <c r="AA453" s="44">
        <v>1.35625</v>
      </c>
      <c r="AB453" s="44">
        <v>0.498125</v>
      </c>
      <c r="AC453" s="44">
        <v>0.30875</v>
      </c>
      <c r="AD453" s="44">
        <v>0.06875</v>
      </c>
      <c r="AE453" s="44">
        <v>0.391882</v>
      </c>
      <c r="AF453" s="44">
        <v>2.679375</v>
      </c>
      <c r="AG453" s="44">
        <v>0.748626</v>
      </c>
      <c r="AH453" s="44">
        <v>0.455</v>
      </c>
      <c r="AI453" s="44">
        <v>0.44625</v>
      </c>
      <c r="AJ453" s="44">
        <v>17.3109</v>
      </c>
      <c r="AK453" s="44">
        <v>-2.47846</v>
      </c>
      <c r="AL453" s="44">
        <v>-1.1685</v>
      </c>
      <c r="AM453" s="44">
        <v>-1.94961</v>
      </c>
      <c r="AN453" s="44">
        <v>-1.56373</v>
      </c>
      <c r="AO453" s="44">
        <v>-2.08587</v>
      </c>
      <c r="AP453" s="44">
        <v>-1.226</v>
      </c>
      <c r="AQ453" s="44">
        <v>-0.37832</v>
      </c>
      <c r="AR453" s="44">
        <v>-0.07773</v>
      </c>
      <c r="AS453" s="44">
        <v>1.828108</v>
      </c>
    </row>
    <row r="454">
      <c r="A454" s="44">
        <v>453.0</v>
      </c>
      <c r="B454" s="389"/>
      <c r="C454" s="45"/>
      <c r="D454" s="45"/>
      <c r="E454" s="44">
        <v>-1.01367</v>
      </c>
      <c r="F454" s="44">
        <v>-0.00208</v>
      </c>
      <c r="G454" s="44">
        <v>1.429241</v>
      </c>
      <c r="H454" s="389"/>
      <c r="I454" s="46" t="s">
        <v>2407</v>
      </c>
      <c r="J454" s="46" t="s">
        <v>495</v>
      </c>
      <c r="K454" s="46" t="s">
        <v>1568</v>
      </c>
      <c r="L454" s="46" t="s">
        <v>2408</v>
      </c>
      <c r="M454" s="389"/>
      <c r="N454" s="46" t="s">
        <v>1562</v>
      </c>
      <c r="O454" s="46" t="s">
        <v>2139</v>
      </c>
      <c r="P454" s="389"/>
      <c r="Q454" s="389"/>
      <c r="R454" s="46">
        <v>3.0</v>
      </c>
      <c r="S454" s="45"/>
      <c r="T454" s="46" t="s">
        <v>1905</v>
      </c>
      <c r="U454" s="44">
        <v>46.0</v>
      </c>
      <c r="V454" s="44">
        <v>14.0</v>
      </c>
      <c r="W454" s="389"/>
      <c r="X454" s="44">
        <v>9.0</v>
      </c>
      <c r="Y454" s="44">
        <v>3.78</v>
      </c>
      <c r="Z454" s="44">
        <v>0.796522</v>
      </c>
      <c r="AA454" s="44">
        <v>0.756957</v>
      </c>
      <c r="AB454" s="44">
        <v>0.597826</v>
      </c>
      <c r="AC454" s="44">
        <v>0.256087</v>
      </c>
      <c r="AD454" s="44">
        <v>0.04087</v>
      </c>
      <c r="AE454" s="44">
        <v>0.363207</v>
      </c>
      <c r="AF454" s="44">
        <v>3.267391</v>
      </c>
      <c r="AG454" s="44">
        <v>0.811921</v>
      </c>
      <c r="AH454" s="44">
        <v>0.751304</v>
      </c>
      <c r="AI454" s="44">
        <v>0.360217</v>
      </c>
      <c r="AJ454" s="44">
        <v>18.90521</v>
      </c>
      <c r="AK454" s="44">
        <v>-2.33715</v>
      </c>
      <c r="AL454" s="44">
        <v>-0.92076</v>
      </c>
      <c r="AM454" s="44">
        <v>-2.19553</v>
      </c>
      <c r="AN454" s="44">
        <v>-1.51562</v>
      </c>
      <c r="AO454" s="44">
        <v>-2.24229</v>
      </c>
      <c r="AP454" s="44">
        <v>-1.2763</v>
      </c>
      <c r="AQ454" s="44">
        <v>-0.60132</v>
      </c>
      <c r="AR454" s="44">
        <v>0.029172</v>
      </c>
      <c r="AS454" s="44">
        <v>1.93678</v>
      </c>
    </row>
    <row r="455">
      <c r="A455" s="44">
        <v>454.0</v>
      </c>
      <c r="B455" s="389"/>
      <c r="C455" s="45"/>
      <c r="D455" s="45"/>
      <c r="E455" s="44">
        <v>-1.01376</v>
      </c>
      <c r="F455" s="44">
        <v>0.001612</v>
      </c>
      <c r="G455" s="44">
        <v>0.750885</v>
      </c>
      <c r="H455" s="389"/>
      <c r="I455" s="46" t="s">
        <v>2409</v>
      </c>
      <c r="J455" s="46" t="s">
        <v>308</v>
      </c>
      <c r="K455" s="46" t="s">
        <v>88</v>
      </c>
      <c r="L455" s="46" t="s">
        <v>2410</v>
      </c>
      <c r="M455" s="389"/>
      <c r="N455" s="46" t="s">
        <v>1562</v>
      </c>
      <c r="O455" s="389"/>
      <c r="P455" s="389"/>
      <c r="Q455" s="389"/>
      <c r="R455" s="46">
        <v>2.0</v>
      </c>
      <c r="S455" s="45"/>
      <c r="T455" s="46" t="s">
        <v>1905</v>
      </c>
      <c r="U455" s="44">
        <v>46.0</v>
      </c>
      <c r="V455" s="44">
        <v>15.0</v>
      </c>
      <c r="W455" s="389"/>
      <c r="X455" s="44">
        <v>7.0</v>
      </c>
      <c r="Y455" s="44">
        <v>3.203696</v>
      </c>
      <c r="Z455" s="44">
        <v>0.547609</v>
      </c>
      <c r="AA455" s="44">
        <v>0.919565</v>
      </c>
      <c r="AB455" s="44">
        <v>0.523696</v>
      </c>
      <c r="AC455" s="44">
        <v>0.188696</v>
      </c>
      <c r="AD455" s="44">
        <v>0.07413</v>
      </c>
      <c r="AE455" s="44">
        <v>0.435625</v>
      </c>
      <c r="AF455" s="44">
        <v>2.716739</v>
      </c>
      <c r="AG455" s="44">
        <v>0.748031</v>
      </c>
      <c r="AH455" s="44">
        <v>0.386522</v>
      </c>
      <c r="AI455" s="44">
        <v>0.239348</v>
      </c>
      <c r="AJ455" s="44">
        <v>19.95159</v>
      </c>
      <c r="AK455" s="44">
        <v>-2.43871</v>
      </c>
      <c r="AL455" s="44">
        <v>-1.15883</v>
      </c>
      <c r="AM455" s="44">
        <v>-2.1288</v>
      </c>
      <c r="AN455" s="44">
        <v>-1.55139</v>
      </c>
      <c r="AO455" s="44">
        <v>-2.44244</v>
      </c>
      <c r="AP455" s="44">
        <v>-1.2163</v>
      </c>
      <c r="AQ455" s="44">
        <v>-0.20814</v>
      </c>
      <c r="AR455" s="44">
        <v>-0.06867</v>
      </c>
      <c r="AS455" s="44">
        <v>2.089458</v>
      </c>
    </row>
    <row r="456">
      <c r="A456" s="44">
        <v>455.0</v>
      </c>
      <c r="B456" s="389"/>
      <c r="C456" s="45"/>
      <c r="D456" s="45"/>
      <c r="E456" s="44">
        <v>-1.01535</v>
      </c>
      <c r="F456" s="44">
        <v>0.002421</v>
      </c>
      <c r="G456" s="44">
        <v>1.568629</v>
      </c>
      <c r="H456" s="389"/>
      <c r="I456" s="46" t="s">
        <v>2411</v>
      </c>
      <c r="J456" s="46" t="s">
        <v>1639</v>
      </c>
      <c r="K456" s="46" t="s">
        <v>2386</v>
      </c>
      <c r="L456" s="46" t="s">
        <v>2412</v>
      </c>
      <c r="M456" s="389"/>
      <c r="N456" s="46" t="s">
        <v>1562</v>
      </c>
      <c r="O456" s="389"/>
      <c r="P456" s="389"/>
      <c r="Q456" s="45"/>
      <c r="R456" s="46">
        <v>2.0</v>
      </c>
      <c r="S456" s="45"/>
      <c r="T456" s="46" t="s">
        <v>1905</v>
      </c>
      <c r="U456" s="44">
        <v>46.0</v>
      </c>
      <c r="V456" s="44">
        <v>15.0</v>
      </c>
      <c r="W456" s="389"/>
      <c r="X456" s="44">
        <v>11.0</v>
      </c>
      <c r="Y456" s="44">
        <v>3.266087</v>
      </c>
      <c r="Z456" s="44">
        <v>0.247391</v>
      </c>
      <c r="AA456" s="44">
        <v>1.666522</v>
      </c>
      <c r="AB456" s="44">
        <v>0.625</v>
      </c>
      <c r="AC456" s="44">
        <v>0.393478</v>
      </c>
      <c r="AD456" s="44">
        <v>0.138913</v>
      </c>
      <c r="AE456" s="44">
        <v>0.427486</v>
      </c>
      <c r="AF456" s="44">
        <v>3.147826</v>
      </c>
      <c r="AG456" s="44">
        <v>0.649978</v>
      </c>
      <c r="AH456" s="44">
        <v>0.503696</v>
      </c>
      <c r="AI456" s="44">
        <v>0.694348</v>
      </c>
      <c r="AJ456" s="44">
        <v>15.566</v>
      </c>
      <c r="AK456" s="44">
        <v>-2.42771</v>
      </c>
      <c r="AL456" s="44">
        <v>-1.44598</v>
      </c>
      <c r="AM456" s="44">
        <v>-1.82228</v>
      </c>
      <c r="AN456" s="44">
        <v>-1.50251</v>
      </c>
      <c r="AO456" s="44">
        <v>-1.83422</v>
      </c>
      <c r="AP456" s="44">
        <v>-1.09944</v>
      </c>
      <c r="AQ456" s="44">
        <v>-0.28013</v>
      </c>
      <c r="AR456" s="44">
        <v>-0.24059</v>
      </c>
      <c r="AS456" s="44">
        <v>1.514721</v>
      </c>
    </row>
    <row r="457">
      <c r="A457" s="44">
        <v>456.0</v>
      </c>
      <c r="B457" s="389"/>
      <c r="C457" s="45"/>
      <c r="D457" s="45"/>
      <c r="E457" s="44">
        <v>-1.01636</v>
      </c>
      <c r="F457" s="44">
        <v>0.002813</v>
      </c>
      <c r="G457" s="44">
        <v>1.568629</v>
      </c>
      <c r="H457" s="389"/>
      <c r="I457" s="46" t="s">
        <v>2413</v>
      </c>
      <c r="J457" s="46" t="s">
        <v>442</v>
      </c>
      <c r="K457" s="46" t="s">
        <v>1572</v>
      </c>
      <c r="L457" s="46" t="s">
        <v>2414</v>
      </c>
      <c r="M457" s="389"/>
      <c r="N457" s="46" t="s">
        <v>1562</v>
      </c>
      <c r="O457" s="389"/>
      <c r="P457" s="389"/>
      <c r="Q457" s="45"/>
      <c r="R457" s="46">
        <v>1.0</v>
      </c>
      <c r="S457" s="45"/>
      <c r="T457" s="46" t="s">
        <v>1905</v>
      </c>
      <c r="U457" s="44">
        <v>46.0</v>
      </c>
      <c r="V457" s="44">
        <v>14.0</v>
      </c>
      <c r="W457" s="389"/>
      <c r="X457" s="44">
        <v>11.0</v>
      </c>
      <c r="Y457" s="44">
        <v>3.012826</v>
      </c>
      <c r="Z457" s="44">
        <v>0.358696</v>
      </c>
      <c r="AA457" s="44">
        <v>1.81913</v>
      </c>
      <c r="AB457" s="44">
        <v>0.808478</v>
      </c>
      <c r="AC457" s="44">
        <v>0.404348</v>
      </c>
      <c r="AD457" s="44">
        <v>0.134783</v>
      </c>
      <c r="AE457" s="44">
        <v>0.394208</v>
      </c>
      <c r="AF457" s="44">
        <v>2.672391</v>
      </c>
      <c r="AG457" s="44">
        <v>0.706031</v>
      </c>
      <c r="AH457" s="44">
        <v>0.775</v>
      </c>
      <c r="AI457" s="44">
        <v>0.83087</v>
      </c>
      <c r="AJ457" s="44">
        <v>15.42535</v>
      </c>
      <c r="AK457" s="44">
        <v>-2.47234</v>
      </c>
      <c r="AL457" s="44">
        <v>-1.33952</v>
      </c>
      <c r="AM457" s="44">
        <v>-1.75966</v>
      </c>
      <c r="AN457" s="44">
        <v>-1.414</v>
      </c>
      <c r="AO457" s="44">
        <v>-1.80194</v>
      </c>
      <c r="AP457" s="44">
        <v>-1.10689</v>
      </c>
      <c r="AQ457" s="44">
        <v>-0.36814</v>
      </c>
      <c r="AR457" s="44">
        <v>-0.227</v>
      </c>
      <c r="AS457" s="44">
        <v>1.342273</v>
      </c>
    </row>
    <row r="458">
      <c r="A458" s="44">
        <v>457.0</v>
      </c>
      <c r="B458" s="389"/>
      <c r="C458" s="45"/>
      <c r="D458" s="45"/>
      <c r="E458" s="44">
        <v>-1.01655</v>
      </c>
      <c r="F458" s="44">
        <v>-8.6E-4</v>
      </c>
      <c r="G458" s="44">
        <v>0.053943</v>
      </c>
      <c r="H458" s="389"/>
      <c r="I458" s="46" t="s">
        <v>2415</v>
      </c>
      <c r="J458" s="46" t="s">
        <v>495</v>
      </c>
      <c r="K458" s="46" t="s">
        <v>92</v>
      </c>
      <c r="L458" s="389"/>
      <c r="M458" s="389"/>
      <c r="N458" s="46" t="s">
        <v>1570</v>
      </c>
      <c r="O458" s="46" t="s">
        <v>2416</v>
      </c>
      <c r="P458" s="389"/>
      <c r="Q458" s="389"/>
      <c r="R458" s="389"/>
      <c r="S458" s="45"/>
      <c r="T458" s="46" t="s">
        <v>2183</v>
      </c>
      <c r="U458" s="44">
        <v>16.0</v>
      </c>
      <c r="V458" s="44">
        <v>14.0</v>
      </c>
      <c r="W458" s="389"/>
      <c r="X458" s="44">
        <v>7.0</v>
      </c>
      <c r="Y458" s="44">
        <v>2.669375</v>
      </c>
      <c r="Z458" s="44">
        <v>0.433125</v>
      </c>
      <c r="AA458" s="44">
        <v>1.383125</v>
      </c>
      <c r="AB458" s="44">
        <v>0.424375</v>
      </c>
      <c r="AC458" s="44">
        <v>0.16875</v>
      </c>
      <c r="AD458" s="44">
        <v>0.201875</v>
      </c>
      <c r="AE458" s="44">
        <v>0.398013</v>
      </c>
      <c r="AF458" s="44">
        <v>2.13875</v>
      </c>
      <c r="AG458" s="44">
        <v>0.768677</v>
      </c>
      <c r="AH458" s="44">
        <v>0.694375</v>
      </c>
      <c r="AI458" s="44">
        <v>0.28875</v>
      </c>
      <c r="AJ458" s="44">
        <v>16.78316</v>
      </c>
      <c r="AK458" s="44">
        <v>-2.53287</v>
      </c>
      <c r="AL458" s="44">
        <v>-1.26833</v>
      </c>
      <c r="AM458" s="44">
        <v>-1.93858</v>
      </c>
      <c r="AN458" s="44">
        <v>-1.59931</v>
      </c>
      <c r="AO458" s="44">
        <v>-2.50168</v>
      </c>
      <c r="AP458" s="44">
        <v>-0.98586</v>
      </c>
      <c r="AQ458" s="44">
        <v>-0.28119</v>
      </c>
      <c r="AR458" s="44">
        <v>-0.06822</v>
      </c>
      <c r="AS458" s="44">
        <v>2.027055</v>
      </c>
    </row>
    <row r="459">
      <c r="A459" s="44">
        <v>458.0</v>
      </c>
      <c r="B459" s="389"/>
      <c r="C459" s="45"/>
      <c r="D459" s="45"/>
      <c r="E459" s="44">
        <v>-1.01661</v>
      </c>
      <c r="F459" s="44">
        <v>0.00429</v>
      </c>
      <c r="G459" s="44">
        <v>1.568629</v>
      </c>
      <c r="H459" s="389"/>
      <c r="I459" s="46" t="s">
        <v>2417</v>
      </c>
      <c r="J459" s="46" t="s">
        <v>304</v>
      </c>
      <c r="K459" s="46" t="s">
        <v>1593</v>
      </c>
      <c r="L459" s="46" t="s">
        <v>2418</v>
      </c>
      <c r="M459" s="389"/>
      <c r="N459" s="46" t="s">
        <v>1612</v>
      </c>
      <c r="O459" s="46" t="s">
        <v>2244</v>
      </c>
      <c r="P459" s="389"/>
      <c r="Q459" s="389"/>
      <c r="R459" s="46">
        <v>1.0</v>
      </c>
      <c r="S459" s="45"/>
      <c r="T459" s="46" t="s">
        <v>1905</v>
      </c>
      <c r="U459" s="44">
        <v>49.0</v>
      </c>
      <c r="V459" s="44">
        <v>13.0</v>
      </c>
      <c r="W459" s="389"/>
      <c r="X459" s="44">
        <v>11.0</v>
      </c>
      <c r="Y459" s="44">
        <v>3.925918</v>
      </c>
      <c r="Z459" s="44">
        <v>0.341224</v>
      </c>
      <c r="AA459" s="44">
        <v>1.888367</v>
      </c>
      <c r="AB459" s="44">
        <v>0.68449</v>
      </c>
      <c r="AC459" s="44">
        <v>0.424898</v>
      </c>
      <c r="AD459" s="44">
        <v>0.141633</v>
      </c>
      <c r="AE459" s="44">
        <v>0.395509</v>
      </c>
      <c r="AF459" s="44">
        <v>3.872041</v>
      </c>
      <c r="AG459" s="44">
        <v>0.748975</v>
      </c>
      <c r="AH459" s="44">
        <v>0.696735</v>
      </c>
      <c r="AI459" s="44">
        <v>0.944082</v>
      </c>
      <c r="AJ459" s="44">
        <v>19.13893</v>
      </c>
      <c r="AK459" s="44">
        <v>-2.31144</v>
      </c>
      <c r="AL459" s="44">
        <v>-1.35623</v>
      </c>
      <c r="AM459" s="44">
        <v>-1.73125</v>
      </c>
      <c r="AN459" s="44">
        <v>-1.47381</v>
      </c>
      <c r="AO459" s="44">
        <v>-1.74091</v>
      </c>
      <c r="AP459" s="44">
        <v>-1.09453</v>
      </c>
      <c r="AQ459" s="44">
        <v>-0.52913</v>
      </c>
      <c r="AR459" s="44">
        <v>-0.11148</v>
      </c>
      <c r="AS459" s="44">
        <v>1.199268</v>
      </c>
    </row>
    <row r="460">
      <c r="A460" s="44">
        <v>459.0</v>
      </c>
      <c r="B460" s="389"/>
      <c r="C460" s="45"/>
      <c r="D460" s="45"/>
      <c r="E460" s="44">
        <v>-1.01952</v>
      </c>
      <c r="F460" s="44">
        <v>0.001647</v>
      </c>
      <c r="G460" s="44">
        <v>0.955321</v>
      </c>
      <c r="H460" s="389"/>
      <c r="I460" s="46" t="s">
        <v>2419</v>
      </c>
      <c r="J460" s="46" t="s">
        <v>1578</v>
      </c>
      <c r="K460" s="46" t="s">
        <v>85</v>
      </c>
      <c r="L460" s="389"/>
      <c r="M460" s="389"/>
      <c r="N460" s="46" t="s">
        <v>1562</v>
      </c>
      <c r="O460" s="46" t="s">
        <v>2244</v>
      </c>
      <c r="P460" s="389"/>
      <c r="Q460" s="389"/>
      <c r="R460" s="389"/>
      <c r="S460" s="45"/>
      <c r="T460" s="46" t="s">
        <v>1905</v>
      </c>
      <c r="U460" s="44">
        <v>46.0</v>
      </c>
      <c r="V460" s="44">
        <v>15.0</v>
      </c>
      <c r="W460" s="389"/>
      <c r="X460" s="44">
        <v>7.0</v>
      </c>
      <c r="Y460" s="44">
        <v>2.713696</v>
      </c>
      <c r="Z460" s="44">
        <v>0.19087</v>
      </c>
      <c r="AA460" s="44">
        <v>1.031522</v>
      </c>
      <c r="AB460" s="44">
        <v>1.227174</v>
      </c>
      <c r="AC460" s="44">
        <v>0.236739</v>
      </c>
      <c r="AD460" s="44">
        <v>0.063043</v>
      </c>
      <c r="AE460" s="44">
        <v>0.452661</v>
      </c>
      <c r="AF460" s="44">
        <v>2.569348</v>
      </c>
      <c r="AG460" s="44">
        <v>0.765651</v>
      </c>
      <c r="AH460" s="44">
        <v>0.256957</v>
      </c>
      <c r="AI460" s="44">
        <v>0.430652</v>
      </c>
      <c r="AJ460" s="44">
        <v>19.39134</v>
      </c>
      <c r="AK460" s="44">
        <v>-2.52506</v>
      </c>
      <c r="AL460" s="44">
        <v>-1.50004</v>
      </c>
      <c r="AM460" s="44">
        <v>-2.08286</v>
      </c>
      <c r="AN460" s="44">
        <v>-1.212</v>
      </c>
      <c r="AO460" s="44">
        <v>-2.29975</v>
      </c>
      <c r="AP460" s="44">
        <v>-1.2363</v>
      </c>
      <c r="AQ460" s="44">
        <v>-0.13179</v>
      </c>
      <c r="AR460" s="44">
        <v>-0.03573</v>
      </c>
      <c r="AS460" s="44">
        <v>1.84781</v>
      </c>
    </row>
    <row r="461">
      <c r="A461" s="44">
        <v>460.0</v>
      </c>
      <c r="B461" s="389"/>
      <c r="C461" s="45"/>
      <c r="D461" s="45"/>
      <c r="E461" s="44">
        <v>-1.0242</v>
      </c>
      <c r="F461" s="44">
        <v>0.001166</v>
      </c>
      <c r="G461" s="44">
        <v>1.020369</v>
      </c>
      <c r="H461" s="389"/>
      <c r="I461" s="46" t="s">
        <v>2420</v>
      </c>
      <c r="J461" s="46" t="s">
        <v>1639</v>
      </c>
      <c r="K461" s="46" t="s">
        <v>88</v>
      </c>
      <c r="L461" s="46" t="s">
        <v>2421</v>
      </c>
      <c r="M461" s="389"/>
      <c r="N461" s="46" t="s">
        <v>1562</v>
      </c>
      <c r="O461" s="46" t="s">
        <v>2361</v>
      </c>
      <c r="P461" s="389"/>
      <c r="Q461" s="389"/>
      <c r="R461" s="46">
        <v>2.0</v>
      </c>
      <c r="S461" s="45"/>
      <c r="T461" s="46" t="s">
        <v>1905</v>
      </c>
      <c r="U461" s="44">
        <v>46.0</v>
      </c>
      <c r="V461" s="44">
        <v>15.0</v>
      </c>
      <c r="W461" s="389"/>
      <c r="X461" s="44">
        <v>9.0</v>
      </c>
      <c r="Y461" s="44">
        <v>3.558696</v>
      </c>
      <c r="Z461" s="44">
        <v>0.484348</v>
      </c>
      <c r="AA461" s="44">
        <v>1.060435</v>
      </c>
      <c r="AB461" s="44">
        <v>0.897391</v>
      </c>
      <c r="AC461" s="44">
        <v>0.231522</v>
      </c>
      <c r="AD461" s="44">
        <v>0.091739</v>
      </c>
      <c r="AE461" s="44">
        <v>0.388354</v>
      </c>
      <c r="AF461" s="44">
        <v>3.408478</v>
      </c>
      <c r="AG461" s="44">
        <v>0.782782</v>
      </c>
      <c r="AH461" s="44">
        <v>0.545435</v>
      </c>
      <c r="AI461" s="44">
        <v>0.426739</v>
      </c>
      <c r="AJ461" s="44">
        <v>19.07853</v>
      </c>
      <c r="AK461" s="44">
        <v>-2.37615</v>
      </c>
      <c r="AL461" s="44">
        <v>-1.21934</v>
      </c>
      <c r="AM461" s="44">
        <v>-2.071</v>
      </c>
      <c r="AN461" s="44">
        <v>-1.3711</v>
      </c>
      <c r="AO461" s="44">
        <v>-2.31525</v>
      </c>
      <c r="AP461" s="44">
        <v>-1.18453</v>
      </c>
      <c r="AQ461" s="44">
        <v>-0.50097</v>
      </c>
      <c r="AR461" s="44">
        <v>-0.03219</v>
      </c>
      <c r="AS461" s="44">
        <v>1.852753</v>
      </c>
    </row>
    <row r="462">
      <c r="A462" s="44">
        <v>461.0</v>
      </c>
      <c r="B462" s="389"/>
      <c r="C462" s="45"/>
      <c r="D462" s="45"/>
      <c r="E462" s="44">
        <v>-1.02965</v>
      </c>
      <c r="F462" s="44">
        <v>0.002049</v>
      </c>
      <c r="G462" s="44">
        <v>0.84381</v>
      </c>
      <c r="H462" s="389"/>
      <c r="I462" s="46" t="s">
        <v>2422</v>
      </c>
      <c r="J462" s="46" t="s">
        <v>1608</v>
      </c>
      <c r="K462" s="46" t="s">
        <v>90</v>
      </c>
      <c r="L462" s="46" t="s">
        <v>2423</v>
      </c>
      <c r="M462" s="389"/>
      <c r="N462" s="46" t="s">
        <v>1570</v>
      </c>
      <c r="O462" s="46" t="s">
        <v>2214</v>
      </c>
      <c r="P462" s="389"/>
      <c r="Q462" s="389"/>
      <c r="R462" s="389"/>
      <c r="S462" s="45"/>
      <c r="T462" s="46" t="s">
        <v>2183</v>
      </c>
      <c r="U462" s="44">
        <v>16.0</v>
      </c>
      <c r="V462" s="44">
        <v>14.0</v>
      </c>
      <c r="W462" s="389"/>
      <c r="X462" s="44">
        <v>7.0</v>
      </c>
      <c r="Y462" s="44">
        <v>2.470625</v>
      </c>
      <c r="Z462" s="44">
        <v>0.250625</v>
      </c>
      <c r="AA462" s="44">
        <v>1.199375</v>
      </c>
      <c r="AB462" s="44">
        <v>0.5875</v>
      </c>
      <c r="AC462" s="44">
        <v>0.273125</v>
      </c>
      <c r="AD462" s="44">
        <v>0.0925</v>
      </c>
      <c r="AE462" s="44">
        <v>0.417442</v>
      </c>
      <c r="AF462" s="44">
        <v>2.15</v>
      </c>
      <c r="AG462" s="44">
        <v>0.756396</v>
      </c>
      <c r="AH462" s="44">
        <v>0.561875</v>
      </c>
      <c r="AI462" s="44">
        <v>0.346875</v>
      </c>
      <c r="AJ462" s="44">
        <v>17.01053</v>
      </c>
      <c r="AK462" s="44">
        <v>-2.56789</v>
      </c>
      <c r="AL462" s="44">
        <v>-1.44288</v>
      </c>
      <c r="AM462" s="44">
        <v>-2.01398</v>
      </c>
      <c r="AN462" s="44">
        <v>-1.52061</v>
      </c>
      <c r="AO462" s="44">
        <v>-2.19168</v>
      </c>
      <c r="AP462" s="44">
        <v>-1.18316</v>
      </c>
      <c r="AQ462" s="44">
        <v>-0.22099</v>
      </c>
      <c r="AR462" s="44">
        <v>-0.07929</v>
      </c>
      <c r="AS462" s="44">
        <v>1.953634</v>
      </c>
    </row>
    <row r="463">
      <c r="A463" s="44">
        <v>462.0</v>
      </c>
      <c r="B463" s="389"/>
      <c r="C463" s="45"/>
      <c r="D463" s="45"/>
      <c r="E463" s="44">
        <v>-1.03205</v>
      </c>
      <c r="F463" s="44">
        <v>0.001849</v>
      </c>
      <c r="G463" s="44">
        <v>1.568629</v>
      </c>
      <c r="H463" s="389"/>
      <c r="I463" s="46" t="s">
        <v>2424</v>
      </c>
      <c r="J463" s="46" t="s">
        <v>1578</v>
      </c>
      <c r="K463" s="46" t="s">
        <v>1568</v>
      </c>
      <c r="L463" s="389"/>
      <c r="M463" s="389"/>
      <c r="N463" s="46" t="s">
        <v>1562</v>
      </c>
      <c r="O463" s="389"/>
      <c r="P463" s="389"/>
      <c r="Q463" s="45"/>
      <c r="R463" s="46">
        <v>2.0</v>
      </c>
      <c r="S463" s="45"/>
      <c r="T463" s="46" t="s">
        <v>1905</v>
      </c>
      <c r="U463" s="44">
        <v>46.0</v>
      </c>
      <c r="V463" s="44">
        <v>15.0</v>
      </c>
      <c r="W463" s="389"/>
      <c r="X463" s="44">
        <v>7.0</v>
      </c>
      <c r="Y463" s="44">
        <v>2.423043</v>
      </c>
      <c r="Z463" s="44">
        <v>0.437609</v>
      </c>
      <c r="AA463" s="44">
        <v>1.025</v>
      </c>
      <c r="AB463" s="44">
        <v>0.36087</v>
      </c>
      <c r="AC463" s="44">
        <v>0.231087</v>
      </c>
      <c r="AD463" s="44">
        <v>0.101087</v>
      </c>
      <c r="AE463" s="44">
        <v>0.393428</v>
      </c>
      <c r="AF463" s="44">
        <v>2.136739</v>
      </c>
      <c r="AG463" s="44">
        <v>0.790842</v>
      </c>
      <c r="AH463" s="44">
        <v>0.384565</v>
      </c>
      <c r="AI463" s="44">
        <v>0.259783</v>
      </c>
      <c r="AJ463" s="44">
        <v>15.982</v>
      </c>
      <c r="AK463" s="44">
        <v>-2.57627</v>
      </c>
      <c r="AL463" s="44">
        <v>-1.26404</v>
      </c>
      <c r="AM463" s="44">
        <v>-2.08554</v>
      </c>
      <c r="AN463" s="44">
        <v>-1.62994</v>
      </c>
      <c r="AO463" s="44">
        <v>-2.31654</v>
      </c>
      <c r="AP463" s="44">
        <v>-1.16767</v>
      </c>
      <c r="AQ463" s="44">
        <v>-0.29539</v>
      </c>
      <c r="AR463" s="44">
        <v>-0.01673</v>
      </c>
      <c r="AS463" s="44">
        <v>2.063645</v>
      </c>
    </row>
    <row r="464">
      <c r="A464" s="44">
        <v>463.0</v>
      </c>
      <c r="B464" s="389"/>
      <c r="C464" s="45"/>
      <c r="D464" s="45"/>
      <c r="E464" s="44">
        <v>-1.0327</v>
      </c>
      <c r="F464" s="44">
        <v>0.001652</v>
      </c>
      <c r="G464" s="44">
        <v>1.568629</v>
      </c>
      <c r="H464" s="389"/>
      <c r="I464" s="46" t="s">
        <v>2425</v>
      </c>
      <c r="J464" s="46" t="s">
        <v>269</v>
      </c>
      <c r="K464" s="46" t="s">
        <v>88</v>
      </c>
      <c r="L464" s="46" t="s">
        <v>2426</v>
      </c>
      <c r="M464" s="389"/>
      <c r="N464" s="46" t="s">
        <v>1562</v>
      </c>
      <c r="O464" s="46" t="s">
        <v>2139</v>
      </c>
      <c r="P464" s="389"/>
      <c r="Q464" s="389"/>
      <c r="R464" s="46">
        <v>2.0</v>
      </c>
      <c r="S464" s="45"/>
      <c r="T464" s="46" t="s">
        <v>2183</v>
      </c>
      <c r="U464" s="44">
        <v>16.0</v>
      </c>
      <c r="V464" s="44">
        <v>16.0</v>
      </c>
      <c r="W464" s="389"/>
      <c r="X464" s="44">
        <v>8.0</v>
      </c>
      <c r="Y464" s="44">
        <v>3.054375</v>
      </c>
      <c r="Z464" s="44">
        <v>0.57625</v>
      </c>
      <c r="AA464" s="44">
        <v>1.026875</v>
      </c>
      <c r="AB464" s="44">
        <v>0.555625</v>
      </c>
      <c r="AC464" s="44">
        <v>0.28625</v>
      </c>
      <c r="AD464" s="44">
        <v>0.050625</v>
      </c>
      <c r="AE464" s="44">
        <v>0.38385</v>
      </c>
      <c r="AF464" s="44">
        <v>2.825</v>
      </c>
      <c r="AG464" s="44">
        <v>0.780757</v>
      </c>
      <c r="AH464" s="44">
        <v>0.39625</v>
      </c>
      <c r="AI464" s="44">
        <v>0.47125</v>
      </c>
      <c r="AJ464" s="44">
        <v>18.71301</v>
      </c>
      <c r="AK464" s="44">
        <v>-2.46502</v>
      </c>
      <c r="AL464" s="44">
        <v>-1.13144</v>
      </c>
      <c r="AM464" s="44">
        <v>-2.08477</v>
      </c>
      <c r="AN464" s="44">
        <v>-1.53598</v>
      </c>
      <c r="AO464" s="44">
        <v>-2.1527</v>
      </c>
      <c r="AP464" s="44">
        <v>-1.2587</v>
      </c>
      <c r="AQ464" s="44">
        <v>-0.43279</v>
      </c>
      <c r="AR464" s="44">
        <v>-0.02939</v>
      </c>
      <c r="AS464" s="44">
        <v>1.796529</v>
      </c>
    </row>
    <row r="465">
      <c r="A465" s="44">
        <v>464.0</v>
      </c>
      <c r="B465" s="389"/>
      <c r="C465" s="45"/>
      <c r="D465" s="45"/>
      <c r="E465" s="44">
        <v>-1.03314</v>
      </c>
      <c r="F465" s="44">
        <v>0.001395</v>
      </c>
      <c r="G465" s="44">
        <v>0.323427</v>
      </c>
      <c r="H465" s="389"/>
      <c r="I465" s="46" t="s">
        <v>2427</v>
      </c>
      <c r="J465" s="46" t="s">
        <v>291</v>
      </c>
      <c r="K465" s="46" t="s">
        <v>92</v>
      </c>
      <c r="L465" s="46" t="s">
        <v>2428</v>
      </c>
      <c r="M465" s="389"/>
      <c r="N465" s="46" t="s">
        <v>1562</v>
      </c>
      <c r="O465" s="389"/>
      <c r="P465" s="389"/>
      <c r="Q465" s="389"/>
      <c r="R465" s="46">
        <v>3.0</v>
      </c>
      <c r="S465" s="45"/>
      <c r="T465" s="46" t="s">
        <v>2183</v>
      </c>
      <c r="U465" s="44">
        <v>16.0</v>
      </c>
      <c r="V465" s="44">
        <v>14.0</v>
      </c>
      <c r="W465" s="389"/>
      <c r="X465" s="44">
        <v>6.0</v>
      </c>
      <c r="Y465" s="44">
        <v>2.215</v>
      </c>
      <c r="Z465" s="44">
        <v>0.300625</v>
      </c>
      <c r="AA465" s="44">
        <v>1.21375</v>
      </c>
      <c r="AB465" s="44">
        <v>0.2525</v>
      </c>
      <c r="AC465" s="44">
        <v>0.183125</v>
      </c>
      <c r="AD465" s="44">
        <v>0.214375</v>
      </c>
      <c r="AE465" s="44">
        <v>0.440102</v>
      </c>
      <c r="AF465" s="44">
        <v>1.966875</v>
      </c>
      <c r="AG465" s="44">
        <v>0.734336</v>
      </c>
      <c r="AH465" s="44">
        <v>0.249375</v>
      </c>
      <c r="AI465" s="44">
        <v>0.29625</v>
      </c>
      <c r="AJ465" s="44">
        <v>17.34723</v>
      </c>
      <c r="AK465" s="44">
        <v>-2.61294</v>
      </c>
      <c r="AL465" s="44">
        <v>-1.39506</v>
      </c>
      <c r="AM465" s="44">
        <v>-2.00808</v>
      </c>
      <c r="AN465" s="44">
        <v>-1.68223</v>
      </c>
      <c r="AO465" s="44">
        <v>-2.45899</v>
      </c>
      <c r="AP465" s="44">
        <v>-0.96332</v>
      </c>
      <c r="AQ465" s="44">
        <v>-0.13572</v>
      </c>
      <c r="AR465" s="44">
        <v>-0.05955</v>
      </c>
      <c r="AS465" s="44">
        <v>2.017581</v>
      </c>
    </row>
    <row r="466">
      <c r="A466" s="44">
        <v>465.0</v>
      </c>
      <c r="B466" s="389"/>
      <c r="C466" s="45"/>
      <c r="D466" s="45"/>
      <c r="E466" s="44">
        <v>-1.03562</v>
      </c>
      <c r="F466" s="44">
        <v>0.002131</v>
      </c>
      <c r="G466" s="44">
        <v>1.568629</v>
      </c>
      <c r="H466" s="389"/>
      <c r="I466" s="46" t="s">
        <v>2429</v>
      </c>
      <c r="J466" s="46" t="s">
        <v>1578</v>
      </c>
      <c r="K466" s="46" t="s">
        <v>1572</v>
      </c>
      <c r="L466" s="389"/>
      <c r="M466" s="389"/>
      <c r="N466" s="46" t="s">
        <v>1562</v>
      </c>
      <c r="O466" s="46" t="s">
        <v>2244</v>
      </c>
      <c r="P466" s="389"/>
      <c r="Q466" s="389"/>
      <c r="R466" s="46">
        <v>3.0</v>
      </c>
      <c r="S466" s="45"/>
      <c r="T466" s="46" t="s">
        <v>2183</v>
      </c>
      <c r="U466" s="44">
        <v>16.0</v>
      </c>
      <c r="V466" s="44">
        <v>15.0</v>
      </c>
      <c r="W466" s="389"/>
      <c r="X466" s="44">
        <v>8.0</v>
      </c>
      <c r="Y466" s="44">
        <v>2.391875</v>
      </c>
      <c r="Z466" s="44">
        <v>0.2725</v>
      </c>
      <c r="AA466" s="44">
        <v>1.270625</v>
      </c>
      <c r="AB466" s="44">
        <v>0.39625</v>
      </c>
      <c r="AC466" s="44">
        <v>0.280625</v>
      </c>
      <c r="AD466" s="44">
        <v>0.165</v>
      </c>
      <c r="AE466" s="44">
        <v>0.393109</v>
      </c>
      <c r="AF466" s="44">
        <v>2.213125</v>
      </c>
      <c r="AG466" s="44">
        <v>0.714959</v>
      </c>
      <c r="AH466" s="44">
        <v>0.530625</v>
      </c>
      <c r="AI466" s="44">
        <v>0.34625</v>
      </c>
      <c r="AJ466" s="44">
        <v>15.22214</v>
      </c>
      <c r="AK466" s="44">
        <v>-2.58177</v>
      </c>
      <c r="AL466" s="44">
        <v>-1.42196</v>
      </c>
      <c r="AM466" s="44">
        <v>-1.98474</v>
      </c>
      <c r="AN466" s="44">
        <v>-1.61288</v>
      </c>
      <c r="AO466" s="44">
        <v>-2.16941</v>
      </c>
      <c r="AP466" s="44">
        <v>-1.05238</v>
      </c>
      <c r="AQ466" s="44">
        <v>-0.30724</v>
      </c>
      <c r="AR466" s="44">
        <v>-0.14458</v>
      </c>
      <c r="AS466" s="44">
        <v>1.954423</v>
      </c>
    </row>
    <row r="467">
      <c r="A467" s="44">
        <v>466.0</v>
      </c>
      <c r="B467" s="389"/>
      <c r="C467" s="45"/>
      <c r="D467" s="45"/>
      <c r="E467" s="44">
        <v>-1.03761</v>
      </c>
      <c r="F467" s="44">
        <v>0.00164</v>
      </c>
      <c r="G467" s="44">
        <v>1.568629</v>
      </c>
      <c r="H467" s="389"/>
      <c r="I467" s="46" t="s">
        <v>2430</v>
      </c>
      <c r="J467" s="46" t="s">
        <v>379</v>
      </c>
      <c r="K467" s="46" t="s">
        <v>1568</v>
      </c>
      <c r="L467" s="46" t="s">
        <v>2431</v>
      </c>
      <c r="M467" s="389"/>
      <c r="N467" s="46" t="s">
        <v>1562</v>
      </c>
      <c r="O467" s="46" t="s">
        <v>2244</v>
      </c>
      <c r="P467" s="389"/>
      <c r="Q467" s="389"/>
      <c r="R467" s="46">
        <v>2.0</v>
      </c>
      <c r="S467" s="45"/>
      <c r="T467" s="46" t="s">
        <v>2183</v>
      </c>
      <c r="U467" s="44">
        <v>16.0</v>
      </c>
      <c r="V467" s="44">
        <v>14.0</v>
      </c>
      <c r="W467" s="389"/>
      <c r="X467" s="44">
        <v>8.0</v>
      </c>
      <c r="Y467" s="44">
        <v>3.00375</v>
      </c>
      <c r="Z467" s="44">
        <v>0.563125</v>
      </c>
      <c r="AA467" s="44">
        <v>1.015</v>
      </c>
      <c r="AB467" s="44">
        <v>1.1725</v>
      </c>
      <c r="AC467" s="44">
        <v>0.245</v>
      </c>
      <c r="AD467" s="44">
        <v>0.07</v>
      </c>
      <c r="AE467" s="44">
        <v>0.374524</v>
      </c>
      <c r="AF467" s="44">
        <v>2.625</v>
      </c>
      <c r="AG467" s="44">
        <v>0.821429</v>
      </c>
      <c r="AH467" s="44">
        <v>0.5775</v>
      </c>
      <c r="AI467" s="44">
        <v>0.7</v>
      </c>
      <c r="AJ467" s="44">
        <v>18.17299</v>
      </c>
      <c r="AK467" s="44">
        <v>-2.47394</v>
      </c>
      <c r="AL467" s="44">
        <v>-1.14399</v>
      </c>
      <c r="AM467" s="44">
        <v>-2.08964</v>
      </c>
      <c r="AN467" s="44">
        <v>-1.23837</v>
      </c>
      <c r="AO467" s="44">
        <v>-2.27522</v>
      </c>
      <c r="AP467" s="44">
        <v>-1.22375</v>
      </c>
      <c r="AQ467" s="44">
        <v>-0.43782</v>
      </c>
      <c r="AR467" s="44">
        <v>0.036698</v>
      </c>
      <c r="AS467" s="44">
        <v>1.507582</v>
      </c>
    </row>
    <row r="468">
      <c r="A468" s="44">
        <v>467.0</v>
      </c>
      <c r="B468" s="389"/>
      <c r="C468" s="45"/>
      <c r="D468" s="45"/>
      <c r="E468" s="44">
        <v>-1.04072</v>
      </c>
      <c r="F468" s="44">
        <v>0.001737</v>
      </c>
      <c r="G468" s="44">
        <v>1.568629</v>
      </c>
      <c r="H468" s="389"/>
      <c r="I468" s="46" t="s">
        <v>2432</v>
      </c>
      <c r="J468" s="46" t="s">
        <v>278</v>
      </c>
      <c r="K468" s="46" t="s">
        <v>1568</v>
      </c>
      <c r="L468" s="46" t="s">
        <v>2433</v>
      </c>
      <c r="M468" s="389"/>
      <c r="N468" s="46" t="s">
        <v>1562</v>
      </c>
      <c r="O468" s="46" t="s">
        <v>2139</v>
      </c>
      <c r="P468" s="389"/>
      <c r="Q468" s="389"/>
      <c r="R468" s="46">
        <v>2.0</v>
      </c>
      <c r="S468" s="45"/>
      <c r="T468" s="46" t="s">
        <v>2183</v>
      </c>
      <c r="U468" s="44">
        <v>16.0</v>
      </c>
      <c r="V468" s="44">
        <v>14.0</v>
      </c>
      <c r="W468" s="389"/>
      <c r="X468" s="44">
        <v>10.0</v>
      </c>
      <c r="Y468" s="44">
        <v>3.038125</v>
      </c>
      <c r="Z468" s="44">
        <v>0.415625</v>
      </c>
      <c r="AA468" s="44">
        <v>1.01</v>
      </c>
      <c r="AB468" s="44">
        <v>1.809375</v>
      </c>
      <c r="AC468" s="44">
        <v>0.294375</v>
      </c>
      <c r="AD468" s="44">
        <v>0.041875</v>
      </c>
      <c r="AE468" s="44">
        <v>0.407598</v>
      </c>
      <c r="AF468" s="44">
        <v>2.796875</v>
      </c>
      <c r="AG468" s="44">
        <v>0.765363</v>
      </c>
      <c r="AH468" s="44">
        <v>0.4475</v>
      </c>
      <c r="AI468" s="44">
        <v>0.946875</v>
      </c>
      <c r="AJ468" s="44">
        <v>16.85449</v>
      </c>
      <c r="AK468" s="44">
        <v>-2.46788</v>
      </c>
      <c r="AL468" s="44">
        <v>-1.28507</v>
      </c>
      <c r="AM468" s="44">
        <v>-2.09169</v>
      </c>
      <c r="AN468" s="44">
        <v>-0.93111</v>
      </c>
      <c r="AO468" s="44">
        <v>-2.12857</v>
      </c>
      <c r="AP468" s="44">
        <v>-1.27448</v>
      </c>
      <c r="AQ468" s="44">
        <v>-0.33029</v>
      </c>
      <c r="AR468" s="44">
        <v>-0.05316</v>
      </c>
      <c r="AS468" s="44">
        <v>1.19574</v>
      </c>
    </row>
    <row r="469">
      <c r="A469" s="44">
        <v>468.0</v>
      </c>
      <c r="B469" s="389"/>
      <c r="C469" s="45"/>
      <c r="D469" s="45"/>
      <c r="E469" s="44">
        <v>-1.04154</v>
      </c>
      <c r="F469" s="44">
        <v>0.003218</v>
      </c>
      <c r="G469" s="44">
        <v>0.834518</v>
      </c>
      <c r="H469" s="389"/>
      <c r="I469" s="46" t="s">
        <v>2434</v>
      </c>
      <c r="J469" s="46" t="s">
        <v>1608</v>
      </c>
      <c r="K469" s="46" t="s">
        <v>97</v>
      </c>
      <c r="L469" s="46" t="s">
        <v>2435</v>
      </c>
      <c r="M469" s="389"/>
      <c r="N469" s="46" t="s">
        <v>1570</v>
      </c>
      <c r="O469" s="46" t="s">
        <v>2436</v>
      </c>
      <c r="P469" s="389"/>
      <c r="Q469" s="389"/>
      <c r="R469" s="389"/>
      <c r="S469" s="45"/>
      <c r="T469" s="46" t="s">
        <v>2183</v>
      </c>
      <c r="U469" s="44">
        <v>16.0</v>
      </c>
      <c r="V469" s="44">
        <v>14.0</v>
      </c>
      <c r="W469" s="389"/>
      <c r="X469" s="44">
        <v>7.0</v>
      </c>
      <c r="Y469" s="44">
        <v>1.94125</v>
      </c>
      <c r="Z469" s="44">
        <v>0.0</v>
      </c>
      <c r="AA469" s="44">
        <v>1.746875</v>
      </c>
      <c r="AB469" s="44">
        <v>0.3175</v>
      </c>
      <c r="AC469" s="44">
        <v>0.15875</v>
      </c>
      <c r="AD469" s="44">
        <v>0.3175</v>
      </c>
      <c r="AE469" s="44">
        <v>0.551837</v>
      </c>
      <c r="AF469" s="44">
        <v>1.53125</v>
      </c>
      <c r="AG469" s="44">
        <v>0.586006</v>
      </c>
      <c r="AH469" s="44">
        <v>0.42875</v>
      </c>
      <c r="AI469" s="44">
        <v>0.41875</v>
      </c>
      <c r="AJ469" s="44">
        <v>13.25738</v>
      </c>
      <c r="AK469" s="44">
        <v>-2.66118</v>
      </c>
      <c r="AL469" s="44">
        <v>-1.68259</v>
      </c>
      <c r="AM469" s="44">
        <v>-1.78931</v>
      </c>
      <c r="AN469" s="44">
        <v>-1.65087</v>
      </c>
      <c r="AO469" s="44">
        <v>-2.53138</v>
      </c>
      <c r="AP469" s="44">
        <v>-0.77729</v>
      </c>
      <c r="AQ469" s="44">
        <v>0.148674</v>
      </c>
      <c r="AR469" s="44">
        <v>-0.29276</v>
      </c>
      <c r="AS469" s="44">
        <v>1.862845</v>
      </c>
    </row>
    <row r="470">
      <c r="A470" s="44">
        <v>469.0</v>
      </c>
      <c r="B470" s="389"/>
      <c r="C470" s="45"/>
      <c r="D470" s="45"/>
      <c r="E470" s="44">
        <v>-1.04289</v>
      </c>
      <c r="F470" s="44">
        <v>-0.06303</v>
      </c>
      <c r="G470" s="44">
        <v>1.001784</v>
      </c>
      <c r="H470" s="389"/>
      <c r="I470" s="46" t="s">
        <v>2437</v>
      </c>
      <c r="J470" s="46" t="s">
        <v>365</v>
      </c>
      <c r="K470" s="46" t="s">
        <v>92</v>
      </c>
      <c r="L470" s="46" t="s">
        <v>2438</v>
      </c>
      <c r="M470" s="389"/>
      <c r="N470" s="46" t="s">
        <v>1562</v>
      </c>
      <c r="O470" s="46" t="s">
        <v>2361</v>
      </c>
      <c r="P470" s="389"/>
      <c r="Q470" s="389"/>
      <c r="R470" s="46">
        <v>2.0</v>
      </c>
      <c r="S470" s="45"/>
      <c r="T470" s="46" t="s">
        <v>1905</v>
      </c>
      <c r="U470" s="44">
        <v>46.0</v>
      </c>
      <c r="V470" s="44">
        <v>13.0</v>
      </c>
      <c r="W470" s="389"/>
      <c r="X470" s="44">
        <v>8.0</v>
      </c>
      <c r="Y470" s="44">
        <v>2.175652</v>
      </c>
      <c r="Z470" s="44">
        <v>0.101304</v>
      </c>
      <c r="AA470" s="44">
        <v>1.485</v>
      </c>
      <c r="AB470" s="44">
        <v>0.391957</v>
      </c>
      <c r="AC470" s="44">
        <v>0.169565</v>
      </c>
      <c r="AD470" s="44">
        <v>0.165</v>
      </c>
      <c r="AE470" s="44">
        <v>0.49426</v>
      </c>
      <c r="AF470" s="44">
        <v>1.666522</v>
      </c>
      <c r="AG470" s="44">
        <v>0.680527</v>
      </c>
      <c r="AH470" s="44">
        <v>0.627391</v>
      </c>
      <c r="AI470" s="44">
        <v>0.231087</v>
      </c>
      <c r="AJ470" s="44">
        <v>11.79264</v>
      </c>
      <c r="AK470" s="44">
        <v>-2.61987</v>
      </c>
      <c r="AL470" s="44">
        <v>-1.5857</v>
      </c>
      <c r="AM470" s="44">
        <v>-1.89677</v>
      </c>
      <c r="AN470" s="44">
        <v>-1.61495</v>
      </c>
      <c r="AO470" s="44">
        <v>-2.49926</v>
      </c>
      <c r="AP470" s="44">
        <v>-1.05238</v>
      </c>
      <c r="AQ470" s="44">
        <v>0.019428</v>
      </c>
      <c r="AR470" s="44">
        <v>-0.2364</v>
      </c>
      <c r="AS470" s="44">
        <v>2.099892</v>
      </c>
    </row>
    <row r="471">
      <c r="A471" s="44">
        <v>470.0</v>
      </c>
      <c r="B471" s="389"/>
      <c r="C471" s="45"/>
      <c r="D471" s="45"/>
      <c r="E471" s="44">
        <v>-1.04321</v>
      </c>
      <c r="F471" s="44">
        <v>0.001225</v>
      </c>
      <c r="G471" s="44">
        <v>0.249087</v>
      </c>
      <c r="H471" s="389"/>
      <c r="I471" s="46" t="s">
        <v>2439</v>
      </c>
      <c r="J471" s="46" t="s">
        <v>350</v>
      </c>
      <c r="K471" s="46" t="s">
        <v>90</v>
      </c>
      <c r="L471" s="46" t="s">
        <v>2440</v>
      </c>
      <c r="M471" s="389"/>
      <c r="N471" s="46" t="s">
        <v>1562</v>
      </c>
      <c r="O471" s="46" t="s">
        <v>1776</v>
      </c>
      <c r="P471" s="389"/>
      <c r="Q471" s="389"/>
      <c r="R471" s="46">
        <v>5.0</v>
      </c>
      <c r="S471" s="45"/>
      <c r="T471" s="46" t="s">
        <v>1905</v>
      </c>
      <c r="U471" s="44">
        <v>46.0</v>
      </c>
      <c r="V471" s="44">
        <v>14.0</v>
      </c>
      <c r="W471" s="389"/>
      <c r="X471" s="44">
        <v>8.0</v>
      </c>
      <c r="Y471" s="44">
        <v>3.067826</v>
      </c>
      <c r="Z471" s="44">
        <v>0.909783</v>
      </c>
      <c r="AA471" s="44">
        <v>0.452609</v>
      </c>
      <c r="AB471" s="44">
        <v>0.274783</v>
      </c>
      <c r="AC471" s="44">
        <v>0.110435</v>
      </c>
      <c r="AD471" s="44">
        <v>0.016304</v>
      </c>
      <c r="AE471" s="44">
        <v>0.407292</v>
      </c>
      <c r="AF471" s="44">
        <v>2.587609</v>
      </c>
      <c r="AG471" s="44">
        <v>0.647059</v>
      </c>
      <c r="AH471" s="44">
        <v>0.077609</v>
      </c>
      <c r="AI471" s="44">
        <v>0.129348</v>
      </c>
      <c r="AJ471" s="44">
        <v>15.44025</v>
      </c>
      <c r="AK471" s="44">
        <v>-2.46265</v>
      </c>
      <c r="AL471" s="44">
        <v>-0.81243</v>
      </c>
      <c r="AM471" s="44">
        <v>-2.32042</v>
      </c>
      <c r="AN471" s="44">
        <v>-1.67148</v>
      </c>
      <c r="AO471" s="44">
        <v>-2.67488</v>
      </c>
      <c r="AP471" s="44">
        <v>-1.32061</v>
      </c>
      <c r="AQ471" s="44">
        <v>-0.30621</v>
      </c>
      <c r="AR471" s="44">
        <v>-0.04858</v>
      </c>
      <c r="AS471" s="44">
        <v>2.228405</v>
      </c>
    </row>
    <row r="472">
      <c r="A472" s="44">
        <v>471.0</v>
      </c>
      <c r="B472" s="389"/>
      <c r="C472" s="45"/>
      <c r="D472" s="45"/>
      <c r="E472" s="44">
        <v>-1.04399</v>
      </c>
      <c r="F472" s="44">
        <v>0.001786</v>
      </c>
      <c r="G472" s="44">
        <v>1.568629</v>
      </c>
      <c r="H472" s="389"/>
      <c r="I472" s="46" t="s">
        <v>2441</v>
      </c>
      <c r="J472" s="46" t="s">
        <v>299</v>
      </c>
      <c r="K472" s="46" t="s">
        <v>1572</v>
      </c>
      <c r="L472" s="46" t="s">
        <v>2442</v>
      </c>
      <c r="M472" s="389"/>
      <c r="N472" s="46" t="s">
        <v>1562</v>
      </c>
      <c r="O472" s="389"/>
      <c r="P472" s="389"/>
      <c r="Q472" s="389"/>
      <c r="R472" s="46">
        <v>1.0</v>
      </c>
      <c r="S472" s="45"/>
      <c r="T472" s="46" t="s">
        <v>2183</v>
      </c>
      <c r="U472" s="44">
        <v>16.0</v>
      </c>
      <c r="V472" s="44">
        <v>13.0</v>
      </c>
      <c r="W472" s="389"/>
      <c r="X472" s="44">
        <v>10.0</v>
      </c>
      <c r="Y472" s="44">
        <v>3.730625</v>
      </c>
      <c r="Z472" s="44">
        <v>0.50875</v>
      </c>
      <c r="AA472" s="44">
        <v>0.975</v>
      </c>
      <c r="AB472" s="44">
        <v>1.083125</v>
      </c>
      <c r="AC472" s="44">
        <v>0.281875</v>
      </c>
      <c r="AD472" s="44">
        <v>0.108125</v>
      </c>
      <c r="AE472" s="44">
        <v>0.398559</v>
      </c>
      <c r="AF472" s="44">
        <v>3.29625</v>
      </c>
      <c r="AG472" s="44">
        <v>0.751779</v>
      </c>
      <c r="AH472" s="44">
        <v>0.790625</v>
      </c>
      <c r="AI472" s="44">
        <v>0.78</v>
      </c>
      <c r="AJ472" s="44">
        <v>18.3313</v>
      </c>
      <c r="AK472" s="44">
        <v>-2.34585</v>
      </c>
      <c r="AL472" s="44">
        <v>-1.196</v>
      </c>
      <c r="AM472" s="44">
        <v>-2.10606</v>
      </c>
      <c r="AN472" s="44">
        <v>-1.28149</v>
      </c>
      <c r="AO472" s="44">
        <v>-2.16569</v>
      </c>
      <c r="AP472" s="44">
        <v>-1.15498</v>
      </c>
      <c r="AQ472" s="44">
        <v>-0.43454</v>
      </c>
      <c r="AR472" s="44">
        <v>-0.11783</v>
      </c>
      <c r="AS472" s="44">
        <v>1.406529</v>
      </c>
    </row>
    <row r="473">
      <c r="A473" s="44">
        <v>472.0</v>
      </c>
      <c r="B473" s="389"/>
      <c r="C473" s="45"/>
      <c r="D473" s="45"/>
      <c r="E473" s="44">
        <v>-1.04554</v>
      </c>
      <c r="F473" s="44">
        <v>0.001871</v>
      </c>
      <c r="G473" s="44">
        <v>1.568629</v>
      </c>
      <c r="H473" s="389"/>
      <c r="I473" s="46" t="s">
        <v>2443</v>
      </c>
      <c r="J473" s="46" t="s">
        <v>273</v>
      </c>
      <c r="K473" s="46" t="s">
        <v>1568</v>
      </c>
      <c r="L473" s="46" t="s">
        <v>2444</v>
      </c>
      <c r="M473" s="389"/>
      <c r="N473" s="46" t="s">
        <v>1562</v>
      </c>
      <c r="O473" s="46" t="s">
        <v>2139</v>
      </c>
      <c r="P473" s="389"/>
      <c r="Q473" s="45"/>
      <c r="R473" s="46">
        <v>3.0</v>
      </c>
      <c r="S473" s="45"/>
      <c r="T473" s="46" t="s">
        <v>2183</v>
      </c>
      <c r="U473" s="44">
        <v>16.0</v>
      </c>
      <c r="V473" s="44">
        <v>13.0</v>
      </c>
      <c r="W473" s="389"/>
      <c r="X473" s="44">
        <v>7.0</v>
      </c>
      <c r="Y473" s="44">
        <v>2.480625</v>
      </c>
      <c r="Z473" s="44">
        <v>0.2475</v>
      </c>
      <c r="AA473" s="44">
        <v>1.19</v>
      </c>
      <c r="AB473" s="44">
        <v>0.47625</v>
      </c>
      <c r="AC473" s="44">
        <v>0.2675</v>
      </c>
      <c r="AD473" s="44">
        <v>0.11875</v>
      </c>
      <c r="AE473" s="44">
        <v>0.385647</v>
      </c>
      <c r="AF473" s="44">
        <v>2.3775</v>
      </c>
      <c r="AG473" s="44">
        <v>0.76253</v>
      </c>
      <c r="AH473" s="44">
        <v>0.52375</v>
      </c>
      <c r="AI473" s="44">
        <v>0.341875</v>
      </c>
      <c r="AJ473" s="44">
        <v>18.03721</v>
      </c>
      <c r="AK473" s="44">
        <v>-2.56613</v>
      </c>
      <c r="AL473" s="44">
        <v>-1.44587</v>
      </c>
      <c r="AM473" s="44">
        <v>-2.01783</v>
      </c>
      <c r="AN473" s="44">
        <v>-1.57428</v>
      </c>
      <c r="AO473" s="44">
        <v>-2.20839</v>
      </c>
      <c r="AP473" s="44">
        <v>-1.13581</v>
      </c>
      <c r="AQ473" s="44">
        <v>-0.3568</v>
      </c>
      <c r="AR473" s="44">
        <v>-0.0647</v>
      </c>
      <c r="AS473" s="44">
        <v>1.95995</v>
      </c>
    </row>
    <row r="474">
      <c r="A474" s="44">
        <v>473.0</v>
      </c>
      <c r="B474" s="389"/>
      <c r="C474" s="45"/>
      <c r="D474" s="45"/>
      <c r="E474" s="44">
        <v>-1.04737</v>
      </c>
      <c r="F474" s="44">
        <v>0.001736</v>
      </c>
      <c r="G474" s="44">
        <v>-0.02969</v>
      </c>
      <c r="H474" s="389"/>
      <c r="I474" s="46" t="s">
        <v>2445</v>
      </c>
      <c r="J474" s="46" t="s">
        <v>332</v>
      </c>
      <c r="K474" s="46" t="s">
        <v>88</v>
      </c>
      <c r="L474" s="389"/>
      <c r="M474" s="389"/>
      <c r="N474" s="46" t="s">
        <v>1612</v>
      </c>
      <c r="O474" s="46" t="s">
        <v>1776</v>
      </c>
      <c r="P474" s="389"/>
      <c r="Q474" s="389"/>
      <c r="R474" s="46">
        <v>5.0</v>
      </c>
      <c r="S474" s="45"/>
      <c r="T474" s="46" t="s">
        <v>2183</v>
      </c>
      <c r="U474" s="44">
        <v>16.0</v>
      </c>
      <c r="V474" s="44">
        <v>15.0</v>
      </c>
      <c r="W474" s="389"/>
      <c r="X474" s="44">
        <v>7.0</v>
      </c>
      <c r="Y474" s="44">
        <v>1.66625</v>
      </c>
      <c r="Z474" s="44">
        <v>0.2675</v>
      </c>
      <c r="AA474" s="44">
        <v>0.88625</v>
      </c>
      <c r="AB474" s="44">
        <v>0.608125</v>
      </c>
      <c r="AC474" s="44">
        <v>0.306875</v>
      </c>
      <c r="AD474" s="44">
        <v>0.106875</v>
      </c>
      <c r="AE474" s="44">
        <v>0.331922</v>
      </c>
      <c r="AF474" s="44">
        <v>1.771875</v>
      </c>
      <c r="AG474" s="44">
        <v>0.775599</v>
      </c>
      <c r="AH474" s="44">
        <v>0.286875</v>
      </c>
      <c r="AI474" s="44">
        <v>0.27375</v>
      </c>
      <c r="AJ474" s="44">
        <v>12.91939</v>
      </c>
      <c r="AK474" s="44">
        <v>-2.70964</v>
      </c>
      <c r="AL474" s="44">
        <v>-1.42674</v>
      </c>
      <c r="AM474" s="44">
        <v>-2.14247</v>
      </c>
      <c r="AN474" s="44">
        <v>-1.51066</v>
      </c>
      <c r="AO474" s="44">
        <v>-2.09144</v>
      </c>
      <c r="AP474" s="44">
        <v>-1.15723</v>
      </c>
      <c r="AQ474" s="44">
        <v>-0.40474</v>
      </c>
      <c r="AR474" s="44">
        <v>-0.02945</v>
      </c>
      <c r="AS474" s="44">
        <v>2.046002</v>
      </c>
    </row>
    <row r="475">
      <c r="A475" s="44">
        <v>474.0</v>
      </c>
      <c r="B475" s="389"/>
      <c r="C475" s="45"/>
      <c r="D475" s="45"/>
      <c r="E475" s="44">
        <v>-1.04991</v>
      </c>
      <c r="F475" s="44">
        <v>0.002205</v>
      </c>
      <c r="G475" s="44">
        <v>1.568629</v>
      </c>
      <c r="H475" s="389"/>
      <c r="I475" s="46" t="s">
        <v>2446</v>
      </c>
      <c r="J475" s="46" t="s">
        <v>490</v>
      </c>
      <c r="K475" s="46" t="s">
        <v>1568</v>
      </c>
      <c r="L475" s="389"/>
      <c r="M475" s="389"/>
      <c r="N475" s="46" t="s">
        <v>1562</v>
      </c>
      <c r="O475" s="46" t="s">
        <v>2139</v>
      </c>
      <c r="P475" s="389"/>
      <c r="Q475" s="389"/>
      <c r="R475" s="46">
        <v>4.0</v>
      </c>
      <c r="S475" s="45"/>
      <c r="T475" s="46" t="s">
        <v>2183</v>
      </c>
      <c r="U475" s="44">
        <v>16.0</v>
      </c>
      <c r="V475" s="44">
        <v>16.0</v>
      </c>
      <c r="W475" s="389"/>
      <c r="X475" s="44">
        <v>7.0</v>
      </c>
      <c r="Y475" s="44">
        <v>2.341875</v>
      </c>
      <c r="Z475" s="44">
        <v>0.226875</v>
      </c>
      <c r="AA475" s="44">
        <v>1.261875</v>
      </c>
      <c r="AB475" s="44">
        <v>0.450625</v>
      </c>
      <c r="AC475" s="44">
        <v>0.315625</v>
      </c>
      <c r="AD475" s="44">
        <v>0.12</v>
      </c>
      <c r="AE475" s="44">
        <v>0.376255</v>
      </c>
      <c r="AF475" s="44">
        <v>2.11625</v>
      </c>
      <c r="AG475" s="44">
        <v>0.747764</v>
      </c>
      <c r="AH475" s="44">
        <v>0.69875</v>
      </c>
      <c r="AI475" s="44">
        <v>0.435625</v>
      </c>
      <c r="AJ475" s="44">
        <v>17.23397</v>
      </c>
      <c r="AK475" s="44">
        <v>-2.59058</v>
      </c>
      <c r="AL475" s="44">
        <v>-1.4656</v>
      </c>
      <c r="AM475" s="44">
        <v>-1.98833</v>
      </c>
      <c r="AN475" s="44">
        <v>-1.58664</v>
      </c>
      <c r="AO475" s="44">
        <v>-2.06545</v>
      </c>
      <c r="AP475" s="44">
        <v>-1.13355</v>
      </c>
      <c r="AQ475" s="44">
        <v>-0.34618</v>
      </c>
      <c r="AR475" s="44">
        <v>-0.11442</v>
      </c>
      <c r="AS475" s="44">
        <v>1.841529</v>
      </c>
    </row>
    <row r="476">
      <c r="A476" s="44">
        <v>475.0</v>
      </c>
      <c r="B476" s="389"/>
      <c r="C476" s="45"/>
      <c r="D476" s="45"/>
      <c r="E476" s="44">
        <v>-1.05156</v>
      </c>
      <c r="F476" s="44">
        <v>0.0015</v>
      </c>
      <c r="G476" s="44">
        <v>1.568629</v>
      </c>
      <c r="H476" s="389"/>
      <c r="I476" s="46" t="s">
        <v>2447</v>
      </c>
      <c r="J476" s="46" t="s">
        <v>278</v>
      </c>
      <c r="K476" s="46" t="s">
        <v>85</v>
      </c>
      <c r="L476" s="46" t="s">
        <v>2448</v>
      </c>
      <c r="M476" s="389"/>
      <c r="N476" s="46" t="s">
        <v>1562</v>
      </c>
      <c r="O476" s="46" t="s">
        <v>2139</v>
      </c>
      <c r="P476" s="389"/>
      <c r="Q476" s="389"/>
      <c r="R476" s="46">
        <v>3.0</v>
      </c>
      <c r="S476" s="45"/>
      <c r="T476" s="46" t="s">
        <v>2183</v>
      </c>
      <c r="U476" s="44">
        <v>16.0</v>
      </c>
      <c r="V476" s="44">
        <v>14.0</v>
      </c>
      <c r="W476" s="389"/>
      <c r="X476" s="44">
        <v>8.0</v>
      </c>
      <c r="Y476" s="44">
        <v>3.178125</v>
      </c>
      <c r="Z476" s="44">
        <v>0.62875</v>
      </c>
      <c r="AA476" s="44">
        <v>0.993125</v>
      </c>
      <c r="AB476" s="44">
        <v>0.386875</v>
      </c>
      <c r="AC476" s="44">
        <v>0.21875</v>
      </c>
      <c r="AD476" s="44">
        <v>0.0675</v>
      </c>
      <c r="AE476" s="44">
        <v>0.378497</v>
      </c>
      <c r="AF476" s="44">
        <v>2.99375</v>
      </c>
      <c r="AG476" s="44">
        <v>0.787826</v>
      </c>
      <c r="AH476" s="44">
        <v>0.359375</v>
      </c>
      <c r="AI476" s="44">
        <v>0.420625</v>
      </c>
      <c r="AJ476" s="44">
        <v>19.09985</v>
      </c>
      <c r="AK476" s="44">
        <v>-2.44321</v>
      </c>
      <c r="AL476" s="44">
        <v>-1.08123</v>
      </c>
      <c r="AM476" s="44">
        <v>-2.09862</v>
      </c>
      <c r="AN476" s="44">
        <v>-1.6174</v>
      </c>
      <c r="AO476" s="44">
        <v>-2.35318</v>
      </c>
      <c r="AP476" s="44">
        <v>-1.22826</v>
      </c>
      <c r="AQ476" s="44">
        <v>-0.48274</v>
      </c>
      <c r="AR476" s="44">
        <v>-0.01987</v>
      </c>
      <c r="AS476" s="44">
        <v>1.860476</v>
      </c>
    </row>
    <row r="477">
      <c r="A477" s="44">
        <v>476.0</v>
      </c>
      <c r="B477" s="389"/>
      <c r="C477" s="45"/>
      <c r="D477" s="45"/>
      <c r="E477" s="44">
        <v>-1.0538</v>
      </c>
      <c r="F477" s="44">
        <v>0.001947</v>
      </c>
      <c r="G477" s="44">
        <v>1.568629</v>
      </c>
      <c r="H477" s="389"/>
      <c r="I477" s="46" t="s">
        <v>2449</v>
      </c>
      <c r="J477" s="46" t="s">
        <v>375</v>
      </c>
      <c r="K477" s="46" t="s">
        <v>1568</v>
      </c>
      <c r="L477" s="46" t="s">
        <v>2450</v>
      </c>
      <c r="M477" s="389"/>
      <c r="N477" s="46" t="s">
        <v>1562</v>
      </c>
      <c r="O477" s="389"/>
      <c r="P477" s="389"/>
      <c r="Q477" s="389"/>
      <c r="R477" s="46">
        <v>4.0</v>
      </c>
      <c r="S477" s="45"/>
      <c r="T477" s="46" t="s">
        <v>1905</v>
      </c>
      <c r="U477" s="44">
        <v>28.0</v>
      </c>
      <c r="V477" s="44">
        <v>15.0</v>
      </c>
      <c r="W477" s="389"/>
      <c r="X477" s="44">
        <v>10.0</v>
      </c>
      <c r="Y477" s="44">
        <v>3.391071</v>
      </c>
      <c r="Z477" s="44">
        <v>0.422143</v>
      </c>
      <c r="AA477" s="44">
        <v>1.572143</v>
      </c>
      <c r="AB477" s="44">
        <v>1.408929</v>
      </c>
      <c r="AC477" s="44">
        <v>0.245</v>
      </c>
      <c r="AD477" s="44">
        <v>0.081786</v>
      </c>
      <c r="AE477" s="44">
        <v>0.38667</v>
      </c>
      <c r="AF477" s="44">
        <v>3.022143</v>
      </c>
      <c r="AG477" s="44">
        <v>0.804091</v>
      </c>
      <c r="AH477" s="44">
        <v>0.785714</v>
      </c>
      <c r="AI477" s="44">
        <v>1.020714</v>
      </c>
      <c r="AJ477" s="44">
        <v>19.42697</v>
      </c>
      <c r="AK477" s="44">
        <v>-2.40569</v>
      </c>
      <c r="AL477" s="44">
        <v>-1.27883</v>
      </c>
      <c r="AM477" s="44">
        <v>-1.86101</v>
      </c>
      <c r="AN477" s="44">
        <v>-1.12431</v>
      </c>
      <c r="AO477" s="44">
        <v>-2.27522</v>
      </c>
      <c r="AP477" s="44">
        <v>-1.20249</v>
      </c>
      <c r="AQ477" s="44">
        <v>-0.4509</v>
      </c>
      <c r="AR477" s="44">
        <v>0.011788</v>
      </c>
      <c r="AS477" s="44">
        <v>1.102469</v>
      </c>
    </row>
    <row r="478">
      <c r="A478" s="44">
        <v>477.0</v>
      </c>
      <c r="B478" s="389"/>
      <c r="C478" s="45"/>
      <c r="D478" s="45"/>
      <c r="E478" s="44">
        <v>-1.05438</v>
      </c>
      <c r="F478" s="44">
        <v>0.002012</v>
      </c>
      <c r="G478" s="44">
        <v>0.007481</v>
      </c>
      <c r="H478" s="389"/>
      <c r="I478" s="46" t="s">
        <v>2451</v>
      </c>
      <c r="J478" s="46" t="s">
        <v>1639</v>
      </c>
      <c r="K478" s="46" t="s">
        <v>88</v>
      </c>
      <c r="L478" s="46" t="s">
        <v>2452</v>
      </c>
      <c r="M478" s="389"/>
      <c r="N478" s="46" t="s">
        <v>1562</v>
      </c>
      <c r="O478" s="46" t="s">
        <v>2453</v>
      </c>
      <c r="P478" s="389"/>
      <c r="Q478" s="389"/>
      <c r="R478" s="46">
        <v>2.0</v>
      </c>
      <c r="S478" s="45"/>
      <c r="T478" s="46" t="s">
        <v>1905</v>
      </c>
      <c r="U478" s="44">
        <v>46.0</v>
      </c>
      <c r="V478" s="44">
        <v>15.0</v>
      </c>
      <c r="W478" s="389"/>
      <c r="X478" s="44">
        <v>8.0</v>
      </c>
      <c r="Y478" s="44">
        <v>3.313261</v>
      </c>
      <c r="Z478" s="44">
        <v>0.291522</v>
      </c>
      <c r="AA478" s="44">
        <v>0.841739</v>
      </c>
      <c r="AB478" s="44">
        <v>0.451739</v>
      </c>
      <c r="AC478" s="44">
        <v>0.178478</v>
      </c>
      <c r="AD478" s="44">
        <v>0.08587</v>
      </c>
      <c r="AE478" s="44">
        <v>0.439346</v>
      </c>
      <c r="AF478" s="44">
        <v>2.525</v>
      </c>
      <c r="AG478" s="44">
        <v>0.795093</v>
      </c>
      <c r="AH478" s="44">
        <v>1.01</v>
      </c>
      <c r="AI478" s="44">
        <v>0.359783</v>
      </c>
      <c r="AJ478" s="44">
        <v>17.53417</v>
      </c>
      <c r="AK478" s="44">
        <v>-2.4194</v>
      </c>
      <c r="AL478" s="44">
        <v>-1.40377</v>
      </c>
      <c r="AM478" s="44">
        <v>-2.16074</v>
      </c>
      <c r="AN478" s="44">
        <v>-1.5861</v>
      </c>
      <c r="AO478" s="44">
        <v>-2.47279</v>
      </c>
      <c r="AP478" s="44">
        <v>-1.19512</v>
      </c>
      <c r="AQ478" s="44">
        <v>-0.17906</v>
      </c>
      <c r="AR478" s="44">
        <v>-0.00972</v>
      </c>
      <c r="AS478" s="44">
        <v>1.93733</v>
      </c>
    </row>
    <row r="479">
      <c r="A479" s="44">
        <v>478.0</v>
      </c>
      <c r="B479" s="389"/>
      <c r="C479" s="45"/>
      <c r="D479" s="45"/>
      <c r="E479" s="44">
        <v>-1.05505</v>
      </c>
      <c r="F479" s="44">
        <v>0.001383</v>
      </c>
      <c r="G479" s="44">
        <v>1.568629</v>
      </c>
      <c r="H479" s="389"/>
      <c r="I479" s="46" t="s">
        <v>2454</v>
      </c>
      <c r="J479" s="46" t="s">
        <v>354</v>
      </c>
      <c r="K479" s="46" t="s">
        <v>1568</v>
      </c>
      <c r="L479" s="389"/>
      <c r="M479" s="389"/>
      <c r="N479" s="46" t="s">
        <v>1562</v>
      </c>
      <c r="O479" s="46" t="s">
        <v>2139</v>
      </c>
      <c r="P479" s="389"/>
      <c r="Q479" s="389"/>
      <c r="R479" s="389"/>
      <c r="S479" s="45"/>
      <c r="T479" s="46" t="s">
        <v>2183</v>
      </c>
      <c r="U479" s="44">
        <v>16.0</v>
      </c>
      <c r="V479" s="44">
        <v>15.0</v>
      </c>
      <c r="W479" s="389"/>
      <c r="X479" s="44">
        <v>8.0</v>
      </c>
      <c r="Y479" s="44">
        <v>2.73125</v>
      </c>
      <c r="Z479" s="44">
        <v>0.418125</v>
      </c>
      <c r="AA479" s="44">
        <v>1.115625</v>
      </c>
      <c r="AB479" s="44">
        <v>0.360625</v>
      </c>
      <c r="AC479" s="44">
        <v>0.18875</v>
      </c>
      <c r="AD479" s="44">
        <v>0.06875</v>
      </c>
      <c r="AE479" s="44">
        <v>0.400508</v>
      </c>
      <c r="AF479" s="44">
        <v>2.214375</v>
      </c>
      <c r="AG479" s="44">
        <v>0.811853</v>
      </c>
      <c r="AH479" s="44">
        <v>0.664375</v>
      </c>
      <c r="AI479" s="44">
        <v>0.3775</v>
      </c>
      <c r="AJ479" s="44">
        <v>14.98596</v>
      </c>
      <c r="AK479" s="44">
        <v>-2.52196</v>
      </c>
      <c r="AL479" s="44">
        <v>-1.28268</v>
      </c>
      <c r="AM479" s="44">
        <v>-2.04835</v>
      </c>
      <c r="AN479" s="44">
        <v>-1.63006</v>
      </c>
      <c r="AO479" s="44">
        <v>-2.44228</v>
      </c>
      <c r="AP479" s="44">
        <v>-1.226</v>
      </c>
      <c r="AQ479" s="44">
        <v>-0.28322</v>
      </c>
      <c r="AR479" s="44">
        <v>0.024178</v>
      </c>
      <c r="AS479" s="44">
        <v>1.91495</v>
      </c>
    </row>
    <row r="480">
      <c r="A480" s="44">
        <v>479.0</v>
      </c>
      <c r="B480" s="389"/>
      <c r="C480" s="45"/>
      <c r="D480" s="45"/>
      <c r="E480" s="44">
        <v>-1.05551</v>
      </c>
      <c r="F480" s="44">
        <v>0.002351</v>
      </c>
      <c r="G480" s="44">
        <v>0.918151</v>
      </c>
      <c r="H480" s="389"/>
      <c r="I480" s="46" t="s">
        <v>2455</v>
      </c>
      <c r="J480" s="46" t="s">
        <v>317</v>
      </c>
      <c r="K480" s="46" t="s">
        <v>88</v>
      </c>
      <c r="L480" s="46" t="s">
        <v>2456</v>
      </c>
      <c r="M480" s="389"/>
      <c r="N480" s="46" t="s">
        <v>1562</v>
      </c>
      <c r="O480" s="46" t="s">
        <v>2139</v>
      </c>
      <c r="P480" s="389"/>
      <c r="Q480" s="389"/>
      <c r="R480" s="46">
        <v>3.0</v>
      </c>
      <c r="S480" s="45"/>
      <c r="T480" s="46" t="s">
        <v>2183</v>
      </c>
      <c r="U480" s="44">
        <v>16.0</v>
      </c>
      <c r="V480" s="44">
        <v>14.0</v>
      </c>
      <c r="W480" s="389"/>
      <c r="X480" s="44">
        <v>8.0</v>
      </c>
      <c r="Y480" s="44">
        <v>2.231875</v>
      </c>
      <c r="Z480" s="44">
        <v>0.23125</v>
      </c>
      <c r="AA480" s="44">
        <v>1.75875</v>
      </c>
      <c r="AB480" s="44">
        <v>0.72375</v>
      </c>
      <c r="AC480" s="44">
        <v>0.2325</v>
      </c>
      <c r="AD480" s="44">
        <v>0.15875</v>
      </c>
      <c r="AE480" s="44">
        <v>0.396483</v>
      </c>
      <c r="AF480" s="44">
        <v>2.20375</v>
      </c>
      <c r="AG480" s="44">
        <v>0.75</v>
      </c>
      <c r="AH480" s="44">
        <v>0.3375</v>
      </c>
      <c r="AI480" s="44">
        <v>0.673125</v>
      </c>
      <c r="AJ480" s="44">
        <v>16.16195</v>
      </c>
      <c r="AK480" s="44">
        <v>-2.60996</v>
      </c>
      <c r="AL480" s="44">
        <v>-1.46141</v>
      </c>
      <c r="AM480" s="44">
        <v>-1.78444</v>
      </c>
      <c r="AN480" s="44">
        <v>-1.45487</v>
      </c>
      <c r="AO480" s="44">
        <v>-2.31234</v>
      </c>
      <c r="AP480" s="44">
        <v>-1.06365</v>
      </c>
      <c r="AQ480" s="44">
        <v>-0.29493</v>
      </c>
      <c r="AR480" s="44">
        <v>-0.0595</v>
      </c>
      <c r="AS480" s="44">
        <v>1.541529</v>
      </c>
    </row>
    <row r="481">
      <c r="A481" s="44">
        <v>480.0</v>
      </c>
      <c r="B481" s="389"/>
      <c r="C481" s="45"/>
      <c r="D481" s="45"/>
      <c r="E481" s="44">
        <v>-1.05668</v>
      </c>
      <c r="F481" s="44">
        <v>0.001831</v>
      </c>
      <c r="G481" s="44">
        <v>1.568629</v>
      </c>
      <c r="H481" s="389"/>
      <c r="I481" s="46" t="s">
        <v>2457</v>
      </c>
      <c r="J481" s="46" t="s">
        <v>490</v>
      </c>
      <c r="K481" s="46" t="s">
        <v>1572</v>
      </c>
      <c r="L481" s="46" t="s">
        <v>2458</v>
      </c>
      <c r="M481" s="389"/>
      <c r="N481" s="46" t="s">
        <v>1562</v>
      </c>
      <c r="O481" s="389"/>
      <c r="P481" s="389"/>
      <c r="Q481" s="389"/>
      <c r="R481" s="46">
        <v>2.0</v>
      </c>
      <c r="S481" s="45"/>
      <c r="T481" s="46" t="s">
        <v>1905</v>
      </c>
      <c r="U481" s="44">
        <v>46.0</v>
      </c>
      <c r="V481" s="44">
        <v>16.0</v>
      </c>
      <c r="W481" s="389"/>
      <c r="X481" s="44">
        <v>12.0</v>
      </c>
      <c r="Y481" s="44">
        <v>3.763043</v>
      </c>
      <c r="Z481" s="44">
        <v>0.516522</v>
      </c>
      <c r="AA481" s="44">
        <v>1.802609</v>
      </c>
      <c r="AB481" s="44">
        <v>0.772391</v>
      </c>
      <c r="AC481" s="44">
        <v>0.206087</v>
      </c>
      <c r="AD481" s="44">
        <v>0.128696</v>
      </c>
      <c r="AE481" s="44">
        <v>0.387203</v>
      </c>
      <c r="AF481" s="44">
        <v>3.502826</v>
      </c>
      <c r="AG481" s="44">
        <v>0.725983</v>
      </c>
      <c r="AH481" s="44">
        <v>0.735435</v>
      </c>
      <c r="AI481" s="44">
        <v>0.772391</v>
      </c>
      <c r="AJ481" s="44">
        <v>16.16903</v>
      </c>
      <c r="AK481" s="44">
        <v>-2.34014</v>
      </c>
      <c r="AL481" s="44">
        <v>-1.18857</v>
      </c>
      <c r="AM481" s="44">
        <v>-1.76644</v>
      </c>
      <c r="AN481" s="44">
        <v>-1.43141</v>
      </c>
      <c r="AO481" s="44">
        <v>-2.39079</v>
      </c>
      <c r="AP481" s="44">
        <v>-1.11787</v>
      </c>
      <c r="AQ481" s="44">
        <v>-0.52099</v>
      </c>
      <c r="AR481" s="44">
        <v>-0.17002</v>
      </c>
      <c r="AS481" s="44">
        <v>1.41614</v>
      </c>
    </row>
    <row r="482">
      <c r="A482" s="44">
        <v>481.0</v>
      </c>
      <c r="B482" s="389"/>
      <c r="C482" s="45"/>
      <c r="D482" s="45"/>
      <c r="E482" s="44">
        <v>-1.06199</v>
      </c>
      <c r="F482" s="44">
        <v>0.001088</v>
      </c>
      <c r="G482" s="44">
        <v>1.568629</v>
      </c>
      <c r="H482" s="389"/>
      <c r="I482" s="46" t="s">
        <v>2459</v>
      </c>
      <c r="J482" s="46" t="s">
        <v>465</v>
      </c>
      <c r="K482" s="46" t="s">
        <v>88</v>
      </c>
      <c r="L482" s="46" t="s">
        <v>2460</v>
      </c>
      <c r="M482" s="389"/>
      <c r="N482" s="46" t="s">
        <v>1562</v>
      </c>
      <c r="O482" s="46" t="s">
        <v>2139</v>
      </c>
      <c r="P482" s="389"/>
      <c r="Q482" s="389"/>
      <c r="R482" s="46">
        <v>2.0</v>
      </c>
      <c r="S482" s="45"/>
      <c r="T482" s="46" t="s">
        <v>2183</v>
      </c>
      <c r="U482" s="44">
        <v>16.0</v>
      </c>
      <c r="V482" s="44">
        <v>15.0</v>
      </c>
      <c r="W482" s="389"/>
      <c r="X482" s="44">
        <v>8.0</v>
      </c>
      <c r="Y482" s="44">
        <v>3.626875</v>
      </c>
      <c r="Z482" s="44">
        <v>0.66625</v>
      </c>
      <c r="AA482" s="44">
        <v>0.918125</v>
      </c>
      <c r="AB482" s="44">
        <v>0.73125</v>
      </c>
      <c r="AC482" s="44">
        <v>0.238125</v>
      </c>
      <c r="AD482" s="44">
        <v>0.068125</v>
      </c>
      <c r="AE482" s="44">
        <v>0.348348</v>
      </c>
      <c r="AF482" s="44">
        <v>3.538125</v>
      </c>
      <c r="AG482" s="44">
        <v>0.824324</v>
      </c>
      <c r="AH482" s="44">
        <v>0.60125</v>
      </c>
      <c r="AI482" s="44">
        <v>0.595</v>
      </c>
      <c r="AJ482" s="44">
        <v>22.77161</v>
      </c>
      <c r="AK482" s="44">
        <v>-2.36413</v>
      </c>
      <c r="AL482" s="44">
        <v>-1.04536</v>
      </c>
      <c r="AM482" s="44">
        <v>-2.12939</v>
      </c>
      <c r="AN482" s="44">
        <v>-1.45125</v>
      </c>
      <c r="AO482" s="44">
        <v>-2.29563</v>
      </c>
      <c r="AP482" s="44">
        <v>-1.22713</v>
      </c>
      <c r="AQ482" s="44">
        <v>-0.7294</v>
      </c>
      <c r="AR482" s="44">
        <v>0.044195</v>
      </c>
      <c r="AS482" s="44">
        <v>1.640213</v>
      </c>
    </row>
    <row r="483">
      <c r="A483" s="44">
        <v>482.0</v>
      </c>
      <c r="B483" s="389"/>
      <c r="C483" s="45"/>
      <c r="D483" s="45"/>
      <c r="E483" s="44">
        <v>-1.06245</v>
      </c>
      <c r="F483" s="44">
        <v>0.002279</v>
      </c>
      <c r="G483" s="44">
        <v>0.815933</v>
      </c>
      <c r="H483" s="389"/>
      <c r="I483" s="46" t="s">
        <v>2461</v>
      </c>
      <c r="J483" s="46" t="s">
        <v>386</v>
      </c>
      <c r="K483" s="46" t="s">
        <v>88</v>
      </c>
      <c r="L483" s="46" t="s">
        <v>2462</v>
      </c>
      <c r="M483" s="389"/>
      <c r="N483" s="46" t="s">
        <v>1562</v>
      </c>
      <c r="O483" s="46" t="s">
        <v>2318</v>
      </c>
      <c r="P483" s="389"/>
      <c r="Q483" s="389"/>
      <c r="R483" s="46">
        <v>3.0</v>
      </c>
      <c r="S483" s="45"/>
      <c r="T483" s="46" t="s">
        <v>2183</v>
      </c>
      <c r="U483" s="44">
        <v>16.0</v>
      </c>
      <c r="V483" s="44">
        <v>14.0</v>
      </c>
      <c r="W483" s="389"/>
      <c r="X483" s="44">
        <v>6.0</v>
      </c>
      <c r="Y483" s="44">
        <v>2.65875</v>
      </c>
      <c r="Z483" s="44">
        <v>0.303125</v>
      </c>
      <c r="AA483" s="44">
        <v>0.968125</v>
      </c>
      <c r="AB483" s="44">
        <v>0.340625</v>
      </c>
      <c r="AC483" s="44">
        <v>0.19875</v>
      </c>
      <c r="AD483" s="44">
        <v>0.064375</v>
      </c>
      <c r="AE483" s="44">
        <v>0.455951</v>
      </c>
      <c r="AF483" s="44">
        <v>2.021875</v>
      </c>
      <c r="AG483" s="44">
        <v>0.745223</v>
      </c>
      <c r="AH483" s="44">
        <v>0.686875</v>
      </c>
      <c r="AI483" s="44">
        <v>0.333125</v>
      </c>
      <c r="AJ483" s="44">
        <v>18.11787</v>
      </c>
      <c r="AK483" s="44">
        <v>-2.53474</v>
      </c>
      <c r="AL483" s="44">
        <v>-1.39267</v>
      </c>
      <c r="AM483" s="44">
        <v>-2.10888</v>
      </c>
      <c r="AN483" s="44">
        <v>-1.63971</v>
      </c>
      <c r="AO483" s="44">
        <v>-2.41258</v>
      </c>
      <c r="AP483" s="44">
        <v>-1.23389</v>
      </c>
      <c r="AQ483" s="44">
        <v>-0.09237</v>
      </c>
      <c r="AR483" s="44">
        <v>-0.11817</v>
      </c>
      <c r="AS483" s="44">
        <v>1.971002</v>
      </c>
    </row>
    <row r="484">
      <c r="A484" s="44">
        <v>483.0</v>
      </c>
      <c r="B484" s="389"/>
      <c r="C484" s="45"/>
      <c r="D484" s="45"/>
      <c r="E484" s="44">
        <v>-1.06317</v>
      </c>
      <c r="F484" s="44">
        <v>0.002174</v>
      </c>
      <c r="G484" s="44">
        <v>1.568629</v>
      </c>
      <c r="H484" s="389"/>
      <c r="I484" s="46" t="s">
        <v>2463</v>
      </c>
      <c r="J484" s="46" t="s">
        <v>324</v>
      </c>
      <c r="K484" s="46" t="s">
        <v>1572</v>
      </c>
      <c r="L484" s="389"/>
      <c r="M484" s="389"/>
      <c r="N484" s="46" t="s">
        <v>1562</v>
      </c>
      <c r="O484" s="46" t="s">
        <v>2244</v>
      </c>
      <c r="P484" s="389"/>
      <c r="Q484" s="389"/>
      <c r="R484" s="46">
        <v>3.0</v>
      </c>
      <c r="S484" s="45"/>
      <c r="T484" s="46" t="s">
        <v>2183</v>
      </c>
      <c r="U484" s="44">
        <v>16.0</v>
      </c>
      <c r="V484" s="44">
        <v>16.0</v>
      </c>
      <c r="W484" s="389"/>
      <c r="X484" s="44">
        <v>7.0</v>
      </c>
      <c r="Y484" s="44">
        <v>1.9225</v>
      </c>
      <c r="Z484" s="44">
        <v>0.28125</v>
      </c>
      <c r="AA484" s="44">
        <v>1.270625</v>
      </c>
      <c r="AB484" s="44">
        <v>0.23125</v>
      </c>
      <c r="AC484" s="44">
        <v>0.144375</v>
      </c>
      <c r="AD484" s="44">
        <v>0.13</v>
      </c>
      <c r="AE484" s="44">
        <v>0.42596</v>
      </c>
      <c r="AF484" s="44">
        <v>1.675625</v>
      </c>
      <c r="AG484" s="44">
        <v>0.709544</v>
      </c>
      <c r="AH484" s="44">
        <v>0.30125</v>
      </c>
      <c r="AI484" s="44">
        <v>0.21625</v>
      </c>
      <c r="AJ484" s="44">
        <v>12.63413</v>
      </c>
      <c r="AK484" s="44">
        <v>-2.66448</v>
      </c>
      <c r="AL484" s="44">
        <v>-1.41359</v>
      </c>
      <c r="AM484" s="44">
        <v>-1.98474</v>
      </c>
      <c r="AN484" s="44">
        <v>-1.69248</v>
      </c>
      <c r="AO484" s="44">
        <v>-2.57408</v>
      </c>
      <c r="AP484" s="44">
        <v>-1.11552</v>
      </c>
      <c r="AQ484" s="44">
        <v>-0.14958</v>
      </c>
      <c r="AR484" s="44">
        <v>-0.09272</v>
      </c>
      <c r="AS484" s="44">
        <v>2.118634</v>
      </c>
    </row>
    <row r="485">
      <c r="A485" s="44">
        <v>484.0</v>
      </c>
      <c r="B485" s="389"/>
      <c r="C485" s="45"/>
      <c r="D485" s="45"/>
      <c r="E485" s="44">
        <v>-1.06549</v>
      </c>
      <c r="F485" s="44">
        <v>0.002407</v>
      </c>
      <c r="G485" s="44">
        <v>0.323427</v>
      </c>
      <c r="H485" s="389"/>
      <c r="I485" s="46" t="s">
        <v>2464</v>
      </c>
      <c r="J485" s="46" t="s">
        <v>465</v>
      </c>
      <c r="K485" s="46" t="s">
        <v>90</v>
      </c>
      <c r="L485" s="389"/>
      <c r="M485" s="389"/>
      <c r="N485" s="46" t="s">
        <v>1562</v>
      </c>
      <c r="O485" s="46" t="s">
        <v>2139</v>
      </c>
      <c r="P485" s="389"/>
      <c r="Q485" s="45"/>
      <c r="R485" s="46">
        <v>3.0</v>
      </c>
      <c r="S485" s="45"/>
      <c r="T485" s="46" t="s">
        <v>2183</v>
      </c>
      <c r="U485" s="44">
        <v>16.0</v>
      </c>
      <c r="V485" s="44">
        <v>15.0</v>
      </c>
      <c r="W485" s="389"/>
      <c r="X485" s="44">
        <v>7.0</v>
      </c>
      <c r="Y485" s="44">
        <v>2.5325</v>
      </c>
      <c r="Z485" s="44">
        <v>0.2225</v>
      </c>
      <c r="AA485" s="44">
        <v>0.981875</v>
      </c>
      <c r="AB485" s="44">
        <v>0.7625</v>
      </c>
      <c r="AC485" s="44">
        <v>0.22375</v>
      </c>
      <c r="AD485" s="44">
        <v>0.143125</v>
      </c>
      <c r="AE485" s="44">
        <v>0.461382</v>
      </c>
      <c r="AF485" s="44">
        <v>2.144375</v>
      </c>
      <c r="AG485" s="44">
        <v>0.658385</v>
      </c>
      <c r="AH485" s="44">
        <v>0.503125</v>
      </c>
      <c r="AI485" s="44">
        <v>0.535625</v>
      </c>
      <c r="AJ485" s="44">
        <v>17.16985</v>
      </c>
      <c r="AK485" s="44">
        <v>-2.55699</v>
      </c>
      <c r="AL485" s="44">
        <v>-1.46978</v>
      </c>
      <c r="AM485" s="44">
        <v>-2.10323</v>
      </c>
      <c r="AN485" s="44">
        <v>-1.43618</v>
      </c>
      <c r="AO485" s="44">
        <v>-2.33833</v>
      </c>
      <c r="AP485" s="44">
        <v>-1.09184</v>
      </c>
      <c r="AQ485" s="44">
        <v>-0.08119</v>
      </c>
      <c r="AR485" s="44">
        <v>-0.22706</v>
      </c>
      <c r="AS485" s="44">
        <v>1.715213</v>
      </c>
    </row>
    <row r="486">
      <c r="A486" s="44">
        <v>485.0</v>
      </c>
      <c r="B486" s="389"/>
      <c r="C486" s="45"/>
      <c r="D486" s="45"/>
      <c r="E486" s="44">
        <v>-1.07108</v>
      </c>
      <c r="F486" s="44">
        <v>0.001999</v>
      </c>
      <c r="G486" s="44">
        <v>1.568629</v>
      </c>
      <c r="H486" s="389"/>
      <c r="I486" s="46" t="s">
        <v>2465</v>
      </c>
      <c r="J486" s="46" t="s">
        <v>332</v>
      </c>
      <c r="K486" s="46" t="s">
        <v>85</v>
      </c>
      <c r="L486" s="389"/>
      <c r="M486" s="389"/>
      <c r="N486" s="46" t="s">
        <v>1612</v>
      </c>
      <c r="O486" s="46" t="s">
        <v>2139</v>
      </c>
      <c r="P486" s="389"/>
      <c r="Q486" s="389"/>
      <c r="R486" s="46">
        <v>2.0</v>
      </c>
      <c r="S486" s="45"/>
      <c r="T486" s="46" t="s">
        <v>2183</v>
      </c>
      <c r="U486" s="44">
        <v>16.0</v>
      </c>
      <c r="V486" s="44">
        <v>15.0</v>
      </c>
      <c r="W486" s="389"/>
      <c r="X486" s="44">
        <v>7.0</v>
      </c>
      <c r="Y486" s="44">
        <v>2.60625</v>
      </c>
      <c r="Z486" s="44">
        <v>0.28625</v>
      </c>
      <c r="AA486" s="44">
        <v>1.08125</v>
      </c>
      <c r="AB486" s="44">
        <v>0.345625</v>
      </c>
      <c r="AC486" s="44">
        <v>0.165</v>
      </c>
      <c r="AD486" s="44">
        <v>0.075</v>
      </c>
      <c r="AE486" s="44">
        <v>0.426791</v>
      </c>
      <c r="AF486" s="44">
        <v>2.206875</v>
      </c>
      <c r="AG486" s="44">
        <v>0.759521</v>
      </c>
      <c r="AH486" s="44">
        <v>0.574375</v>
      </c>
      <c r="AI486" s="44">
        <v>0.300625</v>
      </c>
      <c r="AJ486" s="44">
        <v>16.41937</v>
      </c>
      <c r="AK486" s="44">
        <v>-2.54399</v>
      </c>
      <c r="AL486" s="44">
        <v>-1.40881</v>
      </c>
      <c r="AM486" s="44">
        <v>-2.06246</v>
      </c>
      <c r="AN486" s="44">
        <v>-1.6373</v>
      </c>
      <c r="AO486" s="44">
        <v>-2.51282</v>
      </c>
      <c r="AP486" s="44">
        <v>-1.21473</v>
      </c>
      <c r="AQ486" s="44">
        <v>-0.19654</v>
      </c>
      <c r="AR486" s="44">
        <v>-0.07514</v>
      </c>
      <c r="AS486" s="44">
        <v>2.012055</v>
      </c>
    </row>
    <row r="487">
      <c r="A487" s="44">
        <v>486.0</v>
      </c>
      <c r="B487" s="389"/>
      <c r="C487" s="389"/>
      <c r="D487" s="389"/>
      <c r="E487" s="44">
        <v>-1.07112</v>
      </c>
      <c r="F487" s="44">
        <v>0.001826</v>
      </c>
      <c r="G487" s="44">
        <v>0.973906</v>
      </c>
      <c r="H487" s="389"/>
      <c r="I487" s="46" t="s">
        <v>2466</v>
      </c>
      <c r="J487" s="46" t="s">
        <v>1608</v>
      </c>
      <c r="K487" s="46" t="s">
        <v>88</v>
      </c>
      <c r="L487" s="46" t="s">
        <v>2467</v>
      </c>
      <c r="M487" s="389"/>
      <c r="N487" s="46" t="s">
        <v>1562</v>
      </c>
      <c r="O487" s="389"/>
      <c r="P487" s="389"/>
      <c r="Q487" s="389"/>
      <c r="R487" s="46">
        <v>3.0</v>
      </c>
      <c r="S487" s="45"/>
      <c r="T487" s="46" t="s">
        <v>2183</v>
      </c>
      <c r="U487" s="44">
        <v>16.0</v>
      </c>
      <c r="V487" s="44">
        <v>14.0</v>
      </c>
      <c r="W487" s="389"/>
      <c r="X487" s="44">
        <v>8.0</v>
      </c>
      <c r="Y487" s="44">
        <v>2.195</v>
      </c>
      <c r="Z487" s="44">
        <v>0.45</v>
      </c>
      <c r="AA487" s="44">
        <v>1.120625</v>
      </c>
      <c r="AB487" s="44">
        <v>0.335</v>
      </c>
      <c r="AC487" s="44">
        <v>0.22875</v>
      </c>
      <c r="AD487" s="44">
        <v>0.078125</v>
      </c>
      <c r="AE487" s="44">
        <v>0.350677</v>
      </c>
      <c r="AF487" s="44">
        <v>2.078125</v>
      </c>
      <c r="AG487" s="44">
        <v>0.727848</v>
      </c>
      <c r="AH487" s="44">
        <v>0.395</v>
      </c>
      <c r="AI487" s="44">
        <v>0.339375</v>
      </c>
      <c r="AJ487" s="44">
        <v>14.05541</v>
      </c>
      <c r="AK487" s="44">
        <v>-2.61646</v>
      </c>
      <c r="AL487" s="44">
        <v>-1.25219</v>
      </c>
      <c r="AM487" s="44">
        <v>-2.0463</v>
      </c>
      <c r="AN487" s="44">
        <v>-1.64243</v>
      </c>
      <c r="AO487" s="44">
        <v>-2.32348</v>
      </c>
      <c r="AP487" s="44">
        <v>-1.20909</v>
      </c>
      <c r="AQ487" s="44">
        <v>-0.41834</v>
      </c>
      <c r="AR487" s="44">
        <v>-0.09492</v>
      </c>
      <c r="AS487" s="44">
        <v>1.963108</v>
      </c>
    </row>
    <row r="488">
      <c r="A488" s="44">
        <v>487.0</v>
      </c>
      <c r="B488" s="389"/>
      <c r="C488" s="45"/>
      <c r="D488" s="45"/>
      <c r="E488" s="44">
        <v>-1.07152</v>
      </c>
      <c r="F488" s="44">
        <v>0.002064</v>
      </c>
      <c r="G488" s="44">
        <v>1.568629</v>
      </c>
      <c r="H488" s="389"/>
      <c r="I488" s="46" t="s">
        <v>2468</v>
      </c>
      <c r="J488" s="46" t="s">
        <v>287</v>
      </c>
      <c r="K488" s="46" t="s">
        <v>88</v>
      </c>
      <c r="L488" s="46" t="s">
        <v>2469</v>
      </c>
      <c r="M488" s="389"/>
      <c r="N488" s="46" t="s">
        <v>1562</v>
      </c>
      <c r="O488" s="46" t="s">
        <v>2244</v>
      </c>
      <c r="P488" s="389"/>
      <c r="Q488" s="389"/>
      <c r="R488" s="46">
        <v>3.0</v>
      </c>
      <c r="S488" s="45"/>
      <c r="T488" s="46" t="s">
        <v>2183</v>
      </c>
      <c r="U488" s="44">
        <v>16.0</v>
      </c>
      <c r="V488" s="44">
        <v>16.0</v>
      </c>
      <c r="W488" s="389"/>
      <c r="X488" s="44">
        <v>8.0</v>
      </c>
      <c r="Y488" s="44">
        <v>2.5375</v>
      </c>
      <c r="Z488" s="44">
        <v>0.336875</v>
      </c>
      <c r="AA488" s="44">
        <v>0.983125</v>
      </c>
      <c r="AB488" s="44">
        <v>0.5</v>
      </c>
      <c r="AC488" s="44">
        <v>0.233125</v>
      </c>
      <c r="AD488" s="44">
        <v>0.1</v>
      </c>
      <c r="AE488" s="44">
        <v>0.40241</v>
      </c>
      <c r="AF488" s="44">
        <v>2.334375</v>
      </c>
      <c r="AG488" s="44">
        <v>0.766369</v>
      </c>
      <c r="AH488" s="44">
        <v>0.42</v>
      </c>
      <c r="AI488" s="44">
        <v>0.5</v>
      </c>
      <c r="AJ488" s="44">
        <v>16.35574</v>
      </c>
      <c r="AK488" s="44">
        <v>-2.55611</v>
      </c>
      <c r="AL488" s="44">
        <v>-1.36039</v>
      </c>
      <c r="AM488" s="44">
        <v>-2.10272</v>
      </c>
      <c r="AN488" s="44">
        <v>-1.56282</v>
      </c>
      <c r="AO488" s="44">
        <v>-2.31048</v>
      </c>
      <c r="AP488" s="44">
        <v>-1.16963</v>
      </c>
      <c r="AQ488" s="44">
        <v>-0.29239</v>
      </c>
      <c r="AR488" s="44">
        <v>-0.04935</v>
      </c>
      <c r="AS488" s="44">
        <v>1.760213</v>
      </c>
    </row>
    <row r="489">
      <c r="A489" s="44">
        <v>488.0</v>
      </c>
      <c r="B489" s="389"/>
      <c r="C489" s="45"/>
      <c r="D489" s="45"/>
      <c r="E489" s="44">
        <v>-1.07211</v>
      </c>
      <c r="F489" s="44">
        <v>0.001664</v>
      </c>
      <c r="G489" s="44">
        <v>0.267672</v>
      </c>
      <c r="H489" s="389"/>
      <c r="I489" s="46" t="s">
        <v>2470</v>
      </c>
      <c r="J489" s="46" t="s">
        <v>386</v>
      </c>
      <c r="K489" s="46" t="s">
        <v>85</v>
      </c>
      <c r="L489" s="46" t="s">
        <v>2471</v>
      </c>
      <c r="M489" s="389"/>
      <c r="N489" s="46" t="s">
        <v>1562</v>
      </c>
      <c r="O489" s="46" t="s">
        <v>2256</v>
      </c>
      <c r="P489" s="389"/>
      <c r="Q489" s="389"/>
      <c r="R489" s="46">
        <v>3.0</v>
      </c>
      <c r="S489" s="45"/>
      <c r="T489" s="46" t="s">
        <v>2183</v>
      </c>
      <c r="U489" s="44">
        <v>16.0</v>
      </c>
      <c r="V489" s="44">
        <v>14.0</v>
      </c>
      <c r="W489" s="389"/>
      <c r="X489" s="44">
        <v>6.0</v>
      </c>
      <c r="Y489" s="44">
        <v>2.400625</v>
      </c>
      <c r="Z489" s="44">
        <v>0.394375</v>
      </c>
      <c r="AA489" s="44">
        <v>0.88375</v>
      </c>
      <c r="AB489" s="44">
        <v>0.995625</v>
      </c>
      <c r="AC489" s="44">
        <v>0.20625</v>
      </c>
      <c r="AD489" s="44">
        <v>0.08875</v>
      </c>
      <c r="AE489" s="44">
        <v>0.380049</v>
      </c>
      <c r="AF489" s="44">
        <v>2.274375</v>
      </c>
      <c r="AG489" s="44">
        <v>0.718447</v>
      </c>
      <c r="AH489" s="44">
        <v>0.38625</v>
      </c>
      <c r="AI489" s="44">
        <v>0.509375</v>
      </c>
      <c r="AJ489" s="44">
        <v>20.13933</v>
      </c>
      <c r="AK489" s="44">
        <v>-2.58023</v>
      </c>
      <c r="AL489" s="44">
        <v>-1.30539</v>
      </c>
      <c r="AM489" s="44">
        <v>-2.1435</v>
      </c>
      <c r="AN489" s="44">
        <v>-1.32371</v>
      </c>
      <c r="AO489" s="44">
        <v>-2.39031</v>
      </c>
      <c r="AP489" s="44">
        <v>-1.18993</v>
      </c>
      <c r="AQ489" s="44">
        <v>-0.35982</v>
      </c>
      <c r="AR489" s="44">
        <v>-0.10449</v>
      </c>
      <c r="AS489" s="44">
        <v>1.748371</v>
      </c>
    </row>
    <row r="490">
      <c r="A490" s="44">
        <v>489.0</v>
      </c>
      <c r="B490" s="389"/>
      <c r="C490" s="45"/>
      <c r="D490" s="45"/>
      <c r="E490" s="44">
        <v>-1.07381</v>
      </c>
      <c r="F490" s="44">
        <v>0.002942</v>
      </c>
      <c r="G490" s="44">
        <v>1.122587</v>
      </c>
      <c r="H490" s="389"/>
      <c r="I490" s="46" t="s">
        <v>2472</v>
      </c>
      <c r="J490" s="46" t="s">
        <v>291</v>
      </c>
      <c r="K490" s="46" t="s">
        <v>90</v>
      </c>
      <c r="L490" s="46" t="s">
        <v>2473</v>
      </c>
      <c r="M490" s="389"/>
      <c r="N490" s="46" t="s">
        <v>1562</v>
      </c>
      <c r="O490" s="46" t="s">
        <v>1776</v>
      </c>
      <c r="P490" s="389"/>
      <c r="Q490" s="389"/>
      <c r="R490" s="389"/>
      <c r="S490" s="45"/>
      <c r="T490" s="46" t="s">
        <v>1905</v>
      </c>
      <c r="U490" s="44">
        <v>46.0</v>
      </c>
      <c r="V490" s="44">
        <v>14.0</v>
      </c>
      <c r="W490" s="389"/>
      <c r="X490" s="44">
        <v>7.0</v>
      </c>
      <c r="Y490" s="44">
        <v>1.909783</v>
      </c>
      <c r="Z490" s="44">
        <v>0.015217</v>
      </c>
      <c r="AA490" s="44">
        <v>1.472826</v>
      </c>
      <c r="AB490" s="44">
        <v>0.486087</v>
      </c>
      <c r="AC490" s="44">
        <v>0.235652</v>
      </c>
      <c r="AD490" s="44">
        <v>0.147391</v>
      </c>
      <c r="AE490" s="44">
        <v>0.549017</v>
      </c>
      <c r="AF490" s="44">
        <v>1.45913</v>
      </c>
      <c r="AG490" s="44">
        <v>0.556936</v>
      </c>
      <c r="AH490" s="44">
        <v>0.525</v>
      </c>
      <c r="AI490" s="44">
        <v>0.471304</v>
      </c>
      <c r="AJ490" s="44">
        <v>13.54426</v>
      </c>
      <c r="AK490" s="44">
        <v>-2.66672</v>
      </c>
      <c r="AL490" s="44">
        <v>-1.66804</v>
      </c>
      <c r="AM490" s="44">
        <v>-1.90177</v>
      </c>
      <c r="AN490" s="44">
        <v>-1.56953</v>
      </c>
      <c r="AO490" s="44">
        <v>-2.30298</v>
      </c>
      <c r="AP490" s="44">
        <v>-1.08414</v>
      </c>
      <c r="AQ490" s="44">
        <v>0.135927</v>
      </c>
      <c r="AR490" s="44">
        <v>-0.4035</v>
      </c>
      <c r="AS490" s="44">
        <v>1.79646</v>
      </c>
    </row>
    <row r="491">
      <c r="A491" s="44">
        <v>490.0</v>
      </c>
      <c r="B491" s="389"/>
      <c r="C491" s="45"/>
      <c r="D491" s="45"/>
      <c r="E491" s="44">
        <v>-1.07415</v>
      </c>
      <c r="F491" s="44">
        <v>0.001368</v>
      </c>
      <c r="G491" s="44">
        <v>1.512874</v>
      </c>
      <c r="H491" s="389"/>
      <c r="I491" s="46" t="s">
        <v>2474</v>
      </c>
      <c r="J491" s="46" t="s">
        <v>490</v>
      </c>
      <c r="K491" s="46" t="s">
        <v>85</v>
      </c>
      <c r="L491" s="389"/>
      <c r="M491" s="389"/>
      <c r="N491" s="46" t="s">
        <v>1562</v>
      </c>
      <c r="O491" s="46" t="s">
        <v>2475</v>
      </c>
      <c r="P491" s="389"/>
      <c r="Q491" s="389"/>
      <c r="R491" s="389"/>
      <c r="S491" s="45"/>
      <c r="T491" s="46" t="s">
        <v>2183</v>
      </c>
      <c r="U491" s="44">
        <v>16.0</v>
      </c>
      <c r="V491" s="44">
        <v>16.0</v>
      </c>
      <c r="W491" s="389"/>
      <c r="X491" s="44">
        <v>7.0</v>
      </c>
      <c r="Y491" s="44">
        <v>3.151875</v>
      </c>
      <c r="Z491" s="44">
        <v>0.29875</v>
      </c>
      <c r="AA491" s="44">
        <v>0.874375</v>
      </c>
      <c r="AB491" s="44">
        <v>1.629375</v>
      </c>
      <c r="AC491" s="44">
        <v>0.185</v>
      </c>
      <c r="AD491" s="44">
        <v>0.056875</v>
      </c>
      <c r="AE491" s="44">
        <v>0.391304</v>
      </c>
      <c r="AF491" s="44">
        <v>2.745625</v>
      </c>
      <c r="AG491" s="44">
        <v>0.750333</v>
      </c>
      <c r="AH491" s="44">
        <v>0.93875</v>
      </c>
      <c r="AI491" s="44">
        <v>0.64625</v>
      </c>
      <c r="AJ491" s="44">
        <v>22.93337</v>
      </c>
      <c r="AK491" s="44">
        <v>-2.44784</v>
      </c>
      <c r="AL491" s="44">
        <v>-1.39685</v>
      </c>
      <c r="AM491" s="44">
        <v>-2.14735</v>
      </c>
      <c r="AN491" s="44">
        <v>-1.01795</v>
      </c>
      <c r="AO491" s="44">
        <v>-2.45342</v>
      </c>
      <c r="AP491" s="44">
        <v>-1.24742</v>
      </c>
      <c r="AQ491" s="44">
        <v>-0.3902</v>
      </c>
      <c r="AR491" s="44">
        <v>-0.14177</v>
      </c>
      <c r="AS491" s="44">
        <v>1.575476</v>
      </c>
    </row>
    <row r="492">
      <c r="A492" s="44">
        <v>491.0</v>
      </c>
      <c r="B492" s="389"/>
      <c r="C492" s="389"/>
      <c r="D492" s="389"/>
      <c r="E492" s="44">
        <v>-1.08308</v>
      </c>
      <c r="F492" s="44">
        <v>0.001954</v>
      </c>
      <c r="G492" s="44">
        <v>0.7323</v>
      </c>
      <c r="H492" s="389"/>
      <c r="I492" s="46" t="s">
        <v>2476</v>
      </c>
      <c r="J492" s="46" t="s">
        <v>269</v>
      </c>
      <c r="K492" s="46" t="s">
        <v>90</v>
      </c>
      <c r="L492" s="46" t="s">
        <v>2477</v>
      </c>
      <c r="M492" s="389"/>
      <c r="N492" s="46" t="s">
        <v>1562</v>
      </c>
      <c r="O492" s="46" t="s">
        <v>2139</v>
      </c>
      <c r="P492" s="389"/>
      <c r="Q492" s="45"/>
      <c r="R492" s="46">
        <v>2.0</v>
      </c>
      <c r="S492" s="45"/>
      <c r="T492" s="46" t="s">
        <v>2183</v>
      </c>
      <c r="U492" s="44">
        <v>16.0</v>
      </c>
      <c r="V492" s="44">
        <v>16.0</v>
      </c>
      <c r="W492" s="389"/>
      <c r="X492" s="44">
        <v>6.0</v>
      </c>
      <c r="Y492" s="44">
        <v>1.819375</v>
      </c>
      <c r="Z492" s="44">
        <v>0.184375</v>
      </c>
      <c r="AA492" s="44">
        <v>0.808125</v>
      </c>
      <c r="AB492" s="44">
        <v>0.27125</v>
      </c>
      <c r="AC492" s="44">
        <v>0.1975</v>
      </c>
      <c r="AD492" s="44">
        <v>0.134375</v>
      </c>
      <c r="AE492" s="44">
        <v>0.394305</v>
      </c>
      <c r="AF492" s="44">
        <v>1.865625</v>
      </c>
      <c r="AG492" s="44">
        <v>0.761628</v>
      </c>
      <c r="AH492" s="44">
        <v>0.215</v>
      </c>
      <c r="AI492" s="44">
        <v>0.229375</v>
      </c>
      <c r="AJ492" s="44">
        <v>15.74137</v>
      </c>
      <c r="AK492" s="44">
        <v>-2.68265</v>
      </c>
      <c r="AL492" s="44">
        <v>-1.50625</v>
      </c>
      <c r="AM492" s="44">
        <v>-2.17453</v>
      </c>
      <c r="AN492" s="44">
        <v>-1.67318</v>
      </c>
      <c r="AO492" s="44">
        <v>-2.41629</v>
      </c>
      <c r="AP492" s="44">
        <v>-1.10762</v>
      </c>
      <c r="AQ492" s="44">
        <v>-0.25459</v>
      </c>
      <c r="AR492" s="44">
        <v>-0.03469</v>
      </c>
      <c r="AS492" s="44">
        <v>2.102055</v>
      </c>
    </row>
    <row r="493">
      <c r="A493" s="44">
        <v>492.0</v>
      </c>
      <c r="B493" s="389"/>
      <c r="C493" s="45"/>
      <c r="D493" s="45"/>
      <c r="E493" s="44">
        <v>-1.08406</v>
      </c>
      <c r="F493" s="44">
        <v>0.00181</v>
      </c>
      <c r="G493" s="44">
        <v>1.568629</v>
      </c>
      <c r="H493" s="389"/>
      <c r="I493" s="46" t="s">
        <v>2478</v>
      </c>
      <c r="J493" s="46" t="s">
        <v>269</v>
      </c>
      <c r="K493" s="46" t="s">
        <v>1568</v>
      </c>
      <c r="L493" s="46" t="s">
        <v>2479</v>
      </c>
      <c r="M493" s="389"/>
      <c r="N493" s="46" t="s">
        <v>1562</v>
      </c>
      <c r="O493" s="46" t="s">
        <v>2139</v>
      </c>
      <c r="P493" s="389"/>
      <c r="Q493" s="45"/>
      <c r="R493" s="46">
        <v>2.0</v>
      </c>
      <c r="S493" s="45"/>
      <c r="T493" s="46" t="s">
        <v>2183</v>
      </c>
      <c r="U493" s="44">
        <v>16.0</v>
      </c>
      <c r="V493" s="44">
        <v>16.0</v>
      </c>
      <c r="W493" s="389"/>
      <c r="X493" s="44">
        <v>6.0</v>
      </c>
      <c r="Y493" s="44">
        <v>2.28625</v>
      </c>
      <c r="Z493" s="44">
        <v>0.353125</v>
      </c>
      <c r="AA493" s="44">
        <v>0.580625</v>
      </c>
      <c r="AB493" s="44">
        <v>0.303125</v>
      </c>
      <c r="AC493" s="44">
        <v>0.164375</v>
      </c>
      <c r="AD493" s="44">
        <v>0.038125</v>
      </c>
      <c r="AE493" s="44">
        <v>0.415389</v>
      </c>
      <c r="AF493" s="44">
        <v>1.998125</v>
      </c>
      <c r="AG493" s="44">
        <v>0.855186</v>
      </c>
      <c r="AH493" s="44">
        <v>0.319375</v>
      </c>
      <c r="AI493" s="44">
        <v>0.2525</v>
      </c>
      <c r="AJ493" s="44">
        <v>17.19035</v>
      </c>
      <c r="AK493" s="44">
        <v>-2.60038</v>
      </c>
      <c r="AL493" s="44">
        <v>-1.34485</v>
      </c>
      <c r="AM493" s="44">
        <v>-2.26789</v>
      </c>
      <c r="AN493" s="44">
        <v>-1.6578</v>
      </c>
      <c r="AO493" s="44">
        <v>-2.51468</v>
      </c>
      <c r="AP493" s="44">
        <v>-1.28125</v>
      </c>
      <c r="AQ493" s="44">
        <v>-0.21094</v>
      </c>
      <c r="AR493" s="44">
        <v>0.048418</v>
      </c>
      <c r="AS493" s="44">
        <v>2.072844</v>
      </c>
    </row>
    <row r="494">
      <c r="A494" s="44">
        <v>493.0</v>
      </c>
      <c r="B494" s="389"/>
      <c r="C494" s="45"/>
      <c r="D494" s="45"/>
      <c r="E494" s="44">
        <v>-1.08446</v>
      </c>
      <c r="F494" s="44">
        <v>0.002539</v>
      </c>
      <c r="G494" s="44">
        <v>1.568629</v>
      </c>
      <c r="H494" s="389"/>
      <c r="I494" s="46" t="s">
        <v>2480</v>
      </c>
      <c r="J494" s="46" t="s">
        <v>1639</v>
      </c>
      <c r="K494" s="46" t="s">
        <v>97</v>
      </c>
      <c r="L494" s="389"/>
      <c r="M494" s="389"/>
      <c r="N494" s="46" t="s">
        <v>1562</v>
      </c>
      <c r="O494" s="46" t="s">
        <v>2139</v>
      </c>
      <c r="P494" s="389"/>
      <c r="Q494" s="389"/>
      <c r="R494" s="46">
        <v>5.0</v>
      </c>
      <c r="S494" s="45"/>
      <c r="T494" s="46" t="s">
        <v>2183</v>
      </c>
      <c r="U494" s="44">
        <v>16.0</v>
      </c>
      <c r="V494" s="44">
        <v>15.0</v>
      </c>
      <c r="W494" s="389"/>
      <c r="X494" s="44">
        <v>5.0</v>
      </c>
      <c r="Y494" s="44">
        <v>1.944375</v>
      </c>
      <c r="Z494" s="44">
        <v>0.06</v>
      </c>
      <c r="AA494" s="44">
        <v>1.28375</v>
      </c>
      <c r="AB494" s="44">
        <v>0.23125</v>
      </c>
      <c r="AC494" s="44">
        <v>0.115625</v>
      </c>
      <c r="AD494" s="44">
        <v>0.1575</v>
      </c>
      <c r="AE494" s="44">
        <v>0.489803</v>
      </c>
      <c r="AF494" s="44">
        <v>1.685625</v>
      </c>
      <c r="AG494" s="44">
        <v>0.728516</v>
      </c>
      <c r="AH494" s="44">
        <v>0.32</v>
      </c>
      <c r="AI494" s="44">
        <v>0.315625</v>
      </c>
      <c r="AJ494" s="44">
        <v>18.05083</v>
      </c>
      <c r="AK494" s="44">
        <v>-2.66063</v>
      </c>
      <c r="AL494" s="44">
        <v>-1.62521</v>
      </c>
      <c r="AM494" s="44">
        <v>-1.97936</v>
      </c>
      <c r="AN494" s="44">
        <v>-1.69248</v>
      </c>
      <c r="AO494" s="44">
        <v>-2.65947</v>
      </c>
      <c r="AP494" s="44">
        <v>-1.06591</v>
      </c>
      <c r="AQ494" s="44">
        <v>0.00847</v>
      </c>
      <c r="AR494" s="44">
        <v>-0.07865</v>
      </c>
      <c r="AS494" s="44">
        <v>1.993108</v>
      </c>
    </row>
    <row r="495">
      <c r="A495" s="44">
        <v>494.0</v>
      </c>
      <c r="B495" s="389"/>
      <c r="C495" s="45"/>
      <c r="D495" s="45"/>
      <c r="E495" s="44">
        <v>-1.08471</v>
      </c>
      <c r="F495" s="44">
        <v>-0.00828</v>
      </c>
      <c r="G495" s="44">
        <v>0.202624</v>
      </c>
      <c r="H495" s="389"/>
      <c r="I495" s="46" t="s">
        <v>2481</v>
      </c>
      <c r="J495" s="46" t="s">
        <v>283</v>
      </c>
      <c r="K495" s="46" t="s">
        <v>88</v>
      </c>
      <c r="L495" s="389"/>
      <c r="M495" s="389"/>
      <c r="N495" s="46" t="s">
        <v>1570</v>
      </c>
      <c r="O495" s="46" t="s">
        <v>2244</v>
      </c>
      <c r="P495" s="389"/>
      <c r="Q495" s="389"/>
      <c r="R495" s="389"/>
      <c r="S495" s="45"/>
      <c r="T495" s="46" t="s">
        <v>2183</v>
      </c>
      <c r="U495" s="44">
        <v>16.0</v>
      </c>
      <c r="V495" s="44">
        <v>14.0</v>
      </c>
      <c r="W495" s="389"/>
      <c r="X495" s="44">
        <v>10.0</v>
      </c>
      <c r="Y495" s="44">
        <v>3.813125</v>
      </c>
      <c r="Z495" s="44">
        <v>0.681875</v>
      </c>
      <c r="AA495" s="44">
        <v>0.898125</v>
      </c>
      <c r="AB495" s="44">
        <v>0.77875</v>
      </c>
      <c r="AC495" s="44">
        <v>0.0925</v>
      </c>
      <c r="AD495" s="44">
        <v>0.043125</v>
      </c>
      <c r="AE495" s="44">
        <v>0.389739</v>
      </c>
      <c r="AF495" s="44">
        <v>3.715625</v>
      </c>
      <c r="AG495" s="44">
        <v>0.935323</v>
      </c>
      <c r="AH495" s="44">
        <v>0.25125</v>
      </c>
      <c r="AI495" s="44">
        <v>0.621875</v>
      </c>
      <c r="AJ495" s="44">
        <v>19.74554</v>
      </c>
      <c r="AK495" s="44">
        <v>-2.33131</v>
      </c>
      <c r="AL495" s="44">
        <v>-1.03041</v>
      </c>
      <c r="AM495" s="44">
        <v>-2.1376</v>
      </c>
      <c r="AN495" s="44">
        <v>-1.42834</v>
      </c>
      <c r="AO495" s="44">
        <v>-2.72815</v>
      </c>
      <c r="AP495" s="44">
        <v>-1.27223</v>
      </c>
      <c r="AQ495" s="44">
        <v>-0.53914</v>
      </c>
      <c r="AR495" s="44">
        <v>0.098544</v>
      </c>
      <c r="AS495" s="44">
        <v>1.606266</v>
      </c>
    </row>
    <row r="496">
      <c r="A496" s="44">
        <v>495.0</v>
      </c>
      <c r="B496" s="389"/>
      <c r="C496" s="45"/>
      <c r="D496" s="45"/>
      <c r="E496" s="44">
        <v>-1.08575</v>
      </c>
      <c r="F496" s="44">
        <v>0.001721</v>
      </c>
      <c r="G496" s="44">
        <v>0.555741</v>
      </c>
      <c r="H496" s="389"/>
      <c r="I496" s="46" t="s">
        <v>2482</v>
      </c>
      <c r="J496" s="46" t="s">
        <v>350</v>
      </c>
      <c r="K496" s="46" t="s">
        <v>85</v>
      </c>
      <c r="L496" s="389"/>
      <c r="M496" s="389"/>
      <c r="N496" s="46" t="s">
        <v>1562</v>
      </c>
      <c r="O496" s="46" t="s">
        <v>2483</v>
      </c>
      <c r="P496" s="389"/>
      <c r="Q496" s="389"/>
      <c r="R496" s="46">
        <v>3.0</v>
      </c>
      <c r="S496" s="45"/>
      <c r="T496" s="46" t="s">
        <v>2183</v>
      </c>
      <c r="U496" s="44">
        <v>16.0</v>
      </c>
      <c r="V496" s="44">
        <v>14.0</v>
      </c>
      <c r="W496" s="389"/>
      <c r="X496" s="44">
        <v>5.0</v>
      </c>
      <c r="Y496" s="44">
        <v>1.906875</v>
      </c>
      <c r="Z496" s="44">
        <v>0.28875</v>
      </c>
      <c r="AA496" s="44">
        <v>0.485</v>
      </c>
      <c r="AB496" s="44">
        <v>0.7525</v>
      </c>
      <c r="AC496" s="44">
        <v>0.136875</v>
      </c>
      <c r="AD496" s="44">
        <v>0.03</v>
      </c>
      <c r="AE496" s="44">
        <v>0.432715</v>
      </c>
      <c r="AF496" s="44">
        <v>1.61625</v>
      </c>
      <c r="AG496" s="44">
        <v>0.803204</v>
      </c>
      <c r="AH496" s="44">
        <v>0.273125</v>
      </c>
      <c r="AI496" s="44">
        <v>0.250625</v>
      </c>
      <c r="AJ496" s="44">
        <v>17.84333</v>
      </c>
      <c r="AK496" s="44">
        <v>-2.66723</v>
      </c>
      <c r="AL496" s="44">
        <v>-1.40642</v>
      </c>
      <c r="AM496" s="44">
        <v>-2.30713</v>
      </c>
      <c r="AN496" s="44">
        <v>-1.441</v>
      </c>
      <c r="AO496" s="44">
        <v>-2.59635</v>
      </c>
      <c r="AP496" s="44">
        <v>-1.2959</v>
      </c>
      <c r="AQ496" s="44">
        <v>-0.1279</v>
      </c>
      <c r="AR496" s="44">
        <v>-0.00499</v>
      </c>
      <c r="AS496" s="44">
        <v>2.075213</v>
      </c>
    </row>
    <row r="497">
      <c r="A497" s="44">
        <v>496.0</v>
      </c>
      <c r="B497" s="389"/>
      <c r="C497" s="45"/>
      <c r="D497" s="45"/>
      <c r="E497" s="44">
        <v>-1.08677</v>
      </c>
      <c r="F497" s="44">
        <v>0.002203</v>
      </c>
      <c r="G497" s="44">
        <v>-0.00181</v>
      </c>
      <c r="H497" s="389"/>
      <c r="I497" s="46" t="s">
        <v>2484</v>
      </c>
      <c r="J497" s="46" t="s">
        <v>291</v>
      </c>
      <c r="K497" s="46" t="s">
        <v>90</v>
      </c>
      <c r="L497" s="46" t="s">
        <v>2485</v>
      </c>
      <c r="M497" s="389"/>
      <c r="N497" s="46" t="s">
        <v>1562</v>
      </c>
      <c r="O497" s="46" t="s">
        <v>1595</v>
      </c>
      <c r="P497" s="389"/>
      <c r="Q497" s="389"/>
      <c r="R497" s="46">
        <v>1.0</v>
      </c>
      <c r="S497" s="45"/>
      <c r="T497" s="46" t="s">
        <v>2183</v>
      </c>
      <c r="U497" s="44">
        <v>16.0</v>
      </c>
      <c r="V497" s="44">
        <v>14.0</v>
      </c>
      <c r="W497" s="389"/>
      <c r="X497" s="44">
        <v>6.0</v>
      </c>
      <c r="Y497" s="44">
        <v>1.835</v>
      </c>
      <c r="Z497" s="44">
        <v>0.1025</v>
      </c>
      <c r="AA497" s="44">
        <v>1.515</v>
      </c>
      <c r="AB497" s="44">
        <v>0.303125</v>
      </c>
      <c r="AC497" s="44">
        <v>0.149375</v>
      </c>
      <c r="AD497" s="44">
        <v>0.055625</v>
      </c>
      <c r="AE497" s="44">
        <v>0.445131</v>
      </c>
      <c r="AF497" s="44">
        <v>1.6175</v>
      </c>
      <c r="AG497" s="44">
        <v>0.73125</v>
      </c>
      <c r="AH497" s="44">
        <v>0.4</v>
      </c>
      <c r="AI497" s="44">
        <v>0.290625</v>
      </c>
      <c r="AJ497" s="44">
        <v>15.23644</v>
      </c>
      <c r="AK497" s="44">
        <v>-2.6799</v>
      </c>
      <c r="AL497" s="44">
        <v>-1.58456</v>
      </c>
      <c r="AM497" s="44">
        <v>-1.88446</v>
      </c>
      <c r="AN497" s="44">
        <v>-1.6578</v>
      </c>
      <c r="AO497" s="44">
        <v>-2.55923</v>
      </c>
      <c r="AP497" s="44">
        <v>-1.24968</v>
      </c>
      <c r="AQ497" s="44">
        <v>-0.09833</v>
      </c>
      <c r="AR497" s="44">
        <v>-0.09169</v>
      </c>
      <c r="AS497" s="44">
        <v>2.024687</v>
      </c>
    </row>
    <row r="498">
      <c r="A498" s="44">
        <v>497.0</v>
      </c>
      <c r="B498" s="389"/>
      <c r="C498" s="45"/>
      <c r="D498" s="45"/>
      <c r="E498" s="44">
        <v>-1.09006</v>
      </c>
      <c r="F498" s="44">
        <v>0.002239</v>
      </c>
      <c r="G498" s="44">
        <v>0.853103</v>
      </c>
      <c r="H498" s="389"/>
      <c r="I498" s="46" t="s">
        <v>2486</v>
      </c>
      <c r="J498" s="46" t="s">
        <v>1560</v>
      </c>
      <c r="K498" s="46" t="s">
        <v>90</v>
      </c>
      <c r="L498" s="389"/>
      <c r="M498" s="389"/>
      <c r="N498" s="46" t="s">
        <v>1562</v>
      </c>
      <c r="O498" s="46" t="s">
        <v>2139</v>
      </c>
      <c r="P498" s="389"/>
      <c r="Q498" s="389"/>
      <c r="R498" s="46">
        <v>4.0</v>
      </c>
      <c r="S498" s="45"/>
      <c r="T498" s="46" t="s">
        <v>2183</v>
      </c>
      <c r="U498" s="44">
        <v>16.0</v>
      </c>
      <c r="V498" s="44">
        <v>14.0</v>
      </c>
      <c r="W498" s="389"/>
      <c r="X498" s="44">
        <v>6.0</v>
      </c>
      <c r="Y498" s="44">
        <v>1.583125</v>
      </c>
      <c r="Z498" s="44">
        <v>0.16875</v>
      </c>
      <c r="AA498" s="44">
        <v>1.263125</v>
      </c>
      <c r="AB498" s="44">
        <v>0.3825</v>
      </c>
      <c r="AC498" s="44">
        <v>0.19375</v>
      </c>
      <c r="AD498" s="44">
        <v>0.060625</v>
      </c>
      <c r="AE498" s="44">
        <v>0.417191</v>
      </c>
      <c r="AF498" s="44">
        <v>1.490625</v>
      </c>
      <c r="AG498" s="44">
        <v>0.630485</v>
      </c>
      <c r="AH498" s="44">
        <v>0.270625</v>
      </c>
      <c r="AI498" s="44">
        <v>0.299375</v>
      </c>
      <c r="AJ498" s="44">
        <v>13.50972</v>
      </c>
      <c r="AK498" s="44">
        <v>-2.72429</v>
      </c>
      <c r="AL498" s="44">
        <v>-1.52119</v>
      </c>
      <c r="AM498" s="44">
        <v>-1.98782</v>
      </c>
      <c r="AN498" s="44">
        <v>-1.61951</v>
      </c>
      <c r="AO498" s="44">
        <v>-2.42743</v>
      </c>
      <c r="AP498" s="44">
        <v>-1.24066</v>
      </c>
      <c r="AQ498" s="44">
        <v>-0.15159</v>
      </c>
      <c r="AR498" s="44">
        <v>-0.15172</v>
      </c>
      <c r="AS498" s="44">
        <v>2.013634</v>
      </c>
    </row>
    <row r="499">
      <c r="A499" s="44">
        <v>498.0</v>
      </c>
      <c r="B499" s="389"/>
      <c r="C499" s="45"/>
      <c r="D499" s="45"/>
      <c r="E499" s="44">
        <v>-1.09107</v>
      </c>
      <c r="F499" s="44">
        <v>0.001798</v>
      </c>
      <c r="G499" s="44">
        <v>0.871688</v>
      </c>
      <c r="H499" s="389"/>
      <c r="I499" s="46" t="s">
        <v>2487</v>
      </c>
      <c r="J499" s="46" t="s">
        <v>365</v>
      </c>
      <c r="K499" s="46" t="s">
        <v>88</v>
      </c>
      <c r="L499" s="46" t="s">
        <v>2488</v>
      </c>
      <c r="M499" s="389"/>
      <c r="N499" s="46" t="s">
        <v>1612</v>
      </c>
      <c r="O499" s="46" t="s">
        <v>2214</v>
      </c>
      <c r="P499" s="389"/>
      <c r="Q499" s="389"/>
      <c r="R499" s="389"/>
      <c r="S499" s="45"/>
      <c r="T499" s="46" t="s">
        <v>2183</v>
      </c>
      <c r="U499" s="44">
        <v>16.0</v>
      </c>
      <c r="V499" s="44">
        <v>13.0</v>
      </c>
      <c r="W499" s="389"/>
      <c r="X499" s="44">
        <v>5.0</v>
      </c>
      <c r="Y499" s="44">
        <v>1.845</v>
      </c>
      <c r="Z499" s="44">
        <v>0.22875</v>
      </c>
      <c r="AA499" s="44">
        <v>0.731875</v>
      </c>
      <c r="AB499" s="44">
        <v>0.739375</v>
      </c>
      <c r="AC499" s="44">
        <v>0.1575</v>
      </c>
      <c r="AD499" s="44">
        <v>0.040625</v>
      </c>
      <c r="AE499" s="44">
        <v>0.394444</v>
      </c>
      <c r="AF499" s="44">
        <v>1.575</v>
      </c>
      <c r="AG499" s="44">
        <v>0.799465</v>
      </c>
      <c r="AH499" s="44">
        <v>0.4675</v>
      </c>
      <c r="AI499" s="44">
        <v>0.305625</v>
      </c>
      <c r="AJ499" s="44">
        <v>18.11012</v>
      </c>
      <c r="AK499" s="44">
        <v>-2.67814</v>
      </c>
      <c r="AL499" s="44">
        <v>-1.4638</v>
      </c>
      <c r="AM499" s="44">
        <v>-2.20582</v>
      </c>
      <c r="AN499" s="44">
        <v>-1.44733</v>
      </c>
      <c r="AO499" s="44">
        <v>-2.5351</v>
      </c>
      <c r="AP499" s="44">
        <v>-1.27674</v>
      </c>
      <c r="AQ499" s="44">
        <v>-0.2135</v>
      </c>
      <c r="AR499" s="44">
        <v>-0.00494</v>
      </c>
      <c r="AS499" s="44">
        <v>2.005739</v>
      </c>
    </row>
    <row r="500">
      <c r="A500" s="44">
        <v>499.0</v>
      </c>
      <c r="B500" s="389"/>
      <c r="C500" s="45"/>
      <c r="D500" s="45"/>
      <c r="E500" s="44">
        <v>-1.09697</v>
      </c>
      <c r="F500" s="44">
        <v>0.001736</v>
      </c>
      <c r="G500" s="44">
        <v>0.871688</v>
      </c>
      <c r="H500" s="389"/>
      <c r="I500" s="46" t="s">
        <v>2489</v>
      </c>
      <c r="J500" s="46" t="s">
        <v>428</v>
      </c>
      <c r="K500" s="46" t="s">
        <v>85</v>
      </c>
      <c r="L500" s="46" t="s">
        <v>2490</v>
      </c>
      <c r="M500" s="389"/>
      <c r="N500" s="46" t="s">
        <v>1612</v>
      </c>
      <c r="O500" s="46" t="s">
        <v>2214</v>
      </c>
      <c r="P500" s="389"/>
      <c r="Q500" s="45"/>
      <c r="R500" s="46">
        <v>3.0</v>
      </c>
      <c r="S500" s="45"/>
      <c r="T500" s="46" t="s">
        <v>2183</v>
      </c>
      <c r="U500" s="44">
        <v>16.0</v>
      </c>
      <c r="V500" s="44">
        <v>14.0</v>
      </c>
      <c r="W500" s="389"/>
      <c r="X500" s="44">
        <v>5.0</v>
      </c>
      <c r="Y500" s="44">
        <v>1.683125</v>
      </c>
      <c r="Z500" s="44">
        <v>0.281875</v>
      </c>
      <c r="AA500" s="44">
        <v>0.513125</v>
      </c>
      <c r="AB500" s="44">
        <v>0.611875</v>
      </c>
      <c r="AC500" s="44">
        <v>0.163125</v>
      </c>
      <c r="AD500" s="44">
        <v>0.07125</v>
      </c>
      <c r="AE500" s="44">
        <v>0.385217</v>
      </c>
      <c r="AF500" s="44">
        <v>1.598125</v>
      </c>
      <c r="AG500" s="44">
        <v>0.749311</v>
      </c>
      <c r="AH500" s="44">
        <v>0.226875</v>
      </c>
      <c r="AI500" s="44">
        <v>0.25125</v>
      </c>
      <c r="AJ500" s="44">
        <v>16.68172</v>
      </c>
      <c r="AK500" s="44">
        <v>-2.70666</v>
      </c>
      <c r="AL500" s="44">
        <v>-1.41299</v>
      </c>
      <c r="AM500" s="44">
        <v>-2.29559</v>
      </c>
      <c r="AN500" s="44">
        <v>-1.50885</v>
      </c>
      <c r="AO500" s="44">
        <v>-2.51839</v>
      </c>
      <c r="AP500" s="44">
        <v>-1.22149</v>
      </c>
      <c r="AQ500" s="44">
        <v>-0.23853</v>
      </c>
      <c r="AR500" s="44">
        <v>-0.04467</v>
      </c>
      <c r="AS500" s="44">
        <v>2.074423</v>
      </c>
    </row>
    <row r="501">
      <c r="A501" s="44">
        <v>500.0</v>
      </c>
      <c r="B501" s="389"/>
      <c r="C501" s="45"/>
      <c r="D501" s="45"/>
      <c r="E501" s="44">
        <v>-1.09829</v>
      </c>
      <c r="F501" s="44">
        <v>0.003078</v>
      </c>
      <c r="G501" s="44">
        <v>1.150464</v>
      </c>
      <c r="H501" s="389"/>
      <c r="I501" s="46" t="s">
        <v>2491</v>
      </c>
      <c r="J501" s="46" t="s">
        <v>449</v>
      </c>
      <c r="K501" s="46" t="s">
        <v>92</v>
      </c>
      <c r="L501" s="46" t="s">
        <v>2492</v>
      </c>
      <c r="M501" s="389"/>
      <c r="N501" s="46" t="s">
        <v>1562</v>
      </c>
      <c r="O501" s="46" t="s">
        <v>2139</v>
      </c>
      <c r="P501" s="389"/>
      <c r="Q501" s="389"/>
      <c r="R501" s="46">
        <v>4.0</v>
      </c>
      <c r="S501" s="45"/>
      <c r="T501" s="46" t="s">
        <v>2183</v>
      </c>
      <c r="U501" s="44">
        <v>16.0</v>
      </c>
      <c r="V501" s="44">
        <v>13.0</v>
      </c>
      <c r="W501" s="389"/>
      <c r="X501" s="44">
        <v>4.0</v>
      </c>
      <c r="Y501" s="44">
        <v>1.618125</v>
      </c>
      <c r="Z501" s="44">
        <v>0.044375</v>
      </c>
      <c r="AA501" s="44">
        <v>1.05</v>
      </c>
      <c r="AB501" s="44">
        <v>0.230625</v>
      </c>
      <c r="AC501" s="44">
        <v>0.14</v>
      </c>
      <c r="AD501" s="44">
        <v>0.050625</v>
      </c>
      <c r="AE501" s="44">
        <v>0.484163</v>
      </c>
      <c r="AF501" s="44">
        <v>1.38125</v>
      </c>
      <c r="AG501" s="44">
        <v>0.741176</v>
      </c>
      <c r="AH501" s="44">
        <v>0.31875</v>
      </c>
      <c r="AI501" s="44">
        <v>0.18625</v>
      </c>
      <c r="AJ501" s="44">
        <v>17.6285</v>
      </c>
      <c r="AK501" s="44">
        <v>-2.71812</v>
      </c>
      <c r="AL501" s="44">
        <v>-1.64015</v>
      </c>
      <c r="AM501" s="44">
        <v>-2.07528</v>
      </c>
      <c r="AN501" s="44">
        <v>-1.69278</v>
      </c>
      <c r="AO501" s="44">
        <v>-2.58707</v>
      </c>
      <c r="AP501" s="44">
        <v>-1.2587</v>
      </c>
      <c r="AQ501" s="44">
        <v>-0.00329</v>
      </c>
      <c r="AR501" s="44">
        <v>-0.06573</v>
      </c>
      <c r="AS501" s="44">
        <v>2.156529</v>
      </c>
    </row>
    <row r="502">
      <c r="A502" s="44">
        <v>501.0</v>
      </c>
      <c r="B502" s="389"/>
      <c r="C502" s="45"/>
      <c r="D502" s="45"/>
      <c r="E502" s="44">
        <v>-1.10173</v>
      </c>
      <c r="F502" s="44">
        <v>0.002606</v>
      </c>
      <c r="G502" s="44">
        <v>0.871688</v>
      </c>
      <c r="H502" s="389"/>
      <c r="I502" s="46" t="s">
        <v>2493</v>
      </c>
      <c r="J502" s="46" t="s">
        <v>332</v>
      </c>
      <c r="K502" s="46" t="s">
        <v>92</v>
      </c>
      <c r="L502" s="389"/>
      <c r="M502" s="389"/>
      <c r="N502" s="46" t="s">
        <v>1612</v>
      </c>
      <c r="O502" s="46" t="s">
        <v>2139</v>
      </c>
      <c r="P502" s="389"/>
      <c r="Q502" s="389"/>
      <c r="R502" s="46">
        <v>4.0</v>
      </c>
      <c r="S502" s="45"/>
      <c r="T502" s="46" t="s">
        <v>2183</v>
      </c>
      <c r="U502" s="44">
        <v>9.0</v>
      </c>
      <c r="V502" s="44">
        <v>15.0</v>
      </c>
      <c r="W502" s="389"/>
      <c r="X502" s="44">
        <v>4.0</v>
      </c>
      <c r="Y502" s="44">
        <v>0.89</v>
      </c>
      <c r="Z502" s="44">
        <v>0.072222</v>
      </c>
      <c r="AA502" s="44">
        <v>1.217778</v>
      </c>
      <c r="AB502" s="44">
        <v>0.232222</v>
      </c>
      <c r="AC502" s="44">
        <v>0.147778</v>
      </c>
      <c r="AD502" s="44">
        <v>0.18</v>
      </c>
      <c r="AE502" s="44">
        <v>0.418635</v>
      </c>
      <c r="AF502" s="44">
        <v>0.846667</v>
      </c>
      <c r="AG502" s="44">
        <v>0.563218</v>
      </c>
      <c r="AH502" s="44">
        <v>0.193333</v>
      </c>
      <c r="AI502" s="44">
        <v>0.257778</v>
      </c>
      <c r="AJ502" s="44">
        <v>12.38279</v>
      </c>
      <c r="AK502" s="44">
        <v>-2.84643</v>
      </c>
      <c r="AL502" s="44">
        <v>-1.61352</v>
      </c>
      <c r="AM502" s="44">
        <v>-2.00643</v>
      </c>
      <c r="AN502" s="44">
        <v>-1.69201</v>
      </c>
      <c r="AO502" s="44">
        <v>-2.56397</v>
      </c>
      <c r="AP502" s="44">
        <v>-1.02532</v>
      </c>
      <c r="AQ502" s="44">
        <v>-0.08123</v>
      </c>
      <c r="AR502" s="44">
        <v>-0.15284</v>
      </c>
      <c r="AS502" s="44">
        <v>2.066178</v>
      </c>
    </row>
    <row r="503">
      <c r="A503" s="44">
        <v>502.0</v>
      </c>
      <c r="B503" s="389"/>
      <c r="C503" s="45"/>
      <c r="D503" s="45"/>
      <c r="E503" s="44">
        <v>-1.10178</v>
      </c>
      <c r="F503" s="44">
        <v>0.002379</v>
      </c>
      <c r="G503" s="44">
        <v>0.815933</v>
      </c>
      <c r="H503" s="389"/>
      <c r="I503" s="46" t="s">
        <v>2494</v>
      </c>
      <c r="J503" s="46" t="s">
        <v>1560</v>
      </c>
      <c r="K503" s="46" t="s">
        <v>90</v>
      </c>
      <c r="L503" s="389"/>
      <c r="M503" s="389"/>
      <c r="N503" s="46" t="s">
        <v>1570</v>
      </c>
      <c r="O503" s="46" t="s">
        <v>2139</v>
      </c>
      <c r="P503" s="389"/>
      <c r="Q503" s="389"/>
      <c r="R503" s="46">
        <v>3.0</v>
      </c>
      <c r="S503" s="45"/>
      <c r="T503" s="46" t="s">
        <v>2183</v>
      </c>
      <c r="U503" s="44">
        <v>16.0</v>
      </c>
      <c r="V503" s="44">
        <v>14.0</v>
      </c>
      <c r="W503" s="389"/>
      <c r="X503" s="44">
        <v>4.0</v>
      </c>
      <c r="Y503" s="44">
        <v>1.19625</v>
      </c>
      <c r="Z503" s="44">
        <v>0.15375</v>
      </c>
      <c r="AA503" s="44">
        <v>0.99625</v>
      </c>
      <c r="AB503" s="44">
        <v>0.17</v>
      </c>
      <c r="AC503" s="44">
        <v>0.12625</v>
      </c>
      <c r="AD503" s="44">
        <v>0.084375</v>
      </c>
      <c r="AE503" s="44">
        <v>0.446474</v>
      </c>
      <c r="AF503" s="44">
        <v>0.9925</v>
      </c>
      <c r="AG503" s="44">
        <v>0.793651</v>
      </c>
      <c r="AH503" s="44">
        <v>0.196875</v>
      </c>
      <c r="AI503" s="44">
        <v>0.210625</v>
      </c>
      <c r="AJ503" s="44">
        <v>13.69052</v>
      </c>
      <c r="AK503" s="44">
        <v>-2.79246</v>
      </c>
      <c r="AL503" s="44">
        <v>-1.53554</v>
      </c>
      <c r="AM503" s="44">
        <v>-2.09734</v>
      </c>
      <c r="AN503" s="44">
        <v>-1.72203</v>
      </c>
      <c r="AO503" s="44">
        <v>-2.62791</v>
      </c>
      <c r="AP503" s="44">
        <v>-1.19782</v>
      </c>
      <c r="AQ503" s="44">
        <v>-0.05563</v>
      </c>
      <c r="AR503" s="44">
        <v>-0.01306</v>
      </c>
      <c r="AS503" s="44">
        <v>2.125739</v>
      </c>
    </row>
    <row r="504">
      <c r="A504" s="44">
        <v>503.0</v>
      </c>
      <c r="B504" s="389"/>
      <c r="C504" s="45"/>
      <c r="D504" s="45"/>
      <c r="E504" s="44">
        <v>-1.10433</v>
      </c>
      <c r="F504" s="44">
        <v>0.002198</v>
      </c>
      <c r="G504" s="44">
        <v>1.568629</v>
      </c>
      <c r="H504" s="389"/>
      <c r="I504" s="46" t="s">
        <v>2495</v>
      </c>
      <c r="J504" s="46" t="s">
        <v>375</v>
      </c>
      <c r="K504" s="46" t="s">
        <v>90</v>
      </c>
      <c r="L504" s="389"/>
      <c r="M504" s="389"/>
      <c r="N504" s="46" t="s">
        <v>1562</v>
      </c>
      <c r="O504" s="46" t="s">
        <v>2244</v>
      </c>
      <c r="P504" s="389"/>
      <c r="Q504" s="389"/>
      <c r="R504" s="46">
        <v>2.0</v>
      </c>
      <c r="S504" s="45"/>
      <c r="T504" s="46" t="s">
        <v>2183</v>
      </c>
      <c r="U504" s="44">
        <v>16.0</v>
      </c>
      <c r="V504" s="44">
        <v>15.0</v>
      </c>
      <c r="W504" s="389"/>
      <c r="X504" s="44">
        <v>5.0</v>
      </c>
      <c r="Y504" s="44">
        <v>1.6725</v>
      </c>
      <c r="Z504" s="44">
        <v>0.186875</v>
      </c>
      <c r="AA504" s="44">
        <v>1.1025</v>
      </c>
      <c r="AB504" s="44">
        <v>0.408125</v>
      </c>
      <c r="AC504" s="44">
        <v>0.153125</v>
      </c>
      <c r="AD504" s="44">
        <v>0.06125</v>
      </c>
      <c r="AE504" s="44">
        <v>0.407867</v>
      </c>
      <c r="AF504" s="44">
        <v>1.461875</v>
      </c>
      <c r="AG504" s="44">
        <v>0.743265</v>
      </c>
      <c r="AH504" s="44">
        <v>0.394375</v>
      </c>
      <c r="AI504" s="44">
        <v>0.336875</v>
      </c>
      <c r="AJ504" s="44">
        <v>17.46141</v>
      </c>
      <c r="AK504" s="44">
        <v>-2.70854</v>
      </c>
      <c r="AL504" s="44">
        <v>-1.50386</v>
      </c>
      <c r="AM504" s="44">
        <v>-2.05373</v>
      </c>
      <c r="AN504" s="44">
        <v>-1.60715</v>
      </c>
      <c r="AO504" s="44">
        <v>-2.54809</v>
      </c>
      <c r="AP504" s="44">
        <v>-1.23953</v>
      </c>
      <c r="AQ504" s="44">
        <v>-0.16867</v>
      </c>
      <c r="AR504" s="44">
        <v>-0.07571</v>
      </c>
      <c r="AS504" s="44">
        <v>1.966266</v>
      </c>
    </row>
    <row r="505">
      <c r="A505" s="44">
        <v>504.0</v>
      </c>
      <c r="B505" s="389"/>
      <c r="C505" s="45"/>
      <c r="D505" s="45"/>
      <c r="E505" s="44">
        <v>-1.10661</v>
      </c>
      <c r="F505" s="44">
        <v>0.002273</v>
      </c>
      <c r="G505" s="44">
        <v>0.946028</v>
      </c>
      <c r="H505" s="389"/>
      <c r="I505" s="46" t="s">
        <v>2496</v>
      </c>
      <c r="J505" s="46" t="s">
        <v>386</v>
      </c>
      <c r="K505" s="46" t="s">
        <v>90</v>
      </c>
      <c r="L505" s="46" t="s">
        <v>2497</v>
      </c>
      <c r="M505" s="389"/>
      <c r="N505" s="46" t="s">
        <v>1562</v>
      </c>
      <c r="O505" s="46" t="s">
        <v>2318</v>
      </c>
      <c r="P505" s="389"/>
      <c r="Q505" s="45"/>
      <c r="R505" s="46">
        <v>2.0</v>
      </c>
      <c r="S505" s="45"/>
      <c r="T505" s="46" t="s">
        <v>2183</v>
      </c>
      <c r="U505" s="44">
        <v>16.0</v>
      </c>
      <c r="V505" s="44">
        <v>14.0</v>
      </c>
      <c r="W505" s="389"/>
      <c r="X505" s="44">
        <v>4.0</v>
      </c>
      <c r="Y505" s="44">
        <v>1.306875</v>
      </c>
      <c r="Z505" s="44">
        <v>0.136875</v>
      </c>
      <c r="AA505" s="44">
        <v>0.675625</v>
      </c>
      <c r="AB505" s="44">
        <v>0.201875</v>
      </c>
      <c r="AC505" s="44">
        <v>0.16375</v>
      </c>
      <c r="AD505" s="44">
        <v>0.12625</v>
      </c>
      <c r="AE505" s="44">
        <v>0.411246</v>
      </c>
      <c r="AF505" s="44">
        <v>1.13375</v>
      </c>
      <c r="AG505" s="44">
        <v>0.697248</v>
      </c>
      <c r="AH505" s="44">
        <v>0.340625</v>
      </c>
      <c r="AI505" s="44">
        <v>0.168125</v>
      </c>
      <c r="AJ505" s="44">
        <v>14.84779</v>
      </c>
      <c r="AK505" s="44">
        <v>-2.77297</v>
      </c>
      <c r="AL505" s="44">
        <v>-1.55168</v>
      </c>
      <c r="AM505" s="44">
        <v>-2.22891</v>
      </c>
      <c r="AN505" s="44">
        <v>-1.70665</v>
      </c>
      <c r="AO505" s="44">
        <v>-2.51653</v>
      </c>
      <c r="AP505" s="44">
        <v>-1.12228</v>
      </c>
      <c r="AQ505" s="44">
        <v>-0.12356</v>
      </c>
      <c r="AR505" s="44">
        <v>-0.11631</v>
      </c>
      <c r="AS505" s="44">
        <v>2.179423</v>
      </c>
    </row>
    <row r="506">
      <c r="A506" s="44">
        <v>505.0</v>
      </c>
      <c r="B506" s="389"/>
      <c r="C506" s="45"/>
      <c r="D506" s="45"/>
      <c r="E506" s="44">
        <v>-1.10689</v>
      </c>
      <c r="F506" s="44">
        <v>0.002248</v>
      </c>
      <c r="G506" s="44">
        <v>1.568629</v>
      </c>
      <c r="H506" s="389"/>
      <c r="I506" s="46" t="s">
        <v>2498</v>
      </c>
      <c r="J506" s="46" t="s">
        <v>299</v>
      </c>
      <c r="K506" s="46" t="s">
        <v>92</v>
      </c>
      <c r="L506" s="46" t="s">
        <v>2499</v>
      </c>
      <c r="M506" s="389"/>
      <c r="N506" s="46" t="s">
        <v>1562</v>
      </c>
      <c r="O506" s="46" t="s">
        <v>2139</v>
      </c>
      <c r="P506" s="389"/>
      <c r="Q506" s="389"/>
      <c r="R506" s="46">
        <v>2.0</v>
      </c>
      <c r="S506" s="45"/>
      <c r="T506" s="46" t="s">
        <v>2183</v>
      </c>
      <c r="U506" s="44">
        <v>16.0</v>
      </c>
      <c r="V506" s="44">
        <v>13.0</v>
      </c>
      <c r="W506" s="389"/>
      <c r="X506" s="44">
        <v>5.0</v>
      </c>
      <c r="Y506" s="44">
        <v>1.5175</v>
      </c>
      <c r="Z506" s="44">
        <v>0.203125</v>
      </c>
      <c r="AA506" s="44">
        <v>0.920625</v>
      </c>
      <c r="AB506" s="44">
        <v>0.184375</v>
      </c>
      <c r="AC506" s="44">
        <v>0.151875</v>
      </c>
      <c r="AD506" s="44">
        <v>0.13</v>
      </c>
      <c r="AE506" s="44">
        <v>0.409783</v>
      </c>
      <c r="AF506" s="44">
        <v>1.354375</v>
      </c>
      <c r="AG506" s="44">
        <v>0.580817</v>
      </c>
      <c r="AH506" s="44">
        <v>0.351875</v>
      </c>
      <c r="AI506" s="44">
        <v>0.173125</v>
      </c>
      <c r="AJ506" s="44">
        <v>13.94138</v>
      </c>
      <c r="AK506" s="44">
        <v>-2.73585</v>
      </c>
      <c r="AL506" s="44">
        <v>-1.48831</v>
      </c>
      <c r="AM506" s="44">
        <v>-2.12837</v>
      </c>
      <c r="AN506" s="44">
        <v>-1.71509</v>
      </c>
      <c r="AO506" s="44">
        <v>-2.5518</v>
      </c>
      <c r="AP506" s="44">
        <v>-1.11552</v>
      </c>
      <c r="AQ506" s="44">
        <v>-0.15191</v>
      </c>
      <c r="AR506" s="44">
        <v>-0.24828</v>
      </c>
      <c r="AS506" s="44">
        <v>2.173108</v>
      </c>
    </row>
    <row r="507">
      <c r="A507" s="44">
        <v>506.0</v>
      </c>
      <c r="B507" s="389"/>
      <c r="C507" s="45"/>
      <c r="D507" s="45"/>
      <c r="E507" s="44">
        <v>-1.10785</v>
      </c>
      <c r="F507" s="44">
        <v>0.001861</v>
      </c>
      <c r="G507" s="44">
        <v>-0.65229</v>
      </c>
      <c r="H507" s="389"/>
      <c r="I507" s="46" t="s">
        <v>2500</v>
      </c>
      <c r="J507" s="46" t="s">
        <v>365</v>
      </c>
      <c r="K507" s="46" t="s">
        <v>90</v>
      </c>
      <c r="L507" s="46" t="s">
        <v>2501</v>
      </c>
      <c r="M507" s="389"/>
      <c r="N507" s="46" t="s">
        <v>1570</v>
      </c>
      <c r="O507" s="46" t="s">
        <v>1776</v>
      </c>
      <c r="P507" s="389"/>
      <c r="Q507" s="389"/>
      <c r="R507" s="46">
        <v>5.0</v>
      </c>
      <c r="S507" s="45"/>
      <c r="T507" s="46" t="s">
        <v>2183</v>
      </c>
      <c r="U507" s="44">
        <v>16.0</v>
      </c>
      <c r="V507" s="44">
        <v>13.0</v>
      </c>
      <c r="W507" s="389"/>
      <c r="X507" s="44">
        <v>6.0</v>
      </c>
      <c r="Y507" s="44">
        <v>1.396875</v>
      </c>
      <c r="Z507" s="44">
        <v>0.338125</v>
      </c>
      <c r="AA507" s="44">
        <v>0.544375</v>
      </c>
      <c r="AB507" s="44">
        <v>1.026875</v>
      </c>
      <c r="AC507" s="44">
        <v>0.12375</v>
      </c>
      <c r="AD507" s="44">
        <v>0.025625</v>
      </c>
      <c r="AE507" s="44">
        <v>0.407</v>
      </c>
      <c r="AF507" s="44">
        <v>1.25</v>
      </c>
      <c r="AG507" s="44">
        <v>0.825</v>
      </c>
      <c r="AH507" s="44">
        <v>0.05</v>
      </c>
      <c r="AI507" s="44">
        <v>0.445625</v>
      </c>
      <c r="AJ507" s="44">
        <v>12.42472</v>
      </c>
      <c r="AK507" s="44">
        <v>-2.75711</v>
      </c>
      <c r="AL507" s="44">
        <v>-1.35919</v>
      </c>
      <c r="AM507" s="44">
        <v>-2.28277</v>
      </c>
      <c r="AN507" s="44">
        <v>-1.30863</v>
      </c>
      <c r="AO507" s="44">
        <v>-2.63534</v>
      </c>
      <c r="AP507" s="44">
        <v>-1.30379</v>
      </c>
      <c r="AQ507" s="44">
        <v>-0.1448</v>
      </c>
      <c r="AR507" s="44">
        <v>-0.00792</v>
      </c>
      <c r="AS507" s="44">
        <v>1.828897</v>
      </c>
    </row>
    <row r="508">
      <c r="A508" s="44">
        <v>507.0</v>
      </c>
      <c r="B508" s="389"/>
      <c r="C508" s="45"/>
      <c r="D508" s="45"/>
      <c r="E508" s="44">
        <v>-1.11442</v>
      </c>
      <c r="F508" s="44">
        <v>0.002547</v>
      </c>
      <c r="G508" s="44">
        <v>0.574326</v>
      </c>
      <c r="H508" s="389"/>
      <c r="I508" s="46" t="s">
        <v>2502</v>
      </c>
      <c r="J508" s="46" t="s">
        <v>449</v>
      </c>
      <c r="K508" s="46" t="s">
        <v>85</v>
      </c>
      <c r="L508" s="46" t="s">
        <v>2503</v>
      </c>
      <c r="M508" s="389"/>
      <c r="N508" s="46" t="s">
        <v>1562</v>
      </c>
      <c r="O508" s="46" t="s">
        <v>2318</v>
      </c>
      <c r="P508" s="389"/>
      <c r="Q508" s="389"/>
      <c r="R508" s="46">
        <v>3.0</v>
      </c>
      <c r="S508" s="45"/>
      <c r="T508" s="46" t="s">
        <v>2183</v>
      </c>
      <c r="U508" s="44">
        <v>16.0</v>
      </c>
      <c r="V508" s="44">
        <v>13.0</v>
      </c>
      <c r="W508" s="389"/>
      <c r="X508" s="44">
        <v>4.0</v>
      </c>
      <c r="Y508" s="44">
        <v>1.348125</v>
      </c>
      <c r="Z508" s="44">
        <v>0.285</v>
      </c>
      <c r="AA508" s="44">
        <v>0.49</v>
      </c>
      <c r="AB508" s="44">
        <v>0.83125</v>
      </c>
      <c r="AC508" s="44">
        <v>0.118125</v>
      </c>
      <c r="AD508" s="44">
        <v>0.030625</v>
      </c>
      <c r="AE508" s="44">
        <v>0.331557</v>
      </c>
      <c r="AF508" s="44">
        <v>1.1725</v>
      </c>
      <c r="AG508" s="44">
        <v>0.811723</v>
      </c>
      <c r="AH508" s="44">
        <v>0.351875</v>
      </c>
      <c r="AI508" s="44">
        <v>0.2625</v>
      </c>
      <c r="AJ508" s="44">
        <v>16.4112</v>
      </c>
      <c r="AK508" s="44">
        <v>-2.7657</v>
      </c>
      <c r="AL508" s="44">
        <v>-1.41</v>
      </c>
      <c r="AM508" s="44">
        <v>-2.30508</v>
      </c>
      <c r="AN508" s="44">
        <v>-1.40301</v>
      </c>
      <c r="AO508" s="44">
        <v>-2.65204</v>
      </c>
      <c r="AP508" s="44">
        <v>-1.29477</v>
      </c>
      <c r="AQ508" s="44">
        <v>-0.26606</v>
      </c>
      <c r="AR508" s="44">
        <v>0.006658</v>
      </c>
      <c r="AS508" s="44">
        <v>2.060213</v>
      </c>
    </row>
    <row r="509">
      <c r="A509" s="44">
        <v>508.0</v>
      </c>
      <c r="B509" s="389"/>
      <c r="C509" s="45"/>
      <c r="D509" s="45"/>
      <c r="E509" s="44">
        <v>-1.11625</v>
      </c>
      <c r="F509" s="44">
        <v>0.003465</v>
      </c>
      <c r="G509" s="44">
        <v>1.568629</v>
      </c>
      <c r="H509" s="389"/>
      <c r="I509" s="46" t="s">
        <v>2504</v>
      </c>
      <c r="J509" s="46" t="s">
        <v>449</v>
      </c>
      <c r="K509" s="46" t="s">
        <v>92</v>
      </c>
      <c r="L509" s="46" t="s">
        <v>2505</v>
      </c>
      <c r="M509" s="389"/>
      <c r="N509" s="46" t="s">
        <v>1562</v>
      </c>
      <c r="O509" s="46" t="s">
        <v>2139</v>
      </c>
      <c r="P509" s="389"/>
      <c r="Q509" s="45"/>
      <c r="R509" s="46">
        <v>3.0</v>
      </c>
      <c r="S509" s="45"/>
      <c r="T509" s="46" t="s">
        <v>2183</v>
      </c>
      <c r="U509" s="44">
        <v>16.0</v>
      </c>
      <c r="V509" s="44">
        <v>13.0</v>
      </c>
      <c r="W509" s="389"/>
      <c r="X509" s="44">
        <v>4.0</v>
      </c>
      <c r="Y509" s="44">
        <v>1.520625</v>
      </c>
      <c r="Z509" s="44">
        <v>0.04375</v>
      </c>
      <c r="AA509" s="44">
        <v>0.8925</v>
      </c>
      <c r="AB509" s="44">
        <v>0.2625</v>
      </c>
      <c r="AC509" s="44">
        <v>0.105</v>
      </c>
      <c r="AD509" s="44">
        <v>0.14875</v>
      </c>
      <c r="AE509" s="44">
        <v>0.504473</v>
      </c>
      <c r="AF509" s="44">
        <v>1.2575</v>
      </c>
      <c r="AG509" s="44">
        <v>0.635496</v>
      </c>
      <c r="AH509" s="44">
        <v>0.3275</v>
      </c>
      <c r="AI509" s="44">
        <v>0.2625</v>
      </c>
      <c r="AJ509" s="44">
        <v>17.17792</v>
      </c>
      <c r="AK509" s="44">
        <v>-2.7353</v>
      </c>
      <c r="AL509" s="44">
        <v>-1.64075</v>
      </c>
      <c r="AM509" s="44">
        <v>-2.13991</v>
      </c>
      <c r="AN509" s="44">
        <v>-1.6774</v>
      </c>
      <c r="AO509" s="44">
        <v>-2.69103</v>
      </c>
      <c r="AP509" s="44">
        <v>-1.08169</v>
      </c>
      <c r="AQ509" s="44">
        <v>0.035373</v>
      </c>
      <c r="AR509" s="44">
        <v>-0.17578</v>
      </c>
      <c r="AS509" s="44">
        <v>2.060213</v>
      </c>
    </row>
    <row r="510">
      <c r="A510" s="44">
        <v>509.0</v>
      </c>
      <c r="B510" s="389"/>
      <c r="C510" s="45"/>
      <c r="D510" s="45"/>
      <c r="E510" s="44">
        <v>-1.1164</v>
      </c>
      <c r="F510" s="44">
        <v>0.001893</v>
      </c>
      <c r="G510" s="44">
        <v>1.568629</v>
      </c>
      <c r="H510" s="389"/>
      <c r="I510" s="46" t="s">
        <v>2506</v>
      </c>
      <c r="J510" s="46" t="s">
        <v>308</v>
      </c>
      <c r="K510" s="46" t="s">
        <v>1568</v>
      </c>
      <c r="L510" s="46" t="s">
        <v>2507</v>
      </c>
      <c r="M510" s="389"/>
      <c r="N510" s="46" t="s">
        <v>1562</v>
      </c>
      <c r="O510" s="46" t="s">
        <v>2244</v>
      </c>
      <c r="P510" s="389"/>
      <c r="Q510" s="389"/>
      <c r="R510" s="46">
        <v>2.0</v>
      </c>
      <c r="S510" s="45"/>
      <c r="T510" s="46" t="s">
        <v>2183</v>
      </c>
      <c r="U510" s="44">
        <v>16.0</v>
      </c>
      <c r="V510" s="44">
        <v>15.0</v>
      </c>
      <c r="W510" s="389"/>
      <c r="X510" s="44">
        <v>6.0</v>
      </c>
      <c r="Y510" s="44">
        <v>2.373125</v>
      </c>
      <c r="Z510" s="44">
        <v>0.295</v>
      </c>
      <c r="AA510" s="44">
        <v>0.630625</v>
      </c>
      <c r="AB510" s="44">
        <v>0.485</v>
      </c>
      <c r="AC510" s="44">
        <v>0.1575</v>
      </c>
      <c r="AD510" s="44">
        <v>0.060625</v>
      </c>
      <c r="AE510" s="44">
        <v>0.393948</v>
      </c>
      <c r="AF510" s="44">
        <v>2.08625</v>
      </c>
      <c r="AG510" s="44">
        <v>0.771365</v>
      </c>
      <c r="AH510" s="44">
        <v>0.563125</v>
      </c>
      <c r="AI510" s="44">
        <v>0.4125</v>
      </c>
      <c r="AJ510" s="44">
        <v>20.45018</v>
      </c>
      <c r="AK510" s="44">
        <v>-2.58507</v>
      </c>
      <c r="AL510" s="44">
        <v>-1.40044</v>
      </c>
      <c r="AM510" s="44">
        <v>-2.24737</v>
      </c>
      <c r="AN510" s="44">
        <v>-1.57006</v>
      </c>
      <c r="AO510" s="44">
        <v>-2.5351</v>
      </c>
      <c r="AP510" s="44">
        <v>-1.24066</v>
      </c>
      <c r="AQ510" s="44">
        <v>-0.28664</v>
      </c>
      <c r="AR510" s="44">
        <v>-0.05299</v>
      </c>
      <c r="AS510" s="44">
        <v>1.870739</v>
      </c>
    </row>
    <row r="511">
      <c r="A511" s="44">
        <v>510.0</v>
      </c>
      <c r="B511" s="389"/>
      <c r="C511" s="45"/>
      <c r="D511" s="45"/>
      <c r="E511" s="44">
        <v>-1.1231</v>
      </c>
      <c r="F511" s="44">
        <v>0.002836</v>
      </c>
      <c r="G511" s="44">
        <v>1.141172</v>
      </c>
      <c r="H511" s="389"/>
      <c r="I511" s="46" t="s">
        <v>2508</v>
      </c>
      <c r="J511" s="46" t="s">
        <v>428</v>
      </c>
      <c r="K511" s="46" t="s">
        <v>92</v>
      </c>
      <c r="L511" s="46" t="s">
        <v>2509</v>
      </c>
      <c r="M511" s="389"/>
      <c r="N511" s="46" t="s">
        <v>1562</v>
      </c>
      <c r="O511" s="46" t="s">
        <v>2139</v>
      </c>
      <c r="P511" s="389"/>
      <c r="Q511" s="389"/>
      <c r="R511" s="46">
        <v>1.0</v>
      </c>
      <c r="S511" s="45"/>
      <c r="T511" s="46" t="s">
        <v>2183</v>
      </c>
      <c r="U511" s="44">
        <v>16.0</v>
      </c>
      <c r="V511" s="44">
        <v>14.0</v>
      </c>
      <c r="W511" s="389"/>
      <c r="X511" s="44">
        <v>8.0</v>
      </c>
      <c r="Y511" s="44">
        <v>2.719375</v>
      </c>
      <c r="Z511" s="44">
        <v>0.0025</v>
      </c>
      <c r="AA511" s="44">
        <v>2.188125</v>
      </c>
      <c r="AB511" s="44">
        <v>0.375625</v>
      </c>
      <c r="AC511" s="44">
        <v>0.179375</v>
      </c>
      <c r="AD511" s="44">
        <v>0.114375</v>
      </c>
      <c r="AE511" s="44">
        <v>0.440752</v>
      </c>
      <c r="AF511" s="44">
        <v>2.42625</v>
      </c>
      <c r="AG511" s="44">
        <v>0.644599</v>
      </c>
      <c r="AH511" s="44">
        <v>0.896875</v>
      </c>
      <c r="AI511" s="44">
        <v>0.673125</v>
      </c>
      <c r="AJ511" s="44">
        <v>18.68906</v>
      </c>
      <c r="AK511" s="44">
        <v>-2.52405</v>
      </c>
      <c r="AL511" s="44">
        <v>-1.6802</v>
      </c>
      <c r="AM511" s="44">
        <v>-1.60824</v>
      </c>
      <c r="AN511" s="44">
        <v>-1.62283</v>
      </c>
      <c r="AO511" s="44">
        <v>-2.47013</v>
      </c>
      <c r="AP511" s="44">
        <v>-1.1437</v>
      </c>
      <c r="AQ511" s="44">
        <v>-0.16674</v>
      </c>
      <c r="AR511" s="44">
        <v>-0.43357</v>
      </c>
      <c r="AS511" s="44">
        <v>1.541529</v>
      </c>
    </row>
    <row r="512">
      <c r="A512" s="44">
        <v>511.0</v>
      </c>
      <c r="B512" s="389"/>
      <c r="C512" s="45"/>
      <c r="D512" s="45"/>
      <c r="E512" s="44">
        <v>-1.13036</v>
      </c>
      <c r="F512" s="44">
        <v>0.002683</v>
      </c>
      <c r="G512" s="44">
        <v>1.568629</v>
      </c>
      <c r="H512" s="389"/>
      <c r="I512" s="46" t="s">
        <v>2510</v>
      </c>
      <c r="J512" s="46" t="s">
        <v>365</v>
      </c>
      <c r="K512" s="46" t="s">
        <v>97</v>
      </c>
      <c r="L512" s="46" t="s">
        <v>2511</v>
      </c>
      <c r="M512" s="389"/>
      <c r="N512" s="46" t="s">
        <v>1562</v>
      </c>
      <c r="O512" s="46" t="s">
        <v>2244</v>
      </c>
      <c r="P512" s="389"/>
      <c r="Q512" s="389"/>
      <c r="R512" s="46">
        <v>3.0</v>
      </c>
      <c r="S512" s="45"/>
      <c r="T512" s="46" t="s">
        <v>2183</v>
      </c>
      <c r="U512" s="44">
        <v>16.0</v>
      </c>
      <c r="V512" s="44">
        <v>13.0</v>
      </c>
      <c r="W512" s="389"/>
      <c r="X512" s="44">
        <v>3.0</v>
      </c>
      <c r="Y512" s="44">
        <v>1.09125</v>
      </c>
      <c r="Z512" s="44">
        <v>0.014375</v>
      </c>
      <c r="AA512" s="44">
        <v>0.74875</v>
      </c>
      <c r="AB512" s="44">
        <v>0.080625</v>
      </c>
      <c r="AC512" s="44">
        <v>0.068125</v>
      </c>
      <c r="AD512" s="44">
        <v>0.198125</v>
      </c>
      <c r="AE512" s="44">
        <v>0.532999</v>
      </c>
      <c r="AF512" s="44">
        <v>0.87125</v>
      </c>
      <c r="AG512" s="44">
        <v>0.606138</v>
      </c>
      <c r="AH512" s="44">
        <v>0.244375</v>
      </c>
      <c r="AI512" s="44">
        <v>0.185625</v>
      </c>
      <c r="AJ512" s="44">
        <v>16.84575</v>
      </c>
      <c r="AK512" s="44">
        <v>-2.81097</v>
      </c>
      <c r="AL512" s="44">
        <v>-1.66884</v>
      </c>
      <c r="AM512" s="44">
        <v>-2.1989</v>
      </c>
      <c r="AN512" s="44">
        <v>-1.76515</v>
      </c>
      <c r="AO512" s="44">
        <v>-2.80055</v>
      </c>
      <c r="AP512" s="44">
        <v>-0.99263</v>
      </c>
      <c r="AQ512" s="44">
        <v>0.063402</v>
      </c>
      <c r="AR512" s="44">
        <v>-0.15691</v>
      </c>
      <c r="AS512" s="44">
        <v>2.157318</v>
      </c>
    </row>
    <row r="513">
      <c r="A513" s="44">
        <v>512.0</v>
      </c>
      <c r="B513" s="389"/>
      <c r="C513" s="45"/>
      <c r="D513" s="45"/>
      <c r="E513" s="44">
        <v>-1.13299</v>
      </c>
      <c r="F513" s="44">
        <v>0.002672</v>
      </c>
      <c r="G513" s="44">
        <v>1.568629</v>
      </c>
      <c r="H513" s="389"/>
      <c r="I513" s="46" t="s">
        <v>2512</v>
      </c>
      <c r="J513" s="46" t="s">
        <v>386</v>
      </c>
      <c r="K513" s="46" t="s">
        <v>1572</v>
      </c>
      <c r="L513" s="389"/>
      <c r="M513" s="389"/>
      <c r="N513" s="46" t="s">
        <v>1562</v>
      </c>
      <c r="O513" s="389"/>
      <c r="P513" s="389"/>
      <c r="Q513" s="389"/>
      <c r="R513" s="46">
        <v>3.0</v>
      </c>
      <c r="S513" s="45"/>
      <c r="T513" s="46" t="s">
        <v>2513</v>
      </c>
      <c r="U513" s="44">
        <v>16.0</v>
      </c>
      <c r="V513" s="44">
        <v>14.0</v>
      </c>
      <c r="W513" s="389"/>
      <c r="X513" s="44">
        <v>4.0</v>
      </c>
      <c r="Y513" s="44">
        <v>0.86</v>
      </c>
      <c r="Z513" s="44">
        <v>0.02875</v>
      </c>
      <c r="AA513" s="44">
        <v>0.673125</v>
      </c>
      <c r="AB513" s="44">
        <v>0.2525</v>
      </c>
      <c r="AC513" s="44">
        <v>0.19375</v>
      </c>
      <c r="AD513" s="44">
        <v>0.0675</v>
      </c>
      <c r="AE513" s="44">
        <v>0.501754</v>
      </c>
      <c r="AF513" s="44">
        <v>0.7125</v>
      </c>
      <c r="AG513" s="44">
        <v>0.540698</v>
      </c>
      <c r="AH513" s="44">
        <v>0.215</v>
      </c>
      <c r="AI513" s="44">
        <v>0.2775</v>
      </c>
      <c r="AJ513" s="44">
        <v>11.09276</v>
      </c>
      <c r="AK513" s="44">
        <v>-2.85172</v>
      </c>
      <c r="AL513" s="44">
        <v>-1.65509</v>
      </c>
      <c r="AM513" s="44">
        <v>-2.22993</v>
      </c>
      <c r="AN513" s="44">
        <v>-1.68223</v>
      </c>
      <c r="AO513" s="44">
        <v>-2.42743</v>
      </c>
      <c r="AP513" s="44">
        <v>-1.22826</v>
      </c>
      <c r="AQ513" s="44">
        <v>0.020254</v>
      </c>
      <c r="AR513" s="44">
        <v>-0.18373</v>
      </c>
      <c r="AS513" s="44">
        <v>2.041266</v>
      </c>
    </row>
    <row r="514">
      <c r="A514" s="44">
        <v>513.0</v>
      </c>
      <c r="B514" s="389"/>
      <c r="C514" s="45"/>
      <c r="D514" s="45"/>
      <c r="E514" s="44">
        <v>-1.13899</v>
      </c>
      <c r="F514" s="44">
        <v>0.002042</v>
      </c>
      <c r="G514" s="44">
        <v>0.128284</v>
      </c>
      <c r="H514" s="389"/>
      <c r="I514" s="46" t="s">
        <v>2514</v>
      </c>
      <c r="J514" s="46" t="s">
        <v>299</v>
      </c>
      <c r="K514" s="46" t="s">
        <v>90</v>
      </c>
      <c r="L514" s="46" t="s">
        <v>2515</v>
      </c>
      <c r="M514" s="389"/>
      <c r="N514" s="46" t="s">
        <v>1562</v>
      </c>
      <c r="O514" s="46" t="s">
        <v>2139</v>
      </c>
      <c r="P514" s="389"/>
      <c r="Q514" s="389"/>
      <c r="R514" s="46">
        <v>4.0</v>
      </c>
      <c r="S514" s="45"/>
      <c r="T514" s="46" t="s">
        <v>2183</v>
      </c>
      <c r="U514" s="44">
        <v>16.0</v>
      </c>
      <c r="V514" s="44">
        <v>13.0</v>
      </c>
      <c r="W514" s="389"/>
      <c r="X514" s="44">
        <v>3.0</v>
      </c>
      <c r="Y514" s="44">
        <v>0.996875</v>
      </c>
      <c r="Z514" s="44">
        <v>0.141875</v>
      </c>
      <c r="AA514" s="44">
        <v>0.62375</v>
      </c>
      <c r="AB514" s="44">
        <v>0.22125</v>
      </c>
      <c r="AC514" s="44">
        <v>0.078125</v>
      </c>
      <c r="AD514" s="44">
        <v>0.065</v>
      </c>
      <c r="AE514" s="44">
        <v>0.396952</v>
      </c>
      <c r="AF514" s="44">
        <v>0.943125</v>
      </c>
      <c r="AG514" s="44">
        <v>0.752212</v>
      </c>
      <c r="AH514" s="44">
        <v>0.14125</v>
      </c>
      <c r="AI514" s="44">
        <v>0.13</v>
      </c>
      <c r="AJ514" s="44">
        <v>15.67998</v>
      </c>
      <c r="AK514" s="44">
        <v>-2.8276</v>
      </c>
      <c r="AL514" s="44">
        <v>-1.5469</v>
      </c>
      <c r="AM514" s="44">
        <v>-2.25019</v>
      </c>
      <c r="AN514" s="44">
        <v>-1.6973</v>
      </c>
      <c r="AO514" s="44">
        <v>-2.77085</v>
      </c>
      <c r="AP514" s="44">
        <v>-1.23277</v>
      </c>
      <c r="AQ514" s="44">
        <v>-0.12151</v>
      </c>
      <c r="AR514" s="44">
        <v>-0.03134</v>
      </c>
      <c r="AS514" s="44">
        <v>2.227581</v>
      </c>
    </row>
    <row r="515">
      <c r="A515" s="44">
        <v>514.0</v>
      </c>
      <c r="B515" s="389"/>
      <c r="C515" s="45"/>
      <c r="D515" s="45"/>
      <c r="E515" s="44">
        <v>-1.14176</v>
      </c>
      <c r="F515" s="44">
        <v>0.002101</v>
      </c>
      <c r="G515" s="44">
        <v>0.862395</v>
      </c>
      <c r="H515" s="389"/>
      <c r="I515" s="46" t="s">
        <v>2516</v>
      </c>
      <c r="J515" s="46" t="s">
        <v>308</v>
      </c>
      <c r="K515" s="46" t="s">
        <v>90</v>
      </c>
      <c r="L515" s="46" t="s">
        <v>2517</v>
      </c>
      <c r="M515" s="389"/>
      <c r="N515" s="46" t="s">
        <v>1562</v>
      </c>
      <c r="O515" s="46" t="s">
        <v>2139</v>
      </c>
      <c r="P515" s="389"/>
      <c r="Q515" s="389"/>
      <c r="R515" s="46">
        <v>3.0</v>
      </c>
      <c r="S515" s="45"/>
      <c r="T515" s="46" t="s">
        <v>2183</v>
      </c>
      <c r="U515" s="44">
        <v>16.0</v>
      </c>
      <c r="V515" s="44">
        <v>15.0</v>
      </c>
      <c r="W515" s="389"/>
      <c r="X515" s="44">
        <v>4.0</v>
      </c>
      <c r="Y515" s="44">
        <v>1.711875</v>
      </c>
      <c r="Z515" s="44">
        <v>0.115</v>
      </c>
      <c r="AA515" s="44">
        <v>0.730625</v>
      </c>
      <c r="AB515" s="44">
        <v>0.17125</v>
      </c>
      <c r="AC515" s="44">
        <v>0.078125</v>
      </c>
      <c r="AD515" s="44">
        <v>0.03125</v>
      </c>
      <c r="AE515" s="44">
        <v>0.456827</v>
      </c>
      <c r="AF515" s="44">
        <v>1.469375</v>
      </c>
      <c r="AG515" s="44">
        <v>0.689831</v>
      </c>
      <c r="AH515" s="44">
        <v>0.36875</v>
      </c>
      <c r="AI515" s="44">
        <v>0.161875</v>
      </c>
      <c r="AJ515" s="44">
        <v>20.03116</v>
      </c>
      <c r="AK515" s="44">
        <v>-2.7016</v>
      </c>
      <c r="AL515" s="44">
        <v>-1.5726</v>
      </c>
      <c r="AM515" s="44">
        <v>-2.20634</v>
      </c>
      <c r="AN515" s="44">
        <v>-1.72143</v>
      </c>
      <c r="AO515" s="44">
        <v>-2.77085</v>
      </c>
      <c r="AP515" s="44">
        <v>-1.29365</v>
      </c>
      <c r="AQ515" s="44">
        <v>-0.06329</v>
      </c>
      <c r="AR515" s="44">
        <v>-0.13344</v>
      </c>
      <c r="AS515" s="44">
        <v>2.187318</v>
      </c>
    </row>
    <row r="516">
      <c r="A516" s="44">
        <v>515.0</v>
      </c>
      <c r="B516" s="389"/>
      <c r="C516" s="45"/>
      <c r="D516" s="45"/>
      <c r="E516" s="44">
        <v>-1.14419</v>
      </c>
      <c r="F516" s="44">
        <v>0.002022</v>
      </c>
      <c r="G516" s="44">
        <v>0.964613</v>
      </c>
      <c r="H516" s="389"/>
      <c r="I516" s="46" t="s">
        <v>2518</v>
      </c>
      <c r="J516" s="46" t="s">
        <v>291</v>
      </c>
      <c r="K516" s="46" t="s">
        <v>92</v>
      </c>
      <c r="L516" s="389"/>
      <c r="M516" s="389"/>
      <c r="N516" s="46" t="s">
        <v>1562</v>
      </c>
      <c r="O516" s="46" t="s">
        <v>2139</v>
      </c>
      <c r="P516" s="389"/>
      <c r="Q516" s="389"/>
      <c r="R516" s="46">
        <v>4.0</v>
      </c>
      <c r="S516" s="45"/>
      <c r="T516" s="46" t="s">
        <v>2183</v>
      </c>
      <c r="U516" s="44">
        <v>16.0</v>
      </c>
      <c r="V516" s="44">
        <v>14.0</v>
      </c>
      <c r="W516" s="389"/>
      <c r="X516" s="44">
        <v>3.0</v>
      </c>
      <c r="Y516" s="44">
        <v>0.860625</v>
      </c>
      <c r="Z516" s="44">
        <v>0.175</v>
      </c>
      <c r="AA516" s="44">
        <v>0.545</v>
      </c>
      <c r="AB516" s="44">
        <v>0.2025</v>
      </c>
      <c r="AC516" s="44">
        <v>0.056875</v>
      </c>
      <c r="AD516" s="44">
        <v>0.0625</v>
      </c>
      <c r="AE516" s="44">
        <v>0.438596</v>
      </c>
      <c r="AF516" s="44">
        <v>0.7125</v>
      </c>
      <c r="AG516" s="44">
        <v>0.638158</v>
      </c>
      <c r="AH516" s="44">
        <v>0.095</v>
      </c>
      <c r="AI516" s="44">
        <v>0.124375</v>
      </c>
      <c r="AJ516" s="44">
        <v>12.84749</v>
      </c>
      <c r="AK516" s="44">
        <v>-2.85161</v>
      </c>
      <c r="AL516" s="44">
        <v>-1.51521</v>
      </c>
      <c r="AM516" s="44">
        <v>-2.28251</v>
      </c>
      <c r="AN516" s="44">
        <v>-1.70635</v>
      </c>
      <c r="AO516" s="44">
        <v>-2.83396</v>
      </c>
      <c r="AP516" s="44">
        <v>-1.23728</v>
      </c>
      <c r="AQ516" s="44">
        <v>-0.04623</v>
      </c>
      <c r="AR516" s="44">
        <v>-0.05926</v>
      </c>
      <c r="AS516" s="44">
        <v>2.234686</v>
      </c>
    </row>
    <row r="517">
      <c r="A517" s="44">
        <v>516.0</v>
      </c>
      <c r="B517" s="389"/>
      <c r="C517" s="45"/>
      <c r="D517" s="45"/>
      <c r="E517" s="44">
        <v>-1.15094</v>
      </c>
      <c r="F517" s="44">
        <v>0.00208</v>
      </c>
      <c r="G517" s="44">
        <v>1.568629</v>
      </c>
      <c r="H517" s="389"/>
      <c r="I517" s="46" t="s">
        <v>2519</v>
      </c>
      <c r="J517" s="46" t="s">
        <v>291</v>
      </c>
      <c r="K517" s="46" t="s">
        <v>85</v>
      </c>
      <c r="L517" s="46" t="s">
        <v>2520</v>
      </c>
      <c r="M517" s="389"/>
      <c r="N517" s="46" t="s">
        <v>1562</v>
      </c>
      <c r="O517" s="46" t="s">
        <v>2139</v>
      </c>
      <c r="P517" s="389"/>
      <c r="Q517" s="45"/>
      <c r="R517" s="46">
        <v>2.0</v>
      </c>
      <c r="S517" s="45"/>
      <c r="T517" s="46" t="s">
        <v>2183</v>
      </c>
      <c r="U517" s="44">
        <v>16.0</v>
      </c>
      <c r="V517" s="44">
        <v>14.0</v>
      </c>
      <c r="W517" s="389"/>
      <c r="X517" s="44">
        <v>3.0</v>
      </c>
      <c r="Y517" s="44">
        <v>1.05125</v>
      </c>
      <c r="Z517" s="44">
        <v>0.17</v>
      </c>
      <c r="AA517" s="44">
        <v>0.36625</v>
      </c>
      <c r="AB517" s="44">
        <v>0.3725</v>
      </c>
      <c r="AC517" s="44">
        <v>0.10125</v>
      </c>
      <c r="AD517" s="44">
        <v>0.01875</v>
      </c>
      <c r="AE517" s="44">
        <v>0.406389</v>
      </c>
      <c r="AF517" s="44">
        <v>0.84125</v>
      </c>
      <c r="AG517" s="44">
        <v>0.812339</v>
      </c>
      <c r="AH517" s="44">
        <v>0.243125</v>
      </c>
      <c r="AI517" s="44">
        <v>0.2525</v>
      </c>
      <c r="AJ517" s="44">
        <v>17.55632</v>
      </c>
      <c r="AK517" s="44">
        <v>-2.81801</v>
      </c>
      <c r="AL517" s="44">
        <v>-1.52</v>
      </c>
      <c r="AM517" s="44">
        <v>-2.35586</v>
      </c>
      <c r="AN517" s="44">
        <v>-1.62433</v>
      </c>
      <c r="AO517" s="44">
        <v>-2.70216</v>
      </c>
      <c r="AP517" s="44">
        <v>-1.3162</v>
      </c>
      <c r="AQ517" s="44">
        <v>-0.09589</v>
      </c>
      <c r="AR517" s="44">
        <v>0.001125</v>
      </c>
      <c r="AS517" s="44">
        <v>2.072844</v>
      </c>
    </row>
    <row r="518">
      <c r="A518" s="44">
        <v>517.0</v>
      </c>
      <c r="B518" s="389"/>
      <c r="C518" s="45"/>
      <c r="D518" s="45"/>
      <c r="E518" s="44">
        <v>-1.15434</v>
      </c>
      <c r="F518" s="44">
        <v>0.002322</v>
      </c>
      <c r="G518" s="44">
        <v>1.234097</v>
      </c>
      <c r="H518" s="389"/>
      <c r="I518" s="46" t="s">
        <v>2521</v>
      </c>
      <c r="J518" s="46" t="s">
        <v>291</v>
      </c>
      <c r="K518" s="46" t="s">
        <v>85</v>
      </c>
      <c r="L518" s="389"/>
      <c r="M518" s="389"/>
      <c r="N518" s="46" t="s">
        <v>1562</v>
      </c>
      <c r="O518" s="46" t="s">
        <v>2139</v>
      </c>
      <c r="P518" s="389"/>
      <c r="Q518" s="45"/>
      <c r="R518" s="46">
        <v>2.0</v>
      </c>
      <c r="S518" s="45"/>
      <c r="T518" s="46" t="s">
        <v>2183</v>
      </c>
      <c r="U518" s="44">
        <v>16.0</v>
      </c>
      <c r="V518" s="44">
        <v>14.0</v>
      </c>
      <c r="W518" s="389"/>
      <c r="X518" s="44">
        <v>3.0</v>
      </c>
      <c r="Y518" s="44">
        <v>0.930625</v>
      </c>
      <c r="Z518" s="44">
        <v>0.09625</v>
      </c>
      <c r="AA518" s="44">
        <v>0.28375</v>
      </c>
      <c r="AB518" s="44">
        <v>0.40375</v>
      </c>
      <c r="AC518" s="44">
        <v>0.11125</v>
      </c>
      <c r="AD518" s="44">
        <v>0.048125</v>
      </c>
      <c r="AE518" s="44">
        <v>0.446177</v>
      </c>
      <c r="AF518" s="44">
        <v>0.841875</v>
      </c>
      <c r="AG518" s="44">
        <v>0.692708</v>
      </c>
      <c r="AH518" s="44">
        <v>0.12</v>
      </c>
      <c r="AI518" s="44">
        <v>0.2525</v>
      </c>
      <c r="AJ518" s="44">
        <v>16.77334</v>
      </c>
      <c r="AK518" s="44">
        <v>-2.83927</v>
      </c>
      <c r="AL518" s="44">
        <v>-1.59053</v>
      </c>
      <c r="AM518" s="44">
        <v>-2.38972</v>
      </c>
      <c r="AN518" s="44">
        <v>-1.60926</v>
      </c>
      <c r="AO518" s="44">
        <v>-2.67246</v>
      </c>
      <c r="AP518" s="44">
        <v>-1.26321</v>
      </c>
      <c r="AQ518" s="44">
        <v>-0.04648</v>
      </c>
      <c r="AR518" s="44">
        <v>-0.05095</v>
      </c>
      <c r="AS518" s="44">
        <v>2.072844</v>
      </c>
    </row>
    <row r="519">
      <c r="A519" s="44">
        <v>577.0</v>
      </c>
      <c r="B519" s="389"/>
      <c r="C519" s="45"/>
      <c r="D519" s="45"/>
      <c r="E519" s="44">
        <v>-1.21809</v>
      </c>
      <c r="F519" s="44">
        <v>0.002174</v>
      </c>
      <c r="G519" s="44">
        <v>0.713715</v>
      </c>
      <c r="H519" s="389"/>
      <c r="I519" s="46" t="s">
        <v>2522</v>
      </c>
      <c r="J519" s="46" t="s">
        <v>1608</v>
      </c>
      <c r="K519" s="46" t="s">
        <v>97</v>
      </c>
      <c r="L519" s="389"/>
      <c r="M519" s="389"/>
      <c r="N519" s="46" t="s">
        <v>1612</v>
      </c>
      <c r="O519" s="45"/>
      <c r="P519" s="389"/>
      <c r="Q519" s="389"/>
      <c r="R519" s="389"/>
      <c r="S519" s="45"/>
      <c r="T519" s="46" t="s">
        <v>2513</v>
      </c>
      <c r="U519" s="44">
        <v>0.0</v>
      </c>
      <c r="V519" s="44">
        <v>14.0</v>
      </c>
      <c r="W519" s="389"/>
      <c r="X519" s="44">
        <v>0.0</v>
      </c>
      <c r="Y519" s="44">
        <v>0.0</v>
      </c>
      <c r="Z519" s="44">
        <v>0.0</v>
      </c>
      <c r="AA519" s="44">
        <v>0.0</v>
      </c>
      <c r="AB519" s="44">
        <v>0.0</v>
      </c>
      <c r="AC519" s="44">
        <v>0.0</v>
      </c>
      <c r="AD519" s="44">
        <v>0.0</v>
      </c>
      <c r="AE519" s="44">
        <v>0.0</v>
      </c>
      <c r="AF519" s="44">
        <v>0.0</v>
      </c>
      <c r="AG519" s="44">
        <v>0.0</v>
      </c>
      <c r="AH519" s="44">
        <v>0.0</v>
      </c>
      <c r="AI519" s="44">
        <v>0.0</v>
      </c>
      <c r="AJ519" s="44">
        <v>0.0</v>
      </c>
      <c r="AK519" s="44">
        <v>-3.00327</v>
      </c>
      <c r="AL519" s="44">
        <v>-1.68259</v>
      </c>
      <c r="AM519" s="44">
        <v>-2.50615</v>
      </c>
      <c r="AN519" s="44">
        <v>-1.80405</v>
      </c>
      <c r="AO519" s="44">
        <v>-3.00288</v>
      </c>
      <c r="AP519" s="44">
        <v>-1.35002</v>
      </c>
      <c r="AQ519" s="44">
        <v>0.007091</v>
      </c>
      <c r="AR519" s="44">
        <v>-0.01276</v>
      </c>
      <c r="AS519" s="44">
        <v>2.391792</v>
      </c>
    </row>
    <row r="520">
      <c r="A520" s="44">
        <v>576.0</v>
      </c>
      <c r="B520" s="389"/>
      <c r="C520" s="45"/>
      <c r="D520" s="45"/>
      <c r="E520" s="44">
        <v>-1.21809</v>
      </c>
      <c r="F520" s="44">
        <v>0.002174</v>
      </c>
      <c r="G520" s="44">
        <v>1.568629</v>
      </c>
      <c r="H520" s="389"/>
      <c r="I520" s="46" t="s">
        <v>2523</v>
      </c>
      <c r="J520" s="46" t="s">
        <v>490</v>
      </c>
      <c r="K520" s="46" t="s">
        <v>88</v>
      </c>
      <c r="L520" s="389"/>
      <c r="M520" s="389"/>
      <c r="N520" s="46" t="s">
        <v>1612</v>
      </c>
      <c r="O520" s="389"/>
      <c r="P520" s="389"/>
      <c r="Q520" s="389"/>
      <c r="R520" s="389"/>
      <c r="S520" s="45"/>
      <c r="T520" s="46" t="s">
        <v>2513</v>
      </c>
      <c r="U520" s="44">
        <v>0.0</v>
      </c>
      <c r="V520" s="44">
        <v>16.0</v>
      </c>
      <c r="W520" s="389"/>
      <c r="X520" s="44">
        <v>0.0</v>
      </c>
      <c r="Y520" s="44">
        <v>0.0</v>
      </c>
      <c r="Z520" s="44">
        <v>0.0</v>
      </c>
      <c r="AA520" s="44">
        <v>0.0</v>
      </c>
      <c r="AB520" s="44">
        <v>0.0</v>
      </c>
      <c r="AC520" s="44">
        <v>0.0</v>
      </c>
      <c r="AD520" s="44">
        <v>0.0</v>
      </c>
      <c r="AE520" s="44">
        <v>0.0</v>
      </c>
      <c r="AF520" s="44">
        <v>0.0</v>
      </c>
      <c r="AG520" s="44">
        <v>0.0</v>
      </c>
      <c r="AH520" s="44">
        <v>0.0</v>
      </c>
      <c r="AI520" s="44">
        <v>0.0</v>
      </c>
      <c r="AJ520" s="44">
        <v>0.0</v>
      </c>
      <c r="AK520" s="44">
        <v>-3.00327</v>
      </c>
      <c r="AL520" s="44">
        <v>-1.68259</v>
      </c>
      <c r="AM520" s="44">
        <v>-2.50615</v>
      </c>
      <c r="AN520" s="44">
        <v>-1.80405</v>
      </c>
      <c r="AO520" s="44">
        <v>-3.00288</v>
      </c>
      <c r="AP520" s="44">
        <v>-1.35002</v>
      </c>
      <c r="AQ520" s="44">
        <v>0.007091</v>
      </c>
      <c r="AR520" s="44">
        <v>-0.01276</v>
      </c>
      <c r="AS520" s="44">
        <v>2.391792</v>
      </c>
    </row>
    <row r="521">
      <c r="A521" s="44">
        <v>575.0</v>
      </c>
      <c r="B521" s="389"/>
      <c r="C521" s="45"/>
      <c r="D521" s="45"/>
      <c r="E521" s="44">
        <v>-1.21809</v>
      </c>
      <c r="F521" s="44">
        <v>0.002174</v>
      </c>
      <c r="G521" s="44">
        <v>0.583619</v>
      </c>
      <c r="H521" s="389"/>
      <c r="I521" s="46" t="s">
        <v>2524</v>
      </c>
      <c r="J521" s="46" t="s">
        <v>291</v>
      </c>
      <c r="K521" s="46" t="s">
        <v>88</v>
      </c>
      <c r="L521" s="389"/>
      <c r="M521" s="389"/>
      <c r="N521" s="46" t="s">
        <v>1562</v>
      </c>
      <c r="O521" s="45"/>
      <c r="P521" s="389"/>
      <c r="Q521" s="45"/>
      <c r="R521" s="46">
        <v>2.0</v>
      </c>
      <c r="S521" s="45"/>
      <c r="T521" s="46" t="s">
        <v>2513</v>
      </c>
      <c r="U521" s="44">
        <v>0.0</v>
      </c>
      <c r="V521" s="44">
        <v>14.0</v>
      </c>
      <c r="W521" s="389"/>
      <c r="X521" s="44">
        <v>0.0</v>
      </c>
      <c r="Y521" s="44">
        <v>0.0</v>
      </c>
      <c r="Z521" s="44">
        <v>0.0</v>
      </c>
      <c r="AA521" s="44">
        <v>0.0</v>
      </c>
      <c r="AB521" s="44">
        <v>0.0</v>
      </c>
      <c r="AC521" s="44">
        <v>0.0</v>
      </c>
      <c r="AD521" s="44">
        <v>0.0</v>
      </c>
      <c r="AE521" s="44">
        <v>0.0</v>
      </c>
      <c r="AF521" s="44">
        <v>0.0</v>
      </c>
      <c r="AG521" s="44">
        <v>0.0</v>
      </c>
      <c r="AH521" s="44">
        <v>0.0</v>
      </c>
      <c r="AI521" s="44">
        <v>0.0</v>
      </c>
      <c r="AJ521" s="44">
        <v>0.0</v>
      </c>
      <c r="AK521" s="44">
        <v>-3.00327</v>
      </c>
      <c r="AL521" s="44">
        <v>-1.68259</v>
      </c>
      <c r="AM521" s="44">
        <v>-2.50615</v>
      </c>
      <c r="AN521" s="44">
        <v>-1.80405</v>
      </c>
      <c r="AO521" s="44">
        <v>-3.00288</v>
      </c>
      <c r="AP521" s="44">
        <v>-1.35002</v>
      </c>
      <c r="AQ521" s="44">
        <v>0.007091</v>
      </c>
      <c r="AR521" s="44">
        <v>-0.01276</v>
      </c>
      <c r="AS521" s="44">
        <v>2.391792</v>
      </c>
    </row>
    <row r="522">
      <c r="A522" s="44">
        <v>574.0</v>
      </c>
      <c r="B522" s="389"/>
      <c r="C522" s="45"/>
      <c r="D522" s="45"/>
      <c r="E522" s="44">
        <v>-1.21809</v>
      </c>
      <c r="F522" s="44">
        <v>0.002174</v>
      </c>
      <c r="G522" s="44">
        <v>1.568629</v>
      </c>
      <c r="H522" s="389"/>
      <c r="I522" s="46" t="s">
        <v>2525</v>
      </c>
      <c r="J522" s="46" t="s">
        <v>428</v>
      </c>
      <c r="K522" s="46" t="s">
        <v>1899</v>
      </c>
      <c r="L522" s="389"/>
      <c r="M522" s="389"/>
      <c r="N522" s="46" t="s">
        <v>1612</v>
      </c>
      <c r="O522" s="389"/>
      <c r="P522" s="389"/>
      <c r="Q522" s="389"/>
      <c r="R522" s="389"/>
      <c r="S522" s="45"/>
      <c r="T522" s="46" t="s">
        <v>2513</v>
      </c>
      <c r="U522" s="44">
        <v>0.0</v>
      </c>
      <c r="V522" s="44">
        <v>14.0</v>
      </c>
      <c r="W522" s="389"/>
      <c r="X522" s="44">
        <v>0.0</v>
      </c>
      <c r="Y522" s="44">
        <v>0.0</v>
      </c>
      <c r="Z522" s="44">
        <v>0.0</v>
      </c>
      <c r="AA522" s="44">
        <v>0.0</v>
      </c>
      <c r="AB522" s="44">
        <v>0.0</v>
      </c>
      <c r="AC522" s="44">
        <v>0.0</v>
      </c>
      <c r="AD522" s="44">
        <v>0.0</v>
      </c>
      <c r="AE522" s="44">
        <v>0.0</v>
      </c>
      <c r="AF522" s="44">
        <v>0.0</v>
      </c>
      <c r="AG522" s="44">
        <v>0.0</v>
      </c>
      <c r="AH522" s="44">
        <v>0.0</v>
      </c>
      <c r="AI522" s="44">
        <v>0.0</v>
      </c>
      <c r="AJ522" s="44">
        <v>0.0</v>
      </c>
      <c r="AK522" s="44">
        <v>-3.00327</v>
      </c>
      <c r="AL522" s="44">
        <v>-1.68259</v>
      </c>
      <c r="AM522" s="44">
        <v>-2.50615</v>
      </c>
      <c r="AN522" s="44">
        <v>-1.80405</v>
      </c>
      <c r="AO522" s="44">
        <v>-3.00288</v>
      </c>
      <c r="AP522" s="44">
        <v>-1.35002</v>
      </c>
      <c r="AQ522" s="44">
        <v>0.007091</v>
      </c>
      <c r="AR522" s="44">
        <v>-0.01276</v>
      </c>
      <c r="AS522" s="44">
        <v>2.391792</v>
      </c>
    </row>
    <row r="523">
      <c r="A523" s="44">
        <v>573.0</v>
      </c>
      <c r="B523" s="389"/>
      <c r="C523" s="45"/>
      <c r="D523" s="45"/>
      <c r="E523" s="44">
        <v>-1.21809</v>
      </c>
      <c r="F523" s="44">
        <v>0.002174</v>
      </c>
      <c r="G523" s="44">
        <v>0.946028</v>
      </c>
      <c r="H523" s="389"/>
      <c r="I523" s="46" t="s">
        <v>2526</v>
      </c>
      <c r="J523" s="46" t="s">
        <v>332</v>
      </c>
      <c r="K523" s="46" t="s">
        <v>97</v>
      </c>
      <c r="L523" s="389"/>
      <c r="M523" s="389"/>
      <c r="N523" s="46" t="s">
        <v>1612</v>
      </c>
      <c r="O523" s="46" t="s">
        <v>1848</v>
      </c>
      <c r="P523" s="389"/>
      <c r="Q523" s="389"/>
      <c r="R523" s="389"/>
      <c r="S523" s="45"/>
      <c r="T523" s="46" t="s">
        <v>2513</v>
      </c>
      <c r="U523" s="44">
        <v>0.0</v>
      </c>
      <c r="V523" s="44">
        <v>15.0</v>
      </c>
      <c r="W523" s="389"/>
      <c r="X523" s="44">
        <v>0.0</v>
      </c>
      <c r="Y523" s="44">
        <v>0.0</v>
      </c>
      <c r="Z523" s="44">
        <v>0.0</v>
      </c>
      <c r="AA523" s="44">
        <v>0.0</v>
      </c>
      <c r="AB523" s="44">
        <v>0.0</v>
      </c>
      <c r="AC523" s="44">
        <v>0.0</v>
      </c>
      <c r="AD523" s="44">
        <v>0.0</v>
      </c>
      <c r="AE523" s="44">
        <v>0.0</v>
      </c>
      <c r="AF523" s="44">
        <v>0.0</v>
      </c>
      <c r="AG523" s="44">
        <v>0.0</v>
      </c>
      <c r="AH523" s="44">
        <v>0.0</v>
      </c>
      <c r="AI523" s="44">
        <v>0.0</v>
      </c>
      <c r="AJ523" s="44">
        <v>0.0</v>
      </c>
      <c r="AK523" s="44">
        <v>-3.00327</v>
      </c>
      <c r="AL523" s="44">
        <v>-1.68259</v>
      </c>
      <c r="AM523" s="44">
        <v>-2.50615</v>
      </c>
      <c r="AN523" s="44">
        <v>-1.80405</v>
      </c>
      <c r="AO523" s="44">
        <v>-3.00288</v>
      </c>
      <c r="AP523" s="44">
        <v>-1.35002</v>
      </c>
      <c r="AQ523" s="44">
        <v>0.007091</v>
      </c>
      <c r="AR523" s="44">
        <v>-0.01276</v>
      </c>
      <c r="AS523" s="44">
        <v>2.391792</v>
      </c>
    </row>
    <row r="524">
      <c r="A524" s="44">
        <v>572.0</v>
      </c>
      <c r="B524" s="389"/>
      <c r="C524" s="45"/>
      <c r="D524" s="45"/>
      <c r="E524" s="44">
        <v>-1.21809</v>
      </c>
      <c r="F524" s="44">
        <v>0.002174</v>
      </c>
      <c r="G524" s="44">
        <v>1.568629</v>
      </c>
      <c r="H524" s="389"/>
      <c r="I524" s="46" t="s">
        <v>2527</v>
      </c>
      <c r="J524" s="46" t="s">
        <v>299</v>
      </c>
      <c r="K524" s="46" t="s">
        <v>97</v>
      </c>
      <c r="L524" s="389"/>
      <c r="M524" s="389"/>
      <c r="N524" s="46" t="s">
        <v>1612</v>
      </c>
      <c r="O524" s="389"/>
      <c r="P524" s="389"/>
      <c r="Q524" s="389"/>
      <c r="R524" s="45"/>
      <c r="S524" s="45"/>
      <c r="T524" s="46" t="s">
        <v>2513</v>
      </c>
      <c r="U524" s="44">
        <v>0.0</v>
      </c>
      <c r="V524" s="44">
        <v>13.0</v>
      </c>
      <c r="W524" s="389"/>
      <c r="X524" s="44">
        <v>0.0</v>
      </c>
      <c r="Y524" s="44">
        <v>0.0</v>
      </c>
      <c r="Z524" s="44">
        <v>0.0</v>
      </c>
      <c r="AA524" s="44">
        <v>0.0</v>
      </c>
      <c r="AB524" s="44">
        <v>0.0</v>
      </c>
      <c r="AC524" s="44">
        <v>0.0</v>
      </c>
      <c r="AD524" s="44">
        <v>0.0</v>
      </c>
      <c r="AE524" s="44">
        <v>0.0</v>
      </c>
      <c r="AF524" s="44">
        <v>0.0</v>
      </c>
      <c r="AG524" s="44">
        <v>0.0</v>
      </c>
      <c r="AH524" s="44">
        <v>0.0</v>
      </c>
      <c r="AI524" s="44">
        <v>0.0</v>
      </c>
      <c r="AJ524" s="44">
        <v>0.0</v>
      </c>
      <c r="AK524" s="44">
        <v>-3.00327</v>
      </c>
      <c r="AL524" s="44">
        <v>-1.68259</v>
      </c>
      <c r="AM524" s="44">
        <v>-2.50615</v>
      </c>
      <c r="AN524" s="44">
        <v>-1.80405</v>
      </c>
      <c r="AO524" s="44">
        <v>-3.00288</v>
      </c>
      <c r="AP524" s="44">
        <v>-1.35002</v>
      </c>
      <c r="AQ524" s="44">
        <v>0.007091</v>
      </c>
      <c r="AR524" s="44">
        <v>-0.01276</v>
      </c>
      <c r="AS524" s="44">
        <v>2.391792</v>
      </c>
    </row>
    <row r="525">
      <c r="A525" s="44">
        <v>571.0</v>
      </c>
      <c r="B525" s="389"/>
      <c r="C525" s="45"/>
      <c r="D525" s="45"/>
      <c r="E525" s="44">
        <v>-1.21809</v>
      </c>
      <c r="F525" s="44">
        <v>0.002174</v>
      </c>
      <c r="G525" s="44">
        <v>1.568629</v>
      </c>
      <c r="H525" s="389"/>
      <c r="I525" s="46" t="s">
        <v>2528</v>
      </c>
      <c r="J525" s="46" t="s">
        <v>273</v>
      </c>
      <c r="K525" s="46" t="s">
        <v>1899</v>
      </c>
      <c r="L525" s="389"/>
      <c r="M525" s="46" t="s">
        <v>2529</v>
      </c>
      <c r="N525" s="46" t="s">
        <v>1570</v>
      </c>
      <c r="O525" s="45"/>
      <c r="P525" s="389"/>
      <c r="Q525" s="45"/>
      <c r="R525" s="46">
        <v>2.0</v>
      </c>
      <c r="S525" s="45"/>
      <c r="T525" s="46" t="s">
        <v>2513</v>
      </c>
      <c r="U525" s="44">
        <v>0.0</v>
      </c>
      <c r="V525" s="44">
        <v>13.0</v>
      </c>
      <c r="W525" s="389"/>
      <c r="X525" s="44">
        <v>0.0</v>
      </c>
      <c r="Y525" s="44">
        <v>0.0</v>
      </c>
      <c r="Z525" s="44">
        <v>0.0</v>
      </c>
      <c r="AA525" s="44">
        <v>0.0</v>
      </c>
      <c r="AB525" s="44">
        <v>0.0</v>
      </c>
      <c r="AC525" s="44">
        <v>0.0</v>
      </c>
      <c r="AD525" s="44">
        <v>0.0</v>
      </c>
      <c r="AE525" s="44">
        <v>0.0</v>
      </c>
      <c r="AF525" s="44">
        <v>0.0</v>
      </c>
      <c r="AG525" s="44">
        <v>0.0</v>
      </c>
      <c r="AH525" s="44">
        <v>0.0</v>
      </c>
      <c r="AI525" s="44">
        <v>0.0</v>
      </c>
      <c r="AJ525" s="44">
        <v>0.0</v>
      </c>
      <c r="AK525" s="44">
        <v>-3.00327</v>
      </c>
      <c r="AL525" s="44">
        <v>-1.68259</v>
      </c>
      <c r="AM525" s="44">
        <v>-2.50615</v>
      </c>
      <c r="AN525" s="44">
        <v>-1.80405</v>
      </c>
      <c r="AO525" s="44">
        <v>-3.00288</v>
      </c>
      <c r="AP525" s="44">
        <v>-1.35002</v>
      </c>
      <c r="AQ525" s="44">
        <v>0.007091</v>
      </c>
      <c r="AR525" s="44">
        <v>-0.01276</v>
      </c>
      <c r="AS525" s="44">
        <v>2.391792</v>
      </c>
    </row>
    <row r="526">
      <c r="A526" s="44">
        <v>570.0</v>
      </c>
      <c r="B526" s="389"/>
      <c r="C526" s="45"/>
      <c r="D526" s="45"/>
      <c r="E526" s="44">
        <v>-1.21809</v>
      </c>
      <c r="F526" s="44">
        <v>0.002174</v>
      </c>
      <c r="G526" s="44">
        <v>0.36989</v>
      </c>
      <c r="H526" s="389"/>
      <c r="I526" s="46" t="s">
        <v>2530</v>
      </c>
      <c r="J526" s="46" t="s">
        <v>1560</v>
      </c>
      <c r="K526" s="46" t="s">
        <v>1581</v>
      </c>
      <c r="L526" s="389"/>
      <c r="M526" s="389"/>
      <c r="N526" s="46" t="s">
        <v>1612</v>
      </c>
      <c r="O526" s="46" t="s">
        <v>1817</v>
      </c>
      <c r="P526" s="389"/>
      <c r="Q526" s="45"/>
      <c r="R526" s="45"/>
      <c r="S526" s="45"/>
      <c r="T526" s="46" t="s">
        <v>2513</v>
      </c>
      <c r="U526" s="44">
        <v>0.0</v>
      </c>
      <c r="V526" s="44">
        <v>14.0</v>
      </c>
      <c r="W526" s="389"/>
      <c r="X526" s="44">
        <v>0.0</v>
      </c>
      <c r="Y526" s="44">
        <v>0.0</v>
      </c>
      <c r="Z526" s="44">
        <v>0.0</v>
      </c>
      <c r="AA526" s="44">
        <v>0.0</v>
      </c>
      <c r="AB526" s="44">
        <v>0.0</v>
      </c>
      <c r="AC526" s="44">
        <v>0.0</v>
      </c>
      <c r="AD526" s="44">
        <v>0.0</v>
      </c>
      <c r="AE526" s="44">
        <v>0.0</v>
      </c>
      <c r="AF526" s="44">
        <v>0.0</v>
      </c>
      <c r="AG526" s="44">
        <v>0.0</v>
      </c>
      <c r="AH526" s="44">
        <v>0.0</v>
      </c>
      <c r="AI526" s="44">
        <v>0.0</v>
      </c>
      <c r="AJ526" s="44">
        <v>0.0</v>
      </c>
      <c r="AK526" s="44">
        <v>-3.00327</v>
      </c>
      <c r="AL526" s="44">
        <v>-1.68259</v>
      </c>
      <c r="AM526" s="44">
        <v>-2.50615</v>
      </c>
      <c r="AN526" s="44">
        <v>-1.80405</v>
      </c>
      <c r="AO526" s="44">
        <v>-3.00288</v>
      </c>
      <c r="AP526" s="44">
        <v>-1.35002</v>
      </c>
      <c r="AQ526" s="44">
        <v>0.007091</v>
      </c>
      <c r="AR526" s="44">
        <v>-0.01276</v>
      </c>
      <c r="AS526" s="44">
        <v>2.391792</v>
      </c>
    </row>
    <row r="527">
      <c r="A527" s="44">
        <v>563.0</v>
      </c>
      <c r="B527" s="389"/>
      <c r="C527" s="45"/>
      <c r="D527" s="45"/>
      <c r="E527" s="44">
        <v>-1.21809</v>
      </c>
      <c r="F527" s="44">
        <v>0.002174</v>
      </c>
      <c r="G527" s="44">
        <v>0.955321</v>
      </c>
      <c r="H527" s="389"/>
      <c r="I527" s="46" t="s">
        <v>2531</v>
      </c>
      <c r="J527" s="46" t="s">
        <v>304</v>
      </c>
      <c r="K527" s="46" t="s">
        <v>90</v>
      </c>
      <c r="L527" s="389"/>
      <c r="M527" s="389"/>
      <c r="N527" s="46" t="s">
        <v>1612</v>
      </c>
      <c r="O527" s="45"/>
      <c r="P527" s="389"/>
      <c r="Q527" s="45"/>
      <c r="R527" s="45"/>
      <c r="S527" s="45"/>
      <c r="T527" s="46" t="s">
        <v>2513</v>
      </c>
      <c r="U527" s="44">
        <v>0.0</v>
      </c>
      <c r="V527" s="44">
        <v>13.0</v>
      </c>
      <c r="W527" s="389"/>
      <c r="X527" s="44">
        <v>0.0</v>
      </c>
      <c r="Y527" s="44">
        <v>0.0</v>
      </c>
      <c r="Z527" s="44">
        <v>0.0</v>
      </c>
      <c r="AA527" s="44">
        <v>0.0</v>
      </c>
      <c r="AB527" s="44">
        <v>0.0</v>
      </c>
      <c r="AC527" s="44">
        <v>0.0</v>
      </c>
      <c r="AD527" s="44">
        <v>0.0</v>
      </c>
      <c r="AE527" s="44">
        <v>0.0</v>
      </c>
      <c r="AF527" s="44">
        <v>0.0</v>
      </c>
      <c r="AG527" s="44">
        <v>0.0</v>
      </c>
      <c r="AH527" s="44">
        <v>0.0</v>
      </c>
      <c r="AI527" s="44">
        <v>0.0</v>
      </c>
      <c r="AJ527" s="44">
        <v>0.0</v>
      </c>
      <c r="AK527" s="44">
        <v>-3.00327</v>
      </c>
      <c r="AL527" s="44">
        <v>-1.68259</v>
      </c>
      <c r="AM527" s="44">
        <v>-2.50615</v>
      </c>
      <c r="AN527" s="44">
        <v>-1.80405</v>
      </c>
      <c r="AO527" s="44">
        <v>-3.00288</v>
      </c>
      <c r="AP527" s="44">
        <v>-1.35002</v>
      </c>
      <c r="AQ527" s="44">
        <v>0.007091</v>
      </c>
      <c r="AR527" s="44">
        <v>-0.01276</v>
      </c>
      <c r="AS527" s="44">
        <v>2.391792</v>
      </c>
    </row>
    <row r="528">
      <c r="A528" s="44">
        <v>568.0</v>
      </c>
      <c r="B528" s="389"/>
      <c r="C528" s="45"/>
      <c r="D528" s="45"/>
      <c r="E528" s="44">
        <v>-1.21809</v>
      </c>
      <c r="F528" s="44">
        <v>0.002174</v>
      </c>
      <c r="G528" s="44">
        <v>1.568629</v>
      </c>
      <c r="H528" s="389"/>
      <c r="I528" s="46" t="s">
        <v>2532</v>
      </c>
      <c r="J528" s="46" t="s">
        <v>299</v>
      </c>
      <c r="K528" s="46" t="s">
        <v>90</v>
      </c>
      <c r="L528" s="389"/>
      <c r="M528" s="389"/>
      <c r="N528" s="46" t="s">
        <v>1612</v>
      </c>
      <c r="O528" s="45"/>
      <c r="P528" s="389"/>
      <c r="Q528" s="389"/>
      <c r="R528" s="389"/>
      <c r="S528" s="45"/>
      <c r="T528" s="46" t="s">
        <v>2513</v>
      </c>
      <c r="U528" s="44">
        <v>0.0</v>
      </c>
      <c r="V528" s="44">
        <v>13.0</v>
      </c>
      <c r="W528" s="389"/>
      <c r="X528" s="44">
        <v>0.0</v>
      </c>
      <c r="Y528" s="44">
        <v>0.0</v>
      </c>
      <c r="Z528" s="44">
        <v>0.0</v>
      </c>
      <c r="AA528" s="44">
        <v>0.0</v>
      </c>
      <c r="AB528" s="44">
        <v>0.0</v>
      </c>
      <c r="AC528" s="44">
        <v>0.0</v>
      </c>
      <c r="AD528" s="44">
        <v>0.0</v>
      </c>
      <c r="AE528" s="44">
        <v>0.0</v>
      </c>
      <c r="AF528" s="44">
        <v>0.0</v>
      </c>
      <c r="AG528" s="44">
        <v>0.0</v>
      </c>
      <c r="AH528" s="44">
        <v>0.0</v>
      </c>
      <c r="AI528" s="44">
        <v>0.0</v>
      </c>
      <c r="AJ528" s="44">
        <v>0.0</v>
      </c>
      <c r="AK528" s="44">
        <v>-3.00327</v>
      </c>
      <c r="AL528" s="44">
        <v>-1.68259</v>
      </c>
      <c r="AM528" s="44">
        <v>-2.50615</v>
      </c>
      <c r="AN528" s="44">
        <v>-1.80405</v>
      </c>
      <c r="AO528" s="44">
        <v>-3.00288</v>
      </c>
      <c r="AP528" s="44">
        <v>-1.35002</v>
      </c>
      <c r="AQ528" s="44">
        <v>0.007091</v>
      </c>
      <c r="AR528" s="44">
        <v>-0.01276</v>
      </c>
      <c r="AS528" s="44">
        <v>2.391792</v>
      </c>
    </row>
    <row r="529">
      <c r="A529" s="44">
        <v>567.0</v>
      </c>
      <c r="B529" s="389"/>
      <c r="C529" s="45"/>
      <c r="D529" s="45"/>
      <c r="E529" s="44">
        <v>-1.21809</v>
      </c>
      <c r="F529" s="44">
        <v>0.002174</v>
      </c>
      <c r="G529" s="44">
        <v>1.568629</v>
      </c>
      <c r="H529" s="389"/>
      <c r="I529" s="46" t="s">
        <v>2533</v>
      </c>
      <c r="J529" s="46" t="s">
        <v>350</v>
      </c>
      <c r="K529" s="46" t="s">
        <v>88</v>
      </c>
      <c r="L529" s="389"/>
      <c r="M529" s="389"/>
      <c r="N529" s="46" t="s">
        <v>1612</v>
      </c>
      <c r="O529" s="45"/>
      <c r="P529" s="389"/>
      <c r="Q529" s="389"/>
      <c r="R529" s="389"/>
      <c r="S529" s="45"/>
      <c r="T529" s="46" t="s">
        <v>2513</v>
      </c>
      <c r="U529" s="44">
        <v>0.0</v>
      </c>
      <c r="V529" s="44">
        <v>14.0</v>
      </c>
      <c r="W529" s="389"/>
      <c r="X529" s="44">
        <v>0.0</v>
      </c>
      <c r="Y529" s="44">
        <v>0.0</v>
      </c>
      <c r="Z529" s="44">
        <v>0.0</v>
      </c>
      <c r="AA529" s="44">
        <v>0.0</v>
      </c>
      <c r="AB529" s="44">
        <v>0.0</v>
      </c>
      <c r="AC529" s="44">
        <v>0.0</v>
      </c>
      <c r="AD529" s="44">
        <v>0.0</v>
      </c>
      <c r="AE529" s="44">
        <v>0.0</v>
      </c>
      <c r="AF529" s="44">
        <v>0.0</v>
      </c>
      <c r="AG529" s="44">
        <v>0.0</v>
      </c>
      <c r="AH529" s="44">
        <v>0.0</v>
      </c>
      <c r="AI529" s="44">
        <v>0.0</v>
      </c>
      <c r="AJ529" s="44">
        <v>0.0</v>
      </c>
      <c r="AK529" s="44">
        <v>-3.00327</v>
      </c>
      <c r="AL529" s="44">
        <v>-1.68259</v>
      </c>
      <c r="AM529" s="44">
        <v>-2.50615</v>
      </c>
      <c r="AN529" s="44">
        <v>-1.80405</v>
      </c>
      <c r="AO529" s="44">
        <v>-3.00288</v>
      </c>
      <c r="AP529" s="44">
        <v>-1.35002</v>
      </c>
      <c r="AQ529" s="44">
        <v>0.007091</v>
      </c>
      <c r="AR529" s="44">
        <v>-0.01276</v>
      </c>
      <c r="AS529" s="44">
        <v>2.391792</v>
      </c>
    </row>
    <row r="530">
      <c r="A530" s="44">
        <v>566.0</v>
      </c>
      <c r="B530" s="389"/>
      <c r="C530" s="45"/>
      <c r="D530" s="45"/>
      <c r="E530" s="44">
        <v>-1.21809</v>
      </c>
      <c r="F530" s="44">
        <v>0.002174</v>
      </c>
      <c r="G530" s="44">
        <v>-0.60583</v>
      </c>
      <c r="H530" s="389"/>
      <c r="I530" s="46" t="s">
        <v>2534</v>
      </c>
      <c r="J530" s="46" t="s">
        <v>278</v>
      </c>
      <c r="K530" s="46" t="s">
        <v>85</v>
      </c>
      <c r="L530" s="389"/>
      <c r="M530" s="389"/>
      <c r="N530" s="46" t="s">
        <v>1570</v>
      </c>
      <c r="O530" s="45"/>
      <c r="P530" s="389"/>
      <c r="Q530" s="45"/>
      <c r="R530" s="389"/>
      <c r="S530" s="45"/>
      <c r="T530" s="46" t="s">
        <v>2513</v>
      </c>
      <c r="U530" s="44">
        <v>0.0</v>
      </c>
      <c r="V530" s="44">
        <v>14.0</v>
      </c>
      <c r="W530" s="389"/>
      <c r="X530" s="44">
        <v>0.0</v>
      </c>
      <c r="Y530" s="44">
        <v>0.0</v>
      </c>
      <c r="Z530" s="44">
        <v>0.0</v>
      </c>
      <c r="AA530" s="44">
        <v>0.0</v>
      </c>
      <c r="AB530" s="44">
        <v>0.0</v>
      </c>
      <c r="AC530" s="44">
        <v>0.0</v>
      </c>
      <c r="AD530" s="44">
        <v>0.0</v>
      </c>
      <c r="AE530" s="44">
        <v>0.0</v>
      </c>
      <c r="AF530" s="44">
        <v>0.0</v>
      </c>
      <c r="AG530" s="44">
        <v>0.0</v>
      </c>
      <c r="AH530" s="44">
        <v>0.0</v>
      </c>
      <c r="AI530" s="44">
        <v>0.0</v>
      </c>
      <c r="AJ530" s="44">
        <v>0.0</v>
      </c>
      <c r="AK530" s="44">
        <v>-3.00327</v>
      </c>
      <c r="AL530" s="44">
        <v>-1.68259</v>
      </c>
      <c r="AM530" s="44">
        <v>-2.50615</v>
      </c>
      <c r="AN530" s="44">
        <v>-1.80405</v>
      </c>
      <c r="AO530" s="44">
        <v>-3.00288</v>
      </c>
      <c r="AP530" s="44">
        <v>-1.35002</v>
      </c>
      <c r="AQ530" s="44">
        <v>0.007091</v>
      </c>
      <c r="AR530" s="44">
        <v>-0.01276</v>
      </c>
      <c r="AS530" s="44">
        <v>2.391792</v>
      </c>
    </row>
    <row r="531">
      <c r="A531" s="44">
        <v>565.0</v>
      </c>
      <c r="B531" s="389"/>
      <c r="C531" s="45"/>
      <c r="D531" s="45"/>
      <c r="E531" s="44">
        <v>-1.21809</v>
      </c>
      <c r="F531" s="44">
        <v>0.002174</v>
      </c>
      <c r="G531" s="44">
        <v>1.568629</v>
      </c>
      <c r="H531" s="389"/>
      <c r="I531" s="46" t="s">
        <v>2535</v>
      </c>
      <c r="J531" s="46" t="s">
        <v>278</v>
      </c>
      <c r="K531" s="46" t="s">
        <v>97</v>
      </c>
      <c r="L531" s="389"/>
      <c r="M531" s="389"/>
      <c r="N531" s="46" t="s">
        <v>1612</v>
      </c>
      <c r="O531" s="45"/>
      <c r="P531" s="389"/>
      <c r="Q531" s="389"/>
      <c r="R531" s="389"/>
      <c r="S531" s="45"/>
      <c r="T531" s="46" t="s">
        <v>2513</v>
      </c>
      <c r="U531" s="44">
        <v>0.0</v>
      </c>
      <c r="V531" s="44">
        <v>14.0</v>
      </c>
      <c r="W531" s="389"/>
      <c r="X531" s="44">
        <v>0.0</v>
      </c>
      <c r="Y531" s="44">
        <v>0.0</v>
      </c>
      <c r="Z531" s="44">
        <v>0.0</v>
      </c>
      <c r="AA531" s="44">
        <v>0.0</v>
      </c>
      <c r="AB531" s="44">
        <v>0.0</v>
      </c>
      <c r="AC531" s="44">
        <v>0.0</v>
      </c>
      <c r="AD531" s="44">
        <v>0.0</v>
      </c>
      <c r="AE531" s="44">
        <v>0.0</v>
      </c>
      <c r="AF531" s="44">
        <v>0.0</v>
      </c>
      <c r="AG531" s="44">
        <v>0.0</v>
      </c>
      <c r="AH531" s="44">
        <v>0.0</v>
      </c>
      <c r="AI531" s="44">
        <v>0.0</v>
      </c>
      <c r="AJ531" s="44">
        <v>0.0</v>
      </c>
      <c r="AK531" s="44">
        <v>-3.00327</v>
      </c>
      <c r="AL531" s="44">
        <v>-1.68259</v>
      </c>
      <c r="AM531" s="44">
        <v>-2.50615</v>
      </c>
      <c r="AN531" s="44">
        <v>-1.80405</v>
      </c>
      <c r="AO531" s="44">
        <v>-3.00288</v>
      </c>
      <c r="AP531" s="44">
        <v>-1.35002</v>
      </c>
      <c r="AQ531" s="44">
        <v>0.007091</v>
      </c>
      <c r="AR531" s="44">
        <v>-0.01276</v>
      </c>
      <c r="AS531" s="44">
        <v>2.391792</v>
      </c>
    </row>
    <row r="532">
      <c r="A532" s="44">
        <v>564.0</v>
      </c>
      <c r="B532" s="389"/>
      <c r="C532" s="45"/>
      <c r="D532" s="45"/>
      <c r="E532" s="44">
        <v>-1.21809</v>
      </c>
      <c r="F532" s="44">
        <v>0.002174</v>
      </c>
      <c r="G532" s="44">
        <v>0.918151</v>
      </c>
      <c r="H532" s="389"/>
      <c r="I532" s="46" t="s">
        <v>2536</v>
      </c>
      <c r="J532" s="46" t="s">
        <v>295</v>
      </c>
      <c r="K532" s="46" t="s">
        <v>90</v>
      </c>
      <c r="L532" s="389"/>
      <c r="M532" s="389"/>
      <c r="N532" s="46" t="s">
        <v>1612</v>
      </c>
      <c r="O532" s="389"/>
      <c r="P532" s="389"/>
      <c r="Q532" s="389"/>
      <c r="R532" s="45"/>
      <c r="S532" s="45"/>
      <c r="T532" s="46" t="s">
        <v>2513</v>
      </c>
      <c r="U532" s="44">
        <v>0.0</v>
      </c>
      <c r="V532" s="44">
        <v>13.0</v>
      </c>
      <c r="W532" s="389"/>
      <c r="X532" s="44">
        <v>0.0</v>
      </c>
      <c r="Y532" s="44">
        <v>0.0</v>
      </c>
      <c r="Z532" s="44">
        <v>0.0</v>
      </c>
      <c r="AA532" s="44">
        <v>0.0</v>
      </c>
      <c r="AB532" s="44">
        <v>0.0</v>
      </c>
      <c r="AC532" s="44">
        <v>0.0</v>
      </c>
      <c r="AD532" s="44">
        <v>0.0</v>
      </c>
      <c r="AE532" s="44">
        <v>0.0</v>
      </c>
      <c r="AF532" s="44">
        <v>0.0</v>
      </c>
      <c r="AG532" s="44">
        <v>0.0</v>
      </c>
      <c r="AH532" s="44">
        <v>0.0</v>
      </c>
      <c r="AI532" s="44">
        <v>0.0</v>
      </c>
      <c r="AJ532" s="44">
        <v>0.0</v>
      </c>
      <c r="AK532" s="44">
        <v>-3.00327</v>
      </c>
      <c r="AL532" s="44">
        <v>-1.68259</v>
      </c>
      <c r="AM532" s="44">
        <v>-2.50615</v>
      </c>
      <c r="AN532" s="44">
        <v>-1.80405</v>
      </c>
      <c r="AO532" s="44">
        <v>-3.00288</v>
      </c>
      <c r="AP532" s="44">
        <v>-1.35002</v>
      </c>
      <c r="AQ532" s="44">
        <v>0.007091</v>
      </c>
      <c r="AR532" s="44">
        <v>-0.01276</v>
      </c>
      <c r="AS532" s="44">
        <v>2.391792</v>
      </c>
    </row>
    <row r="533">
      <c r="A533" s="44">
        <v>578.0</v>
      </c>
      <c r="B533" s="389"/>
      <c r="C533" s="45"/>
      <c r="D533" s="45"/>
      <c r="E533" s="44">
        <v>-1.21809</v>
      </c>
      <c r="F533" s="44">
        <v>0.002174</v>
      </c>
      <c r="G533" s="44">
        <v>1.568629</v>
      </c>
      <c r="H533" s="389"/>
      <c r="I533" s="46" t="s">
        <v>2537</v>
      </c>
      <c r="J533" s="46" t="s">
        <v>350</v>
      </c>
      <c r="K533" s="46" t="s">
        <v>88</v>
      </c>
      <c r="L533" s="389"/>
      <c r="M533" s="389"/>
      <c r="N533" s="46" t="s">
        <v>1612</v>
      </c>
      <c r="O533" s="45"/>
      <c r="P533" s="389"/>
      <c r="Q533" s="45"/>
      <c r="R533" s="389"/>
      <c r="S533" s="45"/>
      <c r="T533" s="46" t="s">
        <v>2513</v>
      </c>
      <c r="U533" s="44">
        <v>0.0</v>
      </c>
      <c r="V533" s="44">
        <v>14.0</v>
      </c>
      <c r="W533" s="389"/>
      <c r="X533" s="44">
        <v>0.0</v>
      </c>
      <c r="Y533" s="44">
        <v>0.0</v>
      </c>
      <c r="Z533" s="44">
        <v>0.0</v>
      </c>
      <c r="AA533" s="44">
        <v>0.0</v>
      </c>
      <c r="AB533" s="44">
        <v>0.0</v>
      </c>
      <c r="AC533" s="44">
        <v>0.0</v>
      </c>
      <c r="AD533" s="44">
        <v>0.0</v>
      </c>
      <c r="AE533" s="44">
        <v>0.0</v>
      </c>
      <c r="AF533" s="44">
        <v>0.0</v>
      </c>
      <c r="AG533" s="44">
        <v>0.0</v>
      </c>
      <c r="AH533" s="44">
        <v>0.0</v>
      </c>
      <c r="AI533" s="44">
        <v>0.0</v>
      </c>
      <c r="AJ533" s="44">
        <v>0.0</v>
      </c>
      <c r="AK533" s="44">
        <v>-3.00327</v>
      </c>
      <c r="AL533" s="44">
        <v>-1.68259</v>
      </c>
      <c r="AM533" s="44">
        <v>-2.50615</v>
      </c>
      <c r="AN533" s="44">
        <v>-1.80405</v>
      </c>
      <c r="AO533" s="44">
        <v>-3.00288</v>
      </c>
      <c r="AP533" s="44">
        <v>-1.35002</v>
      </c>
      <c r="AQ533" s="44">
        <v>0.007091</v>
      </c>
      <c r="AR533" s="44">
        <v>-0.01276</v>
      </c>
      <c r="AS533" s="44">
        <v>2.391792</v>
      </c>
    </row>
    <row r="534">
      <c r="A534" s="44">
        <v>562.0</v>
      </c>
      <c r="B534" s="44">
        <v>138.6667</v>
      </c>
      <c r="C534" s="44">
        <v>3.0</v>
      </c>
      <c r="D534" s="44">
        <v>0.0</v>
      </c>
      <c r="E534" s="44">
        <v>-1.21809</v>
      </c>
      <c r="F534" s="44">
        <v>0.002174</v>
      </c>
      <c r="G534" s="44">
        <v>1.187635</v>
      </c>
      <c r="H534" s="389"/>
      <c r="I534" s="46" t="s">
        <v>2538</v>
      </c>
      <c r="J534" s="46" t="s">
        <v>291</v>
      </c>
      <c r="K534" s="46" t="s">
        <v>1616</v>
      </c>
      <c r="L534" s="389"/>
      <c r="M534" s="389"/>
      <c r="N534" s="46" t="s">
        <v>1562</v>
      </c>
      <c r="O534" s="46" t="s">
        <v>1848</v>
      </c>
      <c r="P534" s="389"/>
      <c r="Q534" s="389"/>
      <c r="R534" s="45"/>
      <c r="S534" s="45"/>
      <c r="T534" s="46" t="s">
        <v>2513</v>
      </c>
      <c r="U534" s="44">
        <v>0.0</v>
      </c>
      <c r="V534" s="44">
        <v>14.0</v>
      </c>
      <c r="W534" s="389"/>
      <c r="X534" s="44">
        <v>0.0</v>
      </c>
      <c r="Y534" s="44">
        <v>0.0</v>
      </c>
      <c r="Z534" s="44">
        <v>0.0</v>
      </c>
      <c r="AA534" s="44">
        <v>0.0</v>
      </c>
      <c r="AB534" s="44">
        <v>0.0</v>
      </c>
      <c r="AC534" s="44">
        <v>0.0</v>
      </c>
      <c r="AD534" s="44">
        <v>0.0</v>
      </c>
      <c r="AE534" s="44">
        <v>0.0</v>
      </c>
      <c r="AF534" s="44">
        <v>0.0</v>
      </c>
      <c r="AG534" s="44">
        <v>0.0</v>
      </c>
      <c r="AH534" s="44">
        <v>0.0</v>
      </c>
      <c r="AI534" s="44">
        <v>0.0</v>
      </c>
      <c r="AJ534" s="44">
        <v>0.0</v>
      </c>
      <c r="AK534" s="44">
        <v>-3.00327</v>
      </c>
      <c r="AL534" s="44">
        <v>-1.68259</v>
      </c>
      <c r="AM534" s="44">
        <v>-2.50615</v>
      </c>
      <c r="AN534" s="44">
        <v>-1.80405</v>
      </c>
      <c r="AO534" s="44">
        <v>-3.00288</v>
      </c>
      <c r="AP534" s="44">
        <v>-1.35002</v>
      </c>
      <c r="AQ534" s="44">
        <v>0.007091</v>
      </c>
      <c r="AR534" s="44">
        <v>-0.01276</v>
      </c>
      <c r="AS534" s="44">
        <v>2.391792</v>
      </c>
    </row>
    <row r="535">
      <c r="A535" s="44">
        <v>561.0</v>
      </c>
      <c r="B535" s="389"/>
      <c r="C535" s="45"/>
      <c r="D535" s="45"/>
      <c r="E535" s="44">
        <v>-1.21809</v>
      </c>
      <c r="F535" s="44">
        <v>0.002174</v>
      </c>
      <c r="G535" s="44">
        <v>0.072528</v>
      </c>
      <c r="H535" s="389"/>
      <c r="I535" s="46" t="s">
        <v>2539</v>
      </c>
      <c r="J535" s="46" t="s">
        <v>495</v>
      </c>
      <c r="K535" s="46" t="s">
        <v>90</v>
      </c>
      <c r="L535" s="46" t="s">
        <v>2540</v>
      </c>
      <c r="M535" s="389"/>
      <c r="N535" s="46" t="s">
        <v>1570</v>
      </c>
      <c r="O535" s="389"/>
      <c r="P535" s="389"/>
      <c r="Q535" s="389"/>
      <c r="R535" s="46">
        <v>2.0</v>
      </c>
      <c r="S535" s="45"/>
      <c r="T535" s="46" t="s">
        <v>2513</v>
      </c>
      <c r="U535" s="44">
        <v>0.0</v>
      </c>
      <c r="V535" s="44">
        <v>14.0</v>
      </c>
      <c r="W535" s="389"/>
      <c r="X535" s="44">
        <v>0.0</v>
      </c>
      <c r="Y535" s="44">
        <v>0.0</v>
      </c>
      <c r="Z535" s="44">
        <v>0.0</v>
      </c>
      <c r="AA535" s="44">
        <v>0.0</v>
      </c>
      <c r="AB535" s="44">
        <v>0.0</v>
      </c>
      <c r="AC535" s="44">
        <v>0.0</v>
      </c>
      <c r="AD535" s="44">
        <v>0.0</v>
      </c>
      <c r="AE535" s="44">
        <v>0.0</v>
      </c>
      <c r="AF535" s="44">
        <v>0.0</v>
      </c>
      <c r="AG535" s="44">
        <v>0.0</v>
      </c>
      <c r="AH535" s="44">
        <v>0.0</v>
      </c>
      <c r="AI535" s="44">
        <v>0.0</v>
      </c>
      <c r="AJ535" s="44">
        <v>0.0</v>
      </c>
      <c r="AK535" s="44">
        <v>-3.00327</v>
      </c>
      <c r="AL535" s="44">
        <v>-1.68259</v>
      </c>
      <c r="AM535" s="44">
        <v>-2.50615</v>
      </c>
      <c r="AN535" s="44">
        <v>-1.80405</v>
      </c>
      <c r="AO535" s="44">
        <v>-3.00288</v>
      </c>
      <c r="AP535" s="44">
        <v>-1.35002</v>
      </c>
      <c r="AQ535" s="44">
        <v>0.007091</v>
      </c>
      <c r="AR535" s="44">
        <v>-0.01276</v>
      </c>
      <c r="AS535" s="44">
        <v>2.391792</v>
      </c>
    </row>
    <row r="536">
      <c r="A536" s="44">
        <v>569.0</v>
      </c>
      <c r="B536" s="389"/>
      <c r="C536" s="389"/>
      <c r="D536" s="389"/>
      <c r="E536" s="44">
        <v>-1.21809</v>
      </c>
      <c r="F536" s="44">
        <v>0.002174</v>
      </c>
      <c r="G536" s="44">
        <v>1.568629</v>
      </c>
      <c r="H536" s="389"/>
      <c r="I536" s="46" t="s">
        <v>2541</v>
      </c>
      <c r="J536" s="46" t="s">
        <v>495</v>
      </c>
      <c r="K536" s="46" t="s">
        <v>92</v>
      </c>
      <c r="L536" s="46" t="s">
        <v>2542</v>
      </c>
      <c r="M536" s="389"/>
      <c r="N536" s="46" t="s">
        <v>1612</v>
      </c>
      <c r="O536" s="46" t="s">
        <v>1595</v>
      </c>
      <c r="P536" s="389"/>
      <c r="Q536" s="389"/>
      <c r="R536" s="389"/>
      <c r="S536" s="45"/>
      <c r="T536" s="46" t="s">
        <v>2513</v>
      </c>
      <c r="U536" s="44">
        <v>0.0</v>
      </c>
      <c r="V536" s="44">
        <v>14.0</v>
      </c>
      <c r="W536" s="389"/>
      <c r="X536" s="44">
        <v>0.0</v>
      </c>
      <c r="Y536" s="44">
        <v>0.0</v>
      </c>
      <c r="Z536" s="44">
        <v>0.0</v>
      </c>
      <c r="AA536" s="44">
        <v>0.0</v>
      </c>
      <c r="AB536" s="44">
        <v>0.0</v>
      </c>
      <c r="AC536" s="44">
        <v>0.0</v>
      </c>
      <c r="AD536" s="44">
        <v>0.0</v>
      </c>
      <c r="AE536" s="44">
        <v>0.0</v>
      </c>
      <c r="AF536" s="44">
        <v>0.0</v>
      </c>
      <c r="AG536" s="44">
        <v>0.0</v>
      </c>
      <c r="AH536" s="44">
        <v>0.0</v>
      </c>
      <c r="AI536" s="44">
        <v>0.0</v>
      </c>
      <c r="AJ536" s="44">
        <v>0.0</v>
      </c>
      <c r="AK536" s="44">
        <v>-3.00327</v>
      </c>
      <c r="AL536" s="44">
        <v>-1.68259</v>
      </c>
      <c r="AM536" s="44">
        <v>-2.50615</v>
      </c>
      <c r="AN536" s="44">
        <v>-1.80405</v>
      </c>
      <c r="AO536" s="44">
        <v>-3.00288</v>
      </c>
      <c r="AP536" s="44">
        <v>-1.35002</v>
      </c>
      <c r="AQ536" s="44">
        <v>0.007091</v>
      </c>
      <c r="AR536" s="44">
        <v>-0.01276</v>
      </c>
      <c r="AS536" s="44">
        <v>2.391792</v>
      </c>
    </row>
    <row r="537">
      <c r="A537" s="44">
        <v>579.0</v>
      </c>
      <c r="B537" s="389"/>
      <c r="C537" s="45"/>
      <c r="D537" s="45"/>
      <c r="E537" s="44">
        <v>-1.21809</v>
      </c>
      <c r="F537" s="44">
        <v>0.002174</v>
      </c>
      <c r="G537" s="44">
        <v>1.568629</v>
      </c>
      <c r="H537" s="389"/>
      <c r="I537" s="46" t="s">
        <v>2543</v>
      </c>
      <c r="J537" s="46" t="s">
        <v>1639</v>
      </c>
      <c r="K537" s="46" t="s">
        <v>1572</v>
      </c>
      <c r="L537" s="389"/>
      <c r="M537" s="389"/>
      <c r="N537" s="46" t="s">
        <v>1612</v>
      </c>
      <c r="O537" s="389"/>
      <c r="P537" s="389"/>
      <c r="Q537" s="45"/>
      <c r="R537" s="45"/>
      <c r="S537" s="45"/>
      <c r="T537" s="46" t="s">
        <v>2513</v>
      </c>
      <c r="U537" s="44">
        <v>0.0</v>
      </c>
      <c r="V537" s="44">
        <v>15.0</v>
      </c>
      <c r="W537" s="389"/>
      <c r="X537" s="44">
        <v>0.0</v>
      </c>
      <c r="Y537" s="44">
        <v>0.0</v>
      </c>
      <c r="Z537" s="44">
        <v>0.0</v>
      </c>
      <c r="AA537" s="44">
        <v>0.0</v>
      </c>
      <c r="AB537" s="44">
        <v>0.0</v>
      </c>
      <c r="AC537" s="44">
        <v>0.0</v>
      </c>
      <c r="AD537" s="44">
        <v>0.0</v>
      </c>
      <c r="AE537" s="44">
        <v>0.0</v>
      </c>
      <c r="AF537" s="44">
        <v>0.0</v>
      </c>
      <c r="AG537" s="44">
        <v>0.0</v>
      </c>
      <c r="AH537" s="44">
        <v>0.0</v>
      </c>
      <c r="AI537" s="44">
        <v>0.0</v>
      </c>
      <c r="AJ537" s="44">
        <v>0.0</v>
      </c>
      <c r="AK537" s="44">
        <v>-3.00327</v>
      </c>
      <c r="AL537" s="44">
        <v>-1.68259</v>
      </c>
      <c r="AM537" s="44">
        <v>-2.50615</v>
      </c>
      <c r="AN537" s="44">
        <v>-1.80405</v>
      </c>
      <c r="AO537" s="44">
        <v>-3.00288</v>
      </c>
      <c r="AP537" s="44">
        <v>-1.35002</v>
      </c>
      <c r="AQ537" s="44">
        <v>0.007091</v>
      </c>
      <c r="AR537" s="44">
        <v>-0.01276</v>
      </c>
      <c r="AS537" s="44">
        <v>2.391792</v>
      </c>
    </row>
    <row r="538">
      <c r="A538" s="44">
        <v>585.0</v>
      </c>
      <c r="B538" s="389"/>
      <c r="C538" s="45"/>
      <c r="D538" s="45"/>
      <c r="E538" s="44">
        <v>-1.21809</v>
      </c>
      <c r="F538" s="44">
        <v>0.002174</v>
      </c>
      <c r="G538" s="44">
        <v>1.568629</v>
      </c>
      <c r="H538" s="389"/>
      <c r="I538" s="46" t="s">
        <v>2544</v>
      </c>
      <c r="J538" s="46" t="s">
        <v>375</v>
      </c>
      <c r="K538" s="46" t="s">
        <v>1572</v>
      </c>
      <c r="L538" s="389"/>
      <c r="M538" s="389"/>
      <c r="N538" s="46" t="s">
        <v>1612</v>
      </c>
      <c r="O538" s="389"/>
      <c r="P538" s="389"/>
      <c r="Q538" s="45"/>
      <c r="R538" s="45"/>
      <c r="S538" s="45"/>
      <c r="T538" s="46" t="s">
        <v>2513</v>
      </c>
      <c r="U538" s="44">
        <v>0.0</v>
      </c>
      <c r="V538" s="44">
        <v>15.0</v>
      </c>
      <c r="W538" s="389"/>
      <c r="X538" s="44">
        <v>0.0</v>
      </c>
      <c r="Y538" s="44">
        <v>0.0</v>
      </c>
      <c r="Z538" s="44">
        <v>0.0</v>
      </c>
      <c r="AA538" s="44">
        <v>0.0</v>
      </c>
      <c r="AB538" s="44">
        <v>0.0</v>
      </c>
      <c r="AC538" s="44">
        <v>0.0</v>
      </c>
      <c r="AD538" s="44">
        <v>0.0</v>
      </c>
      <c r="AE538" s="44">
        <v>0.0</v>
      </c>
      <c r="AF538" s="44">
        <v>0.0</v>
      </c>
      <c r="AG538" s="44">
        <v>0.0</v>
      </c>
      <c r="AH538" s="44">
        <v>0.0</v>
      </c>
      <c r="AI538" s="44">
        <v>0.0</v>
      </c>
      <c r="AJ538" s="44">
        <v>0.0</v>
      </c>
      <c r="AK538" s="44">
        <v>-3.00327</v>
      </c>
      <c r="AL538" s="44">
        <v>-1.68259</v>
      </c>
      <c r="AM538" s="44">
        <v>-2.50615</v>
      </c>
      <c r="AN538" s="44">
        <v>-1.80405</v>
      </c>
      <c r="AO538" s="44">
        <v>-3.00288</v>
      </c>
      <c r="AP538" s="44">
        <v>-1.35002</v>
      </c>
      <c r="AQ538" s="44">
        <v>0.007091</v>
      </c>
      <c r="AR538" s="44">
        <v>-0.01276</v>
      </c>
      <c r="AS538" s="44">
        <v>2.391792</v>
      </c>
    </row>
    <row r="539">
      <c r="A539" s="44">
        <v>581.0</v>
      </c>
      <c r="B539" s="389"/>
      <c r="C539" s="45"/>
      <c r="D539" s="45"/>
      <c r="E539" s="44">
        <v>-1.21809</v>
      </c>
      <c r="F539" s="44">
        <v>0.002174</v>
      </c>
      <c r="G539" s="44">
        <v>1.568629</v>
      </c>
      <c r="H539" s="389"/>
      <c r="I539" s="46" t="s">
        <v>2545</v>
      </c>
      <c r="J539" s="46" t="s">
        <v>350</v>
      </c>
      <c r="K539" s="46" t="s">
        <v>90</v>
      </c>
      <c r="L539" s="389"/>
      <c r="M539" s="45"/>
      <c r="N539" s="46" t="s">
        <v>1612</v>
      </c>
      <c r="O539" s="45"/>
      <c r="P539" s="389"/>
      <c r="Q539" s="45"/>
      <c r="R539" s="45"/>
      <c r="S539" s="45"/>
      <c r="T539" s="46" t="s">
        <v>2513</v>
      </c>
      <c r="U539" s="44">
        <v>0.0</v>
      </c>
      <c r="V539" s="44">
        <v>14.0</v>
      </c>
      <c r="W539" s="389"/>
      <c r="X539" s="44">
        <v>0.0</v>
      </c>
      <c r="Y539" s="44">
        <v>0.0</v>
      </c>
      <c r="Z539" s="44">
        <v>0.0</v>
      </c>
      <c r="AA539" s="44">
        <v>0.0</v>
      </c>
      <c r="AB539" s="44">
        <v>0.0</v>
      </c>
      <c r="AC539" s="44">
        <v>0.0</v>
      </c>
      <c r="AD539" s="44">
        <v>0.0</v>
      </c>
      <c r="AE539" s="44">
        <v>0.0</v>
      </c>
      <c r="AF539" s="44">
        <v>0.0</v>
      </c>
      <c r="AG539" s="44">
        <v>0.0</v>
      </c>
      <c r="AH539" s="44">
        <v>0.0</v>
      </c>
      <c r="AI539" s="44">
        <v>0.0</v>
      </c>
      <c r="AJ539" s="44">
        <v>0.0</v>
      </c>
      <c r="AK539" s="44">
        <v>-3.00327</v>
      </c>
      <c r="AL539" s="44">
        <v>-1.68259</v>
      </c>
      <c r="AM539" s="44">
        <v>-2.50615</v>
      </c>
      <c r="AN539" s="44">
        <v>-1.80405</v>
      </c>
      <c r="AO539" s="44">
        <v>-3.00288</v>
      </c>
      <c r="AP539" s="44">
        <v>-1.35002</v>
      </c>
      <c r="AQ539" s="44">
        <v>0.007091</v>
      </c>
      <c r="AR539" s="44">
        <v>-0.01276</v>
      </c>
      <c r="AS539" s="44">
        <v>2.391792</v>
      </c>
    </row>
    <row r="540">
      <c r="A540" s="44">
        <v>598.0</v>
      </c>
      <c r="B540" s="389"/>
      <c r="C540" s="45"/>
      <c r="D540" s="45"/>
      <c r="E540" s="44">
        <v>-1.21809</v>
      </c>
      <c r="F540" s="44">
        <v>0.002174</v>
      </c>
      <c r="G540" s="44">
        <v>1.568629</v>
      </c>
      <c r="H540" s="389"/>
      <c r="I540" s="46" t="s">
        <v>2546</v>
      </c>
      <c r="J540" s="46" t="s">
        <v>1578</v>
      </c>
      <c r="K540" s="46" t="s">
        <v>1568</v>
      </c>
      <c r="L540" s="389"/>
      <c r="M540" s="389"/>
      <c r="N540" s="46" t="s">
        <v>1612</v>
      </c>
      <c r="O540" s="389"/>
      <c r="P540" s="389"/>
      <c r="Q540" s="389"/>
      <c r="R540" s="45"/>
      <c r="S540" s="45"/>
      <c r="T540" s="46" t="s">
        <v>2513</v>
      </c>
      <c r="U540" s="44">
        <v>0.0</v>
      </c>
      <c r="V540" s="44">
        <v>15.0</v>
      </c>
      <c r="W540" s="389"/>
      <c r="X540" s="44">
        <v>0.0</v>
      </c>
      <c r="Y540" s="44">
        <v>0.0</v>
      </c>
      <c r="Z540" s="44">
        <v>0.0</v>
      </c>
      <c r="AA540" s="44">
        <v>0.0</v>
      </c>
      <c r="AB540" s="44">
        <v>0.0</v>
      </c>
      <c r="AC540" s="44">
        <v>0.0</v>
      </c>
      <c r="AD540" s="44">
        <v>0.0</v>
      </c>
      <c r="AE540" s="44">
        <v>0.0</v>
      </c>
      <c r="AF540" s="44">
        <v>0.0</v>
      </c>
      <c r="AG540" s="44">
        <v>0.0</v>
      </c>
      <c r="AH540" s="44">
        <v>0.0</v>
      </c>
      <c r="AI540" s="44">
        <v>0.0</v>
      </c>
      <c r="AJ540" s="44">
        <v>0.0</v>
      </c>
      <c r="AK540" s="44">
        <v>-3.00327</v>
      </c>
      <c r="AL540" s="44">
        <v>-1.68259</v>
      </c>
      <c r="AM540" s="44">
        <v>-2.50615</v>
      </c>
      <c r="AN540" s="44">
        <v>-1.80405</v>
      </c>
      <c r="AO540" s="44">
        <v>-3.00288</v>
      </c>
      <c r="AP540" s="44">
        <v>-1.35002</v>
      </c>
      <c r="AQ540" s="44">
        <v>0.007091</v>
      </c>
      <c r="AR540" s="44">
        <v>-0.01276</v>
      </c>
      <c r="AS540" s="44">
        <v>2.391792</v>
      </c>
    </row>
    <row r="541">
      <c r="A541" s="44">
        <v>597.0</v>
      </c>
      <c r="B541" s="389"/>
      <c r="C541" s="389"/>
      <c r="D541" s="389"/>
      <c r="E541" s="44">
        <v>-1.21809</v>
      </c>
      <c r="F541" s="44">
        <v>0.002174</v>
      </c>
      <c r="G541" s="44">
        <v>1.568629</v>
      </c>
      <c r="H541" s="389"/>
      <c r="I541" s="46" t="s">
        <v>2547</v>
      </c>
      <c r="J541" s="46" t="s">
        <v>379</v>
      </c>
      <c r="K541" s="46" t="s">
        <v>97</v>
      </c>
      <c r="L541" s="389"/>
      <c r="M541" s="389"/>
      <c r="N541" s="46" t="s">
        <v>1612</v>
      </c>
      <c r="O541" s="389"/>
      <c r="P541" s="389"/>
      <c r="Q541" s="389"/>
      <c r="R541" s="389"/>
      <c r="S541" s="45"/>
      <c r="T541" s="46" t="s">
        <v>2513</v>
      </c>
      <c r="U541" s="44">
        <v>0.0</v>
      </c>
      <c r="V541" s="44">
        <v>14.0</v>
      </c>
      <c r="W541" s="389"/>
      <c r="X541" s="44">
        <v>0.0</v>
      </c>
      <c r="Y541" s="44">
        <v>0.0</v>
      </c>
      <c r="Z541" s="44">
        <v>0.0</v>
      </c>
      <c r="AA541" s="44">
        <v>0.0</v>
      </c>
      <c r="AB541" s="44">
        <v>0.0</v>
      </c>
      <c r="AC541" s="44">
        <v>0.0</v>
      </c>
      <c r="AD541" s="44">
        <v>0.0</v>
      </c>
      <c r="AE541" s="44">
        <v>0.0</v>
      </c>
      <c r="AF541" s="44">
        <v>0.0</v>
      </c>
      <c r="AG541" s="44">
        <v>0.0</v>
      </c>
      <c r="AH541" s="44">
        <v>0.0</v>
      </c>
      <c r="AI541" s="44">
        <v>0.0</v>
      </c>
      <c r="AJ541" s="44">
        <v>0.0</v>
      </c>
      <c r="AK541" s="44">
        <v>-3.00327</v>
      </c>
      <c r="AL541" s="44">
        <v>-1.68259</v>
      </c>
      <c r="AM541" s="44">
        <v>-2.50615</v>
      </c>
      <c r="AN541" s="44">
        <v>-1.80405</v>
      </c>
      <c r="AO541" s="44">
        <v>-3.00288</v>
      </c>
      <c r="AP541" s="44">
        <v>-1.35002</v>
      </c>
      <c r="AQ541" s="44">
        <v>0.007091</v>
      </c>
      <c r="AR541" s="44">
        <v>-0.01276</v>
      </c>
      <c r="AS541" s="44">
        <v>2.391792</v>
      </c>
    </row>
    <row r="542">
      <c r="A542" s="44">
        <v>596.0</v>
      </c>
      <c r="B542" s="389"/>
      <c r="C542" s="45"/>
      <c r="D542" s="45"/>
      <c r="E542" s="44">
        <v>-1.21809</v>
      </c>
      <c r="F542" s="44">
        <v>0.0</v>
      </c>
      <c r="G542" s="44">
        <v>0.184039</v>
      </c>
      <c r="H542" s="389"/>
      <c r="I542" s="46" t="s">
        <v>2548</v>
      </c>
      <c r="J542" s="46" t="s">
        <v>295</v>
      </c>
      <c r="K542" s="46" t="s">
        <v>85</v>
      </c>
      <c r="L542" s="389"/>
      <c r="M542" s="389"/>
      <c r="N542" s="46" t="s">
        <v>1612</v>
      </c>
      <c r="O542" s="389"/>
      <c r="P542" s="389"/>
      <c r="Q542" s="389"/>
      <c r="R542" s="45"/>
      <c r="S542" s="45"/>
      <c r="T542" s="46" t="s">
        <v>2513</v>
      </c>
      <c r="U542" s="44">
        <v>0.0</v>
      </c>
      <c r="V542" s="44">
        <v>13.0</v>
      </c>
      <c r="W542" s="389"/>
      <c r="X542" s="44">
        <v>0.0</v>
      </c>
      <c r="Y542" s="44">
        <v>0.0</v>
      </c>
      <c r="Z542" s="44">
        <v>0.0</v>
      </c>
      <c r="AA542" s="44">
        <v>0.0</v>
      </c>
      <c r="AB542" s="44">
        <v>0.0</v>
      </c>
      <c r="AC542" s="44">
        <v>0.0</v>
      </c>
      <c r="AD542" s="44">
        <v>0.0</v>
      </c>
      <c r="AE542" s="44">
        <v>0.0</v>
      </c>
      <c r="AF542" s="44">
        <v>0.0</v>
      </c>
      <c r="AG542" s="44">
        <v>0.0</v>
      </c>
      <c r="AH542" s="44">
        <v>0.0</v>
      </c>
      <c r="AI542" s="44">
        <v>0.0</v>
      </c>
      <c r="AJ542" s="44">
        <v>0.0</v>
      </c>
      <c r="AK542" s="44">
        <v>-3.00327</v>
      </c>
      <c r="AL542" s="44">
        <v>-1.68259</v>
      </c>
      <c r="AM542" s="44">
        <v>-2.50615</v>
      </c>
      <c r="AN542" s="44">
        <v>-1.80405</v>
      </c>
      <c r="AO542" s="44">
        <v>-3.00288</v>
      </c>
      <c r="AP542" s="44">
        <v>-1.35002</v>
      </c>
      <c r="AQ542" s="44">
        <v>0.007091</v>
      </c>
      <c r="AR542" s="44">
        <v>-0.01276</v>
      </c>
      <c r="AS542" s="44">
        <v>2.391792</v>
      </c>
    </row>
    <row r="543">
      <c r="A543" s="44">
        <v>595.0</v>
      </c>
      <c r="B543" s="389"/>
      <c r="C543" s="45"/>
      <c r="D543" s="45"/>
      <c r="E543" s="44">
        <v>-1.21809</v>
      </c>
      <c r="F543" s="44">
        <v>0.002174</v>
      </c>
      <c r="G543" s="44">
        <v>1.550044</v>
      </c>
      <c r="H543" s="389"/>
      <c r="I543" s="46" t="s">
        <v>2549</v>
      </c>
      <c r="J543" s="46" t="s">
        <v>350</v>
      </c>
      <c r="K543" s="46" t="s">
        <v>88</v>
      </c>
      <c r="L543" s="389"/>
      <c r="M543" s="389"/>
      <c r="N543" s="46" t="s">
        <v>1562</v>
      </c>
      <c r="O543" s="46" t="s">
        <v>1648</v>
      </c>
      <c r="P543" s="389"/>
      <c r="Q543" s="389"/>
      <c r="R543" s="46">
        <v>1.0</v>
      </c>
      <c r="S543" s="45"/>
      <c r="T543" s="46" t="s">
        <v>2513</v>
      </c>
      <c r="U543" s="44">
        <v>0.0</v>
      </c>
      <c r="V543" s="44">
        <v>14.0</v>
      </c>
      <c r="W543" s="389"/>
      <c r="X543" s="44">
        <v>0.0</v>
      </c>
      <c r="Y543" s="44">
        <v>0.0</v>
      </c>
      <c r="Z543" s="44">
        <v>0.0</v>
      </c>
      <c r="AA543" s="44">
        <v>0.0</v>
      </c>
      <c r="AB543" s="44">
        <v>0.0</v>
      </c>
      <c r="AC543" s="44">
        <v>0.0</v>
      </c>
      <c r="AD543" s="44">
        <v>0.0</v>
      </c>
      <c r="AE543" s="44">
        <v>0.0</v>
      </c>
      <c r="AF543" s="44">
        <v>0.0</v>
      </c>
      <c r="AG543" s="44">
        <v>0.0</v>
      </c>
      <c r="AH543" s="44">
        <v>0.0</v>
      </c>
      <c r="AI543" s="44">
        <v>0.0</v>
      </c>
      <c r="AJ543" s="44">
        <v>0.0</v>
      </c>
      <c r="AK543" s="44">
        <v>-3.00327</v>
      </c>
      <c r="AL543" s="44">
        <v>-1.68259</v>
      </c>
      <c r="AM543" s="44">
        <v>-2.50615</v>
      </c>
      <c r="AN543" s="44">
        <v>-1.80405</v>
      </c>
      <c r="AO543" s="44">
        <v>-3.00288</v>
      </c>
      <c r="AP543" s="44">
        <v>-1.35002</v>
      </c>
      <c r="AQ543" s="44">
        <v>0.007091</v>
      </c>
      <c r="AR543" s="44">
        <v>-0.01276</v>
      </c>
      <c r="AS543" s="44">
        <v>2.391792</v>
      </c>
    </row>
    <row r="544">
      <c r="A544" s="44">
        <v>594.0</v>
      </c>
      <c r="B544" s="389"/>
      <c r="C544" s="45"/>
      <c r="D544" s="45"/>
      <c r="E544" s="44">
        <v>-1.21809</v>
      </c>
      <c r="F544" s="44">
        <v>0.002174</v>
      </c>
      <c r="G544" s="44">
        <v>0.40706</v>
      </c>
      <c r="H544" s="389"/>
      <c r="I544" s="46" t="s">
        <v>2550</v>
      </c>
      <c r="J544" s="46" t="s">
        <v>1608</v>
      </c>
      <c r="K544" s="46" t="s">
        <v>90</v>
      </c>
      <c r="L544" s="389"/>
      <c r="M544" s="389"/>
      <c r="N544" s="46" t="s">
        <v>1612</v>
      </c>
      <c r="O544" s="389"/>
      <c r="P544" s="389"/>
      <c r="Q544" s="389"/>
      <c r="R544" s="45"/>
      <c r="S544" s="45"/>
      <c r="T544" s="46" t="s">
        <v>2513</v>
      </c>
      <c r="U544" s="44">
        <v>0.0</v>
      </c>
      <c r="V544" s="44">
        <v>14.0</v>
      </c>
      <c r="W544" s="389"/>
      <c r="X544" s="44">
        <v>0.0</v>
      </c>
      <c r="Y544" s="44">
        <v>0.0</v>
      </c>
      <c r="Z544" s="44">
        <v>0.0</v>
      </c>
      <c r="AA544" s="44">
        <v>0.0</v>
      </c>
      <c r="AB544" s="44">
        <v>0.0</v>
      </c>
      <c r="AC544" s="44">
        <v>0.0</v>
      </c>
      <c r="AD544" s="44">
        <v>0.0</v>
      </c>
      <c r="AE544" s="44">
        <v>0.0</v>
      </c>
      <c r="AF544" s="44">
        <v>0.0</v>
      </c>
      <c r="AG544" s="44">
        <v>0.0</v>
      </c>
      <c r="AH544" s="44">
        <v>0.0</v>
      </c>
      <c r="AI544" s="44">
        <v>0.0</v>
      </c>
      <c r="AJ544" s="44">
        <v>0.0</v>
      </c>
      <c r="AK544" s="44">
        <v>-3.00327</v>
      </c>
      <c r="AL544" s="44">
        <v>-1.68259</v>
      </c>
      <c r="AM544" s="44">
        <v>-2.50615</v>
      </c>
      <c r="AN544" s="44">
        <v>-1.80405</v>
      </c>
      <c r="AO544" s="44">
        <v>-3.00288</v>
      </c>
      <c r="AP544" s="44">
        <v>-1.35002</v>
      </c>
      <c r="AQ544" s="44">
        <v>0.007091</v>
      </c>
      <c r="AR544" s="44">
        <v>-0.01276</v>
      </c>
      <c r="AS544" s="44">
        <v>2.391792</v>
      </c>
    </row>
    <row r="545">
      <c r="A545" s="44">
        <v>593.0</v>
      </c>
      <c r="B545" s="389"/>
      <c r="C545" s="389"/>
      <c r="D545" s="389"/>
      <c r="E545" s="44">
        <v>-1.21809</v>
      </c>
      <c r="F545" s="44">
        <v>0.002174</v>
      </c>
      <c r="G545" s="44">
        <v>1.540752</v>
      </c>
      <c r="H545" s="389"/>
      <c r="I545" s="46" t="s">
        <v>2551</v>
      </c>
      <c r="J545" s="46" t="s">
        <v>273</v>
      </c>
      <c r="K545" s="46" t="s">
        <v>1572</v>
      </c>
      <c r="L545" s="389"/>
      <c r="M545" s="389"/>
      <c r="N545" s="46" t="s">
        <v>1562</v>
      </c>
      <c r="O545" s="46" t="s">
        <v>1595</v>
      </c>
      <c r="P545" s="389"/>
      <c r="Q545" s="389"/>
      <c r="R545" s="45"/>
      <c r="S545" s="45"/>
      <c r="T545" s="46" t="s">
        <v>2513</v>
      </c>
      <c r="U545" s="44">
        <v>0.0</v>
      </c>
      <c r="V545" s="44">
        <v>13.0</v>
      </c>
      <c r="W545" s="389"/>
      <c r="X545" s="44">
        <v>0.0</v>
      </c>
      <c r="Y545" s="44">
        <v>0.0</v>
      </c>
      <c r="Z545" s="44">
        <v>0.0</v>
      </c>
      <c r="AA545" s="44">
        <v>0.0</v>
      </c>
      <c r="AB545" s="44">
        <v>0.0</v>
      </c>
      <c r="AC545" s="44">
        <v>0.0</v>
      </c>
      <c r="AD545" s="44">
        <v>0.0</v>
      </c>
      <c r="AE545" s="44">
        <v>0.0</v>
      </c>
      <c r="AF545" s="44">
        <v>0.0</v>
      </c>
      <c r="AG545" s="44">
        <v>0.0</v>
      </c>
      <c r="AH545" s="44">
        <v>0.0</v>
      </c>
      <c r="AI545" s="44">
        <v>0.0</v>
      </c>
      <c r="AJ545" s="44">
        <v>0.0</v>
      </c>
      <c r="AK545" s="44">
        <v>-3.00327</v>
      </c>
      <c r="AL545" s="44">
        <v>-1.68259</v>
      </c>
      <c r="AM545" s="44">
        <v>-2.50615</v>
      </c>
      <c r="AN545" s="44">
        <v>-1.80405</v>
      </c>
      <c r="AO545" s="44">
        <v>-3.00288</v>
      </c>
      <c r="AP545" s="44">
        <v>-1.35002</v>
      </c>
      <c r="AQ545" s="44">
        <v>0.007091</v>
      </c>
      <c r="AR545" s="44">
        <v>-0.01276</v>
      </c>
      <c r="AS545" s="44">
        <v>2.391792</v>
      </c>
    </row>
    <row r="546">
      <c r="A546" s="44">
        <v>592.0</v>
      </c>
      <c r="B546" s="389"/>
      <c r="C546" s="389"/>
      <c r="D546" s="389"/>
      <c r="E546" s="44">
        <v>-1.21809</v>
      </c>
      <c r="F546" s="44">
        <v>0.002174</v>
      </c>
      <c r="G546" s="44">
        <v>1.568629</v>
      </c>
      <c r="H546" s="389"/>
      <c r="I546" s="46" t="s">
        <v>2552</v>
      </c>
      <c r="J546" s="46" t="s">
        <v>283</v>
      </c>
      <c r="K546" s="46" t="s">
        <v>1568</v>
      </c>
      <c r="L546" s="389"/>
      <c r="M546" s="389"/>
      <c r="N546" s="46" t="s">
        <v>1612</v>
      </c>
      <c r="O546" s="389"/>
      <c r="P546" s="389"/>
      <c r="Q546" s="45"/>
      <c r="R546" s="45"/>
      <c r="S546" s="45"/>
      <c r="T546" s="46" t="s">
        <v>2513</v>
      </c>
      <c r="U546" s="44">
        <v>0.0</v>
      </c>
      <c r="V546" s="44">
        <v>14.0</v>
      </c>
      <c r="W546" s="389"/>
      <c r="X546" s="44">
        <v>0.0</v>
      </c>
      <c r="Y546" s="44">
        <v>0.0</v>
      </c>
      <c r="Z546" s="44">
        <v>0.0</v>
      </c>
      <c r="AA546" s="44">
        <v>0.0</v>
      </c>
      <c r="AB546" s="44">
        <v>0.0</v>
      </c>
      <c r="AC546" s="44">
        <v>0.0</v>
      </c>
      <c r="AD546" s="44">
        <v>0.0</v>
      </c>
      <c r="AE546" s="44">
        <v>0.0</v>
      </c>
      <c r="AF546" s="44">
        <v>0.0</v>
      </c>
      <c r="AG546" s="44">
        <v>0.0</v>
      </c>
      <c r="AH546" s="44">
        <v>0.0</v>
      </c>
      <c r="AI546" s="44">
        <v>0.0</v>
      </c>
      <c r="AJ546" s="44">
        <v>0.0</v>
      </c>
      <c r="AK546" s="44">
        <v>-3.00327</v>
      </c>
      <c r="AL546" s="44">
        <v>-1.68259</v>
      </c>
      <c r="AM546" s="44">
        <v>-2.50615</v>
      </c>
      <c r="AN546" s="44">
        <v>-1.80405</v>
      </c>
      <c r="AO546" s="44">
        <v>-3.00288</v>
      </c>
      <c r="AP546" s="44">
        <v>-1.35002</v>
      </c>
      <c r="AQ546" s="44">
        <v>0.007091</v>
      </c>
      <c r="AR546" s="44">
        <v>-0.01276</v>
      </c>
      <c r="AS546" s="44">
        <v>2.391792</v>
      </c>
    </row>
    <row r="547">
      <c r="A547" s="44">
        <v>591.0</v>
      </c>
      <c r="B547" s="389"/>
      <c r="C547" s="45"/>
      <c r="D547" s="45"/>
      <c r="E547" s="44">
        <v>-1.21809</v>
      </c>
      <c r="F547" s="44">
        <v>0.002174</v>
      </c>
      <c r="G547" s="44">
        <v>1.568629</v>
      </c>
      <c r="H547" s="389"/>
      <c r="I547" s="46" t="s">
        <v>2553</v>
      </c>
      <c r="J547" s="46" t="s">
        <v>299</v>
      </c>
      <c r="K547" s="46" t="s">
        <v>85</v>
      </c>
      <c r="L547" s="389"/>
      <c r="M547" s="389"/>
      <c r="N547" s="46" t="s">
        <v>1612</v>
      </c>
      <c r="O547" s="45"/>
      <c r="P547" s="389"/>
      <c r="Q547" s="45"/>
      <c r="R547" s="389"/>
      <c r="S547" s="45"/>
      <c r="T547" s="46" t="s">
        <v>2513</v>
      </c>
      <c r="U547" s="44">
        <v>0.0</v>
      </c>
      <c r="V547" s="44">
        <v>13.0</v>
      </c>
      <c r="W547" s="389"/>
      <c r="X547" s="44">
        <v>0.0</v>
      </c>
      <c r="Y547" s="44">
        <v>0.0</v>
      </c>
      <c r="Z547" s="44">
        <v>0.0</v>
      </c>
      <c r="AA547" s="44">
        <v>0.0</v>
      </c>
      <c r="AB547" s="44">
        <v>0.0</v>
      </c>
      <c r="AC547" s="44">
        <v>0.0</v>
      </c>
      <c r="AD547" s="44">
        <v>0.0</v>
      </c>
      <c r="AE547" s="44">
        <v>0.0</v>
      </c>
      <c r="AF547" s="44">
        <v>0.0</v>
      </c>
      <c r="AG547" s="44">
        <v>0.0</v>
      </c>
      <c r="AH547" s="44">
        <v>0.0</v>
      </c>
      <c r="AI547" s="44">
        <v>0.0</v>
      </c>
      <c r="AJ547" s="44">
        <v>0.0</v>
      </c>
      <c r="AK547" s="44">
        <v>-3.00327</v>
      </c>
      <c r="AL547" s="44">
        <v>-1.68259</v>
      </c>
      <c r="AM547" s="44">
        <v>-2.50615</v>
      </c>
      <c r="AN547" s="44">
        <v>-1.80405</v>
      </c>
      <c r="AO547" s="44">
        <v>-3.00288</v>
      </c>
      <c r="AP547" s="44">
        <v>-1.35002</v>
      </c>
      <c r="AQ547" s="44">
        <v>0.007091</v>
      </c>
      <c r="AR547" s="44">
        <v>-0.01276</v>
      </c>
      <c r="AS547" s="44">
        <v>2.391792</v>
      </c>
    </row>
    <row r="548">
      <c r="A548" s="44">
        <v>590.0</v>
      </c>
      <c r="B548" s="389"/>
      <c r="C548" s="45"/>
      <c r="D548" s="45"/>
      <c r="E548" s="44">
        <v>-1.21809</v>
      </c>
      <c r="F548" s="44">
        <v>0.002174</v>
      </c>
      <c r="G548" s="44">
        <v>0.853103</v>
      </c>
      <c r="H548" s="389"/>
      <c r="I548" s="46" t="s">
        <v>2554</v>
      </c>
      <c r="J548" s="46" t="s">
        <v>2555</v>
      </c>
      <c r="K548" s="46" t="s">
        <v>1568</v>
      </c>
      <c r="L548" s="46" t="s">
        <v>2556</v>
      </c>
      <c r="M548" s="389"/>
      <c r="N548" s="46" t="s">
        <v>1562</v>
      </c>
      <c r="O548" s="46" t="s">
        <v>1648</v>
      </c>
      <c r="P548" s="389"/>
      <c r="Q548" s="389"/>
      <c r="R548" s="46">
        <v>4.0</v>
      </c>
      <c r="S548" s="45"/>
      <c r="T548" s="46" t="s">
        <v>2513</v>
      </c>
      <c r="U548" s="44">
        <v>0.0</v>
      </c>
      <c r="V548" s="44">
        <v>0.0</v>
      </c>
      <c r="W548" s="389"/>
      <c r="X548" s="44">
        <v>0.0</v>
      </c>
      <c r="Y548" s="44">
        <v>0.0</v>
      </c>
      <c r="Z548" s="44">
        <v>0.0</v>
      </c>
      <c r="AA548" s="44">
        <v>0.0</v>
      </c>
      <c r="AB548" s="44">
        <v>0.0</v>
      </c>
      <c r="AC548" s="44">
        <v>0.0</v>
      </c>
      <c r="AD548" s="44">
        <v>0.0</v>
      </c>
      <c r="AE548" s="44">
        <v>0.0</v>
      </c>
      <c r="AF548" s="44">
        <v>0.0</v>
      </c>
      <c r="AG548" s="44">
        <v>0.0</v>
      </c>
      <c r="AH548" s="44">
        <v>0.0</v>
      </c>
      <c r="AI548" s="44">
        <v>0.0</v>
      </c>
      <c r="AJ548" s="44">
        <v>0.0</v>
      </c>
      <c r="AK548" s="44">
        <v>-3.00327</v>
      </c>
      <c r="AL548" s="44">
        <v>-1.68259</v>
      </c>
      <c r="AM548" s="44">
        <v>-2.50615</v>
      </c>
      <c r="AN548" s="44">
        <v>-1.80405</v>
      </c>
      <c r="AO548" s="44">
        <v>-3.00288</v>
      </c>
      <c r="AP548" s="44">
        <v>-1.35002</v>
      </c>
      <c r="AQ548" s="44">
        <v>0.007091</v>
      </c>
      <c r="AR548" s="44">
        <v>-0.01276</v>
      </c>
      <c r="AS548" s="44">
        <v>2.391792</v>
      </c>
    </row>
    <row r="549">
      <c r="A549" s="44">
        <v>589.0</v>
      </c>
      <c r="B549" s="45"/>
      <c r="C549" s="45"/>
      <c r="D549" s="45"/>
      <c r="E549" s="44">
        <v>-1.21809</v>
      </c>
      <c r="F549" s="44">
        <v>0.002174</v>
      </c>
      <c r="G549" s="44">
        <v>1.568629</v>
      </c>
      <c r="H549" s="45"/>
      <c r="I549" s="46" t="s">
        <v>2557</v>
      </c>
      <c r="J549" s="46" t="s">
        <v>283</v>
      </c>
      <c r="K549" s="46" t="s">
        <v>92</v>
      </c>
      <c r="L549" s="45"/>
      <c r="M549" s="45"/>
      <c r="N549" s="46" t="s">
        <v>1612</v>
      </c>
      <c r="O549" s="45"/>
      <c r="P549" s="45"/>
      <c r="Q549" s="45"/>
      <c r="R549" s="45"/>
      <c r="S549" s="45"/>
      <c r="T549" s="46" t="s">
        <v>2513</v>
      </c>
      <c r="U549" s="44">
        <v>0.0</v>
      </c>
      <c r="V549" s="44">
        <v>14.0</v>
      </c>
      <c r="W549" s="45"/>
      <c r="X549" s="44">
        <v>0.0</v>
      </c>
      <c r="Y549" s="44">
        <v>0.0</v>
      </c>
      <c r="Z549" s="44">
        <v>0.0</v>
      </c>
      <c r="AA549" s="44">
        <v>0.0</v>
      </c>
      <c r="AB549" s="44">
        <v>0.0</v>
      </c>
      <c r="AC549" s="44">
        <v>0.0</v>
      </c>
      <c r="AD549" s="44">
        <v>0.0</v>
      </c>
      <c r="AE549" s="44">
        <v>0.0</v>
      </c>
      <c r="AF549" s="44">
        <v>0.0</v>
      </c>
      <c r="AG549" s="44">
        <v>0.0</v>
      </c>
      <c r="AH549" s="44">
        <v>0.0</v>
      </c>
      <c r="AI549" s="44">
        <v>0.0</v>
      </c>
      <c r="AJ549" s="44">
        <v>0.0</v>
      </c>
      <c r="AK549" s="44">
        <v>-3.00327</v>
      </c>
      <c r="AL549" s="44">
        <v>-1.68259</v>
      </c>
      <c r="AM549" s="44">
        <v>-2.50615</v>
      </c>
      <c r="AN549" s="44">
        <v>-1.80405</v>
      </c>
      <c r="AO549" s="44">
        <v>-3.00288</v>
      </c>
      <c r="AP549" s="44">
        <v>-1.35002</v>
      </c>
      <c r="AQ549" s="44">
        <v>0.007091</v>
      </c>
      <c r="AR549" s="44">
        <v>-0.01276</v>
      </c>
      <c r="AS549" s="44">
        <v>2.391792</v>
      </c>
    </row>
    <row r="550">
      <c r="A550" s="44">
        <v>588.0</v>
      </c>
      <c r="B550" s="45"/>
      <c r="C550" s="45"/>
      <c r="D550" s="45"/>
      <c r="E550" s="44">
        <v>-1.21809</v>
      </c>
      <c r="F550" s="44">
        <v>0.002174</v>
      </c>
      <c r="G550" s="44">
        <v>1.568629</v>
      </c>
      <c r="H550" s="45"/>
      <c r="I550" s="46" t="s">
        <v>2558</v>
      </c>
      <c r="J550" s="46" t="s">
        <v>342</v>
      </c>
      <c r="K550" s="46" t="s">
        <v>1568</v>
      </c>
      <c r="L550" s="389"/>
      <c r="M550" s="45"/>
      <c r="N550" s="46" t="s">
        <v>1612</v>
      </c>
      <c r="O550" s="389"/>
      <c r="P550" s="45"/>
      <c r="Q550" s="45"/>
      <c r="R550" s="389"/>
      <c r="S550" s="45"/>
      <c r="T550" s="46" t="s">
        <v>2513</v>
      </c>
      <c r="U550" s="44">
        <v>0.0</v>
      </c>
      <c r="V550" s="44">
        <v>16.0</v>
      </c>
      <c r="W550" s="45"/>
      <c r="X550" s="44">
        <v>0.0</v>
      </c>
      <c r="Y550" s="44">
        <v>0.0</v>
      </c>
      <c r="Z550" s="44">
        <v>0.0</v>
      </c>
      <c r="AA550" s="44">
        <v>0.0</v>
      </c>
      <c r="AB550" s="44">
        <v>0.0</v>
      </c>
      <c r="AC550" s="44">
        <v>0.0</v>
      </c>
      <c r="AD550" s="44">
        <v>0.0</v>
      </c>
      <c r="AE550" s="44">
        <v>0.0</v>
      </c>
      <c r="AF550" s="44">
        <v>0.0</v>
      </c>
      <c r="AG550" s="44">
        <v>0.0</v>
      </c>
      <c r="AH550" s="44">
        <v>0.0</v>
      </c>
      <c r="AI550" s="44">
        <v>0.0</v>
      </c>
      <c r="AJ550" s="44">
        <v>0.0</v>
      </c>
      <c r="AK550" s="44">
        <v>-3.00327</v>
      </c>
      <c r="AL550" s="44">
        <v>-1.68259</v>
      </c>
      <c r="AM550" s="44">
        <v>-2.50615</v>
      </c>
      <c r="AN550" s="44">
        <v>-1.80405</v>
      </c>
      <c r="AO550" s="44">
        <v>-3.00288</v>
      </c>
      <c r="AP550" s="44">
        <v>-1.35002</v>
      </c>
      <c r="AQ550" s="44">
        <v>0.007091</v>
      </c>
      <c r="AR550" s="44">
        <v>-0.01276</v>
      </c>
      <c r="AS550" s="44">
        <v>2.391792</v>
      </c>
    </row>
    <row r="551">
      <c r="A551" s="44">
        <v>587.0</v>
      </c>
      <c r="B551" s="45"/>
      <c r="C551" s="45"/>
      <c r="D551" s="45"/>
      <c r="E551" s="44">
        <v>-1.21809</v>
      </c>
      <c r="F551" s="44">
        <v>0.002174</v>
      </c>
      <c r="G551" s="44">
        <v>1.447826</v>
      </c>
      <c r="H551" s="45"/>
      <c r="I551" s="46" t="s">
        <v>2559</v>
      </c>
      <c r="J551" s="46" t="s">
        <v>449</v>
      </c>
      <c r="K551" s="46" t="s">
        <v>92</v>
      </c>
      <c r="L551" s="45"/>
      <c r="M551" s="45"/>
      <c r="N551" s="46" t="s">
        <v>1612</v>
      </c>
      <c r="O551" s="45"/>
      <c r="P551" s="45"/>
      <c r="Q551" s="45"/>
      <c r="R551" s="45"/>
      <c r="S551" s="45"/>
      <c r="T551" s="46" t="s">
        <v>2513</v>
      </c>
      <c r="U551" s="44">
        <v>0.0</v>
      </c>
      <c r="V551" s="44">
        <v>13.0</v>
      </c>
      <c r="W551" s="45"/>
      <c r="X551" s="44">
        <v>0.0</v>
      </c>
      <c r="Y551" s="44">
        <v>0.0</v>
      </c>
      <c r="Z551" s="44">
        <v>0.0</v>
      </c>
      <c r="AA551" s="44">
        <v>0.0</v>
      </c>
      <c r="AB551" s="44">
        <v>0.0</v>
      </c>
      <c r="AC551" s="44">
        <v>0.0</v>
      </c>
      <c r="AD551" s="44">
        <v>0.0</v>
      </c>
      <c r="AE551" s="44">
        <v>0.0</v>
      </c>
      <c r="AF551" s="44">
        <v>0.0</v>
      </c>
      <c r="AG551" s="44">
        <v>0.0</v>
      </c>
      <c r="AH551" s="44">
        <v>0.0</v>
      </c>
      <c r="AI551" s="44">
        <v>0.0</v>
      </c>
      <c r="AJ551" s="44">
        <v>0.0</v>
      </c>
      <c r="AK551" s="44">
        <v>-3.00327</v>
      </c>
      <c r="AL551" s="44">
        <v>-1.68259</v>
      </c>
      <c r="AM551" s="44">
        <v>-2.50615</v>
      </c>
      <c r="AN551" s="44">
        <v>-1.80405</v>
      </c>
      <c r="AO551" s="44">
        <v>-3.00288</v>
      </c>
      <c r="AP551" s="44">
        <v>-1.35002</v>
      </c>
      <c r="AQ551" s="44">
        <v>0.007091</v>
      </c>
      <c r="AR551" s="44">
        <v>-0.01276</v>
      </c>
      <c r="AS551" s="44">
        <v>2.391792</v>
      </c>
    </row>
    <row r="552">
      <c r="A552" s="44">
        <v>586.0</v>
      </c>
      <c r="B552" s="45"/>
      <c r="C552" s="45"/>
      <c r="D552" s="45"/>
      <c r="E552" s="44">
        <v>-1.21809</v>
      </c>
      <c r="F552" s="44">
        <v>0.002174</v>
      </c>
      <c r="G552" s="44">
        <v>1.568629</v>
      </c>
      <c r="H552" s="45"/>
      <c r="I552" s="46" t="s">
        <v>2560</v>
      </c>
      <c r="J552" s="46" t="s">
        <v>317</v>
      </c>
      <c r="K552" s="46" t="s">
        <v>1572</v>
      </c>
      <c r="L552" s="45"/>
      <c r="M552" s="45"/>
      <c r="N552" s="46" t="s">
        <v>1612</v>
      </c>
      <c r="O552" s="45"/>
      <c r="P552" s="45"/>
      <c r="Q552" s="45"/>
      <c r="R552" s="45"/>
      <c r="S552" s="45"/>
      <c r="T552" s="46" t="s">
        <v>2513</v>
      </c>
      <c r="U552" s="44">
        <v>0.0</v>
      </c>
      <c r="V552" s="44">
        <v>14.0</v>
      </c>
      <c r="W552" s="45"/>
      <c r="X552" s="44">
        <v>0.0</v>
      </c>
      <c r="Y552" s="44">
        <v>0.0</v>
      </c>
      <c r="Z552" s="44">
        <v>0.0</v>
      </c>
      <c r="AA552" s="44">
        <v>0.0</v>
      </c>
      <c r="AB552" s="44">
        <v>0.0</v>
      </c>
      <c r="AC552" s="44">
        <v>0.0</v>
      </c>
      <c r="AD552" s="44">
        <v>0.0</v>
      </c>
      <c r="AE552" s="44">
        <v>0.0</v>
      </c>
      <c r="AF552" s="44">
        <v>0.0</v>
      </c>
      <c r="AG552" s="44">
        <v>0.0</v>
      </c>
      <c r="AH552" s="44">
        <v>0.0</v>
      </c>
      <c r="AI552" s="44">
        <v>0.0</v>
      </c>
      <c r="AJ552" s="44">
        <v>0.0</v>
      </c>
      <c r="AK552" s="44">
        <v>-3.00327</v>
      </c>
      <c r="AL552" s="44">
        <v>-1.68259</v>
      </c>
      <c r="AM552" s="44">
        <v>-2.50615</v>
      </c>
      <c r="AN552" s="44">
        <v>-1.80405</v>
      </c>
      <c r="AO552" s="44">
        <v>-3.00288</v>
      </c>
      <c r="AP552" s="44">
        <v>-1.35002</v>
      </c>
      <c r="AQ552" s="44">
        <v>0.007091</v>
      </c>
      <c r="AR552" s="44">
        <v>-0.01276</v>
      </c>
      <c r="AS552" s="44">
        <v>2.391792</v>
      </c>
    </row>
    <row r="553">
      <c r="A553" s="44">
        <v>560.0</v>
      </c>
      <c r="B553" s="45"/>
      <c r="C553" s="45"/>
      <c r="D553" s="45"/>
      <c r="E553" s="44">
        <v>-1.21809</v>
      </c>
      <c r="F553" s="44">
        <v>0.002174</v>
      </c>
      <c r="G553" s="44">
        <v>0.797347</v>
      </c>
      <c r="H553" s="45"/>
      <c r="I553" s="46" t="s">
        <v>2561</v>
      </c>
      <c r="J553" s="46" t="s">
        <v>490</v>
      </c>
      <c r="K553" s="46" t="s">
        <v>92</v>
      </c>
      <c r="L553" s="389"/>
      <c r="M553" s="45"/>
      <c r="N553" s="46" t="s">
        <v>1570</v>
      </c>
      <c r="O553" s="46" t="s">
        <v>1776</v>
      </c>
      <c r="P553" s="45"/>
      <c r="Q553" s="45"/>
      <c r="R553" s="389"/>
      <c r="S553" s="45"/>
      <c r="T553" s="46" t="s">
        <v>2513</v>
      </c>
      <c r="U553" s="44">
        <v>0.0</v>
      </c>
      <c r="V553" s="44">
        <v>16.0</v>
      </c>
      <c r="W553" s="45"/>
      <c r="X553" s="44">
        <v>0.0</v>
      </c>
      <c r="Y553" s="44">
        <v>0.0</v>
      </c>
      <c r="Z553" s="44">
        <v>0.0</v>
      </c>
      <c r="AA553" s="44">
        <v>0.0</v>
      </c>
      <c r="AB553" s="44">
        <v>0.0</v>
      </c>
      <c r="AC553" s="44">
        <v>0.0</v>
      </c>
      <c r="AD553" s="44">
        <v>0.0</v>
      </c>
      <c r="AE553" s="44">
        <v>0.0</v>
      </c>
      <c r="AF553" s="44">
        <v>0.0</v>
      </c>
      <c r="AG553" s="44">
        <v>0.0</v>
      </c>
      <c r="AH553" s="44">
        <v>0.0</v>
      </c>
      <c r="AI553" s="44">
        <v>0.0</v>
      </c>
      <c r="AJ553" s="44">
        <v>0.0</v>
      </c>
      <c r="AK553" s="44">
        <v>-3.00327</v>
      </c>
      <c r="AL553" s="44">
        <v>-1.68259</v>
      </c>
      <c r="AM553" s="44">
        <v>-2.50615</v>
      </c>
      <c r="AN553" s="44">
        <v>-1.80405</v>
      </c>
      <c r="AO553" s="44">
        <v>-3.00288</v>
      </c>
      <c r="AP553" s="44">
        <v>-1.35002</v>
      </c>
      <c r="AQ553" s="44">
        <v>0.007091</v>
      </c>
      <c r="AR553" s="44">
        <v>-0.01276</v>
      </c>
      <c r="AS553" s="44">
        <v>2.391792</v>
      </c>
    </row>
    <row r="554">
      <c r="A554" s="44">
        <v>584.0</v>
      </c>
      <c r="B554" s="45"/>
      <c r="C554" s="45"/>
      <c r="D554" s="45"/>
      <c r="E554" s="44">
        <v>-1.21809</v>
      </c>
      <c r="F554" s="44">
        <v>0.002174</v>
      </c>
      <c r="G554" s="44">
        <v>1.568629</v>
      </c>
      <c r="H554" s="45"/>
      <c r="I554" s="46" t="s">
        <v>2562</v>
      </c>
      <c r="J554" s="46" t="s">
        <v>317</v>
      </c>
      <c r="K554" s="46" t="s">
        <v>1572</v>
      </c>
      <c r="L554" s="389"/>
      <c r="M554" s="45"/>
      <c r="N554" s="46" t="s">
        <v>1612</v>
      </c>
      <c r="O554" s="389"/>
      <c r="P554" s="45"/>
      <c r="Q554" s="45"/>
      <c r="R554" s="389"/>
      <c r="S554" s="45"/>
      <c r="T554" s="46" t="s">
        <v>2513</v>
      </c>
      <c r="U554" s="44">
        <v>0.0</v>
      </c>
      <c r="V554" s="44">
        <v>14.0</v>
      </c>
      <c r="W554" s="45"/>
      <c r="X554" s="44">
        <v>0.0</v>
      </c>
      <c r="Y554" s="44">
        <v>0.0</v>
      </c>
      <c r="Z554" s="44">
        <v>0.0</v>
      </c>
      <c r="AA554" s="44">
        <v>0.0</v>
      </c>
      <c r="AB554" s="44">
        <v>0.0</v>
      </c>
      <c r="AC554" s="44">
        <v>0.0</v>
      </c>
      <c r="AD554" s="44">
        <v>0.0</v>
      </c>
      <c r="AE554" s="44">
        <v>0.0</v>
      </c>
      <c r="AF554" s="44">
        <v>0.0</v>
      </c>
      <c r="AG554" s="44">
        <v>0.0</v>
      </c>
      <c r="AH554" s="44">
        <v>0.0</v>
      </c>
      <c r="AI554" s="44">
        <v>0.0</v>
      </c>
      <c r="AJ554" s="44">
        <v>0.0</v>
      </c>
      <c r="AK554" s="44">
        <v>-3.00327</v>
      </c>
      <c r="AL554" s="44">
        <v>-1.68259</v>
      </c>
      <c r="AM554" s="44">
        <v>-2.50615</v>
      </c>
      <c r="AN554" s="44">
        <v>-1.80405</v>
      </c>
      <c r="AO554" s="44">
        <v>-3.00288</v>
      </c>
      <c r="AP554" s="44">
        <v>-1.35002</v>
      </c>
      <c r="AQ554" s="44">
        <v>0.007091</v>
      </c>
      <c r="AR554" s="44">
        <v>-0.01276</v>
      </c>
      <c r="AS554" s="44">
        <v>2.391792</v>
      </c>
    </row>
    <row r="555">
      <c r="A555" s="44">
        <v>583.0</v>
      </c>
      <c r="B555" s="45"/>
      <c r="C555" s="45"/>
      <c r="D555" s="45"/>
      <c r="E555" s="44">
        <v>-1.21809</v>
      </c>
      <c r="F555" s="44">
        <v>0.002174</v>
      </c>
      <c r="G555" s="44">
        <v>1.289853</v>
      </c>
      <c r="H555" s="45"/>
      <c r="I555" s="46" t="s">
        <v>2563</v>
      </c>
      <c r="J555" s="46" t="s">
        <v>273</v>
      </c>
      <c r="K555" s="46" t="s">
        <v>85</v>
      </c>
      <c r="L555" s="45"/>
      <c r="M555" s="45"/>
      <c r="N555" s="46" t="s">
        <v>1612</v>
      </c>
      <c r="O555" s="389"/>
      <c r="P555" s="45"/>
      <c r="Q555" s="45"/>
      <c r="R555" s="45"/>
      <c r="S555" s="45"/>
      <c r="T555" s="46" t="s">
        <v>2513</v>
      </c>
      <c r="U555" s="44">
        <v>0.0</v>
      </c>
      <c r="V555" s="44">
        <v>13.0</v>
      </c>
      <c r="W555" s="45"/>
      <c r="X555" s="44">
        <v>0.0</v>
      </c>
      <c r="Y555" s="44">
        <v>0.0</v>
      </c>
      <c r="Z555" s="44">
        <v>0.0</v>
      </c>
      <c r="AA555" s="44">
        <v>0.0</v>
      </c>
      <c r="AB555" s="44">
        <v>0.0</v>
      </c>
      <c r="AC555" s="44">
        <v>0.0</v>
      </c>
      <c r="AD555" s="44">
        <v>0.0</v>
      </c>
      <c r="AE555" s="44">
        <v>0.0</v>
      </c>
      <c r="AF555" s="44">
        <v>0.0</v>
      </c>
      <c r="AG555" s="44">
        <v>0.0</v>
      </c>
      <c r="AH555" s="44">
        <v>0.0</v>
      </c>
      <c r="AI555" s="44">
        <v>0.0</v>
      </c>
      <c r="AJ555" s="44">
        <v>0.0</v>
      </c>
      <c r="AK555" s="44">
        <v>-3.00327</v>
      </c>
      <c r="AL555" s="44">
        <v>-1.68259</v>
      </c>
      <c r="AM555" s="44">
        <v>-2.50615</v>
      </c>
      <c r="AN555" s="44">
        <v>-1.80405</v>
      </c>
      <c r="AO555" s="44">
        <v>-3.00288</v>
      </c>
      <c r="AP555" s="44">
        <v>-1.35002</v>
      </c>
      <c r="AQ555" s="44">
        <v>0.007091</v>
      </c>
      <c r="AR555" s="44">
        <v>-0.01276</v>
      </c>
      <c r="AS555" s="44">
        <v>2.391792</v>
      </c>
    </row>
    <row r="556">
      <c r="A556" s="44">
        <v>582.0</v>
      </c>
      <c r="B556" s="389"/>
      <c r="C556" s="389"/>
      <c r="D556" s="389"/>
      <c r="E556" s="44">
        <v>-1.21809</v>
      </c>
      <c r="F556" s="44">
        <v>0.002174</v>
      </c>
      <c r="G556" s="44">
        <v>1.568629</v>
      </c>
      <c r="H556" s="45"/>
      <c r="I556" s="46" t="s">
        <v>2564</v>
      </c>
      <c r="J556" s="46" t="s">
        <v>379</v>
      </c>
      <c r="K556" s="46" t="s">
        <v>1572</v>
      </c>
      <c r="L556" s="389"/>
      <c r="M556" s="389"/>
      <c r="N556" s="46" t="s">
        <v>1612</v>
      </c>
      <c r="O556" s="389"/>
      <c r="P556" s="45"/>
      <c r="Q556" s="45"/>
      <c r="R556" s="389"/>
      <c r="S556" s="45"/>
      <c r="T556" s="46" t="s">
        <v>2513</v>
      </c>
      <c r="U556" s="44">
        <v>0.0</v>
      </c>
      <c r="V556" s="44">
        <v>14.0</v>
      </c>
      <c r="W556" s="45"/>
      <c r="X556" s="44">
        <v>0.0</v>
      </c>
      <c r="Y556" s="44">
        <v>0.0</v>
      </c>
      <c r="Z556" s="44">
        <v>0.0</v>
      </c>
      <c r="AA556" s="44">
        <v>0.0</v>
      </c>
      <c r="AB556" s="44">
        <v>0.0</v>
      </c>
      <c r="AC556" s="44">
        <v>0.0</v>
      </c>
      <c r="AD556" s="44">
        <v>0.0</v>
      </c>
      <c r="AE556" s="44">
        <v>0.0</v>
      </c>
      <c r="AF556" s="44">
        <v>0.0</v>
      </c>
      <c r="AG556" s="44">
        <v>0.0</v>
      </c>
      <c r="AH556" s="44">
        <v>0.0</v>
      </c>
      <c r="AI556" s="44">
        <v>0.0</v>
      </c>
      <c r="AJ556" s="44">
        <v>0.0</v>
      </c>
      <c r="AK556" s="44">
        <v>-3.00327</v>
      </c>
      <c r="AL556" s="44">
        <v>-1.68259</v>
      </c>
      <c r="AM556" s="44">
        <v>-2.50615</v>
      </c>
      <c r="AN556" s="44">
        <v>-1.80405</v>
      </c>
      <c r="AO556" s="44">
        <v>-3.00288</v>
      </c>
      <c r="AP556" s="44">
        <v>-1.35002</v>
      </c>
      <c r="AQ556" s="44">
        <v>0.007091</v>
      </c>
      <c r="AR556" s="44">
        <v>-0.01276</v>
      </c>
      <c r="AS556" s="44">
        <v>2.391792</v>
      </c>
    </row>
    <row r="557">
      <c r="A557" s="44">
        <v>580.0</v>
      </c>
      <c r="B557" s="45"/>
      <c r="C557" s="45"/>
      <c r="D557" s="45"/>
      <c r="E557" s="44">
        <v>-1.21809</v>
      </c>
      <c r="F557" s="44">
        <v>0.002174</v>
      </c>
      <c r="G557" s="44">
        <v>1.568629</v>
      </c>
      <c r="H557" s="45"/>
      <c r="I557" s="46" t="s">
        <v>2565</v>
      </c>
      <c r="J557" s="46" t="s">
        <v>283</v>
      </c>
      <c r="K557" s="46" t="s">
        <v>1568</v>
      </c>
      <c r="L557" s="45"/>
      <c r="M557" s="45"/>
      <c r="N557" s="46" t="s">
        <v>1612</v>
      </c>
      <c r="O557" s="45"/>
      <c r="P557" s="45"/>
      <c r="Q557" s="45"/>
      <c r="R557" s="45"/>
      <c r="S557" s="45"/>
      <c r="T557" s="46" t="s">
        <v>2513</v>
      </c>
      <c r="U557" s="44">
        <v>0.0</v>
      </c>
      <c r="V557" s="44">
        <v>14.0</v>
      </c>
      <c r="W557" s="45"/>
      <c r="X557" s="44">
        <v>0.0</v>
      </c>
      <c r="Y557" s="44">
        <v>0.0</v>
      </c>
      <c r="Z557" s="44">
        <v>0.0</v>
      </c>
      <c r="AA557" s="44">
        <v>0.0</v>
      </c>
      <c r="AB557" s="44">
        <v>0.0</v>
      </c>
      <c r="AC557" s="44">
        <v>0.0</v>
      </c>
      <c r="AD557" s="44">
        <v>0.0</v>
      </c>
      <c r="AE557" s="44">
        <v>0.0</v>
      </c>
      <c r="AF557" s="44">
        <v>0.0</v>
      </c>
      <c r="AG557" s="44">
        <v>0.0</v>
      </c>
      <c r="AH557" s="44">
        <v>0.0</v>
      </c>
      <c r="AI557" s="44">
        <v>0.0</v>
      </c>
      <c r="AJ557" s="44">
        <v>0.0</v>
      </c>
      <c r="AK557" s="44">
        <v>-3.00327</v>
      </c>
      <c r="AL557" s="44">
        <v>-1.68259</v>
      </c>
      <c r="AM557" s="44">
        <v>-2.50615</v>
      </c>
      <c r="AN557" s="44">
        <v>-1.80405</v>
      </c>
      <c r="AO557" s="44">
        <v>-3.00288</v>
      </c>
      <c r="AP557" s="44">
        <v>-1.35002</v>
      </c>
      <c r="AQ557" s="44">
        <v>0.007091</v>
      </c>
      <c r="AR557" s="44">
        <v>-0.01276</v>
      </c>
      <c r="AS557" s="44">
        <v>2.391792</v>
      </c>
    </row>
    <row r="558">
      <c r="A558" s="44">
        <v>559.0</v>
      </c>
      <c r="B558" s="389"/>
      <c r="C558" s="389"/>
      <c r="D558" s="389"/>
      <c r="E558" s="44">
        <v>-1.21809</v>
      </c>
      <c r="F558" s="44">
        <v>0.002174</v>
      </c>
      <c r="G558" s="44">
        <v>0.667252</v>
      </c>
      <c r="H558" s="45"/>
      <c r="I558" s="46" t="s">
        <v>2566</v>
      </c>
      <c r="J558" s="46" t="s">
        <v>379</v>
      </c>
      <c r="K558" s="46" t="s">
        <v>90</v>
      </c>
      <c r="L558" s="45"/>
      <c r="M558" s="389"/>
      <c r="N558" s="46" t="s">
        <v>1612</v>
      </c>
      <c r="O558" s="45"/>
      <c r="P558" s="45"/>
      <c r="Q558" s="45"/>
      <c r="R558" s="45"/>
      <c r="S558" s="45"/>
      <c r="T558" s="46" t="s">
        <v>2513</v>
      </c>
      <c r="U558" s="44">
        <v>0.0</v>
      </c>
      <c r="V558" s="44">
        <v>14.0</v>
      </c>
      <c r="W558" s="45"/>
      <c r="X558" s="44">
        <v>0.0</v>
      </c>
      <c r="Y558" s="44">
        <v>0.0</v>
      </c>
      <c r="Z558" s="44">
        <v>0.0</v>
      </c>
      <c r="AA558" s="44">
        <v>0.0</v>
      </c>
      <c r="AB558" s="44">
        <v>0.0</v>
      </c>
      <c r="AC558" s="44">
        <v>0.0</v>
      </c>
      <c r="AD558" s="44">
        <v>0.0</v>
      </c>
      <c r="AE558" s="44">
        <v>0.0</v>
      </c>
      <c r="AF558" s="44">
        <v>0.0</v>
      </c>
      <c r="AG558" s="44">
        <v>0.0</v>
      </c>
      <c r="AH558" s="44">
        <v>0.0</v>
      </c>
      <c r="AI558" s="44">
        <v>0.0</v>
      </c>
      <c r="AJ558" s="44">
        <v>0.0</v>
      </c>
      <c r="AK558" s="44">
        <v>-3.00327</v>
      </c>
      <c r="AL558" s="44">
        <v>-1.68259</v>
      </c>
      <c r="AM558" s="44">
        <v>-2.50615</v>
      </c>
      <c r="AN558" s="44">
        <v>-1.80405</v>
      </c>
      <c r="AO558" s="44">
        <v>-3.00288</v>
      </c>
      <c r="AP558" s="44">
        <v>-1.35002</v>
      </c>
      <c r="AQ558" s="44">
        <v>0.007091</v>
      </c>
      <c r="AR558" s="44">
        <v>-0.01276</v>
      </c>
      <c r="AS558" s="44">
        <v>2.391792</v>
      </c>
    </row>
    <row r="559">
      <c r="A559" s="44">
        <v>525.0</v>
      </c>
      <c r="B559" s="45"/>
      <c r="C559" s="45"/>
      <c r="D559" s="45"/>
      <c r="E559" s="44">
        <v>-1.21809</v>
      </c>
      <c r="F559" s="44">
        <v>0.0</v>
      </c>
      <c r="G559" s="44">
        <v>1.568629</v>
      </c>
      <c r="H559" s="45"/>
      <c r="I559" s="46" t="s">
        <v>2567</v>
      </c>
      <c r="J559" s="46" t="s">
        <v>442</v>
      </c>
      <c r="K559" s="46" t="s">
        <v>1568</v>
      </c>
      <c r="L559" s="45"/>
      <c r="M559" s="45"/>
      <c r="N559" s="46" t="s">
        <v>1612</v>
      </c>
      <c r="O559" s="389"/>
      <c r="P559" s="45"/>
      <c r="Q559" s="45"/>
      <c r="R559" s="389"/>
      <c r="S559" s="45"/>
      <c r="T559" s="46" t="s">
        <v>2513</v>
      </c>
      <c r="U559" s="44">
        <v>0.0</v>
      </c>
      <c r="V559" s="44">
        <v>14.0</v>
      </c>
      <c r="W559" s="45"/>
      <c r="X559" s="44">
        <v>0.0</v>
      </c>
      <c r="Y559" s="44">
        <v>0.0</v>
      </c>
      <c r="Z559" s="44">
        <v>0.0</v>
      </c>
      <c r="AA559" s="44">
        <v>0.0</v>
      </c>
      <c r="AB559" s="44">
        <v>0.0</v>
      </c>
      <c r="AC559" s="44">
        <v>0.0</v>
      </c>
      <c r="AD559" s="44">
        <v>0.0</v>
      </c>
      <c r="AE559" s="44">
        <v>0.0</v>
      </c>
      <c r="AF559" s="44">
        <v>0.0</v>
      </c>
      <c r="AG559" s="44">
        <v>0.0</v>
      </c>
      <c r="AH559" s="44">
        <v>0.0</v>
      </c>
      <c r="AI559" s="44">
        <v>0.0</v>
      </c>
      <c r="AJ559" s="44">
        <v>0.0</v>
      </c>
      <c r="AK559" s="44">
        <v>-3.00327</v>
      </c>
      <c r="AL559" s="44">
        <v>-1.68259</v>
      </c>
      <c r="AM559" s="44">
        <v>-2.50615</v>
      </c>
      <c r="AN559" s="44">
        <v>-1.80405</v>
      </c>
      <c r="AO559" s="44">
        <v>-3.00288</v>
      </c>
      <c r="AP559" s="44">
        <v>-1.35002</v>
      </c>
      <c r="AQ559" s="44">
        <v>0.007091</v>
      </c>
      <c r="AR559" s="44">
        <v>-0.01276</v>
      </c>
      <c r="AS559" s="44">
        <v>2.391792</v>
      </c>
    </row>
    <row r="560">
      <c r="A560" s="44">
        <v>557.0</v>
      </c>
      <c r="B560" s="45"/>
      <c r="C560" s="45"/>
      <c r="D560" s="45"/>
      <c r="E560" s="44">
        <v>-1.21809</v>
      </c>
      <c r="F560" s="44">
        <v>0.002174</v>
      </c>
      <c r="G560" s="44">
        <v>1.085417</v>
      </c>
      <c r="H560" s="45"/>
      <c r="I560" s="46" t="s">
        <v>2568</v>
      </c>
      <c r="J560" s="46" t="s">
        <v>308</v>
      </c>
      <c r="K560" s="46" t="s">
        <v>85</v>
      </c>
      <c r="L560" s="45"/>
      <c r="M560" s="45"/>
      <c r="N560" s="46" t="s">
        <v>1612</v>
      </c>
      <c r="O560" s="45"/>
      <c r="P560" s="45"/>
      <c r="Q560" s="45"/>
      <c r="R560" s="45"/>
      <c r="S560" s="45"/>
      <c r="T560" s="46" t="s">
        <v>2513</v>
      </c>
      <c r="U560" s="44">
        <v>0.0</v>
      </c>
      <c r="V560" s="44">
        <v>15.0</v>
      </c>
      <c r="W560" s="45"/>
      <c r="X560" s="44">
        <v>0.0</v>
      </c>
      <c r="Y560" s="44">
        <v>0.0</v>
      </c>
      <c r="Z560" s="44">
        <v>0.0</v>
      </c>
      <c r="AA560" s="44">
        <v>0.0</v>
      </c>
      <c r="AB560" s="44">
        <v>0.0</v>
      </c>
      <c r="AC560" s="44">
        <v>0.0</v>
      </c>
      <c r="AD560" s="44">
        <v>0.0</v>
      </c>
      <c r="AE560" s="44">
        <v>0.0</v>
      </c>
      <c r="AF560" s="44">
        <v>0.0</v>
      </c>
      <c r="AG560" s="44">
        <v>0.0</v>
      </c>
      <c r="AH560" s="44">
        <v>0.0</v>
      </c>
      <c r="AI560" s="44">
        <v>0.0</v>
      </c>
      <c r="AJ560" s="44">
        <v>0.0</v>
      </c>
      <c r="AK560" s="44">
        <v>-3.00327</v>
      </c>
      <c r="AL560" s="44">
        <v>-1.68259</v>
      </c>
      <c r="AM560" s="44">
        <v>-2.50615</v>
      </c>
      <c r="AN560" s="44">
        <v>-1.80405</v>
      </c>
      <c r="AO560" s="44">
        <v>-3.00288</v>
      </c>
      <c r="AP560" s="44">
        <v>-1.35002</v>
      </c>
      <c r="AQ560" s="44">
        <v>0.007091</v>
      </c>
      <c r="AR560" s="44">
        <v>-0.01276</v>
      </c>
      <c r="AS560" s="44">
        <v>2.391792</v>
      </c>
    </row>
    <row r="561">
      <c r="A561" s="44">
        <v>534.0</v>
      </c>
      <c r="B561" s="45"/>
      <c r="C561" s="45"/>
      <c r="D561" s="45"/>
      <c r="E561" s="44">
        <v>-1.21809</v>
      </c>
      <c r="F561" s="44">
        <v>0.002174</v>
      </c>
      <c r="G561" s="44">
        <v>1.568629</v>
      </c>
      <c r="H561" s="45"/>
      <c r="I561" s="46" t="s">
        <v>2569</v>
      </c>
      <c r="J561" s="46" t="s">
        <v>495</v>
      </c>
      <c r="K561" s="46" t="s">
        <v>1572</v>
      </c>
      <c r="L561" s="45"/>
      <c r="M561" s="45"/>
      <c r="N561" s="46" t="s">
        <v>1612</v>
      </c>
      <c r="O561" s="389"/>
      <c r="P561" s="45"/>
      <c r="Q561" s="45"/>
      <c r="R561" s="45"/>
      <c r="S561" s="45"/>
      <c r="T561" s="46" t="s">
        <v>2513</v>
      </c>
      <c r="U561" s="44">
        <v>0.0</v>
      </c>
      <c r="V561" s="44">
        <v>14.0</v>
      </c>
      <c r="W561" s="45"/>
      <c r="X561" s="44">
        <v>0.0</v>
      </c>
      <c r="Y561" s="44">
        <v>0.0</v>
      </c>
      <c r="Z561" s="44">
        <v>0.0</v>
      </c>
      <c r="AA561" s="44">
        <v>0.0</v>
      </c>
      <c r="AB561" s="44">
        <v>0.0</v>
      </c>
      <c r="AC561" s="44">
        <v>0.0</v>
      </c>
      <c r="AD561" s="44">
        <v>0.0</v>
      </c>
      <c r="AE561" s="44">
        <v>0.0</v>
      </c>
      <c r="AF561" s="44">
        <v>0.0</v>
      </c>
      <c r="AG561" s="44">
        <v>0.0</v>
      </c>
      <c r="AH561" s="44">
        <v>0.0</v>
      </c>
      <c r="AI561" s="44">
        <v>0.0</v>
      </c>
      <c r="AJ561" s="44">
        <v>0.0</v>
      </c>
      <c r="AK561" s="44">
        <v>-3.00327</v>
      </c>
      <c r="AL561" s="44">
        <v>-1.68259</v>
      </c>
      <c r="AM561" s="44">
        <v>-2.50615</v>
      </c>
      <c r="AN561" s="44">
        <v>-1.80405</v>
      </c>
      <c r="AO561" s="44">
        <v>-3.00288</v>
      </c>
      <c r="AP561" s="44">
        <v>-1.35002</v>
      </c>
      <c r="AQ561" s="44">
        <v>0.007091</v>
      </c>
      <c r="AR561" s="44">
        <v>-0.01276</v>
      </c>
      <c r="AS561" s="44">
        <v>2.391792</v>
      </c>
    </row>
    <row r="562">
      <c r="A562" s="44">
        <v>533.0</v>
      </c>
      <c r="B562" s="45"/>
      <c r="C562" s="45"/>
      <c r="D562" s="45"/>
      <c r="E562" s="44">
        <v>-1.21809</v>
      </c>
      <c r="F562" s="44">
        <v>0.002174</v>
      </c>
      <c r="G562" s="44">
        <v>0.80664</v>
      </c>
      <c r="H562" s="45"/>
      <c r="I562" s="46" t="s">
        <v>2570</v>
      </c>
      <c r="J562" s="46" t="s">
        <v>269</v>
      </c>
      <c r="K562" s="46" t="s">
        <v>97</v>
      </c>
      <c r="L562" s="45"/>
      <c r="M562" s="45"/>
      <c r="N562" s="46" t="s">
        <v>1612</v>
      </c>
      <c r="O562" s="45"/>
      <c r="P562" s="45"/>
      <c r="Q562" s="45"/>
      <c r="R562" s="45"/>
      <c r="S562" s="45"/>
      <c r="T562" s="46" t="s">
        <v>2513</v>
      </c>
      <c r="U562" s="44">
        <v>0.0</v>
      </c>
      <c r="V562" s="44">
        <v>16.0</v>
      </c>
      <c r="W562" s="45"/>
      <c r="X562" s="44">
        <v>0.0</v>
      </c>
      <c r="Y562" s="44">
        <v>0.0</v>
      </c>
      <c r="Z562" s="44">
        <v>0.0</v>
      </c>
      <c r="AA562" s="44">
        <v>0.0</v>
      </c>
      <c r="AB562" s="44">
        <v>0.0</v>
      </c>
      <c r="AC562" s="44">
        <v>0.0</v>
      </c>
      <c r="AD562" s="44">
        <v>0.0</v>
      </c>
      <c r="AE562" s="44">
        <v>0.0</v>
      </c>
      <c r="AF562" s="44">
        <v>0.0</v>
      </c>
      <c r="AG562" s="44">
        <v>0.0</v>
      </c>
      <c r="AH562" s="44">
        <v>0.0</v>
      </c>
      <c r="AI562" s="44">
        <v>0.0</v>
      </c>
      <c r="AJ562" s="44">
        <v>0.0</v>
      </c>
      <c r="AK562" s="44">
        <v>-3.00327</v>
      </c>
      <c r="AL562" s="44">
        <v>-1.68259</v>
      </c>
      <c r="AM562" s="44">
        <v>-2.50615</v>
      </c>
      <c r="AN562" s="44">
        <v>-1.80405</v>
      </c>
      <c r="AO562" s="44">
        <v>-3.00288</v>
      </c>
      <c r="AP562" s="44">
        <v>-1.35002</v>
      </c>
      <c r="AQ562" s="44">
        <v>0.007091</v>
      </c>
      <c r="AR562" s="44">
        <v>-0.01276</v>
      </c>
      <c r="AS562" s="44">
        <v>2.391792</v>
      </c>
    </row>
    <row r="563">
      <c r="A563" s="44">
        <v>532.0</v>
      </c>
      <c r="B563" s="45"/>
      <c r="C563" s="45"/>
      <c r="D563" s="45"/>
      <c r="E563" s="44">
        <v>-1.21809</v>
      </c>
      <c r="F563" s="44">
        <v>0.002174</v>
      </c>
      <c r="G563" s="44">
        <v>1.299145</v>
      </c>
      <c r="H563" s="45"/>
      <c r="I563" s="46" t="s">
        <v>2571</v>
      </c>
      <c r="J563" s="46" t="s">
        <v>375</v>
      </c>
      <c r="K563" s="46" t="s">
        <v>88</v>
      </c>
      <c r="L563" s="45"/>
      <c r="M563" s="45"/>
      <c r="N563" s="46" t="s">
        <v>1612</v>
      </c>
      <c r="O563" s="45"/>
      <c r="P563" s="45"/>
      <c r="Q563" s="45"/>
      <c r="R563" s="45"/>
      <c r="S563" s="45"/>
      <c r="T563" s="46" t="s">
        <v>2513</v>
      </c>
      <c r="U563" s="44">
        <v>0.0</v>
      </c>
      <c r="V563" s="44">
        <v>15.0</v>
      </c>
      <c r="W563" s="45"/>
      <c r="X563" s="44">
        <v>0.0</v>
      </c>
      <c r="Y563" s="44">
        <v>0.0</v>
      </c>
      <c r="Z563" s="44">
        <v>0.0</v>
      </c>
      <c r="AA563" s="44">
        <v>0.0</v>
      </c>
      <c r="AB563" s="44">
        <v>0.0</v>
      </c>
      <c r="AC563" s="44">
        <v>0.0</v>
      </c>
      <c r="AD563" s="44">
        <v>0.0</v>
      </c>
      <c r="AE563" s="44">
        <v>0.0</v>
      </c>
      <c r="AF563" s="44">
        <v>0.0</v>
      </c>
      <c r="AG563" s="44">
        <v>0.0</v>
      </c>
      <c r="AH563" s="44">
        <v>0.0</v>
      </c>
      <c r="AI563" s="44">
        <v>0.0</v>
      </c>
      <c r="AJ563" s="44">
        <v>0.0</v>
      </c>
      <c r="AK563" s="44">
        <v>-3.00327</v>
      </c>
      <c r="AL563" s="44">
        <v>-1.68259</v>
      </c>
      <c r="AM563" s="44">
        <v>-2.50615</v>
      </c>
      <c r="AN563" s="44">
        <v>-1.80405</v>
      </c>
      <c r="AO563" s="44">
        <v>-3.00288</v>
      </c>
      <c r="AP563" s="44">
        <v>-1.35002</v>
      </c>
      <c r="AQ563" s="44">
        <v>0.007091</v>
      </c>
      <c r="AR563" s="44">
        <v>-0.01276</v>
      </c>
      <c r="AS563" s="44">
        <v>2.391792</v>
      </c>
    </row>
    <row r="564">
      <c r="A564" s="44">
        <v>531.0</v>
      </c>
      <c r="B564" s="45"/>
      <c r="C564" s="45"/>
      <c r="D564" s="45"/>
      <c r="E564" s="44">
        <v>-1.21809</v>
      </c>
      <c r="F564" s="44">
        <v>0.002174</v>
      </c>
      <c r="G564" s="44">
        <v>0.472108</v>
      </c>
      <c r="H564" s="45"/>
      <c r="I564" s="46" t="s">
        <v>2572</v>
      </c>
      <c r="J564" s="46" t="s">
        <v>1560</v>
      </c>
      <c r="K564" s="46" t="s">
        <v>88</v>
      </c>
      <c r="L564" s="45"/>
      <c r="M564" s="45"/>
      <c r="N564" s="46" t="s">
        <v>1612</v>
      </c>
      <c r="O564" s="45"/>
      <c r="P564" s="45"/>
      <c r="Q564" s="45"/>
      <c r="R564" s="45"/>
      <c r="S564" s="45"/>
      <c r="T564" s="46" t="s">
        <v>2513</v>
      </c>
      <c r="U564" s="44">
        <v>0.0</v>
      </c>
      <c r="V564" s="44">
        <v>14.0</v>
      </c>
      <c r="W564" s="45"/>
      <c r="X564" s="44">
        <v>0.0</v>
      </c>
      <c r="Y564" s="44">
        <v>0.0</v>
      </c>
      <c r="Z564" s="44">
        <v>0.0</v>
      </c>
      <c r="AA564" s="44">
        <v>0.0</v>
      </c>
      <c r="AB564" s="44">
        <v>0.0</v>
      </c>
      <c r="AC564" s="44">
        <v>0.0</v>
      </c>
      <c r="AD564" s="44">
        <v>0.0</v>
      </c>
      <c r="AE564" s="44">
        <v>0.0</v>
      </c>
      <c r="AF564" s="44">
        <v>0.0</v>
      </c>
      <c r="AG564" s="44">
        <v>0.0</v>
      </c>
      <c r="AH564" s="44">
        <v>0.0</v>
      </c>
      <c r="AI564" s="44">
        <v>0.0</v>
      </c>
      <c r="AJ564" s="44">
        <v>0.0</v>
      </c>
      <c r="AK564" s="44">
        <v>-3.00327</v>
      </c>
      <c r="AL564" s="44">
        <v>-1.68259</v>
      </c>
      <c r="AM564" s="44">
        <v>-2.50615</v>
      </c>
      <c r="AN564" s="44">
        <v>-1.80405</v>
      </c>
      <c r="AO564" s="44">
        <v>-3.00288</v>
      </c>
      <c r="AP564" s="44">
        <v>-1.35002</v>
      </c>
      <c r="AQ564" s="44">
        <v>0.007091</v>
      </c>
      <c r="AR564" s="44">
        <v>-0.01276</v>
      </c>
      <c r="AS564" s="44">
        <v>2.391792</v>
      </c>
    </row>
    <row r="565">
      <c r="A565" s="44">
        <v>530.0</v>
      </c>
      <c r="B565" s="45"/>
      <c r="C565" s="45"/>
      <c r="D565" s="45"/>
      <c r="E565" s="44">
        <v>-1.21809</v>
      </c>
      <c r="F565" s="44">
        <v>0.002174</v>
      </c>
      <c r="G565" s="44">
        <v>0.908858</v>
      </c>
      <c r="H565" s="45"/>
      <c r="I565" s="46" t="s">
        <v>2573</v>
      </c>
      <c r="J565" s="46" t="s">
        <v>442</v>
      </c>
      <c r="K565" s="46" t="s">
        <v>88</v>
      </c>
      <c r="L565" s="389"/>
      <c r="M565" s="45"/>
      <c r="N565" s="46" t="s">
        <v>1612</v>
      </c>
      <c r="O565" s="389"/>
      <c r="P565" s="45"/>
      <c r="Q565" s="45"/>
      <c r="R565" s="389"/>
      <c r="S565" s="45"/>
      <c r="T565" s="46" t="s">
        <v>2513</v>
      </c>
      <c r="U565" s="44">
        <v>0.0</v>
      </c>
      <c r="V565" s="44">
        <v>14.0</v>
      </c>
      <c r="W565" s="45"/>
      <c r="X565" s="44">
        <v>0.0</v>
      </c>
      <c r="Y565" s="44">
        <v>0.0</v>
      </c>
      <c r="Z565" s="44">
        <v>0.0</v>
      </c>
      <c r="AA565" s="44">
        <v>0.0</v>
      </c>
      <c r="AB565" s="44">
        <v>0.0</v>
      </c>
      <c r="AC565" s="44">
        <v>0.0</v>
      </c>
      <c r="AD565" s="44">
        <v>0.0</v>
      </c>
      <c r="AE565" s="44">
        <v>0.0</v>
      </c>
      <c r="AF565" s="44">
        <v>0.0</v>
      </c>
      <c r="AG565" s="44">
        <v>0.0</v>
      </c>
      <c r="AH565" s="44">
        <v>0.0</v>
      </c>
      <c r="AI565" s="44">
        <v>0.0</v>
      </c>
      <c r="AJ565" s="44">
        <v>0.0</v>
      </c>
      <c r="AK565" s="44">
        <v>-3.00327</v>
      </c>
      <c r="AL565" s="44">
        <v>-1.68259</v>
      </c>
      <c r="AM565" s="44">
        <v>-2.50615</v>
      </c>
      <c r="AN565" s="44">
        <v>-1.80405</v>
      </c>
      <c r="AO565" s="44">
        <v>-3.00288</v>
      </c>
      <c r="AP565" s="44">
        <v>-1.35002</v>
      </c>
      <c r="AQ565" s="44">
        <v>0.007091</v>
      </c>
      <c r="AR565" s="44">
        <v>-0.01276</v>
      </c>
      <c r="AS565" s="44">
        <v>2.391792</v>
      </c>
    </row>
    <row r="566">
      <c r="A566" s="44">
        <v>529.0</v>
      </c>
      <c r="B566" s="45"/>
      <c r="C566" s="45"/>
      <c r="D566" s="45"/>
      <c r="E566" s="44">
        <v>-1.21809</v>
      </c>
      <c r="F566" s="44">
        <v>0.002174</v>
      </c>
      <c r="G566" s="44">
        <v>0.276965</v>
      </c>
      <c r="H566" s="45"/>
      <c r="I566" s="46" t="s">
        <v>2574</v>
      </c>
      <c r="J566" s="46" t="s">
        <v>287</v>
      </c>
      <c r="K566" s="46" t="s">
        <v>90</v>
      </c>
      <c r="L566" s="45"/>
      <c r="M566" s="45"/>
      <c r="N566" s="46" t="s">
        <v>1612</v>
      </c>
      <c r="O566" s="389"/>
      <c r="P566" s="45"/>
      <c r="Q566" s="45"/>
      <c r="R566" s="45"/>
      <c r="S566" s="45"/>
      <c r="T566" s="46" t="s">
        <v>2513</v>
      </c>
      <c r="U566" s="44">
        <v>0.0</v>
      </c>
      <c r="V566" s="44">
        <v>16.0</v>
      </c>
      <c r="W566" s="45"/>
      <c r="X566" s="44">
        <v>0.0</v>
      </c>
      <c r="Y566" s="44">
        <v>0.0</v>
      </c>
      <c r="Z566" s="44">
        <v>0.0</v>
      </c>
      <c r="AA566" s="44">
        <v>0.0</v>
      </c>
      <c r="AB566" s="44">
        <v>0.0</v>
      </c>
      <c r="AC566" s="44">
        <v>0.0</v>
      </c>
      <c r="AD566" s="44">
        <v>0.0</v>
      </c>
      <c r="AE566" s="44">
        <v>0.0</v>
      </c>
      <c r="AF566" s="44">
        <v>0.0</v>
      </c>
      <c r="AG566" s="44">
        <v>0.0</v>
      </c>
      <c r="AH566" s="44">
        <v>0.0</v>
      </c>
      <c r="AI566" s="44">
        <v>0.0</v>
      </c>
      <c r="AJ566" s="44">
        <v>0.0</v>
      </c>
      <c r="AK566" s="44">
        <v>-3.00327</v>
      </c>
      <c r="AL566" s="44">
        <v>-1.68259</v>
      </c>
      <c r="AM566" s="44">
        <v>-2.50615</v>
      </c>
      <c r="AN566" s="44">
        <v>-1.80405</v>
      </c>
      <c r="AO566" s="44">
        <v>-3.00288</v>
      </c>
      <c r="AP566" s="44">
        <v>-1.35002</v>
      </c>
      <c r="AQ566" s="44">
        <v>0.007091</v>
      </c>
      <c r="AR566" s="44">
        <v>-0.01276</v>
      </c>
      <c r="AS566" s="44">
        <v>2.391792</v>
      </c>
    </row>
    <row r="567">
      <c r="A567" s="44">
        <v>528.0</v>
      </c>
      <c r="B567" s="45"/>
      <c r="C567" s="45"/>
      <c r="D567" s="45"/>
      <c r="E567" s="44">
        <v>-1.21809</v>
      </c>
      <c r="F567" s="44">
        <v>0.002174</v>
      </c>
      <c r="G567" s="44">
        <v>0.184039</v>
      </c>
      <c r="H567" s="45"/>
      <c r="I567" s="46" t="s">
        <v>2575</v>
      </c>
      <c r="J567" s="46" t="s">
        <v>2555</v>
      </c>
      <c r="K567" s="46" t="s">
        <v>88</v>
      </c>
      <c r="L567" s="389"/>
      <c r="M567" s="45"/>
      <c r="N567" s="46" t="s">
        <v>1562</v>
      </c>
      <c r="O567" s="45"/>
      <c r="P567" s="45"/>
      <c r="Q567" s="45"/>
      <c r="R567" s="389"/>
      <c r="S567" s="45"/>
      <c r="T567" s="46" t="s">
        <v>2513</v>
      </c>
      <c r="U567" s="44">
        <v>0.0</v>
      </c>
      <c r="V567" s="44">
        <v>0.0</v>
      </c>
      <c r="W567" s="45"/>
      <c r="X567" s="44">
        <v>0.0</v>
      </c>
      <c r="Y567" s="44">
        <v>0.0</v>
      </c>
      <c r="Z567" s="44">
        <v>0.0</v>
      </c>
      <c r="AA567" s="44">
        <v>0.0</v>
      </c>
      <c r="AB567" s="44">
        <v>0.0</v>
      </c>
      <c r="AC567" s="44">
        <v>0.0</v>
      </c>
      <c r="AD567" s="44">
        <v>0.0</v>
      </c>
      <c r="AE567" s="44">
        <v>0.0</v>
      </c>
      <c r="AF567" s="44">
        <v>0.0</v>
      </c>
      <c r="AG567" s="44">
        <v>0.0</v>
      </c>
      <c r="AH567" s="44">
        <v>0.0</v>
      </c>
      <c r="AI567" s="44">
        <v>0.0</v>
      </c>
      <c r="AJ567" s="44">
        <v>0.0</v>
      </c>
      <c r="AK567" s="44">
        <v>-3.00327</v>
      </c>
      <c r="AL567" s="44">
        <v>-1.68259</v>
      </c>
      <c r="AM567" s="44">
        <v>-2.50615</v>
      </c>
      <c r="AN567" s="44">
        <v>-1.80405</v>
      </c>
      <c r="AO567" s="44">
        <v>-3.00288</v>
      </c>
      <c r="AP567" s="44">
        <v>-1.35002</v>
      </c>
      <c r="AQ567" s="44">
        <v>0.007091</v>
      </c>
      <c r="AR567" s="44">
        <v>-0.01276</v>
      </c>
      <c r="AS567" s="44">
        <v>2.391792</v>
      </c>
    </row>
    <row r="568">
      <c r="A568" s="44">
        <v>527.0</v>
      </c>
      <c r="B568" s="45"/>
      <c r="C568" s="45"/>
      <c r="D568" s="45"/>
      <c r="E568" s="44">
        <v>-1.21809</v>
      </c>
      <c r="F568" s="44">
        <v>0.002174</v>
      </c>
      <c r="G568" s="44">
        <v>-0.09474</v>
      </c>
      <c r="H568" s="45"/>
      <c r="I568" s="46" t="s">
        <v>2576</v>
      </c>
      <c r="J568" s="46" t="s">
        <v>1578</v>
      </c>
      <c r="K568" s="46" t="s">
        <v>88</v>
      </c>
      <c r="L568" s="389"/>
      <c r="M568" s="45"/>
      <c r="N568" s="46" t="s">
        <v>1570</v>
      </c>
      <c r="O568" s="46" t="s">
        <v>1787</v>
      </c>
      <c r="P568" s="45"/>
      <c r="Q568" s="45"/>
      <c r="R568" s="45"/>
      <c r="S568" s="45"/>
      <c r="T568" s="46" t="s">
        <v>2513</v>
      </c>
      <c r="U568" s="44">
        <v>0.0</v>
      </c>
      <c r="V568" s="44">
        <v>15.0</v>
      </c>
      <c r="W568" s="45"/>
      <c r="X568" s="44">
        <v>0.0</v>
      </c>
      <c r="Y568" s="44">
        <v>0.0</v>
      </c>
      <c r="Z568" s="44">
        <v>0.0</v>
      </c>
      <c r="AA568" s="44">
        <v>0.0</v>
      </c>
      <c r="AB568" s="44">
        <v>0.0</v>
      </c>
      <c r="AC568" s="44">
        <v>0.0</v>
      </c>
      <c r="AD568" s="44">
        <v>0.0</v>
      </c>
      <c r="AE568" s="44">
        <v>0.0</v>
      </c>
      <c r="AF568" s="44">
        <v>0.0</v>
      </c>
      <c r="AG568" s="44">
        <v>0.0</v>
      </c>
      <c r="AH568" s="44">
        <v>0.0</v>
      </c>
      <c r="AI568" s="44">
        <v>0.0</v>
      </c>
      <c r="AJ568" s="44">
        <v>0.0</v>
      </c>
      <c r="AK568" s="44">
        <v>-3.00327</v>
      </c>
      <c r="AL568" s="44">
        <v>-1.68259</v>
      </c>
      <c r="AM568" s="44">
        <v>-2.50615</v>
      </c>
      <c r="AN568" s="44">
        <v>-1.80405</v>
      </c>
      <c r="AO568" s="44">
        <v>-3.00288</v>
      </c>
      <c r="AP568" s="44">
        <v>-1.35002</v>
      </c>
      <c r="AQ568" s="44">
        <v>0.007091</v>
      </c>
      <c r="AR568" s="44">
        <v>-0.01276</v>
      </c>
      <c r="AS568" s="44">
        <v>2.391792</v>
      </c>
    </row>
    <row r="569">
      <c r="A569" s="44">
        <v>526.0</v>
      </c>
      <c r="B569" s="45"/>
      <c r="C569" s="45"/>
      <c r="D569" s="45"/>
      <c r="E569" s="44">
        <v>-1.21809</v>
      </c>
      <c r="F569" s="44">
        <v>0.002174</v>
      </c>
      <c r="G569" s="44">
        <v>1.568629</v>
      </c>
      <c r="H569" s="45"/>
      <c r="I569" s="46" t="s">
        <v>2577</v>
      </c>
      <c r="J569" s="46" t="s">
        <v>291</v>
      </c>
      <c r="K569" s="46" t="s">
        <v>1568</v>
      </c>
      <c r="L569" s="45"/>
      <c r="M569" s="45"/>
      <c r="N569" s="46" t="s">
        <v>1612</v>
      </c>
      <c r="O569" s="45"/>
      <c r="P569" s="45"/>
      <c r="Q569" s="45"/>
      <c r="R569" s="45"/>
      <c r="S569" s="45"/>
      <c r="T569" s="46" t="s">
        <v>2513</v>
      </c>
      <c r="U569" s="44">
        <v>0.0</v>
      </c>
      <c r="V569" s="44">
        <v>14.0</v>
      </c>
      <c r="W569" s="45"/>
      <c r="X569" s="44">
        <v>0.0</v>
      </c>
      <c r="Y569" s="44">
        <v>0.0</v>
      </c>
      <c r="Z569" s="44">
        <v>0.0</v>
      </c>
      <c r="AA569" s="44">
        <v>0.0</v>
      </c>
      <c r="AB569" s="44">
        <v>0.0</v>
      </c>
      <c r="AC569" s="44">
        <v>0.0</v>
      </c>
      <c r="AD569" s="44">
        <v>0.0</v>
      </c>
      <c r="AE569" s="44">
        <v>0.0</v>
      </c>
      <c r="AF569" s="44">
        <v>0.0</v>
      </c>
      <c r="AG569" s="44">
        <v>0.0</v>
      </c>
      <c r="AH569" s="44">
        <v>0.0</v>
      </c>
      <c r="AI569" s="44">
        <v>0.0</v>
      </c>
      <c r="AJ569" s="44">
        <v>0.0</v>
      </c>
      <c r="AK569" s="44">
        <v>-3.00327</v>
      </c>
      <c r="AL569" s="44">
        <v>-1.68259</v>
      </c>
      <c r="AM569" s="44">
        <v>-2.50615</v>
      </c>
      <c r="AN569" s="44">
        <v>-1.80405</v>
      </c>
      <c r="AO569" s="44">
        <v>-3.00288</v>
      </c>
      <c r="AP569" s="44">
        <v>-1.35002</v>
      </c>
      <c r="AQ569" s="44">
        <v>0.007091</v>
      </c>
      <c r="AR569" s="44">
        <v>-0.01276</v>
      </c>
      <c r="AS569" s="44">
        <v>2.391792</v>
      </c>
    </row>
    <row r="570">
      <c r="A570" s="44">
        <v>599.0</v>
      </c>
      <c r="B570" s="45"/>
      <c r="C570" s="45"/>
      <c r="D570" s="45"/>
      <c r="E570" s="44">
        <v>-1.21809</v>
      </c>
      <c r="F570" s="44">
        <v>0.002174</v>
      </c>
      <c r="G570" s="44">
        <v>1.568629</v>
      </c>
      <c r="H570" s="45"/>
      <c r="I570" s="46" t="s">
        <v>2578</v>
      </c>
      <c r="J570" s="46" t="s">
        <v>1608</v>
      </c>
      <c r="K570" s="46" t="s">
        <v>1572</v>
      </c>
      <c r="L570" s="45"/>
      <c r="M570" s="45"/>
      <c r="N570" s="46" t="s">
        <v>1612</v>
      </c>
      <c r="O570" s="45"/>
      <c r="P570" s="45"/>
      <c r="Q570" s="45"/>
      <c r="R570" s="45"/>
      <c r="S570" s="45"/>
      <c r="T570" s="46" t="s">
        <v>2513</v>
      </c>
      <c r="U570" s="44">
        <v>0.0</v>
      </c>
      <c r="V570" s="44">
        <v>14.0</v>
      </c>
      <c r="W570" s="45"/>
      <c r="X570" s="44">
        <v>0.0</v>
      </c>
      <c r="Y570" s="44">
        <v>0.0</v>
      </c>
      <c r="Z570" s="44">
        <v>0.0</v>
      </c>
      <c r="AA570" s="44">
        <v>0.0</v>
      </c>
      <c r="AB570" s="44">
        <v>0.0</v>
      </c>
      <c r="AC570" s="44">
        <v>0.0</v>
      </c>
      <c r="AD570" s="44">
        <v>0.0</v>
      </c>
      <c r="AE570" s="44">
        <v>0.0</v>
      </c>
      <c r="AF570" s="44">
        <v>0.0</v>
      </c>
      <c r="AG570" s="44">
        <v>0.0</v>
      </c>
      <c r="AH570" s="44">
        <v>0.0</v>
      </c>
      <c r="AI570" s="44">
        <v>0.0</v>
      </c>
      <c r="AJ570" s="44">
        <v>0.0</v>
      </c>
      <c r="AK570" s="44">
        <v>-3.00327</v>
      </c>
      <c r="AL570" s="44">
        <v>-1.68259</v>
      </c>
      <c r="AM570" s="44">
        <v>-2.50615</v>
      </c>
      <c r="AN570" s="44">
        <v>-1.80405</v>
      </c>
      <c r="AO570" s="44">
        <v>-3.00288</v>
      </c>
      <c r="AP570" s="44">
        <v>-1.35002</v>
      </c>
      <c r="AQ570" s="44">
        <v>0.007091</v>
      </c>
      <c r="AR570" s="44">
        <v>-0.01276</v>
      </c>
      <c r="AS570" s="44">
        <v>2.391792</v>
      </c>
    </row>
    <row r="571">
      <c r="A571" s="44">
        <v>524.0</v>
      </c>
      <c r="B571" s="45"/>
      <c r="C571" s="45"/>
      <c r="D571" s="45"/>
      <c r="E571" s="44">
        <v>-1.21809</v>
      </c>
      <c r="F571" s="44">
        <v>0.002174</v>
      </c>
      <c r="G571" s="44">
        <v>1.373486</v>
      </c>
      <c r="H571" s="45"/>
      <c r="I571" s="46" t="s">
        <v>2579</v>
      </c>
      <c r="J571" s="46" t="s">
        <v>375</v>
      </c>
      <c r="K571" s="46" t="s">
        <v>85</v>
      </c>
      <c r="L571" s="45"/>
      <c r="M571" s="45"/>
      <c r="N571" s="46" t="s">
        <v>1612</v>
      </c>
      <c r="O571" s="45"/>
      <c r="P571" s="45"/>
      <c r="Q571" s="45"/>
      <c r="R571" s="45"/>
      <c r="S571" s="45"/>
      <c r="T571" s="46" t="s">
        <v>2513</v>
      </c>
      <c r="U571" s="44">
        <v>0.0</v>
      </c>
      <c r="V571" s="44">
        <v>15.0</v>
      </c>
      <c r="W571" s="45"/>
      <c r="X571" s="44">
        <v>0.0</v>
      </c>
      <c r="Y571" s="44">
        <v>0.0</v>
      </c>
      <c r="Z571" s="44">
        <v>0.0</v>
      </c>
      <c r="AA571" s="44">
        <v>0.0</v>
      </c>
      <c r="AB571" s="44">
        <v>0.0</v>
      </c>
      <c r="AC571" s="44">
        <v>0.0</v>
      </c>
      <c r="AD571" s="44">
        <v>0.0</v>
      </c>
      <c r="AE571" s="44">
        <v>0.0</v>
      </c>
      <c r="AF571" s="44">
        <v>0.0</v>
      </c>
      <c r="AG571" s="44">
        <v>0.0</v>
      </c>
      <c r="AH571" s="44">
        <v>0.0</v>
      </c>
      <c r="AI571" s="44">
        <v>0.0</v>
      </c>
      <c r="AJ571" s="44">
        <v>0.0</v>
      </c>
      <c r="AK571" s="44">
        <v>-3.00327</v>
      </c>
      <c r="AL571" s="44">
        <v>-1.68259</v>
      </c>
      <c r="AM571" s="44">
        <v>-2.50615</v>
      </c>
      <c r="AN571" s="44">
        <v>-1.80405</v>
      </c>
      <c r="AO571" s="44">
        <v>-3.00288</v>
      </c>
      <c r="AP571" s="44">
        <v>-1.35002</v>
      </c>
      <c r="AQ571" s="44">
        <v>0.007091</v>
      </c>
      <c r="AR571" s="44">
        <v>-0.01276</v>
      </c>
      <c r="AS571" s="44">
        <v>2.391792</v>
      </c>
    </row>
    <row r="572">
      <c r="A572" s="44">
        <v>523.0</v>
      </c>
      <c r="B572" s="44">
        <v>130.0</v>
      </c>
      <c r="C572" s="44">
        <v>4.0</v>
      </c>
      <c r="D572" s="44">
        <v>0.0</v>
      </c>
      <c r="E572" s="44">
        <v>-1.21809</v>
      </c>
      <c r="F572" s="44">
        <v>0.002174</v>
      </c>
      <c r="G572" s="44">
        <v>-0.30847</v>
      </c>
      <c r="H572" s="45"/>
      <c r="I572" s="46" t="s">
        <v>2580</v>
      </c>
      <c r="J572" s="46" t="s">
        <v>295</v>
      </c>
      <c r="K572" s="46" t="s">
        <v>1568</v>
      </c>
      <c r="L572" s="45"/>
      <c r="M572" s="46" t="s">
        <v>2581</v>
      </c>
      <c r="N572" s="46" t="s">
        <v>1612</v>
      </c>
      <c r="O572" s="389"/>
      <c r="P572" s="45"/>
      <c r="Q572" s="45"/>
      <c r="R572" s="45"/>
      <c r="S572" s="45"/>
      <c r="T572" s="46" t="s">
        <v>2513</v>
      </c>
      <c r="U572" s="44">
        <v>0.0</v>
      </c>
      <c r="V572" s="44">
        <v>13.0</v>
      </c>
      <c r="W572" s="45"/>
      <c r="X572" s="44">
        <v>0.0</v>
      </c>
      <c r="Y572" s="44">
        <v>0.0</v>
      </c>
      <c r="Z572" s="44">
        <v>0.0</v>
      </c>
      <c r="AA572" s="44">
        <v>0.0</v>
      </c>
      <c r="AB572" s="44">
        <v>0.0</v>
      </c>
      <c r="AC572" s="44">
        <v>0.0</v>
      </c>
      <c r="AD572" s="44">
        <v>0.0</v>
      </c>
      <c r="AE572" s="44">
        <v>0.0</v>
      </c>
      <c r="AF572" s="44">
        <v>0.0</v>
      </c>
      <c r="AG572" s="44">
        <v>0.0</v>
      </c>
      <c r="AH572" s="44">
        <v>0.0</v>
      </c>
      <c r="AI572" s="44">
        <v>0.0</v>
      </c>
      <c r="AJ572" s="44">
        <v>0.0</v>
      </c>
      <c r="AK572" s="44">
        <v>-3.00327</v>
      </c>
      <c r="AL572" s="44">
        <v>-1.68259</v>
      </c>
      <c r="AM572" s="44">
        <v>-2.50615</v>
      </c>
      <c r="AN572" s="44">
        <v>-1.80405</v>
      </c>
      <c r="AO572" s="44">
        <v>-3.00288</v>
      </c>
      <c r="AP572" s="44">
        <v>-1.35002</v>
      </c>
      <c r="AQ572" s="44">
        <v>0.007091</v>
      </c>
      <c r="AR572" s="44">
        <v>-0.01276</v>
      </c>
      <c r="AS572" s="44">
        <v>2.391792</v>
      </c>
    </row>
    <row r="573">
      <c r="A573" s="44">
        <v>522.0</v>
      </c>
      <c r="B573" s="45"/>
      <c r="C573" s="45"/>
      <c r="D573" s="45"/>
      <c r="E573" s="44">
        <v>-1.21809</v>
      </c>
      <c r="F573" s="44">
        <v>0.002174</v>
      </c>
      <c r="G573" s="44">
        <v>1.094709</v>
      </c>
      <c r="H573" s="45"/>
      <c r="I573" s="46" t="s">
        <v>2582</v>
      </c>
      <c r="J573" s="46" t="s">
        <v>1608</v>
      </c>
      <c r="K573" s="46" t="s">
        <v>1593</v>
      </c>
      <c r="L573" s="45"/>
      <c r="M573" s="45"/>
      <c r="N573" s="46" t="s">
        <v>1612</v>
      </c>
      <c r="O573" s="45"/>
      <c r="P573" s="45"/>
      <c r="Q573" s="45"/>
      <c r="R573" s="45"/>
      <c r="S573" s="45"/>
      <c r="T573" s="46" t="s">
        <v>2513</v>
      </c>
      <c r="U573" s="44">
        <v>0.0</v>
      </c>
      <c r="V573" s="44">
        <v>14.0</v>
      </c>
      <c r="W573" s="45"/>
      <c r="X573" s="44">
        <v>0.0</v>
      </c>
      <c r="Y573" s="44">
        <v>0.0</v>
      </c>
      <c r="Z573" s="44">
        <v>0.0</v>
      </c>
      <c r="AA573" s="44">
        <v>0.0</v>
      </c>
      <c r="AB573" s="44">
        <v>0.0</v>
      </c>
      <c r="AC573" s="44">
        <v>0.0</v>
      </c>
      <c r="AD573" s="44">
        <v>0.0</v>
      </c>
      <c r="AE573" s="44">
        <v>0.0</v>
      </c>
      <c r="AF573" s="44">
        <v>0.0</v>
      </c>
      <c r="AG573" s="44">
        <v>0.0</v>
      </c>
      <c r="AH573" s="44">
        <v>0.0</v>
      </c>
      <c r="AI573" s="44">
        <v>0.0</v>
      </c>
      <c r="AJ573" s="44">
        <v>0.0</v>
      </c>
      <c r="AK573" s="44">
        <v>-3.00327</v>
      </c>
      <c r="AL573" s="44">
        <v>-1.68259</v>
      </c>
      <c r="AM573" s="44">
        <v>-2.50615</v>
      </c>
      <c r="AN573" s="44">
        <v>-1.80405</v>
      </c>
      <c r="AO573" s="44">
        <v>-3.00288</v>
      </c>
      <c r="AP573" s="44">
        <v>-1.35002</v>
      </c>
      <c r="AQ573" s="44">
        <v>0.007091</v>
      </c>
      <c r="AR573" s="44">
        <v>-0.01276</v>
      </c>
      <c r="AS573" s="44">
        <v>2.391792</v>
      </c>
    </row>
    <row r="574">
      <c r="A574" s="44">
        <v>521.0</v>
      </c>
      <c r="B574" s="45"/>
      <c r="C574" s="45"/>
      <c r="D574" s="45"/>
      <c r="E574" s="44">
        <v>-1.21809</v>
      </c>
      <c r="F574" s="44">
        <v>0.002174</v>
      </c>
      <c r="G574" s="44">
        <v>1.568629</v>
      </c>
      <c r="H574" s="45"/>
      <c r="I574" s="46" t="s">
        <v>2583</v>
      </c>
      <c r="J574" s="46" t="s">
        <v>428</v>
      </c>
      <c r="K574" s="46" t="s">
        <v>1616</v>
      </c>
      <c r="L574" s="389"/>
      <c r="M574" s="45"/>
      <c r="N574" s="46" t="s">
        <v>1612</v>
      </c>
      <c r="O574" s="389"/>
      <c r="P574" s="45"/>
      <c r="Q574" s="45"/>
      <c r="R574" s="389"/>
      <c r="S574" s="45"/>
      <c r="T574" s="46" t="s">
        <v>2513</v>
      </c>
      <c r="U574" s="44">
        <v>0.0</v>
      </c>
      <c r="V574" s="44">
        <v>14.0</v>
      </c>
      <c r="W574" s="45"/>
      <c r="X574" s="44">
        <v>0.0</v>
      </c>
      <c r="Y574" s="44">
        <v>0.0</v>
      </c>
      <c r="Z574" s="44">
        <v>0.0</v>
      </c>
      <c r="AA574" s="44">
        <v>0.0</v>
      </c>
      <c r="AB574" s="44">
        <v>0.0</v>
      </c>
      <c r="AC574" s="44">
        <v>0.0</v>
      </c>
      <c r="AD574" s="44">
        <v>0.0</v>
      </c>
      <c r="AE574" s="44">
        <v>0.0</v>
      </c>
      <c r="AF574" s="44">
        <v>0.0</v>
      </c>
      <c r="AG574" s="44">
        <v>0.0</v>
      </c>
      <c r="AH574" s="44">
        <v>0.0</v>
      </c>
      <c r="AI574" s="44">
        <v>0.0</v>
      </c>
      <c r="AJ574" s="44">
        <v>0.0</v>
      </c>
      <c r="AK574" s="44">
        <v>-3.00327</v>
      </c>
      <c r="AL574" s="44">
        <v>-1.68259</v>
      </c>
      <c r="AM574" s="44">
        <v>-2.50615</v>
      </c>
      <c r="AN574" s="44">
        <v>-1.80405</v>
      </c>
      <c r="AO574" s="44">
        <v>-3.00288</v>
      </c>
      <c r="AP574" s="44">
        <v>-1.35002</v>
      </c>
      <c r="AQ574" s="44">
        <v>0.007091</v>
      </c>
      <c r="AR574" s="44">
        <v>-0.01276</v>
      </c>
      <c r="AS574" s="44">
        <v>2.391792</v>
      </c>
    </row>
    <row r="575">
      <c r="A575" s="44">
        <v>520.0</v>
      </c>
      <c r="B575" s="45"/>
      <c r="C575" s="45"/>
      <c r="D575" s="45"/>
      <c r="E575" s="44">
        <v>-1.21809</v>
      </c>
      <c r="F575" s="44">
        <v>0.002174</v>
      </c>
      <c r="G575" s="44">
        <v>0.88098</v>
      </c>
      <c r="H575" s="45"/>
      <c r="I575" s="46" t="s">
        <v>2584</v>
      </c>
      <c r="J575" s="46" t="s">
        <v>304</v>
      </c>
      <c r="K575" s="46" t="s">
        <v>90</v>
      </c>
      <c r="L575" s="389"/>
      <c r="M575" s="389"/>
      <c r="N575" s="46" t="s">
        <v>1612</v>
      </c>
      <c r="O575" s="389"/>
      <c r="P575" s="45"/>
      <c r="Q575" s="45"/>
      <c r="R575" s="389"/>
      <c r="S575" s="45"/>
      <c r="T575" s="46" t="s">
        <v>2513</v>
      </c>
      <c r="U575" s="44">
        <v>0.0</v>
      </c>
      <c r="V575" s="44">
        <v>13.0</v>
      </c>
      <c r="W575" s="45"/>
      <c r="X575" s="44">
        <v>0.0</v>
      </c>
      <c r="Y575" s="44">
        <v>0.0</v>
      </c>
      <c r="Z575" s="44">
        <v>0.0</v>
      </c>
      <c r="AA575" s="44">
        <v>0.0</v>
      </c>
      <c r="AB575" s="44">
        <v>0.0</v>
      </c>
      <c r="AC575" s="44">
        <v>0.0</v>
      </c>
      <c r="AD575" s="44">
        <v>0.0</v>
      </c>
      <c r="AE575" s="44">
        <v>0.0</v>
      </c>
      <c r="AF575" s="44">
        <v>0.0</v>
      </c>
      <c r="AG575" s="44">
        <v>0.0</v>
      </c>
      <c r="AH575" s="44">
        <v>0.0</v>
      </c>
      <c r="AI575" s="44">
        <v>0.0</v>
      </c>
      <c r="AJ575" s="44">
        <v>0.0</v>
      </c>
      <c r="AK575" s="44">
        <v>-3.00327</v>
      </c>
      <c r="AL575" s="44">
        <v>-1.68259</v>
      </c>
      <c r="AM575" s="44">
        <v>-2.50615</v>
      </c>
      <c r="AN575" s="44">
        <v>-1.80405</v>
      </c>
      <c r="AO575" s="44">
        <v>-3.00288</v>
      </c>
      <c r="AP575" s="44">
        <v>-1.35002</v>
      </c>
      <c r="AQ575" s="44">
        <v>0.007091</v>
      </c>
      <c r="AR575" s="44">
        <v>-0.01276</v>
      </c>
      <c r="AS575" s="44">
        <v>2.391792</v>
      </c>
    </row>
    <row r="576">
      <c r="A576" s="44">
        <v>519.0</v>
      </c>
      <c r="B576" s="45"/>
      <c r="C576" s="45"/>
      <c r="D576" s="45"/>
      <c r="E576" s="44">
        <v>-1.21809</v>
      </c>
      <c r="F576" s="44">
        <v>0.002174</v>
      </c>
      <c r="G576" s="44">
        <v>-0.48502</v>
      </c>
      <c r="H576" s="45"/>
      <c r="I576" s="46" t="s">
        <v>2585</v>
      </c>
      <c r="J576" s="46" t="s">
        <v>465</v>
      </c>
      <c r="K576" s="46" t="s">
        <v>85</v>
      </c>
      <c r="L576" s="46" t="s">
        <v>2586</v>
      </c>
      <c r="M576" s="46" t="s">
        <v>2587</v>
      </c>
      <c r="N576" s="46" t="s">
        <v>1570</v>
      </c>
      <c r="O576" s="46" t="s">
        <v>1817</v>
      </c>
      <c r="P576" s="45"/>
      <c r="Q576" s="45"/>
      <c r="R576" s="46">
        <v>5.0</v>
      </c>
      <c r="S576" s="45"/>
      <c r="T576" s="46" t="s">
        <v>2513</v>
      </c>
      <c r="U576" s="44">
        <v>0.0</v>
      </c>
      <c r="V576" s="44">
        <v>15.0</v>
      </c>
      <c r="W576" s="45"/>
      <c r="X576" s="44">
        <v>0.0</v>
      </c>
      <c r="Y576" s="44">
        <v>0.0</v>
      </c>
      <c r="Z576" s="44">
        <v>0.0</v>
      </c>
      <c r="AA576" s="44">
        <v>0.0</v>
      </c>
      <c r="AB576" s="44">
        <v>0.0</v>
      </c>
      <c r="AC576" s="44">
        <v>0.0</v>
      </c>
      <c r="AD576" s="44">
        <v>0.0</v>
      </c>
      <c r="AE576" s="44">
        <v>0.0</v>
      </c>
      <c r="AF576" s="44">
        <v>0.0</v>
      </c>
      <c r="AG576" s="44">
        <v>0.0</v>
      </c>
      <c r="AH576" s="44">
        <v>0.0</v>
      </c>
      <c r="AI576" s="44">
        <v>0.0</v>
      </c>
      <c r="AJ576" s="44">
        <v>0.0</v>
      </c>
      <c r="AK576" s="44">
        <v>-3.00327</v>
      </c>
      <c r="AL576" s="44">
        <v>-1.68259</v>
      </c>
      <c r="AM576" s="44">
        <v>-2.50615</v>
      </c>
      <c r="AN576" s="44">
        <v>-1.80405</v>
      </c>
      <c r="AO576" s="44">
        <v>-3.00288</v>
      </c>
      <c r="AP576" s="44">
        <v>-1.35002</v>
      </c>
      <c r="AQ576" s="44">
        <v>0.007091</v>
      </c>
      <c r="AR576" s="44">
        <v>-0.01276</v>
      </c>
      <c r="AS576" s="44">
        <v>2.391792</v>
      </c>
    </row>
    <row r="577">
      <c r="A577" s="44">
        <v>518.0</v>
      </c>
      <c r="B577" s="45"/>
      <c r="C577" s="45"/>
      <c r="D577" s="45"/>
      <c r="E577" s="44">
        <v>-1.21809</v>
      </c>
      <c r="F577" s="44">
        <v>0.002174</v>
      </c>
      <c r="G577" s="44">
        <v>1.568629</v>
      </c>
      <c r="H577" s="45"/>
      <c r="I577" s="46" t="s">
        <v>2588</v>
      </c>
      <c r="J577" s="46" t="s">
        <v>379</v>
      </c>
      <c r="K577" s="46" t="s">
        <v>1568</v>
      </c>
      <c r="L577" s="45"/>
      <c r="M577" s="45"/>
      <c r="N577" s="46" t="s">
        <v>1562</v>
      </c>
      <c r="O577" s="389"/>
      <c r="P577" s="45"/>
      <c r="Q577" s="45"/>
      <c r="R577" s="46">
        <v>2.0</v>
      </c>
      <c r="S577" s="45"/>
      <c r="T577" s="46" t="s">
        <v>2513</v>
      </c>
      <c r="U577" s="44">
        <v>0.0</v>
      </c>
      <c r="V577" s="44">
        <v>14.0</v>
      </c>
      <c r="W577" s="45"/>
      <c r="X577" s="44">
        <v>0.0</v>
      </c>
      <c r="Y577" s="44">
        <v>0.0</v>
      </c>
      <c r="Z577" s="44">
        <v>0.0</v>
      </c>
      <c r="AA577" s="44">
        <v>0.0</v>
      </c>
      <c r="AB577" s="44">
        <v>0.0</v>
      </c>
      <c r="AC577" s="44">
        <v>0.0</v>
      </c>
      <c r="AD577" s="44">
        <v>0.0</v>
      </c>
      <c r="AE577" s="44">
        <v>0.0</v>
      </c>
      <c r="AF577" s="44">
        <v>0.0</v>
      </c>
      <c r="AG577" s="44">
        <v>0.0</v>
      </c>
      <c r="AH577" s="44">
        <v>0.0</v>
      </c>
      <c r="AI577" s="44">
        <v>0.0</v>
      </c>
      <c r="AJ577" s="44">
        <v>0.0</v>
      </c>
      <c r="AK577" s="44">
        <v>-3.00327</v>
      </c>
      <c r="AL577" s="44">
        <v>-1.68259</v>
      </c>
      <c r="AM577" s="44">
        <v>-2.50615</v>
      </c>
      <c r="AN577" s="44">
        <v>-1.80405</v>
      </c>
      <c r="AO577" s="44">
        <v>-3.00288</v>
      </c>
      <c r="AP577" s="44">
        <v>-1.35002</v>
      </c>
      <c r="AQ577" s="44">
        <v>0.007091</v>
      </c>
      <c r="AR577" s="44">
        <v>-0.01276</v>
      </c>
      <c r="AS577" s="44">
        <v>2.391792</v>
      </c>
    </row>
    <row r="578">
      <c r="A578" s="44">
        <v>535.0</v>
      </c>
      <c r="B578" s="45"/>
      <c r="C578" s="45"/>
      <c r="D578" s="45"/>
      <c r="E578" s="44">
        <v>-1.21809</v>
      </c>
      <c r="F578" s="44">
        <v>0.002174</v>
      </c>
      <c r="G578" s="44">
        <v>0.174746</v>
      </c>
      <c r="H578" s="45"/>
      <c r="I578" s="46" t="s">
        <v>2589</v>
      </c>
      <c r="J578" s="46" t="s">
        <v>308</v>
      </c>
      <c r="K578" s="46" t="s">
        <v>90</v>
      </c>
      <c r="L578" s="389"/>
      <c r="M578" s="45"/>
      <c r="N578" s="46" t="s">
        <v>1612</v>
      </c>
      <c r="O578" s="46" t="s">
        <v>1787</v>
      </c>
      <c r="P578" s="45"/>
      <c r="Q578" s="45"/>
      <c r="R578" s="45"/>
      <c r="S578" s="45"/>
      <c r="T578" s="46" t="s">
        <v>2513</v>
      </c>
      <c r="U578" s="44">
        <v>0.0</v>
      </c>
      <c r="V578" s="44">
        <v>15.0</v>
      </c>
      <c r="W578" s="45"/>
      <c r="X578" s="44">
        <v>0.0</v>
      </c>
      <c r="Y578" s="44">
        <v>0.0</v>
      </c>
      <c r="Z578" s="44">
        <v>0.0</v>
      </c>
      <c r="AA578" s="44">
        <v>0.0</v>
      </c>
      <c r="AB578" s="44">
        <v>0.0</v>
      </c>
      <c r="AC578" s="44">
        <v>0.0</v>
      </c>
      <c r="AD578" s="44">
        <v>0.0</v>
      </c>
      <c r="AE578" s="44">
        <v>0.0</v>
      </c>
      <c r="AF578" s="44">
        <v>0.0</v>
      </c>
      <c r="AG578" s="44">
        <v>0.0</v>
      </c>
      <c r="AH578" s="44">
        <v>0.0</v>
      </c>
      <c r="AI578" s="44">
        <v>0.0</v>
      </c>
      <c r="AJ578" s="44">
        <v>0.0</v>
      </c>
      <c r="AK578" s="44">
        <v>-3.00327</v>
      </c>
      <c r="AL578" s="44">
        <v>-1.68259</v>
      </c>
      <c r="AM578" s="44">
        <v>-2.50615</v>
      </c>
      <c r="AN578" s="44">
        <v>-1.80405</v>
      </c>
      <c r="AO578" s="44">
        <v>-3.00288</v>
      </c>
      <c r="AP578" s="44">
        <v>-1.35002</v>
      </c>
      <c r="AQ578" s="44">
        <v>0.007091</v>
      </c>
      <c r="AR578" s="44">
        <v>-0.01276</v>
      </c>
      <c r="AS578" s="44">
        <v>2.391792</v>
      </c>
    </row>
    <row r="579">
      <c r="A579" s="44">
        <v>536.0</v>
      </c>
      <c r="B579" s="45"/>
      <c r="C579" s="45"/>
      <c r="D579" s="45"/>
      <c r="E579" s="44">
        <v>-1.21809</v>
      </c>
      <c r="F579" s="44">
        <v>0.0</v>
      </c>
      <c r="G579" s="44">
        <v>0.016773</v>
      </c>
      <c r="H579" s="45"/>
      <c r="I579" s="46" t="s">
        <v>2590</v>
      </c>
      <c r="J579" s="46" t="s">
        <v>278</v>
      </c>
      <c r="K579" s="46" t="s">
        <v>1568</v>
      </c>
      <c r="L579" s="45"/>
      <c r="M579" s="45"/>
      <c r="N579" s="46" t="s">
        <v>1612</v>
      </c>
      <c r="O579" s="45"/>
      <c r="P579" s="45"/>
      <c r="Q579" s="45"/>
      <c r="R579" s="45"/>
      <c r="S579" s="45"/>
      <c r="T579" s="46" t="s">
        <v>2513</v>
      </c>
      <c r="U579" s="44">
        <v>0.0</v>
      </c>
      <c r="V579" s="44">
        <v>14.0</v>
      </c>
      <c r="W579" s="45"/>
      <c r="X579" s="44">
        <v>0.0</v>
      </c>
      <c r="Y579" s="44">
        <v>0.0</v>
      </c>
      <c r="Z579" s="44">
        <v>0.0</v>
      </c>
      <c r="AA579" s="44">
        <v>0.0</v>
      </c>
      <c r="AB579" s="44">
        <v>0.0</v>
      </c>
      <c r="AC579" s="44">
        <v>0.0</v>
      </c>
      <c r="AD579" s="44">
        <v>0.0</v>
      </c>
      <c r="AE579" s="44">
        <v>0.0</v>
      </c>
      <c r="AF579" s="44">
        <v>0.0</v>
      </c>
      <c r="AG579" s="44">
        <v>0.0</v>
      </c>
      <c r="AH579" s="44">
        <v>0.0</v>
      </c>
      <c r="AI579" s="44">
        <v>0.0</v>
      </c>
      <c r="AJ579" s="44">
        <v>0.0</v>
      </c>
      <c r="AK579" s="44">
        <v>-3.00327</v>
      </c>
      <c r="AL579" s="44">
        <v>-1.68259</v>
      </c>
      <c r="AM579" s="44">
        <v>-2.50615</v>
      </c>
      <c r="AN579" s="44">
        <v>-1.80405</v>
      </c>
      <c r="AO579" s="44">
        <v>-3.00288</v>
      </c>
      <c r="AP579" s="44">
        <v>-1.35002</v>
      </c>
      <c r="AQ579" s="44">
        <v>0.007091</v>
      </c>
      <c r="AR579" s="44">
        <v>-0.01276</v>
      </c>
      <c r="AS579" s="44">
        <v>2.391792</v>
      </c>
    </row>
    <row r="580">
      <c r="A580" s="44">
        <v>537.0</v>
      </c>
      <c r="B580" s="45"/>
      <c r="C580" s="45"/>
      <c r="D580" s="45"/>
      <c r="E580" s="44">
        <v>-1.21809</v>
      </c>
      <c r="F580" s="44">
        <v>0.002174</v>
      </c>
      <c r="G580" s="44">
        <v>0.7323</v>
      </c>
      <c r="H580" s="45"/>
      <c r="I580" s="46" t="s">
        <v>2591</v>
      </c>
      <c r="J580" s="46" t="s">
        <v>442</v>
      </c>
      <c r="K580" s="46" t="s">
        <v>97</v>
      </c>
      <c r="L580" s="45"/>
      <c r="M580" s="45"/>
      <c r="N580" s="46" t="s">
        <v>1612</v>
      </c>
      <c r="O580" s="46" t="s">
        <v>1848</v>
      </c>
      <c r="P580" s="45"/>
      <c r="Q580" s="45"/>
      <c r="R580" s="45"/>
      <c r="S580" s="45"/>
      <c r="T580" s="46" t="s">
        <v>2513</v>
      </c>
      <c r="U580" s="44">
        <v>0.0</v>
      </c>
      <c r="V580" s="44">
        <v>14.0</v>
      </c>
      <c r="W580" s="45"/>
      <c r="X580" s="44">
        <v>0.0</v>
      </c>
      <c r="Y580" s="44">
        <v>0.0</v>
      </c>
      <c r="Z580" s="44">
        <v>0.0</v>
      </c>
      <c r="AA580" s="44">
        <v>0.0</v>
      </c>
      <c r="AB580" s="44">
        <v>0.0</v>
      </c>
      <c r="AC580" s="44">
        <v>0.0</v>
      </c>
      <c r="AD580" s="44">
        <v>0.0</v>
      </c>
      <c r="AE580" s="44">
        <v>0.0</v>
      </c>
      <c r="AF580" s="44">
        <v>0.0</v>
      </c>
      <c r="AG580" s="44">
        <v>0.0</v>
      </c>
      <c r="AH580" s="44">
        <v>0.0</v>
      </c>
      <c r="AI580" s="44">
        <v>0.0</v>
      </c>
      <c r="AJ580" s="44">
        <v>0.0</v>
      </c>
      <c r="AK580" s="44">
        <v>-3.00327</v>
      </c>
      <c r="AL580" s="44">
        <v>-1.68259</v>
      </c>
      <c r="AM580" s="44">
        <v>-2.50615</v>
      </c>
      <c r="AN580" s="44">
        <v>-1.80405</v>
      </c>
      <c r="AO580" s="44">
        <v>-3.00288</v>
      </c>
      <c r="AP580" s="44">
        <v>-1.35002</v>
      </c>
      <c r="AQ580" s="44">
        <v>0.007091</v>
      </c>
      <c r="AR580" s="44">
        <v>-0.01276</v>
      </c>
      <c r="AS580" s="44">
        <v>2.391792</v>
      </c>
    </row>
    <row r="581">
      <c r="A581" s="44">
        <v>538.0</v>
      </c>
      <c r="B581" s="45"/>
      <c r="C581" s="45"/>
      <c r="D581" s="45"/>
      <c r="E581" s="44">
        <v>-1.21809</v>
      </c>
      <c r="F581" s="44">
        <v>0.002174</v>
      </c>
      <c r="G581" s="44">
        <v>1.568629</v>
      </c>
      <c r="H581" s="45"/>
      <c r="I581" s="46" t="s">
        <v>2592</v>
      </c>
      <c r="J581" s="46" t="s">
        <v>287</v>
      </c>
      <c r="K581" s="46" t="s">
        <v>85</v>
      </c>
      <c r="L581" s="45"/>
      <c r="M581" s="45"/>
      <c r="N581" s="46" t="s">
        <v>1612</v>
      </c>
      <c r="O581" s="45"/>
      <c r="P581" s="45"/>
      <c r="Q581" s="45"/>
      <c r="R581" s="45"/>
      <c r="S581" s="45"/>
      <c r="T581" s="46" t="s">
        <v>2513</v>
      </c>
      <c r="U581" s="44">
        <v>0.0</v>
      </c>
      <c r="V581" s="44">
        <v>16.0</v>
      </c>
      <c r="W581" s="45"/>
      <c r="X581" s="44">
        <v>0.0</v>
      </c>
      <c r="Y581" s="44">
        <v>0.0</v>
      </c>
      <c r="Z581" s="44">
        <v>0.0</v>
      </c>
      <c r="AA581" s="44">
        <v>0.0</v>
      </c>
      <c r="AB581" s="44">
        <v>0.0</v>
      </c>
      <c r="AC581" s="44">
        <v>0.0</v>
      </c>
      <c r="AD581" s="44">
        <v>0.0</v>
      </c>
      <c r="AE581" s="44">
        <v>0.0</v>
      </c>
      <c r="AF581" s="44">
        <v>0.0</v>
      </c>
      <c r="AG581" s="44">
        <v>0.0</v>
      </c>
      <c r="AH581" s="44">
        <v>0.0</v>
      </c>
      <c r="AI581" s="44">
        <v>0.0</v>
      </c>
      <c r="AJ581" s="44">
        <v>0.0</v>
      </c>
      <c r="AK581" s="44">
        <v>-3.00327</v>
      </c>
      <c r="AL581" s="44">
        <v>-1.68259</v>
      </c>
      <c r="AM581" s="44">
        <v>-2.50615</v>
      </c>
      <c r="AN581" s="44">
        <v>-1.80405</v>
      </c>
      <c r="AO581" s="44">
        <v>-3.00288</v>
      </c>
      <c r="AP581" s="44">
        <v>-1.35002</v>
      </c>
      <c r="AQ581" s="44">
        <v>0.007091</v>
      </c>
      <c r="AR581" s="44">
        <v>-0.01276</v>
      </c>
      <c r="AS581" s="44">
        <v>2.391792</v>
      </c>
    </row>
    <row r="582">
      <c r="A582" s="44">
        <v>556.0</v>
      </c>
      <c r="B582" s="45"/>
      <c r="C582" s="45"/>
      <c r="D582" s="45"/>
      <c r="E582" s="44">
        <v>-1.21809</v>
      </c>
      <c r="F582" s="44">
        <v>0.002174</v>
      </c>
      <c r="G582" s="44">
        <v>1.540752</v>
      </c>
      <c r="H582" s="45"/>
      <c r="I582" s="46" t="s">
        <v>2593</v>
      </c>
      <c r="J582" s="46" t="s">
        <v>490</v>
      </c>
      <c r="K582" s="46" t="s">
        <v>1581</v>
      </c>
      <c r="L582" s="45"/>
      <c r="M582" s="45"/>
      <c r="N582" s="46" t="s">
        <v>1612</v>
      </c>
      <c r="O582" s="389"/>
      <c r="P582" s="45"/>
      <c r="Q582" s="45"/>
      <c r="R582" s="389"/>
      <c r="S582" s="45"/>
      <c r="T582" s="46" t="s">
        <v>2513</v>
      </c>
      <c r="U582" s="44">
        <v>0.0</v>
      </c>
      <c r="V582" s="44">
        <v>16.0</v>
      </c>
      <c r="W582" s="45"/>
      <c r="X582" s="44">
        <v>0.0</v>
      </c>
      <c r="Y582" s="44">
        <v>0.0</v>
      </c>
      <c r="Z582" s="44">
        <v>0.0</v>
      </c>
      <c r="AA582" s="44">
        <v>0.0</v>
      </c>
      <c r="AB582" s="44">
        <v>0.0</v>
      </c>
      <c r="AC582" s="44">
        <v>0.0</v>
      </c>
      <c r="AD582" s="44">
        <v>0.0</v>
      </c>
      <c r="AE582" s="44">
        <v>0.0</v>
      </c>
      <c r="AF582" s="44">
        <v>0.0</v>
      </c>
      <c r="AG582" s="44">
        <v>0.0</v>
      </c>
      <c r="AH582" s="44">
        <v>0.0</v>
      </c>
      <c r="AI582" s="44">
        <v>0.0</v>
      </c>
      <c r="AJ582" s="44">
        <v>0.0</v>
      </c>
      <c r="AK582" s="44">
        <v>-3.00327</v>
      </c>
      <c r="AL582" s="44">
        <v>-1.68259</v>
      </c>
      <c r="AM582" s="44">
        <v>-2.50615</v>
      </c>
      <c r="AN582" s="44">
        <v>-1.80405</v>
      </c>
      <c r="AO582" s="44">
        <v>-3.00288</v>
      </c>
      <c r="AP582" s="44">
        <v>-1.35002</v>
      </c>
      <c r="AQ582" s="44">
        <v>0.007091</v>
      </c>
      <c r="AR582" s="44">
        <v>-0.01276</v>
      </c>
      <c r="AS582" s="44">
        <v>2.391792</v>
      </c>
    </row>
    <row r="583">
      <c r="A583" s="44">
        <v>555.0</v>
      </c>
      <c r="B583" s="45"/>
      <c r="C583" s="45"/>
      <c r="D583" s="45"/>
      <c r="E583" s="44">
        <v>-1.21809</v>
      </c>
      <c r="F583" s="44">
        <v>0.002174</v>
      </c>
      <c r="G583" s="44">
        <v>0.973906</v>
      </c>
      <c r="H583" s="45"/>
      <c r="I583" s="46" t="s">
        <v>2594</v>
      </c>
      <c r="J583" s="46" t="s">
        <v>442</v>
      </c>
      <c r="K583" s="46" t="s">
        <v>85</v>
      </c>
      <c r="L583" s="389"/>
      <c r="M583" s="389"/>
      <c r="N583" s="46" t="s">
        <v>1612</v>
      </c>
      <c r="O583" s="389"/>
      <c r="P583" s="45"/>
      <c r="Q583" s="45"/>
      <c r="R583" s="389"/>
      <c r="S583" s="45"/>
      <c r="T583" s="46" t="s">
        <v>2513</v>
      </c>
      <c r="U583" s="44">
        <v>0.0</v>
      </c>
      <c r="V583" s="44">
        <v>14.0</v>
      </c>
      <c r="W583" s="45"/>
      <c r="X583" s="44">
        <v>0.0</v>
      </c>
      <c r="Y583" s="44">
        <v>0.0</v>
      </c>
      <c r="Z583" s="44">
        <v>0.0</v>
      </c>
      <c r="AA583" s="44">
        <v>0.0</v>
      </c>
      <c r="AB583" s="44">
        <v>0.0</v>
      </c>
      <c r="AC583" s="44">
        <v>0.0</v>
      </c>
      <c r="AD583" s="44">
        <v>0.0</v>
      </c>
      <c r="AE583" s="44">
        <v>0.0</v>
      </c>
      <c r="AF583" s="44">
        <v>0.0</v>
      </c>
      <c r="AG583" s="44">
        <v>0.0</v>
      </c>
      <c r="AH583" s="44">
        <v>0.0</v>
      </c>
      <c r="AI583" s="44">
        <v>0.0</v>
      </c>
      <c r="AJ583" s="44">
        <v>0.0</v>
      </c>
      <c r="AK583" s="44">
        <v>-3.00327</v>
      </c>
      <c r="AL583" s="44">
        <v>-1.68259</v>
      </c>
      <c r="AM583" s="44">
        <v>-2.50615</v>
      </c>
      <c r="AN583" s="44">
        <v>-1.80405</v>
      </c>
      <c r="AO583" s="44">
        <v>-3.00288</v>
      </c>
      <c r="AP583" s="44">
        <v>-1.35002</v>
      </c>
      <c r="AQ583" s="44">
        <v>0.007091</v>
      </c>
      <c r="AR583" s="44">
        <v>-0.01276</v>
      </c>
      <c r="AS583" s="44">
        <v>2.391792</v>
      </c>
    </row>
    <row r="584">
      <c r="A584" s="44">
        <v>554.0</v>
      </c>
      <c r="B584" s="389"/>
      <c r="C584" s="389"/>
      <c r="D584" s="389"/>
      <c r="E584" s="44">
        <v>-1.21809</v>
      </c>
      <c r="F584" s="44">
        <v>0.002174</v>
      </c>
      <c r="G584" s="44">
        <v>1.568629</v>
      </c>
      <c r="H584" s="45"/>
      <c r="I584" s="46" t="s">
        <v>2595</v>
      </c>
      <c r="J584" s="46" t="s">
        <v>283</v>
      </c>
      <c r="K584" s="46" t="s">
        <v>1572</v>
      </c>
      <c r="L584" s="45"/>
      <c r="M584" s="389"/>
      <c r="N584" s="46" t="s">
        <v>1612</v>
      </c>
      <c r="O584" s="45"/>
      <c r="P584" s="45"/>
      <c r="Q584" s="45"/>
      <c r="R584" s="45"/>
      <c r="S584" s="45"/>
      <c r="T584" s="46" t="s">
        <v>2513</v>
      </c>
      <c r="U584" s="44">
        <v>0.0</v>
      </c>
      <c r="V584" s="44">
        <v>14.0</v>
      </c>
      <c r="W584" s="45"/>
      <c r="X584" s="44">
        <v>0.0</v>
      </c>
      <c r="Y584" s="44">
        <v>0.0</v>
      </c>
      <c r="Z584" s="44">
        <v>0.0</v>
      </c>
      <c r="AA584" s="44">
        <v>0.0</v>
      </c>
      <c r="AB584" s="44">
        <v>0.0</v>
      </c>
      <c r="AC584" s="44">
        <v>0.0</v>
      </c>
      <c r="AD584" s="44">
        <v>0.0</v>
      </c>
      <c r="AE584" s="44">
        <v>0.0</v>
      </c>
      <c r="AF584" s="44">
        <v>0.0</v>
      </c>
      <c r="AG584" s="44">
        <v>0.0</v>
      </c>
      <c r="AH584" s="44">
        <v>0.0</v>
      </c>
      <c r="AI584" s="44">
        <v>0.0</v>
      </c>
      <c r="AJ584" s="44">
        <v>0.0</v>
      </c>
      <c r="AK584" s="44">
        <v>-3.00327</v>
      </c>
      <c r="AL584" s="44">
        <v>-1.68259</v>
      </c>
      <c r="AM584" s="44">
        <v>-2.50615</v>
      </c>
      <c r="AN584" s="44">
        <v>-1.80405</v>
      </c>
      <c r="AO584" s="44">
        <v>-3.00288</v>
      </c>
      <c r="AP584" s="44">
        <v>-1.35002</v>
      </c>
      <c r="AQ584" s="44">
        <v>0.007091</v>
      </c>
      <c r="AR584" s="44">
        <v>-0.01276</v>
      </c>
      <c r="AS584" s="44">
        <v>2.391792</v>
      </c>
    </row>
    <row r="585">
      <c r="A585" s="44">
        <v>553.0</v>
      </c>
      <c r="B585" s="45"/>
      <c r="C585" s="45"/>
      <c r="D585" s="45"/>
      <c r="E585" s="44">
        <v>-1.21809</v>
      </c>
      <c r="F585" s="44">
        <v>0.002174</v>
      </c>
      <c r="G585" s="44">
        <v>1.568629</v>
      </c>
      <c r="H585" s="45"/>
      <c r="I585" s="46" t="s">
        <v>2596</v>
      </c>
      <c r="J585" s="46" t="s">
        <v>273</v>
      </c>
      <c r="K585" s="46" t="s">
        <v>1568</v>
      </c>
      <c r="L585" s="45"/>
      <c r="M585" s="45"/>
      <c r="N585" s="46" t="s">
        <v>1612</v>
      </c>
      <c r="O585" s="45"/>
      <c r="P585" s="45"/>
      <c r="Q585" s="45"/>
      <c r="R585" s="45"/>
      <c r="S585" s="45"/>
      <c r="T585" s="46" t="s">
        <v>2513</v>
      </c>
      <c r="U585" s="44">
        <v>0.0</v>
      </c>
      <c r="V585" s="44">
        <v>13.0</v>
      </c>
      <c r="W585" s="45"/>
      <c r="X585" s="44">
        <v>0.0</v>
      </c>
      <c r="Y585" s="44">
        <v>0.0</v>
      </c>
      <c r="Z585" s="44">
        <v>0.0</v>
      </c>
      <c r="AA585" s="44">
        <v>0.0</v>
      </c>
      <c r="AB585" s="44">
        <v>0.0</v>
      </c>
      <c r="AC585" s="44">
        <v>0.0</v>
      </c>
      <c r="AD585" s="44">
        <v>0.0</v>
      </c>
      <c r="AE585" s="44">
        <v>0.0</v>
      </c>
      <c r="AF585" s="44">
        <v>0.0</v>
      </c>
      <c r="AG585" s="44">
        <v>0.0</v>
      </c>
      <c r="AH585" s="44">
        <v>0.0</v>
      </c>
      <c r="AI585" s="44">
        <v>0.0</v>
      </c>
      <c r="AJ585" s="44">
        <v>0.0</v>
      </c>
      <c r="AK585" s="44">
        <v>-3.00327</v>
      </c>
      <c r="AL585" s="44">
        <v>-1.68259</v>
      </c>
      <c r="AM585" s="44">
        <v>-2.50615</v>
      </c>
      <c r="AN585" s="44">
        <v>-1.80405</v>
      </c>
      <c r="AO585" s="44">
        <v>-3.00288</v>
      </c>
      <c r="AP585" s="44">
        <v>-1.35002</v>
      </c>
      <c r="AQ585" s="44">
        <v>0.007091</v>
      </c>
      <c r="AR585" s="44">
        <v>-0.01276</v>
      </c>
      <c r="AS585" s="44">
        <v>2.391792</v>
      </c>
    </row>
    <row r="586">
      <c r="A586" s="44">
        <v>552.0</v>
      </c>
      <c r="B586" s="45"/>
      <c r="C586" s="45"/>
      <c r="D586" s="45"/>
      <c r="E586" s="44">
        <v>-1.21809</v>
      </c>
      <c r="F586" s="44">
        <v>0.002174</v>
      </c>
      <c r="G586" s="44">
        <v>1.568629</v>
      </c>
      <c r="H586" s="45"/>
      <c r="I586" s="46" t="s">
        <v>2597</v>
      </c>
      <c r="J586" s="46" t="s">
        <v>317</v>
      </c>
      <c r="K586" s="46" t="s">
        <v>1572</v>
      </c>
      <c r="L586" s="45"/>
      <c r="M586" s="45"/>
      <c r="N586" s="46" t="s">
        <v>1612</v>
      </c>
      <c r="O586" s="45"/>
      <c r="P586" s="45"/>
      <c r="Q586" s="45"/>
      <c r="R586" s="45"/>
      <c r="S586" s="45"/>
      <c r="T586" s="46" t="s">
        <v>2513</v>
      </c>
      <c r="U586" s="44">
        <v>0.0</v>
      </c>
      <c r="V586" s="44">
        <v>14.0</v>
      </c>
      <c r="W586" s="45"/>
      <c r="X586" s="44">
        <v>0.0</v>
      </c>
      <c r="Y586" s="44">
        <v>0.0</v>
      </c>
      <c r="Z586" s="44">
        <v>0.0</v>
      </c>
      <c r="AA586" s="44">
        <v>0.0</v>
      </c>
      <c r="AB586" s="44">
        <v>0.0</v>
      </c>
      <c r="AC586" s="44">
        <v>0.0</v>
      </c>
      <c r="AD586" s="44">
        <v>0.0</v>
      </c>
      <c r="AE586" s="44">
        <v>0.0</v>
      </c>
      <c r="AF586" s="44">
        <v>0.0</v>
      </c>
      <c r="AG586" s="44">
        <v>0.0</v>
      </c>
      <c r="AH586" s="44">
        <v>0.0</v>
      </c>
      <c r="AI586" s="44">
        <v>0.0</v>
      </c>
      <c r="AJ586" s="44">
        <v>0.0</v>
      </c>
      <c r="AK586" s="44">
        <v>-3.00327</v>
      </c>
      <c r="AL586" s="44">
        <v>-1.68259</v>
      </c>
      <c r="AM586" s="44">
        <v>-2.50615</v>
      </c>
      <c r="AN586" s="44">
        <v>-1.80405</v>
      </c>
      <c r="AO586" s="44">
        <v>-3.00288</v>
      </c>
      <c r="AP586" s="44">
        <v>-1.35002</v>
      </c>
      <c r="AQ586" s="44">
        <v>0.007091</v>
      </c>
      <c r="AR586" s="44">
        <v>-0.01276</v>
      </c>
      <c r="AS586" s="44">
        <v>2.391792</v>
      </c>
    </row>
    <row r="587">
      <c r="A587" s="44">
        <v>551.0</v>
      </c>
      <c r="B587" s="45"/>
      <c r="C587" s="45"/>
      <c r="D587" s="45"/>
      <c r="E587" s="44">
        <v>-1.21809</v>
      </c>
      <c r="F587" s="44">
        <v>0.002174</v>
      </c>
      <c r="G587" s="44">
        <v>1.568629</v>
      </c>
      <c r="H587" s="45"/>
      <c r="I587" s="46" t="s">
        <v>2598</v>
      </c>
      <c r="J587" s="46" t="s">
        <v>375</v>
      </c>
      <c r="K587" s="46" t="s">
        <v>85</v>
      </c>
      <c r="L587" s="45"/>
      <c r="M587" s="45"/>
      <c r="N587" s="46" t="s">
        <v>1612</v>
      </c>
      <c r="O587" s="45"/>
      <c r="P587" s="45"/>
      <c r="Q587" s="45"/>
      <c r="R587" s="45"/>
      <c r="S587" s="45"/>
      <c r="T587" s="46" t="s">
        <v>2513</v>
      </c>
      <c r="U587" s="44">
        <v>0.0</v>
      </c>
      <c r="V587" s="44">
        <v>15.0</v>
      </c>
      <c r="W587" s="45"/>
      <c r="X587" s="44">
        <v>0.0</v>
      </c>
      <c r="Y587" s="44">
        <v>0.0</v>
      </c>
      <c r="Z587" s="44">
        <v>0.0</v>
      </c>
      <c r="AA587" s="44">
        <v>0.0</v>
      </c>
      <c r="AB587" s="44">
        <v>0.0</v>
      </c>
      <c r="AC587" s="44">
        <v>0.0</v>
      </c>
      <c r="AD587" s="44">
        <v>0.0</v>
      </c>
      <c r="AE587" s="44">
        <v>0.0</v>
      </c>
      <c r="AF587" s="44">
        <v>0.0</v>
      </c>
      <c r="AG587" s="44">
        <v>0.0</v>
      </c>
      <c r="AH587" s="44">
        <v>0.0</v>
      </c>
      <c r="AI587" s="44">
        <v>0.0</v>
      </c>
      <c r="AJ587" s="44">
        <v>0.0</v>
      </c>
      <c r="AK587" s="44">
        <v>-3.00327</v>
      </c>
      <c r="AL587" s="44">
        <v>-1.68259</v>
      </c>
      <c r="AM587" s="44">
        <v>-2.50615</v>
      </c>
      <c r="AN587" s="44">
        <v>-1.80405</v>
      </c>
      <c r="AO587" s="44">
        <v>-3.00288</v>
      </c>
      <c r="AP587" s="44">
        <v>-1.35002</v>
      </c>
      <c r="AQ587" s="44">
        <v>0.007091</v>
      </c>
      <c r="AR587" s="44">
        <v>-0.01276</v>
      </c>
      <c r="AS587" s="44">
        <v>2.391792</v>
      </c>
    </row>
    <row r="588">
      <c r="A588" s="44">
        <v>550.0</v>
      </c>
      <c r="B588" s="45"/>
      <c r="C588" s="45"/>
      <c r="D588" s="45"/>
      <c r="E588" s="44">
        <v>-1.21809</v>
      </c>
      <c r="F588" s="44">
        <v>0.002174</v>
      </c>
      <c r="G588" s="44">
        <v>1.289853</v>
      </c>
      <c r="H588" s="45"/>
      <c r="I588" s="46" t="s">
        <v>2599</v>
      </c>
      <c r="J588" s="46" t="s">
        <v>428</v>
      </c>
      <c r="K588" s="46" t="s">
        <v>97</v>
      </c>
      <c r="L588" s="45"/>
      <c r="M588" s="45"/>
      <c r="N588" s="46" t="s">
        <v>1612</v>
      </c>
      <c r="O588" s="389"/>
      <c r="P588" s="45"/>
      <c r="Q588" s="45"/>
      <c r="R588" s="45"/>
      <c r="S588" s="45"/>
      <c r="T588" s="46" t="s">
        <v>2513</v>
      </c>
      <c r="U588" s="44">
        <v>0.0</v>
      </c>
      <c r="V588" s="44">
        <v>14.0</v>
      </c>
      <c r="W588" s="45"/>
      <c r="X588" s="44">
        <v>0.0</v>
      </c>
      <c r="Y588" s="44">
        <v>0.0</v>
      </c>
      <c r="Z588" s="44">
        <v>0.0</v>
      </c>
      <c r="AA588" s="44">
        <v>0.0</v>
      </c>
      <c r="AB588" s="44">
        <v>0.0</v>
      </c>
      <c r="AC588" s="44">
        <v>0.0</v>
      </c>
      <c r="AD588" s="44">
        <v>0.0</v>
      </c>
      <c r="AE588" s="44">
        <v>0.0</v>
      </c>
      <c r="AF588" s="44">
        <v>0.0</v>
      </c>
      <c r="AG588" s="44">
        <v>0.0</v>
      </c>
      <c r="AH588" s="44">
        <v>0.0</v>
      </c>
      <c r="AI588" s="44">
        <v>0.0</v>
      </c>
      <c r="AJ588" s="44">
        <v>0.0</v>
      </c>
      <c r="AK588" s="44">
        <v>-3.00327</v>
      </c>
      <c r="AL588" s="44">
        <v>-1.68259</v>
      </c>
      <c r="AM588" s="44">
        <v>-2.50615</v>
      </c>
      <c r="AN588" s="44">
        <v>-1.80405</v>
      </c>
      <c r="AO588" s="44">
        <v>-3.00288</v>
      </c>
      <c r="AP588" s="44">
        <v>-1.35002</v>
      </c>
      <c r="AQ588" s="44">
        <v>0.007091</v>
      </c>
      <c r="AR588" s="44">
        <v>-0.01276</v>
      </c>
      <c r="AS588" s="44">
        <v>2.391792</v>
      </c>
    </row>
    <row r="589">
      <c r="A589" s="44">
        <v>549.0</v>
      </c>
      <c r="B589" s="45"/>
      <c r="C589" s="45"/>
      <c r="D589" s="45"/>
      <c r="E589" s="44">
        <v>-1.21809</v>
      </c>
      <c r="F589" s="44">
        <v>0.002174</v>
      </c>
      <c r="G589" s="44">
        <v>0.425645</v>
      </c>
      <c r="H589" s="45"/>
      <c r="I589" s="46" t="s">
        <v>2600</v>
      </c>
      <c r="J589" s="46" t="s">
        <v>299</v>
      </c>
      <c r="K589" s="46" t="s">
        <v>90</v>
      </c>
      <c r="L589" s="46" t="s">
        <v>2601</v>
      </c>
      <c r="M589" s="45"/>
      <c r="N589" s="46" t="s">
        <v>1562</v>
      </c>
      <c r="O589" s="46" t="s">
        <v>1848</v>
      </c>
      <c r="P589" s="45"/>
      <c r="Q589" s="45"/>
      <c r="R589" s="46">
        <v>4.0</v>
      </c>
      <c r="S589" s="45"/>
      <c r="T589" s="46" t="s">
        <v>2513</v>
      </c>
      <c r="U589" s="44">
        <v>0.0</v>
      </c>
      <c r="V589" s="44">
        <v>13.0</v>
      </c>
      <c r="W589" s="45"/>
      <c r="X589" s="44">
        <v>0.0</v>
      </c>
      <c r="Y589" s="44">
        <v>0.0</v>
      </c>
      <c r="Z589" s="44">
        <v>0.0</v>
      </c>
      <c r="AA589" s="44">
        <v>0.0</v>
      </c>
      <c r="AB589" s="44">
        <v>0.0</v>
      </c>
      <c r="AC589" s="44">
        <v>0.0</v>
      </c>
      <c r="AD589" s="44">
        <v>0.0</v>
      </c>
      <c r="AE589" s="44">
        <v>0.0</v>
      </c>
      <c r="AF589" s="44">
        <v>0.0</v>
      </c>
      <c r="AG589" s="44">
        <v>0.0</v>
      </c>
      <c r="AH589" s="44">
        <v>0.0</v>
      </c>
      <c r="AI589" s="44">
        <v>0.0</v>
      </c>
      <c r="AJ589" s="44">
        <v>0.0</v>
      </c>
      <c r="AK589" s="44">
        <v>-3.00327</v>
      </c>
      <c r="AL589" s="44">
        <v>-1.68259</v>
      </c>
      <c r="AM589" s="44">
        <v>-2.50615</v>
      </c>
      <c r="AN589" s="44">
        <v>-1.80405</v>
      </c>
      <c r="AO589" s="44">
        <v>-3.00288</v>
      </c>
      <c r="AP589" s="44">
        <v>-1.35002</v>
      </c>
      <c r="AQ589" s="44">
        <v>0.007091</v>
      </c>
      <c r="AR589" s="44">
        <v>-0.01276</v>
      </c>
      <c r="AS589" s="44">
        <v>2.391792</v>
      </c>
    </row>
    <row r="590">
      <c r="A590" s="44">
        <v>558.0</v>
      </c>
      <c r="B590" s="44">
        <v>145.7083</v>
      </c>
      <c r="C590" s="44">
        <v>74.0</v>
      </c>
      <c r="D590" s="44">
        <v>0.0</v>
      </c>
      <c r="E590" s="44">
        <v>-1.21809</v>
      </c>
      <c r="F590" s="44">
        <v>0.002174</v>
      </c>
      <c r="G590" s="44">
        <v>-0.44785</v>
      </c>
      <c r="H590" s="45"/>
      <c r="I590" s="46" t="s">
        <v>2602</v>
      </c>
      <c r="J590" s="46" t="s">
        <v>304</v>
      </c>
      <c r="K590" s="46" t="s">
        <v>1572</v>
      </c>
      <c r="L590" s="45"/>
      <c r="M590" s="46" t="s">
        <v>2603</v>
      </c>
      <c r="N590" s="389"/>
      <c r="O590" s="45"/>
      <c r="P590" s="45"/>
      <c r="Q590" s="45"/>
      <c r="R590" s="45"/>
      <c r="S590" s="45"/>
      <c r="T590" s="46" t="s">
        <v>2513</v>
      </c>
      <c r="U590" s="44">
        <v>0.0</v>
      </c>
      <c r="V590" s="44">
        <v>13.0</v>
      </c>
      <c r="W590" s="45"/>
      <c r="X590" s="44">
        <v>0.0</v>
      </c>
      <c r="Y590" s="44">
        <v>0.0</v>
      </c>
      <c r="Z590" s="44">
        <v>0.0</v>
      </c>
      <c r="AA590" s="44">
        <v>0.0</v>
      </c>
      <c r="AB590" s="44">
        <v>0.0</v>
      </c>
      <c r="AC590" s="44">
        <v>0.0</v>
      </c>
      <c r="AD590" s="44">
        <v>0.0</v>
      </c>
      <c r="AE590" s="44">
        <v>0.0</v>
      </c>
      <c r="AF590" s="44">
        <v>0.0</v>
      </c>
      <c r="AG590" s="44">
        <v>0.0</v>
      </c>
      <c r="AH590" s="44">
        <v>0.0</v>
      </c>
      <c r="AI590" s="44">
        <v>0.0</v>
      </c>
      <c r="AJ590" s="44">
        <v>0.0</v>
      </c>
      <c r="AK590" s="44">
        <v>-3.00327</v>
      </c>
      <c r="AL590" s="44">
        <v>-1.68259</v>
      </c>
      <c r="AM590" s="44">
        <v>-2.50615</v>
      </c>
      <c r="AN590" s="44">
        <v>-1.80405</v>
      </c>
      <c r="AO590" s="44">
        <v>-3.00288</v>
      </c>
      <c r="AP590" s="44">
        <v>-1.35002</v>
      </c>
      <c r="AQ590" s="44">
        <v>0.007091</v>
      </c>
      <c r="AR590" s="44">
        <v>-0.01276</v>
      </c>
      <c r="AS590" s="44">
        <v>2.391792</v>
      </c>
    </row>
    <row r="591">
      <c r="A591" s="44">
        <v>548.0</v>
      </c>
      <c r="B591" s="45"/>
      <c r="C591" s="45"/>
      <c r="D591" s="45"/>
      <c r="E591" s="44">
        <v>-1.21809</v>
      </c>
      <c r="F591" s="44">
        <v>0.002174</v>
      </c>
      <c r="G591" s="44">
        <v>1.271268</v>
      </c>
      <c r="H591" s="45"/>
      <c r="I591" s="46" t="s">
        <v>2604</v>
      </c>
      <c r="J591" s="46" t="s">
        <v>287</v>
      </c>
      <c r="K591" s="46" t="s">
        <v>90</v>
      </c>
      <c r="L591" s="45"/>
      <c r="M591" s="45"/>
      <c r="N591" s="46" t="s">
        <v>1612</v>
      </c>
      <c r="O591" s="45"/>
      <c r="P591" s="45"/>
      <c r="Q591" s="45"/>
      <c r="R591" s="45"/>
      <c r="S591" s="45"/>
      <c r="T591" s="46" t="s">
        <v>2513</v>
      </c>
      <c r="U591" s="44">
        <v>0.0</v>
      </c>
      <c r="V591" s="44">
        <v>16.0</v>
      </c>
      <c r="W591" s="45"/>
      <c r="X591" s="44">
        <v>0.0</v>
      </c>
      <c r="Y591" s="44">
        <v>0.0</v>
      </c>
      <c r="Z591" s="44">
        <v>0.0</v>
      </c>
      <c r="AA591" s="44">
        <v>0.0</v>
      </c>
      <c r="AB591" s="44">
        <v>0.0</v>
      </c>
      <c r="AC591" s="44">
        <v>0.0</v>
      </c>
      <c r="AD591" s="44">
        <v>0.0</v>
      </c>
      <c r="AE591" s="44">
        <v>0.0</v>
      </c>
      <c r="AF591" s="44">
        <v>0.0</v>
      </c>
      <c r="AG591" s="44">
        <v>0.0</v>
      </c>
      <c r="AH591" s="44">
        <v>0.0</v>
      </c>
      <c r="AI591" s="44">
        <v>0.0</v>
      </c>
      <c r="AJ591" s="44">
        <v>0.0</v>
      </c>
      <c r="AK591" s="44">
        <v>-3.00327</v>
      </c>
      <c r="AL591" s="44">
        <v>-1.68259</v>
      </c>
      <c r="AM591" s="44">
        <v>-2.50615</v>
      </c>
      <c r="AN591" s="44">
        <v>-1.80405</v>
      </c>
      <c r="AO591" s="44">
        <v>-3.00288</v>
      </c>
      <c r="AP591" s="44">
        <v>-1.35002</v>
      </c>
      <c r="AQ591" s="44">
        <v>0.007091</v>
      </c>
      <c r="AR591" s="44">
        <v>-0.01276</v>
      </c>
      <c r="AS591" s="44">
        <v>2.391792</v>
      </c>
    </row>
    <row r="592">
      <c r="A592" s="44">
        <v>546.0</v>
      </c>
      <c r="B592" s="45"/>
      <c r="C592" s="45"/>
      <c r="D592" s="45"/>
      <c r="E592" s="44">
        <v>-1.21809</v>
      </c>
      <c r="F592" s="44">
        <v>0.002174</v>
      </c>
      <c r="G592" s="44">
        <v>1.568629</v>
      </c>
      <c r="H592" s="45"/>
      <c r="I592" s="46" t="s">
        <v>2605</v>
      </c>
      <c r="J592" s="46" t="s">
        <v>273</v>
      </c>
      <c r="K592" s="46" t="s">
        <v>1572</v>
      </c>
      <c r="L592" s="45"/>
      <c r="M592" s="45"/>
      <c r="N592" s="46" t="s">
        <v>1612</v>
      </c>
      <c r="O592" s="45"/>
      <c r="P592" s="45"/>
      <c r="Q592" s="45"/>
      <c r="R592" s="45"/>
      <c r="S592" s="45"/>
      <c r="T592" s="46" t="s">
        <v>2513</v>
      </c>
      <c r="U592" s="44">
        <v>0.0</v>
      </c>
      <c r="V592" s="44">
        <v>13.0</v>
      </c>
      <c r="W592" s="45"/>
      <c r="X592" s="44">
        <v>0.0</v>
      </c>
      <c r="Y592" s="44">
        <v>0.0</v>
      </c>
      <c r="Z592" s="44">
        <v>0.0</v>
      </c>
      <c r="AA592" s="44">
        <v>0.0</v>
      </c>
      <c r="AB592" s="44">
        <v>0.0</v>
      </c>
      <c r="AC592" s="44">
        <v>0.0</v>
      </c>
      <c r="AD592" s="44">
        <v>0.0</v>
      </c>
      <c r="AE592" s="44">
        <v>0.0</v>
      </c>
      <c r="AF592" s="44">
        <v>0.0</v>
      </c>
      <c r="AG592" s="44">
        <v>0.0</v>
      </c>
      <c r="AH592" s="44">
        <v>0.0</v>
      </c>
      <c r="AI592" s="44">
        <v>0.0</v>
      </c>
      <c r="AJ592" s="44">
        <v>0.0</v>
      </c>
      <c r="AK592" s="44">
        <v>-3.00327</v>
      </c>
      <c r="AL592" s="44">
        <v>-1.68259</v>
      </c>
      <c r="AM592" s="44">
        <v>-2.50615</v>
      </c>
      <c r="AN592" s="44">
        <v>-1.80405</v>
      </c>
      <c r="AO592" s="44">
        <v>-3.00288</v>
      </c>
      <c r="AP592" s="44">
        <v>-1.35002</v>
      </c>
      <c r="AQ592" s="44">
        <v>0.007091</v>
      </c>
      <c r="AR592" s="44">
        <v>-0.01276</v>
      </c>
      <c r="AS592" s="44">
        <v>2.391792</v>
      </c>
    </row>
    <row r="593">
      <c r="A593" s="44">
        <v>545.0</v>
      </c>
      <c r="B593" s="45"/>
      <c r="C593" s="45"/>
      <c r="D593" s="45"/>
      <c r="E593" s="44">
        <v>-1.21809</v>
      </c>
      <c r="F593" s="44">
        <v>0.002174</v>
      </c>
      <c r="G593" s="44">
        <v>-0.00181</v>
      </c>
      <c r="H593" s="45"/>
      <c r="I593" s="46" t="s">
        <v>2606</v>
      </c>
      <c r="J593" s="46" t="s">
        <v>354</v>
      </c>
      <c r="K593" s="46" t="s">
        <v>97</v>
      </c>
      <c r="L593" s="46" t="s">
        <v>2607</v>
      </c>
      <c r="M593" s="45"/>
      <c r="N593" s="46" t="s">
        <v>1612</v>
      </c>
      <c r="O593" s="45"/>
      <c r="P593" s="45"/>
      <c r="Q593" s="45"/>
      <c r="R593" s="45"/>
      <c r="S593" s="45"/>
      <c r="T593" s="46" t="s">
        <v>2513</v>
      </c>
      <c r="U593" s="44">
        <v>0.0</v>
      </c>
      <c r="V593" s="44">
        <v>15.0</v>
      </c>
      <c r="W593" s="45"/>
      <c r="X593" s="44">
        <v>0.0</v>
      </c>
      <c r="Y593" s="44">
        <v>0.0</v>
      </c>
      <c r="Z593" s="44">
        <v>0.0</v>
      </c>
      <c r="AA593" s="44">
        <v>0.0</v>
      </c>
      <c r="AB593" s="44">
        <v>0.0</v>
      </c>
      <c r="AC593" s="44">
        <v>0.0</v>
      </c>
      <c r="AD593" s="44">
        <v>0.0</v>
      </c>
      <c r="AE593" s="44">
        <v>0.0</v>
      </c>
      <c r="AF593" s="44">
        <v>0.0</v>
      </c>
      <c r="AG593" s="44">
        <v>0.0</v>
      </c>
      <c r="AH593" s="44">
        <v>0.0</v>
      </c>
      <c r="AI593" s="44">
        <v>0.0</v>
      </c>
      <c r="AJ593" s="44">
        <v>0.0</v>
      </c>
      <c r="AK593" s="44">
        <v>-3.00327</v>
      </c>
      <c r="AL593" s="44">
        <v>-1.68259</v>
      </c>
      <c r="AM593" s="44">
        <v>-2.50615</v>
      </c>
      <c r="AN593" s="44">
        <v>-1.80405</v>
      </c>
      <c r="AO593" s="44">
        <v>-3.00288</v>
      </c>
      <c r="AP593" s="44">
        <v>-1.35002</v>
      </c>
      <c r="AQ593" s="44">
        <v>0.007091</v>
      </c>
      <c r="AR593" s="44">
        <v>-0.01276</v>
      </c>
      <c r="AS593" s="44">
        <v>2.391792</v>
      </c>
    </row>
    <row r="594">
      <c r="A594" s="44">
        <v>544.0</v>
      </c>
      <c r="B594" s="45"/>
      <c r="C594" s="45"/>
      <c r="D594" s="45"/>
      <c r="E594" s="44">
        <v>-1.21809</v>
      </c>
      <c r="F594" s="44">
        <v>0.002174</v>
      </c>
      <c r="G594" s="44">
        <v>0.918151</v>
      </c>
      <c r="H594" s="45"/>
      <c r="I594" s="46" t="s">
        <v>2608</v>
      </c>
      <c r="J594" s="46" t="s">
        <v>304</v>
      </c>
      <c r="K594" s="46" t="s">
        <v>88</v>
      </c>
      <c r="L594" s="45"/>
      <c r="M594" s="45"/>
      <c r="N594" s="46" t="s">
        <v>1612</v>
      </c>
      <c r="O594" s="45"/>
      <c r="P594" s="45"/>
      <c r="Q594" s="45"/>
      <c r="R594" s="45"/>
      <c r="S594" s="45"/>
      <c r="T594" s="46" t="s">
        <v>2513</v>
      </c>
      <c r="U594" s="44">
        <v>0.0</v>
      </c>
      <c r="V594" s="44">
        <v>13.0</v>
      </c>
      <c r="W594" s="45"/>
      <c r="X594" s="44">
        <v>0.0</v>
      </c>
      <c r="Y594" s="44">
        <v>0.0</v>
      </c>
      <c r="Z594" s="44">
        <v>0.0</v>
      </c>
      <c r="AA594" s="44">
        <v>0.0</v>
      </c>
      <c r="AB594" s="44">
        <v>0.0</v>
      </c>
      <c r="AC594" s="44">
        <v>0.0</v>
      </c>
      <c r="AD594" s="44">
        <v>0.0</v>
      </c>
      <c r="AE594" s="44">
        <v>0.0</v>
      </c>
      <c r="AF594" s="44">
        <v>0.0</v>
      </c>
      <c r="AG594" s="44">
        <v>0.0</v>
      </c>
      <c r="AH594" s="44">
        <v>0.0</v>
      </c>
      <c r="AI594" s="44">
        <v>0.0</v>
      </c>
      <c r="AJ594" s="44">
        <v>0.0</v>
      </c>
      <c r="AK594" s="44">
        <v>-3.00327</v>
      </c>
      <c r="AL594" s="44">
        <v>-1.68259</v>
      </c>
      <c r="AM594" s="44">
        <v>-2.50615</v>
      </c>
      <c r="AN594" s="44">
        <v>-1.80405</v>
      </c>
      <c r="AO594" s="44">
        <v>-3.00288</v>
      </c>
      <c r="AP594" s="44">
        <v>-1.35002</v>
      </c>
      <c r="AQ594" s="44">
        <v>0.007091</v>
      </c>
      <c r="AR594" s="44">
        <v>-0.01276</v>
      </c>
      <c r="AS594" s="44">
        <v>2.391792</v>
      </c>
    </row>
    <row r="595">
      <c r="A595" s="44">
        <v>543.0</v>
      </c>
      <c r="B595" s="389"/>
      <c r="C595" s="389"/>
      <c r="D595" s="389"/>
      <c r="E595" s="44">
        <v>-1.21809</v>
      </c>
      <c r="F595" s="44">
        <v>-0.53372</v>
      </c>
      <c r="G595" s="44">
        <v>0.825225</v>
      </c>
      <c r="H595" s="45"/>
      <c r="I595" s="46" t="s">
        <v>2609</v>
      </c>
      <c r="J595" s="46" t="s">
        <v>495</v>
      </c>
      <c r="K595" s="46" t="s">
        <v>1572</v>
      </c>
      <c r="L595" s="46" t="s">
        <v>2610</v>
      </c>
      <c r="M595" s="389"/>
      <c r="N595" s="46" t="s">
        <v>1562</v>
      </c>
      <c r="O595" s="46" t="s">
        <v>1595</v>
      </c>
      <c r="P595" s="45"/>
      <c r="Q595" s="45"/>
      <c r="R595" s="46">
        <v>4.0</v>
      </c>
      <c r="S595" s="45"/>
      <c r="T595" s="46" t="s">
        <v>2513</v>
      </c>
      <c r="U595" s="44">
        <v>0.0</v>
      </c>
      <c r="V595" s="44">
        <v>14.0</v>
      </c>
      <c r="W595" s="45"/>
      <c r="X595" s="44">
        <v>0.0</v>
      </c>
      <c r="Y595" s="44">
        <v>0.0</v>
      </c>
      <c r="Z595" s="44">
        <v>0.0</v>
      </c>
      <c r="AA595" s="44">
        <v>0.0</v>
      </c>
      <c r="AB595" s="44">
        <v>0.0</v>
      </c>
      <c r="AC595" s="44">
        <v>0.0</v>
      </c>
      <c r="AD595" s="44">
        <v>0.0</v>
      </c>
      <c r="AE595" s="44">
        <v>0.0</v>
      </c>
      <c r="AF595" s="44">
        <v>0.0</v>
      </c>
      <c r="AG595" s="44">
        <v>0.0</v>
      </c>
      <c r="AH595" s="44">
        <v>0.0</v>
      </c>
      <c r="AI595" s="44">
        <v>0.0</v>
      </c>
      <c r="AJ595" s="44">
        <v>0.0</v>
      </c>
      <c r="AK595" s="44">
        <v>-3.00327</v>
      </c>
      <c r="AL595" s="44">
        <v>-1.68259</v>
      </c>
      <c r="AM595" s="44">
        <v>-2.50615</v>
      </c>
      <c r="AN595" s="44">
        <v>-1.80405</v>
      </c>
      <c r="AO595" s="44">
        <v>-3.00288</v>
      </c>
      <c r="AP595" s="44">
        <v>-1.35002</v>
      </c>
      <c r="AQ595" s="44">
        <v>0.007091</v>
      </c>
      <c r="AR595" s="44">
        <v>-0.01276</v>
      </c>
      <c r="AS595" s="44">
        <v>2.391792</v>
      </c>
    </row>
    <row r="596">
      <c r="A596" s="44">
        <v>542.0</v>
      </c>
      <c r="B596" s="45"/>
      <c r="C596" s="45"/>
      <c r="D596" s="45"/>
      <c r="E596" s="44">
        <v>-1.21809</v>
      </c>
      <c r="F596" s="44">
        <v>0.002174</v>
      </c>
      <c r="G596" s="44">
        <v>0.899566</v>
      </c>
      <c r="H596" s="45"/>
      <c r="I596" s="46" t="s">
        <v>2611</v>
      </c>
      <c r="J596" s="46" t="s">
        <v>1560</v>
      </c>
      <c r="K596" s="46" t="s">
        <v>88</v>
      </c>
      <c r="L596" s="45"/>
      <c r="M596" s="45"/>
      <c r="N596" s="46" t="s">
        <v>1562</v>
      </c>
      <c r="O596" s="46" t="s">
        <v>1607</v>
      </c>
      <c r="P596" s="45"/>
      <c r="Q596" s="45"/>
      <c r="R596" s="45"/>
      <c r="S596" s="45"/>
      <c r="T596" s="46" t="s">
        <v>2513</v>
      </c>
      <c r="U596" s="44">
        <v>0.0</v>
      </c>
      <c r="V596" s="44">
        <v>14.0</v>
      </c>
      <c r="W596" s="45"/>
      <c r="X596" s="44">
        <v>0.0</v>
      </c>
      <c r="Y596" s="44">
        <v>0.0</v>
      </c>
      <c r="Z596" s="44">
        <v>0.0</v>
      </c>
      <c r="AA596" s="44">
        <v>0.0</v>
      </c>
      <c r="AB596" s="44">
        <v>0.0</v>
      </c>
      <c r="AC596" s="44">
        <v>0.0</v>
      </c>
      <c r="AD596" s="44">
        <v>0.0</v>
      </c>
      <c r="AE596" s="44">
        <v>0.0</v>
      </c>
      <c r="AF596" s="44">
        <v>0.0</v>
      </c>
      <c r="AG596" s="44">
        <v>0.0</v>
      </c>
      <c r="AH596" s="44">
        <v>0.0</v>
      </c>
      <c r="AI596" s="44">
        <v>0.0</v>
      </c>
      <c r="AJ596" s="44">
        <v>0.0</v>
      </c>
      <c r="AK596" s="44">
        <v>-3.00327</v>
      </c>
      <c r="AL596" s="44">
        <v>-1.68259</v>
      </c>
      <c r="AM596" s="44">
        <v>-2.50615</v>
      </c>
      <c r="AN596" s="44">
        <v>-1.80405</v>
      </c>
      <c r="AO596" s="44">
        <v>-3.00288</v>
      </c>
      <c r="AP596" s="44">
        <v>-1.35002</v>
      </c>
      <c r="AQ596" s="44">
        <v>0.007091</v>
      </c>
      <c r="AR596" s="44">
        <v>-0.01276</v>
      </c>
      <c r="AS596" s="44">
        <v>2.391792</v>
      </c>
    </row>
    <row r="597">
      <c r="A597" s="44">
        <v>541.0</v>
      </c>
      <c r="B597" s="45"/>
      <c r="C597" s="45"/>
      <c r="D597" s="45"/>
      <c r="E597" s="44">
        <v>-1.21809</v>
      </c>
      <c r="F597" s="44">
        <v>0.002174</v>
      </c>
      <c r="G597" s="44">
        <v>0.425645</v>
      </c>
      <c r="H597" s="45"/>
      <c r="I597" s="46" t="s">
        <v>2612</v>
      </c>
      <c r="J597" s="46" t="s">
        <v>342</v>
      </c>
      <c r="K597" s="46" t="s">
        <v>1593</v>
      </c>
      <c r="L597" s="45"/>
      <c r="M597" s="45"/>
      <c r="N597" s="46" t="s">
        <v>1570</v>
      </c>
      <c r="O597" s="46" t="s">
        <v>1576</v>
      </c>
      <c r="P597" s="45"/>
      <c r="Q597" s="45"/>
      <c r="R597" s="45"/>
      <c r="S597" s="45"/>
      <c r="T597" s="46" t="s">
        <v>2513</v>
      </c>
      <c r="U597" s="44">
        <v>0.0</v>
      </c>
      <c r="V597" s="44">
        <v>16.0</v>
      </c>
      <c r="W597" s="45"/>
      <c r="X597" s="44">
        <v>0.0</v>
      </c>
      <c r="Y597" s="44">
        <v>0.0</v>
      </c>
      <c r="Z597" s="44">
        <v>0.0</v>
      </c>
      <c r="AA597" s="44">
        <v>0.0</v>
      </c>
      <c r="AB597" s="44">
        <v>0.0</v>
      </c>
      <c r="AC597" s="44">
        <v>0.0</v>
      </c>
      <c r="AD597" s="44">
        <v>0.0</v>
      </c>
      <c r="AE597" s="44">
        <v>0.0</v>
      </c>
      <c r="AF597" s="44">
        <v>0.0</v>
      </c>
      <c r="AG597" s="44">
        <v>0.0</v>
      </c>
      <c r="AH597" s="44">
        <v>0.0</v>
      </c>
      <c r="AI597" s="44">
        <v>0.0</v>
      </c>
      <c r="AJ597" s="44">
        <v>0.0</v>
      </c>
      <c r="AK597" s="44">
        <v>-3.00327</v>
      </c>
      <c r="AL597" s="44">
        <v>-1.68259</v>
      </c>
      <c r="AM597" s="44">
        <v>-2.50615</v>
      </c>
      <c r="AN597" s="44">
        <v>-1.80405</v>
      </c>
      <c r="AO597" s="44">
        <v>-3.00288</v>
      </c>
      <c r="AP597" s="44">
        <v>-1.35002</v>
      </c>
      <c r="AQ597" s="44">
        <v>0.007091</v>
      </c>
      <c r="AR597" s="44">
        <v>-0.01276</v>
      </c>
      <c r="AS597" s="44">
        <v>2.391792</v>
      </c>
    </row>
    <row r="598">
      <c r="A598" s="44">
        <v>540.0</v>
      </c>
      <c r="B598" s="389"/>
      <c r="C598" s="389"/>
      <c r="D598" s="389"/>
      <c r="E598" s="44">
        <v>-1.21809</v>
      </c>
      <c r="F598" s="44">
        <v>0.002174</v>
      </c>
      <c r="G598" s="44">
        <v>0.890273</v>
      </c>
      <c r="H598" s="45"/>
      <c r="I598" s="46" t="s">
        <v>2613</v>
      </c>
      <c r="J598" s="46" t="s">
        <v>278</v>
      </c>
      <c r="K598" s="46" t="s">
        <v>1581</v>
      </c>
      <c r="L598" s="389"/>
      <c r="M598" s="389"/>
      <c r="N598" s="46" t="s">
        <v>1612</v>
      </c>
      <c r="O598" s="389"/>
      <c r="P598" s="45"/>
      <c r="Q598" s="45"/>
      <c r="R598" s="389"/>
      <c r="S598" s="45"/>
      <c r="T598" s="46" t="s">
        <v>2513</v>
      </c>
      <c r="U598" s="44">
        <v>0.0</v>
      </c>
      <c r="V598" s="44">
        <v>14.0</v>
      </c>
      <c r="W598" s="45"/>
      <c r="X598" s="44">
        <v>0.0</v>
      </c>
      <c r="Y598" s="44">
        <v>0.0</v>
      </c>
      <c r="Z598" s="44">
        <v>0.0</v>
      </c>
      <c r="AA598" s="44">
        <v>0.0</v>
      </c>
      <c r="AB598" s="44">
        <v>0.0</v>
      </c>
      <c r="AC598" s="44">
        <v>0.0</v>
      </c>
      <c r="AD598" s="44">
        <v>0.0</v>
      </c>
      <c r="AE598" s="44">
        <v>0.0</v>
      </c>
      <c r="AF598" s="44">
        <v>0.0</v>
      </c>
      <c r="AG598" s="44">
        <v>0.0</v>
      </c>
      <c r="AH598" s="44">
        <v>0.0</v>
      </c>
      <c r="AI598" s="44">
        <v>0.0</v>
      </c>
      <c r="AJ598" s="44">
        <v>0.0</v>
      </c>
      <c r="AK598" s="44">
        <v>-3.00327</v>
      </c>
      <c r="AL598" s="44">
        <v>-1.68259</v>
      </c>
      <c r="AM598" s="44">
        <v>-2.50615</v>
      </c>
      <c r="AN598" s="44">
        <v>-1.80405</v>
      </c>
      <c r="AO598" s="44">
        <v>-3.00288</v>
      </c>
      <c r="AP598" s="44">
        <v>-1.35002</v>
      </c>
      <c r="AQ598" s="44">
        <v>0.007091</v>
      </c>
      <c r="AR598" s="44">
        <v>-0.01276</v>
      </c>
      <c r="AS598" s="44">
        <v>2.391792</v>
      </c>
    </row>
    <row r="599">
      <c r="A599" s="44">
        <v>539.0</v>
      </c>
      <c r="B599" s="44">
        <v>100.0</v>
      </c>
      <c r="C599" s="44">
        <v>11.0</v>
      </c>
      <c r="D599" s="44">
        <v>0.0</v>
      </c>
      <c r="E599" s="44">
        <v>-1.21809</v>
      </c>
      <c r="F599" s="44">
        <v>0.002174</v>
      </c>
      <c r="G599" s="44">
        <v>-0.47573</v>
      </c>
      <c r="H599" s="45"/>
      <c r="I599" s="46" t="s">
        <v>2614</v>
      </c>
      <c r="J599" s="46" t="s">
        <v>386</v>
      </c>
      <c r="K599" s="46" t="s">
        <v>85</v>
      </c>
      <c r="L599" s="46" t="s">
        <v>2615</v>
      </c>
      <c r="M599" s="46" t="s">
        <v>2529</v>
      </c>
      <c r="N599" s="46" t="s">
        <v>1570</v>
      </c>
      <c r="O599" s="46" t="s">
        <v>1600</v>
      </c>
      <c r="P599" s="45"/>
      <c r="Q599" s="45"/>
      <c r="R599" s="46">
        <v>2.0</v>
      </c>
      <c r="S599" s="45"/>
      <c r="T599" s="46" t="s">
        <v>2513</v>
      </c>
      <c r="U599" s="44">
        <v>0.0</v>
      </c>
      <c r="V599" s="44">
        <v>14.0</v>
      </c>
      <c r="W599" s="45"/>
      <c r="X599" s="44">
        <v>0.0</v>
      </c>
      <c r="Y599" s="44">
        <v>0.0</v>
      </c>
      <c r="Z599" s="44">
        <v>0.0</v>
      </c>
      <c r="AA599" s="44">
        <v>0.0</v>
      </c>
      <c r="AB599" s="44">
        <v>0.0</v>
      </c>
      <c r="AC599" s="44">
        <v>0.0</v>
      </c>
      <c r="AD599" s="44">
        <v>0.0</v>
      </c>
      <c r="AE599" s="44">
        <v>0.0</v>
      </c>
      <c r="AF599" s="44">
        <v>0.0</v>
      </c>
      <c r="AG599" s="44">
        <v>0.0</v>
      </c>
      <c r="AH599" s="44">
        <v>0.0</v>
      </c>
      <c r="AI599" s="44">
        <v>0.0</v>
      </c>
      <c r="AJ599" s="44">
        <v>0.0</v>
      </c>
      <c r="AK599" s="44">
        <v>-3.00327</v>
      </c>
      <c r="AL599" s="44">
        <v>-1.68259</v>
      </c>
      <c r="AM599" s="44">
        <v>-2.50615</v>
      </c>
      <c r="AN599" s="44">
        <v>-1.80405</v>
      </c>
      <c r="AO599" s="44">
        <v>-3.00288</v>
      </c>
      <c r="AP599" s="44">
        <v>-1.35002</v>
      </c>
      <c r="AQ599" s="44">
        <v>0.007091</v>
      </c>
      <c r="AR599" s="44">
        <v>-0.01276</v>
      </c>
      <c r="AS599" s="44">
        <v>2.391792</v>
      </c>
    </row>
    <row r="600">
      <c r="A600" s="44">
        <v>547.0</v>
      </c>
      <c r="B600" s="45"/>
      <c r="C600" s="45"/>
      <c r="D600" s="45"/>
      <c r="E600" s="44">
        <v>-1.21809</v>
      </c>
      <c r="F600" s="44">
        <v>0.002174</v>
      </c>
      <c r="G600" s="44">
        <v>0.992491</v>
      </c>
      <c r="H600" s="45"/>
      <c r="I600" s="46" t="s">
        <v>2616</v>
      </c>
      <c r="J600" s="46" t="s">
        <v>332</v>
      </c>
      <c r="K600" s="46" t="s">
        <v>92</v>
      </c>
      <c r="L600" s="45"/>
      <c r="M600" s="45"/>
      <c r="N600" s="46" t="s">
        <v>1612</v>
      </c>
      <c r="O600" s="46" t="s">
        <v>1848</v>
      </c>
      <c r="P600" s="45"/>
      <c r="Q600" s="45"/>
      <c r="R600" s="389"/>
      <c r="S600" s="45"/>
      <c r="T600" s="46" t="s">
        <v>2513</v>
      </c>
      <c r="U600" s="44">
        <v>0.0</v>
      </c>
      <c r="V600" s="44">
        <v>15.0</v>
      </c>
      <c r="W600" s="45"/>
      <c r="X600" s="44">
        <v>0.0</v>
      </c>
      <c r="Y600" s="44">
        <v>0.0</v>
      </c>
      <c r="Z600" s="44">
        <v>0.0</v>
      </c>
      <c r="AA600" s="44">
        <v>0.0</v>
      </c>
      <c r="AB600" s="44">
        <v>0.0</v>
      </c>
      <c r="AC600" s="44">
        <v>0.0</v>
      </c>
      <c r="AD600" s="44">
        <v>0.0</v>
      </c>
      <c r="AE600" s="44">
        <v>0.0</v>
      </c>
      <c r="AF600" s="44">
        <v>0.0</v>
      </c>
      <c r="AG600" s="44">
        <v>0.0</v>
      </c>
      <c r="AH600" s="44">
        <v>0.0</v>
      </c>
      <c r="AI600" s="44">
        <v>0.0</v>
      </c>
      <c r="AJ600" s="44">
        <v>0.0</v>
      </c>
      <c r="AK600" s="44">
        <v>-3.00327</v>
      </c>
      <c r="AL600" s="44">
        <v>-1.68259</v>
      </c>
      <c r="AM600" s="44">
        <v>-2.50615</v>
      </c>
      <c r="AN600" s="44">
        <v>-1.80405</v>
      </c>
      <c r="AO600" s="44">
        <v>-3.00288</v>
      </c>
      <c r="AP600" s="44">
        <v>-1.35002</v>
      </c>
      <c r="AQ600" s="44">
        <v>0.007091</v>
      </c>
      <c r="AR600" s="44">
        <v>-0.01276</v>
      </c>
      <c r="AS600" s="44">
        <v>2.391792</v>
      </c>
    </row>
    <row r="601">
      <c r="A601" s="44">
        <v>600.0</v>
      </c>
      <c r="B601" s="389"/>
      <c r="C601" s="389"/>
      <c r="D601" s="389"/>
      <c r="E601" s="44">
        <v>-1.21809</v>
      </c>
      <c r="F601" s="44">
        <v>0.002174</v>
      </c>
      <c r="G601" s="44">
        <v>1.568629</v>
      </c>
      <c r="H601" s="45"/>
      <c r="I601" s="46" t="s">
        <v>2617</v>
      </c>
      <c r="J601" s="46" t="s">
        <v>375</v>
      </c>
      <c r="K601" s="46" t="s">
        <v>88</v>
      </c>
      <c r="L601" s="45"/>
      <c r="M601" s="45"/>
      <c r="N601" s="46" t="s">
        <v>1612</v>
      </c>
      <c r="O601" s="389"/>
      <c r="P601" s="45"/>
      <c r="Q601" s="45"/>
      <c r="R601" s="45"/>
      <c r="S601" s="45"/>
      <c r="T601" s="46" t="s">
        <v>2513</v>
      </c>
      <c r="U601" s="44">
        <v>0.0</v>
      </c>
      <c r="V601" s="44">
        <v>15.0</v>
      </c>
      <c r="W601" s="45"/>
      <c r="X601" s="44">
        <v>0.0</v>
      </c>
      <c r="Y601" s="44">
        <v>0.0</v>
      </c>
      <c r="Z601" s="44">
        <v>0.0</v>
      </c>
      <c r="AA601" s="44">
        <v>0.0</v>
      </c>
      <c r="AB601" s="44">
        <v>0.0</v>
      </c>
      <c r="AC601" s="44">
        <v>0.0</v>
      </c>
      <c r="AD601" s="44">
        <v>0.0</v>
      </c>
      <c r="AE601" s="44">
        <v>0.0</v>
      </c>
      <c r="AF601" s="44">
        <v>0.0</v>
      </c>
      <c r="AG601" s="44">
        <v>0.0</v>
      </c>
      <c r="AH601" s="44">
        <v>0.0</v>
      </c>
      <c r="AI601" s="44">
        <v>0.0</v>
      </c>
      <c r="AJ601" s="44">
        <v>0.0</v>
      </c>
      <c r="AK601" s="44">
        <v>-3.00327</v>
      </c>
      <c r="AL601" s="44">
        <v>-1.68259</v>
      </c>
      <c r="AM601" s="44">
        <v>-2.50615</v>
      </c>
      <c r="AN601" s="44">
        <v>-1.80405</v>
      </c>
      <c r="AO601" s="44">
        <v>-3.00288</v>
      </c>
      <c r="AP601" s="44">
        <v>-1.35002</v>
      </c>
      <c r="AQ601" s="44">
        <v>0.007091</v>
      </c>
      <c r="AR601" s="44">
        <v>-0.01276</v>
      </c>
      <c r="AS601" s="44">
        <v>2.391792</v>
      </c>
    </row>
    <row r="602">
      <c r="A602" s="390"/>
      <c r="B602" s="390"/>
      <c r="C602" s="391"/>
      <c r="D602" s="391"/>
      <c r="E602" s="391"/>
      <c r="F602" s="390"/>
      <c r="G602" s="390"/>
      <c r="H602" s="390"/>
      <c r="I602" s="390"/>
      <c r="J602" s="390"/>
      <c r="K602" s="390"/>
      <c r="L602" s="390"/>
      <c r="M602" s="390"/>
      <c r="N602" s="390"/>
      <c r="O602" s="390"/>
      <c r="P602" s="390"/>
      <c r="Q602" s="390"/>
      <c r="R602" s="390"/>
      <c r="S602" s="390"/>
      <c r="T602" s="390"/>
      <c r="U602" s="390"/>
      <c r="V602" s="390"/>
      <c r="W602" s="390"/>
      <c r="X602" s="391"/>
    </row>
    <row r="603">
      <c r="A603" s="390"/>
      <c r="B603" s="390"/>
      <c r="C603" s="391"/>
      <c r="D603" s="391"/>
      <c r="E603" s="391"/>
      <c r="F603" s="390"/>
      <c r="G603" s="390"/>
      <c r="H603" s="390"/>
      <c r="I603" s="390"/>
      <c r="J603" s="390"/>
      <c r="K603" s="390"/>
      <c r="L603" s="390"/>
      <c r="M603" s="390"/>
      <c r="N603" s="390"/>
      <c r="O603" s="390"/>
      <c r="P603" s="390"/>
      <c r="Q603" s="390"/>
      <c r="R603" s="390"/>
      <c r="S603" s="390"/>
      <c r="T603" s="390"/>
      <c r="U603" s="390"/>
      <c r="V603" s="390"/>
      <c r="W603" s="390"/>
      <c r="X603" s="391"/>
    </row>
    <row r="604">
      <c r="A604" s="390"/>
      <c r="B604" s="390"/>
      <c r="C604" s="391"/>
      <c r="D604" s="391"/>
      <c r="E604" s="391"/>
      <c r="F604" s="390"/>
      <c r="G604" s="390"/>
      <c r="H604" s="390"/>
      <c r="I604" s="390"/>
      <c r="J604" s="390"/>
      <c r="K604" s="390"/>
      <c r="L604" s="390"/>
      <c r="M604" s="390"/>
      <c r="N604" s="390"/>
      <c r="O604" s="390"/>
      <c r="P604" s="390"/>
      <c r="Q604" s="390"/>
      <c r="R604" s="390"/>
      <c r="S604" s="390"/>
      <c r="T604" s="390"/>
      <c r="U604" s="390"/>
      <c r="V604" s="390"/>
      <c r="W604" s="390"/>
      <c r="X604" s="391"/>
    </row>
    <row r="605">
      <c r="A605" s="390"/>
      <c r="B605" s="390"/>
      <c r="C605" s="391"/>
      <c r="D605" s="391"/>
      <c r="E605" s="391"/>
      <c r="F605" s="390"/>
      <c r="G605" s="390"/>
      <c r="H605" s="390"/>
      <c r="I605" s="390"/>
      <c r="J605" s="390"/>
      <c r="K605" s="390"/>
      <c r="L605" s="390"/>
      <c r="M605" s="390"/>
      <c r="N605" s="390"/>
      <c r="O605" s="390"/>
      <c r="P605" s="390"/>
      <c r="Q605" s="390"/>
      <c r="R605" s="390"/>
      <c r="S605" s="390"/>
      <c r="T605" s="390"/>
      <c r="U605" s="390"/>
      <c r="V605" s="390"/>
      <c r="W605" s="390"/>
      <c r="X605" s="391"/>
    </row>
    <row r="606">
      <c r="A606" s="390"/>
      <c r="B606" s="390"/>
      <c r="C606" s="391"/>
      <c r="D606" s="391"/>
      <c r="E606" s="391"/>
      <c r="F606" s="390"/>
      <c r="G606" s="390"/>
      <c r="H606" s="390"/>
      <c r="I606" s="390"/>
      <c r="J606" s="390"/>
      <c r="K606" s="390"/>
      <c r="L606" s="390"/>
      <c r="M606" s="390"/>
      <c r="N606" s="390"/>
      <c r="O606" s="390"/>
      <c r="P606" s="390"/>
      <c r="Q606" s="390"/>
      <c r="R606" s="390"/>
      <c r="S606" s="390"/>
      <c r="T606" s="390"/>
      <c r="U606" s="390"/>
      <c r="V606" s="390"/>
      <c r="W606" s="390"/>
      <c r="X606" s="391"/>
    </row>
    <row r="607">
      <c r="A607" s="390"/>
      <c r="B607" s="390"/>
      <c r="C607" s="391"/>
      <c r="D607" s="391"/>
      <c r="E607" s="391"/>
      <c r="F607" s="390"/>
      <c r="G607" s="390"/>
      <c r="H607" s="390"/>
      <c r="I607" s="390"/>
      <c r="J607" s="390"/>
      <c r="K607" s="390"/>
      <c r="L607" s="390"/>
      <c r="M607" s="390"/>
      <c r="N607" s="390"/>
      <c r="O607" s="390"/>
      <c r="P607" s="390"/>
      <c r="Q607" s="390"/>
      <c r="R607" s="390"/>
      <c r="S607" s="390"/>
      <c r="T607" s="390"/>
      <c r="U607" s="390"/>
      <c r="V607" s="390"/>
      <c r="W607" s="390"/>
      <c r="X607" s="391"/>
    </row>
    <row r="608">
      <c r="A608" s="390"/>
      <c r="B608" s="390"/>
      <c r="C608" s="391"/>
      <c r="D608" s="391"/>
      <c r="E608" s="391"/>
      <c r="F608" s="390"/>
      <c r="G608" s="390"/>
      <c r="H608" s="390"/>
      <c r="I608" s="390"/>
      <c r="J608" s="390"/>
      <c r="K608" s="390"/>
      <c r="L608" s="390"/>
      <c r="M608" s="390"/>
      <c r="N608" s="390"/>
      <c r="O608" s="390"/>
      <c r="P608" s="390"/>
      <c r="Q608" s="390"/>
      <c r="R608" s="390"/>
      <c r="S608" s="390"/>
      <c r="T608" s="390"/>
      <c r="U608" s="390"/>
      <c r="V608" s="390"/>
      <c r="W608" s="390"/>
      <c r="X608" s="391"/>
    </row>
    <row r="609">
      <c r="A609" s="390"/>
      <c r="B609" s="390"/>
      <c r="C609" s="391"/>
      <c r="D609" s="391"/>
      <c r="E609" s="391"/>
      <c r="F609" s="390"/>
      <c r="G609" s="390"/>
      <c r="H609" s="390"/>
      <c r="I609" s="390"/>
      <c r="J609" s="390"/>
      <c r="K609" s="390"/>
      <c r="L609" s="390"/>
      <c r="M609" s="390"/>
      <c r="N609" s="390"/>
      <c r="O609" s="390"/>
      <c r="P609" s="390"/>
      <c r="Q609" s="390"/>
      <c r="R609" s="390"/>
      <c r="S609" s="390"/>
      <c r="T609" s="390"/>
      <c r="U609" s="390"/>
      <c r="V609" s="390"/>
      <c r="W609" s="390"/>
      <c r="X609" s="391"/>
    </row>
    <row r="610">
      <c r="A610" s="390"/>
      <c r="B610" s="390"/>
      <c r="C610" s="391"/>
      <c r="D610" s="391"/>
      <c r="E610" s="391"/>
      <c r="F610" s="390"/>
      <c r="G610" s="390"/>
      <c r="H610" s="390"/>
      <c r="I610" s="390"/>
      <c r="J610" s="390"/>
      <c r="K610" s="390"/>
      <c r="L610" s="390"/>
      <c r="M610" s="390"/>
      <c r="N610" s="390"/>
      <c r="O610" s="390"/>
      <c r="P610" s="390"/>
      <c r="Q610" s="390"/>
      <c r="R610" s="390"/>
      <c r="S610" s="390"/>
      <c r="T610" s="390"/>
      <c r="U610" s="390"/>
      <c r="V610" s="390"/>
      <c r="W610" s="390"/>
      <c r="X610" s="391"/>
    </row>
    <row r="611">
      <c r="A611" s="390"/>
      <c r="B611" s="390"/>
      <c r="C611" s="391"/>
      <c r="D611" s="391"/>
      <c r="E611" s="391"/>
      <c r="F611" s="390"/>
      <c r="G611" s="390"/>
      <c r="H611" s="390"/>
      <c r="I611" s="390"/>
      <c r="J611" s="390"/>
      <c r="K611" s="390"/>
      <c r="L611" s="390"/>
      <c r="M611" s="390"/>
      <c r="N611" s="390"/>
      <c r="O611" s="390"/>
      <c r="P611" s="390"/>
      <c r="Q611" s="390"/>
      <c r="R611" s="390"/>
      <c r="S611" s="390"/>
      <c r="T611" s="390"/>
      <c r="U611" s="390"/>
      <c r="V611" s="390"/>
      <c r="W611" s="390"/>
      <c r="X611" s="391"/>
    </row>
    <row r="612">
      <c r="A612" s="391"/>
      <c r="B612" s="391"/>
      <c r="C612" s="391"/>
      <c r="D612" s="391"/>
      <c r="E612" s="391"/>
      <c r="F612" s="391"/>
      <c r="G612" s="391"/>
      <c r="H612" s="391"/>
      <c r="I612" s="391"/>
      <c r="J612" s="391"/>
      <c r="K612" s="391"/>
      <c r="L612" s="391"/>
      <c r="M612" s="391"/>
      <c r="N612" s="391"/>
      <c r="O612" s="391"/>
      <c r="P612" s="391"/>
      <c r="Q612" s="391"/>
      <c r="R612" s="391"/>
      <c r="S612" s="391"/>
      <c r="T612" s="391"/>
      <c r="U612" s="391"/>
      <c r="V612" s="391"/>
      <c r="W612" s="391"/>
      <c r="X612" s="391"/>
    </row>
    <row r="613">
      <c r="A613" s="391"/>
      <c r="B613" s="391"/>
      <c r="C613" s="391"/>
      <c r="D613" s="391"/>
      <c r="E613" s="391"/>
      <c r="F613" s="391"/>
      <c r="G613" s="391"/>
      <c r="H613" s="391"/>
      <c r="I613" s="391"/>
      <c r="J613" s="391"/>
      <c r="K613" s="391"/>
      <c r="L613" s="391"/>
      <c r="M613" s="391"/>
      <c r="N613" s="391"/>
      <c r="O613" s="391"/>
      <c r="P613" s="391"/>
      <c r="Q613" s="391"/>
      <c r="R613" s="391"/>
      <c r="S613" s="391"/>
      <c r="T613" s="391"/>
      <c r="U613" s="391"/>
      <c r="V613" s="391"/>
      <c r="W613" s="391"/>
      <c r="X613" s="391"/>
    </row>
    <row r="614">
      <c r="A614" s="391"/>
      <c r="B614" s="391"/>
      <c r="C614" s="391"/>
      <c r="D614" s="391"/>
      <c r="E614" s="391"/>
      <c r="F614" s="391"/>
      <c r="G614" s="391"/>
      <c r="H614" s="391"/>
      <c r="I614" s="391"/>
      <c r="J614" s="391"/>
      <c r="K614" s="391"/>
      <c r="L614" s="391"/>
      <c r="M614" s="391"/>
      <c r="N614" s="391"/>
      <c r="O614" s="391"/>
      <c r="P614" s="391"/>
      <c r="Q614" s="391"/>
      <c r="R614" s="391"/>
      <c r="S614" s="391"/>
      <c r="T614" s="391"/>
      <c r="U614" s="391"/>
      <c r="V614" s="391"/>
      <c r="W614" s="391"/>
      <c r="X614" s="391"/>
    </row>
    <row r="615">
      <c r="A615" s="391"/>
      <c r="B615" s="391"/>
      <c r="C615" s="391"/>
      <c r="D615" s="391"/>
      <c r="E615" s="391"/>
      <c r="F615" s="391"/>
      <c r="G615" s="391"/>
      <c r="H615" s="391"/>
      <c r="I615" s="391"/>
      <c r="J615" s="391"/>
      <c r="K615" s="391"/>
      <c r="L615" s="391"/>
      <c r="M615" s="391"/>
      <c r="N615" s="391"/>
      <c r="O615" s="391"/>
      <c r="P615" s="391"/>
      <c r="Q615" s="391"/>
      <c r="R615" s="391"/>
      <c r="S615" s="391"/>
      <c r="T615" s="391"/>
      <c r="U615" s="391"/>
      <c r="V615" s="391"/>
      <c r="W615" s="391"/>
      <c r="X615" s="391"/>
    </row>
    <row r="616">
      <c r="A616" s="391"/>
      <c r="B616" s="391"/>
      <c r="C616" s="391"/>
      <c r="D616" s="391"/>
      <c r="E616" s="391"/>
      <c r="F616" s="391"/>
      <c r="G616" s="391"/>
      <c r="H616" s="391"/>
      <c r="I616" s="391"/>
      <c r="J616" s="391"/>
      <c r="K616" s="391"/>
      <c r="L616" s="391"/>
      <c r="M616" s="391"/>
      <c r="N616" s="391"/>
      <c r="O616" s="391"/>
      <c r="P616" s="391"/>
      <c r="Q616" s="391"/>
      <c r="R616" s="391"/>
      <c r="S616" s="391"/>
      <c r="T616" s="391"/>
      <c r="U616" s="391"/>
      <c r="V616" s="391"/>
      <c r="W616" s="391"/>
      <c r="X616" s="391"/>
    </row>
    <row r="617">
      <c r="A617" s="391"/>
      <c r="B617" s="391"/>
      <c r="C617" s="391"/>
      <c r="D617" s="391"/>
      <c r="E617" s="391"/>
      <c r="F617" s="391"/>
      <c r="G617" s="391"/>
      <c r="H617" s="391"/>
      <c r="I617" s="391"/>
      <c r="J617" s="391"/>
      <c r="K617" s="391"/>
      <c r="L617" s="391"/>
      <c r="M617" s="391"/>
      <c r="N617" s="391"/>
      <c r="O617" s="391"/>
      <c r="P617" s="391"/>
      <c r="Q617" s="391"/>
      <c r="R617" s="391"/>
      <c r="S617" s="391"/>
      <c r="T617" s="391"/>
      <c r="U617" s="391"/>
      <c r="V617" s="391"/>
      <c r="W617" s="391"/>
      <c r="X617" s="391"/>
    </row>
    <row r="618">
      <c r="A618" s="391"/>
      <c r="B618" s="391"/>
      <c r="C618" s="391"/>
      <c r="D618" s="391"/>
      <c r="E618" s="391"/>
      <c r="F618" s="391"/>
      <c r="G618" s="391"/>
      <c r="H618" s="391"/>
      <c r="I618" s="391"/>
      <c r="J618" s="391"/>
      <c r="K618" s="391"/>
      <c r="L618" s="391"/>
      <c r="M618" s="391"/>
      <c r="N618" s="391"/>
      <c r="O618" s="391"/>
      <c r="P618" s="391"/>
      <c r="Q618" s="391"/>
      <c r="R618" s="391"/>
      <c r="S618" s="391"/>
      <c r="T618" s="391"/>
      <c r="U618" s="391"/>
      <c r="V618" s="391"/>
      <c r="W618" s="391"/>
      <c r="X618" s="391"/>
    </row>
    <row r="619">
      <c r="A619" s="391"/>
      <c r="B619" s="391"/>
      <c r="C619" s="391"/>
      <c r="D619" s="391"/>
      <c r="E619" s="391"/>
      <c r="F619" s="391"/>
      <c r="G619" s="391"/>
      <c r="H619" s="391"/>
      <c r="I619" s="391"/>
      <c r="J619" s="391"/>
      <c r="K619" s="391"/>
      <c r="L619" s="391"/>
      <c r="M619" s="391"/>
      <c r="N619" s="391"/>
      <c r="O619" s="391"/>
      <c r="P619" s="391"/>
      <c r="Q619" s="391"/>
      <c r="R619" s="391"/>
      <c r="S619" s="391"/>
      <c r="T619" s="391"/>
      <c r="U619" s="391"/>
      <c r="V619" s="391"/>
      <c r="W619" s="391"/>
      <c r="X619" s="391"/>
    </row>
    <row r="620">
      <c r="A620" s="391"/>
      <c r="B620" s="391"/>
      <c r="C620" s="391"/>
      <c r="D620" s="391"/>
      <c r="E620" s="391"/>
      <c r="F620" s="391"/>
      <c r="G620" s="391"/>
      <c r="H620" s="391"/>
      <c r="I620" s="391"/>
      <c r="J620" s="391"/>
      <c r="K620" s="391"/>
      <c r="L620" s="391"/>
      <c r="M620" s="391"/>
      <c r="N620" s="391"/>
      <c r="O620" s="391"/>
      <c r="P620" s="391"/>
      <c r="Q620" s="391"/>
      <c r="R620" s="391"/>
      <c r="S620" s="391"/>
      <c r="T620" s="391"/>
      <c r="U620" s="391"/>
      <c r="V620" s="391"/>
      <c r="W620" s="391"/>
      <c r="X620" s="391"/>
    </row>
    <row r="621">
      <c r="A621" s="391"/>
      <c r="B621" s="391"/>
      <c r="C621" s="391"/>
      <c r="D621" s="391"/>
      <c r="E621" s="391"/>
      <c r="F621" s="391"/>
      <c r="G621" s="391"/>
      <c r="H621" s="391"/>
      <c r="I621" s="391"/>
      <c r="J621" s="391"/>
      <c r="K621" s="391"/>
      <c r="L621" s="391"/>
      <c r="M621" s="391"/>
      <c r="N621" s="391"/>
      <c r="O621" s="391"/>
      <c r="P621" s="391"/>
      <c r="Q621" s="391"/>
      <c r="R621" s="391"/>
      <c r="S621" s="391"/>
      <c r="T621" s="391"/>
      <c r="U621" s="391"/>
      <c r="V621" s="391"/>
      <c r="W621" s="391"/>
      <c r="X621" s="391"/>
    </row>
    <row r="622">
      <c r="A622" s="391"/>
      <c r="B622" s="391"/>
      <c r="C622" s="391"/>
      <c r="D622" s="391"/>
      <c r="E622" s="391"/>
      <c r="F622" s="391"/>
      <c r="G622" s="391"/>
      <c r="H622" s="391"/>
      <c r="I622" s="391"/>
      <c r="J622" s="391"/>
      <c r="K622" s="391"/>
      <c r="L622" s="391"/>
      <c r="M622" s="391"/>
      <c r="N622" s="391"/>
      <c r="O622" s="391"/>
      <c r="P622" s="391"/>
      <c r="Q622" s="391"/>
      <c r="R622" s="391"/>
      <c r="S622" s="391"/>
      <c r="T622" s="391"/>
      <c r="U622" s="391"/>
      <c r="V622" s="391"/>
      <c r="W622" s="391"/>
      <c r="X622" s="391"/>
    </row>
    <row r="623">
      <c r="A623" s="391"/>
      <c r="B623" s="391"/>
      <c r="C623" s="391"/>
      <c r="D623" s="391"/>
      <c r="E623" s="391"/>
      <c r="F623" s="391"/>
      <c r="G623" s="391"/>
      <c r="H623" s="391"/>
      <c r="I623" s="391"/>
      <c r="J623" s="391"/>
      <c r="K623" s="391"/>
      <c r="L623" s="391"/>
      <c r="M623" s="391"/>
      <c r="N623" s="391"/>
      <c r="O623" s="391"/>
      <c r="P623" s="391"/>
      <c r="Q623" s="391"/>
      <c r="R623" s="391"/>
      <c r="S623" s="391"/>
      <c r="T623" s="391"/>
      <c r="U623" s="391"/>
      <c r="V623" s="391"/>
      <c r="W623" s="391"/>
      <c r="X623" s="391"/>
    </row>
    <row r="624">
      <c r="A624" s="391"/>
      <c r="B624" s="391"/>
      <c r="C624" s="391"/>
      <c r="D624" s="391"/>
      <c r="E624" s="391"/>
      <c r="F624" s="391"/>
      <c r="G624" s="391"/>
      <c r="H624" s="391"/>
      <c r="I624" s="391"/>
      <c r="J624" s="391"/>
      <c r="K624" s="391"/>
      <c r="L624" s="391"/>
      <c r="M624" s="391"/>
      <c r="N624" s="391"/>
      <c r="O624" s="391"/>
      <c r="P624" s="391"/>
      <c r="Q624" s="391"/>
      <c r="R624" s="391"/>
      <c r="S624" s="391"/>
      <c r="T624" s="391"/>
      <c r="U624" s="391"/>
      <c r="V624" s="391"/>
      <c r="W624" s="391"/>
      <c r="X624" s="391"/>
    </row>
    <row r="625">
      <c r="A625" s="391"/>
      <c r="B625" s="391"/>
      <c r="C625" s="391"/>
      <c r="D625" s="391"/>
      <c r="E625" s="391"/>
      <c r="F625" s="391"/>
      <c r="G625" s="391"/>
      <c r="H625" s="391"/>
      <c r="I625" s="391"/>
      <c r="J625" s="391"/>
      <c r="K625" s="391"/>
      <c r="L625" s="391"/>
      <c r="M625" s="391"/>
      <c r="N625" s="391"/>
      <c r="O625" s="391"/>
      <c r="P625" s="391"/>
      <c r="Q625" s="391"/>
      <c r="R625" s="391"/>
      <c r="S625" s="391"/>
      <c r="T625" s="391"/>
      <c r="U625" s="391"/>
      <c r="V625" s="391"/>
      <c r="W625" s="391"/>
      <c r="X625" s="391"/>
    </row>
    <row r="626">
      <c r="A626" s="391"/>
      <c r="B626" s="391"/>
      <c r="C626" s="391"/>
      <c r="D626" s="391"/>
      <c r="E626" s="391"/>
      <c r="F626" s="391"/>
      <c r="G626" s="391"/>
      <c r="H626" s="391"/>
      <c r="I626" s="391"/>
      <c r="J626" s="391"/>
      <c r="K626" s="391"/>
      <c r="L626" s="391"/>
      <c r="M626" s="391"/>
      <c r="N626" s="391"/>
      <c r="O626" s="391"/>
      <c r="P626" s="391"/>
      <c r="Q626" s="391"/>
      <c r="R626" s="391"/>
      <c r="S626" s="391"/>
      <c r="T626" s="391"/>
      <c r="U626" s="391"/>
      <c r="V626" s="391"/>
      <c r="W626" s="391"/>
      <c r="X626" s="391"/>
    </row>
    <row r="627">
      <c r="A627" s="391"/>
      <c r="B627" s="391"/>
      <c r="C627" s="391"/>
      <c r="D627" s="391"/>
      <c r="E627" s="391"/>
      <c r="F627" s="391"/>
      <c r="G627" s="391"/>
      <c r="H627" s="391"/>
      <c r="I627" s="391"/>
      <c r="J627" s="391"/>
      <c r="K627" s="391"/>
      <c r="L627" s="391"/>
      <c r="M627" s="391"/>
      <c r="N627" s="391"/>
      <c r="O627" s="391"/>
      <c r="P627" s="391"/>
      <c r="Q627" s="391"/>
      <c r="R627" s="391"/>
      <c r="S627" s="391"/>
      <c r="T627" s="391"/>
      <c r="U627" s="391"/>
      <c r="V627" s="391"/>
      <c r="W627" s="391"/>
      <c r="X627" s="391"/>
    </row>
    <row r="628">
      <c r="A628" s="391"/>
      <c r="B628" s="391"/>
      <c r="C628" s="391"/>
      <c r="D628" s="391"/>
      <c r="E628" s="391"/>
      <c r="F628" s="391"/>
      <c r="G628" s="391"/>
      <c r="H628" s="391"/>
      <c r="I628" s="391"/>
      <c r="J628" s="391"/>
      <c r="K628" s="391"/>
      <c r="L628" s="391"/>
      <c r="M628" s="391"/>
      <c r="N628" s="391"/>
      <c r="O628" s="391"/>
      <c r="P628" s="391"/>
      <c r="Q628" s="391"/>
      <c r="R628" s="391"/>
      <c r="S628" s="391"/>
      <c r="T628" s="391"/>
      <c r="U628" s="391"/>
      <c r="V628" s="391"/>
      <c r="W628" s="391"/>
      <c r="X628" s="391"/>
    </row>
    <row r="629">
      <c r="A629" s="391"/>
      <c r="B629" s="391"/>
      <c r="C629" s="391"/>
      <c r="D629" s="391"/>
      <c r="E629" s="391"/>
      <c r="F629" s="391"/>
      <c r="G629" s="391"/>
      <c r="H629" s="391"/>
      <c r="I629" s="391"/>
      <c r="J629" s="391"/>
      <c r="K629" s="391"/>
      <c r="L629" s="391"/>
      <c r="M629" s="391"/>
      <c r="N629" s="391"/>
      <c r="O629" s="391"/>
      <c r="P629" s="391"/>
      <c r="Q629" s="391"/>
      <c r="R629" s="391"/>
      <c r="S629" s="391"/>
      <c r="T629" s="391"/>
      <c r="U629" s="391"/>
      <c r="V629" s="391"/>
      <c r="W629" s="391"/>
      <c r="X629" s="391"/>
    </row>
    <row r="630">
      <c r="A630" s="391"/>
      <c r="B630" s="391"/>
      <c r="C630" s="391"/>
      <c r="D630" s="391"/>
      <c r="E630" s="391"/>
      <c r="F630" s="391"/>
      <c r="G630" s="391"/>
      <c r="H630" s="391"/>
      <c r="I630" s="391"/>
      <c r="J630" s="391"/>
      <c r="K630" s="391"/>
      <c r="L630" s="391"/>
      <c r="M630" s="391"/>
      <c r="N630" s="391"/>
      <c r="O630" s="391"/>
      <c r="P630" s="391"/>
      <c r="Q630" s="391"/>
      <c r="R630" s="391"/>
      <c r="S630" s="391"/>
      <c r="T630" s="391"/>
      <c r="U630" s="391"/>
      <c r="V630" s="391"/>
      <c r="W630" s="391"/>
      <c r="X630" s="391"/>
    </row>
    <row r="631">
      <c r="A631" s="391"/>
      <c r="B631" s="391"/>
      <c r="C631" s="391"/>
      <c r="D631" s="391"/>
      <c r="E631" s="391"/>
      <c r="F631" s="391"/>
      <c r="G631" s="391"/>
      <c r="H631" s="391"/>
      <c r="I631" s="391"/>
      <c r="J631" s="391"/>
      <c r="K631" s="391"/>
      <c r="L631" s="391"/>
      <c r="M631" s="391"/>
      <c r="N631" s="391"/>
      <c r="O631" s="391"/>
      <c r="P631" s="391"/>
      <c r="Q631" s="391"/>
      <c r="R631" s="391"/>
      <c r="S631" s="391"/>
      <c r="T631" s="391"/>
      <c r="U631" s="391"/>
      <c r="V631" s="391"/>
      <c r="W631" s="391"/>
      <c r="X631" s="391"/>
    </row>
    <row r="632">
      <c r="A632" s="391"/>
      <c r="B632" s="391"/>
      <c r="C632" s="391"/>
      <c r="D632" s="391"/>
      <c r="E632" s="391"/>
      <c r="F632" s="391"/>
      <c r="G632" s="391"/>
      <c r="H632" s="391"/>
      <c r="I632" s="391"/>
      <c r="J632" s="391"/>
      <c r="K632" s="391"/>
      <c r="L632" s="391"/>
      <c r="M632" s="391"/>
      <c r="N632" s="391"/>
      <c r="O632" s="391"/>
      <c r="P632" s="391"/>
      <c r="Q632" s="391"/>
      <c r="R632" s="391"/>
      <c r="S632" s="391"/>
      <c r="T632" s="391"/>
      <c r="U632" s="391"/>
      <c r="V632" s="391"/>
      <c r="W632" s="391"/>
      <c r="X632" s="391"/>
    </row>
    <row r="633">
      <c r="A633" s="391"/>
      <c r="B633" s="391"/>
      <c r="C633" s="391"/>
      <c r="D633" s="391"/>
      <c r="E633" s="391"/>
      <c r="F633" s="391"/>
      <c r="G633" s="391"/>
      <c r="H633" s="391"/>
      <c r="I633" s="391"/>
      <c r="J633" s="391"/>
      <c r="K633" s="391"/>
      <c r="L633" s="391"/>
      <c r="M633" s="391"/>
      <c r="N633" s="391"/>
      <c r="O633" s="391"/>
      <c r="P633" s="391"/>
      <c r="Q633" s="391"/>
      <c r="R633" s="391"/>
      <c r="S633" s="391"/>
      <c r="T633" s="391"/>
      <c r="U633" s="391"/>
      <c r="V633" s="391"/>
      <c r="W633" s="391"/>
      <c r="X633" s="391"/>
    </row>
    <row r="634">
      <c r="A634" s="391"/>
      <c r="B634" s="391"/>
      <c r="C634" s="391"/>
      <c r="D634" s="391"/>
      <c r="E634" s="391"/>
      <c r="F634" s="391"/>
      <c r="G634" s="391"/>
      <c r="H634" s="391"/>
      <c r="I634" s="391"/>
      <c r="J634" s="391"/>
      <c r="K634" s="391"/>
      <c r="L634" s="391"/>
      <c r="M634" s="391"/>
      <c r="N634" s="391"/>
      <c r="O634" s="391"/>
      <c r="P634" s="391"/>
      <c r="Q634" s="391"/>
      <c r="R634" s="391"/>
      <c r="S634" s="391"/>
      <c r="T634" s="391"/>
      <c r="U634" s="391"/>
      <c r="V634" s="391"/>
      <c r="W634" s="391"/>
      <c r="X634" s="391"/>
    </row>
    <row r="635">
      <c r="A635" s="391"/>
      <c r="B635" s="391"/>
      <c r="C635" s="391"/>
      <c r="D635" s="391"/>
      <c r="E635" s="391"/>
      <c r="F635" s="391"/>
      <c r="G635" s="391"/>
      <c r="H635" s="391"/>
      <c r="I635" s="391"/>
      <c r="J635" s="391"/>
      <c r="K635" s="391"/>
      <c r="L635" s="391"/>
      <c r="M635" s="391"/>
      <c r="N635" s="391"/>
      <c r="O635" s="391"/>
      <c r="P635" s="391"/>
      <c r="Q635" s="391"/>
      <c r="R635" s="391"/>
      <c r="S635" s="391"/>
      <c r="T635" s="391"/>
      <c r="U635" s="391"/>
      <c r="V635" s="391"/>
      <c r="W635" s="391"/>
      <c r="X635" s="391"/>
    </row>
    <row r="636">
      <c r="A636" s="391"/>
      <c r="B636" s="391"/>
      <c r="C636" s="391"/>
      <c r="D636" s="391"/>
      <c r="E636" s="391"/>
      <c r="F636" s="391"/>
      <c r="G636" s="391"/>
      <c r="H636" s="391"/>
      <c r="I636" s="391"/>
      <c r="J636" s="391"/>
      <c r="K636" s="391"/>
      <c r="L636" s="391"/>
      <c r="M636" s="391"/>
      <c r="N636" s="391"/>
      <c r="O636" s="391"/>
      <c r="P636" s="391"/>
      <c r="Q636" s="391"/>
      <c r="R636" s="391"/>
      <c r="S636" s="391"/>
      <c r="T636" s="391"/>
      <c r="U636" s="391"/>
      <c r="V636" s="391"/>
      <c r="W636" s="391"/>
      <c r="X636" s="391"/>
    </row>
    <row r="637">
      <c r="A637" s="391"/>
      <c r="B637" s="391"/>
      <c r="C637" s="391"/>
      <c r="D637" s="391"/>
      <c r="E637" s="391"/>
      <c r="F637" s="391"/>
      <c r="G637" s="391"/>
      <c r="H637" s="391"/>
      <c r="I637" s="391"/>
      <c r="J637" s="391"/>
      <c r="K637" s="391"/>
      <c r="L637" s="391"/>
      <c r="M637" s="391"/>
      <c r="N637" s="391"/>
      <c r="O637" s="391"/>
      <c r="P637" s="391"/>
      <c r="Q637" s="391"/>
      <c r="R637" s="391"/>
      <c r="S637" s="391"/>
      <c r="T637" s="391"/>
      <c r="U637" s="391"/>
      <c r="V637" s="391"/>
      <c r="W637" s="391"/>
      <c r="X637" s="391"/>
    </row>
    <row r="638">
      <c r="A638" s="391"/>
      <c r="B638" s="391"/>
      <c r="C638" s="391"/>
      <c r="D638" s="391"/>
      <c r="E638" s="391"/>
      <c r="F638" s="391"/>
      <c r="G638" s="391"/>
      <c r="H638" s="391"/>
      <c r="I638" s="391"/>
      <c r="J638" s="391"/>
      <c r="K638" s="391"/>
      <c r="L638" s="391"/>
      <c r="M638" s="391"/>
      <c r="N638" s="391"/>
      <c r="O638" s="391"/>
      <c r="P638" s="391"/>
      <c r="Q638" s="391"/>
      <c r="R638" s="391"/>
      <c r="S638" s="391"/>
      <c r="T638" s="391"/>
      <c r="U638" s="391"/>
      <c r="V638" s="391"/>
      <c r="W638" s="391"/>
      <c r="X638" s="391"/>
    </row>
    <row r="639">
      <c r="A639" s="391"/>
      <c r="B639" s="391"/>
      <c r="C639" s="391"/>
      <c r="D639" s="391"/>
      <c r="E639" s="391"/>
      <c r="F639" s="391"/>
      <c r="G639" s="391"/>
      <c r="H639" s="391"/>
      <c r="I639" s="391"/>
      <c r="J639" s="391"/>
      <c r="K639" s="391"/>
      <c r="L639" s="391"/>
      <c r="M639" s="391"/>
      <c r="N639" s="391"/>
      <c r="O639" s="391"/>
      <c r="P639" s="391"/>
      <c r="Q639" s="391"/>
      <c r="R639" s="391"/>
      <c r="S639" s="391"/>
      <c r="T639" s="391"/>
      <c r="U639" s="391"/>
      <c r="V639" s="391"/>
      <c r="W639" s="391"/>
      <c r="X639" s="391"/>
    </row>
    <row r="640">
      <c r="A640" s="391"/>
      <c r="B640" s="391"/>
      <c r="C640" s="391"/>
      <c r="D640" s="391"/>
      <c r="E640" s="391"/>
      <c r="F640" s="391"/>
      <c r="G640" s="391"/>
      <c r="H640" s="391"/>
      <c r="I640" s="391"/>
      <c r="J640" s="391"/>
      <c r="K640" s="391"/>
      <c r="L640" s="391"/>
      <c r="M640" s="391"/>
      <c r="N640" s="391"/>
      <c r="O640" s="391"/>
      <c r="P640" s="391"/>
      <c r="Q640" s="391"/>
      <c r="R640" s="391"/>
      <c r="S640" s="391"/>
      <c r="T640" s="391"/>
      <c r="U640" s="391"/>
      <c r="V640" s="391"/>
      <c r="W640" s="391"/>
      <c r="X640" s="391"/>
    </row>
    <row r="641">
      <c r="A641" s="391"/>
      <c r="B641" s="391"/>
      <c r="C641" s="391"/>
      <c r="D641" s="391"/>
      <c r="E641" s="391"/>
      <c r="F641" s="391"/>
      <c r="G641" s="391"/>
      <c r="H641" s="391"/>
      <c r="I641" s="391"/>
      <c r="J641" s="391"/>
      <c r="K641" s="391"/>
      <c r="L641" s="391"/>
      <c r="M641" s="391"/>
      <c r="N641" s="391"/>
      <c r="O641" s="391"/>
      <c r="P641" s="391"/>
      <c r="Q641" s="391"/>
      <c r="R641" s="391"/>
      <c r="S641" s="391"/>
      <c r="T641" s="391"/>
      <c r="U641" s="391"/>
      <c r="V641" s="391"/>
      <c r="W641" s="391"/>
      <c r="X641" s="391"/>
    </row>
    <row r="642">
      <c r="A642" s="391"/>
      <c r="B642" s="391"/>
      <c r="C642" s="391"/>
      <c r="D642" s="391"/>
      <c r="E642" s="391"/>
      <c r="F642" s="391"/>
      <c r="G642" s="391"/>
      <c r="H642" s="391"/>
      <c r="I642" s="391"/>
      <c r="J642" s="391"/>
      <c r="K642" s="391"/>
      <c r="L642" s="391"/>
      <c r="M642" s="391"/>
      <c r="N642" s="391"/>
      <c r="O642" s="391"/>
      <c r="P642" s="391"/>
      <c r="Q642" s="391"/>
      <c r="R642" s="391"/>
      <c r="S642" s="391"/>
      <c r="T642" s="391"/>
      <c r="U642" s="391"/>
      <c r="V642" s="391"/>
      <c r="W642" s="391"/>
      <c r="X642" s="391"/>
    </row>
    <row r="643">
      <c r="A643" s="391"/>
      <c r="B643" s="391"/>
      <c r="C643" s="391"/>
      <c r="D643" s="391"/>
      <c r="E643" s="391"/>
      <c r="F643" s="391"/>
      <c r="G643" s="391"/>
      <c r="H643" s="391"/>
      <c r="I643" s="391"/>
      <c r="J643" s="391"/>
      <c r="K643" s="391"/>
      <c r="L643" s="391"/>
      <c r="M643" s="391"/>
      <c r="N643" s="391"/>
      <c r="O643" s="391"/>
      <c r="P643" s="391"/>
      <c r="Q643" s="391"/>
      <c r="R643" s="391"/>
      <c r="S643" s="391"/>
      <c r="T643" s="391"/>
      <c r="U643" s="391"/>
      <c r="V643" s="391"/>
      <c r="W643" s="391"/>
      <c r="X643" s="391"/>
    </row>
    <row r="644">
      <c r="A644" s="391"/>
      <c r="B644" s="391"/>
      <c r="C644" s="391"/>
      <c r="D644" s="391"/>
      <c r="E644" s="391"/>
      <c r="F644" s="391"/>
      <c r="G644" s="391"/>
      <c r="H644" s="391"/>
      <c r="I644" s="391"/>
      <c r="J644" s="391"/>
      <c r="K644" s="391"/>
      <c r="L644" s="391"/>
      <c r="M644" s="391"/>
      <c r="N644" s="391"/>
      <c r="O644" s="391"/>
      <c r="P644" s="391"/>
      <c r="Q644" s="391"/>
      <c r="R644" s="391"/>
      <c r="S644" s="391"/>
      <c r="T644" s="391"/>
      <c r="U644" s="391"/>
      <c r="V644" s="391"/>
      <c r="W644" s="391"/>
      <c r="X644" s="391"/>
    </row>
    <row r="645">
      <c r="A645" s="391"/>
      <c r="B645" s="391"/>
      <c r="C645" s="391"/>
      <c r="D645" s="391"/>
      <c r="E645" s="391"/>
      <c r="F645" s="391"/>
      <c r="G645" s="391"/>
      <c r="H645" s="391"/>
      <c r="I645" s="391"/>
      <c r="J645" s="391"/>
      <c r="K645" s="391"/>
      <c r="L645" s="391"/>
      <c r="M645" s="391"/>
      <c r="N645" s="391"/>
      <c r="O645" s="391"/>
      <c r="P645" s="391"/>
      <c r="Q645" s="391"/>
      <c r="R645" s="391"/>
      <c r="S645" s="391"/>
      <c r="T645" s="391"/>
      <c r="U645" s="391"/>
      <c r="V645" s="391"/>
      <c r="W645" s="391"/>
      <c r="X645" s="391"/>
    </row>
    <row r="646">
      <c r="A646" s="391"/>
      <c r="B646" s="391"/>
      <c r="C646" s="391"/>
      <c r="D646" s="391"/>
      <c r="E646" s="391"/>
      <c r="F646" s="391"/>
      <c r="G646" s="391"/>
      <c r="H646" s="391"/>
      <c r="I646" s="391"/>
      <c r="J646" s="391"/>
      <c r="K646" s="391"/>
      <c r="L646" s="391"/>
      <c r="M646" s="391"/>
      <c r="N646" s="391"/>
      <c r="O646" s="391"/>
      <c r="P646" s="391"/>
      <c r="Q646" s="391"/>
      <c r="R646" s="391"/>
      <c r="S646" s="391"/>
      <c r="T646" s="391"/>
      <c r="U646" s="391"/>
      <c r="V646" s="391"/>
      <c r="W646" s="391"/>
      <c r="X646" s="391"/>
    </row>
    <row r="647">
      <c r="A647" s="391"/>
      <c r="B647" s="391"/>
      <c r="C647" s="391"/>
      <c r="D647" s="391"/>
      <c r="E647" s="391"/>
      <c r="F647" s="391"/>
      <c r="G647" s="391"/>
      <c r="H647" s="391"/>
      <c r="I647" s="391"/>
      <c r="J647" s="391"/>
      <c r="K647" s="391"/>
      <c r="L647" s="391"/>
      <c r="M647" s="391"/>
      <c r="N647" s="391"/>
      <c r="O647" s="391"/>
      <c r="P647" s="391"/>
      <c r="Q647" s="391"/>
      <c r="R647" s="391"/>
      <c r="S647" s="391"/>
      <c r="T647" s="391"/>
      <c r="U647" s="391"/>
      <c r="V647" s="391"/>
      <c r="W647" s="391"/>
      <c r="X647" s="391"/>
    </row>
    <row r="648">
      <c r="A648" s="391"/>
      <c r="B648" s="391"/>
      <c r="C648" s="391"/>
      <c r="D648" s="391"/>
      <c r="E648" s="391"/>
      <c r="F648" s="391"/>
      <c r="G648" s="391"/>
      <c r="H648" s="391"/>
      <c r="I648" s="391"/>
      <c r="J648" s="391"/>
      <c r="K648" s="391"/>
      <c r="L648" s="391"/>
      <c r="M648" s="391"/>
      <c r="N648" s="391"/>
      <c r="O648" s="391"/>
      <c r="P648" s="391"/>
      <c r="Q648" s="391"/>
      <c r="R648" s="391"/>
      <c r="S648" s="391"/>
      <c r="T648" s="391"/>
      <c r="U648" s="391"/>
      <c r="V648" s="391"/>
      <c r="W648" s="391"/>
      <c r="X648" s="391"/>
    </row>
    <row r="649">
      <c r="A649" s="391"/>
      <c r="B649" s="391"/>
      <c r="C649" s="391"/>
      <c r="D649" s="391"/>
      <c r="E649" s="391"/>
      <c r="F649" s="391"/>
      <c r="G649" s="391"/>
      <c r="H649" s="391"/>
      <c r="I649" s="391"/>
      <c r="J649" s="391"/>
      <c r="K649" s="391"/>
      <c r="L649" s="391"/>
      <c r="M649" s="391"/>
      <c r="N649" s="391"/>
      <c r="O649" s="391"/>
      <c r="P649" s="391"/>
      <c r="Q649" s="391"/>
      <c r="R649" s="391"/>
      <c r="S649" s="391"/>
      <c r="T649" s="391"/>
      <c r="U649" s="391"/>
      <c r="V649" s="391"/>
      <c r="W649" s="391"/>
      <c r="X649" s="391"/>
    </row>
    <row r="650">
      <c r="A650" s="391"/>
      <c r="B650" s="391"/>
      <c r="C650" s="391"/>
      <c r="D650" s="391"/>
      <c r="E650" s="391"/>
      <c r="F650" s="391"/>
      <c r="G650" s="391"/>
      <c r="H650" s="391"/>
      <c r="I650" s="391"/>
      <c r="J650" s="391"/>
      <c r="K650" s="391"/>
      <c r="L650" s="391"/>
      <c r="M650" s="391"/>
      <c r="N650" s="391"/>
      <c r="O650" s="391"/>
      <c r="P650" s="391"/>
      <c r="Q650" s="391"/>
      <c r="R650" s="391"/>
      <c r="S650" s="391"/>
      <c r="T650" s="391"/>
      <c r="U650" s="391"/>
      <c r="V650" s="391"/>
      <c r="W650" s="391"/>
      <c r="X650" s="391"/>
    </row>
    <row r="651">
      <c r="A651" s="391"/>
      <c r="B651" s="391"/>
      <c r="C651" s="391"/>
      <c r="D651" s="391"/>
      <c r="E651" s="391"/>
      <c r="F651" s="391"/>
      <c r="G651" s="391"/>
      <c r="H651" s="391"/>
      <c r="I651" s="391"/>
      <c r="J651" s="391"/>
      <c r="K651" s="391"/>
      <c r="L651" s="391"/>
      <c r="M651" s="391"/>
      <c r="N651" s="391"/>
      <c r="O651" s="391"/>
      <c r="P651" s="391"/>
      <c r="Q651" s="391"/>
      <c r="R651" s="391"/>
      <c r="S651" s="391"/>
      <c r="T651" s="391"/>
      <c r="U651" s="391"/>
      <c r="V651" s="391"/>
      <c r="W651" s="391"/>
      <c r="X651" s="391"/>
    </row>
    <row r="652">
      <c r="A652" s="391"/>
      <c r="B652" s="391"/>
      <c r="C652" s="391"/>
      <c r="D652" s="391"/>
      <c r="E652" s="391"/>
      <c r="F652" s="391"/>
      <c r="G652" s="391"/>
      <c r="H652" s="391"/>
      <c r="I652" s="391"/>
      <c r="J652" s="391"/>
      <c r="K652" s="391"/>
      <c r="L652" s="391"/>
      <c r="M652" s="391"/>
      <c r="N652" s="391"/>
      <c r="O652" s="391"/>
      <c r="P652" s="391"/>
      <c r="Q652" s="391"/>
      <c r="R652" s="391"/>
      <c r="S652" s="391"/>
      <c r="T652" s="391"/>
      <c r="U652" s="391"/>
      <c r="V652" s="391"/>
      <c r="W652" s="391"/>
      <c r="X652" s="391"/>
    </row>
    <row r="653">
      <c r="A653" s="391"/>
      <c r="B653" s="391"/>
      <c r="C653" s="391"/>
      <c r="D653" s="391"/>
      <c r="E653" s="391"/>
      <c r="F653" s="391"/>
      <c r="G653" s="391"/>
      <c r="H653" s="391"/>
      <c r="I653" s="391"/>
      <c r="J653" s="391"/>
      <c r="K653" s="391"/>
      <c r="L653" s="391"/>
      <c r="M653" s="391"/>
      <c r="N653" s="391"/>
      <c r="O653" s="391"/>
      <c r="P653" s="391"/>
      <c r="Q653" s="391"/>
      <c r="R653" s="391"/>
      <c r="S653" s="391"/>
      <c r="T653" s="391"/>
      <c r="U653" s="391"/>
      <c r="V653" s="391"/>
      <c r="W653" s="391"/>
      <c r="X653" s="391"/>
    </row>
    <row r="654">
      <c r="A654" s="391"/>
      <c r="B654" s="391"/>
      <c r="C654" s="391"/>
      <c r="D654" s="391"/>
      <c r="E654" s="391"/>
      <c r="F654" s="391"/>
      <c r="G654" s="391"/>
      <c r="H654" s="391"/>
      <c r="I654" s="391"/>
      <c r="J654" s="391"/>
      <c r="K654" s="391"/>
      <c r="L654" s="391"/>
      <c r="M654" s="391"/>
      <c r="N654" s="391"/>
      <c r="O654" s="391"/>
      <c r="P654" s="391"/>
      <c r="Q654" s="391"/>
      <c r="R654" s="391"/>
      <c r="S654" s="391"/>
      <c r="T654" s="391"/>
      <c r="U654" s="391"/>
      <c r="V654" s="391"/>
      <c r="W654" s="391"/>
      <c r="X654" s="391"/>
    </row>
    <row r="655">
      <c r="A655" s="391"/>
      <c r="B655" s="391"/>
      <c r="C655" s="391"/>
      <c r="D655" s="391"/>
      <c r="E655" s="391"/>
      <c r="F655" s="391"/>
      <c r="G655" s="391"/>
      <c r="H655" s="391"/>
      <c r="I655" s="391"/>
      <c r="J655" s="391"/>
      <c r="K655" s="391"/>
      <c r="L655" s="391"/>
      <c r="M655" s="391"/>
      <c r="N655" s="391"/>
      <c r="O655" s="391"/>
      <c r="P655" s="391"/>
      <c r="Q655" s="391"/>
      <c r="R655" s="391"/>
      <c r="S655" s="391"/>
      <c r="T655" s="391"/>
      <c r="U655" s="391"/>
      <c r="V655" s="391"/>
      <c r="W655" s="391"/>
      <c r="X655" s="391"/>
    </row>
    <row r="656">
      <c r="A656" s="391"/>
      <c r="B656" s="391"/>
      <c r="C656" s="391"/>
      <c r="D656" s="391"/>
      <c r="E656" s="391"/>
      <c r="F656" s="391"/>
      <c r="G656" s="391"/>
      <c r="H656" s="391"/>
      <c r="I656" s="391"/>
      <c r="J656" s="391"/>
      <c r="K656" s="391"/>
      <c r="L656" s="391"/>
      <c r="M656" s="391"/>
      <c r="N656" s="391"/>
      <c r="O656" s="391"/>
      <c r="P656" s="391"/>
      <c r="Q656" s="391"/>
      <c r="R656" s="391"/>
      <c r="S656" s="391"/>
      <c r="T656" s="391"/>
      <c r="U656" s="391"/>
      <c r="V656" s="391"/>
      <c r="W656" s="391"/>
      <c r="X656" s="391"/>
    </row>
    <row r="657">
      <c r="A657" s="391"/>
      <c r="B657" s="391"/>
      <c r="C657" s="391"/>
      <c r="D657" s="391"/>
      <c r="E657" s="391"/>
      <c r="F657" s="391"/>
      <c r="G657" s="391"/>
      <c r="H657" s="391"/>
      <c r="I657" s="391"/>
      <c r="J657" s="391"/>
      <c r="K657" s="391"/>
      <c r="L657" s="391"/>
      <c r="M657" s="391"/>
      <c r="N657" s="391"/>
      <c r="O657" s="391"/>
      <c r="P657" s="391"/>
      <c r="Q657" s="391"/>
      <c r="R657" s="391"/>
      <c r="S657" s="391"/>
      <c r="T657" s="391"/>
      <c r="U657" s="391"/>
      <c r="V657" s="391"/>
      <c r="W657" s="391"/>
      <c r="X657" s="391"/>
    </row>
    <row r="658">
      <c r="A658" s="391"/>
      <c r="B658" s="391"/>
      <c r="C658" s="391"/>
      <c r="D658" s="391"/>
      <c r="E658" s="391"/>
      <c r="F658" s="391"/>
      <c r="G658" s="391"/>
      <c r="H658" s="391"/>
      <c r="I658" s="391"/>
      <c r="J658" s="391"/>
      <c r="K658" s="391"/>
      <c r="L658" s="391"/>
      <c r="M658" s="391"/>
      <c r="N658" s="391"/>
      <c r="O658" s="391"/>
      <c r="P658" s="391"/>
      <c r="Q658" s="391"/>
      <c r="R658" s="391"/>
      <c r="S658" s="391"/>
      <c r="T658" s="391"/>
      <c r="U658" s="391"/>
      <c r="V658" s="391"/>
      <c r="W658" s="391"/>
      <c r="X658" s="391"/>
    </row>
    <row r="659">
      <c r="A659" s="391"/>
      <c r="B659" s="391"/>
      <c r="C659" s="391"/>
      <c r="D659" s="391"/>
      <c r="E659" s="391"/>
      <c r="F659" s="391"/>
      <c r="G659" s="391"/>
      <c r="H659" s="391"/>
      <c r="I659" s="391"/>
      <c r="J659" s="391"/>
      <c r="K659" s="391"/>
      <c r="L659" s="391"/>
      <c r="M659" s="391"/>
      <c r="N659" s="391"/>
      <c r="O659" s="391"/>
      <c r="P659" s="391"/>
      <c r="Q659" s="391"/>
      <c r="R659" s="391"/>
      <c r="S659" s="391"/>
      <c r="T659" s="391"/>
      <c r="U659" s="391"/>
      <c r="V659" s="391"/>
      <c r="W659" s="391"/>
      <c r="X659" s="391"/>
    </row>
    <row r="660">
      <c r="A660" s="391"/>
      <c r="B660" s="391"/>
      <c r="C660" s="391"/>
      <c r="D660" s="391"/>
      <c r="E660" s="391"/>
      <c r="F660" s="391"/>
      <c r="G660" s="391"/>
      <c r="H660" s="391"/>
      <c r="I660" s="391"/>
      <c r="J660" s="391"/>
      <c r="K660" s="391"/>
      <c r="L660" s="391"/>
      <c r="M660" s="391"/>
      <c r="N660" s="391"/>
      <c r="O660" s="391"/>
      <c r="P660" s="391"/>
      <c r="Q660" s="391"/>
      <c r="R660" s="391"/>
      <c r="S660" s="391"/>
      <c r="T660" s="391"/>
      <c r="U660" s="391"/>
      <c r="V660" s="391"/>
      <c r="W660" s="391"/>
      <c r="X660" s="391"/>
    </row>
    <row r="661">
      <c r="A661" s="391"/>
      <c r="B661" s="391"/>
      <c r="C661" s="391"/>
      <c r="D661" s="391"/>
      <c r="E661" s="391"/>
      <c r="F661" s="391"/>
      <c r="G661" s="391"/>
      <c r="H661" s="391"/>
      <c r="I661" s="391"/>
      <c r="J661" s="391"/>
      <c r="K661" s="391"/>
      <c r="L661" s="391"/>
      <c r="M661" s="391"/>
      <c r="N661" s="391"/>
      <c r="O661" s="391"/>
      <c r="P661" s="391"/>
      <c r="Q661" s="391"/>
      <c r="R661" s="391"/>
      <c r="S661" s="391"/>
      <c r="T661" s="391"/>
      <c r="U661" s="391"/>
      <c r="V661" s="391"/>
      <c r="W661" s="391"/>
      <c r="X661" s="391"/>
    </row>
    <row r="662">
      <c r="A662" s="391"/>
      <c r="B662" s="391"/>
      <c r="C662" s="391"/>
      <c r="D662" s="391"/>
      <c r="E662" s="391"/>
      <c r="F662" s="391"/>
      <c r="G662" s="391"/>
      <c r="H662" s="391"/>
      <c r="I662" s="391"/>
      <c r="J662" s="391"/>
      <c r="K662" s="391"/>
      <c r="L662" s="391"/>
      <c r="M662" s="391"/>
      <c r="N662" s="391"/>
      <c r="O662" s="391"/>
      <c r="P662" s="391"/>
      <c r="Q662" s="391"/>
      <c r="R662" s="391"/>
      <c r="S662" s="391"/>
      <c r="T662" s="391"/>
      <c r="U662" s="391"/>
      <c r="V662" s="391"/>
      <c r="W662" s="391"/>
      <c r="X662" s="391"/>
    </row>
    <row r="663">
      <c r="A663" s="391"/>
      <c r="B663" s="391"/>
      <c r="C663" s="391"/>
      <c r="D663" s="391"/>
      <c r="E663" s="391"/>
      <c r="F663" s="391"/>
      <c r="G663" s="391"/>
      <c r="H663" s="391"/>
      <c r="I663" s="391"/>
      <c r="J663" s="391"/>
      <c r="K663" s="391"/>
      <c r="L663" s="391"/>
      <c r="M663" s="391"/>
      <c r="N663" s="391"/>
      <c r="O663" s="391"/>
      <c r="P663" s="391"/>
      <c r="Q663" s="391"/>
      <c r="R663" s="391"/>
      <c r="S663" s="391"/>
      <c r="T663" s="391"/>
      <c r="U663" s="391"/>
      <c r="V663" s="391"/>
      <c r="W663" s="391"/>
      <c r="X663" s="391"/>
    </row>
    <row r="664">
      <c r="A664" s="391"/>
      <c r="B664" s="391"/>
      <c r="C664" s="391"/>
      <c r="D664" s="391"/>
      <c r="E664" s="391"/>
      <c r="F664" s="391"/>
      <c r="G664" s="391"/>
      <c r="H664" s="391"/>
      <c r="I664" s="391"/>
      <c r="J664" s="391"/>
      <c r="K664" s="391"/>
      <c r="L664" s="391"/>
      <c r="M664" s="391"/>
      <c r="N664" s="391"/>
      <c r="O664" s="391"/>
      <c r="P664" s="391"/>
      <c r="Q664" s="391"/>
      <c r="R664" s="391"/>
      <c r="S664" s="391"/>
      <c r="T664" s="391"/>
      <c r="U664" s="391"/>
      <c r="V664" s="391"/>
      <c r="W664" s="391"/>
      <c r="X664" s="391"/>
    </row>
    <row r="665">
      <c r="A665" s="391"/>
      <c r="B665" s="391"/>
      <c r="C665" s="391"/>
      <c r="D665" s="391"/>
      <c r="E665" s="391"/>
      <c r="F665" s="391"/>
      <c r="G665" s="391"/>
      <c r="H665" s="391"/>
      <c r="I665" s="391"/>
      <c r="J665" s="391"/>
      <c r="K665" s="391"/>
      <c r="L665" s="391"/>
      <c r="M665" s="391"/>
      <c r="N665" s="391"/>
      <c r="O665" s="391"/>
      <c r="P665" s="391"/>
      <c r="Q665" s="391"/>
      <c r="R665" s="391"/>
      <c r="S665" s="391"/>
      <c r="T665" s="391"/>
      <c r="U665" s="391"/>
      <c r="V665" s="391"/>
      <c r="W665" s="391"/>
      <c r="X665" s="391"/>
    </row>
    <row r="666">
      <c r="A666" s="391"/>
      <c r="B666" s="391"/>
      <c r="C666" s="391"/>
      <c r="D666" s="391"/>
      <c r="E666" s="391"/>
      <c r="F666" s="391"/>
      <c r="G666" s="391"/>
      <c r="H666" s="391"/>
      <c r="I666" s="391"/>
      <c r="J666" s="391"/>
      <c r="K666" s="391"/>
      <c r="L666" s="391"/>
      <c r="M666" s="391"/>
      <c r="N666" s="391"/>
      <c r="O666" s="391"/>
      <c r="P666" s="391"/>
      <c r="Q666" s="391"/>
      <c r="R666" s="391"/>
      <c r="S666" s="391"/>
      <c r="T666" s="391"/>
      <c r="U666" s="391"/>
      <c r="V666" s="391"/>
      <c r="W666" s="391"/>
      <c r="X666" s="391"/>
    </row>
    <row r="667">
      <c r="A667" s="391"/>
      <c r="B667" s="391"/>
      <c r="C667" s="391"/>
      <c r="D667" s="391"/>
      <c r="E667" s="391"/>
      <c r="F667" s="391"/>
      <c r="G667" s="391"/>
      <c r="H667" s="391"/>
      <c r="I667" s="391"/>
      <c r="J667" s="391"/>
      <c r="K667" s="391"/>
      <c r="L667" s="391"/>
      <c r="M667" s="391"/>
      <c r="N667" s="391"/>
      <c r="O667" s="391"/>
      <c r="P667" s="391"/>
      <c r="Q667" s="391"/>
      <c r="R667" s="391"/>
      <c r="S667" s="391"/>
      <c r="T667" s="391"/>
      <c r="U667" s="391"/>
      <c r="V667" s="391"/>
      <c r="W667" s="391"/>
      <c r="X667" s="391"/>
    </row>
    <row r="668">
      <c r="A668" s="391"/>
      <c r="B668" s="391"/>
      <c r="C668" s="391"/>
      <c r="D668" s="391"/>
      <c r="E668" s="391"/>
      <c r="F668" s="391"/>
      <c r="G668" s="391"/>
      <c r="H668" s="391"/>
      <c r="I668" s="391"/>
      <c r="J668" s="391"/>
      <c r="K668" s="391"/>
      <c r="L668" s="391"/>
      <c r="M668" s="391"/>
      <c r="N668" s="391"/>
      <c r="O668" s="391"/>
      <c r="P668" s="391"/>
      <c r="Q668" s="391"/>
      <c r="R668" s="391"/>
      <c r="S668" s="391"/>
      <c r="T668" s="391"/>
      <c r="U668" s="391"/>
      <c r="V668" s="391"/>
      <c r="W668" s="391"/>
      <c r="X668" s="391"/>
    </row>
    <row r="669">
      <c r="A669" s="391"/>
      <c r="B669" s="391"/>
      <c r="C669" s="391"/>
      <c r="D669" s="391"/>
      <c r="E669" s="391"/>
      <c r="F669" s="391"/>
      <c r="G669" s="391"/>
      <c r="H669" s="391"/>
      <c r="I669" s="391"/>
      <c r="J669" s="391"/>
      <c r="K669" s="391"/>
      <c r="L669" s="391"/>
      <c r="M669" s="391"/>
      <c r="N669" s="391"/>
      <c r="O669" s="391"/>
      <c r="P669" s="391"/>
      <c r="Q669" s="391"/>
      <c r="R669" s="391"/>
      <c r="S669" s="391"/>
      <c r="T669" s="391"/>
      <c r="U669" s="391"/>
      <c r="V669" s="391"/>
      <c r="W669" s="391"/>
      <c r="X669" s="391"/>
    </row>
    <row r="670">
      <c r="A670" s="391"/>
      <c r="B670" s="391"/>
      <c r="C670" s="391"/>
      <c r="D670" s="391"/>
      <c r="E670" s="391"/>
      <c r="F670" s="391"/>
      <c r="G670" s="391"/>
      <c r="H670" s="391"/>
      <c r="I670" s="391"/>
      <c r="J670" s="391"/>
      <c r="K670" s="391"/>
      <c r="L670" s="391"/>
      <c r="M670" s="391"/>
      <c r="N670" s="391"/>
      <c r="O670" s="391"/>
      <c r="P670" s="391"/>
      <c r="Q670" s="391"/>
      <c r="R670" s="391"/>
      <c r="S670" s="391"/>
      <c r="T670" s="391"/>
      <c r="U670" s="391"/>
      <c r="V670" s="391"/>
      <c r="W670" s="391"/>
      <c r="X670" s="391"/>
    </row>
    <row r="671">
      <c r="A671" s="391"/>
      <c r="B671" s="391"/>
      <c r="C671" s="391"/>
      <c r="D671" s="391"/>
      <c r="E671" s="391"/>
      <c r="F671" s="391"/>
      <c r="G671" s="391"/>
      <c r="H671" s="391"/>
      <c r="I671" s="391"/>
      <c r="J671" s="391"/>
      <c r="K671" s="391"/>
      <c r="L671" s="391"/>
      <c r="M671" s="391"/>
      <c r="N671" s="391"/>
      <c r="O671" s="391"/>
      <c r="P671" s="391"/>
      <c r="Q671" s="391"/>
      <c r="R671" s="391"/>
      <c r="S671" s="391"/>
      <c r="T671" s="391"/>
      <c r="U671" s="391"/>
      <c r="V671" s="391"/>
      <c r="W671" s="391"/>
      <c r="X671" s="391"/>
    </row>
    <row r="672">
      <c r="A672" s="391"/>
      <c r="B672" s="391"/>
      <c r="C672" s="391"/>
      <c r="D672" s="391"/>
      <c r="E672" s="391"/>
      <c r="F672" s="391"/>
      <c r="G672" s="391"/>
      <c r="H672" s="391"/>
      <c r="I672" s="391"/>
      <c r="J672" s="391"/>
      <c r="K672" s="391"/>
      <c r="L672" s="391"/>
      <c r="M672" s="391"/>
      <c r="N672" s="391"/>
      <c r="O672" s="391"/>
      <c r="P672" s="391"/>
      <c r="Q672" s="391"/>
      <c r="R672" s="391"/>
      <c r="S672" s="391"/>
      <c r="T672" s="391"/>
      <c r="U672" s="391"/>
      <c r="V672" s="391"/>
      <c r="W672" s="391"/>
      <c r="X672" s="391"/>
    </row>
    <row r="673">
      <c r="A673" s="391"/>
      <c r="B673" s="391"/>
      <c r="C673" s="391"/>
      <c r="D673" s="391"/>
      <c r="E673" s="391"/>
      <c r="F673" s="391"/>
      <c r="G673" s="391"/>
      <c r="H673" s="391"/>
      <c r="I673" s="391"/>
      <c r="J673" s="391"/>
      <c r="K673" s="391"/>
      <c r="L673" s="391"/>
      <c r="M673" s="391"/>
      <c r="N673" s="391"/>
      <c r="O673" s="391"/>
      <c r="P673" s="391"/>
      <c r="Q673" s="391"/>
      <c r="R673" s="391"/>
      <c r="S673" s="391"/>
      <c r="T673" s="391"/>
      <c r="U673" s="391"/>
      <c r="V673" s="391"/>
      <c r="W673" s="391"/>
      <c r="X673" s="391"/>
    </row>
    <row r="674">
      <c r="A674" s="391"/>
      <c r="B674" s="391"/>
      <c r="C674" s="391"/>
      <c r="D674" s="391"/>
      <c r="E674" s="391"/>
      <c r="F674" s="391"/>
      <c r="G674" s="391"/>
      <c r="H674" s="391"/>
      <c r="I674" s="391"/>
      <c r="J674" s="391"/>
      <c r="K674" s="391"/>
      <c r="L674" s="391"/>
      <c r="M674" s="391"/>
      <c r="N674" s="391"/>
      <c r="O674" s="391"/>
      <c r="P674" s="391"/>
      <c r="Q674" s="391"/>
      <c r="R674" s="391"/>
      <c r="S674" s="391"/>
      <c r="T674" s="391"/>
      <c r="U674" s="391"/>
      <c r="V674" s="391"/>
      <c r="W674" s="391"/>
      <c r="X674" s="391"/>
    </row>
    <row r="675">
      <c r="A675" s="391"/>
      <c r="B675" s="391"/>
      <c r="C675" s="391"/>
      <c r="D675" s="391"/>
      <c r="E675" s="391"/>
      <c r="F675" s="391"/>
      <c r="G675" s="391"/>
      <c r="H675" s="391"/>
      <c r="I675" s="391"/>
      <c r="J675" s="391"/>
      <c r="K675" s="391"/>
      <c r="L675" s="391"/>
      <c r="M675" s="391"/>
      <c r="N675" s="391"/>
      <c r="O675" s="391"/>
      <c r="P675" s="391"/>
      <c r="Q675" s="391"/>
      <c r="R675" s="391"/>
      <c r="S675" s="391"/>
      <c r="T675" s="391"/>
      <c r="U675" s="391"/>
      <c r="V675" s="391"/>
      <c r="W675" s="391"/>
      <c r="X675" s="391"/>
    </row>
    <row r="676">
      <c r="A676" s="391"/>
      <c r="B676" s="391"/>
      <c r="C676" s="391"/>
      <c r="D676" s="391"/>
      <c r="E676" s="391"/>
      <c r="F676" s="391"/>
      <c r="G676" s="391"/>
      <c r="H676" s="391"/>
      <c r="I676" s="391"/>
      <c r="J676" s="391"/>
      <c r="K676" s="391"/>
      <c r="L676" s="391"/>
      <c r="M676" s="391"/>
      <c r="N676" s="391"/>
      <c r="O676" s="391"/>
      <c r="P676" s="391"/>
      <c r="Q676" s="391"/>
      <c r="R676" s="391"/>
      <c r="S676" s="391"/>
      <c r="T676" s="391"/>
      <c r="U676" s="391"/>
      <c r="V676" s="391"/>
      <c r="W676" s="391"/>
      <c r="X676" s="391"/>
    </row>
    <row r="677">
      <c r="A677" s="391"/>
      <c r="B677" s="391"/>
      <c r="C677" s="391"/>
      <c r="D677" s="391"/>
      <c r="E677" s="391"/>
      <c r="F677" s="391"/>
      <c r="G677" s="391"/>
      <c r="H677" s="391"/>
      <c r="I677" s="391"/>
      <c r="J677" s="391"/>
      <c r="K677" s="391"/>
      <c r="L677" s="391"/>
      <c r="M677" s="391"/>
      <c r="N677" s="391"/>
      <c r="O677" s="391"/>
      <c r="P677" s="391"/>
      <c r="Q677" s="391"/>
      <c r="R677" s="391"/>
      <c r="S677" s="391"/>
      <c r="T677" s="391"/>
      <c r="U677" s="391"/>
      <c r="V677" s="391"/>
      <c r="W677" s="391"/>
      <c r="X677" s="391"/>
    </row>
    <row r="678">
      <c r="A678" s="391"/>
      <c r="B678" s="391"/>
      <c r="C678" s="391"/>
      <c r="D678" s="391"/>
      <c r="E678" s="391"/>
      <c r="F678" s="391"/>
      <c r="G678" s="391"/>
      <c r="H678" s="391"/>
      <c r="I678" s="391"/>
      <c r="J678" s="391"/>
      <c r="K678" s="391"/>
      <c r="L678" s="391"/>
      <c r="M678" s="391"/>
      <c r="N678" s="391"/>
      <c r="O678" s="391"/>
      <c r="P678" s="391"/>
      <c r="Q678" s="391"/>
      <c r="R678" s="391"/>
      <c r="S678" s="391"/>
      <c r="T678" s="391"/>
      <c r="U678" s="391"/>
      <c r="V678" s="391"/>
      <c r="W678" s="391"/>
      <c r="X678" s="391"/>
    </row>
    <row r="679">
      <c r="A679" s="391"/>
      <c r="B679" s="391"/>
      <c r="C679" s="391"/>
      <c r="D679" s="391"/>
      <c r="E679" s="391"/>
      <c r="F679" s="391"/>
      <c r="G679" s="391"/>
      <c r="H679" s="391"/>
      <c r="I679" s="391"/>
      <c r="J679" s="391"/>
      <c r="K679" s="391"/>
      <c r="L679" s="391"/>
      <c r="M679" s="391"/>
      <c r="N679" s="391"/>
      <c r="O679" s="391"/>
      <c r="P679" s="391"/>
      <c r="Q679" s="391"/>
      <c r="R679" s="391"/>
      <c r="S679" s="391"/>
      <c r="T679" s="391"/>
      <c r="U679" s="391"/>
      <c r="V679" s="391"/>
      <c r="W679" s="391"/>
      <c r="X679" s="391"/>
    </row>
    <row r="680">
      <c r="A680" s="391"/>
      <c r="B680" s="391"/>
      <c r="C680" s="391"/>
      <c r="D680" s="391"/>
      <c r="E680" s="391"/>
      <c r="F680" s="391"/>
      <c r="G680" s="391"/>
      <c r="H680" s="391"/>
      <c r="I680" s="391"/>
      <c r="J680" s="391"/>
      <c r="K680" s="391"/>
      <c r="L680" s="391"/>
      <c r="M680" s="391"/>
      <c r="N680" s="391"/>
      <c r="O680" s="391"/>
      <c r="P680" s="391"/>
      <c r="Q680" s="391"/>
      <c r="R680" s="391"/>
      <c r="S680" s="391"/>
      <c r="T680" s="391"/>
      <c r="U680" s="391"/>
      <c r="V680" s="391"/>
      <c r="W680" s="391"/>
      <c r="X680" s="391"/>
    </row>
    <row r="681">
      <c r="A681" s="391"/>
      <c r="B681" s="391"/>
      <c r="C681" s="391"/>
      <c r="D681" s="391"/>
      <c r="E681" s="391"/>
      <c r="F681" s="391"/>
      <c r="G681" s="391"/>
      <c r="H681" s="391"/>
      <c r="I681" s="391"/>
      <c r="J681" s="391"/>
      <c r="K681" s="391"/>
      <c r="L681" s="391"/>
      <c r="M681" s="391"/>
      <c r="N681" s="391"/>
      <c r="O681" s="391"/>
      <c r="P681" s="391"/>
      <c r="Q681" s="391"/>
      <c r="R681" s="391"/>
      <c r="S681" s="391"/>
      <c r="T681" s="391"/>
      <c r="U681" s="391"/>
      <c r="V681" s="391"/>
      <c r="W681" s="391"/>
      <c r="X681" s="391"/>
    </row>
    <row r="682">
      <c r="A682" s="391"/>
      <c r="B682" s="391"/>
      <c r="C682" s="391"/>
      <c r="D682" s="391"/>
      <c r="E682" s="391"/>
      <c r="F682" s="391"/>
      <c r="G682" s="391"/>
      <c r="H682" s="391"/>
      <c r="I682" s="391"/>
      <c r="J682" s="391"/>
      <c r="K682" s="391"/>
      <c r="L682" s="391"/>
      <c r="M682" s="391"/>
      <c r="N682" s="391"/>
      <c r="O682" s="391"/>
      <c r="P682" s="391"/>
      <c r="Q682" s="391"/>
      <c r="R682" s="391"/>
      <c r="S682" s="391"/>
      <c r="T682" s="391"/>
      <c r="U682" s="391"/>
      <c r="V682" s="391"/>
      <c r="W682" s="391"/>
      <c r="X682" s="391"/>
    </row>
    <row r="683">
      <c r="A683" s="391"/>
      <c r="B683" s="391"/>
      <c r="C683" s="391"/>
      <c r="D683" s="391"/>
      <c r="E683" s="391"/>
      <c r="F683" s="391"/>
      <c r="G683" s="391"/>
      <c r="H683" s="391"/>
      <c r="I683" s="391"/>
      <c r="J683" s="391"/>
      <c r="K683" s="391"/>
      <c r="L683" s="391"/>
      <c r="M683" s="391"/>
      <c r="N683" s="391"/>
      <c r="O683" s="391"/>
      <c r="P683" s="391"/>
      <c r="Q683" s="391"/>
      <c r="R683" s="391"/>
      <c r="S683" s="391"/>
      <c r="T683" s="391"/>
      <c r="U683" s="391"/>
      <c r="V683" s="391"/>
      <c r="W683" s="391"/>
      <c r="X683" s="391"/>
    </row>
    <row r="684">
      <c r="A684" s="391"/>
      <c r="B684" s="391"/>
      <c r="C684" s="391"/>
      <c r="D684" s="391"/>
      <c r="E684" s="391"/>
      <c r="F684" s="391"/>
      <c r="G684" s="391"/>
      <c r="H684" s="391"/>
      <c r="I684" s="391"/>
      <c r="J684" s="391"/>
      <c r="K684" s="391"/>
      <c r="L684" s="391"/>
      <c r="M684" s="391"/>
      <c r="N684" s="391"/>
      <c r="O684" s="391"/>
      <c r="P684" s="391"/>
      <c r="Q684" s="391"/>
      <c r="R684" s="391"/>
      <c r="S684" s="391"/>
      <c r="T684" s="391"/>
      <c r="U684" s="391"/>
      <c r="V684" s="391"/>
      <c r="W684" s="391"/>
      <c r="X684" s="391"/>
    </row>
    <row r="685">
      <c r="A685" s="391"/>
      <c r="B685" s="391"/>
      <c r="C685" s="391"/>
      <c r="D685" s="391"/>
      <c r="E685" s="391"/>
      <c r="F685" s="391"/>
      <c r="G685" s="391"/>
      <c r="H685" s="391"/>
      <c r="I685" s="391"/>
      <c r="J685" s="391"/>
      <c r="K685" s="391"/>
      <c r="L685" s="391"/>
      <c r="M685" s="391"/>
      <c r="N685" s="391"/>
      <c r="O685" s="391"/>
      <c r="P685" s="391"/>
      <c r="Q685" s="391"/>
      <c r="R685" s="391"/>
      <c r="S685" s="391"/>
      <c r="T685" s="391"/>
      <c r="U685" s="391"/>
      <c r="V685" s="391"/>
      <c r="W685" s="391"/>
      <c r="X685" s="391"/>
    </row>
    <row r="686">
      <c r="A686" s="391"/>
      <c r="B686" s="391"/>
      <c r="C686" s="391"/>
      <c r="D686" s="391"/>
      <c r="E686" s="391"/>
      <c r="F686" s="391"/>
      <c r="G686" s="391"/>
      <c r="H686" s="391"/>
      <c r="I686" s="391"/>
      <c r="J686" s="391"/>
      <c r="K686" s="391"/>
      <c r="L686" s="391"/>
      <c r="M686" s="391"/>
      <c r="N686" s="391"/>
      <c r="O686" s="391"/>
      <c r="P686" s="391"/>
      <c r="Q686" s="391"/>
      <c r="R686" s="391"/>
      <c r="S686" s="391"/>
      <c r="T686" s="391"/>
      <c r="U686" s="391"/>
      <c r="V686" s="391"/>
      <c r="W686" s="391"/>
      <c r="X686" s="391"/>
    </row>
    <row r="687">
      <c r="A687" s="391"/>
      <c r="B687" s="391"/>
      <c r="C687" s="391"/>
      <c r="D687" s="391"/>
      <c r="E687" s="391"/>
      <c r="F687" s="391"/>
      <c r="G687" s="391"/>
      <c r="H687" s="391"/>
      <c r="I687" s="391"/>
      <c r="J687" s="391"/>
      <c r="K687" s="391"/>
      <c r="L687" s="391"/>
      <c r="M687" s="391"/>
      <c r="N687" s="391"/>
      <c r="O687" s="391"/>
      <c r="P687" s="391"/>
      <c r="Q687" s="391"/>
      <c r="R687" s="391"/>
      <c r="S687" s="391"/>
      <c r="T687" s="391"/>
      <c r="U687" s="391"/>
      <c r="V687" s="391"/>
      <c r="W687" s="391"/>
      <c r="X687" s="391"/>
    </row>
    <row r="688">
      <c r="A688" s="391"/>
      <c r="B688" s="391"/>
      <c r="C688" s="391"/>
      <c r="D688" s="391"/>
      <c r="E688" s="391"/>
      <c r="F688" s="391"/>
      <c r="G688" s="391"/>
      <c r="H688" s="391"/>
      <c r="I688" s="391"/>
      <c r="J688" s="391"/>
      <c r="K688" s="391"/>
      <c r="L688" s="391"/>
      <c r="M688" s="391"/>
      <c r="N688" s="391"/>
      <c r="O688" s="391"/>
      <c r="P688" s="391"/>
      <c r="Q688" s="391"/>
      <c r="R688" s="391"/>
      <c r="S688" s="391"/>
      <c r="T688" s="391"/>
      <c r="U688" s="391"/>
      <c r="V688" s="391"/>
      <c r="W688" s="391"/>
      <c r="X688" s="391"/>
    </row>
    <row r="689">
      <c r="A689" s="391"/>
      <c r="B689" s="391"/>
      <c r="C689" s="391"/>
      <c r="D689" s="391"/>
      <c r="E689" s="391"/>
      <c r="F689" s="391"/>
      <c r="G689" s="391"/>
      <c r="H689" s="391"/>
      <c r="I689" s="391"/>
      <c r="J689" s="391"/>
      <c r="K689" s="391"/>
      <c r="L689" s="391"/>
      <c r="M689" s="391"/>
      <c r="N689" s="391"/>
      <c r="O689" s="391"/>
      <c r="P689" s="391"/>
      <c r="Q689" s="391"/>
      <c r="R689" s="391"/>
      <c r="S689" s="391"/>
      <c r="T689" s="391"/>
      <c r="U689" s="391"/>
      <c r="V689" s="391"/>
      <c r="W689" s="391"/>
      <c r="X689" s="391"/>
    </row>
    <row r="690">
      <c r="A690" s="391"/>
      <c r="B690" s="391"/>
      <c r="C690" s="391"/>
      <c r="D690" s="391"/>
      <c r="E690" s="391"/>
      <c r="F690" s="391"/>
      <c r="G690" s="391"/>
      <c r="H690" s="391"/>
      <c r="I690" s="391"/>
      <c r="J690" s="391"/>
      <c r="K690" s="391"/>
      <c r="L690" s="391"/>
      <c r="M690" s="391"/>
      <c r="N690" s="391"/>
      <c r="O690" s="391"/>
      <c r="P690" s="391"/>
      <c r="Q690" s="391"/>
      <c r="R690" s="391"/>
      <c r="S690" s="391"/>
      <c r="T690" s="391"/>
      <c r="U690" s="391"/>
      <c r="V690" s="391"/>
      <c r="W690" s="391"/>
      <c r="X690" s="391"/>
    </row>
    <row r="691">
      <c r="A691" s="391"/>
      <c r="B691" s="391"/>
      <c r="C691" s="391"/>
      <c r="D691" s="391"/>
      <c r="E691" s="391"/>
      <c r="F691" s="391"/>
      <c r="G691" s="391"/>
      <c r="H691" s="391"/>
      <c r="I691" s="391"/>
      <c r="J691" s="391"/>
      <c r="K691" s="391"/>
      <c r="L691" s="391"/>
      <c r="M691" s="391"/>
      <c r="N691" s="391"/>
      <c r="O691" s="391"/>
      <c r="P691" s="391"/>
      <c r="Q691" s="391"/>
      <c r="R691" s="391"/>
      <c r="S691" s="391"/>
      <c r="T691" s="391"/>
      <c r="U691" s="391"/>
      <c r="V691" s="391"/>
      <c r="W691" s="391"/>
      <c r="X691" s="391"/>
    </row>
    <row r="692">
      <c r="A692" s="391"/>
      <c r="B692" s="391"/>
      <c r="C692" s="391"/>
      <c r="D692" s="391"/>
      <c r="E692" s="391"/>
      <c r="F692" s="391"/>
      <c r="G692" s="391"/>
      <c r="H692" s="391"/>
      <c r="I692" s="391"/>
      <c r="J692" s="391"/>
      <c r="K692" s="391"/>
      <c r="L692" s="391"/>
      <c r="M692" s="391"/>
      <c r="N692" s="391"/>
      <c r="O692" s="391"/>
      <c r="P692" s="391"/>
      <c r="Q692" s="391"/>
      <c r="R692" s="391"/>
      <c r="S692" s="391"/>
      <c r="T692" s="391"/>
      <c r="U692" s="391"/>
      <c r="V692" s="391"/>
      <c r="W692" s="391"/>
      <c r="X692" s="391"/>
    </row>
    <row r="693">
      <c r="A693" s="391"/>
      <c r="B693" s="391"/>
      <c r="C693" s="391"/>
      <c r="D693" s="391"/>
      <c r="E693" s="391"/>
      <c r="F693" s="391"/>
      <c r="G693" s="391"/>
      <c r="H693" s="391"/>
      <c r="I693" s="391"/>
      <c r="J693" s="391"/>
      <c r="K693" s="391"/>
      <c r="L693" s="391"/>
      <c r="M693" s="391"/>
      <c r="N693" s="391"/>
      <c r="O693" s="391"/>
      <c r="P693" s="391"/>
      <c r="Q693" s="391"/>
      <c r="R693" s="391"/>
      <c r="S693" s="391"/>
      <c r="T693" s="391"/>
      <c r="U693" s="391"/>
      <c r="V693" s="391"/>
      <c r="W693" s="391"/>
      <c r="X693" s="391"/>
    </row>
    <row r="694">
      <c r="A694" s="391"/>
      <c r="B694" s="391"/>
      <c r="C694" s="391"/>
      <c r="D694" s="391"/>
      <c r="E694" s="391"/>
      <c r="F694" s="391"/>
      <c r="G694" s="391"/>
      <c r="H694" s="391"/>
      <c r="I694" s="391"/>
      <c r="J694" s="391"/>
      <c r="K694" s="391"/>
      <c r="L694" s="391"/>
      <c r="M694" s="391"/>
      <c r="N694" s="391"/>
      <c r="O694" s="391"/>
      <c r="P694" s="391"/>
      <c r="Q694" s="391"/>
      <c r="R694" s="391"/>
      <c r="S694" s="391"/>
      <c r="T694" s="391"/>
      <c r="U694" s="391"/>
      <c r="V694" s="391"/>
      <c r="W694" s="391"/>
      <c r="X694" s="391"/>
    </row>
    <row r="695">
      <c r="A695" s="391"/>
      <c r="B695" s="391"/>
      <c r="C695" s="391"/>
      <c r="D695" s="391"/>
      <c r="E695" s="391"/>
      <c r="F695" s="391"/>
      <c r="G695" s="391"/>
      <c r="H695" s="391"/>
      <c r="I695" s="391"/>
      <c r="J695" s="391"/>
      <c r="K695" s="391"/>
      <c r="L695" s="391"/>
      <c r="M695" s="391"/>
      <c r="N695" s="391"/>
      <c r="O695" s="391"/>
      <c r="P695" s="391"/>
      <c r="Q695" s="391"/>
      <c r="R695" s="391"/>
      <c r="S695" s="391"/>
      <c r="T695" s="391"/>
      <c r="U695" s="391"/>
      <c r="V695" s="391"/>
      <c r="W695" s="391"/>
      <c r="X695" s="391"/>
    </row>
    <row r="696">
      <c r="A696" s="391"/>
      <c r="B696" s="391"/>
      <c r="C696" s="391"/>
      <c r="D696" s="391"/>
      <c r="E696" s="391"/>
      <c r="F696" s="391"/>
      <c r="G696" s="391"/>
      <c r="H696" s="391"/>
      <c r="I696" s="391"/>
      <c r="J696" s="391"/>
      <c r="K696" s="391"/>
      <c r="L696" s="391"/>
      <c r="M696" s="391"/>
      <c r="N696" s="391"/>
      <c r="O696" s="391"/>
      <c r="P696" s="391"/>
      <c r="Q696" s="391"/>
      <c r="R696" s="391"/>
      <c r="S696" s="391"/>
      <c r="T696" s="391"/>
      <c r="U696" s="391"/>
      <c r="V696" s="391"/>
      <c r="W696" s="391"/>
      <c r="X696" s="391"/>
    </row>
    <row r="697">
      <c r="A697" s="391"/>
      <c r="B697" s="391"/>
      <c r="C697" s="391"/>
      <c r="D697" s="391"/>
      <c r="E697" s="391"/>
      <c r="F697" s="391"/>
      <c r="G697" s="391"/>
      <c r="H697" s="391"/>
      <c r="I697" s="391"/>
      <c r="J697" s="391"/>
      <c r="K697" s="391"/>
      <c r="L697" s="391"/>
      <c r="M697" s="391"/>
      <c r="N697" s="391"/>
      <c r="O697" s="391"/>
      <c r="P697" s="391"/>
      <c r="Q697" s="391"/>
      <c r="R697" s="391"/>
      <c r="S697" s="391"/>
      <c r="T697" s="391"/>
      <c r="U697" s="391"/>
      <c r="V697" s="391"/>
      <c r="W697" s="391"/>
      <c r="X697" s="391"/>
    </row>
    <row r="698">
      <c r="A698" s="391"/>
      <c r="B698" s="391"/>
      <c r="C698" s="391"/>
      <c r="D698" s="391"/>
      <c r="E698" s="391"/>
      <c r="F698" s="391"/>
      <c r="G698" s="391"/>
      <c r="H698" s="391"/>
      <c r="I698" s="391"/>
      <c r="J698" s="391"/>
      <c r="K698" s="391"/>
      <c r="L698" s="391"/>
      <c r="M698" s="391"/>
      <c r="N698" s="391"/>
      <c r="O698" s="391"/>
      <c r="P698" s="391"/>
      <c r="Q698" s="391"/>
      <c r="R698" s="391"/>
      <c r="S698" s="391"/>
      <c r="T698" s="391"/>
      <c r="U698" s="391"/>
      <c r="V698" s="391"/>
      <c r="W698" s="391"/>
      <c r="X698" s="391"/>
    </row>
    <row r="699">
      <c r="A699" s="391"/>
      <c r="B699" s="391"/>
      <c r="C699" s="391"/>
      <c r="D699" s="391"/>
      <c r="E699" s="391"/>
      <c r="F699" s="391"/>
      <c r="G699" s="391"/>
      <c r="H699" s="391"/>
      <c r="I699" s="391"/>
      <c r="J699" s="391"/>
      <c r="K699" s="391"/>
      <c r="L699" s="391"/>
      <c r="M699" s="391"/>
      <c r="N699" s="391"/>
      <c r="O699" s="391"/>
      <c r="P699" s="391"/>
      <c r="Q699" s="391"/>
      <c r="R699" s="391"/>
      <c r="S699" s="391"/>
      <c r="T699" s="391"/>
      <c r="U699" s="391"/>
      <c r="V699" s="391"/>
      <c r="W699" s="391"/>
      <c r="X699" s="391"/>
    </row>
    <row r="700">
      <c r="A700" s="391"/>
      <c r="B700" s="391"/>
      <c r="C700" s="391"/>
      <c r="D700" s="391"/>
      <c r="E700" s="391"/>
      <c r="F700" s="391"/>
      <c r="G700" s="391"/>
      <c r="H700" s="391"/>
      <c r="I700" s="391"/>
      <c r="J700" s="391"/>
      <c r="K700" s="391"/>
      <c r="L700" s="391"/>
      <c r="M700" s="391"/>
      <c r="N700" s="391"/>
      <c r="O700" s="391"/>
      <c r="P700" s="391"/>
      <c r="Q700" s="391"/>
      <c r="R700" s="391"/>
      <c r="S700" s="391"/>
      <c r="T700" s="391"/>
      <c r="U700" s="391"/>
      <c r="V700" s="391"/>
      <c r="W700" s="391"/>
      <c r="X700" s="391"/>
    </row>
    <row r="701">
      <c r="A701" s="391"/>
      <c r="B701" s="391"/>
      <c r="C701" s="391"/>
      <c r="D701" s="391"/>
      <c r="E701" s="391"/>
      <c r="F701" s="391"/>
      <c r="G701" s="391"/>
      <c r="H701" s="391"/>
      <c r="I701" s="391"/>
      <c r="J701" s="391"/>
      <c r="K701" s="391"/>
      <c r="L701" s="391"/>
      <c r="M701" s="391"/>
      <c r="N701" s="391"/>
      <c r="O701" s="391"/>
      <c r="P701" s="391"/>
      <c r="Q701" s="391"/>
      <c r="R701" s="391"/>
      <c r="S701" s="391"/>
      <c r="T701" s="391"/>
      <c r="U701" s="391"/>
      <c r="V701" s="391"/>
      <c r="W701" s="391"/>
      <c r="X701" s="391"/>
    </row>
    <row r="702">
      <c r="A702" s="391"/>
      <c r="B702" s="391"/>
      <c r="C702" s="391"/>
      <c r="D702" s="391"/>
      <c r="E702" s="391"/>
      <c r="F702" s="391"/>
      <c r="G702" s="391"/>
      <c r="H702" s="391"/>
      <c r="I702" s="391"/>
      <c r="J702" s="391"/>
      <c r="K702" s="391"/>
      <c r="L702" s="391"/>
      <c r="M702" s="391"/>
      <c r="N702" s="391"/>
      <c r="O702" s="391"/>
      <c r="P702" s="391"/>
      <c r="Q702" s="391"/>
      <c r="R702" s="391"/>
      <c r="S702" s="391"/>
      <c r="T702" s="391"/>
      <c r="U702" s="391"/>
      <c r="V702" s="391"/>
      <c r="W702" s="391"/>
      <c r="X702" s="391"/>
    </row>
    <row r="703">
      <c r="A703" s="391"/>
      <c r="B703" s="391"/>
      <c r="C703" s="391"/>
      <c r="D703" s="391"/>
      <c r="E703" s="391"/>
      <c r="F703" s="391"/>
      <c r="G703" s="391"/>
      <c r="H703" s="391"/>
      <c r="I703" s="391"/>
      <c r="J703" s="391"/>
      <c r="K703" s="391"/>
      <c r="L703" s="391"/>
      <c r="M703" s="391"/>
      <c r="N703" s="391"/>
      <c r="O703" s="391"/>
      <c r="P703" s="391"/>
      <c r="Q703" s="391"/>
      <c r="R703" s="391"/>
      <c r="S703" s="391"/>
      <c r="T703" s="391"/>
      <c r="U703" s="391"/>
      <c r="V703" s="391"/>
      <c r="W703" s="391"/>
      <c r="X703" s="391"/>
    </row>
    <row r="704">
      <c r="A704" s="391"/>
      <c r="B704" s="391"/>
      <c r="C704" s="391"/>
      <c r="D704" s="391"/>
      <c r="E704" s="391"/>
      <c r="F704" s="391"/>
      <c r="G704" s="391"/>
      <c r="H704" s="391"/>
      <c r="I704" s="391"/>
      <c r="J704" s="391"/>
      <c r="K704" s="391"/>
      <c r="L704" s="391"/>
      <c r="M704" s="391"/>
      <c r="N704" s="391"/>
      <c r="O704" s="391"/>
      <c r="P704" s="391"/>
      <c r="Q704" s="391"/>
      <c r="R704" s="391"/>
      <c r="S704" s="391"/>
      <c r="T704" s="391"/>
      <c r="U704" s="391"/>
      <c r="V704" s="391"/>
      <c r="W704" s="391"/>
      <c r="X704" s="391"/>
    </row>
    <row r="705">
      <c r="A705" s="391"/>
      <c r="B705" s="391"/>
      <c r="C705" s="391"/>
      <c r="D705" s="391"/>
      <c r="E705" s="391"/>
      <c r="F705" s="391"/>
      <c r="G705" s="391"/>
      <c r="H705" s="391"/>
      <c r="I705" s="391"/>
      <c r="J705" s="391"/>
      <c r="K705" s="391"/>
      <c r="L705" s="391"/>
      <c r="M705" s="391"/>
      <c r="N705" s="391"/>
      <c r="O705" s="391"/>
      <c r="P705" s="391"/>
      <c r="Q705" s="391"/>
      <c r="R705" s="391"/>
      <c r="S705" s="391"/>
      <c r="T705" s="391"/>
      <c r="U705" s="391"/>
      <c r="V705" s="391"/>
      <c r="W705" s="391"/>
      <c r="X705" s="391"/>
    </row>
    <row r="706">
      <c r="A706" s="391"/>
      <c r="B706" s="391"/>
      <c r="C706" s="391"/>
      <c r="D706" s="391"/>
      <c r="E706" s="391"/>
      <c r="F706" s="391"/>
      <c r="G706" s="391"/>
      <c r="H706" s="391"/>
      <c r="I706" s="391"/>
      <c r="J706" s="391"/>
      <c r="K706" s="391"/>
      <c r="L706" s="391"/>
      <c r="M706" s="391"/>
      <c r="N706" s="391"/>
      <c r="O706" s="391"/>
      <c r="P706" s="391"/>
      <c r="Q706" s="391"/>
      <c r="R706" s="391"/>
      <c r="S706" s="391"/>
      <c r="T706" s="391"/>
      <c r="U706" s="391"/>
      <c r="V706" s="391"/>
      <c r="W706" s="391"/>
      <c r="X706" s="391"/>
    </row>
    <row r="707">
      <c r="A707" s="391"/>
      <c r="B707" s="391"/>
      <c r="C707" s="391"/>
      <c r="D707" s="391"/>
      <c r="E707" s="391"/>
      <c r="F707" s="391"/>
      <c r="G707" s="391"/>
      <c r="H707" s="391"/>
      <c r="I707" s="391"/>
      <c r="J707" s="391"/>
      <c r="K707" s="391"/>
      <c r="L707" s="391"/>
      <c r="M707" s="391"/>
      <c r="N707" s="391"/>
      <c r="O707" s="391"/>
      <c r="P707" s="391"/>
      <c r="Q707" s="391"/>
      <c r="R707" s="391"/>
      <c r="S707" s="391"/>
      <c r="T707" s="391"/>
      <c r="U707" s="391"/>
      <c r="V707" s="391"/>
      <c r="W707" s="391"/>
      <c r="X707" s="391"/>
    </row>
    <row r="708">
      <c r="A708" s="391"/>
      <c r="B708" s="391"/>
      <c r="C708" s="391"/>
      <c r="D708" s="391"/>
      <c r="E708" s="391"/>
      <c r="F708" s="391"/>
      <c r="G708" s="391"/>
      <c r="H708" s="391"/>
      <c r="I708" s="391"/>
      <c r="J708" s="391"/>
      <c r="K708" s="391"/>
      <c r="L708" s="391"/>
      <c r="M708" s="391"/>
      <c r="N708" s="391"/>
      <c r="O708" s="391"/>
      <c r="P708" s="391"/>
      <c r="Q708" s="391"/>
      <c r="R708" s="391"/>
      <c r="S708" s="391"/>
      <c r="T708" s="391"/>
      <c r="U708" s="391"/>
      <c r="V708" s="391"/>
      <c r="W708" s="391"/>
      <c r="X708" s="391"/>
    </row>
    <row r="709">
      <c r="A709" s="391"/>
      <c r="B709" s="391"/>
      <c r="C709" s="391"/>
      <c r="D709" s="391"/>
      <c r="E709" s="391"/>
      <c r="F709" s="391"/>
      <c r="G709" s="391"/>
      <c r="H709" s="391"/>
      <c r="I709" s="391"/>
      <c r="J709" s="391"/>
      <c r="K709" s="391"/>
      <c r="L709" s="391"/>
      <c r="M709" s="391"/>
      <c r="N709" s="391"/>
      <c r="O709" s="391"/>
      <c r="P709" s="391"/>
      <c r="Q709" s="391"/>
      <c r="R709" s="391"/>
      <c r="S709" s="391"/>
      <c r="T709" s="391"/>
      <c r="U709" s="391"/>
      <c r="V709" s="391"/>
      <c r="W709" s="391"/>
      <c r="X709" s="391"/>
    </row>
    <row r="710">
      <c r="A710" s="391"/>
      <c r="B710" s="391"/>
      <c r="C710" s="391"/>
      <c r="D710" s="391"/>
      <c r="E710" s="391"/>
      <c r="F710" s="391"/>
      <c r="G710" s="391"/>
      <c r="H710" s="391"/>
      <c r="I710" s="391"/>
      <c r="J710" s="391"/>
      <c r="K710" s="391"/>
      <c r="L710" s="391"/>
      <c r="M710" s="391"/>
      <c r="N710" s="391"/>
      <c r="O710" s="391"/>
      <c r="P710" s="391"/>
      <c r="Q710" s="391"/>
      <c r="R710" s="391"/>
      <c r="S710" s="391"/>
      <c r="T710" s="391"/>
      <c r="U710" s="391"/>
      <c r="V710" s="391"/>
      <c r="W710" s="391"/>
      <c r="X710" s="391"/>
    </row>
    <row r="711">
      <c r="A711" s="391"/>
      <c r="B711" s="391"/>
      <c r="C711" s="391"/>
      <c r="D711" s="391"/>
      <c r="E711" s="391"/>
      <c r="F711" s="391"/>
      <c r="G711" s="391"/>
      <c r="H711" s="391"/>
      <c r="I711" s="391"/>
      <c r="J711" s="391"/>
      <c r="K711" s="391"/>
      <c r="L711" s="391"/>
      <c r="M711" s="391"/>
      <c r="N711" s="391"/>
      <c r="O711" s="391"/>
      <c r="P711" s="391"/>
      <c r="Q711" s="391"/>
      <c r="R711" s="391"/>
      <c r="S711" s="391"/>
      <c r="T711" s="391"/>
      <c r="U711" s="391"/>
      <c r="V711" s="391"/>
      <c r="W711" s="391"/>
      <c r="X711" s="391"/>
    </row>
    <row r="712">
      <c r="A712" s="391"/>
      <c r="B712" s="391"/>
      <c r="C712" s="391"/>
      <c r="D712" s="391"/>
      <c r="E712" s="391"/>
      <c r="F712" s="391"/>
      <c r="G712" s="391"/>
      <c r="H712" s="391"/>
      <c r="I712" s="391"/>
      <c r="J712" s="391"/>
      <c r="K712" s="391"/>
      <c r="L712" s="391"/>
      <c r="M712" s="391"/>
      <c r="N712" s="391"/>
      <c r="O712" s="391"/>
      <c r="P712" s="391"/>
      <c r="Q712" s="391"/>
      <c r="R712" s="391"/>
      <c r="S712" s="391"/>
      <c r="T712" s="391"/>
      <c r="U712" s="391"/>
      <c r="V712" s="391"/>
      <c r="W712" s="391"/>
      <c r="X712" s="391"/>
    </row>
    <row r="713">
      <c r="A713" s="391"/>
      <c r="B713" s="391"/>
      <c r="C713" s="391"/>
      <c r="D713" s="391"/>
      <c r="E713" s="391"/>
      <c r="F713" s="391"/>
      <c r="G713" s="391"/>
      <c r="H713" s="391"/>
      <c r="I713" s="391"/>
      <c r="J713" s="391"/>
      <c r="K713" s="391"/>
      <c r="L713" s="391"/>
      <c r="M713" s="391"/>
      <c r="N713" s="391"/>
      <c r="O713" s="391"/>
      <c r="P713" s="391"/>
      <c r="Q713" s="391"/>
      <c r="R713" s="391"/>
      <c r="S713" s="391"/>
      <c r="T713" s="391"/>
      <c r="U713" s="391"/>
      <c r="V713" s="391"/>
      <c r="W713" s="391"/>
      <c r="X713" s="391"/>
    </row>
    <row r="714">
      <c r="A714" s="391"/>
      <c r="B714" s="391"/>
      <c r="C714" s="391"/>
      <c r="D714" s="391"/>
      <c r="E714" s="391"/>
      <c r="F714" s="391"/>
      <c r="G714" s="391"/>
      <c r="H714" s="391"/>
      <c r="I714" s="391"/>
      <c r="J714" s="391"/>
      <c r="K714" s="391"/>
      <c r="L714" s="391"/>
      <c r="M714" s="391"/>
      <c r="N714" s="391"/>
      <c r="O714" s="391"/>
      <c r="P714" s="391"/>
      <c r="Q714" s="391"/>
      <c r="R714" s="391"/>
      <c r="S714" s="391"/>
      <c r="T714" s="391"/>
      <c r="U714" s="391"/>
      <c r="V714" s="391"/>
      <c r="W714" s="391"/>
      <c r="X714" s="391"/>
    </row>
    <row r="715">
      <c r="A715" s="391"/>
      <c r="B715" s="391"/>
      <c r="C715" s="391"/>
      <c r="D715" s="391"/>
      <c r="E715" s="391"/>
      <c r="F715" s="391"/>
      <c r="G715" s="391"/>
      <c r="H715" s="391"/>
      <c r="I715" s="391"/>
      <c r="J715" s="391"/>
      <c r="K715" s="391"/>
      <c r="L715" s="391"/>
      <c r="M715" s="391"/>
      <c r="N715" s="391"/>
      <c r="O715" s="391"/>
      <c r="P715" s="391"/>
      <c r="Q715" s="391"/>
      <c r="R715" s="391"/>
      <c r="S715" s="391"/>
      <c r="T715" s="391"/>
      <c r="U715" s="391"/>
      <c r="V715" s="391"/>
      <c r="W715" s="391"/>
      <c r="X715" s="391"/>
    </row>
    <row r="716">
      <c r="A716" s="391"/>
      <c r="B716" s="391"/>
      <c r="C716" s="391"/>
      <c r="D716" s="391"/>
      <c r="E716" s="391"/>
      <c r="F716" s="391"/>
      <c r="G716" s="391"/>
      <c r="H716" s="391"/>
      <c r="I716" s="391"/>
      <c r="J716" s="391"/>
      <c r="K716" s="391"/>
      <c r="L716" s="391"/>
      <c r="M716" s="391"/>
      <c r="N716" s="391"/>
      <c r="O716" s="391"/>
      <c r="P716" s="391"/>
      <c r="Q716" s="391"/>
      <c r="R716" s="391"/>
      <c r="S716" s="391"/>
      <c r="T716" s="391"/>
      <c r="U716" s="391"/>
      <c r="V716" s="391"/>
      <c r="W716" s="391"/>
      <c r="X716" s="391"/>
    </row>
    <row r="717">
      <c r="A717" s="391"/>
      <c r="B717" s="391"/>
      <c r="C717" s="391"/>
      <c r="D717" s="391"/>
      <c r="E717" s="391"/>
      <c r="F717" s="391"/>
      <c r="G717" s="391"/>
      <c r="H717" s="391"/>
      <c r="I717" s="391"/>
      <c r="J717" s="391"/>
      <c r="K717" s="391"/>
      <c r="L717" s="391"/>
      <c r="M717" s="391"/>
      <c r="N717" s="391"/>
      <c r="O717" s="391"/>
      <c r="P717" s="391"/>
      <c r="Q717" s="391"/>
      <c r="R717" s="391"/>
      <c r="S717" s="391"/>
      <c r="T717" s="391"/>
      <c r="U717" s="391"/>
      <c r="V717" s="391"/>
      <c r="W717" s="391"/>
      <c r="X717" s="391"/>
    </row>
    <row r="718">
      <c r="A718" s="391"/>
      <c r="B718" s="391"/>
      <c r="C718" s="391"/>
      <c r="D718" s="391"/>
      <c r="E718" s="391"/>
      <c r="F718" s="391"/>
      <c r="G718" s="391"/>
      <c r="H718" s="391"/>
      <c r="I718" s="391"/>
      <c r="J718" s="391"/>
      <c r="K718" s="391"/>
      <c r="L718" s="391"/>
      <c r="M718" s="391"/>
      <c r="N718" s="391"/>
      <c r="O718" s="391"/>
      <c r="P718" s="391"/>
      <c r="Q718" s="391"/>
      <c r="R718" s="391"/>
      <c r="S718" s="391"/>
      <c r="T718" s="391"/>
      <c r="U718" s="391"/>
      <c r="V718" s="391"/>
      <c r="W718" s="391"/>
      <c r="X718" s="391"/>
    </row>
    <row r="719">
      <c r="A719" s="391"/>
      <c r="B719" s="391"/>
      <c r="C719" s="391"/>
      <c r="D719" s="391"/>
      <c r="E719" s="391"/>
      <c r="F719" s="391"/>
      <c r="G719" s="391"/>
      <c r="H719" s="391"/>
      <c r="I719" s="391"/>
      <c r="J719" s="391"/>
      <c r="K719" s="391"/>
      <c r="L719" s="391"/>
      <c r="M719" s="391"/>
      <c r="N719" s="391"/>
      <c r="O719" s="391"/>
      <c r="P719" s="391"/>
      <c r="Q719" s="391"/>
      <c r="R719" s="391"/>
      <c r="S719" s="391"/>
      <c r="T719" s="391"/>
      <c r="U719" s="391"/>
      <c r="V719" s="391"/>
      <c r="W719" s="391"/>
      <c r="X719" s="391"/>
    </row>
    <row r="720">
      <c r="A720" s="391"/>
      <c r="B720" s="391"/>
      <c r="C720" s="391"/>
      <c r="D720" s="391"/>
      <c r="E720" s="391"/>
      <c r="F720" s="391"/>
      <c r="G720" s="391"/>
      <c r="H720" s="391"/>
      <c r="I720" s="391"/>
      <c r="J720" s="391"/>
      <c r="K720" s="391"/>
      <c r="L720" s="391"/>
      <c r="M720" s="391"/>
      <c r="N720" s="391"/>
      <c r="O720" s="391"/>
      <c r="P720" s="391"/>
      <c r="Q720" s="391"/>
      <c r="R720" s="391"/>
      <c r="S720" s="391"/>
      <c r="T720" s="391"/>
      <c r="U720" s="391"/>
      <c r="V720" s="391"/>
      <c r="W720" s="391"/>
      <c r="X720" s="391"/>
    </row>
    <row r="721">
      <c r="A721" s="391"/>
      <c r="B721" s="391"/>
      <c r="C721" s="391"/>
      <c r="D721" s="391"/>
      <c r="E721" s="391"/>
      <c r="F721" s="391"/>
      <c r="G721" s="391"/>
      <c r="H721" s="391"/>
      <c r="I721" s="391"/>
      <c r="J721" s="391"/>
      <c r="K721" s="391"/>
      <c r="L721" s="391"/>
      <c r="M721" s="391"/>
      <c r="N721" s="391"/>
      <c r="O721" s="391"/>
      <c r="P721" s="391"/>
      <c r="Q721" s="391"/>
      <c r="R721" s="391"/>
      <c r="S721" s="391"/>
      <c r="T721" s="391"/>
      <c r="U721" s="391"/>
      <c r="V721" s="391"/>
      <c r="W721" s="391"/>
      <c r="X721" s="391"/>
    </row>
    <row r="722">
      <c r="A722" s="391"/>
      <c r="B722" s="391"/>
      <c r="C722" s="391"/>
      <c r="D722" s="391"/>
      <c r="E722" s="391"/>
      <c r="F722" s="391"/>
      <c r="G722" s="391"/>
      <c r="H722" s="391"/>
      <c r="I722" s="391"/>
      <c r="J722" s="391"/>
      <c r="K722" s="391"/>
      <c r="L722" s="391"/>
      <c r="M722" s="391"/>
      <c r="N722" s="391"/>
      <c r="O722" s="391"/>
      <c r="P722" s="391"/>
      <c r="Q722" s="391"/>
      <c r="R722" s="391"/>
      <c r="S722" s="391"/>
      <c r="T722" s="391"/>
      <c r="U722" s="391"/>
      <c r="V722" s="391"/>
      <c r="W722" s="391"/>
      <c r="X722" s="391"/>
    </row>
    <row r="723">
      <c r="A723" s="391"/>
      <c r="B723" s="391"/>
      <c r="C723" s="391"/>
      <c r="D723" s="391"/>
      <c r="E723" s="391"/>
      <c r="F723" s="391"/>
      <c r="G723" s="391"/>
      <c r="H723" s="391"/>
      <c r="I723" s="391"/>
      <c r="J723" s="391"/>
      <c r="K723" s="391"/>
      <c r="L723" s="391"/>
      <c r="M723" s="391"/>
      <c r="N723" s="391"/>
      <c r="O723" s="391"/>
      <c r="P723" s="391"/>
      <c r="Q723" s="391"/>
      <c r="R723" s="391"/>
      <c r="S723" s="391"/>
      <c r="T723" s="391"/>
      <c r="U723" s="391"/>
      <c r="V723" s="391"/>
      <c r="W723" s="391"/>
      <c r="X723" s="391"/>
    </row>
    <row r="724">
      <c r="A724" s="391"/>
      <c r="B724" s="391"/>
      <c r="C724" s="391"/>
      <c r="D724" s="391"/>
      <c r="E724" s="391"/>
      <c r="F724" s="391"/>
      <c r="G724" s="391"/>
      <c r="H724" s="391"/>
      <c r="I724" s="391"/>
      <c r="J724" s="391"/>
      <c r="K724" s="391"/>
      <c r="L724" s="391"/>
      <c r="M724" s="391"/>
      <c r="N724" s="391"/>
      <c r="O724" s="391"/>
      <c r="P724" s="391"/>
      <c r="Q724" s="391"/>
      <c r="R724" s="391"/>
      <c r="S724" s="391"/>
      <c r="T724" s="391"/>
      <c r="U724" s="391"/>
      <c r="V724" s="391"/>
      <c r="W724" s="391"/>
      <c r="X724" s="391"/>
    </row>
    <row r="725">
      <c r="A725" s="391"/>
      <c r="B725" s="391"/>
      <c r="C725" s="391"/>
      <c r="D725" s="391"/>
      <c r="E725" s="391"/>
      <c r="F725" s="391"/>
      <c r="G725" s="391"/>
      <c r="H725" s="391"/>
      <c r="I725" s="391"/>
      <c r="J725" s="391"/>
      <c r="K725" s="391"/>
      <c r="L725" s="391"/>
      <c r="M725" s="391"/>
      <c r="N725" s="391"/>
      <c r="O725" s="391"/>
      <c r="P725" s="391"/>
      <c r="Q725" s="391"/>
      <c r="R725" s="391"/>
      <c r="S725" s="391"/>
      <c r="T725" s="391"/>
      <c r="U725" s="391"/>
      <c r="V725" s="391"/>
      <c r="W725" s="391"/>
      <c r="X725" s="391"/>
    </row>
    <row r="726">
      <c r="A726" s="391"/>
      <c r="B726" s="391"/>
      <c r="C726" s="391"/>
      <c r="D726" s="391"/>
      <c r="E726" s="391"/>
      <c r="F726" s="391"/>
      <c r="G726" s="391"/>
      <c r="H726" s="391"/>
      <c r="I726" s="391"/>
      <c r="J726" s="391"/>
      <c r="K726" s="391"/>
      <c r="L726" s="391"/>
      <c r="M726" s="391"/>
      <c r="N726" s="391"/>
      <c r="O726" s="391"/>
      <c r="P726" s="391"/>
      <c r="Q726" s="391"/>
      <c r="R726" s="391"/>
      <c r="S726" s="391"/>
      <c r="T726" s="391"/>
      <c r="U726" s="391"/>
      <c r="V726" s="391"/>
      <c r="W726" s="391"/>
      <c r="X726" s="391"/>
    </row>
    <row r="727">
      <c r="A727" s="391"/>
      <c r="B727" s="391"/>
      <c r="C727" s="391"/>
      <c r="D727" s="391"/>
      <c r="E727" s="391"/>
      <c r="F727" s="391"/>
      <c r="G727" s="391"/>
      <c r="H727" s="391"/>
      <c r="I727" s="391"/>
      <c r="J727" s="391"/>
      <c r="K727" s="391"/>
      <c r="L727" s="391"/>
      <c r="M727" s="391"/>
      <c r="N727" s="391"/>
      <c r="O727" s="391"/>
      <c r="P727" s="391"/>
      <c r="Q727" s="391"/>
      <c r="R727" s="391"/>
      <c r="S727" s="391"/>
      <c r="T727" s="391"/>
      <c r="U727" s="391"/>
      <c r="V727" s="391"/>
      <c r="W727" s="391"/>
      <c r="X727" s="391"/>
    </row>
    <row r="728">
      <c r="A728" s="391"/>
      <c r="B728" s="391"/>
      <c r="C728" s="391"/>
      <c r="D728" s="391"/>
      <c r="E728" s="391"/>
      <c r="F728" s="391"/>
      <c r="G728" s="391"/>
      <c r="H728" s="391"/>
      <c r="I728" s="391"/>
      <c r="J728" s="391"/>
      <c r="K728" s="391"/>
      <c r="L728" s="391"/>
      <c r="M728" s="391"/>
      <c r="N728" s="391"/>
      <c r="O728" s="391"/>
      <c r="P728" s="391"/>
      <c r="Q728" s="391"/>
      <c r="R728" s="391"/>
      <c r="S728" s="391"/>
      <c r="T728" s="391"/>
      <c r="U728" s="391"/>
      <c r="V728" s="391"/>
      <c r="W728" s="391"/>
      <c r="X728" s="391"/>
    </row>
    <row r="729">
      <c r="A729" s="391"/>
      <c r="B729" s="391"/>
      <c r="C729" s="391"/>
      <c r="D729" s="391"/>
      <c r="E729" s="391"/>
      <c r="F729" s="391"/>
      <c r="G729" s="391"/>
      <c r="H729" s="391"/>
      <c r="I729" s="391"/>
      <c r="J729" s="391"/>
      <c r="K729" s="391"/>
      <c r="L729" s="391"/>
      <c r="M729" s="391"/>
      <c r="N729" s="391"/>
      <c r="O729" s="391"/>
      <c r="P729" s="391"/>
      <c r="Q729" s="391"/>
      <c r="R729" s="391"/>
      <c r="S729" s="391"/>
      <c r="T729" s="391"/>
      <c r="U729" s="391"/>
      <c r="V729" s="391"/>
      <c r="W729" s="391"/>
      <c r="X729" s="391"/>
    </row>
    <row r="730">
      <c r="A730" s="391"/>
      <c r="B730" s="391"/>
      <c r="C730" s="391"/>
      <c r="D730" s="391"/>
      <c r="E730" s="391"/>
      <c r="F730" s="391"/>
      <c r="G730" s="391"/>
      <c r="H730" s="391"/>
      <c r="I730" s="391"/>
      <c r="J730" s="391"/>
      <c r="K730" s="391"/>
      <c r="L730" s="391"/>
      <c r="M730" s="391"/>
      <c r="N730" s="391"/>
      <c r="O730" s="391"/>
      <c r="P730" s="391"/>
      <c r="Q730" s="391"/>
      <c r="R730" s="391"/>
      <c r="S730" s="391"/>
      <c r="T730" s="391"/>
      <c r="U730" s="391"/>
      <c r="V730" s="391"/>
      <c r="W730" s="391"/>
      <c r="X730" s="391"/>
    </row>
    <row r="731">
      <c r="A731" s="391"/>
      <c r="B731" s="391"/>
      <c r="C731" s="391"/>
      <c r="D731" s="391"/>
      <c r="E731" s="391"/>
      <c r="F731" s="391"/>
      <c r="G731" s="391"/>
      <c r="H731" s="391"/>
      <c r="I731" s="391"/>
      <c r="J731" s="391"/>
      <c r="K731" s="391"/>
      <c r="L731" s="391"/>
      <c r="M731" s="391"/>
      <c r="N731" s="391"/>
      <c r="O731" s="391"/>
      <c r="P731" s="391"/>
      <c r="Q731" s="391"/>
      <c r="R731" s="391"/>
      <c r="S731" s="391"/>
      <c r="T731" s="391"/>
      <c r="U731" s="391"/>
      <c r="V731" s="391"/>
      <c r="W731" s="391"/>
      <c r="X731" s="391"/>
    </row>
    <row r="732">
      <c r="A732" s="391"/>
      <c r="B732" s="391"/>
      <c r="C732" s="391"/>
      <c r="D732" s="391"/>
      <c r="E732" s="391"/>
      <c r="F732" s="391"/>
      <c r="G732" s="391"/>
      <c r="H732" s="391"/>
      <c r="I732" s="391"/>
      <c r="J732" s="391"/>
      <c r="K732" s="391"/>
      <c r="L732" s="391"/>
      <c r="M732" s="391"/>
      <c r="N732" s="391"/>
      <c r="O732" s="391"/>
      <c r="P732" s="391"/>
      <c r="Q732" s="391"/>
      <c r="R732" s="391"/>
      <c r="S732" s="391"/>
      <c r="T732" s="391"/>
      <c r="U732" s="391"/>
      <c r="V732" s="391"/>
      <c r="W732" s="391"/>
      <c r="X732" s="391"/>
    </row>
    <row r="733">
      <c r="A733" s="391"/>
      <c r="B733" s="391"/>
      <c r="C733" s="391"/>
      <c r="D733" s="391"/>
      <c r="E733" s="391"/>
      <c r="F733" s="391"/>
      <c r="G733" s="391"/>
      <c r="H733" s="391"/>
      <c r="I733" s="391"/>
      <c r="J733" s="391"/>
      <c r="K733" s="391"/>
      <c r="L733" s="391"/>
      <c r="M733" s="391"/>
      <c r="N733" s="391"/>
      <c r="O733" s="391"/>
      <c r="P733" s="391"/>
      <c r="Q733" s="391"/>
      <c r="R733" s="391"/>
      <c r="S733" s="391"/>
      <c r="T733" s="391"/>
      <c r="U733" s="391"/>
      <c r="V733" s="391"/>
      <c r="W733" s="391"/>
      <c r="X733" s="391"/>
    </row>
    <row r="734">
      <c r="A734" s="391"/>
      <c r="B734" s="391"/>
      <c r="C734" s="391"/>
      <c r="D734" s="391"/>
      <c r="E734" s="391"/>
      <c r="F734" s="391"/>
      <c r="G734" s="391"/>
      <c r="H734" s="391"/>
      <c r="I734" s="391"/>
      <c r="J734" s="391"/>
      <c r="K734" s="391"/>
      <c r="L734" s="391"/>
      <c r="M734" s="391"/>
      <c r="N734" s="391"/>
      <c r="O734" s="391"/>
      <c r="P734" s="391"/>
      <c r="Q734" s="391"/>
      <c r="R734" s="391"/>
      <c r="S734" s="391"/>
      <c r="T734" s="391"/>
      <c r="U734" s="391"/>
      <c r="V734" s="391"/>
      <c r="W734" s="391"/>
      <c r="X734" s="391"/>
    </row>
    <row r="735">
      <c r="A735" s="391"/>
      <c r="B735" s="391"/>
      <c r="C735" s="391"/>
      <c r="D735" s="391"/>
      <c r="E735" s="391"/>
      <c r="F735" s="391"/>
      <c r="G735" s="391"/>
      <c r="H735" s="391"/>
      <c r="I735" s="391"/>
      <c r="J735" s="391"/>
      <c r="K735" s="391"/>
      <c r="L735" s="391"/>
      <c r="M735" s="391"/>
      <c r="N735" s="391"/>
      <c r="O735" s="391"/>
      <c r="P735" s="391"/>
      <c r="Q735" s="391"/>
      <c r="R735" s="391"/>
      <c r="S735" s="391"/>
      <c r="T735" s="391"/>
      <c r="U735" s="391"/>
      <c r="V735" s="391"/>
      <c r="W735" s="391"/>
      <c r="X735" s="391"/>
    </row>
    <row r="736">
      <c r="A736" s="391"/>
      <c r="B736" s="391"/>
      <c r="C736" s="391"/>
      <c r="D736" s="391"/>
      <c r="E736" s="391"/>
      <c r="F736" s="391"/>
      <c r="G736" s="391"/>
      <c r="H736" s="391"/>
      <c r="I736" s="391"/>
      <c r="J736" s="391"/>
      <c r="K736" s="391"/>
      <c r="L736" s="391"/>
      <c r="M736" s="391"/>
      <c r="N736" s="391"/>
      <c r="O736" s="391"/>
      <c r="P736" s="391"/>
      <c r="Q736" s="391"/>
      <c r="R736" s="391"/>
      <c r="S736" s="391"/>
      <c r="T736" s="391"/>
      <c r="U736" s="391"/>
      <c r="V736" s="391"/>
      <c r="W736" s="391"/>
      <c r="X736" s="391"/>
    </row>
    <row r="737">
      <c r="A737" s="391"/>
      <c r="B737" s="391"/>
      <c r="C737" s="391"/>
      <c r="D737" s="391"/>
      <c r="E737" s="391"/>
      <c r="F737" s="391"/>
      <c r="G737" s="391"/>
      <c r="H737" s="391"/>
      <c r="I737" s="391"/>
      <c r="J737" s="391"/>
      <c r="K737" s="391"/>
      <c r="L737" s="391"/>
      <c r="M737" s="391"/>
      <c r="N737" s="391"/>
      <c r="O737" s="391"/>
      <c r="P737" s="391"/>
      <c r="Q737" s="391"/>
      <c r="R737" s="391"/>
      <c r="S737" s="391"/>
      <c r="T737" s="391"/>
      <c r="U737" s="391"/>
      <c r="V737" s="391"/>
      <c r="W737" s="391"/>
      <c r="X737" s="391"/>
    </row>
    <row r="738">
      <c r="A738" s="391"/>
      <c r="B738" s="391"/>
      <c r="C738" s="391"/>
      <c r="D738" s="391"/>
      <c r="E738" s="391"/>
      <c r="F738" s="391"/>
      <c r="G738" s="391"/>
      <c r="H738" s="391"/>
      <c r="I738" s="391"/>
      <c r="J738" s="391"/>
      <c r="K738" s="391"/>
      <c r="L738" s="391"/>
      <c r="M738" s="391"/>
      <c r="N738" s="391"/>
      <c r="O738" s="391"/>
      <c r="P738" s="391"/>
      <c r="Q738" s="391"/>
      <c r="R738" s="391"/>
      <c r="S738" s="391"/>
      <c r="T738" s="391"/>
      <c r="U738" s="391"/>
      <c r="V738" s="391"/>
      <c r="W738" s="391"/>
      <c r="X738" s="391"/>
    </row>
    <row r="739">
      <c r="A739" s="391"/>
      <c r="B739" s="391"/>
      <c r="C739" s="391"/>
      <c r="D739" s="391"/>
      <c r="E739" s="391"/>
      <c r="F739" s="391"/>
      <c r="G739" s="391"/>
      <c r="H739" s="391"/>
      <c r="I739" s="391"/>
      <c r="J739" s="391"/>
      <c r="K739" s="391"/>
      <c r="L739" s="391"/>
      <c r="M739" s="391"/>
      <c r="N739" s="391"/>
      <c r="O739" s="391"/>
      <c r="P739" s="391"/>
      <c r="Q739" s="391"/>
      <c r="R739" s="391"/>
      <c r="S739" s="391"/>
      <c r="T739" s="391"/>
      <c r="U739" s="391"/>
      <c r="V739" s="391"/>
      <c r="W739" s="391"/>
      <c r="X739" s="391"/>
    </row>
    <row r="740">
      <c r="A740" s="391"/>
      <c r="B740" s="391"/>
      <c r="C740" s="391"/>
      <c r="D740" s="391"/>
      <c r="E740" s="391"/>
      <c r="F740" s="391"/>
      <c r="G740" s="391"/>
      <c r="H740" s="391"/>
      <c r="I740" s="391"/>
      <c r="J740" s="391"/>
      <c r="K740" s="391"/>
      <c r="L740" s="391"/>
      <c r="M740" s="391"/>
      <c r="N740" s="391"/>
      <c r="O740" s="391"/>
      <c r="P740" s="391"/>
      <c r="Q740" s="391"/>
      <c r="R740" s="391"/>
      <c r="S740" s="391"/>
      <c r="T740" s="391"/>
      <c r="U740" s="391"/>
      <c r="V740" s="391"/>
      <c r="W740" s="391"/>
      <c r="X740" s="391"/>
    </row>
    <row r="741">
      <c r="A741" s="391"/>
      <c r="B741" s="391"/>
      <c r="C741" s="391"/>
      <c r="D741" s="391"/>
      <c r="E741" s="391"/>
      <c r="F741" s="391"/>
      <c r="G741" s="391"/>
      <c r="H741" s="391"/>
      <c r="I741" s="391"/>
      <c r="J741" s="391"/>
      <c r="K741" s="391"/>
      <c r="L741" s="391"/>
      <c r="M741" s="391"/>
      <c r="N741" s="391"/>
      <c r="O741" s="391"/>
      <c r="P741" s="391"/>
      <c r="Q741" s="391"/>
      <c r="R741" s="391"/>
      <c r="S741" s="391"/>
      <c r="T741" s="391"/>
      <c r="U741" s="391"/>
      <c r="V741" s="391"/>
      <c r="W741" s="391"/>
      <c r="X741" s="391"/>
    </row>
    <row r="742">
      <c r="A742" s="391"/>
      <c r="B742" s="391"/>
      <c r="C742" s="391"/>
      <c r="D742" s="391"/>
      <c r="E742" s="391"/>
      <c r="F742" s="391"/>
      <c r="G742" s="391"/>
      <c r="H742" s="391"/>
      <c r="I742" s="391"/>
      <c r="J742" s="391"/>
      <c r="K742" s="391"/>
      <c r="L742" s="391"/>
      <c r="M742" s="391"/>
      <c r="N742" s="391"/>
      <c r="O742" s="391"/>
      <c r="P742" s="391"/>
      <c r="Q742" s="391"/>
      <c r="R742" s="391"/>
      <c r="S742" s="391"/>
      <c r="T742" s="391"/>
      <c r="U742" s="391"/>
      <c r="V742" s="391"/>
      <c r="W742" s="391"/>
      <c r="X742" s="391"/>
    </row>
    <row r="743">
      <c r="A743" s="391"/>
      <c r="B743" s="391"/>
      <c r="C743" s="391"/>
      <c r="D743" s="391"/>
      <c r="E743" s="391"/>
      <c r="F743" s="391"/>
      <c r="G743" s="391"/>
      <c r="H743" s="391"/>
      <c r="I743" s="391"/>
      <c r="J743" s="391"/>
      <c r="K743" s="391"/>
      <c r="L743" s="391"/>
      <c r="M743" s="391"/>
      <c r="N743" s="391"/>
      <c r="O743" s="391"/>
      <c r="P743" s="391"/>
      <c r="Q743" s="391"/>
      <c r="R743" s="391"/>
      <c r="S743" s="391"/>
      <c r="T743" s="391"/>
      <c r="U743" s="391"/>
      <c r="V743" s="391"/>
      <c r="W743" s="391"/>
      <c r="X743" s="391"/>
    </row>
    <row r="744">
      <c r="A744" s="391"/>
      <c r="B744" s="391"/>
      <c r="C744" s="391"/>
      <c r="D744" s="391"/>
      <c r="E744" s="391"/>
      <c r="F744" s="391"/>
      <c r="G744" s="391"/>
      <c r="H744" s="391"/>
      <c r="I744" s="391"/>
      <c r="J744" s="391"/>
      <c r="K744" s="391"/>
      <c r="L744" s="391"/>
      <c r="M744" s="391"/>
      <c r="N744" s="391"/>
      <c r="O744" s="391"/>
      <c r="P744" s="391"/>
      <c r="Q744" s="391"/>
      <c r="R744" s="391"/>
      <c r="S744" s="391"/>
      <c r="T744" s="391"/>
      <c r="U744" s="391"/>
      <c r="V744" s="391"/>
      <c r="W744" s="391"/>
      <c r="X744" s="391"/>
    </row>
    <row r="745">
      <c r="A745" s="391"/>
      <c r="B745" s="391"/>
      <c r="C745" s="391"/>
      <c r="D745" s="391"/>
      <c r="E745" s="391"/>
      <c r="F745" s="391"/>
      <c r="G745" s="391"/>
      <c r="H745" s="391"/>
      <c r="I745" s="391"/>
      <c r="J745" s="391"/>
      <c r="K745" s="391"/>
      <c r="L745" s="391"/>
      <c r="M745" s="391"/>
      <c r="N745" s="391"/>
      <c r="O745" s="391"/>
      <c r="P745" s="391"/>
      <c r="Q745" s="391"/>
      <c r="R745" s="391"/>
      <c r="S745" s="391"/>
      <c r="T745" s="391"/>
      <c r="U745" s="391"/>
      <c r="V745" s="391"/>
      <c r="W745" s="391"/>
      <c r="X745" s="391"/>
    </row>
    <row r="746">
      <c r="A746" s="391"/>
      <c r="B746" s="391"/>
      <c r="C746" s="391"/>
      <c r="D746" s="391"/>
      <c r="E746" s="391"/>
      <c r="F746" s="391"/>
      <c r="G746" s="391"/>
      <c r="H746" s="391"/>
      <c r="I746" s="391"/>
      <c r="J746" s="391"/>
      <c r="K746" s="391"/>
      <c r="L746" s="391"/>
      <c r="M746" s="391"/>
      <c r="N746" s="391"/>
      <c r="O746" s="391"/>
      <c r="P746" s="391"/>
      <c r="Q746" s="391"/>
      <c r="R746" s="391"/>
      <c r="S746" s="391"/>
      <c r="T746" s="391"/>
      <c r="U746" s="391"/>
      <c r="V746" s="391"/>
      <c r="W746" s="391"/>
      <c r="X746" s="391"/>
    </row>
    <row r="747">
      <c r="A747" s="391"/>
      <c r="B747" s="391"/>
      <c r="C747" s="391"/>
      <c r="D747" s="391"/>
      <c r="E747" s="391"/>
      <c r="F747" s="391"/>
      <c r="G747" s="391"/>
      <c r="H747" s="391"/>
      <c r="I747" s="391"/>
      <c r="J747" s="391"/>
      <c r="K747" s="391"/>
      <c r="L747" s="391"/>
      <c r="M747" s="391"/>
      <c r="N747" s="391"/>
      <c r="O747" s="391"/>
      <c r="P747" s="391"/>
      <c r="Q747" s="391"/>
      <c r="R747" s="391"/>
      <c r="S747" s="391"/>
      <c r="T747" s="391"/>
      <c r="U747" s="391"/>
      <c r="V747" s="391"/>
      <c r="W747" s="391"/>
      <c r="X747" s="391"/>
    </row>
    <row r="748">
      <c r="A748" s="391"/>
      <c r="B748" s="391"/>
      <c r="C748" s="391"/>
      <c r="D748" s="391"/>
      <c r="E748" s="391"/>
      <c r="F748" s="391"/>
      <c r="G748" s="391"/>
      <c r="H748" s="391"/>
      <c r="I748" s="391"/>
      <c r="J748" s="391"/>
      <c r="K748" s="391"/>
      <c r="L748" s="391"/>
      <c r="M748" s="391"/>
      <c r="N748" s="391"/>
      <c r="O748" s="391"/>
      <c r="P748" s="391"/>
      <c r="Q748" s="391"/>
      <c r="R748" s="391"/>
      <c r="S748" s="391"/>
      <c r="T748" s="391"/>
      <c r="U748" s="391"/>
      <c r="V748" s="391"/>
      <c r="W748" s="391"/>
      <c r="X748" s="391"/>
    </row>
    <row r="749">
      <c r="A749" s="391"/>
      <c r="B749" s="391"/>
      <c r="C749" s="391"/>
      <c r="D749" s="391"/>
      <c r="E749" s="391"/>
      <c r="F749" s="391"/>
      <c r="G749" s="391"/>
      <c r="H749" s="391"/>
      <c r="I749" s="391"/>
      <c r="J749" s="391"/>
      <c r="K749" s="391"/>
      <c r="L749" s="391"/>
      <c r="M749" s="391"/>
      <c r="N749" s="391"/>
      <c r="O749" s="391"/>
      <c r="P749" s="391"/>
      <c r="Q749" s="391"/>
      <c r="R749" s="391"/>
      <c r="S749" s="391"/>
      <c r="T749" s="391"/>
      <c r="U749" s="391"/>
      <c r="V749" s="391"/>
      <c r="W749" s="391"/>
      <c r="X749" s="391"/>
    </row>
    <row r="750">
      <c r="A750" s="391"/>
      <c r="B750" s="391"/>
      <c r="C750" s="391"/>
      <c r="D750" s="391"/>
      <c r="E750" s="391"/>
      <c r="F750" s="391"/>
      <c r="G750" s="391"/>
      <c r="H750" s="391"/>
      <c r="I750" s="391"/>
      <c r="J750" s="391"/>
      <c r="K750" s="391"/>
      <c r="L750" s="391"/>
      <c r="M750" s="391"/>
      <c r="N750" s="391"/>
      <c r="O750" s="391"/>
      <c r="P750" s="391"/>
      <c r="Q750" s="391"/>
      <c r="R750" s="391"/>
      <c r="S750" s="391"/>
      <c r="T750" s="391"/>
      <c r="U750" s="391"/>
      <c r="V750" s="391"/>
      <c r="W750" s="391"/>
      <c r="X750" s="391"/>
    </row>
    <row r="751">
      <c r="A751" s="391"/>
      <c r="B751" s="391"/>
      <c r="C751" s="391"/>
      <c r="D751" s="391"/>
      <c r="E751" s="391"/>
      <c r="F751" s="391"/>
      <c r="G751" s="391"/>
      <c r="H751" s="391"/>
      <c r="I751" s="391"/>
      <c r="J751" s="391"/>
      <c r="K751" s="391"/>
      <c r="L751" s="391"/>
      <c r="M751" s="391"/>
      <c r="N751" s="391"/>
      <c r="O751" s="391"/>
      <c r="P751" s="391"/>
      <c r="Q751" s="391"/>
      <c r="R751" s="391"/>
      <c r="S751" s="391"/>
      <c r="T751" s="391"/>
      <c r="U751" s="391"/>
      <c r="V751" s="391"/>
      <c r="W751" s="391"/>
      <c r="X751" s="391"/>
    </row>
    <row r="752">
      <c r="A752" s="391"/>
      <c r="B752" s="391"/>
      <c r="C752" s="391"/>
      <c r="D752" s="391"/>
      <c r="E752" s="391"/>
      <c r="F752" s="391"/>
      <c r="G752" s="391"/>
      <c r="H752" s="391"/>
      <c r="I752" s="391"/>
      <c r="J752" s="391"/>
      <c r="K752" s="391"/>
      <c r="L752" s="391"/>
      <c r="M752" s="391"/>
      <c r="N752" s="391"/>
      <c r="O752" s="391"/>
      <c r="P752" s="391"/>
      <c r="Q752" s="391"/>
      <c r="R752" s="391"/>
      <c r="S752" s="391"/>
      <c r="T752" s="391"/>
      <c r="U752" s="391"/>
      <c r="V752" s="391"/>
      <c r="W752" s="391"/>
      <c r="X752" s="391"/>
    </row>
    <row r="753">
      <c r="A753" s="391"/>
      <c r="B753" s="391"/>
      <c r="C753" s="391"/>
      <c r="D753" s="391"/>
      <c r="E753" s="391"/>
      <c r="F753" s="391"/>
      <c r="G753" s="391"/>
      <c r="H753" s="391"/>
      <c r="I753" s="391"/>
      <c r="J753" s="391"/>
      <c r="K753" s="391"/>
      <c r="L753" s="391"/>
      <c r="M753" s="391"/>
      <c r="N753" s="391"/>
      <c r="O753" s="391"/>
      <c r="P753" s="391"/>
      <c r="Q753" s="391"/>
      <c r="R753" s="391"/>
      <c r="S753" s="391"/>
      <c r="T753" s="391"/>
      <c r="U753" s="391"/>
      <c r="V753" s="391"/>
      <c r="W753" s="391"/>
      <c r="X753" s="391"/>
    </row>
    <row r="754">
      <c r="A754" s="391"/>
      <c r="B754" s="391"/>
      <c r="C754" s="391"/>
      <c r="D754" s="391"/>
      <c r="E754" s="391"/>
      <c r="F754" s="391"/>
      <c r="G754" s="391"/>
      <c r="H754" s="391"/>
      <c r="I754" s="391"/>
      <c r="J754" s="391"/>
      <c r="K754" s="391"/>
      <c r="L754" s="391"/>
      <c r="M754" s="391"/>
      <c r="N754" s="391"/>
      <c r="O754" s="391"/>
      <c r="P754" s="391"/>
      <c r="Q754" s="391"/>
      <c r="R754" s="391"/>
      <c r="S754" s="391"/>
      <c r="T754" s="391"/>
      <c r="U754" s="391"/>
      <c r="V754" s="391"/>
      <c r="W754" s="391"/>
      <c r="X754" s="391"/>
    </row>
    <row r="755">
      <c r="A755" s="391"/>
      <c r="B755" s="391"/>
      <c r="C755" s="391"/>
      <c r="D755" s="391"/>
      <c r="E755" s="391"/>
      <c r="F755" s="391"/>
      <c r="G755" s="391"/>
      <c r="H755" s="391"/>
      <c r="I755" s="391"/>
      <c r="J755" s="391"/>
      <c r="K755" s="391"/>
      <c r="L755" s="391"/>
      <c r="M755" s="391"/>
      <c r="N755" s="391"/>
      <c r="O755" s="391"/>
      <c r="P755" s="391"/>
      <c r="Q755" s="391"/>
      <c r="R755" s="391"/>
      <c r="S755" s="391"/>
      <c r="T755" s="391"/>
      <c r="U755" s="391"/>
      <c r="V755" s="391"/>
      <c r="W755" s="391"/>
      <c r="X755" s="391"/>
    </row>
    <row r="756">
      <c r="A756" s="391"/>
      <c r="B756" s="391"/>
      <c r="C756" s="391"/>
      <c r="D756" s="391"/>
      <c r="E756" s="391"/>
      <c r="F756" s="391"/>
      <c r="G756" s="391"/>
      <c r="H756" s="391"/>
      <c r="I756" s="391"/>
      <c r="J756" s="391"/>
      <c r="K756" s="391"/>
      <c r="L756" s="391"/>
      <c r="M756" s="391"/>
      <c r="N756" s="391"/>
      <c r="O756" s="391"/>
      <c r="P756" s="391"/>
      <c r="Q756" s="391"/>
      <c r="R756" s="391"/>
      <c r="S756" s="391"/>
      <c r="T756" s="391"/>
      <c r="U756" s="391"/>
      <c r="V756" s="391"/>
      <c r="W756" s="391"/>
      <c r="X756" s="391"/>
    </row>
    <row r="757">
      <c r="A757" s="391"/>
      <c r="B757" s="391"/>
      <c r="C757" s="391"/>
      <c r="D757" s="391"/>
      <c r="E757" s="391"/>
      <c r="F757" s="391"/>
      <c r="G757" s="391"/>
      <c r="H757" s="391"/>
      <c r="I757" s="391"/>
      <c r="J757" s="391"/>
      <c r="K757" s="391"/>
      <c r="L757" s="391"/>
      <c r="M757" s="391"/>
      <c r="N757" s="391"/>
      <c r="O757" s="391"/>
      <c r="P757" s="391"/>
      <c r="Q757" s="391"/>
      <c r="R757" s="391"/>
      <c r="S757" s="391"/>
      <c r="T757" s="391"/>
      <c r="U757" s="391"/>
      <c r="V757" s="391"/>
      <c r="W757" s="391"/>
      <c r="X757" s="391"/>
    </row>
    <row r="758">
      <c r="A758" s="391"/>
      <c r="B758" s="391"/>
      <c r="C758" s="391"/>
      <c r="D758" s="391"/>
      <c r="E758" s="391"/>
      <c r="F758" s="391"/>
      <c r="G758" s="391"/>
      <c r="H758" s="391"/>
      <c r="I758" s="391"/>
      <c r="J758" s="391"/>
      <c r="K758" s="391"/>
      <c r="L758" s="391"/>
      <c r="M758" s="391"/>
      <c r="N758" s="391"/>
      <c r="O758" s="391"/>
      <c r="P758" s="391"/>
      <c r="Q758" s="391"/>
      <c r="R758" s="391"/>
      <c r="S758" s="391"/>
      <c r="T758" s="391"/>
      <c r="U758" s="391"/>
      <c r="V758" s="391"/>
      <c r="W758" s="391"/>
      <c r="X758" s="391"/>
    </row>
    <row r="759">
      <c r="A759" s="391"/>
      <c r="B759" s="391"/>
      <c r="C759" s="391"/>
      <c r="D759" s="391"/>
      <c r="E759" s="391"/>
      <c r="F759" s="391"/>
      <c r="G759" s="391"/>
      <c r="H759" s="391"/>
      <c r="I759" s="391"/>
      <c r="J759" s="391"/>
      <c r="K759" s="391"/>
      <c r="L759" s="391"/>
      <c r="M759" s="391"/>
      <c r="N759" s="391"/>
      <c r="O759" s="391"/>
      <c r="P759" s="391"/>
      <c r="Q759" s="391"/>
      <c r="R759" s="391"/>
      <c r="S759" s="391"/>
      <c r="T759" s="391"/>
      <c r="U759" s="391"/>
      <c r="V759" s="391"/>
      <c r="W759" s="391"/>
      <c r="X759" s="391"/>
    </row>
    <row r="760">
      <c r="A760" s="391"/>
      <c r="B760" s="391"/>
      <c r="C760" s="391"/>
      <c r="D760" s="391"/>
      <c r="E760" s="391"/>
      <c r="F760" s="391"/>
      <c r="G760" s="391"/>
      <c r="H760" s="391"/>
      <c r="I760" s="391"/>
      <c r="J760" s="391"/>
      <c r="K760" s="391"/>
      <c r="L760" s="391"/>
      <c r="M760" s="391"/>
      <c r="N760" s="391"/>
      <c r="O760" s="391"/>
      <c r="P760" s="391"/>
      <c r="Q760" s="391"/>
      <c r="R760" s="391"/>
      <c r="S760" s="391"/>
      <c r="T760" s="391"/>
      <c r="U760" s="391"/>
      <c r="V760" s="391"/>
      <c r="W760" s="391"/>
      <c r="X760" s="391"/>
    </row>
    <row r="761">
      <c r="A761" s="391"/>
      <c r="B761" s="391"/>
      <c r="C761" s="391"/>
      <c r="D761" s="391"/>
      <c r="E761" s="391"/>
      <c r="F761" s="391"/>
      <c r="G761" s="391"/>
      <c r="H761" s="391"/>
      <c r="I761" s="391"/>
      <c r="J761" s="391"/>
      <c r="K761" s="391"/>
      <c r="L761" s="391"/>
      <c r="M761" s="391"/>
      <c r="N761" s="391"/>
      <c r="O761" s="391"/>
      <c r="P761" s="391"/>
      <c r="Q761" s="391"/>
      <c r="R761" s="391"/>
      <c r="S761" s="391"/>
      <c r="T761" s="391"/>
      <c r="U761" s="391"/>
      <c r="V761" s="391"/>
      <c r="W761" s="391"/>
      <c r="X761" s="391"/>
    </row>
    <row r="762">
      <c r="A762" s="391"/>
      <c r="B762" s="391"/>
      <c r="C762" s="391"/>
      <c r="D762" s="391"/>
      <c r="E762" s="391"/>
      <c r="F762" s="391"/>
      <c r="G762" s="391"/>
      <c r="H762" s="391"/>
      <c r="I762" s="391"/>
      <c r="J762" s="391"/>
      <c r="K762" s="391"/>
      <c r="L762" s="391"/>
      <c r="M762" s="391"/>
      <c r="N762" s="391"/>
      <c r="O762" s="391"/>
      <c r="P762" s="391"/>
      <c r="Q762" s="391"/>
      <c r="R762" s="391"/>
      <c r="S762" s="391"/>
      <c r="T762" s="391"/>
      <c r="U762" s="391"/>
      <c r="V762" s="391"/>
      <c r="W762" s="391"/>
      <c r="X762" s="391"/>
    </row>
    <row r="763">
      <c r="A763" s="391"/>
      <c r="B763" s="391"/>
      <c r="C763" s="391"/>
      <c r="D763" s="391"/>
      <c r="E763" s="391"/>
      <c r="F763" s="391"/>
      <c r="G763" s="391"/>
      <c r="H763" s="391"/>
      <c r="I763" s="391"/>
      <c r="J763" s="391"/>
      <c r="K763" s="391"/>
      <c r="L763" s="391"/>
      <c r="M763" s="391"/>
      <c r="N763" s="391"/>
      <c r="O763" s="391"/>
      <c r="P763" s="391"/>
      <c r="Q763" s="391"/>
      <c r="R763" s="391"/>
      <c r="S763" s="391"/>
      <c r="T763" s="391"/>
      <c r="U763" s="391"/>
      <c r="V763" s="391"/>
      <c r="W763" s="391"/>
      <c r="X763" s="391"/>
    </row>
    <row r="764">
      <c r="A764" s="391"/>
      <c r="B764" s="391"/>
      <c r="C764" s="391"/>
      <c r="D764" s="391"/>
      <c r="E764" s="391"/>
      <c r="F764" s="391"/>
      <c r="G764" s="391"/>
      <c r="H764" s="391"/>
      <c r="I764" s="391"/>
      <c r="J764" s="391"/>
      <c r="K764" s="391"/>
      <c r="L764" s="391"/>
      <c r="M764" s="391"/>
      <c r="N764" s="391"/>
      <c r="O764" s="391"/>
      <c r="P764" s="391"/>
      <c r="Q764" s="391"/>
      <c r="R764" s="391"/>
      <c r="S764" s="391"/>
      <c r="T764" s="391"/>
      <c r="U764" s="391"/>
      <c r="V764" s="391"/>
      <c r="W764" s="391"/>
      <c r="X764" s="391"/>
    </row>
    <row r="765">
      <c r="A765" s="391"/>
      <c r="B765" s="391"/>
      <c r="C765" s="391"/>
      <c r="D765" s="391"/>
      <c r="E765" s="391"/>
      <c r="F765" s="391"/>
      <c r="G765" s="391"/>
      <c r="H765" s="391"/>
      <c r="I765" s="391"/>
      <c r="J765" s="391"/>
      <c r="K765" s="391"/>
      <c r="L765" s="391"/>
      <c r="M765" s="391"/>
      <c r="N765" s="391"/>
      <c r="O765" s="391"/>
      <c r="P765" s="391"/>
      <c r="Q765" s="391"/>
      <c r="R765" s="391"/>
      <c r="S765" s="391"/>
      <c r="T765" s="391"/>
      <c r="U765" s="391"/>
      <c r="V765" s="391"/>
      <c r="W765" s="391"/>
      <c r="X765" s="391"/>
    </row>
    <row r="766">
      <c r="A766" s="391"/>
      <c r="B766" s="391"/>
      <c r="C766" s="391"/>
      <c r="D766" s="391"/>
      <c r="E766" s="391"/>
      <c r="F766" s="391"/>
      <c r="G766" s="391"/>
      <c r="H766" s="391"/>
      <c r="I766" s="391"/>
      <c r="J766" s="391"/>
      <c r="K766" s="391"/>
      <c r="L766" s="391"/>
      <c r="M766" s="391"/>
      <c r="N766" s="391"/>
      <c r="O766" s="391"/>
      <c r="P766" s="391"/>
      <c r="Q766" s="391"/>
      <c r="R766" s="391"/>
      <c r="S766" s="391"/>
      <c r="T766" s="391"/>
      <c r="U766" s="391"/>
      <c r="V766" s="391"/>
      <c r="W766" s="391"/>
      <c r="X766" s="391"/>
    </row>
    <row r="767">
      <c r="A767" s="391"/>
      <c r="B767" s="391"/>
      <c r="C767" s="391"/>
      <c r="D767" s="391"/>
      <c r="E767" s="391"/>
      <c r="F767" s="391"/>
      <c r="G767" s="391"/>
      <c r="H767" s="391"/>
      <c r="I767" s="391"/>
      <c r="J767" s="391"/>
      <c r="K767" s="391"/>
      <c r="L767" s="391"/>
      <c r="M767" s="391"/>
      <c r="N767" s="391"/>
      <c r="O767" s="391"/>
      <c r="P767" s="391"/>
      <c r="Q767" s="391"/>
      <c r="R767" s="391"/>
      <c r="S767" s="391"/>
      <c r="T767" s="391"/>
      <c r="U767" s="391"/>
      <c r="V767" s="391"/>
      <c r="W767" s="391"/>
      <c r="X767" s="391"/>
    </row>
    <row r="768">
      <c r="A768" s="391"/>
      <c r="B768" s="391"/>
      <c r="C768" s="391"/>
      <c r="D768" s="391"/>
      <c r="E768" s="391"/>
      <c r="F768" s="391"/>
      <c r="G768" s="391"/>
      <c r="H768" s="391"/>
      <c r="I768" s="391"/>
      <c r="J768" s="391"/>
      <c r="K768" s="391"/>
      <c r="L768" s="391"/>
      <c r="M768" s="391"/>
      <c r="N768" s="391"/>
      <c r="O768" s="391"/>
      <c r="P768" s="391"/>
      <c r="Q768" s="391"/>
      <c r="R768" s="391"/>
      <c r="S768" s="391"/>
      <c r="T768" s="391"/>
      <c r="U768" s="391"/>
      <c r="V768" s="391"/>
      <c r="W768" s="391"/>
      <c r="X768" s="391"/>
    </row>
    <row r="769">
      <c r="A769" s="391"/>
      <c r="B769" s="391"/>
      <c r="C769" s="391"/>
      <c r="D769" s="391"/>
      <c r="E769" s="391"/>
      <c r="F769" s="391"/>
      <c r="G769" s="391"/>
      <c r="H769" s="391"/>
      <c r="I769" s="391"/>
      <c r="J769" s="391"/>
      <c r="K769" s="391"/>
      <c r="L769" s="391"/>
      <c r="M769" s="391"/>
      <c r="N769" s="391"/>
      <c r="O769" s="391"/>
      <c r="P769" s="391"/>
      <c r="Q769" s="391"/>
      <c r="R769" s="391"/>
      <c r="S769" s="391"/>
      <c r="T769" s="391"/>
      <c r="U769" s="391"/>
      <c r="V769" s="391"/>
      <c r="W769" s="391"/>
      <c r="X769" s="391"/>
    </row>
    <row r="770">
      <c r="A770" s="391"/>
      <c r="B770" s="391"/>
      <c r="C770" s="391"/>
      <c r="D770" s="391"/>
      <c r="E770" s="391"/>
      <c r="F770" s="391"/>
      <c r="G770" s="391"/>
      <c r="H770" s="391"/>
      <c r="I770" s="391"/>
      <c r="J770" s="391"/>
      <c r="K770" s="391"/>
      <c r="L770" s="391"/>
      <c r="M770" s="391"/>
      <c r="N770" s="391"/>
      <c r="O770" s="391"/>
      <c r="P770" s="391"/>
      <c r="Q770" s="391"/>
      <c r="R770" s="391"/>
      <c r="S770" s="391"/>
      <c r="T770" s="391"/>
      <c r="U770" s="391"/>
      <c r="V770" s="391"/>
      <c r="W770" s="391"/>
      <c r="X770" s="391"/>
    </row>
    <row r="771">
      <c r="A771" s="391"/>
      <c r="B771" s="391"/>
      <c r="C771" s="391"/>
      <c r="D771" s="391"/>
      <c r="E771" s="391"/>
      <c r="F771" s="391"/>
      <c r="G771" s="391"/>
      <c r="H771" s="391"/>
      <c r="I771" s="391"/>
      <c r="J771" s="391"/>
      <c r="K771" s="391"/>
      <c r="L771" s="391"/>
      <c r="M771" s="391"/>
      <c r="N771" s="391"/>
      <c r="O771" s="391"/>
      <c r="P771" s="391"/>
      <c r="Q771" s="391"/>
      <c r="R771" s="391"/>
      <c r="S771" s="391"/>
      <c r="T771" s="391"/>
      <c r="U771" s="391"/>
      <c r="V771" s="391"/>
      <c r="W771" s="391"/>
      <c r="X771" s="391"/>
    </row>
    <row r="772">
      <c r="A772" s="391"/>
      <c r="B772" s="391"/>
      <c r="C772" s="391"/>
      <c r="D772" s="391"/>
      <c r="E772" s="391"/>
      <c r="F772" s="391"/>
      <c r="G772" s="391"/>
      <c r="H772" s="391"/>
      <c r="I772" s="391"/>
      <c r="J772" s="391"/>
      <c r="K772" s="391"/>
      <c r="L772" s="391"/>
      <c r="M772" s="391"/>
      <c r="N772" s="391"/>
      <c r="O772" s="391"/>
      <c r="P772" s="391"/>
      <c r="Q772" s="391"/>
      <c r="R772" s="391"/>
      <c r="S772" s="391"/>
      <c r="T772" s="391"/>
      <c r="U772" s="391"/>
      <c r="V772" s="391"/>
      <c r="W772" s="391"/>
      <c r="X772" s="391"/>
    </row>
    <row r="773">
      <c r="A773" s="391"/>
      <c r="B773" s="391"/>
      <c r="C773" s="391"/>
      <c r="D773" s="391"/>
      <c r="E773" s="391"/>
      <c r="F773" s="391"/>
      <c r="G773" s="391"/>
      <c r="H773" s="391"/>
      <c r="I773" s="391"/>
      <c r="J773" s="391"/>
      <c r="K773" s="391"/>
      <c r="L773" s="391"/>
      <c r="M773" s="391"/>
      <c r="N773" s="391"/>
      <c r="O773" s="391"/>
      <c r="P773" s="391"/>
      <c r="Q773" s="391"/>
      <c r="R773" s="391"/>
      <c r="S773" s="391"/>
      <c r="T773" s="391"/>
      <c r="U773" s="391"/>
      <c r="V773" s="391"/>
      <c r="W773" s="391"/>
      <c r="X773" s="391"/>
    </row>
    <row r="774">
      <c r="A774" s="391"/>
      <c r="B774" s="391"/>
      <c r="C774" s="391"/>
      <c r="D774" s="391"/>
      <c r="E774" s="391"/>
      <c r="F774" s="391"/>
      <c r="G774" s="391"/>
      <c r="H774" s="391"/>
      <c r="I774" s="391"/>
      <c r="J774" s="391"/>
      <c r="K774" s="391"/>
      <c r="L774" s="391"/>
      <c r="M774" s="391"/>
      <c r="N774" s="391"/>
      <c r="O774" s="391"/>
      <c r="P774" s="391"/>
      <c r="Q774" s="391"/>
      <c r="R774" s="391"/>
      <c r="S774" s="391"/>
      <c r="T774" s="391"/>
      <c r="U774" s="391"/>
      <c r="V774" s="391"/>
      <c r="W774" s="391"/>
      <c r="X774" s="391"/>
    </row>
    <row r="775">
      <c r="A775" s="391"/>
      <c r="B775" s="391"/>
      <c r="C775" s="391"/>
      <c r="D775" s="391"/>
      <c r="E775" s="391"/>
      <c r="F775" s="391"/>
      <c r="G775" s="391"/>
      <c r="H775" s="391"/>
      <c r="I775" s="391"/>
      <c r="J775" s="391"/>
      <c r="K775" s="391"/>
      <c r="L775" s="391"/>
      <c r="M775" s="391"/>
      <c r="N775" s="391"/>
      <c r="O775" s="391"/>
      <c r="P775" s="391"/>
      <c r="Q775" s="391"/>
      <c r="R775" s="391"/>
      <c r="S775" s="391"/>
      <c r="T775" s="391"/>
      <c r="U775" s="391"/>
      <c r="V775" s="391"/>
      <c r="W775" s="391"/>
      <c r="X775" s="391"/>
    </row>
    <row r="776">
      <c r="A776" s="391"/>
      <c r="B776" s="391"/>
      <c r="C776" s="391"/>
      <c r="D776" s="391"/>
      <c r="E776" s="391"/>
      <c r="F776" s="391"/>
      <c r="G776" s="391"/>
      <c r="H776" s="391"/>
      <c r="I776" s="391"/>
      <c r="J776" s="391"/>
      <c r="K776" s="391"/>
      <c r="L776" s="391"/>
      <c r="M776" s="391"/>
      <c r="N776" s="391"/>
      <c r="O776" s="391"/>
      <c r="P776" s="391"/>
      <c r="Q776" s="391"/>
      <c r="R776" s="391"/>
      <c r="S776" s="391"/>
      <c r="T776" s="391"/>
      <c r="U776" s="391"/>
      <c r="V776" s="391"/>
      <c r="W776" s="391"/>
      <c r="X776" s="391"/>
    </row>
    <row r="777">
      <c r="A777" s="391"/>
      <c r="B777" s="391"/>
      <c r="C777" s="391"/>
      <c r="D777" s="391"/>
      <c r="E777" s="391"/>
      <c r="F777" s="391"/>
      <c r="G777" s="391"/>
      <c r="H777" s="391"/>
      <c r="I777" s="391"/>
      <c r="J777" s="391"/>
      <c r="K777" s="391"/>
      <c r="L777" s="391"/>
      <c r="M777" s="391"/>
      <c r="N777" s="391"/>
      <c r="O777" s="391"/>
      <c r="P777" s="391"/>
      <c r="Q777" s="391"/>
      <c r="R777" s="391"/>
      <c r="S777" s="391"/>
      <c r="T777" s="391"/>
      <c r="U777" s="391"/>
      <c r="V777" s="391"/>
      <c r="W777" s="391"/>
      <c r="X777" s="391"/>
    </row>
    <row r="778">
      <c r="A778" s="391"/>
      <c r="B778" s="391"/>
      <c r="C778" s="391"/>
      <c r="D778" s="391"/>
      <c r="E778" s="391"/>
      <c r="F778" s="391"/>
      <c r="G778" s="391"/>
      <c r="H778" s="391"/>
      <c r="I778" s="391"/>
      <c r="J778" s="391"/>
      <c r="K778" s="391"/>
      <c r="L778" s="391"/>
      <c r="M778" s="391"/>
      <c r="N778" s="391"/>
      <c r="O778" s="391"/>
      <c r="P778" s="391"/>
      <c r="Q778" s="391"/>
      <c r="R778" s="391"/>
      <c r="S778" s="391"/>
      <c r="T778" s="391"/>
      <c r="U778" s="391"/>
      <c r="V778" s="391"/>
      <c r="W778" s="391"/>
      <c r="X778" s="391"/>
    </row>
    <row r="779">
      <c r="A779" s="391"/>
      <c r="B779" s="391"/>
      <c r="C779" s="391"/>
      <c r="D779" s="391"/>
      <c r="E779" s="391"/>
      <c r="F779" s="391"/>
      <c r="G779" s="391"/>
      <c r="H779" s="391"/>
      <c r="I779" s="391"/>
      <c r="J779" s="391"/>
      <c r="K779" s="391"/>
      <c r="L779" s="391"/>
      <c r="M779" s="391"/>
      <c r="N779" s="391"/>
      <c r="O779" s="391"/>
      <c r="P779" s="391"/>
      <c r="Q779" s="391"/>
      <c r="R779" s="391"/>
      <c r="S779" s="391"/>
      <c r="T779" s="391"/>
      <c r="U779" s="391"/>
      <c r="V779" s="391"/>
      <c r="W779" s="391"/>
      <c r="X779" s="391"/>
    </row>
    <row r="780">
      <c r="A780" s="391"/>
      <c r="B780" s="391"/>
      <c r="C780" s="391"/>
      <c r="D780" s="391"/>
      <c r="E780" s="391"/>
      <c r="F780" s="391"/>
      <c r="G780" s="391"/>
      <c r="H780" s="391"/>
      <c r="I780" s="391"/>
      <c r="J780" s="391"/>
      <c r="K780" s="391"/>
      <c r="L780" s="391"/>
      <c r="M780" s="391"/>
      <c r="N780" s="391"/>
      <c r="O780" s="391"/>
      <c r="P780" s="391"/>
      <c r="Q780" s="391"/>
      <c r="R780" s="391"/>
      <c r="S780" s="391"/>
      <c r="T780" s="391"/>
      <c r="U780" s="391"/>
      <c r="V780" s="391"/>
      <c r="W780" s="391"/>
      <c r="X780" s="391"/>
    </row>
    <row r="781">
      <c r="A781" s="391"/>
      <c r="B781" s="391"/>
      <c r="C781" s="391"/>
      <c r="D781" s="391"/>
      <c r="E781" s="391"/>
      <c r="F781" s="391"/>
      <c r="G781" s="391"/>
      <c r="H781" s="391"/>
      <c r="I781" s="391"/>
      <c r="J781" s="391"/>
      <c r="K781" s="391"/>
      <c r="L781" s="391"/>
      <c r="M781" s="391"/>
      <c r="N781" s="391"/>
      <c r="O781" s="391"/>
      <c r="P781" s="391"/>
      <c r="Q781" s="391"/>
      <c r="R781" s="391"/>
      <c r="S781" s="391"/>
      <c r="T781" s="391"/>
      <c r="U781" s="391"/>
      <c r="V781" s="391"/>
      <c r="W781" s="391"/>
      <c r="X781" s="391"/>
    </row>
    <row r="782">
      <c r="A782" s="391"/>
      <c r="B782" s="391"/>
      <c r="C782" s="391"/>
      <c r="D782" s="391"/>
      <c r="E782" s="391"/>
      <c r="F782" s="391"/>
      <c r="G782" s="391"/>
      <c r="H782" s="391"/>
      <c r="I782" s="391"/>
      <c r="J782" s="391"/>
      <c r="K782" s="391"/>
      <c r="L782" s="391"/>
      <c r="M782" s="391"/>
      <c r="N782" s="391"/>
      <c r="O782" s="391"/>
      <c r="P782" s="391"/>
      <c r="Q782" s="391"/>
      <c r="R782" s="391"/>
      <c r="S782" s="391"/>
      <c r="T782" s="391"/>
      <c r="U782" s="391"/>
      <c r="V782" s="391"/>
      <c r="W782" s="391"/>
      <c r="X782" s="391"/>
    </row>
    <row r="783">
      <c r="A783" s="391"/>
      <c r="B783" s="391"/>
      <c r="C783" s="391"/>
      <c r="D783" s="391"/>
      <c r="E783" s="391"/>
      <c r="F783" s="391"/>
      <c r="G783" s="391"/>
      <c r="H783" s="391"/>
      <c r="I783" s="391"/>
      <c r="J783" s="391"/>
      <c r="K783" s="391"/>
      <c r="L783" s="391"/>
      <c r="M783" s="391"/>
      <c r="N783" s="391"/>
      <c r="O783" s="391"/>
      <c r="P783" s="391"/>
      <c r="Q783" s="391"/>
      <c r="R783" s="391"/>
      <c r="S783" s="391"/>
      <c r="T783" s="391"/>
      <c r="U783" s="391"/>
      <c r="V783" s="391"/>
      <c r="W783" s="391"/>
      <c r="X783" s="391"/>
    </row>
    <row r="784">
      <c r="A784" s="391"/>
      <c r="B784" s="391"/>
      <c r="C784" s="391"/>
      <c r="D784" s="391"/>
      <c r="E784" s="391"/>
      <c r="F784" s="391"/>
      <c r="G784" s="391"/>
      <c r="H784" s="391"/>
      <c r="I784" s="391"/>
      <c r="J784" s="391"/>
      <c r="K784" s="391"/>
      <c r="L784" s="391"/>
      <c r="M784" s="391"/>
      <c r="N784" s="391"/>
      <c r="O784" s="391"/>
      <c r="P784" s="391"/>
      <c r="Q784" s="391"/>
      <c r="R784" s="391"/>
      <c r="S784" s="391"/>
      <c r="T784" s="391"/>
      <c r="U784" s="391"/>
      <c r="V784" s="391"/>
      <c r="W784" s="391"/>
      <c r="X784" s="391"/>
    </row>
    <row r="785">
      <c r="A785" s="391"/>
      <c r="B785" s="391"/>
      <c r="C785" s="391"/>
      <c r="D785" s="391"/>
      <c r="E785" s="391"/>
      <c r="F785" s="391"/>
      <c r="G785" s="391"/>
      <c r="H785" s="391"/>
      <c r="I785" s="391"/>
      <c r="J785" s="391"/>
      <c r="K785" s="391"/>
      <c r="L785" s="391"/>
      <c r="M785" s="391"/>
      <c r="N785" s="391"/>
      <c r="O785" s="391"/>
      <c r="P785" s="391"/>
      <c r="Q785" s="391"/>
      <c r="R785" s="391"/>
      <c r="S785" s="391"/>
      <c r="T785" s="391"/>
      <c r="U785" s="391"/>
      <c r="V785" s="391"/>
      <c r="W785" s="391"/>
      <c r="X785" s="391"/>
    </row>
    <row r="786">
      <c r="A786" s="391"/>
      <c r="B786" s="391"/>
      <c r="C786" s="391"/>
      <c r="D786" s="391"/>
      <c r="E786" s="391"/>
      <c r="F786" s="391"/>
      <c r="G786" s="391"/>
      <c r="H786" s="391"/>
      <c r="I786" s="391"/>
      <c r="J786" s="391"/>
      <c r="K786" s="391"/>
      <c r="L786" s="391"/>
      <c r="M786" s="391"/>
      <c r="N786" s="391"/>
      <c r="O786" s="391"/>
      <c r="P786" s="391"/>
      <c r="Q786" s="391"/>
      <c r="R786" s="391"/>
      <c r="S786" s="391"/>
      <c r="T786" s="391"/>
      <c r="U786" s="391"/>
      <c r="V786" s="391"/>
      <c r="W786" s="391"/>
      <c r="X786" s="391"/>
    </row>
    <row r="787">
      <c r="A787" s="391"/>
      <c r="B787" s="391"/>
      <c r="C787" s="391"/>
      <c r="D787" s="391"/>
      <c r="E787" s="391"/>
      <c r="F787" s="391"/>
      <c r="G787" s="391"/>
      <c r="H787" s="391"/>
      <c r="I787" s="391"/>
      <c r="J787" s="391"/>
      <c r="K787" s="391"/>
      <c r="L787" s="391"/>
      <c r="M787" s="391"/>
      <c r="N787" s="391"/>
      <c r="O787" s="391"/>
      <c r="P787" s="391"/>
      <c r="Q787" s="391"/>
      <c r="R787" s="391"/>
      <c r="S787" s="391"/>
      <c r="T787" s="391"/>
      <c r="U787" s="391"/>
      <c r="V787" s="391"/>
      <c r="W787" s="391"/>
      <c r="X787" s="391"/>
    </row>
    <row r="788">
      <c r="A788" s="391"/>
      <c r="B788" s="391"/>
      <c r="C788" s="391"/>
      <c r="D788" s="391"/>
      <c r="E788" s="391"/>
      <c r="F788" s="391"/>
      <c r="G788" s="391"/>
      <c r="H788" s="391"/>
      <c r="I788" s="391"/>
      <c r="J788" s="391"/>
      <c r="K788" s="391"/>
      <c r="L788" s="391"/>
      <c r="M788" s="391"/>
      <c r="N788" s="391"/>
      <c r="O788" s="391"/>
      <c r="P788" s="391"/>
      <c r="Q788" s="391"/>
      <c r="R788" s="391"/>
      <c r="S788" s="391"/>
      <c r="T788" s="391"/>
      <c r="U788" s="391"/>
      <c r="V788" s="391"/>
      <c r="W788" s="391"/>
      <c r="X788" s="391"/>
    </row>
    <row r="789">
      <c r="A789" s="391"/>
      <c r="B789" s="391"/>
      <c r="C789" s="391"/>
      <c r="D789" s="391"/>
      <c r="E789" s="391"/>
      <c r="F789" s="391"/>
      <c r="G789" s="391"/>
      <c r="H789" s="391"/>
      <c r="I789" s="391"/>
      <c r="J789" s="391"/>
      <c r="K789" s="391"/>
      <c r="L789" s="391"/>
      <c r="M789" s="391"/>
      <c r="N789" s="391"/>
      <c r="O789" s="391"/>
      <c r="P789" s="391"/>
      <c r="Q789" s="391"/>
      <c r="R789" s="391"/>
      <c r="S789" s="391"/>
      <c r="T789" s="391"/>
      <c r="U789" s="391"/>
      <c r="V789" s="391"/>
      <c r="W789" s="391"/>
      <c r="X789" s="391"/>
    </row>
    <row r="790">
      <c r="A790" s="391"/>
      <c r="B790" s="391"/>
      <c r="C790" s="391"/>
      <c r="D790" s="391"/>
      <c r="E790" s="391"/>
      <c r="F790" s="391"/>
      <c r="G790" s="391"/>
      <c r="H790" s="391"/>
      <c r="I790" s="391"/>
      <c r="J790" s="391"/>
      <c r="K790" s="391"/>
      <c r="L790" s="391"/>
      <c r="M790" s="391"/>
      <c r="N790" s="391"/>
      <c r="O790" s="391"/>
      <c r="P790" s="391"/>
      <c r="Q790" s="391"/>
      <c r="R790" s="391"/>
      <c r="S790" s="391"/>
      <c r="T790" s="391"/>
      <c r="U790" s="391"/>
      <c r="V790" s="391"/>
      <c r="W790" s="391"/>
      <c r="X790" s="391"/>
    </row>
    <row r="791">
      <c r="A791" s="391"/>
      <c r="B791" s="391"/>
      <c r="C791" s="391"/>
      <c r="D791" s="391"/>
      <c r="E791" s="391"/>
      <c r="F791" s="391"/>
      <c r="G791" s="391"/>
      <c r="H791" s="391"/>
      <c r="I791" s="391"/>
      <c r="J791" s="391"/>
      <c r="K791" s="391"/>
      <c r="L791" s="391"/>
      <c r="M791" s="391"/>
      <c r="N791" s="391"/>
      <c r="O791" s="391"/>
      <c r="P791" s="391"/>
      <c r="Q791" s="391"/>
      <c r="R791" s="391"/>
      <c r="S791" s="391"/>
      <c r="T791" s="391"/>
      <c r="U791" s="391"/>
      <c r="V791" s="391"/>
      <c r="W791" s="391"/>
      <c r="X791" s="391"/>
    </row>
    <row r="792">
      <c r="A792" s="391"/>
      <c r="B792" s="391"/>
      <c r="C792" s="391"/>
      <c r="D792" s="391"/>
      <c r="E792" s="391"/>
      <c r="F792" s="391"/>
      <c r="G792" s="391"/>
      <c r="H792" s="391"/>
      <c r="I792" s="391"/>
      <c r="J792" s="391"/>
      <c r="K792" s="391"/>
      <c r="L792" s="391"/>
      <c r="M792" s="391"/>
      <c r="N792" s="391"/>
      <c r="O792" s="391"/>
      <c r="P792" s="391"/>
      <c r="Q792" s="391"/>
      <c r="R792" s="391"/>
      <c r="S792" s="391"/>
      <c r="T792" s="391"/>
      <c r="U792" s="391"/>
      <c r="V792" s="391"/>
      <c r="W792" s="391"/>
      <c r="X792" s="391"/>
    </row>
    <row r="793">
      <c r="A793" s="391"/>
      <c r="B793" s="391"/>
      <c r="C793" s="391"/>
      <c r="D793" s="391"/>
      <c r="E793" s="391"/>
      <c r="F793" s="391"/>
      <c r="G793" s="391"/>
      <c r="H793" s="391"/>
      <c r="I793" s="391"/>
      <c r="J793" s="391"/>
      <c r="K793" s="391"/>
      <c r="L793" s="391"/>
      <c r="M793" s="391"/>
      <c r="N793" s="391"/>
      <c r="O793" s="391"/>
      <c r="P793" s="391"/>
      <c r="Q793" s="391"/>
      <c r="R793" s="391"/>
      <c r="S793" s="391"/>
      <c r="T793" s="391"/>
      <c r="U793" s="391"/>
      <c r="V793" s="391"/>
      <c r="W793" s="391"/>
      <c r="X793" s="391"/>
    </row>
    <row r="794">
      <c r="A794" s="391"/>
      <c r="B794" s="391"/>
      <c r="C794" s="391"/>
      <c r="D794" s="391"/>
      <c r="E794" s="391"/>
      <c r="F794" s="391"/>
      <c r="G794" s="391"/>
      <c r="H794" s="391"/>
      <c r="I794" s="391"/>
      <c r="J794" s="391"/>
      <c r="K794" s="391"/>
      <c r="L794" s="391"/>
      <c r="M794" s="391"/>
      <c r="N794" s="391"/>
      <c r="O794" s="391"/>
      <c r="P794" s="391"/>
      <c r="Q794" s="391"/>
      <c r="R794" s="391"/>
      <c r="S794" s="391"/>
      <c r="T794" s="391"/>
      <c r="U794" s="391"/>
      <c r="V794" s="391"/>
      <c r="W794" s="391"/>
      <c r="X794" s="391"/>
    </row>
    <row r="795">
      <c r="A795" s="391"/>
      <c r="B795" s="391"/>
      <c r="C795" s="391"/>
      <c r="D795" s="391"/>
      <c r="E795" s="391"/>
      <c r="F795" s="391"/>
      <c r="G795" s="391"/>
      <c r="H795" s="391"/>
      <c r="I795" s="391"/>
      <c r="J795" s="391"/>
      <c r="K795" s="391"/>
      <c r="L795" s="391"/>
      <c r="M795" s="391"/>
      <c r="N795" s="391"/>
      <c r="O795" s="391"/>
      <c r="P795" s="391"/>
      <c r="Q795" s="391"/>
      <c r="R795" s="391"/>
      <c r="S795" s="391"/>
      <c r="T795" s="391"/>
      <c r="U795" s="391"/>
      <c r="V795" s="391"/>
      <c r="W795" s="391"/>
      <c r="X795" s="391"/>
    </row>
    <row r="796">
      <c r="A796" s="391"/>
      <c r="B796" s="391"/>
      <c r="C796" s="391"/>
      <c r="D796" s="391"/>
      <c r="E796" s="391"/>
      <c r="F796" s="391"/>
      <c r="G796" s="391"/>
      <c r="H796" s="391"/>
      <c r="I796" s="391"/>
      <c r="J796" s="391"/>
      <c r="K796" s="391"/>
      <c r="L796" s="391"/>
      <c r="M796" s="391"/>
      <c r="N796" s="391"/>
      <c r="O796" s="391"/>
      <c r="P796" s="391"/>
      <c r="Q796" s="391"/>
      <c r="R796" s="391"/>
      <c r="S796" s="391"/>
      <c r="T796" s="391"/>
      <c r="U796" s="391"/>
      <c r="V796" s="391"/>
      <c r="W796" s="391"/>
      <c r="X796" s="391"/>
    </row>
    <row r="797">
      <c r="A797" s="391"/>
      <c r="B797" s="391"/>
      <c r="C797" s="391"/>
      <c r="D797" s="391"/>
      <c r="E797" s="391"/>
      <c r="F797" s="391"/>
      <c r="G797" s="391"/>
      <c r="H797" s="391"/>
      <c r="I797" s="391"/>
      <c r="J797" s="391"/>
      <c r="K797" s="391"/>
      <c r="L797" s="391"/>
      <c r="M797" s="391"/>
      <c r="N797" s="391"/>
      <c r="O797" s="391"/>
      <c r="P797" s="391"/>
      <c r="Q797" s="391"/>
      <c r="R797" s="391"/>
      <c r="S797" s="391"/>
      <c r="T797" s="391"/>
      <c r="U797" s="391"/>
      <c r="V797" s="391"/>
      <c r="W797" s="391"/>
      <c r="X797" s="391"/>
    </row>
    <row r="798">
      <c r="A798" s="391"/>
      <c r="B798" s="391"/>
      <c r="C798" s="391"/>
      <c r="D798" s="391"/>
      <c r="E798" s="391"/>
      <c r="F798" s="391"/>
      <c r="G798" s="391"/>
      <c r="H798" s="391"/>
      <c r="I798" s="391"/>
      <c r="J798" s="391"/>
      <c r="K798" s="391"/>
      <c r="L798" s="391"/>
      <c r="M798" s="391"/>
      <c r="N798" s="391"/>
      <c r="O798" s="391"/>
      <c r="P798" s="391"/>
      <c r="Q798" s="391"/>
      <c r="R798" s="391"/>
      <c r="S798" s="391"/>
      <c r="T798" s="391"/>
      <c r="U798" s="391"/>
      <c r="V798" s="391"/>
      <c r="W798" s="391"/>
      <c r="X798" s="391"/>
    </row>
    <row r="799">
      <c r="A799" s="391"/>
      <c r="B799" s="391"/>
      <c r="C799" s="391"/>
      <c r="D799" s="391"/>
      <c r="E799" s="391"/>
      <c r="F799" s="391"/>
      <c r="G799" s="391"/>
      <c r="H799" s="391"/>
      <c r="I799" s="391"/>
      <c r="J799" s="391"/>
      <c r="K799" s="391"/>
      <c r="L799" s="391"/>
      <c r="M799" s="391"/>
      <c r="N799" s="391"/>
      <c r="O799" s="391"/>
      <c r="P799" s="391"/>
      <c r="Q799" s="391"/>
      <c r="R799" s="391"/>
      <c r="S799" s="391"/>
      <c r="T799" s="391"/>
      <c r="U799" s="391"/>
      <c r="V799" s="391"/>
      <c r="W799" s="391"/>
      <c r="X799" s="391"/>
    </row>
    <row r="800">
      <c r="A800" s="391"/>
      <c r="B800" s="391"/>
      <c r="C800" s="391"/>
      <c r="D800" s="391"/>
      <c r="E800" s="391"/>
      <c r="F800" s="391"/>
      <c r="G800" s="391"/>
      <c r="H800" s="391"/>
      <c r="I800" s="391"/>
      <c r="J800" s="391"/>
      <c r="K800" s="391"/>
      <c r="L800" s="391"/>
      <c r="M800" s="391"/>
      <c r="N800" s="391"/>
      <c r="O800" s="391"/>
      <c r="P800" s="391"/>
      <c r="Q800" s="391"/>
      <c r="R800" s="391"/>
      <c r="S800" s="391"/>
      <c r="T800" s="391"/>
      <c r="U800" s="391"/>
      <c r="V800" s="391"/>
      <c r="W800" s="391"/>
      <c r="X800" s="391"/>
    </row>
    <row r="801">
      <c r="A801" s="391"/>
      <c r="B801" s="391"/>
      <c r="C801" s="391"/>
      <c r="D801" s="391"/>
      <c r="E801" s="391"/>
      <c r="F801" s="391"/>
      <c r="G801" s="391"/>
      <c r="H801" s="391"/>
      <c r="I801" s="391"/>
      <c r="J801" s="391"/>
      <c r="K801" s="391"/>
      <c r="L801" s="391"/>
      <c r="M801" s="391"/>
      <c r="N801" s="391"/>
      <c r="O801" s="391"/>
      <c r="P801" s="391"/>
      <c r="Q801" s="391"/>
      <c r="R801" s="391"/>
      <c r="S801" s="391"/>
      <c r="T801" s="391"/>
      <c r="U801" s="391"/>
      <c r="V801" s="391"/>
      <c r="W801" s="391"/>
      <c r="X801" s="391"/>
    </row>
    <row r="802">
      <c r="A802" s="391"/>
      <c r="B802" s="391"/>
      <c r="C802" s="391"/>
      <c r="D802" s="391"/>
      <c r="E802" s="391"/>
      <c r="F802" s="391"/>
      <c r="G802" s="391"/>
      <c r="H802" s="391"/>
      <c r="I802" s="391"/>
      <c r="J802" s="391"/>
      <c r="K802" s="391"/>
      <c r="L802" s="391"/>
      <c r="M802" s="391"/>
      <c r="N802" s="391"/>
      <c r="O802" s="391"/>
      <c r="P802" s="391"/>
      <c r="Q802" s="391"/>
      <c r="R802" s="391"/>
      <c r="S802" s="391"/>
      <c r="T802" s="391"/>
      <c r="U802" s="391"/>
      <c r="V802" s="391"/>
      <c r="W802" s="391"/>
      <c r="X802" s="391"/>
    </row>
    <row r="803">
      <c r="A803" s="391"/>
      <c r="B803" s="391"/>
      <c r="C803" s="391"/>
      <c r="D803" s="391"/>
      <c r="E803" s="391"/>
      <c r="F803" s="391"/>
      <c r="G803" s="391"/>
      <c r="H803" s="391"/>
      <c r="I803" s="391"/>
      <c r="J803" s="391"/>
      <c r="K803" s="391"/>
      <c r="L803" s="391"/>
      <c r="M803" s="391"/>
      <c r="N803" s="391"/>
      <c r="O803" s="391"/>
      <c r="P803" s="391"/>
      <c r="Q803" s="391"/>
      <c r="R803" s="391"/>
      <c r="S803" s="391"/>
      <c r="T803" s="391"/>
      <c r="U803" s="391"/>
      <c r="V803" s="391"/>
      <c r="W803" s="391"/>
      <c r="X803" s="391"/>
    </row>
    <row r="804">
      <c r="A804" s="391"/>
      <c r="B804" s="391"/>
      <c r="C804" s="391"/>
      <c r="D804" s="391"/>
      <c r="E804" s="391"/>
      <c r="F804" s="391"/>
      <c r="G804" s="391"/>
      <c r="H804" s="391"/>
      <c r="I804" s="391"/>
      <c r="J804" s="391"/>
      <c r="K804" s="391"/>
      <c r="L804" s="391"/>
      <c r="M804" s="391"/>
      <c r="N804" s="391"/>
      <c r="O804" s="391"/>
      <c r="P804" s="391"/>
      <c r="Q804" s="391"/>
      <c r="R804" s="391"/>
      <c r="S804" s="391"/>
      <c r="T804" s="391"/>
      <c r="U804" s="391"/>
      <c r="V804" s="391"/>
      <c r="W804" s="391"/>
      <c r="X804" s="391"/>
    </row>
    <row r="805">
      <c r="A805" s="391"/>
      <c r="B805" s="391"/>
      <c r="C805" s="391"/>
      <c r="D805" s="391"/>
      <c r="E805" s="391"/>
      <c r="F805" s="391"/>
      <c r="G805" s="391"/>
      <c r="H805" s="391"/>
      <c r="I805" s="391"/>
      <c r="J805" s="391"/>
      <c r="K805" s="391"/>
      <c r="L805" s="391"/>
      <c r="M805" s="391"/>
      <c r="N805" s="391"/>
      <c r="O805" s="391"/>
      <c r="P805" s="391"/>
      <c r="Q805" s="391"/>
      <c r="R805" s="391"/>
      <c r="S805" s="391"/>
      <c r="T805" s="391"/>
      <c r="U805" s="391"/>
      <c r="V805" s="391"/>
      <c r="W805" s="391"/>
      <c r="X805" s="391"/>
    </row>
    <row r="806">
      <c r="A806" s="391"/>
      <c r="B806" s="391"/>
      <c r="C806" s="391"/>
      <c r="D806" s="391"/>
      <c r="E806" s="391"/>
      <c r="F806" s="391"/>
      <c r="G806" s="391"/>
      <c r="H806" s="391"/>
      <c r="I806" s="391"/>
      <c r="J806" s="391"/>
      <c r="K806" s="391"/>
      <c r="L806" s="391"/>
      <c r="M806" s="391"/>
      <c r="N806" s="391"/>
      <c r="O806" s="391"/>
      <c r="P806" s="391"/>
      <c r="Q806" s="391"/>
      <c r="R806" s="391"/>
      <c r="S806" s="391"/>
      <c r="T806" s="391"/>
      <c r="U806" s="391"/>
      <c r="V806" s="391"/>
      <c r="W806" s="391"/>
      <c r="X806" s="391"/>
    </row>
    <row r="807">
      <c r="A807" s="391"/>
      <c r="B807" s="391"/>
      <c r="C807" s="391"/>
      <c r="D807" s="391"/>
      <c r="E807" s="391"/>
      <c r="F807" s="391"/>
      <c r="G807" s="391"/>
      <c r="H807" s="391"/>
      <c r="I807" s="391"/>
      <c r="J807" s="391"/>
      <c r="K807" s="391"/>
      <c r="L807" s="391"/>
      <c r="M807" s="391"/>
      <c r="N807" s="391"/>
      <c r="O807" s="391"/>
      <c r="P807" s="391"/>
      <c r="Q807" s="391"/>
      <c r="R807" s="391"/>
      <c r="S807" s="391"/>
      <c r="T807" s="391"/>
      <c r="U807" s="391"/>
      <c r="V807" s="391"/>
      <c r="W807" s="391"/>
      <c r="X807" s="391"/>
    </row>
    <row r="808">
      <c r="A808" s="391"/>
      <c r="B808" s="391"/>
      <c r="C808" s="391"/>
      <c r="D808" s="391"/>
      <c r="E808" s="391"/>
      <c r="F808" s="391"/>
      <c r="G808" s="391"/>
      <c r="H808" s="391"/>
      <c r="I808" s="391"/>
      <c r="J808" s="391"/>
      <c r="K808" s="391"/>
      <c r="L808" s="391"/>
      <c r="M808" s="391"/>
      <c r="N808" s="391"/>
      <c r="O808" s="391"/>
      <c r="P808" s="391"/>
      <c r="Q808" s="391"/>
      <c r="R808" s="391"/>
      <c r="S808" s="391"/>
      <c r="T808" s="391"/>
      <c r="U808" s="391"/>
      <c r="V808" s="391"/>
      <c r="W808" s="391"/>
      <c r="X808" s="391"/>
    </row>
    <row r="809">
      <c r="A809" s="391"/>
      <c r="B809" s="391"/>
      <c r="C809" s="391"/>
      <c r="D809" s="391"/>
      <c r="E809" s="391"/>
      <c r="F809" s="391"/>
      <c r="G809" s="391"/>
      <c r="H809" s="391"/>
      <c r="I809" s="391"/>
      <c r="J809" s="391"/>
      <c r="K809" s="391"/>
      <c r="L809" s="391"/>
      <c r="M809" s="391"/>
      <c r="N809" s="391"/>
      <c r="O809" s="391"/>
      <c r="P809" s="391"/>
      <c r="Q809" s="391"/>
      <c r="R809" s="391"/>
      <c r="S809" s="391"/>
      <c r="T809" s="391"/>
      <c r="U809" s="391"/>
      <c r="V809" s="391"/>
      <c r="W809" s="391"/>
      <c r="X809" s="391"/>
    </row>
    <row r="810">
      <c r="A810" s="391"/>
      <c r="B810" s="391"/>
      <c r="C810" s="391"/>
      <c r="D810" s="391"/>
      <c r="E810" s="391"/>
      <c r="F810" s="391"/>
      <c r="G810" s="391"/>
      <c r="H810" s="391"/>
      <c r="I810" s="391"/>
      <c r="J810" s="391"/>
      <c r="K810" s="391"/>
      <c r="L810" s="391"/>
      <c r="M810" s="391"/>
      <c r="N810" s="391"/>
      <c r="O810" s="391"/>
      <c r="P810" s="391"/>
      <c r="Q810" s="391"/>
      <c r="R810" s="391"/>
      <c r="S810" s="391"/>
      <c r="T810" s="391"/>
      <c r="U810" s="391"/>
      <c r="V810" s="391"/>
      <c r="W810" s="391"/>
      <c r="X810" s="391"/>
    </row>
    <row r="811">
      <c r="A811" s="391"/>
      <c r="B811" s="391"/>
      <c r="C811" s="391"/>
      <c r="D811" s="391"/>
      <c r="E811" s="391"/>
      <c r="F811" s="391"/>
      <c r="G811" s="391"/>
      <c r="H811" s="391"/>
      <c r="I811" s="391"/>
      <c r="J811" s="391"/>
      <c r="K811" s="391"/>
      <c r="L811" s="391"/>
      <c r="M811" s="391"/>
      <c r="N811" s="391"/>
      <c r="O811" s="391"/>
      <c r="P811" s="391"/>
      <c r="Q811" s="391"/>
      <c r="R811" s="391"/>
      <c r="S811" s="391"/>
      <c r="T811" s="391"/>
      <c r="U811" s="391"/>
      <c r="V811" s="391"/>
      <c r="W811" s="391"/>
      <c r="X811" s="391"/>
    </row>
    <row r="812">
      <c r="A812" s="391"/>
      <c r="B812" s="391"/>
      <c r="C812" s="391"/>
      <c r="D812" s="391"/>
      <c r="E812" s="391"/>
      <c r="F812" s="391"/>
      <c r="G812" s="391"/>
      <c r="H812" s="391"/>
      <c r="I812" s="391"/>
      <c r="J812" s="391"/>
      <c r="K812" s="391"/>
      <c r="L812" s="391"/>
      <c r="M812" s="391"/>
      <c r="N812" s="391"/>
      <c r="O812" s="391"/>
      <c r="P812" s="391"/>
      <c r="Q812" s="391"/>
      <c r="R812" s="391"/>
      <c r="S812" s="391"/>
      <c r="T812" s="391"/>
      <c r="U812" s="391"/>
      <c r="V812" s="391"/>
      <c r="W812" s="391"/>
      <c r="X812" s="391"/>
    </row>
    <row r="813">
      <c r="A813" s="391"/>
      <c r="B813" s="391"/>
      <c r="C813" s="391"/>
      <c r="D813" s="391"/>
      <c r="E813" s="391"/>
      <c r="F813" s="391"/>
      <c r="G813" s="391"/>
      <c r="H813" s="391"/>
      <c r="I813" s="391"/>
      <c r="J813" s="391"/>
      <c r="K813" s="391"/>
      <c r="L813" s="391"/>
      <c r="M813" s="391"/>
      <c r="N813" s="391"/>
      <c r="O813" s="391"/>
      <c r="P813" s="391"/>
      <c r="Q813" s="391"/>
      <c r="R813" s="391"/>
      <c r="S813" s="391"/>
      <c r="T813" s="391"/>
      <c r="U813" s="391"/>
      <c r="V813" s="391"/>
      <c r="W813" s="391"/>
      <c r="X813" s="391"/>
    </row>
    <row r="814">
      <c r="A814" s="391"/>
      <c r="B814" s="391"/>
      <c r="C814" s="391"/>
      <c r="D814" s="391"/>
      <c r="E814" s="391"/>
      <c r="F814" s="391"/>
      <c r="G814" s="391"/>
      <c r="H814" s="391"/>
      <c r="I814" s="391"/>
      <c r="J814" s="391"/>
      <c r="K814" s="391"/>
      <c r="L814" s="391"/>
      <c r="M814" s="391"/>
      <c r="N814" s="391"/>
      <c r="O814" s="391"/>
      <c r="P814" s="391"/>
      <c r="Q814" s="391"/>
      <c r="R814" s="391"/>
      <c r="S814" s="391"/>
      <c r="T814" s="391"/>
      <c r="U814" s="391"/>
      <c r="V814" s="391"/>
      <c r="W814" s="391"/>
      <c r="X814" s="391"/>
    </row>
    <row r="815">
      <c r="A815" s="391"/>
      <c r="B815" s="391"/>
      <c r="C815" s="391"/>
      <c r="D815" s="391"/>
      <c r="E815" s="391"/>
      <c r="F815" s="391"/>
      <c r="G815" s="391"/>
      <c r="H815" s="391"/>
      <c r="I815" s="391"/>
      <c r="J815" s="391"/>
      <c r="K815" s="391"/>
      <c r="L815" s="391"/>
      <c r="M815" s="391"/>
      <c r="N815" s="391"/>
      <c r="O815" s="391"/>
      <c r="P815" s="391"/>
      <c r="Q815" s="391"/>
      <c r="R815" s="391"/>
      <c r="S815" s="391"/>
      <c r="T815" s="391"/>
      <c r="U815" s="391"/>
      <c r="V815" s="391"/>
      <c r="W815" s="391"/>
      <c r="X815" s="391"/>
    </row>
    <row r="816">
      <c r="A816" s="391"/>
      <c r="B816" s="391"/>
      <c r="C816" s="391"/>
      <c r="D816" s="391"/>
      <c r="E816" s="391"/>
      <c r="F816" s="391"/>
      <c r="G816" s="391"/>
      <c r="H816" s="391"/>
      <c r="I816" s="391"/>
      <c r="J816" s="391"/>
      <c r="K816" s="391"/>
      <c r="L816" s="391"/>
      <c r="M816" s="391"/>
      <c r="N816" s="391"/>
      <c r="O816" s="391"/>
      <c r="P816" s="391"/>
      <c r="Q816" s="391"/>
      <c r="R816" s="391"/>
      <c r="S816" s="391"/>
      <c r="T816" s="391"/>
      <c r="U816" s="391"/>
      <c r="V816" s="391"/>
      <c r="W816" s="391"/>
      <c r="X816" s="391"/>
    </row>
    <row r="817">
      <c r="A817" s="391"/>
      <c r="B817" s="391"/>
      <c r="C817" s="391"/>
      <c r="D817" s="391"/>
      <c r="E817" s="391"/>
      <c r="F817" s="391"/>
      <c r="G817" s="391"/>
      <c r="H817" s="391"/>
      <c r="I817" s="391"/>
      <c r="J817" s="391"/>
      <c r="K817" s="391"/>
      <c r="L817" s="391"/>
      <c r="M817" s="391"/>
      <c r="N817" s="391"/>
      <c r="O817" s="391"/>
      <c r="P817" s="391"/>
      <c r="Q817" s="391"/>
      <c r="R817" s="391"/>
      <c r="S817" s="391"/>
      <c r="T817" s="391"/>
      <c r="U817" s="391"/>
      <c r="V817" s="391"/>
      <c r="W817" s="391"/>
      <c r="X817" s="391"/>
    </row>
    <row r="818">
      <c r="A818" s="391"/>
      <c r="B818" s="391"/>
      <c r="C818" s="391"/>
      <c r="D818" s="391"/>
      <c r="E818" s="391"/>
      <c r="F818" s="391"/>
      <c r="G818" s="391"/>
      <c r="H818" s="391"/>
      <c r="I818" s="391"/>
      <c r="J818" s="391"/>
      <c r="K818" s="391"/>
      <c r="L818" s="391"/>
      <c r="M818" s="391"/>
      <c r="N818" s="391"/>
      <c r="O818" s="391"/>
      <c r="P818" s="391"/>
      <c r="Q818" s="391"/>
      <c r="R818" s="391"/>
      <c r="S818" s="391"/>
      <c r="T818" s="391"/>
      <c r="U818" s="391"/>
      <c r="V818" s="391"/>
      <c r="W818" s="391"/>
      <c r="X818" s="391"/>
    </row>
    <row r="819">
      <c r="A819" s="391"/>
      <c r="B819" s="391"/>
      <c r="C819" s="391"/>
      <c r="D819" s="391"/>
      <c r="E819" s="391"/>
      <c r="F819" s="391"/>
      <c r="G819" s="391"/>
      <c r="H819" s="391"/>
      <c r="I819" s="391"/>
      <c r="J819" s="391"/>
      <c r="K819" s="391"/>
      <c r="L819" s="391"/>
      <c r="M819" s="391"/>
      <c r="N819" s="391"/>
      <c r="O819" s="391"/>
      <c r="P819" s="391"/>
      <c r="Q819" s="391"/>
      <c r="R819" s="391"/>
      <c r="S819" s="391"/>
      <c r="T819" s="391"/>
      <c r="U819" s="391"/>
      <c r="V819" s="391"/>
      <c r="W819" s="391"/>
      <c r="X819" s="391"/>
    </row>
    <row r="820">
      <c r="A820" s="391"/>
      <c r="B820" s="391"/>
      <c r="C820" s="391"/>
      <c r="D820" s="391"/>
      <c r="E820" s="391"/>
      <c r="F820" s="391"/>
      <c r="G820" s="391"/>
      <c r="H820" s="391"/>
      <c r="I820" s="391"/>
      <c r="J820" s="391"/>
      <c r="K820" s="391"/>
      <c r="L820" s="391"/>
      <c r="M820" s="391"/>
      <c r="N820" s="391"/>
      <c r="O820" s="391"/>
      <c r="P820" s="391"/>
      <c r="Q820" s="391"/>
      <c r="R820" s="391"/>
      <c r="S820" s="391"/>
      <c r="T820" s="391"/>
      <c r="U820" s="391"/>
      <c r="V820" s="391"/>
      <c r="W820" s="391"/>
      <c r="X820" s="391"/>
    </row>
    <row r="821">
      <c r="A821" s="391"/>
      <c r="B821" s="391"/>
      <c r="C821" s="391"/>
      <c r="D821" s="391"/>
      <c r="E821" s="391"/>
      <c r="F821" s="391"/>
      <c r="G821" s="391"/>
      <c r="H821" s="391"/>
      <c r="I821" s="391"/>
      <c r="J821" s="391"/>
      <c r="K821" s="391"/>
      <c r="L821" s="391"/>
      <c r="M821" s="391"/>
      <c r="N821" s="391"/>
      <c r="O821" s="391"/>
      <c r="P821" s="391"/>
      <c r="Q821" s="391"/>
      <c r="R821" s="391"/>
      <c r="S821" s="391"/>
      <c r="T821" s="391"/>
      <c r="U821" s="391"/>
      <c r="V821" s="391"/>
      <c r="W821" s="391"/>
      <c r="X821" s="391"/>
    </row>
    <row r="822">
      <c r="A822" s="391"/>
      <c r="B822" s="391"/>
      <c r="C822" s="391"/>
      <c r="D822" s="391"/>
      <c r="E822" s="391"/>
      <c r="F822" s="391"/>
      <c r="G822" s="391"/>
      <c r="H822" s="391"/>
      <c r="I822" s="391"/>
      <c r="J822" s="391"/>
      <c r="K822" s="391"/>
      <c r="L822" s="391"/>
      <c r="M822" s="391"/>
      <c r="N822" s="391"/>
      <c r="O822" s="391"/>
      <c r="P822" s="391"/>
      <c r="Q822" s="391"/>
      <c r="R822" s="391"/>
      <c r="S822" s="391"/>
      <c r="T822" s="391"/>
      <c r="U822" s="391"/>
      <c r="V822" s="391"/>
      <c r="W822" s="391"/>
      <c r="X822" s="391"/>
    </row>
    <row r="823">
      <c r="A823" s="391"/>
      <c r="B823" s="391"/>
      <c r="C823" s="391"/>
      <c r="D823" s="391"/>
      <c r="E823" s="391"/>
      <c r="F823" s="391"/>
      <c r="G823" s="391"/>
      <c r="H823" s="391"/>
      <c r="I823" s="391"/>
      <c r="J823" s="391"/>
      <c r="K823" s="391"/>
      <c r="L823" s="391"/>
      <c r="M823" s="391"/>
      <c r="N823" s="391"/>
      <c r="O823" s="391"/>
      <c r="P823" s="391"/>
      <c r="Q823" s="391"/>
      <c r="R823" s="391"/>
      <c r="S823" s="391"/>
      <c r="T823" s="391"/>
      <c r="U823" s="391"/>
      <c r="V823" s="391"/>
      <c r="W823" s="391"/>
      <c r="X823" s="391"/>
    </row>
    <row r="824">
      <c r="A824" s="391"/>
      <c r="B824" s="391"/>
      <c r="C824" s="391"/>
      <c r="D824" s="391"/>
      <c r="E824" s="391"/>
      <c r="F824" s="391"/>
      <c r="G824" s="391"/>
      <c r="H824" s="391"/>
      <c r="I824" s="391"/>
      <c r="J824" s="391"/>
      <c r="K824" s="391"/>
      <c r="L824" s="391"/>
      <c r="M824" s="391"/>
      <c r="N824" s="391"/>
      <c r="O824" s="391"/>
      <c r="P824" s="391"/>
      <c r="Q824" s="391"/>
      <c r="R824" s="391"/>
      <c r="S824" s="391"/>
      <c r="T824" s="391"/>
      <c r="U824" s="391"/>
      <c r="V824" s="391"/>
      <c r="W824" s="391"/>
      <c r="X824" s="391"/>
    </row>
    <row r="825">
      <c r="A825" s="391"/>
      <c r="B825" s="391"/>
      <c r="C825" s="391"/>
      <c r="D825" s="391"/>
      <c r="E825" s="391"/>
      <c r="F825" s="391"/>
      <c r="G825" s="391"/>
      <c r="H825" s="391"/>
      <c r="I825" s="391"/>
      <c r="J825" s="391"/>
      <c r="K825" s="391"/>
      <c r="L825" s="391"/>
      <c r="M825" s="391"/>
      <c r="N825" s="391"/>
      <c r="O825" s="391"/>
      <c r="P825" s="391"/>
      <c r="Q825" s="391"/>
      <c r="R825" s="391"/>
      <c r="S825" s="391"/>
      <c r="T825" s="391"/>
      <c r="U825" s="391"/>
      <c r="V825" s="391"/>
      <c r="W825" s="391"/>
      <c r="X825" s="391"/>
    </row>
    <row r="826">
      <c r="A826" s="391"/>
      <c r="B826" s="391"/>
      <c r="C826" s="391"/>
      <c r="D826" s="391"/>
      <c r="E826" s="391"/>
      <c r="F826" s="391"/>
      <c r="G826" s="391"/>
      <c r="H826" s="391"/>
      <c r="I826" s="391"/>
      <c r="J826" s="391"/>
      <c r="K826" s="391"/>
      <c r="L826" s="391"/>
      <c r="M826" s="391"/>
      <c r="N826" s="391"/>
      <c r="O826" s="391"/>
      <c r="P826" s="391"/>
      <c r="Q826" s="391"/>
      <c r="R826" s="391"/>
      <c r="S826" s="391"/>
      <c r="T826" s="391"/>
      <c r="U826" s="391"/>
      <c r="V826" s="391"/>
      <c r="W826" s="391"/>
      <c r="X826" s="391"/>
    </row>
    <row r="827">
      <c r="A827" s="391"/>
      <c r="B827" s="391"/>
      <c r="C827" s="391"/>
      <c r="D827" s="391"/>
      <c r="E827" s="391"/>
      <c r="F827" s="391"/>
      <c r="G827" s="391"/>
      <c r="H827" s="391"/>
      <c r="I827" s="391"/>
      <c r="J827" s="391"/>
      <c r="K827" s="391"/>
      <c r="L827" s="391"/>
      <c r="M827" s="391"/>
      <c r="N827" s="391"/>
      <c r="O827" s="391"/>
      <c r="P827" s="391"/>
      <c r="Q827" s="391"/>
      <c r="R827" s="391"/>
      <c r="S827" s="391"/>
      <c r="T827" s="391"/>
      <c r="U827" s="391"/>
      <c r="V827" s="391"/>
      <c r="W827" s="391"/>
      <c r="X827" s="391"/>
    </row>
    <row r="828">
      <c r="A828" s="391"/>
      <c r="B828" s="391"/>
      <c r="C828" s="391"/>
      <c r="D828" s="391"/>
      <c r="E828" s="391"/>
      <c r="F828" s="391"/>
      <c r="G828" s="391"/>
      <c r="H828" s="391"/>
      <c r="I828" s="391"/>
      <c r="J828" s="391"/>
      <c r="K828" s="391"/>
      <c r="L828" s="391"/>
      <c r="M828" s="391"/>
      <c r="N828" s="391"/>
      <c r="O828" s="391"/>
      <c r="P828" s="391"/>
      <c r="Q828" s="391"/>
      <c r="R828" s="391"/>
      <c r="S828" s="391"/>
      <c r="T828" s="391"/>
      <c r="U828" s="391"/>
      <c r="V828" s="391"/>
      <c r="W828" s="391"/>
      <c r="X828" s="391"/>
    </row>
    <row r="829">
      <c r="A829" s="391"/>
      <c r="B829" s="391"/>
      <c r="C829" s="391"/>
      <c r="D829" s="391"/>
      <c r="E829" s="391"/>
      <c r="F829" s="391"/>
      <c r="G829" s="391"/>
      <c r="H829" s="391"/>
      <c r="I829" s="391"/>
      <c r="J829" s="391"/>
      <c r="K829" s="391"/>
      <c r="L829" s="391"/>
      <c r="M829" s="391"/>
      <c r="N829" s="391"/>
      <c r="O829" s="391"/>
      <c r="P829" s="391"/>
      <c r="Q829" s="391"/>
      <c r="R829" s="391"/>
      <c r="S829" s="391"/>
      <c r="T829" s="391"/>
      <c r="U829" s="391"/>
      <c r="V829" s="391"/>
      <c r="W829" s="391"/>
      <c r="X829" s="391"/>
    </row>
    <row r="830">
      <c r="A830" s="391"/>
      <c r="B830" s="391"/>
      <c r="C830" s="391"/>
      <c r="D830" s="391"/>
      <c r="E830" s="391"/>
      <c r="F830" s="391"/>
      <c r="G830" s="391"/>
      <c r="H830" s="391"/>
      <c r="I830" s="391"/>
      <c r="J830" s="391"/>
      <c r="K830" s="391"/>
      <c r="L830" s="391"/>
      <c r="M830" s="391"/>
      <c r="N830" s="391"/>
      <c r="O830" s="391"/>
      <c r="P830" s="391"/>
      <c r="Q830" s="391"/>
      <c r="R830" s="391"/>
      <c r="S830" s="391"/>
      <c r="T830" s="391"/>
      <c r="U830" s="391"/>
      <c r="V830" s="391"/>
      <c r="W830" s="391"/>
      <c r="X830" s="391"/>
    </row>
    <row r="831">
      <c r="A831" s="391"/>
      <c r="B831" s="391"/>
      <c r="C831" s="391"/>
      <c r="D831" s="391"/>
      <c r="E831" s="391"/>
      <c r="F831" s="391"/>
      <c r="G831" s="391"/>
      <c r="H831" s="391"/>
      <c r="I831" s="391"/>
      <c r="J831" s="391"/>
      <c r="K831" s="391"/>
      <c r="L831" s="391"/>
      <c r="M831" s="391"/>
      <c r="N831" s="391"/>
      <c r="O831" s="391"/>
      <c r="P831" s="391"/>
      <c r="Q831" s="391"/>
      <c r="R831" s="391"/>
      <c r="S831" s="391"/>
      <c r="T831" s="391"/>
      <c r="U831" s="391"/>
      <c r="V831" s="391"/>
      <c r="W831" s="391"/>
      <c r="X831" s="391"/>
    </row>
    <row r="832">
      <c r="A832" s="391"/>
      <c r="B832" s="391"/>
      <c r="C832" s="391"/>
      <c r="D832" s="391"/>
      <c r="E832" s="391"/>
      <c r="F832" s="391"/>
      <c r="G832" s="391"/>
      <c r="H832" s="391"/>
      <c r="I832" s="391"/>
      <c r="J832" s="391"/>
      <c r="K832" s="391"/>
      <c r="L832" s="391"/>
      <c r="M832" s="391"/>
      <c r="N832" s="391"/>
      <c r="O832" s="391"/>
      <c r="P832" s="391"/>
      <c r="Q832" s="391"/>
      <c r="R832" s="391"/>
      <c r="S832" s="391"/>
      <c r="T832" s="391"/>
      <c r="U832" s="391"/>
      <c r="V832" s="391"/>
      <c r="W832" s="391"/>
      <c r="X832" s="391"/>
    </row>
    <row r="833">
      <c r="A833" s="391"/>
      <c r="B833" s="391"/>
      <c r="C833" s="391"/>
      <c r="D833" s="391"/>
      <c r="E833" s="391"/>
      <c r="F833" s="391"/>
      <c r="G833" s="391"/>
      <c r="H833" s="391"/>
      <c r="I833" s="391"/>
      <c r="J833" s="391"/>
      <c r="K833" s="391"/>
      <c r="L833" s="391"/>
      <c r="M833" s="391"/>
      <c r="N833" s="391"/>
      <c r="O833" s="391"/>
      <c r="P833" s="391"/>
      <c r="Q833" s="391"/>
      <c r="R833" s="391"/>
      <c r="S833" s="391"/>
      <c r="T833" s="391"/>
      <c r="U833" s="391"/>
      <c r="V833" s="391"/>
      <c r="W833" s="391"/>
      <c r="X833" s="391"/>
    </row>
    <row r="834">
      <c r="A834" s="391"/>
      <c r="B834" s="391"/>
      <c r="C834" s="391"/>
      <c r="D834" s="391"/>
      <c r="E834" s="391"/>
      <c r="F834" s="391"/>
      <c r="G834" s="391"/>
      <c r="H834" s="391"/>
      <c r="I834" s="391"/>
      <c r="J834" s="391"/>
      <c r="K834" s="391"/>
      <c r="L834" s="391"/>
      <c r="M834" s="391"/>
      <c r="N834" s="391"/>
      <c r="O834" s="391"/>
      <c r="P834" s="391"/>
      <c r="Q834" s="391"/>
      <c r="R834" s="391"/>
      <c r="S834" s="391"/>
      <c r="T834" s="391"/>
      <c r="U834" s="391"/>
      <c r="V834" s="391"/>
      <c r="W834" s="391"/>
      <c r="X834" s="391"/>
    </row>
    <row r="835">
      <c r="A835" s="391"/>
      <c r="B835" s="391"/>
      <c r="C835" s="391"/>
      <c r="D835" s="391"/>
      <c r="E835" s="391"/>
      <c r="F835" s="391"/>
      <c r="G835" s="391"/>
      <c r="H835" s="391"/>
      <c r="I835" s="391"/>
      <c r="J835" s="391"/>
      <c r="K835" s="391"/>
      <c r="L835" s="391"/>
      <c r="M835" s="391"/>
      <c r="N835" s="391"/>
      <c r="O835" s="391"/>
      <c r="P835" s="391"/>
      <c r="Q835" s="391"/>
      <c r="R835" s="391"/>
      <c r="S835" s="391"/>
      <c r="T835" s="391"/>
      <c r="U835" s="391"/>
      <c r="V835" s="391"/>
      <c r="W835" s="391"/>
      <c r="X835" s="391"/>
    </row>
    <row r="836">
      <c r="A836" s="391"/>
      <c r="B836" s="391"/>
      <c r="C836" s="391"/>
      <c r="D836" s="391"/>
      <c r="E836" s="391"/>
      <c r="F836" s="391"/>
      <c r="G836" s="391"/>
      <c r="H836" s="391"/>
      <c r="I836" s="391"/>
      <c r="J836" s="391"/>
      <c r="K836" s="391"/>
      <c r="L836" s="391"/>
      <c r="M836" s="391"/>
      <c r="N836" s="391"/>
      <c r="O836" s="391"/>
      <c r="P836" s="391"/>
      <c r="Q836" s="391"/>
      <c r="R836" s="391"/>
      <c r="S836" s="391"/>
      <c r="T836" s="391"/>
      <c r="U836" s="391"/>
      <c r="V836" s="391"/>
      <c r="W836" s="391"/>
      <c r="X836" s="391"/>
    </row>
    <row r="837">
      <c r="A837" s="391"/>
      <c r="B837" s="391"/>
      <c r="C837" s="391"/>
      <c r="D837" s="391"/>
      <c r="E837" s="391"/>
      <c r="F837" s="391"/>
      <c r="G837" s="391"/>
      <c r="H837" s="391"/>
      <c r="I837" s="391"/>
      <c r="J837" s="391"/>
      <c r="K837" s="391"/>
      <c r="L837" s="391"/>
      <c r="M837" s="391"/>
      <c r="N837" s="391"/>
      <c r="O837" s="391"/>
      <c r="P837" s="391"/>
      <c r="Q837" s="391"/>
      <c r="R837" s="391"/>
      <c r="S837" s="391"/>
      <c r="T837" s="391"/>
      <c r="U837" s="391"/>
      <c r="V837" s="391"/>
      <c r="W837" s="391"/>
      <c r="X837" s="391"/>
    </row>
    <row r="838">
      <c r="A838" s="391"/>
      <c r="B838" s="391"/>
      <c r="C838" s="391"/>
      <c r="D838" s="391"/>
      <c r="E838" s="391"/>
      <c r="F838" s="391"/>
      <c r="G838" s="391"/>
      <c r="H838" s="391"/>
      <c r="I838" s="391"/>
      <c r="J838" s="391"/>
      <c r="K838" s="391"/>
      <c r="L838" s="391"/>
      <c r="M838" s="391"/>
      <c r="N838" s="391"/>
      <c r="O838" s="391"/>
      <c r="P838" s="391"/>
      <c r="Q838" s="391"/>
      <c r="R838" s="391"/>
      <c r="S838" s="391"/>
      <c r="T838" s="391"/>
      <c r="U838" s="391"/>
      <c r="V838" s="391"/>
      <c r="W838" s="391"/>
      <c r="X838" s="391"/>
    </row>
    <row r="839">
      <c r="A839" s="391"/>
      <c r="B839" s="391"/>
      <c r="C839" s="391"/>
      <c r="D839" s="391"/>
      <c r="E839" s="391"/>
      <c r="F839" s="391"/>
      <c r="G839" s="391"/>
      <c r="H839" s="391"/>
      <c r="I839" s="391"/>
      <c r="J839" s="391"/>
      <c r="K839" s="391"/>
      <c r="L839" s="391"/>
      <c r="M839" s="391"/>
      <c r="N839" s="391"/>
      <c r="O839" s="391"/>
      <c r="P839" s="391"/>
      <c r="Q839" s="391"/>
      <c r="R839" s="391"/>
      <c r="S839" s="391"/>
      <c r="T839" s="391"/>
      <c r="U839" s="391"/>
      <c r="V839" s="391"/>
      <c r="W839" s="391"/>
      <c r="X839" s="391"/>
    </row>
    <row r="840">
      <c r="A840" s="391"/>
      <c r="B840" s="391"/>
      <c r="C840" s="391"/>
      <c r="D840" s="391"/>
      <c r="E840" s="391"/>
      <c r="F840" s="391"/>
      <c r="G840" s="391"/>
      <c r="H840" s="391"/>
      <c r="I840" s="391"/>
      <c r="J840" s="391"/>
      <c r="K840" s="391"/>
      <c r="L840" s="391"/>
      <c r="M840" s="391"/>
      <c r="N840" s="391"/>
      <c r="O840" s="391"/>
      <c r="P840" s="391"/>
      <c r="Q840" s="391"/>
      <c r="R840" s="391"/>
      <c r="S840" s="391"/>
      <c r="T840" s="391"/>
      <c r="U840" s="391"/>
      <c r="V840" s="391"/>
      <c r="W840" s="391"/>
      <c r="X840" s="391"/>
    </row>
    <row r="841">
      <c r="A841" s="391"/>
      <c r="B841" s="391"/>
      <c r="C841" s="391"/>
      <c r="D841" s="391"/>
      <c r="E841" s="391"/>
      <c r="F841" s="391"/>
      <c r="G841" s="391"/>
      <c r="H841" s="391"/>
      <c r="I841" s="391"/>
      <c r="J841" s="391"/>
      <c r="K841" s="391"/>
      <c r="L841" s="391"/>
      <c r="M841" s="391"/>
      <c r="N841" s="391"/>
      <c r="O841" s="391"/>
      <c r="P841" s="391"/>
      <c r="Q841" s="391"/>
      <c r="R841" s="391"/>
      <c r="S841" s="391"/>
      <c r="T841" s="391"/>
      <c r="U841" s="391"/>
      <c r="V841" s="391"/>
      <c r="W841" s="391"/>
      <c r="X841" s="391"/>
    </row>
    <row r="842">
      <c r="A842" s="391"/>
      <c r="B842" s="391"/>
      <c r="C842" s="391"/>
      <c r="D842" s="391"/>
      <c r="E842" s="391"/>
      <c r="F842" s="391"/>
      <c r="G842" s="391"/>
      <c r="H842" s="391"/>
      <c r="I842" s="391"/>
      <c r="J842" s="391"/>
      <c r="K842" s="391"/>
      <c r="L842" s="391"/>
      <c r="M842" s="391"/>
      <c r="N842" s="391"/>
      <c r="O842" s="391"/>
      <c r="P842" s="391"/>
      <c r="Q842" s="391"/>
      <c r="R842" s="391"/>
      <c r="S842" s="391"/>
      <c r="T842" s="391"/>
      <c r="U842" s="391"/>
      <c r="V842" s="391"/>
      <c r="W842" s="391"/>
      <c r="X842" s="391"/>
    </row>
    <row r="843">
      <c r="A843" s="391"/>
      <c r="B843" s="391"/>
      <c r="C843" s="391"/>
      <c r="D843" s="391"/>
      <c r="E843" s="391"/>
      <c r="F843" s="391"/>
      <c r="G843" s="391"/>
      <c r="H843" s="391"/>
      <c r="I843" s="391"/>
      <c r="J843" s="391"/>
      <c r="K843" s="391"/>
      <c r="L843" s="391"/>
      <c r="M843" s="391"/>
      <c r="N843" s="391"/>
      <c r="O843" s="391"/>
      <c r="P843" s="391"/>
      <c r="Q843" s="391"/>
      <c r="R843" s="391"/>
      <c r="S843" s="391"/>
      <c r="T843" s="391"/>
      <c r="U843" s="391"/>
      <c r="V843" s="391"/>
      <c r="W843" s="391"/>
      <c r="X843" s="391"/>
    </row>
    <row r="844">
      <c r="A844" s="391"/>
      <c r="B844" s="391"/>
      <c r="C844" s="391"/>
      <c r="D844" s="391"/>
      <c r="E844" s="391"/>
      <c r="F844" s="391"/>
      <c r="G844" s="391"/>
      <c r="H844" s="391"/>
      <c r="I844" s="391"/>
      <c r="J844" s="391"/>
      <c r="K844" s="391"/>
      <c r="L844" s="391"/>
      <c r="M844" s="391"/>
      <c r="N844" s="391"/>
      <c r="O844" s="391"/>
      <c r="P844" s="391"/>
      <c r="Q844" s="391"/>
      <c r="R844" s="391"/>
      <c r="S844" s="391"/>
      <c r="T844" s="391"/>
      <c r="U844" s="391"/>
      <c r="V844" s="391"/>
      <c r="W844" s="391"/>
      <c r="X844" s="391"/>
    </row>
    <row r="845">
      <c r="A845" s="391"/>
      <c r="B845" s="391"/>
      <c r="C845" s="391"/>
      <c r="D845" s="391"/>
      <c r="E845" s="391"/>
      <c r="F845" s="391"/>
      <c r="G845" s="391"/>
      <c r="H845" s="391"/>
      <c r="I845" s="391"/>
      <c r="J845" s="391"/>
      <c r="K845" s="391"/>
      <c r="L845" s="391"/>
      <c r="M845" s="391"/>
      <c r="N845" s="391"/>
      <c r="O845" s="391"/>
      <c r="P845" s="391"/>
      <c r="Q845" s="391"/>
      <c r="R845" s="391"/>
      <c r="S845" s="391"/>
      <c r="T845" s="391"/>
      <c r="U845" s="391"/>
      <c r="V845" s="391"/>
      <c r="W845" s="391"/>
      <c r="X845" s="391"/>
    </row>
    <row r="846">
      <c r="A846" s="391"/>
      <c r="B846" s="391"/>
      <c r="C846" s="391"/>
      <c r="D846" s="391"/>
      <c r="E846" s="391"/>
      <c r="F846" s="391"/>
      <c r="G846" s="391"/>
      <c r="H846" s="391"/>
      <c r="I846" s="391"/>
      <c r="J846" s="391"/>
      <c r="K846" s="391"/>
      <c r="L846" s="391"/>
      <c r="M846" s="391"/>
      <c r="N846" s="391"/>
      <c r="O846" s="391"/>
      <c r="P846" s="391"/>
      <c r="Q846" s="391"/>
      <c r="R846" s="391"/>
      <c r="S846" s="391"/>
      <c r="T846" s="391"/>
      <c r="U846" s="391"/>
      <c r="V846" s="391"/>
      <c r="W846" s="391"/>
      <c r="X846" s="391"/>
    </row>
    <row r="847">
      <c r="A847" s="391"/>
      <c r="B847" s="391"/>
      <c r="C847" s="391"/>
      <c r="D847" s="391"/>
      <c r="E847" s="391"/>
      <c r="F847" s="391"/>
      <c r="G847" s="391"/>
      <c r="H847" s="391"/>
      <c r="I847" s="391"/>
      <c r="J847" s="391"/>
      <c r="K847" s="391"/>
      <c r="L847" s="391"/>
      <c r="M847" s="391"/>
      <c r="N847" s="391"/>
      <c r="O847" s="391"/>
      <c r="P847" s="391"/>
      <c r="Q847" s="391"/>
      <c r="R847" s="391"/>
      <c r="S847" s="391"/>
      <c r="T847" s="391"/>
      <c r="U847" s="391"/>
      <c r="V847" s="391"/>
      <c r="W847" s="391"/>
      <c r="X847" s="391"/>
    </row>
    <row r="848">
      <c r="A848" s="391"/>
      <c r="B848" s="391"/>
      <c r="C848" s="391"/>
      <c r="D848" s="391"/>
      <c r="E848" s="391"/>
      <c r="F848" s="391"/>
      <c r="G848" s="391"/>
      <c r="H848" s="391"/>
      <c r="I848" s="391"/>
      <c r="J848" s="391"/>
      <c r="K848" s="391"/>
      <c r="L848" s="391"/>
      <c r="M848" s="391"/>
      <c r="N848" s="391"/>
      <c r="O848" s="391"/>
      <c r="P848" s="391"/>
      <c r="Q848" s="391"/>
      <c r="R848" s="391"/>
      <c r="S848" s="391"/>
      <c r="T848" s="391"/>
      <c r="U848" s="391"/>
      <c r="V848" s="391"/>
      <c r="W848" s="391"/>
      <c r="X848" s="391"/>
    </row>
    <row r="849">
      <c r="A849" s="391"/>
      <c r="B849" s="391"/>
      <c r="C849" s="391"/>
      <c r="D849" s="391"/>
      <c r="E849" s="391"/>
      <c r="F849" s="391"/>
      <c r="G849" s="391"/>
      <c r="H849" s="391"/>
      <c r="I849" s="391"/>
      <c r="J849" s="391"/>
      <c r="K849" s="391"/>
      <c r="L849" s="391"/>
      <c r="M849" s="391"/>
      <c r="N849" s="391"/>
      <c r="O849" s="391"/>
      <c r="P849" s="391"/>
      <c r="Q849" s="391"/>
      <c r="R849" s="391"/>
      <c r="S849" s="391"/>
      <c r="T849" s="391"/>
      <c r="U849" s="391"/>
      <c r="V849" s="391"/>
      <c r="W849" s="391"/>
      <c r="X849" s="391"/>
    </row>
    <row r="850">
      <c r="A850" s="391"/>
      <c r="B850" s="391"/>
      <c r="C850" s="391"/>
      <c r="D850" s="391"/>
      <c r="E850" s="391"/>
      <c r="F850" s="391"/>
      <c r="G850" s="391"/>
      <c r="H850" s="391"/>
      <c r="I850" s="391"/>
      <c r="J850" s="391"/>
      <c r="K850" s="391"/>
      <c r="L850" s="391"/>
      <c r="M850" s="391"/>
      <c r="N850" s="391"/>
      <c r="O850" s="391"/>
      <c r="P850" s="391"/>
      <c r="Q850" s="391"/>
      <c r="R850" s="391"/>
      <c r="S850" s="391"/>
      <c r="T850" s="391"/>
      <c r="U850" s="391"/>
      <c r="V850" s="391"/>
      <c r="W850" s="391"/>
      <c r="X850" s="391"/>
    </row>
    <row r="851">
      <c r="A851" s="391"/>
      <c r="B851" s="391"/>
      <c r="C851" s="391"/>
      <c r="D851" s="391"/>
      <c r="E851" s="391"/>
      <c r="F851" s="391"/>
      <c r="G851" s="391"/>
      <c r="H851" s="391"/>
      <c r="I851" s="391"/>
      <c r="J851" s="391"/>
      <c r="K851" s="391"/>
      <c r="L851" s="391"/>
      <c r="M851" s="391"/>
      <c r="N851" s="391"/>
      <c r="O851" s="391"/>
      <c r="P851" s="391"/>
      <c r="Q851" s="391"/>
      <c r="R851" s="391"/>
      <c r="S851" s="391"/>
      <c r="T851" s="391"/>
      <c r="U851" s="391"/>
      <c r="V851" s="391"/>
      <c r="W851" s="391"/>
      <c r="X851" s="391"/>
    </row>
    <row r="852">
      <c r="A852" s="391"/>
      <c r="B852" s="391"/>
      <c r="C852" s="391"/>
      <c r="D852" s="391"/>
      <c r="E852" s="391"/>
      <c r="F852" s="391"/>
      <c r="G852" s="391"/>
      <c r="H852" s="391"/>
      <c r="I852" s="391"/>
      <c r="J852" s="391"/>
      <c r="K852" s="391"/>
      <c r="L852" s="391"/>
      <c r="M852" s="391"/>
      <c r="N852" s="391"/>
      <c r="O852" s="391"/>
      <c r="P852" s="391"/>
      <c r="Q852" s="391"/>
      <c r="R852" s="391"/>
      <c r="S852" s="391"/>
      <c r="T852" s="391"/>
      <c r="U852" s="391"/>
      <c r="V852" s="391"/>
      <c r="W852" s="391"/>
      <c r="X852" s="391"/>
    </row>
    <row r="853">
      <c r="A853" s="391"/>
      <c r="B853" s="391"/>
      <c r="C853" s="391"/>
      <c r="D853" s="391"/>
      <c r="E853" s="391"/>
      <c r="F853" s="391"/>
      <c r="G853" s="391"/>
      <c r="H853" s="391"/>
      <c r="I853" s="391"/>
      <c r="J853" s="391"/>
      <c r="K853" s="391"/>
      <c r="L853" s="391"/>
      <c r="M853" s="391"/>
      <c r="N853" s="391"/>
      <c r="O853" s="391"/>
      <c r="P853" s="391"/>
      <c r="Q853" s="391"/>
      <c r="R853" s="391"/>
      <c r="S853" s="391"/>
      <c r="T853" s="391"/>
      <c r="U853" s="391"/>
      <c r="V853" s="391"/>
      <c r="W853" s="391"/>
      <c r="X853" s="391"/>
    </row>
    <row r="854">
      <c r="A854" s="391"/>
      <c r="B854" s="391"/>
      <c r="C854" s="391"/>
      <c r="D854" s="391"/>
      <c r="E854" s="391"/>
      <c r="F854" s="391"/>
      <c r="G854" s="391"/>
      <c r="H854" s="391"/>
      <c r="I854" s="391"/>
      <c r="J854" s="391"/>
      <c r="K854" s="391"/>
      <c r="L854" s="391"/>
      <c r="M854" s="391"/>
      <c r="N854" s="391"/>
      <c r="O854" s="391"/>
      <c r="P854" s="391"/>
      <c r="Q854" s="391"/>
      <c r="R854" s="391"/>
      <c r="S854" s="391"/>
      <c r="T854" s="391"/>
      <c r="U854" s="391"/>
      <c r="V854" s="391"/>
      <c r="W854" s="391"/>
      <c r="X854" s="391"/>
    </row>
    <row r="855">
      <c r="A855" s="391"/>
      <c r="B855" s="391"/>
      <c r="C855" s="391"/>
      <c r="D855" s="391"/>
      <c r="E855" s="391"/>
      <c r="F855" s="391"/>
      <c r="G855" s="391"/>
      <c r="H855" s="391"/>
      <c r="I855" s="391"/>
      <c r="J855" s="391"/>
      <c r="K855" s="391"/>
      <c r="L855" s="391"/>
      <c r="M855" s="391"/>
      <c r="N855" s="391"/>
      <c r="O855" s="391"/>
      <c r="P855" s="391"/>
      <c r="Q855" s="391"/>
      <c r="R855" s="391"/>
      <c r="S855" s="391"/>
      <c r="T855" s="391"/>
      <c r="U855" s="391"/>
      <c r="V855" s="391"/>
      <c r="W855" s="391"/>
      <c r="X855" s="391"/>
    </row>
    <row r="856">
      <c r="A856" s="391"/>
      <c r="B856" s="391"/>
      <c r="C856" s="391"/>
      <c r="D856" s="391"/>
      <c r="E856" s="391"/>
      <c r="F856" s="391"/>
      <c r="G856" s="391"/>
      <c r="H856" s="391"/>
      <c r="I856" s="391"/>
      <c r="J856" s="391"/>
      <c r="K856" s="391"/>
      <c r="L856" s="391"/>
      <c r="M856" s="391"/>
      <c r="N856" s="391"/>
      <c r="O856" s="391"/>
      <c r="P856" s="391"/>
      <c r="Q856" s="391"/>
      <c r="R856" s="391"/>
      <c r="S856" s="391"/>
      <c r="T856" s="391"/>
      <c r="U856" s="391"/>
      <c r="V856" s="391"/>
      <c r="W856" s="391"/>
      <c r="X856" s="391"/>
    </row>
    <row r="857">
      <c r="A857" s="391"/>
      <c r="B857" s="391"/>
      <c r="C857" s="391"/>
      <c r="D857" s="391"/>
      <c r="E857" s="391"/>
      <c r="F857" s="391"/>
      <c r="G857" s="391"/>
      <c r="H857" s="391"/>
      <c r="I857" s="391"/>
      <c r="J857" s="391"/>
      <c r="K857" s="391"/>
      <c r="L857" s="391"/>
      <c r="M857" s="391"/>
      <c r="N857" s="391"/>
      <c r="O857" s="391"/>
      <c r="P857" s="391"/>
      <c r="Q857" s="391"/>
      <c r="R857" s="391"/>
      <c r="S857" s="391"/>
      <c r="T857" s="391"/>
      <c r="U857" s="391"/>
      <c r="V857" s="391"/>
      <c r="W857" s="391"/>
      <c r="X857" s="391"/>
    </row>
    <row r="858">
      <c r="A858" s="391"/>
      <c r="B858" s="391"/>
      <c r="C858" s="391"/>
      <c r="D858" s="391"/>
      <c r="E858" s="391"/>
      <c r="F858" s="391"/>
      <c r="G858" s="391"/>
      <c r="H858" s="391"/>
      <c r="I858" s="391"/>
      <c r="J858" s="391"/>
      <c r="K858" s="391"/>
      <c r="L858" s="391"/>
      <c r="M858" s="391"/>
      <c r="N858" s="391"/>
      <c r="O858" s="391"/>
      <c r="P858" s="391"/>
      <c r="Q858" s="391"/>
      <c r="R858" s="391"/>
      <c r="S858" s="391"/>
      <c r="T858" s="391"/>
      <c r="U858" s="391"/>
      <c r="V858" s="391"/>
      <c r="W858" s="391"/>
      <c r="X858" s="391"/>
    </row>
    <row r="859">
      <c r="A859" s="391"/>
      <c r="B859" s="391"/>
      <c r="C859" s="391"/>
      <c r="D859" s="391"/>
      <c r="E859" s="391"/>
      <c r="F859" s="391"/>
      <c r="G859" s="391"/>
      <c r="H859" s="391"/>
      <c r="I859" s="391"/>
      <c r="J859" s="391"/>
      <c r="K859" s="391"/>
      <c r="L859" s="391"/>
      <c r="M859" s="391"/>
      <c r="N859" s="391"/>
      <c r="O859" s="391"/>
      <c r="P859" s="391"/>
      <c r="Q859" s="391"/>
      <c r="R859" s="391"/>
      <c r="S859" s="391"/>
      <c r="T859" s="391"/>
      <c r="U859" s="391"/>
      <c r="V859" s="391"/>
      <c r="W859" s="391"/>
      <c r="X859" s="391"/>
    </row>
    <row r="860">
      <c r="A860" s="391"/>
      <c r="B860" s="391"/>
      <c r="C860" s="391"/>
      <c r="D860" s="391"/>
      <c r="E860" s="391"/>
      <c r="F860" s="391"/>
      <c r="G860" s="391"/>
      <c r="H860" s="391"/>
      <c r="I860" s="391"/>
      <c r="J860" s="391"/>
      <c r="K860" s="391"/>
      <c r="L860" s="391"/>
      <c r="M860" s="391"/>
      <c r="N860" s="391"/>
      <c r="O860" s="391"/>
      <c r="P860" s="391"/>
      <c r="Q860" s="391"/>
      <c r="R860" s="391"/>
      <c r="S860" s="391"/>
      <c r="T860" s="391"/>
      <c r="U860" s="391"/>
      <c r="V860" s="391"/>
      <c r="W860" s="391"/>
      <c r="X860" s="391"/>
    </row>
    <row r="861">
      <c r="A861" s="391"/>
      <c r="B861" s="391"/>
      <c r="C861" s="391"/>
      <c r="D861" s="391"/>
      <c r="E861" s="391"/>
      <c r="F861" s="391"/>
      <c r="G861" s="391"/>
      <c r="H861" s="391"/>
      <c r="I861" s="391"/>
      <c r="J861" s="391"/>
      <c r="K861" s="391"/>
      <c r="L861" s="391"/>
      <c r="M861" s="391"/>
      <c r="N861" s="391"/>
      <c r="O861" s="391"/>
      <c r="P861" s="391"/>
      <c r="Q861" s="391"/>
      <c r="R861" s="391"/>
      <c r="S861" s="391"/>
      <c r="T861" s="391"/>
      <c r="U861" s="391"/>
      <c r="V861" s="391"/>
      <c r="W861" s="391"/>
      <c r="X861" s="391"/>
    </row>
    <row r="862">
      <c r="A862" s="391"/>
      <c r="B862" s="391"/>
      <c r="C862" s="391"/>
      <c r="D862" s="391"/>
      <c r="E862" s="391"/>
      <c r="F862" s="391"/>
      <c r="G862" s="391"/>
      <c r="H862" s="391"/>
      <c r="I862" s="391"/>
      <c r="J862" s="391"/>
      <c r="K862" s="391"/>
      <c r="L862" s="391"/>
      <c r="M862" s="391"/>
      <c r="N862" s="391"/>
      <c r="O862" s="391"/>
      <c r="P862" s="391"/>
      <c r="Q862" s="391"/>
      <c r="R862" s="391"/>
      <c r="S862" s="391"/>
      <c r="T862" s="391"/>
      <c r="U862" s="391"/>
      <c r="V862" s="391"/>
      <c r="W862" s="391"/>
      <c r="X862" s="391"/>
    </row>
    <row r="863">
      <c r="A863" s="391"/>
      <c r="B863" s="391"/>
      <c r="C863" s="391"/>
      <c r="D863" s="391"/>
      <c r="E863" s="391"/>
      <c r="F863" s="391"/>
      <c r="G863" s="391"/>
      <c r="H863" s="391"/>
      <c r="I863" s="391"/>
      <c r="J863" s="391"/>
      <c r="K863" s="391"/>
      <c r="L863" s="391"/>
      <c r="M863" s="391"/>
      <c r="N863" s="391"/>
      <c r="O863" s="391"/>
      <c r="P863" s="391"/>
      <c r="Q863" s="391"/>
      <c r="R863" s="391"/>
      <c r="S863" s="391"/>
      <c r="T863" s="391"/>
      <c r="U863" s="391"/>
      <c r="V863" s="391"/>
      <c r="W863" s="391"/>
      <c r="X863" s="391"/>
    </row>
    <row r="864">
      <c r="A864" s="391"/>
      <c r="B864" s="391"/>
      <c r="C864" s="391"/>
      <c r="D864" s="391"/>
      <c r="E864" s="391"/>
      <c r="F864" s="391"/>
      <c r="G864" s="391"/>
      <c r="H864" s="391"/>
      <c r="I864" s="391"/>
      <c r="J864" s="391"/>
      <c r="K864" s="391"/>
      <c r="L864" s="391"/>
      <c r="M864" s="391"/>
      <c r="N864" s="391"/>
      <c r="O864" s="391"/>
      <c r="P864" s="391"/>
      <c r="Q864" s="391"/>
      <c r="R864" s="391"/>
      <c r="S864" s="391"/>
      <c r="T864" s="391"/>
      <c r="U864" s="391"/>
      <c r="V864" s="391"/>
      <c r="W864" s="391"/>
      <c r="X864" s="391"/>
    </row>
    <row r="865">
      <c r="A865" s="391"/>
      <c r="B865" s="391"/>
      <c r="C865" s="391"/>
      <c r="D865" s="391"/>
      <c r="E865" s="391"/>
      <c r="F865" s="391"/>
      <c r="G865" s="391"/>
      <c r="H865" s="391"/>
      <c r="I865" s="391"/>
      <c r="J865" s="391"/>
      <c r="K865" s="391"/>
      <c r="L865" s="391"/>
      <c r="M865" s="391"/>
      <c r="N865" s="391"/>
      <c r="O865" s="391"/>
      <c r="P865" s="391"/>
      <c r="Q865" s="391"/>
      <c r="R865" s="391"/>
      <c r="S865" s="391"/>
      <c r="T865" s="391"/>
      <c r="U865" s="391"/>
      <c r="V865" s="391"/>
      <c r="W865" s="391"/>
      <c r="X865" s="391"/>
    </row>
    <row r="866">
      <c r="A866" s="391"/>
      <c r="B866" s="391"/>
      <c r="C866" s="391"/>
      <c r="D866" s="391"/>
      <c r="E866" s="391"/>
      <c r="F866" s="391"/>
      <c r="G866" s="391"/>
      <c r="H866" s="391"/>
      <c r="I866" s="391"/>
      <c r="J866" s="391"/>
      <c r="K866" s="391"/>
      <c r="L866" s="391"/>
      <c r="M866" s="391"/>
      <c r="N866" s="391"/>
      <c r="O866" s="391"/>
      <c r="P866" s="391"/>
      <c r="Q866" s="391"/>
      <c r="R866" s="391"/>
      <c r="S866" s="391"/>
      <c r="T866" s="391"/>
      <c r="U866" s="391"/>
      <c r="V866" s="391"/>
      <c r="W866" s="391"/>
      <c r="X866" s="391"/>
    </row>
    <row r="867">
      <c r="A867" s="391"/>
      <c r="B867" s="391"/>
      <c r="C867" s="391"/>
      <c r="D867" s="391"/>
      <c r="E867" s="391"/>
      <c r="F867" s="391"/>
      <c r="G867" s="391"/>
      <c r="H867" s="391"/>
      <c r="I867" s="391"/>
      <c r="J867" s="391"/>
      <c r="K867" s="391"/>
      <c r="L867" s="391"/>
      <c r="M867" s="391"/>
      <c r="N867" s="391"/>
      <c r="O867" s="391"/>
      <c r="P867" s="391"/>
      <c r="Q867" s="391"/>
      <c r="R867" s="391"/>
      <c r="S867" s="391"/>
      <c r="T867" s="391"/>
      <c r="U867" s="391"/>
      <c r="V867" s="391"/>
      <c r="W867" s="391"/>
      <c r="X867" s="391"/>
    </row>
    <row r="868">
      <c r="A868" s="391"/>
      <c r="B868" s="391"/>
      <c r="C868" s="391"/>
      <c r="D868" s="391"/>
      <c r="E868" s="391"/>
      <c r="F868" s="391"/>
      <c r="G868" s="391"/>
      <c r="H868" s="391"/>
      <c r="I868" s="391"/>
      <c r="J868" s="391"/>
      <c r="K868" s="391"/>
      <c r="L868" s="391"/>
      <c r="M868" s="391"/>
      <c r="N868" s="391"/>
      <c r="O868" s="391"/>
      <c r="P868" s="391"/>
      <c r="Q868" s="391"/>
      <c r="R868" s="391"/>
      <c r="S868" s="391"/>
      <c r="T868" s="391"/>
      <c r="U868" s="391"/>
      <c r="V868" s="391"/>
      <c r="W868" s="391"/>
      <c r="X868" s="391"/>
    </row>
    <row r="869">
      <c r="A869" s="391"/>
      <c r="B869" s="391"/>
      <c r="C869" s="391"/>
      <c r="D869" s="391"/>
      <c r="E869" s="391"/>
      <c r="F869" s="391"/>
      <c r="G869" s="391"/>
      <c r="H869" s="391"/>
      <c r="I869" s="391"/>
      <c r="J869" s="391"/>
      <c r="K869" s="391"/>
      <c r="L869" s="391"/>
      <c r="M869" s="391"/>
      <c r="N869" s="391"/>
      <c r="O869" s="391"/>
      <c r="P869" s="391"/>
      <c r="Q869" s="391"/>
      <c r="R869" s="391"/>
      <c r="S869" s="391"/>
      <c r="T869" s="391"/>
      <c r="U869" s="391"/>
      <c r="V869" s="391"/>
      <c r="W869" s="391"/>
      <c r="X869" s="391"/>
    </row>
    <row r="870">
      <c r="A870" s="391"/>
      <c r="B870" s="391"/>
      <c r="C870" s="391"/>
      <c r="D870" s="391"/>
      <c r="E870" s="391"/>
      <c r="F870" s="391"/>
      <c r="G870" s="391"/>
      <c r="H870" s="391"/>
      <c r="I870" s="391"/>
      <c r="J870" s="391"/>
      <c r="K870" s="391"/>
      <c r="L870" s="391"/>
      <c r="M870" s="391"/>
      <c r="N870" s="391"/>
      <c r="O870" s="391"/>
      <c r="P870" s="391"/>
      <c r="Q870" s="391"/>
      <c r="R870" s="391"/>
      <c r="S870" s="391"/>
      <c r="T870" s="391"/>
      <c r="U870" s="391"/>
      <c r="V870" s="391"/>
      <c r="W870" s="391"/>
      <c r="X870" s="391"/>
    </row>
    <row r="871">
      <c r="A871" s="391"/>
      <c r="B871" s="391"/>
      <c r="C871" s="391"/>
      <c r="D871" s="391"/>
      <c r="E871" s="391"/>
      <c r="F871" s="391"/>
      <c r="G871" s="391"/>
      <c r="H871" s="391"/>
      <c r="I871" s="391"/>
      <c r="J871" s="391"/>
      <c r="K871" s="391"/>
      <c r="L871" s="391"/>
      <c r="M871" s="391"/>
      <c r="N871" s="391"/>
      <c r="O871" s="391"/>
      <c r="P871" s="391"/>
      <c r="Q871" s="391"/>
      <c r="R871" s="391"/>
      <c r="S871" s="391"/>
      <c r="T871" s="391"/>
      <c r="U871" s="391"/>
      <c r="V871" s="391"/>
      <c r="W871" s="391"/>
      <c r="X871" s="391"/>
    </row>
    <row r="872">
      <c r="A872" s="391"/>
      <c r="B872" s="391"/>
      <c r="C872" s="391"/>
      <c r="D872" s="391"/>
      <c r="E872" s="391"/>
      <c r="F872" s="391"/>
      <c r="G872" s="391"/>
      <c r="H872" s="391"/>
      <c r="I872" s="391"/>
      <c r="J872" s="391"/>
      <c r="K872" s="391"/>
      <c r="L872" s="391"/>
      <c r="M872" s="391"/>
      <c r="N872" s="391"/>
      <c r="O872" s="391"/>
      <c r="P872" s="391"/>
      <c r="Q872" s="391"/>
      <c r="R872" s="391"/>
      <c r="S872" s="391"/>
      <c r="T872" s="391"/>
      <c r="U872" s="391"/>
      <c r="V872" s="391"/>
      <c r="W872" s="391"/>
      <c r="X872" s="391"/>
    </row>
    <row r="873">
      <c r="A873" s="391"/>
      <c r="B873" s="391"/>
      <c r="C873" s="391"/>
      <c r="D873" s="391"/>
      <c r="E873" s="391"/>
      <c r="F873" s="391"/>
      <c r="G873" s="391"/>
      <c r="H873" s="391"/>
      <c r="I873" s="391"/>
      <c r="J873" s="391"/>
      <c r="K873" s="391"/>
      <c r="L873" s="391"/>
      <c r="M873" s="391"/>
      <c r="N873" s="391"/>
      <c r="O873" s="391"/>
      <c r="P873" s="391"/>
      <c r="Q873" s="391"/>
      <c r="R873" s="391"/>
      <c r="S873" s="391"/>
      <c r="T873" s="391"/>
      <c r="U873" s="391"/>
      <c r="V873" s="391"/>
      <c r="W873" s="391"/>
      <c r="X873" s="391"/>
    </row>
    <row r="874">
      <c r="A874" s="391"/>
      <c r="B874" s="391"/>
      <c r="C874" s="391"/>
      <c r="D874" s="391"/>
      <c r="E874" s="391"/>
      <c r="F874" s="391"/>
      <c r="G874" s="391"/>
      <c r="H874" s="391"/>
      <c r="I874" s="391"/>
      <c r="J874" s="391"/>
      <c r="K874" s="391"/>
      <c r="L874" s="391"/>
      <c r="M874" s="391"/>
      <c r="N874" s="391"/>
      <c r="O874" s="391"/>
      <c r="P874" s="391"/>
      <c r="Q874" s="391"/>
      <c r="R874" s="391"/>
      <c r="S874" s="391"/>
      <c r="T874" s="391"/>
      <c r="U874" s="391"/>
      <c r="V874" s="391"/>
      <c r="W874" s="391"/>
      <c r="X874" s="391"/>
    </row>
    <row r="875">
      <c r="A875" s="391"/>
      <c r="B875" s="391"/>
      <c r="C875" s="391"/>
      <c r="D875" s="391"/>
      <c r="E875" s="391"/>
      <c r="F875" s="391"/>
      <c r="G875" s="391"/>
      <c r="H875" s="391"/>
      <c r="I875" s="391"/>
      <c r="J875" s="391"/>
      <c r="K875" s="391"/>
      <c r="L875" s="391"/>
      <c r="M875" s="391"/>
      <c r="N875" s="391"/>
      <c r="O875" s="391"/>
      <c r="P875" s="391"/>
      <c r="Q875" s="391"/>
      <c r="R875" s="391"/>
      <c r="S875" s="391"/>
      <c r="T875" s="391"/>
      <c r="U875" s="391"/>
      <c r="V875" s="391"/>
      <c r="W875" s="391"/>
      <c r="X875" s="391"/>
    </row>
    <row r="876">
      <c r="A876" s="391"/>
      <c r="B876" s="391"/>
      <c r="C876" s="391"/>
      <c r="D876" s="391"/>
      <c r="E876" s="391"/>
      <c r="F876" s="391"/>
      <c r="G876" s="391"/>
      <c r="H876" s="391"/>
      <c r="I876" s="391"/>
      <c r="J876" s="391"/>
      <c r="K876" s="391"/>
      <c r="L876" s="391"/>
      <c r="M876" s="391"/>
      <c r="N876" s="391"/>
      <c r="O876" s="391"/>
      <c r="P876" s="391"/>
      <c r="Q876" s="391"/>
      <c r="R876" s="391"/>
      <c r="S876" s="391"/>
      <c r="T876" s="391"/>
      <c r="U876" s="391"/>
      <c r="V876" s="391"/>
      <c r="W876" s="391"/>
      <c r="X876" s="391"/>
    </row>
    <row r="877">
      <c r="A877" s="391"/>
      <c r="B877" s="391"/>
      <c r="C877" s="391"/>
      <c r="D877" s="391"/>
      <c r="E877" s="391"/>
      <c r="F877" s="391"/>
      <c r="G877" s="391"/>
      <c r="H877" s="391"/>
      <c r="I877" s="391"/>
      <c r="J877" s="391"/>
      <c r="K877" s="391"/>
      <c r="L877" s="391"/>
      <c r="M877" s="391"/>
      <c r="N877" s="391"/>
      <c r="O877" s="391"/>
      <c r="P877" s="391"/>
      <c r="Q877" s="391"/>
      <c r="R877" s="391"/>
      <c r="S877" s="391"/>
      <c r="T877" s="391"/>
      <c r="U877" s="391"/>
      <c r="V877" s="391"/>
      <c r="W877" s="391"/>
      <c r="X877" s="391"/>
    </row>
    <row r="878">
      <c r="A878" s="391"/>
      <c r="B878" s="391"/>
      <c r="C878" s="391"/>
      <c r="D878" s="391"/>
      <c r="E878" s="391"/>
      <c r="F878" s="391"/>
      <c r="G878" s="391"/>
      <c r="H878" s="391"/>
      <c r="I878" s="391"/>
      <c r="J878" s="391"/>
      <c r="K878" s="391"/>
      <c r="L878" s="391"/>
      <c r="M878" s="391"/>
      <c r="N878" s="391"/>
      <c r="O878" s="391"/>
      <c r="P878" s="391"/>
      <c r="Q878" s="391"/>
      <c r="R878" s="391"/>
      <c r="S878" s="391"/>
      <c r="T878" s="391"/>
      <c r="U878" s="391"/>
      <c r="V878" s="391"/>
      <c r="W878" s="391"/>
      <c r="X878" s="391"/>
    </row>
    <row r="879">
      <c r="A879" s="391"/>
      <c r="B879" s="391"/>
      <c r="C879" s="391"/>
      <c r="D879" s="391"/>
      <c r="E879" s="391"/>
      <c r="F879" s="391"/>
      <c r="G879" s="391"/>
      <c r="H879" s="391"/>
      <c r="I879" s="391"/>
      <c r="J879" s="391"/>
      <c r="K879" s="391"/>
      <c r="L879" s="391"/>
      <c r="M879" s="391"/>
      <c r="N879" s="391"/>
      <c r="O879" s="391"/>
      <c r="P879" s="391"/>
      <c r="Q879" s="391"/>
      <c r="R879" s="391"/>
      <c r="S879" s="391"/>
      <c r="T879" s="391"/>
      <c r="U879" s="391"/>
      <c r="V879" s="391"/>
      <c r="W879" s="391"/>
      <c r="X879" s="391"/>
    </row>
    <row r="880">
      <c r="A880" s="391"/>
      <c r="B880" s="391"/>
      <c r="C880" s="391"/>
      <c r="D880" s="391"/>
      <c r="E880" s="391"/>
      <c r="F880" s="391"/>
      <c r="G880" s="391"/>
      <c r="H880" s="391"/>
      <c r="I880" s="391"/>
      <c r="J880" s="391"/>
      <c r="K880" s="391"/>
      <c r="L880" s="391"/>
      <c r="M880" s="391"/>
      <c r="N880" s="391"/>
      <c r="O880" s="391"/>
      <c r="P880" s="391"/>
      <c r="Q880" s="391"/>
      <c r="R880" s="391"/>
      <c r="S880" s="391"/>
      <c r="T880" s="391"/>
      <c r="U880" s="391"/>
      <c r="V880" s="391"/>
      <c r="W880" s="391"/>
      <c r="X880" s="391"/>
    </row>
    <row r="881">
      <c r="A881" s="391"/>
      <c r="B881" s="391"/>
      <c r="C881" s="391"/>
      <c r="D881" s="391"/>
      <c r="E881" s="391"/>
      <c r="F881" s="391"/>
      <c r="G881" s="391"/>
      <c r="H881" s="391"/>
      <c r="I881" s="391"/>
      <c r="J881" s="391"/>
      <c r="K881" s="391"/>
      <c r="L881" s="391"/>
      <c r="M881" s="391"/>
      <c r="N881" s="391"/>
      <c r="O881" s="391"/>
      <c r="P881" s="391"/>
      <c r="Q881" s="391"/>
      <c r="R881" s="391"/>
      <c r="S881" s="391"/>
      <c r="T881" s="391"/>
      <c r="U881" s="391"/>
      <c r="V881" s="391"/>
      <c r="W881" s="391"/>
      <c r="X881" s="391"/>
    </row>
    <row r="882">
      <c r="A882" s="391"/>
      <c r="B882" s="391"/>
      <c r="C882" s="391"/>
      <c r="D882" s="391"/>
      <c r="E882" s="391"/>
      <c r="F882" s="391"/>
      <c r="G882" s="391"/>
      <c r="H882" s="391"/>
      <c r="I882" s="391"/>
      <c r="J882" s="391"/>
      <c r="K882" s="391"/>
      <c r="L882" s="391"/>
      <c r="M882" s="391"/>
      <c r="N882" s="391"/>
      <c r="O882" s="391"/>
      <c r="P882" s="391"/>
      <c r="Q882" s="391"/>
      <c r="R882" s="391"/>
      <c r="S882" s="391"/>
      <c r="T882" s="391"/>
      <c r="U882" s="391"/>
      <c r="V882" s="391"/>
      <c r="W882" s="391"/>
      <c r="X882" s="391"/>
    </row>
    <row r="883">
      <c r="A883" s="391"/>
      <c r="B883" s="391"/>
      <c r="C883" s="391"/>
      <c r="D883" s="391"/>
      <c r="E883" s="391"/>
      <c r="F883" s="391"/>
      <c r="G883" s="391"/>
      <c r="H883" s="391"/>
      <c r="I883" s="391"/>
      <c r="J883" s="391"/>
      <c r="K883" s="391"/>
      <c r="L883" s="391"/>
      <c r="M883" s="391"/>
      <c r="N883" s="391"/>
      <c r="O883" s="391"/>
      <c r="P883" s="391"/>
      <c r="Q883" s="391"/>
      <c r="R883" s="391"/>
      <c r="S883" s="391"/>
      <c r="T883" s="391"/>
      <c r="U883" s="391"/>
      <c r="V883" s="391"/>
      <c r="W883" s="391"/>
      <c r="X883" s="391"/>
    </row>
    <row r="884">
      <c r="A884" s="391"/>
      <c r="B884" s="391"/>
      <c r="C884" s="391"/>
      <c r="D884" s="391"/>
      <c r="E884" s="391"/>
      <c r="F884" s="391"/>
      <c r="G884" s="391"/>
      <c r="H884" s="391"/>
      <c r="I884" s="391"/>
      <c r="J884" s="391"/>
      <c r="K884" s="391"/>
      <c r="L884" s="391"/>
      <c r="M884" s="391"/>
      <c r="N884" s="391"/>
      <c r="O884" s="391"/>
      <c r="P884" s="391"/>
      <c r="Q884" s="391"/>
      <c r="R884" s="391"/>
      <c r="S884" s="391"/>
      <c r="T884" s="391"/>
      <c r="U884" s="391"/>
      <c r="V884" s="391"/>
      <c r="W884" s="391"/>
      <c r="X884" s="391"/>
    </row>
    <row r="885">
      <c r="A885" s="391"/>
      <c r="B885" s="391"/>
      <c r="C885" s="391"/>
      <c r="D885" s="391"/>
      <c r="E885" s="391"/>
      <c r="F885" s="391"/>
      <c r="G885" s="391"/>
      <c r="H885" s="391"/>
      <c r="I885" s="391"/>
      <c r="J885" s="391"/>
      <c r="K885" s="391"/>
      <c r="L885" s="391"/>
      <c r="M885" s="391"/>
      <c r="N885" s="391"/>
      <c r="O885" s="391"/>
      <c r="P885" s="391"/>
      <c r="Q885" s="391"/>
      <c r="R885" s="391"/>
      <c r="S885" s="391"/>
      <c r="T885" s="391"/>
      <c r="U885" s="391"/>
      <c r="V885" s="391"/>
      <c r="W885" s="391"/>
      <c r="X885" s="391"/>
    </row>
    <row r="886">
      <c r="A886" s="391"/>
      <c r="B886" s="391"/>
      <c r="C886" s="391"/>
      <c r="D886" s="391"/>
      <c r="E886" s="391"/>
      <c r="F886" s="391"/>
      <c r="G886" s="391"/>
      <c r="H886" s="391"/>
      <c r="I886" s="391"/>
      <c r="J886" s="391"/>
      <c r="K886" s="391"/>
      <c r="L886" s="391"/>
      <c r="M886" s="391"/>
      <c r="N886" s="391"/>
      <c r="O886" s="391"/>
      <c r="P886" s="391"/>
      <c r="Q886" s="391"/>
      <c r="R886" s="391"/>
      <c r="S886" s="391"/>
      <c r="T886" s="391"/>
      <c r="U886" s="391"/>
      <c r="V886" s="391"/>
      <c r="W886" s="391"/>
      <c r="X886" s="391"/>
    </row>
    <row r="887">
      <c r="A887" s="391"/>
      <c r="B887" s="391"/>
      <c r="C887" s="391"/>
      <c r="D887" s="391"/>
      <c r="E887" s="391"/>
      <c r="F887" s="391"/>
      <c r="G887" s="391"/>
      <c r="H887" s="391"/>
      <c r="I887" s="391"/>
      <c r="J887" s="391"/>
      <c r="K887" s="391"/>
      <c r="L887" s="391"/>
      <c r="M887" s="391"/>
      <c r="N887" s="391"/>
      <c r="O887" s="391"/>
      <c r="P887" s="391"/>
      <c r="Q887" s="391"/>
      <c r="R887" s="391"/>
      <c r="S887" s="391"/>
      <c r="T887" s="391"/>
      <c r="U887" s="391"/>
      <c r="V887" s="391"/>
      <c r="W887" s="391"/>
      <c r="X887" s="391"/>
    </row>
    <row r="888">
      <c r="A888" s="391"/>
      <c r="B888" s="391"/>
      <c r="C888" s="391"/>
      <c r="D888" s="391"/>
      <c r="E888" s="391"/>
      <c r="F888" s="391"/>
      <c r="G888" s="391"/>
      <c r="H888" s="391"/>
      <c r="I888" s="391"/>
      <c r="J888" s="391"/>
      <c r="K888" s="391"/>
      <c r="L888" s="391"/>
      <c r="M888" s="391"/>
      <c r="N888" s="391"/>
      <c r="O888" s="391"/>
      <c r="P888" s="391"/>
      <c r="Q888" s="391"/>
      <c r="R888" s="391"/>
      <c r="S888" s="391"/>
      <c r="T888" s="391"/>
      <c r="U888" s="391"/>
      <c r="V888" s="391"/>
      <c r="W888" s="391"/>
      <c r="X888" s="391"/>
    </row>
    <row r="889">
      <c r="A889" s="391"/>
      <c r="B889" s="391"/>
      <c r="C889" s="391"/>
      <c r="D889" s="391"/>
      <c r="E889" s="391"/>
      <c r="F889" s="391"/>
      <c r="G889" s="391"/>
      <c r="H889" s="391"/>
      <c r="I889" s="391"/>
      <c r="J889" s="391"/>
      <c r="K889" s="391"/>
      <c r="L889" s="391"/>
      <c r="M889" s="391"/>
      <c r="N889" s="391"/>
      <c r="O889" s="391"/>
      <c r="P889" s="391"/>
      <c r="Q889" s="391"/>
      <c r="R889" s="391"/>
      <c r="S889" s="391"/>
      <c r="T889" s="391"/>
      <c r="U889" s="391"/>
      <c r="V889" s="391"/>
      <c r="W889" s="391"/>
      <c r="X889" s="391"/>
    </row>
    <row r="890">
      <c r="A890" s="391"/>
      <c r="B890" s="391"/>
      <c r="C890" s="391"/>
      <c r="D890" s="391"/>
      <c r="E890" s="391"/>
      <c r="F890" s="391"/>
      <c r="G890" s="391"/>
      <c r="H890" s="391"/>
      <c r="I890" s="391"/>
      <c r="J890" s="391"/>
      <c r="K890" s="391"/>
      <c r="L890" s="391"/>
      <c r="M890" s="391"/>
      <c r="N890" s="391"/>
      <c r="O890" s="391"/>
      <c r="P890" s="391"/>
      <c r="Q890" s="391"/>
      <c r="R890" s="391"/>
      <c r="S890" s="391"/>
      <c r="T890" s="391"/>
      <c r="U890" s="391"/>
      <c r="V890" s="391"/>
      <c r="W890" s="391"/>
      <c r="X890" s="391"/>
    </row>
    <row r="891">
      <c r="A891" s="391"/>
      <c r="B891" s="391"/>
      <c r="C891" s="391"/>
      <c r="D891" s="391"/>
      <c r="E891" s="391"/>
      <c r="F891" s="391"/>
      <c r="G891" s="391"/>
      <c r="H891" s="391"/>
      <c r="I891" s="391"/>
      <c r="J891" s="391"/>
      <c r="K891" s="391"/>
      <c r="L891" s="391"/>
      <c r="M891" s="391"/>
      <c r="N891" s="391"/>
      <c r="O891" s="391"/>
      <c r="P891" s="391"/>
      <c r="Q891" s="391"/>
      <c r="R891" s="391"/>
      <c r="S891" s="391"/>
      <c r="T891" s="391"/>
      <c r="U891" s="391"/>
      <c r="V891" s="391"/>
      <c r="W891" s="391"/>
      <c r="X891" s="391"/>
    </row>
    <row r="892">
      <c r="A892" s="391"/>
      <c r="B892" s="391"/>
      <c r="C892" s="391"/>
      <c r="D892" s="391"/>
      <c r="E892" s="391"/>
      <c r="F892" s="391"/>
      <c r="G892" s="391"/>
      <c r="H892" s="391"/>
      <c r="I892" s="391"/>
      <c r="J892" s="391"/>
      <c r="K892" s="391"/>
      <c r="L892" s="391"/>
      <c r="M892" s="391"/>
      <c r="N892" s="391"/>
      <c r="O892" s="391"/>
      <c r="P892" s="391"/>
      <c r="Q892" s="391"/>
      <c r="R892" s="391"/>
      <c r="S892" s="391"/>
      <c r="T892" s="391"/>
      <c r="U892" s="391"/>
      <c r="V892" s="391"/>
      <c r="W892" s="391"/>
      <c r="X892" s="391"/>
    </row>
    <row r="893">
      <c r="A893" s="391"/>
      <c r="B893" s="391"/>
      <c r="C893" s="391"/>
      <c r="D893" s="391"/>
      <c r="E893" s="391"/>
      <c r="F893" s="391"/>
      <c r="G893" s="391"/>
      <c r="H893" s="391"/>
      <c r="I893" s="391"/>
      <c r="J893" s="391"/>
      <c r="K893" s="391"/>
      <c r="L893" s="391"/>
      <c r="M893" s="391"/>
      <c r="N893" s="391"/>
      <c r="O893" s="391"/>
      <c r="P893" s="391"/>
      <c r="Q893" s="391"/>
      <c r="R893" s="391"/>
      <c r="S893" s="391"/>
      <c r="T893" s="391"/>
      <c r="U893" s="391"/>
      <c r="V893" s="391"/>
      <c r="W893" s="391"/>
      <c r="X893" s="391"/>
    </row>
    <row r="894">
      <c r="A894" s="391"/>
      <c r="B894" s="391"/>
      <c r="C894" s="391"/>
      <c r="D894" s="391"/>
      <c r="E894" s="391"/>
      <c r="F894" s="391"/>
      <c r="G894" s="391"/>
      <c r="H894" s="391"/>
      <c r="I894" s="391"/>
      <c r="J894" s="391"/>
      <c r="K894" s="391"/>
      <c r="L894" s="391"/>
      <c r="M894" s="391"/>
      <c r="N894" s="391"/>
      <c r="O894" s="391"/>
      <c r="P894" s="391"/>
      <c r="Q894" s="391"/>
      <c r="R894" s="391"/>
      <c r="S894" s="391"/>
      <c r="T894" s="391"/>
      <c r="U894" s="391"/>
      <c r="V894" s="391"/>
      <c r="W894" s="391"/>
      <c r="X894" s="391"/>
    </row>
    <row r="895">
      <c r="A895" s="391"/>
      <c r="B895" s="391"/>
      <c r="C895" s="391"/>
      <c r="D895" s="391"/>
      <c r="E895" s="391"/>
      <c r="F895" s="391"/>
      <c r="G895" s="391"/>
      <c r="H895" s="391"/>
      <c r="I895" s="391"/>
      <c r="J895" s="391"/>
      <c r="K895" s="391"/>
      <c r="L895" s="391"/>
      <c r="M895" s="391"/>
      <c r="N895" s="391"/>
      <c r="O895" s="391"/>
      <c r="P895" s="391"/>
      <c r="Q895" s="391"/>
      <c r="R895" s="391"/>
      <c r="S895" s="391"/>
      <c r="T895" s="391"/>
      <c r="U895" s="391"/>
      <c r="V895" s="391"/>
      <c r="W895" s="391"/>
      <c r="X895" s="391"/>
    </row>
    <row r="896">
      <c r="A896" s="391"/>
      <c r="B896" s="391"/>
      <c r="C896" s="391"/>
      <c r="D896" s="391"/>
      <c r="E896" s="391"/>
      <c r="F896" s="391"/>
      <c r="G896" s="391"/>
      <c r="H896" s="391"/>
      <c r="I896" s="391"/>
      <c r="J896" s="391"/>
      <c r="K896" s="391"/>
      <c r="L896" s="391"/>
      <c r="M896" s="391"/>
      <c r="N896" s="391"/>
      <c r="O896" s="391"/>
      <c r="P896" s="391"/>
      <c r="Q896" s="391"/>
      <c r="R896" s="391"/>
      <c r="S896" s="391"/>
      <c r="T896" s="391"/>
      <c r="U896" s="391"/>
      <c r="V896" s="391"/>
      <c r="W896" s="391"/>
      <c r="X896" s="391"/>
    </row>
    <row r="897">
      <c r="A897" s="391"/>
      <c r="B897" s="391"/>
      <c r="C897" s="391"/>
      <c r="D897" s="391"/>
      <c r="E897" s="391"/>
      <c r="F897" s="391"/>
      <c r="G897" s="391"/>
      <c r="H897" s="391"/>
      <c r="I897" s="391"/>
      <c r="J897" s="391"/>
      <c r="K897" s="391"/>
      <c r="L897" s="391"/>
      <c r="M897" s="391"/>
      <c r="N897" s="391"/>
      <c r="O897" s="391"/>
      <c r="P897" s="391"/>
      <c r="Q897" s="391"/>
      <c r="R897" s="391"/>
      <c r="S897" s="391"/>
      <c r="T897" s="391"/>
      <c r="U897" s="391"/>
      <c r="V897" s="391"/>
      <c r="W897" s="391"/>
      <c r="X897" s="391"/>
    </row>
    <row r="898">
      <c r="A898" s="391"/>
      <c r="B898" s="391"/>
      <c r="C898" s="391"/>
      <c r="D898" s="391"/>
      <c r="E898" s="391"/>
      <c r="F898" s="391"/>
      <c r="G898" s="391"/>
      <c r="H898" s="391"/>
      <c r="I898" s="391"/>
      <c r="J898" s="391"/>
      <c r="K898" s="391"/>
      <c r="L898" s="391"/>
      <c r="M898" s="391"/>
      <c r="N898" s="391"/>
      <c r="O898" s="391"/>
      <c r="P898" s="391"/>
      <c r="Q898" s="391"/>
      <c r="R898" s="391"/>
      <c r="S898" s="391"/>
      <c r="T898" s="391"/>
      <c r="U898" s="391"/>
      <c r="V898" s="391"/>
      <c r="W898" s="391"/>
      <c r="X898" s="391"/>
    </row>
    <row r="899">
      <c r="A899" s="391"/>
      <c r="B899" s="391"/>
      <c r="C899" s="391"/>
      <c r="D899" s="391"/>
      <c r="E899" s="391"/>
      <c r="F899" s="391"/>
      <c r="G899" s="391"/>
      <c r="H899" s="391"/>
      <c r="I899" s="391"/>
      <c r="J899" s="391"/>
      <c r="K899" s="391"/>
      <c r="L899" s="391"/>
      <c r="M899" s="391"/>
      <c r="N899" s="391"/>
      <c r="O899" s="391"/>
      <c r="P899" s="391"/>
      <c r="Q899" s="391"/>
      <c r="R899" s="391"/>
      <c r="S899" s="391"/>
      <c r="T899" s="391"/>
      <c r="U899" s="391"/>
      <c r="V899" s="391"/>
      <c r="W899" s="391"/>
      <c r="X899" s="391"/>
    </row>
    <row r="900">
      <c r="A900" s="391"/>
      <c r="B900" s="391"/>
      <c r="C900" s="391"/>
      <c r="D900" s="391"/>
      <c r="E900" s="391"/>
      <c r="F900" s="391"/>
      <c r="G900" s="391"/>
      <c r="H900" s="391"/>
      <c r="I900" s="391"/>
      <c r="J900" s="391"/>
      <c r="K900" s="391"/>
      <c r="L900" s="391"/>
      <c r="M900" s="391"/>
      <c r="N900" s="391"/>
      <c r="O900" s="391"/>
      <c r="P900" s="391"/>
      <c r="Q900" s="391"/>
      <c r="R900" s="391"/>
      <c r="S900" s="391"/>
      <c r="T900" s="391"/>
      <c r="U900" s="391"/>
      <c r="V900" s="391"/>
      <c r="W900" s="391"/>
      <c r="X900" s="391"/>
    </row>
    <row r="901">
      <c r="A901" s="391"/>
      <c r="B901" s="391"/>
      <c r="C901" s="391"/>
      <c r="D901" s="391"/>
      <c r="E901" s="391"/>
      <c r="F901" s="391"/>
      <c r="G901" s="391"/>
      <c r="H901" s="391"/>
      <c r="I901" s="391"/>
      <c r="J901" s="391"/>
      <c r="K901" s="391"/>
      <c r="L901" s="391"/>
      <c r="M901" s="391"/>
      <c r="N901" s="391"/>
      <c r="O901" s="391"/>
      <c r="P901" s="391"/>
      <c r="Q901" s="391"/>
      <c r="R901" s="391"/>
      <c r="S901" s="391"/>
      <c r="T901" s="391"/>
      <c r="U901" s="391"/>
      <c r="V901" s="391"/>
      <c r="W901" s="391"/>
      <c r="X901" s="391"/>
    </row>
    <row r="902">
      <c r="A902" s="391"/>
      <c r="B902" s="391"/>
      <c r="C902" s="391"/>
      <c r="D902" s="391"/>
      <c r="E902" s="391"/>
      <c r="F902" s="391"/>
      <c r="G902" s="391"/>
      <c r="H902" s="391"/>
      <c r="I902" s="391"/>
      <c r="J902" s="391"/>
      <c r="K902" s="391"/>
      <c r="L902" s="391"/>
      <c r="M902" s="391"/>
      <c r="N902" s="391"/>
      <c r="O902" s="391"/>
      <c r="P902" s="391"/>
      <c r="Q902" s="391"/>
      <c r="R902" s="391"/>
      <c r="S902" s="391"/>
      <c r="T902" s="391"/>
      <c r="U902" s="391"/>
      <c r="V902" s="391"/>
      <c r="W902" s="391"/>
      <c r="X902" s="391"/>
    </row>
    <row r="903">
      <c r="A903" s="391"/>
      <c r="B903" s="391"/>
      <c r="C903" s="391"/>
      <c r="D903" s="391"/>
      <c r="E903" s="391"/>
      <c r="F903" s="391"/>
      <c r="G903" s="391"/>
      <c r="H903" s="391"/>
      <c r="I903" s="391"/>
      <c r="J903" s="391"/>
      <c r="K903" s="391"/>
      <c r="L903" s="391"/>
      <c r="M903" s="391"/>
      <c r="N903" s="391"/>
      <c r="O903" s="391"/>
      <c r="P903" s="391"/>
      <c r="Q903" s="391"/>
      <c r="R903" s="391"/>
      <c r="S903" s="391"/>
      <c r="T903" s="391"/>
      <c r="U903" s="391"/>
      <c r="V903" s="391"/>
      <c r="W903" s="391"/>
      <c r="X903" s="391"/>
    </row>
    <row r="904">
      <c r="A904" s="391"/>
      <c r="B904" s="391"/>
      <c r="C904" s="391"/>
      <c r="D904" s="391"/>
      <c r="E904" s="391"/>
      <c r="F904" s="391"/>
      <c r="G904" s="391"/>
      <c r="H904" s="391"/>
      <c r="I904" s="391"/>
      <c r="J904" s="391"/>
      <c r="K904" s="391"/>
      <c r="L904" s="391"/>
      <c r="M904" s="391"/>
      <c r="N904" s="391"/>
      <c r="O904" s="391"/>
      <c r="P904" s="391"/>
      <c r="Q904" s="391"/>
      <c r="R904" s="391"/>
      <c r="S904" s="391"/>
      <c r="T904" s="391"/>
      <c r="U904" s="391"/>
      <c r="V904" s="391"/>
      <c r="W904" s="391"/>
      <c r="X904" s="391"/>
    </row>
    <row r="905">
      <c r="A905" s="391"/>
      <c r="B905" s="391"/>
      <c r="C905" s="391"/>
      <c r="D905" s="391"/>
      <c r="E905" s="391"/>
      <c r="F905" s="391"/>
      <c r="G905" s="391"/>
      <c r="H905" s="391"/>
      <c r="I905" s="391"/>
      <c r="J905" s="391"/>
      <c r="K905" s="391"/>
      <c r="L905" s="391"/>
      <c r="M905" s="391"/>
      <c r="N905" s="391"/>
      <c r="O905" s="391"/>
      <c r="P905" s="391"/>
      <c r="Q905" s="391"/>
      <c r="R905" s="391"/>
      <c r="S905" s="391"/>
      <c r="T905" s="391"/>
      <c r="U905" s="391"/>
      <c r="V905" s="391"/>
      <c r="W905" s="391"/>
      <c r="X905" s="391"/>
    </row>
    <row r="906">
      <c r="A906" s="391"/>
      <c r="B906" s="391"/>
      <c r="C906" s="391"/>
      <c r="D906" s="391"/>
      <c r="E906" s="391"/>
      <c r="F906" s="391"/>
      <c r="G906" s="391"/>
      <c r="H906" s="391"/>
      <c r="I906" s="391"/>
      <c r="J906" s="391"/>
      <c r="K906" s="391"/>
      <c r="L906" s="391"/>
      <c r="M906" s="391"/>
      <c r="N906" s="391"/>
      <c r="O906" s="391"/>
      <c r="P906" s="391"/>
      <c r="Q906" s="391"/>
      <c r="R906" s="391"/>
      <c r="S906" s="391"/>
      <c r="T906" s="391"/>
      <c r="U906" s="391"/>
      <c r="V906" s="391"/>
      <c r="W906" s="391"/>
      <c r="X906" s="391"/>
    </row>
    <row r="907">
      <c r="A907" s="391"/>
      <c r="B907" s="391"/>
      <c r="C907" s="391"/>
      <c r="D907" s="391"/>
      <c r="E907" s="391"/>
      <c r="F907" s="391"/>
      <c r="G907" s="391"/>
      <c r="H907" s="391"/>
      <c r="I907" s="391"/>
      <c r="J907" s="391"/>
      <c r="K907" s="391"/>
      <c r="L907" s="391"/>
      <c r="M907" s="391"/>
      <c r="N907" s="391"/>
      <c r="O907" s="391"/>
      <c r="P907" s="391"/>
      <c r="Q907" s="391"/>
      <c r="R907" s="391"/>
      <c r="S907" s="391"/>
      <c r="T907" s="391"/>
      <c r="U907" s="391"/>
      <c r="V907" s="391"/>
      <c r="W907" s="391"/>
      <c r="X907" s="391"/>
    </row>
    <row r="908">
      <c r="A908" s="391"/>
      <c r="B908" s="391"/>
      <c r="C908" s="391"/>
      <c r="D908" s="391"/>
      <c r="E908" s="391"/>
      <c r="F908" s="391"/>
      <c r="G908" s="391"/>
      <c r="H908" s="391"/>
      <c r="I908" s="391"/>
      <c r="J908" s="391"/>
      <c r="K908" s="391"/>
      <c r="L908" s="391"/>
      <c r="M908" s="391"/>
      <c r="N908" s="391"/>
      <c r="O908" s="391"/>
      <c r="P908" s="391"/>
      <c r="Q908" s="391"/>
      <c r="R908" s="391"/>
      <c r="S908" s="391"/>
      <c r="T908" s="391"/>
      <c r="U908" s="391"/>
      <c r="V908" s="391"/>
      <c r="W908" s="391"/>
      <c r="X908" s="391"/>
    </row>
    <row r="909">
      <c r="A909" s="391"/>
      <c r="B909" s="391"/>
      <c r="C909" s="391"/>
      <c r="D909" s="391"/>
      <c r="E909" s="391"/>
      <c r="F909" s="391"/>
      <c r="G909" s="391"/>
      <c r="H909" s="391"/>
      <c r="I909" s="391"/>
      <c r="J909" s="391"/>
      <c r="K909" s="391"/>
      <c r="L909" s="391"/>
      <c r="M909" s="391"/>
      <c r="N909" s="391"/>
      <c r="O909" s="391"/>
      <c r="P909" s="391"/>
      <c r="Q909" s="391"/>
      <c r="R909" s="391"/>
      <c r="S909" s="391"/>
      <c r="T909" s="391"/>
      <c r="U909" s="391"/>
      <c r="V909" s="391"/>
      <c r="W909" s="391"/>
      <c r="X909" s="391"/>
    </row>
    <row r="910">
      <c r="A910" s="391"/>
      <c r="B910" s="391"/>
      <c r="C910" s="391"/>
      <c r="D910" s="391"/>
      <c r="E910" s="391"/>
      <c r="F910" s="391"/>
      <c r="G910" s="391"/>
      <c r="H910" s="391"/>
      <c r="I910" s="391"/>
      <c r="J910" s="391"/>
      <c r="K910" s="391"/>
      <c r="L910" s="391"/>
      <c r="M910" s="391"/>
      <c r="N910" s="391"/>
      <c r="O910" s="391"/>
      <c r="P910" s="391"/>
      <c r="Q910" s="391"/>
      <c r="R910" s="391"/>
      <c r="S910" s="391"/>
      <c r="T910" s="391"/>
      <c r="U910" s="391"/>
      <c r="V910" s="391"/>
      <c r="W910" s="391"/>
      <c r="X910" s="391"/>
    </row>
    <row r="911">
      <c r="A911" s="391"/>
      <c r="B911" s="391"/>
      <c r="C911" s="391"/>
      <c r="D911" s="391"/>
      <c r="E911" s="391"/>
      <c r="F911" s="391"/>
      <c r="G911" s="391"/>
      <c r="H911" s="391"/>
      <c r="I911" s="391"/>
      <c r="J911" s="391"/>
      <c r="K911" s="391"/>
      <c r="L911" s="391"/>
      <c r="M911" s="391"/>
      <c r="N911" s="391"/>
      <c r="O911" s="391"/>
      <c r="P911" s="391"/>
      <c r="Q911" s="391"/>
      <c r="R911" s="391"/>
      <c r="S911" s="391"/>
      <c r="T911" s="391"/>
      <c r="U911" s="391"/>
      <c r="V911" s="391"/>
      <c r="W911" s="391"/>
      <c r="X911" s="391"/>
    </row>
    <row r="912">
      <c r="A912" s="391"/>
      <c r="B912" s="391"/>
      <c r="C912" s="391"/>
      <c r="D912" s="391"/>
      <c r="E912" s="391"/>
      <c r="F912" s="391"/>
      <c r="G912" s="391"/>
      <c r="H912" s="391"/>
      <c r="I912" s="391"/>
      <c r="J912" s="391"/>
      <c r="K912" s="391"/>
      <c r="L912" s="391"/>
      <c r="M912" s="391"/>
      <c r="N912" s="391"/>
      <c r="O912" s="391"/>
      <c r="P912" s="391"/>
      <c r="Q912" s="391"/>
      <c r="R912" s="391"/>
      <c r="S912" s="391"/>
      <c r="T912" s="391"/>
      <c r="U912" s="391"/>
      <c r="V912" s="391"/>
      <c r="W912" s="391"/>
      <c r="X912" s="391"/>
    </row>
    <row r="913">
      <c r="A913" s="391"/>
      <c r="B913" s="391"/>
      <c r="C913" s="391"/>
      <c r="D913" s="391"/>
      <c r="E913" s="391"/>
      <c r="F913" s="391"/>
      <c r="G913" s="391"/>
      <c r="H913" s="391"/>
      <c r="I913" s="391"/>
      <c r="J913" s="391"/>
      <c r="K913" s="391"/>
      <c r="L913" s="391"/>
      <c r="M913" s="391"/>
      <c r="N913" s="391"/>
      <c r="O913" s="391"/>
      <c r="P913" s="391"/>
      <c r="Q913" s="391"/>
      <c r="R913" s="391"/>
      <c r="S913" s="391"/>
      <c r="T913" s="391"/>
      <c r="U913" s="391"/>
      <c r="V913" s="391"/>
      <c r="W913" s="391"/>
      <c r="X913" s="391"/>
    </row>
    <row r="914">
      <c r="A914" s="391"/>
      <c r="B914" s="391"/>
      <c r="C914" s="391"/>
      <c r="D914" s="391"/>
      <c r="E914" s="391"/>
      <c r="F914" s="391"/>
      <c r="G914" s="391"/>
      <c r="H914" s="391"/>
      <c r="I914" s="391"/>
      <c r="J914" s="391"/>
      <c r="K914" s="391"/>
      <c r="L914" s="391"/>
      <c r="M914" s="391"/>
      <c r="N914" s="391"/>
      <c r="O914" s="391"/>
      <c r="P914" s="391"/>
      <c r="Q914" s="391"/>
      <c r="R914" s="391"/>
      <c r="S914" s="391"/>
      <c r="T914" s="391"/>
      <c r="U914" s="391"/>
      <c r="V914" s="391"/>
      <c r="W914" s="391"/>
      <c r="X914" s="391"/>
    </row>
    <row r="915">
      <c r="A915" s="391"/>
      <c r="B915" s="391"/>
      <c r="C915" s="391"/>
      <c r="D915" s="391"/>
      <c r="E915" s="391"/>
      <c r="F915" s="391"/>
      <c r="G915" s="391"/>
      <c r="H915" s="391"/>
      <c r="I915" s="391"/>
      <c r="J915" s="391"/>
      <c r="K915" s="391"/>
      <c r="L915" s="391"/>
      <c r="M915" s="391"/>
      <c r="N915" s="391"/>
      <c r="O915" s="391"/>
      <c r="P915" s="391"/>
      <c r="Q915" s="391"/>
      <c r="R915" s="391"/>
      <c r="S915" s="391"/>
      <c r="T915" s="391"/>
      <c r="U915" s="391"/>
      <c r="V915" s="391"/>
      <c r="W915" s="391"/>
      <c r="X915" s="391"/>
    </row>
    <row r="916">
      <c r="A916" s="391"/>
      <c r="B916" s="391"/>
      <c r="C916" s="391"/>
      <c r="D916" s="391"/>
      <c r="E916" s="391"/>
      <c r="F916" s="391"/>
      <c r="G916" s="391"/>
      <c r="H916" s="391"/>
      <c r="I916" s="391"/>
      <c r="J916" s="391"/>
      <c r="K916" s="391"/>
      <c r="L916" s="391"/>
      <c r="M916" s="391"/>
      <c r="N916" s="391"/>
      <c r="O916" s="391"/>
      <c r="P916" s="391"/>
      <c r="Q916" s="391"/>
      <c r="R916" s="391"/>
      <c r="S916" s="391"/>
      <c r="T916" s="391"/>
      <c r="U916" s="391"/>
      <c r="V916" s="391"/>
      <c r="W916" s="391"/>
      <c r="X916" s="391"/>
    </row>
    <row r="917">
      <c r="A917" s="391"/>
      <c r="B917" s="391"/>
      <c r="C917" s="391"/>
      <c r="D917" s="391"/>
      <c r="E917" s="391"/>
      <c r="F917" s="391"/>
      <c r="G917" s="391"/>
      <c r="H917" s="391"/>
      <c r="I917" s="391"/>
      <c r="J917" s="391"/>
      <c r="K917" s="391"/>
      <c r="L917" s="391"/>
      <c r="M917" s="391"/>
      <c r="N917" s="391"/>
      <c r="O917" s="391"/>
      <c r="P917" s="391"/>
      <c r="Q917" s="391"/>
      <c r="R917" s="391"/>
      <c r="S917" s="391"/>
      <c r="T917" s="391"/>
      <c r="U917" s="391"/>
      <c r="V917" s="391"/>
      <c r="W917" s="391"/>
      <c r="X917" s="391"/>
    </row>
    <row r="918">
      <c r="A918" s="391"/>
      <c r="B918" s="391"/>
      <c r="C918" s="391"/>
      <c r="D918" s="391"/>
      <c r="E918" s="391"/>
      <c r="F918" s="391"/>
      <c r="G918" s="391"/>
      <c r="H918" s="391"/>
      <c r="I918" s="391"/>
      <c r="J918" s="391"/>
      <c r="K918" s="391"/>
      <c r="L918" s="391"/>
      <c r="M918" s="391"/>
      <c r="N918" s="391"/>
      <c r="O918" s="391"/>
      <c r="P918" s="391"/>
      <c r="Q918" s="391"/>
      <c r="R918" s="391"/>
      <c r="S918" s="391"/>
      <c r="T918" s="391"/>
      <c r="U918" s="391"/>
      <c r="V918" s="391"/>
      <c r="W918" s="391"/>
      <c r="X918" s="391"/>
    </row>
    <row r="919">
      <c r="A919" s="391"/>
      <c r="B919" s="391"/>
      <c r="C919" s="391"/>
      <c r="D919" s="391"/>
      <c r="E919" s="391"/>
      <c r="F919" s="391"/>
      <c r="G919" s="391"/>
      <c r="H919" s="391"/>
      <c r="I919" s="391"/>
      <c r="J919" s="391"/>
      <c r="K919" s="391"/>
      <c r="L919" s="391"/>
      <c r="M919" s="391"/>
      <c r="N919" s="391"/>
      <c r="O919" s="391"/>
      <c r="P919" s="391"/>
      <c r="Q919" s="391"/>
      <c r="R919" s="391"/>
      <c r="S919" s="391"/>
      <c r="T919" s="391"/>
      <c r="U919" s="391"/>
      <c r="V919" s="391"/>
      <c r="W919" s="391"/>
      <c r="X919" s="391"/>
    </row>
    <row r="920">
      <c r="A920" s="391"/>
      <c r="B920" s="391"/>
      <c r="C920" s="391"/>
      <c r="D920" s="391"/>
      <c r="E920" s="391"/>
      <c r="F920" s="391"/>
      <c r="G920" s="391"/>
      <c r="H920" s="391"/>
      <c r="I920" s="391"/>
      <c r="J920" s="391"/>
      <c r="K920" s="391"/>
      <c r="L920" s="391"/>
      <c r="M920" s="391"/>
      <c r="N920" s="391"/>
      <c r="O920" s="391"/>
      <c r="P920" s="391"/>
      <c r="Q920" s="391"/>
      <c r="R920" s="391"/>
      <c r="S920" s="391"/>
      <c r="T920" s="391"/>
      <c r="U920" s="391"/>
      <c r="V920" s="391"/>
      <c r="W920" s="391"/>
      <c r="X920" s="391"/>
    </row>
    <row r="921">
      <c r="A921" s="391"/>
      <c r="B921" s="391"/>
      <c r="C921" s="391"/>
      <c r="D921" s="391"/>
      <c r="E921" s="391"/>
      <c r="F921" s="391"/>
      <c r="G921" s="391"/>
      <c r="H921" s="391"/>
      <c r="I921" s="391"/>
      <c r="J921" s="391"/>
      <c r="K921" s="391"/>
      <c r="L921" s="391"/>
      <c r="M921" s="391"/>
      <c r="N921" s="391"/>
      <c r="O921" s="391"/>
      <c r="P921" s="391"/>
      <c r="Q921" s="391"/>
      <c r="R921" s="391"/>
      <c r="S921" s="391"/>
      <c r="T921" s="391"/>
      <c r="U921" s="391"/>
      <c r="V921" s="391"/>
      <c r="W921" s="391"/>
      <c r="X921" s="391"/>
    </row>
    <row r="922">
      <c r="A922" s="391"/>
      <c r="B922" s="391"/>
      <c r="C922" s="391"/>
      <c r="D922" s="391"/>
      <c r="E922" s="391"/>
      <c r="F922" s="391"/>
      <c r="G922" s="391"/>
      <c r="H922" s="391"/>
      <c r="I922" s="391"/>
      <c r="J922" s="391"/>
      <c r="K922" s="391"/>
      <c r="L922" s="391"/>
      <c r="M922" s="391"/>
      <c r="N922" s="391"/>
      <c r="O922" s="391"/>
      <c r="P922" s="391"/>
      <c r="Q922" s="391"/>
      <c r="R922" s="391"/>
      <c r="S922" s="391"/>
      <c r="T922" s="391"/>
      <c r="U922" s="391"/>
      <c r="V922" s="391"/>
      <c r="W922" s="391"/>
      <c r="X922" s="391"/>
    </row>
    <row r="923">
      <c r="A923" s="391"/>
      <c r="B923" s="391"/>
      <c r="C923" s="391"/>
      <c r="D923" s="391"/>
      <c r="E923" s="391"/>
      <c r="F923" s="391"/>
      <c r="G923" s="391"/>
      <c r="H923" s="391"/>
      <c r="I923" s="391"/>
      <c r="J923" s="391"/>
      <c r="K923" s="391"/>
      <c r="L923" s="391"/>
      <c r="M923" s="391"/>
      <c r="N923" s="391"/>
      <c r="O923" s="391"/>
      <c r="P923" s="391"/>
      <c r="Q923" s="391"/>
      <c r="R923" s="391"/>
      <c r="S923" s="391"/>
      <c r="T923" s="391"/>
      <c r="U923" s="391"/>
      <c r="V923" s="391"/>
      <c r="W923" s="391"/>
      <c r="X923" s="391"/>
    </row>
    <row r="924">
      <c r="A924" s="391"/>
      <c r="B924" s="391"/>
      <c r="C924" s="391"/>
      <c r="D924" s="391"/>
      <c r="E924" s="391"/>
      <c r="F924" s="391"/>
      <c r="G924" s="391"/>
      <c r="H924" s="391"/>
      <c r="I924" s="391"/>
      <c r="J924" s="391"/>
      <c r="K924" s="391"/>
      <c r="L924" s="391"/>
      <c r="M924" s="391"/>
      <c r="N924" s="391"/>
      <c r="O924" s="391"/>
      <c r="P924" s="391"/>
      <c r="Q924" s="391"/>
      <c r="R924" s="391"/>
      <c r="S924" s="391"/>
      <c r="T924" s="391"/>
      <c r="U924" s="391"/>
      <c r="V924" s="391"/>
      <c r="W924" s="391"/>
      <c r="X924" s="391"/>
    </row>
    <row r="925">
      <c r="A925" s="391"/>
      <c r="B925" s="391"/>
      <c r="C925" s="391"/>
      <c r="D925" s="391"/>
      <c r="E925" s="391"/>
      <c r="F925" s="391"/>
      <c r="G925" s="391"/>
      <c r="H925" s="391"/>
      <c r="I925" s="391"/>
      <c r="J925" s="391"/>
      <c r="K925" s="391"/>
      <c r="L925" s="391"/>
      <c r="M925" s="391"/>
      <c r="N925" s="391"/>
      <c r="O925" s="391"/>
      <c r="P925" s="391"/>
      <c r="Q925" s="391"/>
      <c r="R925" s="391"/>
      <c r="S925" s="391"/>
      <c r="T925" s="391"/>
      <c r="U925" s="391"/>
      <c r="V925" s="391"/>
      <c r="W925" s="391"/>
      <c r="X925" s="391"/>
    </row>
    <row r="926">
      <c r="A926" s="391"/>
      <c r="B926" s="391"/>
      <c r="C926" s="391"/>
      <c r="D926" s="391"/>
      <c r="E926" s="391"/>
      <c r="F926" s="391"/>
      <c r="G926" s="391"/>
      <c r="H926" s="391"/>
      <c r="I926" s="391"/>
      <c r="J926" s="391"/>
      <c r="K926" s="391"/>
      <c r="L926" s="391"/>
      <c r="M926" s="391"/>
      <c r="N926" s="391"/>
      <c r="O926" s="391"/>
      <c r="P926" s="391"/>
      <c r="Q926" s="391"/>
      <c r="R926" s="391"/>
      <c r="S926" s="391"/>
      <c r="T926" s="391"/>
      <c r="U926" s="391"/>
      <c r="V926" s="391"/>
      <c r="W926" s="391"/>
      <c r="X926" s="391"/>
    </row>
    <row r="927">
      <c r="A927" s="391"/>
      <c r="B927" s="391"/>
      <c r="C927" s="391"/>
      <c r="D927" s="391"/>
      <c r="E927" s="391"/>
      <c r="F927" s="391"/>
      <c r="G927" s="391"/>
      <c r="H927" s="391"/>
      <c r="I927" s="391"/>
      <c r="J927" s="391"/>
      <c r="K927" s="391"/>
      <c r="L927" s="391"/>
      <c r="M927" s="391"/>
      <c r="N927" s="391"/>
      <c r="O927" s="391"/>
      <c r="P927" s="391"/>
      <c r="Q927" s="391"/>
      <c r="R927" s="391"/>
      <c r="S927" s="391"/>
      <c r="T927" s="391"/>
      <c r="U927" s="391"/>
      <c r="V927" s="391"/>
      <c r="W927" s="391"/>
      <c r="X927" s="391"/>
    </row>
    <row r="928">
      <c r="A928" s="391"/>
      <c r="B928" s="391"/>
      <c r="C928" s="391"/>
      <c r="D928" s="391"/>
      <c r="E928" s="391"/>
      <c r="F928" s="391"/>
      <c r="G928" s="391"/>
      <c r="H928" s="391"/>
      <c r="I928" s="391"/>
      <c r="J928" s="391"/>
      <c r="K928" s="391"/>
      <c r="L928" s="391"/>
      <c r="M928" s="391"/>
      <c r="N928" s="391"/>
      <c r="O928" s="391"/>
      <c r="P928" s="391"/>
      <c r="Q928" s="391"/>
      <c r="R928" s="391"/>
      <c r="S928" s="391"/>
      <c r="T928" s="391"/>
      <c r="U928" s="391"/>
      <c r="V928" s="391"/>
      <c r="W928" s="391"/>
      <c r="X928" s="391"/>
    </row>
    <row r="929">
      <c r="A929" s="391"/>
      <c r="B929" s="391"/>
      <c r="C929" s="391"/>
      <c r="D929" s="391"/>
      <c r="E929" s="391"/>
      <c r="F929" s="391"/>
      <c r="G929" s="391"/>
      <c r="H929" s="391"/>
      <c r="I929" s="391"/>
      <c r="J929" s="391"/>
      <c r="K929" s="391"/>
      <c r="L929" s="391"/>
      <c r="M929" s="391"/>
      <c r="N929" s="391"/>
      <c r="O929" s="391"/>
      <c r="P929" s="391"/>
      <c r="Q929" s="391"/>
      <c r="R929" s="391"/>
      <c r="S929" s="391"/>
      <c r="T929" s="391"/>
      <c r="U929" s="391"/>
      <c r="V929" s="391"/>
      <c r="W929" s="391"/>
      <c r="X929" s="391"/>
    </row>
    <row r="930">
      <c r="A930" s="391"/>
      <c r="B930" s="391"/>
      <c r="C930" s="391"/>
      <c r="D930" s="391"/>
      <c r="E930" s="391"/>
      <c r="F930" s="391"/>
      <c r="G930" s="391"/>
      <c r="H930" s="391"/>
      <c r="I930" s="391"/>
      <c r="J930" s="391"/>
      <c r="K930" s="391"/>
      <c r="L930" s="391"/>
      <c r="M930" s="391"/>
      <c r="N930" s="391"/>
      <c r="O930" s="391"/>
      <c r="P930" s="391"/>
      <c r="Q930" s="391"/>
      <c r="R930" s="391"/>
      <c r="S930" s="391"/>
      <c r="T930" s="391"/>
      <c r="U930" s="391"/>
      <c r="V930" s="391"/>
      <c r="W930" s="391"/>
      <c r="X930" s="391"/>
    </row>
    <row r="931">
      <c r="A931" s="391"/>
      <c r="B931" s="391"/>
      <c r="C931" s="391"/>
      <c r="D931" s="391"/>
      <c r="E931" s="391"/>
      <c r="F931" s="391"/>
      <c r="G931" s="391"/>
      <c r="H931" s="391"/>
      <c r="I931" s="391"/>
      <c r="J931" s="391"/>
      <c r="K931" s="391"/>
      <c r="L931" s="391"/>
      <c r="M931" s="391"/>
      <c r="N931" s="391"/>
      <c r="O931" s="391"/>
      <c r="P931" s="391"/>
      <c r="Q931" s="391"/>
      <c r="R931" s="391"/>
      <c r="S931" s="391"/>
      <c r="T931" s="391"/>
      <c r="U931" s="391"/>
      <c r="V931" s="391"/>
      <c r="W931" s="391"/>
      <c r="X931" s="391"/>
    </row>
    <row r="932">
      <c r="A932" s="391"/>
      <c r="B932" s="391"/>
      <c r="C932" s="391"/>
      <c r="D932" s="391"/>
      <c r="E932" s="391"/>
      <c r="F932" s="391"/>
      <c r="G932" s="391"/>
      <c r="H932" s="391"/>
      <c r="I932" s="391"/>
      <c r="J932" s="391"/>
      <c r="K932" s="391"/>
      <c r="L932" s="391"/>
      <c r="M932" s="391"/>
      <c r="N932" s="391"/>
      <c r="O932" s="391"/>
      <c r="P932" s="391"/>
      <c r="Q932" s="391"/>
      <c r="R932" s="391"/>
      <c r="S932" s="391"/>
      <c r="T932" s="391"/>
      <c r="U932" s="391"/>
      <c r="V932" s="391"/>
      <c r="W932" s="391"/>
      <c r="X932" s="391"/>
    </row>
    <row r="933">
      <c r="A933" s="391"/>
      <c r="B933" s="391"/>
      <c r="C933" s="391"/>
      <c r="D933" s="391"/>
      <c r="E933" s="391"/>
      <c r="F933" s="391"/>
      <c r="G933" s="391"/>
      <c r="H933" s="391"/>
      <c r="I933" s="391"/>
      <c r="J933" s="391"/>
      <c r="K933" s="391"/>
      <c r="L933" s="391"/>
      <c r="M933" s="391"/>
      <c r="N933" s="391"/>
      <c r="O933" s="391"/>
      <c r="P933" s="391"/>
      <c r="Q933" s="391"/>
      <c r="R933" s="391"/>
      <c r="S933" s="391"/>
      <c r="T933" s="391"/>
      <c r="U933" s="391"/>
      <c r="V933" s="391"/>
      <c r="W933" s="391"/>
      <c r="X933" s="391"/>
    </row>
    <row r="934">
      <c r="A934" s="391"/>
      <c r="B934" s="391"/>
      <c r="C934" s="391"/>
      <c r="D934" s="391"/>
      <c r="E934" s="391"/>
      <c r="F934" s="391"/>
      <c r="G934" s="391"/>
      <c r="H934" s="391"/>
      <c r="I934" s="391"/>
      <c r="J934" s="391"/>
      <c r="K934" s="391"/>
      <c r="L934" s="391"/>
      <c r="M934" s="391"/>
      <c r="N934" s="391"/>
      <c r="O934" s="391"/>
      <c r="P934" s="391"/>
      <c r="Q934" s="391"/>
      <c r="R934" s="391"/>
      <c r="S934" s="391"/>
      <c r="T934" s="391"/>
      <c r="U934" s="391"/>
      <c r="V934" s="391"/>
      <c r="W934" s="391"/>
      <c r="X934" s="391"/>
    </row>
    <row r="935">
      <c r="A935" s="391"/>
      <c r="B935" s="391"/>
      <c r="C935" s="391"/>
      <c r="D935" s="391"/>
      <c r="E935" s="391"/>
      <c r="F935" s="391"/>
      <c r="G935" s="391"/>
      <c r="H935" s="391"/>
      <c r="I935" s="391"/>
      <c r="J935" s="391"/>
      <c r="K935" s="391"/>
      <c r="L935" s="391"/>
      <c r="M935" s="391"/>
      <c r="N935" s="391"/>
      <c r="O935" s="391"/>
      <c r="P935" s="391"/>
      <c r="Q935" s="391"/>
      <c r="R935" s="391"/>
      <c r="S935" s="391"/>
      <c r="T935" s="391"/>
      <c r="U935" s="391"/>
      <c r="V935" s="391"/>
      <c r="W935" s="391"/>
      <c r="X935" s="391"/>
    </row>
    <row r="936">
      <c r="A936" s="391"/>
      <c r="B936" s="391"/>
      <c r="C936" s="391"/>
      <c r="D936" s="391"/>
      <c r="E936" s="391"/>
      <c r="F936" s="391"/>
      <c r="G936" s="391"/>
      <c r="H936" s="391"/>
      <c r="I936" s="391"/>
      <c r="J936" s="391"/>
      <c r="K936" s="391"/>
      <c r="L936" s="391"/>
      <c r="M936" s="391"/>
      <c r="N936" s="391"/>
      <c r="O936" s="391"/>
      <c r="P936" s="391"/>
      <c r="Q936" s="391"/>
      <c r="R936" s="391"/>
      <c r="S936" s="391"/>
      <c r="T936" s="391"/>
      <c r="U936" s="391"/>
      <c r="V936" s="391"/>
      <c r="W936" s="391"/>
      <c r="X936" s="391"/>
    </row>
    <row r="937">
      <c r="A937" s="391"/>
      <c r="B937" s="391"/>
      <c r="C937" s="391"/>
      <c r="D937" s="391"/>
      <c r="E937" s="391"/>
      <c r="F937" s="391"/>
      <c r="G937" s="391"/>
      <c r="H937" s="391"/>
      <c r="I937" s="391"/>
      <c r="J937" s="391"/>
      <c r="K937" s="391"/>
      <c r="L937" s="391"/>
      <c r="M937" s="391"/>
      <c r="N937" s="391"/>
      <c r="O937" s="391"/>
      <c r="P937" s="391"/>
      <c r="Q937" s="391"/>
      <c r="R937" s="391"/>
      <c r="S937" s="391"/>
      <c r="T937" s="391"/>
      <c r="U937" s="391"/>
      <c r="V937" s="391"/>
      <c r="W937" s="391"/>
      <c r="X937" s="391"/>
    </row>
    <row r="938">
      <c r="A938" s="391"/>
      <c r="B938" s="391"/>
      <c r="C938" s="391"/>
      <c r="D938" s="391"/>
      <c r="E938" s="391"/>
      <c r="F938" s="391"/>
      <c r="G938" s="391"/>
      <c r="H938" s="391"/>
      <c r="I938" s="391"/>
      <c r="J938" s="391"/>
      <c r="K938" s="391"/>
      <c r="L938" s="391"/>
      <c r="M938" s="391"/>
      <c r="N938" s="391"/>
      <c r="O938" s="391"/>
      <c r="P938" s="391"/>
      <c r="Q938" s="391"/>
      <c r="R938" s="391"/>
      <c r="S938" s="391"/>
      <c r="T938" s="391"/>
      <c r="U938" s="391"/>
      <c r="V938" s="391"/>
      <c r="W938" s="391"/>
      <c r="X938" s="391"/>
    </row>
    <row r="939">
      <c r="A939" s="391"/>
      <c r="B939" s="391"/>
      <c r="C939" s="391"/>
      <c r="D939" s="391"/>
      <c r="E939" s="391"/>
      <c r="F939" s="391"/>
      <c r="G939" s="391"/>
      <c r="H939" s="391"/>
      <c r="I939" s="391"/>
      <c r="J939" s="391"/>
      <c r="K939" s="391"/>
      <c r="L939" s="391"/>
      <c r="M939" s="391"/>
      <c r="N939" s="391"/>
      <c r="O939" s="391"/>
      <c r="P939" s="391"/>
      <c r="Q939" s="391"/>
      <c r="R939" s="391"/>
      <c r="S939" s="391"/>
      <c r="T939" s="391"/>
      <c r="U939" s="391"/>
      <c r="V939" s="391"/>
      <c r="W939" s="391"/>
      <c r="X939" s="391"/>
    </row>
    <row r="940">
      <c r="A940" s="391"/>
      <c r="B940" s="391"/>
      <c r="C940" s="391"/>
      <c r="D940" s="391"/>
      <c r="E940" s="391"/>
      <c r="F940" s="391"/>
      <c r="G940" s="391"/>
      <c r="H940" s="391"/>
      <c r="I940" s="391"/>
      <c r="J940" s="391"/>
      <c r="K940" s="391"/>
      <c r="L940" s="391"/>
      <c r="M940" s="391"/>
      <c r="N940" s="391"/>
      <c r="O940" s="391"/>
      <c r="P940" s="391"/>
      <c r="Q940" s="391"/>
      <c r="R940" s="391"/>
      <c r="S940" s="391"/>
      <c r="T940" s="391"/>
      <c r="U940" s="391"/>
      <c r="V940" s="391"/>
      <c r="W940" s="391"/>
      <c r="X940" s="391"/>
    </row>
    <row r="941">
      <c r="A941" s="391"/>
      <c r="B941" s="391"/>
      <c r="C941" s="391"/>
      <c r="D941" s="391"/>
      <c r="E941" s="391"/>
      <c r="F941" s="391"/>
      <c r="G941" s="391"/>
      <c r="H941" s="391"/>
      <c r="I941" s="391"/>
      <c r="J941" s="391"/>
      <c r="K941" s="391"/>
      <c r="L941" s="391"/>
      <c r="M941" s="391"/>
      <c r="N941" s="391"/>
      <c r="O941" s="391"/>
      <c r="P941" s="391"/>
      <c r="Q941" s="391"/>
      <c r="R941" s="391"/>
      <c r="S941" s="391"/>
      <c r="T941" s="391"/>
      <c r="U941" s="391"/>
      <c r="V941" s="391"/>
      <c r="W941" s="391"/>
      <c r="X941" s="391"/>
    </row>
    <row r="942">
      <c r="A942" s="391"/>
      <c r="B942" s="391"/>
      <c r="C942" s="391"/>
      <c r="D942" s="391"/>
      <c r="E942" s="391"/>
      <c r="F942" s="391"/>
      <c r="G942" s="391"/>
      <c r="H942" s="391"/>
      <c r="I942" s="391"/>
      <c r="J942" s="391"/>
      <c r="K942" s="391"/>
      <c r="L942" s="391"/>
      <c r="M942" s="391"/>
      <c r="N942" s="391"/>
      <c r="O942" s="391"/>
      <c r="P942" s="391"/>
      <c r="Q942" s="391"/>
      <c r="R942" s="391"/>
      <c r="S942" s="391"/>
      <c r="T942" s="391"/>
      <c r="U942" s="391"/>
      <c r="V942" s="391"/>
      <c r="W942" s="391"/>
      <c r="X942" s="391"/>
    </row>
    <row r="943">
      <c r="A943" s="391"/>
      <c r="B943" s="391"/>
      <c r="C943" s="391"/>
      <c r="D943" s="391"/>
      <c r="E943" s="391"/>
      <c r="F943" s="391"/>
      <c r="G943" s="391"/>
      <c r="H943" s="391"/>
      <c r="I943" s="391"/>
      <c r="J943" s="391"/>
      <c r="K943" s="391"/>
      <c r="L943" s="391"/>
      <c r="M943" s="391"/>
      <c r="N943" s="391"/>
      <c r="O943" s="391"/>
      <c r="P943" s="391"/>
      <c r="Q943" s="391"/>
      <c r="R943" s="391"/>
      <c r="S943" s="391"/>
      <c r="T943" s="391"/>
      <c r="U943" s="391"/>
      <c r="V943" s="391"/>
      <c r="W943" s="391"/>
      <c r="X943" s="391"/>
    </row>
    <row r="944">
      <c r="A944" s="391"/>
      <c r="B944" s="391"/>
      <c r="C944" s="391"/>
      <c r="D944" s="391"/>
      <c r="E944" s="391"/>
      <c r="F944" s="391"/>
      <c r="G944" s="391"/>
      <c r="H944" s="391"/>
      <c r="I944" s="391"/>
      <c r="J944" s="391"/>
      <c r="K944" s="391"/>
      <c r="L944" s="391"/>
      <c r="M944" s="391"/>
      <c r="N944" s="391"/>
      <c r="O944" s="391"/>
      <c r="P944" s="391"/>
      <c r="Q944" s="391"/>
      <c r="R944" s="391"/>
      <c r="S944" s="391"/>
      <c r="T944" s="391"/>
      <c r="U944" s="391"/>
      <c r="V944" s="391"/>
      <c r="W944" s="391"/>
      <c r="X944" s="391"/>
    </row>
    <row r="945">
      <c r="A945" s="391"/>
      <c r="B945" s="391"/>
      <c r="C945" s="391"/>
      <c r="D945" s="391"/>
      <c r="E945" s="391"/>
      <c r="F945" s="391"/>
      <c r="G945" s="391"/>
      <c r="H945" s="391"/>
      <c r="I945" s="391"/>
      <c r="J945" s="391"/>
      <c r="K945" s="391"/>
      <c r="L945" s="391"/>
      <c r="M945" s="391"/>
      <c r="N945" s="391"/>
      <c r="O945" s="391"/>
      <c r="P945" s="391"/>
      <c r="Q945" s="391"/>
      <c r="R945" s="391"/>
      <c r="S945" s="391"/>
      <c r="T945" s="391"/>
      <c r="U945" s="391"/>
      <c r="V945" s="391"/>
      <c r="W945" s="391"/>
      <c r="X945" s="391"/>
    </row>
    <row r="946">
      <c r="A946" s="391"/>
      <c r="B946" s="391"/>
      <c r="C946" s="391"/>
      <c r="D946" s="391"/>
      <c r="E946" s="391"/>
      <c r="F946" s="391"/>
      <c r="G946" s="391"/>
      <c r="H946" s="391"/>
      <c r="I946" s="391"/>
      <c r="J946" s="391"/>
      <c r="K946" s="391"/>
      <c r="L946" s="391"/>
      <c r="M946" s="391"/>
      <c r="N946" s="391"/>
      <c r="O946" s="391"/>
      <c r="P946" s="391"/>
      <c r="Q946" s="391"/>
      <c r="R946" s="391"/>
      <c r="S946" s="391"/>
      <c r="T946" s="391"/>
      <c r="U946" s="391"/>
      <c r="V946" s="391"/>
      <c r="W946" s="391"/>
      <c r="X946" s="391"/>
    </row>
    <row r="947">
      <c r="A947" s="391"/>
      <c r="B947" s="391"/>
      <c r="C947" s="391"/>
      <c r="D947" s="391"/>
      <c r="E947" s="391"/>
      <c r="F947" s="391"/>
      <c r="G947" s="391"/>
      <c r="H947" s="391"/>
      <c r="I947" s="391"/>
      <c r="J947" s="391"/>
      <c r="K947" s="391"/>
      <c r="L947" s="391"/>
      <c r="M947" s="391"/>
      <c r="N947" s="391"/>
      <c r="O947" s="391"/>
      <c r="P947" s="391"/>
      <c r="Q947" s="391"/>
      <c r="R947" s="391"/>
      <c r="S947" s="391"/>
      <c r="T947" s="391"/>
      <c r="U947" s="391"/>
      <c r="V947" s="391"/>
      <c r="W947" s="391"/>
      <c r="X947" s="391"/>
    </row>
    <row r="948">
      <c r="A948" s="391"/>
      <c r="B948" s="391"/>
      <c r="C948" s="391"/>
      <c r="D948" s="391"/>
      <c r="E948" s="391"/>
      <c r="F948" s="391"/>
      <c r="G948" s="391"/>
      <c r="H948" s="391"/>
      <c r="I948" s="391"/>
      <c r="J948" s="391"/>
      <c r="K948" s="391"/>
      <c r="L948" s="391"/>
      <c r="M948" s="391"/>
      <c r="N948" s="391"/>
      <c r="O948" s="391"/>
      <c r="P948" s="391"/>
      <c r="Q948" s="391"/>
      <c r="R948" s="391"/>
      <c r="S948" s="391"/>
      <c r="T948" s="391"/>
      <c r="U948" s="391"/>
      <c r="V948" s="391"/>
      <c r="W948" s="391"/>
      <c r="X948" s="391"/>
    </row>
    <row r="949">
      <c r="A949" s="391"/>
      <c r="B949" s="391"/>
      <c r="C949" s="391"/>
      <c r="D949" s="391"/>
      <c r="E949" s="391"/>
      <c r="F949" s="391"/>
      <c r="G949" s="391"/>
      <c r="H949" s="391"/>
      <c r="I949" s="391"/>
      <c r="J949" s="391"/>
      <c r="K949" s="391"/>
      <c r="L949" s="391"/>
      <c r="M949" s="391"/>
      <c r="N949" s="391"/>
      <c r="O949" s="391"/>
      <c r="P949" s="391"/>
      <c r="Q949" s="391"/>
      <c r="R949" s="391"/>
      <c r="S949" s="391"/>
      <c r="T949" s="391"/>
      <c r="U949" s="391"/>
      <c r="V949" s="391"/>
      <c r="W949" s="391"/>
      <c r="X949" s="391"/>
    </row>
    <row r="950">
      <c r="A950" s="391"/>
      <c r="B950" s="391"/>
      <c r="C950" s="391"/>
      <c r="D950" s="391"/>
      <c r="E950" s="391"/>
      <c r="F950" s="391"/>
      <c r="G950" s="391"/>
      <c r="H950" s="391"/>
      <c r="I950" s="391"/>
      <c r="J950" s="391"/>
      <c r="K950" s="391"/>
      <c r="L950" s="391"/>
      <c r="M950" s="391"/>
      <c r="N950" s="391"/>
      <c r="O950" s="391"/>
      <c r="P950" s="391"/>
      <c r="Q950" s="391"/>
      <c r="R950" s="391"/>
      <c r="S950" s="391"/>
      <c r="T950" s="391"/>
      <c r="U950" s="391"/>
      <c r="V950" s="391"/>
      <c r="W950" s="391"/>
      <c r="X950" s="391"/>
    </row>
    <row r="951">
      <c r="A951" s="391"/>
      <c r="B951" s="391"/>
      <c r="C951" s="391"/>
      <c r="D951" s="391"/>
      <c r="E951" s="391"/>
      <c r="F951" s="391"/>
      <c r="G951" s="391"/>
      <c r="H951" s="391"/>
      <c r="I951" s="391"/>
      <c r="J951" s="391"/>
      <c r="K951" s="391"/>
      <c r="L951" s="391"/>
      <c r="M951" s="391"/>
      <c r="N951" s="391"/>
      <c r="O951" s="391"/>
      <c r="P951" s="391"/>
      <c r="Q951" s="391"/>
      <c r="R951" s="391"/>
      <c r="S951" s="391"/>
      <c r="T951" s="391"/>
      <c r="U951" s="391"/>
      <c r="V951" s="391"/>
      <c r="W951" s="391"/>
      <c r="X951" s="391"/>
    </row>
    <row r="952">
      <c r="A952" s="391"/>
      <c r="B952" s="391"/>
      <c r="C952" s="391"/>
      <c r="D952" s="391"/>
      <c r="E952" s="391"/>
      <c r="F952" s="391"/>
      <c r="G952" s="391"/>
      <c r="H952" s="391"/>
      <c r="I952" s="391"/>
      <c r="J952" s="391"/>
      <c r="K952" s="391"/>
      <c r="L952" s="391"/>
      <c r="M952" s="391"/>
      <c r="N952" s="391"/>
      <c r="O952" s="391"/>
      <c r="P952" s="391"/>
      <c r="Q952" s="391"/>
      <c r="R952" s="391"/>
      <c r="S952" s="391"/>
      <c r="T952" s="391"/>
      <c r="U952" s="391"/>
      <c r="V952" s="391"/>
      <c r="W952" s="391"/>
      <c r="X952" s="391"/>
    </row>
    <row r="953">
      <c r="A953" s="391"/>
      <c r="B953" s="391"/>
      <c r="C953" s="391"/>
      <c r="D953" s="391"/>
      <c r="E953" s="391"/>
      <c r="F953" s="391"/>
      <c r="G953" s="391"/>
      <c r="H953" s="391"/>
      <c r="I953" s="391"/>
      <c r="J953" s="391"/>
      <c r="K953" s="391"/>
      <c r="L953" s="391"/>
      <c r="M953" s="391"/>
      <c r="N953" s="391"/>
      <c r="O953" s="391"/>
      <c r="P953" s="391"/>
      <c r="Q953" s="391"/>
      <c r="R953" s="391"/>
      <c r="S953" s="391"/>
      <c r="T953" s="391"/>
      <c r="U953" s="391"/>
      <c r="V953" s="391"/>
      <c r="W953" s="391"/>
      <c r="X953" s="391"/>
    </row>
    <row r="954">
      <c r="A954" s="391"/>
      <c r="B954" s="391"/>
      <c r="C954" s="391"/>
      <c r="D954" s="391"/>
      <c r="E954" s="391"/>
      <c r="F954" s="391"/>
      <c r="G954" s="391"/>
      <c r="H954" s="391"/>
      <c r="I954" s="391"/>
      <c r="J954" s="391"/>
      <c r="K954" s="391"/>
      <c r="L954" s="391"/>
      <c r="M954" s="391"/>
      <c r="N954" s="391"/>
      <c r="O954" s="391"/>
      <c r="P954" s="391"/>
      <c r="Q954" s="391"/>
      <c r="R954" s="391"/>
      <c r="S954" s="391"/>
      <c r="T954" s="391"/>
      <c r="U954" s="391"/>
      <c r="V954" s="391"/>
      <c r="W954" s="391"/>
      <c r="X954" s="391"/>
    </row>
    <row r="955">
      <c r="A955" s="391"/>
      <c r="B955" s="391"/>
      <c r="C955" s="391"/>
      <c r="D955" s="391"/>
      <c r="E955" s="391"/>
      <c r="F955" s="391"/>
      <c r="G955" s="391"/>
      <c r="H955" s="391"/>
      <c r="I955" s="391"/>
      <c r="J955" s="391"/>
      <c r="K955" s="391"/>
      <c r="L955" s="391"/>
      <c r="M955" s="391"/>
      <c r="N955" s="391"/>
      <c r="O955" s="391"/>
      <c r="P955" s="391"/>
      <c r="Q955" s="391"/>
      <c r="R955" s="391"/>
      <c r="S955" s="391"/>
      <c r="T955" s="391"/>
      <c r="U955" s="391"/>
      <c r="V955" s="391"/>
      <c r="W955" s="391"/>
      <c r="X955" s="391"/>
    </row>
    <row r="956">
      <c r="A956" s="391"/>
      <c r="B956" s="391"/>
      <c r="C956" s="391"/>
      <c r="D956" s="391"/>
      <c r="E956" s="391"/>
      <c r="F956" s="391"/>
      <c r="G956" s="391"/>
      <c r="H956" s="391"/>
      <c r="I956" s="391"/>
      <c r="J956" s="391"/>
      <c r="K956" s="391"/>
      <c r="L956" s="391"/>
      <c r="M956" s="391"/>
      <c r="N956" s="391"/>
      <c r="O956" s="391"/>
      <c r="P956" s="391"/>
      <c r="Q956" s="391"/>
      <c r="R956" s="391"/>
      <c r="S956" s="391"/>
      <c r="T956" s="391"/>
      <c r="U956" s="391"/>
      <c r="V956" s="391"/>
      <c r="W956" s="391"/>
      <c r="X956" s="391"/>
    </row>
    <row r="957">
      <c r="A957" s="391"/>
      <c r="B957" s="391"/>
      <c r="C957" s="391"/>
      <c r="D957" s="391"/>
      <c r="E957" s="391"/>
      <c r="F957" s="391"/>
      <c r="G957" s="391"/>
      <c r="H957" s="391"/>
      <c r="I957" s="391"/>
      <c r="J957" s="391"/>
      <c r="K957" s="391"/>
      <c r="L957" s="391"/>
      <c r="M957" s="391"/>
      <c r="N957" s="391"/>
      <c r="O957" s="391"/>
      <c r="P957" s="391"/>
      <c r="Q957" s="391"/>
      <c r="R957" s="391"/>
      <c r="S957" s="391"/>
      <c r="T957" s="391"/>
      <c r="U957" s="391"/>
      <c r="V957" s="391"/>
      <c r="W957" s="391"/>
      <c r="X957" s="391"/>
    </row>
    <row r="958">
      <c r="A958" s="391"/>
      <c r="B958" s="391"/>
      <c r="C958" s="391"/>
      <c r="D958" s="391"/>
      <c r="E958" s="391"/>
      <c r="F958" s="391"/>
      <c r="G958" s="391"/>
      <c r="H958" s="391"/>
      <c r="I958" s="391"/>
      <c r="J958" s="391"/>
      <c r="K958" s="391"/>
      <c r="L958" s="391"/>
      <c r="M958" s="391"/>
      <c r="N958" s="391"/>
      <c r="O958" s="391"/>
      <c r="P958" s="391"/>
      <c r="Q958" s="391"/>
      <c r="R958" s="391"/>
      <c r="S958" s="391"/>
      <c r="T958" s="391"/>
      <c r="U958" s="391"/>
      <c r="V958" s="391"/>
      <c r="W958" s="391"/>
      <c r="X958" s="391"/>
    </row>
    <row r="959">
      <c r="A959" s="391"/>
      <c r="B959" s="391"/>
      <c r="C959" s="391"/>
      <c r="D959" s="391"/>
      <c r="E959" s="391"/>
      <c r="F959" s="391"/>
      <c r="G959" s="391"/>
      <c r="H959" s="391"/>
      <c r="I959" s="391"/>
      <c r="J959" s="391"/>
      <c r="K959" s="391"/>
      <c r="L959" s="391"/>
      <c r="M959" s="391"/>
      <c r="N959" s="391"/>
      <c r="O959" s="391"/>
      <c r="P959" s="391"/>
      <c r="Q959" s="391"/>
      <c r="R959" s="391"/>
      <c r="S959" s="391"/>
      <c r="T959" s="391"/>
      <c r="U959" s="391"/>
      <c r="V959" s="391"/>
      <c r="W959" s="391"/>
      <c r="X959" s="391"/>
    </row>
    <row r="960">
      <c r="A960" s="391"/>
      <c r="B960" s="391"/>
      <c r="C960" s="391"/>
      <c r="D960" s="391"/>
      <c r="E960" s="391"/>
      <c r="F960" s="391"/>
      <c r="G960" s="391"/>
      <c r="H960" s="391"/>
      <c r="I960" s="391"/>
      <c r="J960" s="391"/>
      <c r="K960" s="391"/>
      <c r="L960" s="391"/>
      <c r="M960" s="391"/>
      <c r="N960" s="391"/>
      <c r="O960" s="391"/>
      <c r="P960" s="391"/>
      <c r="Q960" s="391"/>
      <c r="R960" s="391"/>
      <c r="S960" s="391"/>
      <c r="T960" s="391"/>
      <c r="U960" s="391"/>
      <c r="V960" s="391"/>
      <c r="W960" s="391"/>
      <c r="X960" s="391"/>
    </row>
    <row r="961">
      <c r="A961" s="391"/>
      <c r="B961" s="391"/>
      <c r="C961" s="391"/>
      <c r="D961" s="391"/>
      <c r="E961" s="391"/>
      <c r="F961" s="391"/>
      <c r="G961" s="391"/>
      <c r="H961" s="391"/>
      <c r="I961" s="391"/>
      <c r="J961" s="391"/>
      <c r="K961" s="391"/>
      <c r="L961" s="391"/>
      <c r="M961" s="391"/>
      <c r="N961" s="391"/>
      <c r="O961" s="391"/>
      <c r="P961" s="391"/>
      <c r="Q961" s="391"/>
      <c r="R961" s="391"/>
      <c r="S961" s="391"/>
      <c r="T961" s="391"/>
      <c r="U961" s="391"/>
      <c r="V961" s="391"/>
      <c r="W961" s="391"/>
      <c r="X961" s="391"/>
    </row>
    <row r="962">
      <c r="A962" s="391"/>
      <c r="B962" s="391"/>
      <c r="C962" s="391"/>
      <c r="D962" s="391"/>
      <c r="E962" s="391"/>
      <c r="F962" s="391"/>
      <c r="G962" s="391"/>
      <c r="H962" s="391"/>
      <c r="I962" s="391"/>
      <c r="J962" s="391"/>
      <c r="K962" s="391"/>
      <c r="L962" s="391"/>
      <c r="M962" s="391"/>
      <c r="N962" s="391"/>
      <c r="O962" s="391"/>
      <c r="P962" s="391"/>
      <c r="Q962" s="391"/>
      <c r="R962" s="391"/>
      <c r="S962" s="391"/>
      <c r="T962" s="391"/>
      <c r="U962" s="391"/>
      <c r="V962" s="391"/>
      <c r="W962" s="391"/>
      <c r="X962" s="391"/>
    </row>
    <row r="963">
      <c r="A963" s="391"/>
      <c r="B963" s="391"/>
      <c r="C963" s="391"/>
      <c r="D963" s="391"/>
      <c r="E963" s="391"/>
      <c r="F963" s="391"/>
      <c r="G963" s="391"/>
      <c r="H963" s="391"/>
      <c r="I963" s="391"/>
      <c r="J963" s="391"/>
      <c r="K963" s="391"/>
      <c r="L963" s="391"/>
      <c r="M963" s="391"/>
      <c r="N963" s="391"/>
      <c r="O963" s="391"/>
      <c r="P963" s="391"/>
      <c r="Q963" s="391"/>
      <c r="R963" s="391"/>
      <c r="S963" s="391"/>
      <c r="T963" s="391"/>
      <c r="U963" s="391"/>
      <c r="V963" s="391"/>
      <c r="W963" s="391"/>
      <c r="X963" s="391"/>
    </row>
    <row r="964">
      <c r="A964" s="391"/>
      <c r="B964" s="391"/>
      <c r="C964" s="391"/>
      <c r="D964" s="391"/>
      <c r="E964" s="391"/>
      <c r="F964" s="391"/>
      <c r="G964" s="391"/>
      <c r="H964" s="391"/>
      <c r="I964" s="391"/>
      <c r="J964" s="391"/>
      <c r="K964" s="391"/>
      <c r="L964" s="391"/>
      <c r="M964" s="391"/>
      <c r="N964" s="391"/>
      <c r="O964" s="391"/>
      <c r="P964" s="391"/>
      <c r="Q964" s="391"/>
      <c r="R964" s="391"/>
      <c r="S964" s="391"/>
      <c r="T964" s="391"/>
      <c r="U964" s="391"/>
      <c r="V964" s="391"/>
      <c r="W964" s="391"/>
      <c r="X964" s="391"/>
    </row>
    <row r="965">
      <c r="A965" s="391"/>
      <c r="B965" s="391"/>
      <c r="C965" s="391"/>
      <c r="D965" s="391"/>
      <c r="E965" s="391"/>
      <c r="F965" s="391"/>
      <c r="G965" s="391"/>
      <c r="H965" s="391"/>
      <c r="I965" s="391"/>
      <c r="J965" s="391"/>
      <c r="K965" s="391"/>
      <c r="L965" s="391"/>
      <c r="M965" s="391"/>
      <c r="N965" s="391"/>
      <c r="O965" s="391"/>
      <c r="P965" s="391"/>
      <c r="Q965" s="391"/>
      <c r="R965" s="391"/>
      <c r="S965" s="391"/>
      <c r="T965" s="391"/>
      <c r="U965" s="391"/>
      <c r="V965" s="391"/>
      <c r="W965" s="391"/>
      <c r="X965" s="391"/>
    </row>
    <row r="966">
      <c r="A966" s="391"/>
      <c r="B966" s="391"/>
      <c r="C966" s="391"/>
      <c r="D966" s="391"/>
      <c r="E966" s="391"/>
      <c r="F966" s="391"/>
      <c r="G966" s="391"/>
      <c r="H966" s="391"/>
      <c r="I966" s="391"/>
      <c r="J966" s="391"/>
      <c r="K966" s="391"/>
      <c r="L966" s="391"/>
      <c r="M966" s="391"/>
      <c r="N966" s="391"/>
      <c r="O966" s="391"/>
      <c r="P966" s="391"/>
      <c r="Q966" s="391"/>
      <c r="R966" s="391"/>
      <c r="S966" s="391"/>
      <c r="T966" s="391"/>
      <c r="U966" s="391"/>
      <c r="V966" s="391"/>
      <c r="W966" s="391"/>
      <c r="X966" s="391"/>
    </row>
    <row r="967">
      <c r="A967" s="391"/>
      <c r="B967" s="391"/>
      <c r="C967" s="391"/>
      <c r="D967" s="391"/>
      <c r="E967" s="391"/>
      <c r="F967" s="391"/>
      <c r="G967" s="391"/>
      <c r="H967" s="391"/>
      <c r="I967" s="391"/>
      <c r="J967" s="391"/>
      <c r="K967" s="391"/>
      <c r="L967" s="391"/>
      <c r="M967" s="391"/>
      <c r="N967" s="391"/>
      <c r="O967" s="391"/>
      <c r="P967" s="391"/>
      <c r="Q967" s="391"/>
      <c r="R967" s="391"/>
      <c r="S967" s="391"/>
      <c r="T967" s="391"/>
      <c r="U967" s="391"/>
      <c r="V967" s="391"/>
      <c r="W967" s="391"/>
      <c r="X967" s="391"/>
    </row>
    <row r="968">
      <c r="A968" s="391"/>
      <c r="B968" s="391"/>
      <c r="C968" s="391"/>
      <c r="D968" s="391"/>
      <c r="E968" s="391"/>
      <c r="F968" s="391"/>
      <c r="G968" s="391"/>
      <c r="H968" s="391"/>
      <c r="I968" s="391"/>
      <c r="J968" s="391"/>
      <c r="K968" s="391"/>
      <c r="L968" s="391"/>
      <c r="M968" s="391"/>
      <c r="N968" s="391"/>
      <c r="O968" s="391"/>
      <c r="P968" s="391"/>
      <c r="Q968" s="391"/>
      <c r="R968" s="391"/>
      <c r="S968" s="391"/>
      <c r="T968" s="391"/>
      <c r="U968" s="391"/>
      <c r="V968" s="391"/>
      <c r="W968" s="391"/>
      <c r="X968" s="391"/>
    </row>
    <row r="969">
      <c r="A969" s="391"/>
      <c r="B969" s="391"/>
      <c r="C969" s="391"/>
      <c r="D969" s="391"/>
      <c r="E969" s="391"/>
      <c r="F969" s="391"/>
      <c r="G969" s="391"/>
      <c r="H969" s="391"/>
      <c r="I969" s="391"/>
      <c r="J969" s="391"/>
      <c r="K969" s="391"/>
      <c r="L969" s="391"/>
      <c r="M969" s="391"/>
      <c r="N969" s="391"/>
      <c r="O969" s="391"/>
      <c r="P969" s="391"/>
      <c r="Q969" s="391"/>
      <c r="R969" s="391"/>
      <c r="S969" s="391"/>
      <c r="T969" s="391"/>
      <c r="U969" s="391"/>
      <c r="V969" s="391"/>
      <c r="W969" s="391"/>
      <c r="X969" s="391"/>
    </row>
    <row r="970">
      <c r="A970" s="391"/>
      <c r="B970" s="391"/>
      <c r="C970" s="391"/>
      <c r="D970" s="391"/>
      <c r="E970" s="391"/>
      <c r="F970" s="391"/>
      <c r="G970" s="391"/>
      <c r="H970" s="391"/>
      <c r="I970" s="391"/>
      <c r="J970" s="391"/>
      <c r="K970" s="391"/>
      <c r="L970" s="391"/>
      <c r="M970" s="391"/>
      <c r="N970" s="391"/>
      <c r="O970" s="391"/>
      <c r="P970" s="391"/>
      <c r="Q970" s="391"/>
      <c r="R970" s="391"/>
      <c r="S970" s="391"/>
      <c r="T970" s="391"/>
      <c r="U970" s="391"/>
      <c r="V970" s="391"/>
      <c r="W970" s="391"/>
      <c r="X970" s="391"/>
    </row>
    <row r="971">
      <c r="A971" s="391"/>
      <c r="B971" s="391"/>
      <c r="C971" s="391"/>
      <c r="D971" s="391"/>
      <c r="E971" s="391"/>
      <c r="F971" s="391"/>
      <c r="G971" s="391"/>
      <c r="H971" s="391"/>
      <c r="I971" s="391"/>
      <c r="J971" s="391"/>
      <c r="K971" s="391"/>
      <c r="L971" s="391"/>
      <c r="M971" s="391"/>
      <c r="N971" s="391"/>
      <c r="O971" s="391"/>
      <c r="P971" s="391"/>
      <c r="Q971" s="391"/>
      <c r="R971" s="391"/>
      <c r="S971" s="391"/>
      <c r="T971" s="391"/>
      <c r="U971" s="391"/>
      <c r="V971" s="391"/>
      <c r="W971" s="391"/>
      <c r="X971" s="391"/>
    </row>
    <row r="972">
      <c r="A972" s="391"/>
      <c r="B972" s="391"/>
      <c r="C972" s="391"/>
      <c r="D972" s="391"/>
      <c r="E972" s="391"/>
      <c r="F972" s="391"/>
      <c r="G972" s="391"/>
      <c r="H972" s="391"/>
      <c r="I972" s="391"/>
      <c r="J972" s="391"/>
      <c r="K972" s="391"/>
      <c r="L972" s="391"/>
      <c r="M972" s="391"/>
      <c r="N972" s="391"/>
      <c r="O972" s="391"/>
      <c r="P972" s="391"/>
      <c r="Q972" s="391"/>
      <c r="R972" s="391"/>
      <c r="S972" s="391"/>
      <c r="T972" s="391"/>
      <c r="U972" s="391"/>
      <c r="V972" s="391"/>
      <c r="W972" s="391"/>
      <c r="X972" s="391"/>
    </row>
    <row r="973">
      <c r="A973" s="391"/>
      <c r="B973" s="391"/>
      <c r="C973" s="391"/>
      <c r="D973" s="391"/>
      <c r="E973" s="391"/>
      <c r="F973" s="391"/>
      <c r="G973" s="391"/>
      <c r="H973" s="391"/>
      <c r="I973" s="391"/>
      <c r="J973" s="391"/>
      <c r="K973" s="391"/>
      <c r="L973" s="391"/>
      <c r="M973" s="391"/>
      <c r="N973" s="391"/>
      <c r="O973" s="391"/>
      <c r="P973" s="391"/>
      <c r="Q973" s="391"/>
      <c r="R973" s="391"/>
      <c r="S973" s="391"/>
      <c r="T973" s="391"/>
      <c r="U973" s="391"/>
      <c r="V973" s="391"/>
      <c r="W973" s="391"/>
      <c r="X973" s="391"/>
    </row>
    <row r="974">
      <c r="A974" s="391"/>
      <c r="B974" s="391"/>
      <c r="C974" s="391"/>
      <c r="D974" s="391"/>
      <c r="E974" s="391"/>
      <c r="F974" s="391"/>
      <c r="G974" s="391"/>
      <c r="H974" s="391"/>
      <c r="I974" s="391"/>
      <c r="J974" s="391"/>
      <c r="K974" s="391"/>
      <c r="L974" s="391"/>
      <c r="M974" s="391"/>
      <c r="N974" s="391"/>
      <c r="O974" s="391"/>
      <c r="P974" s="391"/>
      <c r="Q974" s="391"/>
      <c r="R974" s="391"/>
      <c r="S974" s="391"/>
      <c r="T974" s="391"/>
      <c r="U974" s="391"/>
      <c r="V974" s="391"/>
      <c r="W974" s="391"/>
      <c r="X974" s="391"/>
    </row>
    <row r="975">
      <c r="A975" s="391"/>
      <c r="B975" s="391"/>
      <c r="C975" s="391"/>
      <c r="D975" s="391"/>
      <c r="E975" s="391"/>
      <c r="F975" s="391"/>
      <c r="G975" s="391"/>
      <c r="H975" s="391"/>
      <c r="I975" s="391"/>
      <c r="J975" s="391"/>
      <c r="K975" s="391"/>
      <c r="L975" s="391"/>
      <c r="M975" s="391"/>
      <c r="N975" s="391"/>
      <c r="O975" s="391"/>
      <c r="P975" s="391"/>
      <c r="Q975" s="391"/>
      <c r="R975" s="391"/>
      <c r="S975" s="391"/>
      <c r="T975" s="391"/>
      <c r="U975" s="391"/>
      <c r="V975" s="391"/>
      <c r="W975" s="391"/>
      <c r="X975" s="391"/>
    </row>
    <row r="976">
      <c r="A976" s="391"/>
      <c r="B976" s="391"/>
      <c r="C976" s="391"/>
      <c r="D976" s="391"/>
      <c r="E976" s="391"/>
      <c r="F976" s="391"/>
      <c r="G976" s="391"/>
      <c r="H976" s="391"/>
      <c r="I976" s="391"/>
      <c r="J976" s="391"/>
      <c r="K976" s="391"/>
      <c r="L976" s="391"/>
      <c r="M976" s="391"/>
      <c r="N976" s="391"/>
      <c r="O976" s="391"/>
      <c r="P976" s="391"/>
      <c r="Q976" s="391"/>
      <c r="R976" s="391"/>
      <c r="S976" s="391"/>
      <c r="T976" s="391"/>
      <c r="U976" s="391"/>
      <c r="V976" s="391"/>
      <c r="W976" s="391"/>
      <c r="X976" s="391"/>
    </row>
    <row r="977">
      <c r="A977" s="391"/>
      <c r="B977" s="391"/>
      <c r="C977" s="391"/>
      <c r="D977" s="391"/>
      <c r="E977" s="391"/>
      <c r="F977" s="391"/>
      <c r="G977" s="391"/>
      <c r="H977" s="391"/>
      <c r="I977" s="391"/>
      <c r="J977" s="391"/>
      <c r="K977" s="391"/>
      <c r="L977" s="391"/>
      <c r="M977" s="391"/>
      <c r="N977" s="391"/>
      <c r="O977" s="391"/>
      <c r="P977" s="391"/>
      <c r="Q977" s="391"/>
      <c r="R977" s="391"/>
      <c r="S977" s="391"/>
      <c r="T977" s="391"/>
      <c r="U977" s="391"/>
      <c r="V977" s="391"/>
      <c r="W977" s="391"/>
      <c r="X977" s="391"/>
    </row>
    <row r="978">
      <c r="A978" s="391"/>
      <c r="B978" s="391"/>
      <c r="C978" s="391"/>
      <c r="D978" s="391"/>
      <c r="E978" s="391"/>
      <c r="F978" s="391"/>
      <c r="G978" s="391"/>
      <c r="H978" s="391"/>
      <c r="I978" s="391"/>
      <c r="J978" s="391"/>
      <c r="K978" s="391"/>
      <c r="L978" s="391"/>
      <c r="M978" s="391"/>
      <c r="N978" s="391"/>
      <c r="O978" s="391"/>
      <c r="P978" s="391"/>
      <c r="Q978" s="391"/>
      <c r="R978" s="391"/>
      <c r="S978" s="391"/>
      <c r="T978" s="391"/>
      <c r="U978" s="391"/>
      <c r="V978" s="391"/>
      <c r="W978" s="391"/>
      <c r="X978" s="391"/>
    </row>
    <row r="979">
      <c r="A979" s="391"/>
      <c r="B979" s="391"/>
      <c r="C979" s="391"/>
      <c r="D979" s="391"/>
      <c r="E979" s="391"/>
      <c r="F979" s="391"/>
      <c r="G979" s="391"/>
      <c r="H979" s="391"/>
      <c r="I979" s="391"/>
      <c r="J979" s="391"/>
      <c r="K979" s="391"/>
      <c r="L979" s="391"/>
      <c r="M979" s="391"/>
      <c r="N979" s="391"/>
      <c r="O979" s="391"/>
      <c r="P979" s="391"/>
      <c r="Q979" s="391"/>
      <c r="R979" s="391"/>
      <c r="S979" s="391"/>
      <c r="T979" s="391"/>
      <c r="U979" s="391"/>
      <c r="V979" s="391"/>
      <c r="W979" s="391"/>
      <c r="X979" s="391"/>
    </row>
    <row r="980">
      <c r="A980" s="391"/>
      <c r="B980" s="391"/>
      <c r="C980" s="391"/>
      <c r="D980" s="391"/>
      <c r="E980" s="391"/>
      <c r="F980" s="391"/>
      <c r="G980" s="391"/>
      <c r="H980" s="391"/>
      <c r="I980" s="391"/>
      <c r="J980" s="391"/>
      <c r="K980" s="391"/>
      <c r="L980" s="391"/>
      <c r="M980" s="391"/>
      <c r="N980" s="391"/>
      <c r="O980" s="391"/>
      <c r="P980" s="391"/>
      <c r="Q980" s="391"/>
      <c r="R980" s="391"/>
      <c r="S980" s="391"/>
      <c r="T980" s="391"/>
      <c r="U980" s="391"/>
      <c r="V980" s="391"/>
      <c r="W980" s="391"/>
      <c r="X980" s="391"/>
    </row>
    <row r="981">
      <c r="A981" s="391"/>
      <c r="B981" s="391"/>
      <c r="C981" s="391"/>
      <c r="D981" s="391"/>
      <c r="E981" s="391"/>
      <c r="F981" s="391"/>
      <c r="G981" s="391"/>
      <c r="H981" s="391"/>
      <c r="I981" s="391"/>
      <c r="J981" s="391"/>
      <c r="K981" s="391"/>
      <c r="L981" s="391"/>
      <c r="M981" s="391"/>
      <c r="N981" s="391"/>
      <c r="O981" s="391"/>
      <c r="P981" s="391"/>
      <c r="Q981" s="391"/>
      <c r="R981" s="391"/>
      <c r="S981" s="391"/>
      <c r="T981" s="391"/>
      <c r="U981" s="391"/>
      <c r="V981" s="391"/>
      <c r="W981" s="391"/>
      <c r="X981" s="391"/>
    </row>
    <row r="982">
      <c r="A982" s="391"/>
      <c r="B982" s="391"/>
      <c r="C982" s="391"/>
      <c r="D982" s="391"/>
      <c r="E982" s="391"/>
      <c r="F982" s="391"/>
      <c r="G982" s="391"/>
      <c r="H982" s="391"/>
      <c r="I982" s="391"/>
      <c r="J982" s="391"/>
      <c r="K982" s="391"/>
      <c r="L982" s="391"/>
      <c r="M982" s="391"/>
      <c r="N982" s="391"/>
      <c r="O982" s="391"/>
      <c r="P982" s="391"/>
      <c r="Q982" s="391"/>
      <c r="R982" s="391"/>
      <c r="S982" s="391"/>
      <c r="T982" s="391"/>
      <c r="U982" s="391"/>
      <c r="V982" s="391"/>
      <c r="W982" s="391"/>
      <c r="X982" s="391"/>
    </row>
    <row r="983">
      <c r="A983" s="391"/>
      <c r="B983" s="391"/>
      <c r="C983" s="391"/>
      <c r="D983" s="391"/>
      <c r="E983" s="391"/>
      <c r="F983" s="391"/>
      <c r="G983" s="391"/>
      <c r="H983" s="391"/>
      <c r="I983" s="391"/>
      <c r="J983" s="391"/>
      <c r="K983" s="391"/>
      <c r="L983" s="391"/>
      <c r="M983" s="391"/>
      <c r="N983" s="391"/>
      <c r="O983" s="391"/>
      <c r="P983" s="391"/>
      <c r="Q983" s="391"/>
      <c r="R983" s="391"/>
      <c r="S983" s="391"/>
      <c r="T983" s="391"/>
      <c r="U983" s="391"/>
      <c r="V983" s="391"/>
      <c r="W983" s="391"/>
      <c r="X983" s="391"/>
    </row>
    <row r="984">
      <c r="A984" s="391"/>
      <c r="B984" s="391"/>
      <c r="C984" s="391"/>
      <c r="D984" s="391"/>
      <c r="E984" s="391"/>
      <c r="F984" s="391"/>
      <c r="G984" s="391"/>
      <c r="H984" s="391"/>
      <c r="I984" s="391"/>
      <c r="J984" s="391"/>
      <c r="K984" s="391"/>
      <c r="L984" s="391"/>
      <c r="M984" s="391"/>
      <c r="N984" s="391"/>
      <c r="O984" s="391"/>
      <c r="P984" s="391"/>
      <c r="Q984" s="391"/>
      <c r="R984" s="391"/>
      <c r="S984" s="391"/>
      <c r="T984" s="391"/>
      <c r="U984" s="391"/>
      <c r="V984" s="391"/>
      <c r="W984" s="391"/>
      <c r="X984" s="391"/>
    </row>
    <row r="985">
      <c r="A985" s="391"/>
      <c r="B985" s="391"/>
      <c r="C985" s="391"/>
      <c r="D985" s="391"/>
      <c r="E985" s="391"/>
      <c r="F985" s="391"/>
      <c r="G985" s="391"/>
      <c r="H985" s="391"/>
      <c r="I985" s="391"/>
      <c r="J985" s="391"/>
      <c r="K985" s="391"/>
      <c r="L985" s="391"/>
      <c r="M985" s="391"/>
      <c r="N985" s="391"/>
      <c r="O985" s="391"/>
      <c r="P985" s="391"/>
      <c r="Q985" s="391"/>
      <c r="R985" s="391"/>
      <c r="S985" s="391"/>
      <c r="T985" s="391"/>
      <c r="U985" s="391"/>
      <c r="V985" s="391"/>
      <c r="W985" s="391"/>
      <c r="X985" s="391"/>
    </row>
    <row r="986">
      <c r="A986" s="391"/>
      <c r="B986" s="391"/>
      <c r="C986" s="391"/>
      <c r="D986" s="391"/>
      <c r="E986" s="391"/>
      <c r="F986" s="391"/>
      <c r="G986" s="391"/>
      <c r="H986" s="391"/>
      <c r="I986" s="391"/>
      <c r="J986" s="391"/>
      <c r="K986" s="391"/>
      <c r="L986" s="391"/>
      <c r="M986" s="391"/>
      <c r="N986" s="391"/>
      <c r="O986" s="391"/>
      <c r="P986" s="391"/>
      <c r="Q986" s="391"/>
      <c r="R986" s="391"/>
      <c r="S986" s="391"/>
      <c r="T986" s="391"/>
      <c r="U986" s="391"/>
      <c r="V986" s="391"/>
      <c r="W986" s="391"/>
      <c r="X986" s="391"/>
    </row>
    <row r="987">
      <c r="A987" s="391"/>
      <c r="B987" s="391"/>
      <c r="C987" s="391"/>
      <c r="D987" s="391"/>
      <c r="E987" s="391"/>
      <c r="F987" s="391"/>
      <c r="G987" s="391"/>
      <c r="H987" s="391"/>
      <c r="I987" s="391"/>
      <c r="J987" s="391"/>
      <c r="K987" s="391"/>
      <c r="L987" s="391"/>
      <c r="M987" s="391"/>
      <c r="N987" s="391"/>
      <c r="O987" s="391"/>
      <c r="P987" s="391"/>
      <c r="Q987" s="391"/>
      <c r="R987" s="391"/>
      <c r="S987" s="391"/>
      <c r="T987" s="391"/>
      <c r="U987" s="391"/>
      <c r="V987" s="391"/>
      <c r="W987" s="391"/>
      <c r="X987" s="391"/>
    </row>
    <row r="988">
      <c r="A988" s="391"/>
      <c r="B988" s="391"/>
      <c r="C988" s="391"/>
      <c r="D988" s="391"/>
      <c r="E988" s="391"/>
      <c r="F988" s="391"/>
      <c r="G988" s="391"/>
      <c r="H988" s="391"/>
      <c r="I988" s="391"/>
      <c r="J988" s="391"/>
      <c r="K988" s="391"/>
      <c r="L988" s="391"/>
      <c r="M988" s="391"/>
      <c r="N988" s="391"/>
      <c r="O988" s="391"/>
      <c r="P988" s="391"/>
      <c r="Q988" s="391"/>
      <c r="R988" s="391"/>
      <c r="S988" s="391"/>
      <c r="T988" s="391"/>
      <c r="U988" s="391"/>
      <c r="V988" s="391"/>
      <c r="W988" s="391"/>
      <c r="X988" s="391"/>
    </row>
    <row r="989">
      <c r="A989" s="391"/>
      <c r="B989" s="391"/>
      <c r="C989" s="391"/>
      <c r="D989" s="391"/>
      <c r="E989" s="391"/>
      <c r="F989" s="391"/>
      <c r="G989" s="391"/>
      <c r="H989" s="391"/>
      <c r="I989" s="391"/>
      <c r="J989" s="391"/>
      <c r="K989" s="391"/>
      <c r="L989" s="391"/>
      <c r="M989" s="391"/>
      <c r="N989" s="391"/>
      <c r="O989" s="391"/>
      <c r="P989" s="391"/>
      <c r="Q989" s="391"/>
      <c r="R989" s="391"/>
      <c r="S989" s="391"/>
      <c r="T989" s="391"/>
      <c r="U989" s="391"/>
      <c r="V989" s="391"/>
      <c r="W989" s="391"/>
      <c r="X989" s="391"/>
    </row>
    <row r="990">
      <c r="A990" s="391"/>
      <c r="B990" s="391"/>
      <c r="C990" s="391"/>
      <c r="D990" s="391"/>
      <c r="E990" s="391"/>
      <c r="F990" s="391"/>
      <c r="G990" s="391"/>
      <c r="H990" s="391"/>
      <c r="I990" s="391"/>
      <c r="J990" s="391"/>
      <c r="K990" s="391"/>
      <c r="L990" s="391"/>
      <c r="M990" s="391"/>
      <c r="N990" s="391"/>
      <c r="O990" s="391"/>
      <c r="P990" s="391"/>
      <c r="Q990" s="391"/>
      <c r="R990" s="391"/>
      <c r="S990" s="391"/>
      <c r="T990" s="391"/>
      <c r="U990" s="391"/>
      <c r="V990" s="391"/>
      <c r="W990" s="391"/>
      <c r="X990" s="391"/>
    </row>
    <row r="991">
      <c r="A991" s="391"/>
      <c r="B991" s="391"/>
      <c r="C991" s="391"/>
      <c r="D991" s="391"/>
      <c r="E991" s="391"/>
      <c r="F991" s="391"/>
      <c r="G991" s="391"/>
      <c r="H991" s="391"/>
      <c r="I991" s="391"/>
      <c r="J991" s="391"/>
      <c r="K991" s="391"/>
      <c r="L991" s="391"/>
      <c r="M991" s="391"/>
      <c r="N991" s="391"/>
      <c r="O991" s="391"/>
      <c r="P991" s="391"/>
      <c r="Q991" s="391"/>
      <c r="R991" s="391"/>
      <c r="S991" s="391"/>
      <c r="T991" s="391"/>
      <c r="U991" s="391"/>
      <c r="V991" s="391"/>
      <c r="W991" s="391"/>
      <c r="X991" s="391"/>
    </row>
    <row r="992">
      <c r="A992" s="391"/>
      <c r="B992" s="391"/>
      <c r="C992" s="391"/>
      <c r="D992" s="391"/>
      <c r="E992" s="391"/>
      <c r="F992" s="391"/>
      <c r="G992" s="391"/>
      <c r="H992" s="391"/>
      <c r="I992" s="391"/>
      <c r="J992" s="391"/>
      <c r="K992" s="391"/>
      <c r="L992" s="391"/>
      <c r="M992" s="391"/>
      <c r="N992" s="391"/>
      <c r="O992" s="391"/>
      <c r="P992" s="391"/>
      <c r="Q992" s="391"/>
      <c r="R992" s="391"/>
      <c r="S992" s="391"/>
      <c r="T992" s="391"/>
      <c r="U992" s="391"/>
      <c r="V992" s="391"/>
      <c r="W992" s="391"/>
      <c r="X992" s="391"/>
    </row>
    <row r="993">
      <c r="A993" s="391"/>
      <c r="B993" s="391"/>
      <c r="C993" s="391"/>
      <c r="D993" s="391"/>
      <c r="E993" s="391"/>
      <c r="F993" s="391"/>
      <c r="G993" s="391"/>
      <c r="H993" s="391"/>
      <c r="I993" s="391"/>
      <c r="J993" s="391"/>
      <c r="K993" s="391"/>
      <c r="L993" s="391"/>
      <c r="M993" s="391"/>
      <c r="N993" s="391"/>
      <c r="O993" s="391"/>
      <c r="P993" s="391"/>
      <c r="Q993" s="391"/>
      <c r="R993" s="391"/>
      <c r="S993" s="391"/>
      <c r="T993" s="391"/>
      <c r="U993" s="391"/>
      <c r="V993" s="391"/>
      <c r="W993" s="391"/>
      <c r="X993" s="391"/>
    </row>
    <row r="994">
      <c r="A994" s="391"/>
      <c r="B994" s="391"/>
      <c r="C994" s="391"/>
      <c r="D994" s="391"/>
      <c r="E994" s="391"/>
      <c r="F994" s="391"/>
      <c r="G994" s="391"/>
      <c r="H994" s="391"/>
      <c r="I994" s="391"/>
      <c r="J994" s="391"/>
      <c r="K994" s="391"/>
      <c r="L994" s="391"/>
      <c r="M994" s="391"/>
      <c r="N994" s="391"/>
      <c r="O994" s="391"/>
      <c r="P994" s="391"/>
      <c r="Q994" s="391"/>
      <c r="R994" s="391"/>
      <c r="S994" s="391"/>
      <c r="T994" s="391"/>
      <c r="U994" s="391"/>
      <c r="V994" s="391"/>
      <c r="W994" s="391"/>
      <c r="X994" s="391"/>
    </row>
    <row r="995">
      <c r="A995" s="391"/>
      <c r="B995" s="391"/>
      <c r="C995" s="391"/>
      <c r="D995" s="391"/>
      <c r="E995" s="391"/>
      <c r="F995" s="391"/>
      <c r="G995" s="391"/>
      <c r="H995" s="391"/>
      <c r="I995" s="391"/>
      <c r="J995" s="391"/>
      <c r="K995" s="391"/>
      <c r="L995" s="391"/>
      <c r="M995" s="391"/>
      <c r="N995" s="391"/>
      <c r="O995" s="391"/>
      <c r="P995" s="391"/>
      <c r="Q995" s="391"/>
      <c r="R995" s="391"/>
      <c r="S995" s="391"/>
      <c r="T995" s="391"/>
      <c r="U995" s="391"/>
      <c r="V995" s="391"/>
      <c r="W995" s="391"/>
      <c r="X995" s="391"/>
    </row>
    <row r="996">
      <c r="A996" s="391"/>
      <c r="B996" s="391"/>
      <c r="C996" s="391"/>
      <c r="D996" s="391"/>
      <c r="E996" s="391"/>
      <c r="F996" s="391"/>
      <c r="G996" s="391"/>
      <c r="H996" s="391"/>
      <c r="I996" s="391"/>
      <c r="J996" s="391"/>
      <c r="K996" s="391"/>
      <c r="L996" s="391"/>
      <c r="M996" s="391"/>
      <c r="N996" s="391"/>
      <c r="O996" s="391"/>
      <c r="P996" s="391"/>
      <c r="Q996" s="391"/>
      <c r="R996" s="391"/>
      <c r="S996" s="391"/>
      <c r="T996" s="391"/>
      <c r="U996" s="391"/>
      <c r="V996" s="391"/>
      <c r="W996" s="391"/>
      <c r="X996" s="391"/>
    </row>
    <row r="997">
      <c r="A997" s="391"/>
      <c r="B997" s="391"/>
      <c r="C997" s="391"/>
      <c r="D997" s="391"/>
      <c r="E997" s="391"/>
      <c r="F997" s="391"/>
      <c r="G997" s="391"/>
      <c r="H997" s="391"/>
      <c r="I997" s="391"/>
      <c r="J997" s="391"/>
      <c r="K997" s="391"/>
      <c r="L997" s="391"/>
      <c r="M997" s="391"/>
      <c r="N997" s="391"/>
      <c r="O997" s="391"/>
      <c r="P997" s="391"/>
      <c r="Q997" s="391"/>
      <c r="R997" s="391"/>
      <c r="S997" s="391"/>
      <c r="T997" s="391"/>
      <c r="U997" s="391"/>
      <c r="V997" s="391"/>
      <c r="W997" s="391"/>
      <c r="X997" s="391"/>
    </row>
    <row r="998">
      <c r="A998" s="391"/>
      <c r="B998" s="391"/>
      <c r="C998" s="391"/>
      <c r="D998" s="391"/>
      <c r="E998" s="391"/>
      <c r="F998" s="391"/>
      <c r="G998" s="391"/>
      <c r="H998" s="391"/>
      <c r="I998" s="391"/>
      <c r="J998" s="391"/>
      <c r="K998" s="391"/>
      <c r="L998" s="391"/>
      <c r="M998" s="391"/>
      <c r="N998" s="391"/>
      <c r="O998" s="391"/>
      <c r="P998" s="391"/>
      <c r="Q998" s="391"/>
      <c r="R998" s="391"/>
      <c r="S998" s="391"/>
      <c r="T998" s="391"/>
      <c r="U998" s="391"/>
      <c r="V998" s="391"/>
      <c r="W998" s="391"/>
      <c r="X998" s="391"/>
    </row>
    <row r="999">
      <c r="A999" s="391"/>
      <c r="B999" s="391"/>
      <c r="C999" s="391"/>
      <c r="D999" s="391"/>
      <c r="E999" s="391"/>
      <c r="F999" s="391"/>
      <c r="G999" s="391"/>
      <c r="H999" s="391"/>
      <c r="I999" s="391"/>
      <c r="J999" s="391"/>
      <c r="K999" s="391"/>
      <c r="L999" s="391"/>
      <c r="M999" s="391"/>
      <c r="N999" s="391"/>
      <c r="O999" s="391"/>
      <c r="P999" s="391"/>
      <c r="Q999" s="391"/>
      <c r="R999" s="391"/>
      <c r="S999" s="391"/>
      <c r="T999" s="391"/>
      <c r="U999" s="391"/>
      <c r="V999" s="391"/>
      <c r="W999" s="391"/>
      <c r="X999" s="391"/>
    </row>
    <row r="1000">
      <c r="A1000" s="391"/>
      <c r="B1000" s="391"/>
      <c r="C1000" s="391"/>
      <c r="D1000" s="391"/>
      <c r="E1000" s="391"/>
      <c r="F1000" s="391"/>
      <c r="G1000" s="391"/>
      <c r="H1000" s="391"/>
      <c r="I1000" s="391"/>
      <c r="J1000" s="391"/>
      <c r="K1000" s="391"/>
      <c r="L1000" s="391"/>
      <c r="M1000" s="391"/>
      <c r="N1000" s="391"/>
      <c r="O1000" s="391"/>
      <c r="P1000" s="391"/>
      <c r="Q1000" s="391"/>
      <c r="R1000" s="391"/>
      <c r="S1000" s="391"/>
      <c r="T1000" s="391"/>
      <c r="U1000" s="391"/>
      <c r="V1000" s="391"/>
      <c r="W1000" s="391"/>
      <c r="X1000" s="39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2" t="s">
        <v>5</v>
      </c>
      <c r="B1" s="94"/>
      <c r="C1" s="94"/>
      <c r="D1" s="94"/>
      <c r="E1" s="94"/>
      <c r="F1" s="94"/>
      <c r="G1" s="94"/>
      <c r="H1" s="94"/>
      <c r="I1" s="94"/>
      <c r="J1" s="94"/>
      <c r="K1" s="94"/>
      <c r="L1" s="94"/>
      <c r="M1" s="94"/>
      <c r="N1" s="94"/>
      <c r="O1" s="94"/>
      <c r="P1" s="94"/>
      <c r="Q1" s="94"/>
      <c r="R1" s="94"/>
      <c r="S1" s="94"/>
      <c r="T1" s="94"/>
      <c r="U1" s="94"/>
      <c r="V1" s="94"/>
      <c r="W1" s="94"/>
      <c r="X1" s="94"/>
      <c r="Y1" s="94"/>
      <c r="Z1" s="94"/>
    </row>
    <row r="2">
      <c r="A2" s="393">
        <v>1.0</v>
      </c>
      <c r="B2" s="394" t="s">
        <v>256</v>
      </c>
      <c r="C2" s="395" t="s">
        <v>258</v>
      </c>
      <c r="D2" s="394" t="s">
        <v>3</v>
      </c>
      <c r="E2" s="394" t="s">
        <v>13</v>
      </c>
      <c r="F2" s="394" t="s">
        <v>99</v>
      </c>
      <c r="G2" s="394" t="s">
        <v>101</v>
      </c>
      <c r="H2" s="394" t="s">
        <v>15</v>
      </c>
      <c r="I2" s="394" t="s">
        <v>16</v>
      </c>
      <c r="J2" s="394" t="s">
        <v>17</v>
      </c>
      <c r="K2" s="394" t="s">
        <v>9</v>
      </c>
      <c r="L2" s="394" t="s">
        <v>11</v>
      </c>
      <c r="M2" s="394" t="s">
        <v>18</v>
      </c>
      <c r="N2" s="394" t="s">
        <v>4</v>
      </c>
      <c r="O2" s="394" t="s">
        <v>259</v>
      </c>
      <c r="P2" s="394" t="s">
        <v>4</v>
      </c>
      <c r="Q2" s="94"/>
      <c r="R2" s="94"/>
      <c r="S2" s="94"/>
      <c r="T2" s="94"/>
      <c r="U2" s="94"/>
      <c r="V2" s="94"/>
      <c r="W2" s="94"/>
      <c r="X2" s="94"/>
      <c r="Y2" s="94"/>
      <c r="Z2" s="94"/>
    </row>
    <row r="3">
      <c r="A3" s="94"/>
      <c r="B3" s="396">
        <f>Projections!$AK$22</f>
        <v>100</v>
      </c>
      <c r="C3" s="397">
        <v>1.0</v>
      </c>
      <c r="D3" s="398" t="str">
        <f t="array" ref="D3">INDIRECT("Draft!D"&amp;TEXT(A2+2,"0"))</f>
        <v>Victor Wembanyama</v>
      </c>
      <c r="E3" s="399">
        <f>IF($D3="","", VLOOKUP($D3,'Final Update'!$P$21:$AD1000,Column(G1),False))</f>
        <v>24.1</v>
      </c>
      <c r="F3" s="399">
        <f>IF($D3="","", VLOOKUP($D3,'Final Update'!$P$21:$AD1000,Column(H1),False))</f>
        <v>2</v>
      </c>
      <c r="G3" s="399">
        <f>IF($D3="","", VLOOKUP($D3,'Final Update'!$P$21:$AD1000,Column(I1),False))</f>
        <v>11.6</v>
      </c>
      <c r="H3" s="399">
        <f>IF($D3="","", VLOOKUP($D3,'Final Update'!$P$21:$AD1000,Column(J1),False))</f>
        <v>4.4</v>
      </c>
      <c r="I3" s="399">
        <f>IF($D3="","", VLOOKUP($D3,'Final Update'!$P$21:$AD1000,Column(K1),False))</f>
        <v>1.4</v>
      </c>
      <c r="J3" s="399">
        <f>IF($D3="","", VLOOKUP($D3,'Final Update'!$P$21:$AD1000,Column(L1),False))</f>
        <v>3.9</v>
      </c>
      <c r="K3" s="400">
        <f>IF($D3="","", VLOOKUP($D3,'Final Update'!$P$21:$AD1000,Column(M1),False))</f>
        <v>0.473</v>
      </c>
      <c r="L3" s="400">
        <f>IF($D3="","", VLOOKUP($D3,'Final Update'!$P$21:$AD1000,Column(N1),False))</f>
        <v>0.802</v>
      </c>
      <c r="M3" s="399">
        <f>IF($D3="","", VLOOKUP($D3,'Final Update'!$P$21:$AD1000,Column(O1),False))</f>
        <v>3.4</v>
      </c>
      <c r="N3" s="399" t="str">
        <f>IF($D3="","", VLOOKUP($D3,'Final Update'!$P$21:$AD1000,Column(C1),False))</f>
        <v>C</v>
      </c>
      <c r="O3" s="397">
        <f t="array" ref="O3">COUNTIF(FIND(P3,$N3:$N16),"&gt;0")</f>
        <v>4</v>
      </c>
      <c r="P3" s="398" t="s">
        <v>85</v>
      </c>
      <c r="Q3" s="94"/>
      <c r="R3" s="94"/>
      <c r="S3" s="94"/>
      <c r="T3" s="94"/>
      <c r="U3" s="94"/>
      <c r="V3" s="94"/>
      <c r="W3" s="94"/>
      <c r="X3" s="94"/>
      <c r="Y3" s="94"/>
      <c r="Z3" s="94"/>
    </row>
    <row r="4">
      <c r="A4" s="94"/>
      <c r="B4" s="396">
        <f>Projections!$AK$23</f>
        <v>100</v>
      </c>
      <c r="C4" s="397">
        <v>2.0</v>
      </c>
      <c r="D4" s="401" t="str">
        <f t="array" ref="D4">INDIRECT("Draft!E"&amp;TEXT(15-A2,"0"))</f>
        <v>LaMelo Ball</v>
      </c>
      <c r="E4" s="399">
        <f>IF($D4="","", VLOOKUP($D4,'Final Update'!$P$21:$AD1000,Column(G2),False))</f>
        <v>23.2</v>
      </c>
      <c r="F4" s="399">
        <f>IF($D4="","", VLOOKUP($D4,'Final Update'!$P$21:$AD1000,Column(H2),False))</f>
        <v>3.6</v>
      </c>
      <c r="G4" s="399">
        <f>IF($D4="","", VLOOKUP($D4,'Final Update'!$P$21:$AD1000,Column(I2),False))</f>
        <v>5.7</v>
      </c>
      <c r="H4" s="399">
        <f>IF($D4="","", VLOOKUP($D4,'Final Update'!$P$21:$AD1000,Column(J2),False))</f>
        <v>8.6</v>
      </c>
      <c r="I4" s="399">
        <f>IF($D4="","", VLOOKUP($D4,'Final Update'!$P$21:$AD1000,Column(K2),False))</f>
        <v>1.6</v>
      </c>
      <c r="J4" s="399">
        <f>IF($D4="","", VLOOKUP($D4,'Final Update'!$P$21:$AD1000,Column(L2),False))</f>
        <v>0.3</v>
      </c>
      <c r="K4" s="400">
        <f>IF($D4="","", VLOOKUP($D4,'Final Update'!$P$21:$AD1000,Column(M2),False))</f>
        <v>0.427</v>
      </c>
      <c r="L4" s="400">
        <f>IF($D4="","", VLOOKUP($D4,'Final Update'!$P$21:$AD1000,Column(N2),False))</f>
        <v>0.857</v>
      </c>
      <c r="M4" s="399">
        <f>IF($D4="","", VLOOKUP($D4,'Final Update'!$P$21:$AD1000,Column(O2),False))</f>
        <v>3.5</v>
      </c>
      <c r="N4" s="399" t="str">
        <f>IF($D4="","", VLOOKUP($D4,'Final Update'!$P$21:$AD1000,Column(C2),False))</f>
        <v>PG,SG</v>
      </c>
      <c r="O4" s="397">
        <f t="array" ref="O4">COUNTIF(FIND(P4,$N3:$N16),"&gt;0")</f>
        <v>6</v>
      </c>
      <c r="P4" s="398" t="s">
        <v>88</v>
      </c>
      <c r="Q4" s="94"/>
      <c r="R4" s="94"/>
      <c r="S4" s="94"/>
      <c r="T4" s="94"/>
      <c r="U4" s="94"/>
      <c r="V4" s="94"/>
      <c r="W4" s="94"/>
      <c r="X4" s="94"/>
      <c r="Y4" s="94"/>
      <c r="Z4" s="94"/>
    </row>
    <row r="5">
      <c r="A5" s="94"/>
      <c r="B5" s="396">
        <f>Projections!$AK$24</f>
        <v>100</v>
      </c>
      <c r="C5" s="397">
        <v>3.0</v>
      </c>
      <c r="D5" s="402" t="str">
        <f t="array" ref="D5">INDIRECT("Draft!F"&amp;TEXT(A2+2,"0"))</f>
        <v>Cooper Flagg</v>
      </c>
      <c r="E5" s="403" t="str">
        <f>IF($D5="","", VLOOKUP($D5,'Final Update'!$P$21:$AD1000,Column(G3),False))</f>
        <v>#N/A</v>
      </c>
      <c r="F5" s="403" t="str">
        <f>IF($D5="","", VLOOKUP($D5,'Final Update'!$P$21:$AD1000,Column(H3),False))</f>
        <v>#N/A</v>
      </c>
      <c r="G5" s="403" t="str">
        <f>IF($D5="","", VLOOKUP($D5,'Final Update'!$P$21:$AD1000,Column(I3),False))</f>
        <v>#N/A</v>
      </c>
      <c r="H5" s="403" t="str">
        <f>IF($D5="","", VLOOKUP($D5,'Final Update'!$P$21:$AD1000,Column(J3),False))</f>
        <v>#N/A</v>
      </c>
      <c r="I5" s="403" t="str">
        <f>IF($D5="","", VLOOKUP($D5,'Final Update'!$P$21:$AD1000,Column(K3),False))</f>
        <v>#N/A</v>
      </c>
      <c r="J5" s="403" t="str">
        <f>IF($D5="","", VLOOKUP($D5,'Final Update'!$P$21:$AD1000,Column(L3),False))</f>
        <v>#N/A</v>
      </c>
      <c r="K5" s="404" t="str">
        <f>IF($D5="","", VLOOKUP($D5,'Final Update'!$P$21:$AD1000,Column(M3),False))</f>
        <v>#N/A</v>
      </c>
      <c r="L5" s="404" t="str">
        <f>IF($D5="","", VLOOKUP($D5,'Final Update'!$P$21:$AD1000,Column(N3),False))</f>
        <v>#N/A</v>
      </c>
      <c r="M5" s="403" t="str">
        <f>IF($D5="","", VLOOKUP($D5,'Final Update'!$P$21:$AD1000,Column(O3),False))</f>
        <v>#N/A</v>
      </c>
      <c r="N5" s="403" t="str">
        <f>IF($D5="","", VLOOKUP($D5,'Final Update'!$P$21:$AD1000,Column(C3),False))</f>
        <v>#N/A</v>
      </c>
      <c r="O5" s="397">
        <f t="array" ref="O5">COUNTIF(FIND(P5,$N3:$N16),"&gt;0")</f>
        <v>6</v>
      </c>
      <c r="P5" s="398" t="s">
        <v>90</v>
      </c>
      <c r="Q5" s="94"/>
      <c r="R5" s="94"/>
      <c r="S5" s="94"/>
      <c r="T5" s="94"/>
      <c r="U5" s="94"/>
      <c r="V5" s="94"/>
      <c r="W5" s="94"/>
      <c r="X5" s="94"/>
      <c r="Y5" s="94"/>
      <c r="Z5" s="94"/>
    </row>
    <row r="6">
      <c r="A6" s="94"/>
      <c r="B6" s="396">
        <f>Projections!$AK$25</f>
        <v>100</v>
      </c>
      <c r="C6" s="397">
        <v>4.0</v>
      </c>
      <c r="D6" s="405" t="str">
        <f t="array" ref="D6">INDIRECT("Draft!G"&amp;TEXT(15-A2,"0"))</f>
        <v>De'Aaron Fox</v>
      </c>
      <c r="E6" s="403">
        <f>IF($D6="","", VLOOKUP($D6,'Final Update'!$P$21:$AD1000,Column(G4),False))</f>
        <v>25.1</v>
      </c>
      <c r="F6" s="403">
        <f>IF($D6="","", VLOOKUP($D6,'Final Update'!$P$21:$AD1000,Column(H4),False))</f>
        <v>2.5</v>
      </c>
      <c r="G6" s="403">
        <f>IF($D6="","", VLOOKUP($D6,'Final Update'!$P$21:$AD1000,Column(I4),False))</f>
        <v>4.2</v>
      </c>
      <c r="H6" s="403">
        <f>IF($D6="","", VLOOKUP($D6,'Final Update'!$P$21:$AD1000,Column(J4),False))</f>
        <v>5.5</v>
      </c>
      <c r="I6" s="403">
        <f>IF($D6="","", VLOOKUP($D6,'Final Update'!$P$21:$AD1000,Column(K4),False))</f>
        <v>1.7</v>
      </c>
      <c r="J6" s="403">
        <f>IF($D6="","", VLOOKUP($D6,'Final Update'!$P$21:$AD1000,Column(L4),False))</f>
        <v>0.4</v>
      </c>
      <c r="K6" s="404">
        <f>IF($D6="","", VLOOKUP($D6,'Final Update'!$P$21:$AD1000,Column(M4),False))</f>
        <v>0.472</v>
      </c>
      <c r="L6" s="404">
        <f>IF($D6="","", VLOOKUP($D6,'Final Update'!$P$21:$AD1000,Column(N4),False))</f>
        <v>0.759</v>
      </c>
      <c r="M6" s="403">
        <f>IF($D6="","", VLOOKUP($D6,'Final Update'!$P$21:$AD1000,Column(O4),False))</f>
        <v>2.5</v>
      </c>
      <c r="N6" s="403" t="str">
        <f>IF($D6="","", VLOOKUP($D6,'Final Update'!$P$21:$AD1000,Column(C4),False))</f>
        <v>PG</v>
      </c>
      <c r="O6" s="397">
        <f t="array" ref="O6">COUNTIF(FIND(P6,$N3:$N16),"&gt;0")</f>
        <v>3</v>
      </c>
      <c r="P6" s="398" t="s">
        <v>92</v>
      </c>
      <c r="Q6" s="94"/>
      <c r="R6" s="94"/>
      <c r="S6" s="94"/>
      <c r="T6" s="94"/>
      <c r="U6" s="94"/>
      <c r="V6" s="94"/>
      <c r="W6" s="94"/>
      <c r="X6" s="94"/>
      <c r="Y6" s="94"/>
      <c r="Z6" s="94"/>
    </row>
    <row r="7">
      <c r="A7" s="94"/>
      <c r="B7" s="396">
        <f>Projections!$AK$26</f>
        <v>100</v>
      </c>
      <c r="C7" s="397">
        <v>5.0</v>
      </c>
      <c r="D7" s="406" t="str">
        <f t="array" ref="D7">INDIRECT("Draft!H"&amp;TEXT(A2+2,"0"))</f>
        <v>O.G. Anunoby</v>
      </c>
      <c r="E7" s="403" t="str">
        <f>IF($D7="","", VLOOKUP($D7,'Final Update'!$P$21:$AD1000,Column(G5),False))</f>
        <v>#N/A</v>
      </c>
      <c r="F7" s="403" t="str">
        <f>IF($D7="","", VLOOKUP($D7,'Final Update'!$P$21:$AD1000,Column(H5),False))</f>
        <v>#N/A</v>
      </c>
      <c r="G7" s="403" t="str">
        <f>IF($D7="","", VLOOKUP($D7,'Final Update'!$P$21:$AD1000,Column(I5),False))</f>
        <v>#N/A</v>
      </c>
      <c r="H7" s="403" t="str">
        <f>IF($D7="","", VLOOKUP($D7,'Final Update'!$P$21:$AD1000,Column(J5),False))</f>
        <v>#N/A</v>
      </c>
      <c r="I7" s="403" t="str">
        <f>IF($D7="","", VLOOKUP($D7,'Final Update'!$P$21:$AD1000,Column(K5),False))</f>
        <v>#N/A</v>
      </c>
      <c r="J7" s="403" t="str">
        <f>IF($D7="","", VLOOKUP($D7,'Final Update'!$P$21:$AD1000,Column(L5),False))</f>
        <v>#N/A</v>
      </c>
      <c r="K7" s="404" t="str">
        <f>IF($D7="","", VLOOKUP($D7,'Final Update'!$P$21:$AD1000,Column(M5),False))</f>
        <v>#N/A</v>
      </c>
      <c r="L7" s="404" t="str">
        <f>IF($D7="","", VLOOKUP($D7,'Final Update'!$P$21:$AD1000,Column(N5),False))</f>
        <v>#N/A</v>
      </c>
      <c r="M7" s="403" t="str">
        <f>IF($D7="","", VLOOKUP($D7,'Final Update'!$P$21:$AD1000,Column(O5),False))</f>
        <v>#N/A</v>
      </c>
      <c r="N7" s="403" t="str">
        <f>IF($D7="","", VLOOKUP($D7,'Final Update'!$P$21:$AD1000,Column(C5),False))</f>
        <v>#N/A</v>
      </c>
      <c r="O7" s="397">
        <f t="array" ref="O7">COUNTIF(FIND(P7,$N3:$N16),"&gt;0")</f>
        <v>1</v>
      </c>
      <c r="P7" s="398" t="s">
        <v>97</v>
      </c>
      <c r="Q7" s="94"/>
      <c r="R7" s="94"/>
      <c r="S7" s="94"/>
      <c r="T7" s="94"/>
      <c r="U7" s="94"/>
      <c r="V7" s="94"/>
      <c r="W7" s="94"/>
      <c r="X7" s="94"/>
      <c r="Y7" s="94"/>
      <c r="Z7" s="94"/>
    </row>
    <row r="8">
      <c r="A8" s="94"/>
      <c r="B8" s="396">
        <f>Projections!$AK$27</f>
        <v>100</v>
      </c>
      <c r="C8" s="397">
        <v>6.0</v>
      </c>
      <c r="D8" s="407" t="str">
        <f t="array" ref="D8">INDIRECT("Draft!I"&amp;TEXT(15-A2,"0"))</f>
        <v>DeMar DeRozan</v>
      </c>
      <c r="E8" s="403">
        <f>IF($D8="","", VLOOKUP($D8,'Final Update'!$P$21:$AD1000,Column(G6),False))</f>
        <v>22.1</v>
      </c>
      <c r="F8" s="403">
        <f>IF($D8="","", VLOOKUP($D8,'Final Update'!$P$21:$AD1000,Column(H6),False))</f>
        <v>1.1</v>
      </c>
      <c r="G8" s="403">
        <f>IF($D8="","", VLOOKUP($D8,'Final Update'!$P$21:$AD1000,Column(I6),False))</f>
        <v>3.8</v>
      </c>
      <c r="H8" s="403">
        <f>IF($D8="","", VLOOKUP($D8,'Final Update'!$P$21:$AD1000,Column(J6),False))</f>
        <v>3.9</v>
      </c>
      <c r="I8" s="403">
        <f>IF($D8="","", VLOOKUP($D8,'Final Update'!$P$21:$AD1000,Column(K6),False))</f>
        <v>1.1</v>
      </c>
      <c r="J8" s="403">
        <f>IF($D8="","", VLOOKUP($D8,'Final Update'!$P$21:$AD1000,Column(L6),False))</f>
        <v>0.6</v>
      </c>
      <c r="K8" s="404">
        <f>IF($D8="","", VLOOKUP($D8,'Final Update'!$P$21:$AD1000,Column(M6),False))</f>
        <v>0.486</v>
      </c>
      <c r="L8" s="404">
        <f>IF($D8="","", VLOOKUP($D8,'Final Update'!$P$21:$AD1000,Column(N6),False))</f>
        <v>0.863</v>
      </c>
      <c r="M8" s="403">
        <f>IF($D8="","", VLOOKUP($D8,'Final Update'!$P$21:$AD1000,Column(O6),False))</f>
        <v>1.7</v>
      </c>
      <c r="N8" s="403" t="str">
        <f>IF($D8="","", VLOOKUP($D8,'Final Update'!$P$21:$AD1000,Column(C6),False))</f>
        <v>SF,PF</v>
      </c>
      <c r="O8" s="94"/>
      <c r="P8" s="94"/>
      <c r="Q8" s="94"/>
      <c r="R8" s="94"/>
      <c r="S8" s="94"/>
      <c r="T8" s="94"/>
      <c r="U8" s="94"/>
      <c r="V8" s="94"/>
      <c r="W8" s="94"/>
      <c r="X8" s="94"/>
      <c r="Y8" s="94"/>
      <c r="Z8" s="94"/>
    </row>
    <row r="9">
      <c r="A9" s="94"/>
      <c r="B9" s="396">
        <f>Projections!$AK$28</f>
        <v>100</v>
      </c>
      <c r="C9" s="397">
        <v>7.0</v>
      </c>
      <c r="D9" s="406" t="str">
        <f t="array" ref="D9">INDIRECT("Draft!J"&amp;TEXT(A2+2,"0"))</f>
        <v>Paul George</v>
      </c>
      <c r="E9" s="403">
        <f>IF($D9="","", VLOOKUP($D9,'Final Update'!$P$21:$AD1000,Column(G7),False))</f>
        <v>22.1</v>
      </c>
      <c r="F9" s="403">
        <f>IF($D9="","", VLOOKUP($D9,'Final Update'!$P$21:$AD1000,Column(H7),False))</f>
        <v>3</v>
      </c>
      <c r="G9" s="403">
        <f>IF($D9="","", VLOOKUP($D9,'Final Update'!$P$21:$AD1000,Column(I7),False))</f>
        <v>5</v>
      </c>
      <c r="H9" s="403">
        <f>IF($D9="","", VLOOKUP($D9,'Final Update'!$P$21:$AD1000,Column(J7),False))</f>
        <v>3.4</v>
      </c>
      <c r="I9" s="403">
        <f>IF($D9="","", VLOOKUP($D9,'Final Update'!$P$21:$AD1000,Column(K7),False))</f>
        <v>1.4</v>
      </c>
      <c r="J9" s="403">
        <f>IF($D9="","", VLOOKUP($D9,'Final Update'!$P$21:$AD1000,Column(L7),False))</f>
        <v>0.4</v>
      </c>
      <c r="K9" s="404">
        <f>IF($D9="","", VLOOKUP($D9,'Final Update'!$P$21:$AD1000,Column(M7),False))</f>
        <v>0.465</v>
      </c>
      <c r="L9" s="404">
        <f>IF($D9="","", VLOOKUP($D9,'Final Update'!$P$21:$AD1000,Column(N7),False))</f>
        <v>0.889</v>
      </c>
      <c r="M9" s="403">
        <f>IF($D9="","", VLOOKUP($D9,'Final Update'!$P$21:$AD1000,Column(O7),False))</f>
        <v>2.4</v>
      </c>
      <c r="N9" s="403" t="str">
        <f>IF($D9="","", VLOOKUP($D9,'Final Update'!$P$21:$AD1000,Column(C7),False))</f>
        <v>SG,SF,PF</v>
      </c>
      <c r="O9" s="94"/>
      <c r="P9" s="94"/>
      <c r="Q9" s="94"/>
      <c r="R9" s="94"/>
      <c r="S9" s="94"/>
      <c r="T9" s="94"/>
      <c r="U9" s="94"/>
      <c r="V9" s="94"/>
      <c r="W9" s="94"/>
      <c r="X9" s="94"/>
      <c r="Y9" s="94"/>
      <c r="Z9" s="94"/>
    </row>
    <row r="10">
      <c r="A10" s="94"/>
      <c r="B10" s="396">
        <f>Projections!$AK$29</f>
        <v>100</v>
      </c>
      <c r="C10" s="397">
        <v>8.0</v>
      </c>
      <c r="D10" s="407" t="str">
        <f t="array" ref="D10">INDIRECT("Draft!K"&amp;TEXT(15-A2,"0"))</f>
        <v>Bradley Beal</v>
      </c>
      <c r="E10" s="403">
        <f>IF($D10="","", VLOOKUP($D10,'Final Update'!$P$21:$AD1000,Column(G8),False))</f>
        <v>18.9</v>
      </c>
      <c r="F10" s="403">
        <f>IF($D10="","", VLOOKUP($D10,'Final Update'!$P$21:$AD1000,Column(H8),False))</f>
        <v>1.9</v>
      </c>
      <c r="G10" s="403">
        <f>IF($D10="","", VLOOKUP($D10,'Final Update'!$P$21:$AD1000,Column(I8),False))</f>
        <v>3.8</v>
      </c>
      <c r="H10" s="403">
        <f>IF($D10="","", VLOOKUP($D10,'Final Update'!$P$21:$AD1000,Column(J8),False))</f>
        <v>4.2</v>
      </c>
      <c r="I10" s="403">
        <f>IF($D10="","", VLOOKUP($D10,'Final Update'!$P$21:$AD1000,Column(K8),False))</f>
        <v>1</v>
      </c>
      <c r="J10" s="403">
        <f>IF($D10="","", VLOOKUP($D10,'Final Update'!$P$21:$AD1000,Column(L8),False))</f>
        <v>0.5</v>
      </c>
      <c r="K10" s="404">
        <f>IF($D10="","", VLOOKUP($D10,'Final Update'!$P$21:$AD1000,Column(M8),False))</f>
        <v>0.509</v>
      </c>
      <c r="L10" s="404">
        <f>IF($D10="","", VLOOKUP($D10,'Final Update'!$P$21:$AD1000,Column(N8),False))</f>
        <v>0.821</v>
      </c>
      <c r="M10" s="403">
        <f>IF($D10="","", VLOOKUP($D10,'Final Update'!$P$21:$AD1000,Column(O8),False))</f>
        <v>2.4</v>
      </c>
      <c r="N10" s="403" t="str">
        <f>IF($D10="","", VLOOKUP($D10,'Final Update'!$P$21:$AD1000,Column(C8),False))</f>
        <v>PG,SG</v>
      </c>
      <c r="O10" s="94"/>
      <c r="P10" s="94"/>
      <c r="Q10" s="94"/>
      <c r="R10" s="94"/>
      <c r="S10" s="94"/>
      <c r="T10" s="94"/>
      <c r="U10" s="94"/>
      <c r="V10" s="94"/>
      <c r="W10" s="94"/>
      <c r="X10" s="94"/>
      <c r="Y10" s="94"/>
      <c r="Z10" s="94"/>
    </row>
    <row r="11">
      <c r="A11" s="94"/>
      <c r="B11" s="396">
        <f>Projections!$AK$30</f>
        <v>100</v>
      </c>
      <c r="C11" s="397">
        <v>9.0</v>
      </c>
      <c r="D11" s="406" t="str">
        <f t="array" ref="D11">INDIRECT("Draft!L"&amp;TEXT(A2+2,"0"))</f>
        <v>Jaden McDaniels</v>
      </c>
      <c r="E11" s="403">
        <f>IF($D11="","", VLOOKUP($D11,'Final Update'!$P$21:$AD1000,Column(G9),False))</f>
        <v>11.4</v>
      </c>
      <c r="F11" s="403">
        <f>IF($D11="","", VLOOKUP($D11,'Final Update'!$P$21:$AD1000,Column(H9),False))</f>
        <v>1.3</v>
      </c>
      <c r="G11" s="403">
        <f>IF($D11="","", VLOOKUP($D11,'Final Update'!$P$21:$AD1000,Column(I9),False))</f>
        <v>3.5</v>
      </c>
      <c r="H11" s="403">
        <f>IF($D11="","", VLOOKUP($D11,'Final Update'!$P$21:$AD1000,Column(J9),False))</f>
        <v>1.7</v>
      </c>
      <c r="I11" s="403">
        <f>IF($D11="","", VLOOKUP($D11,'Final Update'!$P$21:$AD1000,Column(K9),False))</f>
        <v>0.9</v>
      </c>
      <c r="J11" s="403">
        <f>IF($D11="","", VLOOKUP($D11,'Final Update'!$P$21:$AD1000,Column(L9),False))</f>
        <v>0.8</v>
      </c>
      <c r="K11" s="404">
        <f>IF($D11="","", VLOOKUP($D11,'Final Update'!$P$21:$AD1000,Column(M9),False))</f>
        <v>0.504</v>
      </c>
      <c r="L11" s="404">
        <f>IF($D11="","", VLOOKUP($D11,'Final Update'!$P$21:$AD1000,Column(N9),False))</f>
        <v>0.732</v>
      </c>
      <c r="M11" s="403">
        <f>IF($D11="","", VLOOKUP($D11,'Final Update'!$P$21:$AD1000,Column(O9),False))</f>
        <v>1.3</v>
      </c>
      <c r="N11" s="403" t="str">
        <f>IF($D11="","", VLOOKUP($D11,'Final Update'!$P$21:$AD1000,Column(C9),False))</f>
        <v>SF,PF</v>
      </c>
      <c r="O11" s="94"/>
      <c r="P11" s="94"/>
      <c r="Q11" s="94"/>
      <c r="R11" s="94"/>
      <c r="S11" s="94"/>
      <c r="T11" s="94"/>
      <c r="U11" s="94"/>
      <c r="V11" s="94"/>
      <c r="W11" s="94"/>
      <c r="X11" s="94"/>
      <c r="Y11" s="94"/>
      <c r="Z11" s="94"/>
    </row>
    <row r="12">
      <c r="A12" s="94"/>
      <c r="B12" s="396">
        <f>Projections!$AK$31</f>
        <v>100</v>
      </c>
      <c r="C12" s="397">
        <v>10.0</v>
      </c>
      <c r="D12" s="407" t="str">
        <f t="array" ref="D12">INDIRECT("Draft!M"&amp;TEXT(15-A2,"0"))</f>
        <v>Devin Vassell</v>
      </c>
      <c r="E12" s="403">
        <f>IF($D12="","", VLOOKUP($D12,'Final Update'!$P$21:$AD1000,Column(G10),False))</f>
        <v>19.4</v>
      </c>
      <c r="F12" s="403">
        <f>IF($D12="","", VLOOKUP($D12,'Final Update'!$P$21:$AD1000,Column(H10),False))</f>
        <v>2.6</v>
      </c>
      <c r="G12" s="403">
        <f>IF($D12="","", VLOOKUP($D12,'Final Update'!$P$21:$AD1000,Column(I10),False))</f>
        <v>3.9</v>
      </c>
      <c r="H12" s="403">
        <f>IF($D12="","", VLOOKUP($D12,'Final Update'!$P$21:$AD1000,Column(J10),False))</f>
        <v>4</v>
      </c>
      <c r="I12" s="403">
        <f>IF($D12="","", VLOOKUP($D12,'Final Update'!$P$21:$AD1000,Column(K10),False))</f>
        <v>1.1</v>
      </c>
      <c r="J12" s="403">
        <f>IF($D12="","", VLOOKUP($D12,'Final Update'!$P$21:$AD1000,Column(L10),False))</f>
        <v>0.4</v>
      </c>
      <c r="K12" s="404">
        <f>IF($D12="","", VLOOKUP($D12,'Final Update'!$P$21:$AD1000,Column(M10),False))</f>
        <v>0.46</v>
      </c>
      <c r="L12" s="404">
        <f>IF($D12="","", VLOOKUP($D12,'Final Update'!$P$21:$AD1000,Column(N10),False))</f>
        <v>0.801</v>
      </c>
      <c r="M12" s="403">
        <f>IF($D12="","", VLOOKUP($D12,'Final Update'!$P$21:$AD1000,Column(O10),False))</f>
        <v>1.6</v>
      </c>
      <c r="N12" s="403" t="str">
        <f>IF($D12="","", VLOOKUP($D12,'Final Update'!$P$21:$AD1000,Column(C10),False))</f>
        <v>SG,SF</v>
      </c>
      <c r="O12" s="94"/>
      <c r="P12" s="94"/>
      <c r="Q12" s="94"/>
      <c r="R12" s="94"/>
      <c r="S12" s="94"/>
      <c r="T12" s="94"/>
      <c r="U12" s="94"/>
      <c r="V12" s="94"/>
      <c r="W12" s="94"/>
      <c r="X12" s="94"/>
      <c r="Y12" s="94"/>
      <c r="Z12" s="94"/>
    </row>
    <row r="13">
      <c r="A13" s="94"/>
      <c r="B13" s="396">
        <f>Projections!$AK$32</f>
        <v>100</v>
      </c>
      <c r="C13" s="397">
        <v>11.0</v>
      </c>
      <c r="D13" s="406" t="str">
        <f t="array" ref="D13">INDIRECT("Draft!N"&amp;TEXT(A2+2,"0"))</f>
        <v>Zaccharie Risacher</v>
      </c>
      <c r="E13" s="403">
        <f>IF($D13="","", VLOOKUP($D13,'Final Update'!$P$21:$AD1000,Column(G11),False))</f>
        <v>13.6</v>
      </c>
      <c r="F13" s="403">
        <f>IF($D13="","", VLOOKUP($D13,'Final Update'!$P$21:$AD1000,Column(H11),False))</f>
        <v>1.4</v>
      </c>
      <c r="G13" s="403">
        <f>IF($D13="","", VLOOKUP($D13,'Final Update'!$P$21:$AD1000,Column(I11),False))</f>
        <v>4.1</v>
      </c>
      <c r="H13" s="403">
        <f>IF($D13="","", VLOOKUP($D13,'Final Update'!$P$21:$AD1000,Column(J11),False))</f>
        <v>1.5</v>
      </c>
      <c r="I13" s="403">
        <f>IF($D13="","", VLOOKUP($D13,'Final Update'!$P$21:$AD1000,Column(K11),False))</f>
        <v>1.1</v>
      </c>
      <c r="J13" s="403">
        <f>IF($D13="","", VLOOKUP($D13,'Final Update'!$P$21:$AD1000,Column(L11),False))</f>
        <v>0.7</v>
      </c>
      <c r="K13" s="404">
        <f>IF($D13="","", VLOOKUP($D13,'Final Update'!$P$21:$AD1000,Column(M11),False))</f>
        <v>0.452</v>
      </c>
      <c r="L13" s="404">
        <f>IF($D13="","", VLOOKUP($D13,'Final Update'!$P$21:$AD1000,Column(N11),False))</f>
        <v>0.74</v>
      </c>
      <c r="M13" s="403">
        <f>IF($D13="","", VLOOKUP($D13,'Final Update'!$P$21:$AD1000,Column(O11),False))</f>
        <v>1.6</v>
      </c>
      <c r="N13" s="403" t="str">
        <f>IF($D13="","", VLOOKUP($D13,'Final Update'!$P$21:$AD1000,Column(C11),False))</f>
        <v>SF</v>
      </c>
      <c r="O13" s="94"/>
      <c r="P13" s="94"/>
      <c r="Q13" s="94"/>
      <c r="R13" s="94"/>
      <c r="S13" s="94"/>
      <c r="T13" s="94"/>
      <c r="U13" s="94"/>
      <c r="V13" s="94"/>
      <c r="W13" s="94"/>
      <c r="X13" s="94"/>
      <c r="Y13" s="94"/>
      <c r="Z13" s="94"/>
    </row>
    <row r="14">
      <c r="A14" s="94"/>
      <c r="B14" s="396">
        <f>Projections!$AK$33</f>
        <v>100</v>
      </c>
      <c r="C14" s="397">
        <v>12.0</v>
      </c>
      <c r="D14" s="407" t="str">
        <f t="array" ref="D14">INDIRECT("Draft!O"&amp;TEXT(15-A2,"0"))</f>
        <v>Miles McBride</v>
      </c>
      <c r="E14" s="403">
        <f>IF($D14="","", VLOOKUP($D14,'Final Update'!$P$21:$AD1000,Column(G12),False))</f>
        <v>10.8</v>
      </c>
      <c r="F14" s="403">
        <f>IF($D14="","", VLOOKUP($D14,'Final Update'!$P$21:$AD1000,Column(H12),False))</f>
        <v>2.1</v>
      </c>
      <c r="G14" s="403">
        <f>IF($D14="","", VLOOKUP($D14,'Final Update'!$P$21:$AD1000,Column(I12),False))</f>
        <v>2.1</v>
      </c>
      <c r="H14" s="403">
        <f>IF($D14="","", VLOOKUP($D14,'Final Update'!$P$21:$AD1000,Column(J12),False))</f>
        <v>2.6</v>
      </c>
      <c r="I14" s="403">
        <f>IF($D14="","", VLOOKUP($D14,'Final Update'!$P$21:$AD1000,Column(K12),False))</f>
        <v>1.2</v>
      </c>
      <c r="J14" s="403">
        <f>IF($D14="","", VLOOKUP($D14,'Final Update'!$P$21:$AD1000,Column(L12),False))</f>
        <v>0.2</v>
      </c>
      <c r="K14" s="404">
        <f>IF($D14="","", VLOOKUP($D14,'Final Update'!$P$21:$AD1000,Column(M12),False))</f>
        <v>0.446</v>
      </c>
      <c r="L14" s="404">
        <f>IF($D14="","", VLOOKUP($D14,'Final Update'!$P$21:$AD1000,Column(N12),False))</f>
        <v>0.845</v>
      </c>
      <c r="M14" s="403">
        <f>IF($D14="","", VLOOKUP($D14,'Final Update'!$P$21:$AD1000,Column(O12),False))</f>
        <v>0.8</v>
      </c>
      <c r="N14" s="403" t="str">
        <f>IF($D14="","", VLOOKUP($D14,'Final Update'!$P$21:$AD1000,Column(C12),False))</f>
        <v>PG,SG</v>
      </c>
      <c r="O14" s="94"/>
      <c r="P14" s="94"/>
      <c r="Q14" s="94"/>
      <c r="R14" s="94"/>
      <c r="S14" s="94"/>
      <c r="T14" s="94"/>
      <c r="U14" s="94"/>
      <c r="V14" s="94"/>
      <c r="W14" s="94"/>
      <c r="X14" s="94"/>
      <c r="Y14" s="94"/>
      <c r="Z14" s="94"/>
    </row>
    <row r="15">
      <c r="A15" s="94"/>
      <c r="B15" s="408">
        <f>Projections!$AK$34</f>
        <v>100</v>
      </c>
      <c r="C15" s="397">
        <v>13.0</v>
      </c>
      <c r="D15" s="406" t="str">
        <f t="array" ref="D15">INDIRECT("Draft!P"&amp;TEXT(A2+2,"0"))</f>
        <v>Alex Caruso</v>
      </c>
      <c r="E15" s="403">
        <f>IF($D15="","", VLOOKUP($D15,'Final Update'!$P$21:$AD1000,Column(G13),False))</f>
        <v>8.7</v>
      </c>
      <c r="F15" s="403">
        <f>IF($D15="","", VLOOKUP($D15,'Final Update'!$P$21:$AD1000,Column(H13),False))</f>
        <v>1.5</v>
      </c>
      <c r="G15" s="403">
        <f>IF($D15="","", VLOOKUP($D15,'Final Update'!$P$21:$AD1000,Column(I13),False))</f>
        <v>3.8</v>
      </c>
      <c r="H15" s="403">
        <f>IF($D15="","", VLOOKUP($D15,'Final Update'!$P$21:$AD1000,Column(J13),False))</f>
        <v>3.5</v>
      </c>
      <c r="I15" s="403">
        <f>IF($D15="","", VLOOKUP($D15,'Final Update'!$P$21:$AD1000,Column(K13),False))</f>
        <v>1.6</v>
      </c>
      <c r="J15" s="403">
        <f>IF($D15="","", VLOOKUP($D15,'Final Update'!$P$21:$AD1000,Column(L13),False))</f>
        <v>0.9</v>
      </c>
      <c r="K15" s="404">
        <f>IF($D15="","", VLOOKUP($D15,'Final Update'!$P$21:$AD1000,Column(M13),False))</f>
        <v>0.463</v>
      </c>
      <c r="L15" s="404">
        <f>IF($D15="","", VLOOKUP($D15,'Final Update'!$P$21:$AD1000,Column(N13),False))</f>
        <v>0.785</v>
      </c>
      <c r="M15" s="403">
        <f>IF($D15="","", VLOOKUP($D15,'Final Update'!$P$21:$AD1000,Column(O13),False))</f>
        <v>1.4</v>
      </c>
      <c r="N15" s="403" t="str">
        <f>IF($D15="","", VLOOKUP($D15,'Final Update'!$P$21:$AD1000,Column(C13),False))</f>
        <v>SG,SF</v>
      </c>
      <c r="O15" s="94"/>
      <c r="P15" s="94"/>
      <c r="Q15" s="94"/>
      <c r="R15" s="94"/>
      <c r="S15" s="94"/>
      <c r="T15" s="94"/>
      <c r="U15" s="94"/>
      <c r="V15" s="94"/>
      <c r="W15" s="94"/>
      <c r="X15" s="94"/>
      <c r="Y15" s="94"/>
      <c r="Z15" s="94"/>
    </row>
    <row r="16">
      <c r="A16" s="94"/>
      <c r="B16" s="396">
        <f>Projections!$AK$35</f>
        <v>50</v>
      </c>
      <c r="C16" s="397">
        <v>14.0</v>
      </c>
      <c r="D16" s="407" t="str">
        <f t="array" ref="D16">INDIRECT("Draft!Q"&amp;TEXT(15-A2,"0"))</f>
        <v/>
      </c>
      <c r="E16" s="403" t="str">
        <f>IF($D16="","", VLOOKUP($D16,'Final Update'!$P$21:$AD1000,Column(G14),False))</f>
        <v/>
      </c>
      <c r="F16" s="403" t="str">
        <f>IF($D16="","", VLOOKUP($D16,'Final Update'!$P$21:$AD1000,Column(H14),False))</f>
        <v/>
      </c>
      <c r="G16" s="403" t="str">
        <f>IF($D16="","", VLOOKUP($D16,'Final Update'!$P$21:$AD1000,Column(I14),False))</f>
        <v/>
      </c>
      <c r="H16" s="403" t="str">
        <f>IF($D16="","", VLOOKUP($D16,'Final Update'!$P$21:$AD1000,Column(J14),False))</f>
        <v/>
      </c>
      <c r="I16" s="403" t="str">
        <f>IF($D16="","", VLOOKUP($D16,'Final Update'!$P$21:$AD1000,Column(K14),False))</f>
        <v/>
      </c>
      <c r="J16" s="403" t="str">
        <f>IF($D16="","", VLOOKUP($D16,'Final Update'!$P$21:$AD1000,Column(L14),False))</f>
        <v/>
      </c>
      <c r="K16" s="404" t="str">
        <f>IF($D16="","", VLOOKUP($D16,'Final Update'!$P$21:$AD1000,Column(M14),False))</f>
        <v/>
      </c>
      <c r="L16" s="404" t="str">
        <f>IF($D16="","", VLOOKUP($D16,'Final Update'!$P$21:$AD1000,Column(N14),False))</f>
        <v/>
      </c>
      <c r="M16" s="403" t="str">
        <f>IF($D16="","", VLOOKUP($D16,'Final Update'!$P$21:$AD1000,Column(O14),False))</f>
        <v/>
      </c>
      <c r="N16" s="403" t="str">
        <f>IF($D16="","", VLOOKUP($D16,'Final Update'!$P$21:$AD1000,Column(C14),False))</f>
        <v/>
      </c>
      <c r="O16" s="94"/>
      <c r="P16" s="94"/>
      <c r="Q16" s="94"/>
      <c r="R16" s="94"/>
      <c r="S16" s="94"/>
      <c r="T16" s="94"/>
      <c r="U16" s="94"/>
      <c r="V16" s="94"/>
      <c r="W16" s="94"/>
      <c r="X16" s="94"/>
      <c r="Y16" s="94"/>
      <c r="Z16" s="94"/>
    </row>
    <row r="17">
      <c r="A17" s="392" t="s">
        <v>5</v>
      </c>
      <c r="B17" s="94"/>
      <c r="C17" s="94"/>
      <c r="D17" s="395" t="s">
        <v>1291</v>
      </c>
      <c r="E17" s="409" t="str">
        <f t="shared" ref="E17:J17" si="1">IFERROR(AVERAGE(SUMPRODUCT(E3:E16,$B3:$B16/100))/(SUM(OFFSET($B3,0,0,COUNT(E3:E16)))/100),"")</f>
        <v/>
      </c>
      <c r="F17" s="409" t="str">
        <f t="shared" si="1"/>
        <v/>
      </c>
      <c r="G17" s="409" t="str">
        <f t="shared" si="1"/>
        <v/>
      </c>
      <c r="H17" s="409" t="str">
        <f t="shared" si="1"/>
        <v/>
      </c>
      <c r="I17" s="409" t="str">
        <f t="shared" si="1"/>
        <v/>
      </c>
      <c r="J17" s="409" t="str">
        <f t="shared" si="1"/>
        <v/>
      </c>
      <c r="K17" s="409">
        <f t="array" ref="K17">IFERROR(100*SUMPRODUCT(IFERROR(VLOOKUP($D3:$D16,UpdateHashtag!$C:$S,6,False),"")*$B3:$B16/100)/SUMPRODUCT(IFERROR(VLOOKUP($D3:$D16,UpdateHashtag!$C:$S,17,False),"")*$B3:$B16/100),"")</f>
        <v>46.89521345</v>
      </c>
      <c r="L17" s="409">
        <f t="array" ref="L17">IFERROR(100*SUMPRODUCT(IFERROR(VLOOKUP($D3:$D16,UpdateHashtag!$C:$T,8,False),"")*$B3:$B16/100)/SUMPRODUCT(IFERROR(VLOOKUP($D3:$D16,UpdateHashtag!$C:$T,18,False),"")*$B3:$B16/100),"")</f>
        <v>81.84143223</v>
      </c>
      <c r="M17" s="409" t="str">
        <f>IFERROR(AVERAGE(SUMPRODUCT(M3:M16,$B3:$B16/100))/(SUM(OFFSET($B3,0,0,COUNT(M3:M16)))/100),"")</f>
        <v/>
      </c>
      <c r="N17" s="347" t="s">
        <v>116</v>
      </c>
      <c r="O17" s="94"/>
      <c r="P17" s="94"/>
      <c r="Q17" s="94"/>
      <c r="R17" s="94"/>
      <c r="S17" s="94"/>
      <c r="T17" s="94"/>
      <c r="U17" s="94"/>
      <c r="V17" s="94"/>
      <c r="W17" s="94"/>
      <c r="X17" s="94"/>
      <c r="Y17" s="94"/>
      <c r="Z17" s="94"/>
    </row>
    <row r="18">
      <c r="A18" s="94"/>
      <c r="B18" s="94"/>
      <c r="C18" s="94"/>
      <c r="D18" s="395" t="s">
        <v>1318</v>
      </c>
      <c r="E18" s="410">
        <f>IFERROR((SUM(OFFSET('All Teams'!$B3,0,0,COUNT('All Teams'!E3:E16)))/100)*('All Teams'!E17-'Final Update'!$B$1)/'Final Update'!$B$2,"")</f>
        <v>-34.70894483</v>
      </c>
      <c r="F18" s="410">
        <f>IFERROR((SUM(OFFSET('All Teams'!$B3,0,0,COUNT('All Teams'!F3:F16)))/100)*('All Teams'!F17-'Final Update'!$C$1)/'Final Update'!$C$2,"")</f>
        <v>-19.14755239</v>
      </c>
      <c r="G18" s="410">
        <f>IFERROR((SUM(OFFSET('All Teams'!$B3,0,0,COUNT('All Teams'!G3:G16)))/100)*('All Teams'!G17-'Final Update'!$D$1)/'Final Update'!$D$2,"")</f>
        <v>-26.18659016</v>
      </c>
      <c r="H18" s="410">
        <f>IFERROR((SUM(OFFSET('All Teams'!$B3,0,0,COUNT('All Teams'!H3:H16)))/100)*('All Teams'!H17-'Final Update'!$E$1)/'Final Update'!$E$2,"")</f>
        <v>-19.72522926</v>
      </c>
      <c r="I18" s="410">
        <f>IFERROR((SUM(OFFSET('All Teams'!$B3,0,0,COUNT('All Teams'!I3:I16)))/100)*('All Teams'!I17-'Final Update'!$F$1)/'Final Update'!$F$2,"")</f>
        <v>-35.64209565</v>
      </c>
      <c r="J18" s="410">
        <f>IFERROR((SUM(OFFSET('All Teams'!$B3,0,0,COUNT('All Teams'!J3:J16)))/100)*('All Teams'!J17-'Final Update'!$G$1)/'Final Update'!$G$2,"")</f>
        <v>-14.62001366</v>
      </c>
      <c r="K18" s="410">
        <f t="array" ref="K18">SUMPRODUCT(IFERROR(VLOOKUP($D3:$D16,'Final Update'!$A$4:$L$403,8,False)*$B3:$B16/100,""))</f>
        <v>-5.247834342</v>
      </c>
      <c r="L18" s="410">
        <f t="array" ref="L18">SUMPRODUCT(IFERROR(VLOOKUP($D3:$D16,'Final Update'!$A$4:$L$403,10,False)*$B3:$B16/100,""))</f>
        <v>2.996274515</v>
      </c>
      <c r="M18" s="410">
        <f>IFERROR(-(SUM(OFFSET('All Teams'!$B3,0,0,COUNT('All Teams'!M3:M16)))/100)*('All Teams'!M17-'Final Update'!$L$1)/'Final Update'!$L$2,"")</f>
        <v>19.08007609</v>
      </c>
      <c r="N18" s="94">
        <f t="array" ref="N18">SUM(IFERROR(vlookup(D3:D16,'Final Update'!$P$21:$S$620,4,0),""))</f>
        <v>20.18135347</v>
      </c>
      <c r="O18" s="94"/>
      <c r="P18" s="94"/>
      <c r="Q18" s="94"/>
      <c r="R18" s="94"/>
      <c r="S18" s="94"/>
      <c r="T18" s="94"/>
      <c r="U18" s="94"/>
      <c r="V18" s="94"/>
      <c r="W18" s="94"/>
      <c r="X18" s="94"/>
      <c r="Y18" s="94"/>
      <c r="Z18" s="94"/>
    </row>
    <row r="19">
      <c r="A19" s="393">
        <v>2.0</v>
      </c>
      <c r="B19" s="394" t="s">
        <v>256</v>
      </c>
      <c r="C19" s="395" t="s">
        <v>258</v>
      </c>
      <c r="D19" s="394" t="s">
        <v>3</v>
      </c>
      <c r="E19" s="394" t="s">
        <v>13</v>
      </c>
      <c r="F19" s="394" t="s">
        <v>99</v>
      </c>
      <c r="G19" s="394" t="s">
        <v>101</v>
      </c>
      <c r="H19" s="394" t="s">
        <v>15</v>
      </c>
      <c r="I19" s="394" t="s">
        <v>16</v>
      </c>
      <c r="J19" s="394" t="s">
        <v>17</v>
      </c>
      <c r="K19" s="394" t="s">
        <v>9</v>
      </c>
      <c r="L19" s="394" t="s">
        <v>11</v>
      </c>
      <c r="M19" s="394" t="s">
        <v>18</v>
      </c>
      <c r="N19" s="394" t="s">
        <v>4</v>
      </c>
      <c r="O19" s="394" t="s">
        <v>259</v>
      </c>
      <c r="P19" s="394" t="s">
        <v>4</v>
      </c>
      <c r="Q19" s="94"/>
      <c r="R19" s="94"/>
      <c r="S19" s="94"/>
      <c r="T19" s="94"/>
      <c r="U19" s="94"/>
      <c r="V19" s="94"/>
      <c r="W19" s="94"/>
      <c r="X19" s="94"/>
      <c r="Y19" s="94"/>
      <c r="Z19" s="94"/>
    </row>
    <row r="20">
      <c r="A20" s="94"/>
      <c r="B20" s="396">
        <f>Projections!$AK$22</f>
        <v>100</v>
      </c>
      <c r="C20" s="397">
        <v>1.0</v>
      </c>
      <c r="D20" s="398" t="str">
        <f t="array" ref="D20">INDIRECT("Draft!D"&amp;TEXT(A19+2,"0"))</f>
        <v>Nikola Jokic</v>
      </c>
      <c r="E20" s="399">
        <f>IF($D20="","", VLOOKUP($D20,'Final Update'!$P$21:$AD1000,Column(G18),False))</f>
        <v>26.7</v>
      </c>
      <c r="F20" s="399">
        <f>IF($D20="","", VLOOKUP($D20,'Final Update'!$P$21:$AD1000,Column(H18),False))</f>
        <v>1.1</v>
      </c>
      <c r="G20" s="399">
        <f>IF($D20="","", VLOOKUP($D20,'Final Update'!$P$21:$AD1000,Column(I18),False))</f>
        <v>12.1</v>
      </c>
      <c r="H20" s="399">
        <f>IF($D20="","", VLOOKUP($D20,'Final Update'!$P$21:$AD1000,Column(J18),False))</f>
        <v>9</v>
      </c>
      <c r="I20" s="399">
        <f>IF($D20="","", VLOOKUP($D20,'Final Update'!$P$21:$AD1000,Column(K18),False))</f>
        <v>1.4</v>
      </c>
      <c r="J20" s="399">
        <f>IF($D20="","", VLOOKUP($D20,'Final Update'!$P$21:$AD1000,Column(L18),False))</f>
        <v>0.9</v>
      </c>
      <c r="K20" s="400">
        <f>IF($D20="","", VLOOKUP($D20,'Final Update'!$P$21:$AD1000,Column(M18),False))</f>
        <v>0.585</v>
      </c>
      <c r="L20" s="400">
        <f>IF($D20="","", VLOOKUP($D20,'Final Update'!$P$21:$AD1000,Column(N18),False))</f>
        <v>0.819</v>
      </c>
      <c r="M20" s="399">
        <f>IF($D20="","", VLOOKUP($D20,'Final Update'!$P$21:$AD1000,Column(O18),False))</f>
        <v>3</v>
      </c>
      <c r="N20" s="399" t="str">
        <f>IF($D20="","", VLOOKUP($D20,'Final Update'!$P$21:$AD1000,Column(C18),False))</f>
        <v>C</v>
      </c>
      <c r="O20" s="397">
        <f t="array" ref="O20">COUNTIF(FIND(P20,$N20:$N33),"&gt;0")</f>
        <v>6</v>
      </c>
      <c r="P20" s="398" t="s">
        <v>85</v>
      </c>
      <c r="Q20" s="94"/>
      <c r="R20" s="94"/>
      <c r="S20" s="94"/>
      <c r="T20" s="94"/>
      <c r="U20" s="94"/>
      <c r="V20" s="94"/>
      <c r="W20" s="94"/>
      <c r="X20" s="94"/>
      <c r="Y20" s="94"/>
      <c r="Z20" s="94"/>
    </row>
    <row r="21">
      <c r="A21" s="94"/>
      <c r="B21" s="396">
        <f>Projections!$AK$23</f>
        <v>100</v>
      </c>
      <c r="C21" s="397">
        <v>2.0</v>
      </c>
      <c r="D21" s="401" t="str">
        <f t="array" ref="D21">INDIRECT("Draft!E"&amp;TEXT(15-A19,"0"))</f>
        <v>Derrick White</v>
      </c>
      <c r="E21" s="399">
        <f>IF($D21="","", VLOOKUP($D21,'Final Update'!$P$21:$AD1000,Column(G19),False))</f>
        <v>15.2</v>
      </c>
      <c r="F21" s="399">
        <f>IF($D21="","", VLOOKUP($D21,'Final Update'!$P$21:$AD1000,Column(H19),False))</f>
        <v>2.7</v>
      </c>
      <c r="G21" s="399">
        <f>IF($D21="","", VLOOKUP($D21,'Final Update'!$P$21:$AD1000,Column(I19),False))</f>
        <v>4.3</v>
      </c>
      <c r="H21" s="399">
        <f>IF($D21="","", VLOOKUP($D21,'Final Update'!$P$21:$AD1000,Column(J19),False))</f>
        <v>4.9</v>
      </c>
      <c r="I21" s="399">
        <f>IF($D21="","", VLOOKUP($D21,'Final Update'!$P$21:$AD1000,Column(K19),False))</f>
        <v>0.9</v>
      </c>
      <c r="J21" s="399">
        <f>IF($D21="","", VLOOKUP($D21,'Final Update'!$P$21:$AD1000,Column(L19),False))</f>
        <v>1.2</v>
      </c>
      <c r="K21" s="400">
        <f>IF($D21="","", VLOOKUP($D21,'Final Update'!$P$21:$AD1000,Column(M19),False))</f>
        <v>0.461</v>
      </c>
      <c r="L21" s="400">
        <f>IF($D21="","", VLOOKUP($D21,'Final Update'!$P$21:$AD1000,Column(N19),False))</f>
        <v>0.888</v>
      </c>
      <c r="M21" s="399">
        <f>IF($D21="","", VLOOKUP($D21,'Final Update'!$P$21:$AD1000,Column(O19),False))</f>
        <v>1.5</v>
      </c>
      <c r="N21" s="399" t="str">
        <f>IF($D21="","", VLOOKUP($D21,'Final Update'!$P$21:$AD1000,Column(C19),False))</f>
        <v>PG,SG</v>
      </c>
      <c r="O21" s="397">
        <f t="array" ref="O21">COUNTIF(FIND(P21,$N20:$N33),"&gt;0")</f>
        <v>6</v>
      </c>
      <c r="P21" s="398" t="s">
        <v>88</v>
      </c>
      <c r="Q21" s="94"/>
      <c r="R21" s="94"/>
      <c r="S21" s="94"/>
      <c r="T21" s="94"/>
      <c r="U21" s="94"/>
      <c r="V21" s="94"/>
      <c r="W21" s="94"/>
      <c r="X21" s="94"/>
      <c r="Y21" s="94"/>
      <c r="Z21" s="94"/>
    </row>
    <row r="22">
      <c r="A22" s="94"/>
      <c r="B22" s="396">
        <f>Projections!$AK$24</f>
        <v>100</v>
      </c>
      <c r="C22" s="397">
        <v>3.0</v>
      </c>
      <c r="D22" s="402" t="str">
        <f t="array" ref="D22">INDIRECT("Draft!F"&amp;TEXT(A19+2,"0"))</f>
        <v>Jalen Brunson</v>
      </c>
      <c r="E22" s="403">
        <f>IF($D22="","", VLOOKUP($D22,'Final Update'!$P$21:$AD1000,Column(G20),False))</f>
        <v>27.7</v>
      </c>
      <c r="F22" s="403">
        <f>IF($D22="","", VLOOKUP($D22,'Final Update'!$P$21:$AD1000,Column(H20),False))</f>
        <v>2.7</v>
      </c>
      <c r="G22" s="403">
        <f>IF($D22="","", VLOOKUP($D22,'Final Update'!$P$21:$AD1000,Column(I20),False))</f>
        <v>3.7</v>
      </c>
      <c r="H22" s="403">
        <f>IF($D22="","", VLOOKUP($D22,'Final Update'!$P$21:$AD1000,Column(J20),False))</f>
        <v>7</v>
      </c>
      <c r="I22" s="403">
        <f>IF($D22="","", VLOOKUP($D22,'Final Update'!$P$21:$AD1000,Column(K20),False))</f>
        <v>0.9</v>
      </c>
      <c r="J22" s="403">
        <f>IF($D22="","", VLOOKUP($D22,'Final Update'!$P$21:$AD1000,Column(L20),False))</f>
        <v>0.2</v>
      </c>
      <c r="K22" s="404">
        <f>IF($D22="","", VLOOKUP($D22,'Final Update'!$P$21:$AD1000,Column(M20),False))</f>
        <v>0.484</v>
      </c>
      <c r="L22" s="404">
        <f>IF($D22="","", VLOOKUP($D22,'Final Update'!$P$21:$AD1000,Column(N20),False))</f>
        <v>0.839</v>
      </c>
      <c r="M22" s="403">
        <f>IF($D22="","", VLOOKUP($D22,'Final Update'!$P$21:$AD1000,Column(O20),False))</f>
        <v>2.3</v>
      </c>
      <c r="N22" s="403" t="str">
        <f>IF($D22="","", VLOOKUP($D22,'Final Update'!$P$21:$AD1000,Column(C20),False))</f>
        <v>PG</v>
      </c>
      <c r="O22" s="397">
        <f t="array" ref="O22">COUNTIF(FIND(P22,$N20:$N33),"&gt;0")</f>
        <v>2</v>
      </c>
      <c r="P22" s="398" t="s">
        <v>90</v>
      </c>
      <c r="Q22" s="94"/>
      <c r="R22" s="94"/>
      <c r="S22" s="94"/>
      <c r="T22" s="94"/>
      <c r="U22" s="94"/>
      <c r="V22" s="94"/>
      <c r="W22" s="94"/>
      <c r="X22" s="94"/>
      <c r="Y22" s="94"/>
      <c r="Z22" s="94"/>
    </row>
    <row r="23">
      <c r="A23" s="94"/>
      <c r="B23" s="396">
        <f>Projections!$AK$25</f>
        <v>100</v>
      </c>
      <c r="C23" s="397">
        <v>4.0</v>
      </c>
      <c r="D23" s="405" t="str">
        <f t="array" ref="D23">INDIRECT("Draft!G"&amp;TEXT(15-A19,"0"))</f>
        <v>Trey Murphy</v>
      </c>
      <c r="E23" s="403" t="str">
        <f>IF($D23="","", VLOOKUP($D23,'Final Update'!$P$21:$AD1000,Column(G21),False))</f>
        <v>#N/A</v>
      </c>
      <c r="F23" s="403" t="str">
        <f>IF($D23="","", VLOOKUP($D23,'Final Update'!$P$21:$AD1000,Column(H21),False))</f>
        <v>#N/A</v>
      </c>
      <c r="G23" s="403" t="str">
        <f>IF($D23="","", VLOOKUP($D23,'Final Update'!$P$21:$AD1000,Column(I21),False))</f>
        <v>#N/A</v>
      </c>
      <c r="H23" s="403" t="str">
        <f>IF($D23="","", VLOOKUP($D23,'Final Update'!$P$21:$AD1000,Column(J21),False))</f>
        <v>#N/A</v>
      </c>
      <c r="I23" s="403" t="str">
        <f>IF($D23="","", VLOOKUP($D23,'Final Update'!$P$21:$AD1000,Column(K21),False))</f>
        <v>#N/A</v>
      </c>
      <c r="J23" s="403" t="str">
        <f>IF($D23="","", VLOOKUP($D23,'Final Update'!$P$21:$AD1000,Column(L21),False))</f>
        <v>#N/A</v>
      </c>
      <c r="K23" s="404" t="str">
        <f>IF($D23="","", VLOOKUP($D23,'Final Update'!$P$21:$AD1000,Column(M21),False))</f>
        <v>#N/A</v>
      </c>
      <c r="L23" s="404" t="str">
        <f>IF($D23="","", VLOOKUP($D23,'Final Update'!$P$21:$AD1000,Column(N21),False))</f>
        <v>#N/A</v>
      </c>
      <c r="M23" s="403" t="str">
        <f>IF($D23="","", VLOOKUP($D23,'Final Update'!$P$21:$AD1000,Column(O21),False))</f>
        <v>#N/A</v>
      </c>
      <c r="N23" s="403" t="str">
        <f>IF($D23="","", VLOOKUP($D23,'Final Update'!$P$21:$AD1000,Column(C21),False))</f>
        <v>#N/A</v>
      </c>
      <c r="O23" s="397">
        <f t="array" ref="O23">COUNTIF(FIND(P23,$N20:$N33),"&gt;0")</f>
        <v>3</v>
      </c>
      <c r="P23" s="398" t="s">
        <v>92</v>
      </c>
      <c r="Q23" s="94"/>
      <c r="R23" s="94"/>
      <c r="S23" s="94"/>
      <c r="T23" s="94"/>
      <c r="U23" s="94"/>
      <c r="V23" s="94"/>
      <c r="W23" s="94"/>
      <c r="X23" s="94"/>
      <c r="Y23" s="94"/>
      <c r="Z23" s="94"/>
    </row>
    <row r="24">
      <c r="A24" s="94"/>
      <c r="B24" s="396">
        <f>Projections!$AK$26</f>
        <v>100</v>
      </c>
      <c r="C24" s="397">
        <v>5.0</v>
      </c>
      <c r="D24" s="406" t="str">
        <f t="array" ref="D24">INDIRECT("Draft!H"&amp;TEXT(A19+2,"0"))</f>
        <v>Kristaps Porzingis</v>
      </c>
      <c r="E24" s="411">
        <f>IF($D24="","", VLOOKUP($D24,'Final Update'!$P$21:$AD1000,Column(G22),False))</f>
        <v>17.8</v>
      </c>
      <c r="F24" s="411">
        <f>IF($D24="","", VLOOKUP($D24,'Final Update'!$P$21:$AD1000,Column(H22),False))</f>
        <v>1.8</v>
      </c>
      <c r="G24" s="411">
        <f>IF($D24="","", VLOOKUP($D24,'Final Update'!$P$21:$AD1000,Column(I22),False))</f>
        <v>6.7</v>
      </c>
      <c r="H24" s="411">
        <f>IF($D24="","", VLOOKUP($D24,'Final Update'!$P$21:$AD1000,Column(J22),False))</f>
        <v>2</v>
      </c>
      <c r="I24" s="411">
        <f>IF($D24="","", VLOOKUP($D24,'Final Update'!$P$21:$AD1000,Column(K22),False))</f>
        <v>0.7</v>
      </c>
      <c r="J24" s="411">
        <f>IF($D24="","", VLOOKUP($D24,'Final Update'!$P$21:$AD1000,Column(L22),False))</f>
        <v>1.5</v>
      </c>
      <c r="K24" s="412">
        <f>IF($D24="","", VLOOKUP($D24,'Final Update'!$P$21:$AD1000,Column(M22),False))</f>
        <v>0.484</v>
      </c>
      <c r="L24" s="412">
        <f>IF($D24="","", VLOOKUP($D24,'Final Update'!$P$21:$AD1000,Column(N22),False))</f>
        <v>0.848</v>
      </c>
      <c r="M24" s="411">
        <f>IF($D24="","", VLOOKUP($D24,'Final Update'!$P$21:$AD1000,Column(O22),False))</f>
        <v>1.6</v>
      </c>
      <c r="N24" s="403" t="str">
        <f>IF($D24="","", VLOOKUP($D24,'Final Update'!$P$21:$AD1000,Column(C22),False))</f>
        <v>PF,C</v>
      </c>
      <c r="O24" s="397">
        <f t="array" ref="O24">COUNTIF(FIND(P24,$N20:$N33),"&gt;0")</f>
        <v>4</v>
      </c>
      <c r="P24" s="398" t="s">
        <v>97</v>
      </c>
      <c r="Q24" s="94"/>
      <c r="R24" s="94"/>
      <c r="S24" s="94"/>
      <c r="T24" s="94"/>
      <c r="U24" s="94"/>
      <c r="V24" s="94"/>
      <c r="W24" s="94"/>
      <c r="X24" s="94"/>
      <c r="Y24" s="94"/>
      <c r="Z24" s="94"/>
    </row>
    <row r="25">
      <c r="A25" s="94"/>
      <c r="B25" s="396">
        <f>Projections!$AK$27</f>
        <v>100</v>
      </c>
      <c r="C25" s="397">
        <v>6.0</v>
      </c>
      <c r="D25" s="407" t="str">
        <f t="array" ref="D25">INDIRECT("Draft!I"&amp;TEXT(15-A19,"0"))</f>
        <v>Tyler Herro</v>
      </c>
      <c r="E25" s="411">
        <f>IF($D25="","", VLOOKUP($D25,'Final Update'!$P$21:$AD1000,Column(G23),False))</f>
        <v>20.2</v>
      </c>
      <c r="F25" s="411">
        <f>IF($D25="","", VLOOKUP($D25,'Final Update'!$P$21:$AD1000,Column(H23),False))</f>
        <v>3.1</v>
      </c>
      <c r="G25" s="411">
        <f>IF($D25="","", VLOOKUP($D25,'Final Update'!$P$21:$AD1000,Column(I23),False))</f>
        <v>5.3</v>
      </c>
      <c r="H25" s="411">
        <f>IF($D25="","", VLOOKUP($D25,'Final Update'!$P$21:$AD1000,Column(J23),False))</f>
        <v>4.3</v>
      </c>
      <c r="I25" s="411">
        <f>IF($D25="","", VLOOKUP($D25,'Final Update'!$P$21:$AD1000,Column(K23),False))</f>
        <v>0.7</v>
      </c>
      <c r="J25" s="411">
        <f>IF($D25="","", VLOOKUP($D25,'Final Update'!$P$21:$AD1000,Column(L23),False))</f>
        <v>0.2</v>
      </c>
      <c r="K25" s="412">
        <f>IF($D25="","", VLOOKUP($D25,'Final Update'!$P$21:$AD1000,Column(M23),False))</f>
        <v>0.44</v>
      </c>
      <c r="L25" s="412">
        <f>IF($D25="","", VLOOKUP($D25,'Final Update'!$P$21:$AD1000,Column(N23),False))</f>
        <v>0.903</v>
      </c>
      <c r="M25" s="411">
        <f>IF($D25="","", VLOOKUP($D25,'Final Update'!$P$21:$AD1000,Column(O23),False))</f>
        <v>2.3</v>
      </c>
      <c r="N25" s="403" t="str">
        <f>IF($D25="","", VLOOKUP($D25,'Final Update'!$P$21:$AD1000,Column(C23),False))</f>
        <v>PG,SG</v>
      </c>
      <c r="O25" s="94"/>
      <c r="P25" s="94"/>
      <c r="Q25" s="94"/>
      <c r="R25" s="94"/>
      <c r="S25" s="94"/>
      <c r="T25" s="94"/>
      <c r="U25" s="94"/>
      <c r="V25" s="94"/>
      <c r="W25" s="94"/>
      <c r="X25" s="94"/>
      <c r="Y25" s="94"/>
      <c r="Z25" s="94"/>
    </row>
    <row r="26">
      <c r="A26" s="94"/>
      <c r="B26" s="396">
        <f>Projections!$AK$28</f>
        <v>100</v>
      </c>
      <c r="C26" s="397">
        <v>7.0</v>
      </c>
      <c r="D26" s="406" t="str">
        <f t="array" ref="D26">INDIRECT("Draft!J"&amp;TEXT(A19+2,"0"))</f>
        <v>Michael Porter Jr.</v>
      </c>
      <c r="E26" s="411">
        <f>IF($D26="","", VLOOKUP($D26,'Final Update'!$P$21:$AD1000,Column(G24),False))</f>
        <v>17.5</v>
      </c>
      <c r="F26" s="411">
        <f>IF($D26="","", VLOOKUP($D26,'Final Update'!$P$21:$AD1000,Column(H24),False))</f>
        <v>2.9</v>
      </c>
      <c r="G26" s="411">
        <f>IF($D26="","", VLOOKUP($D26,'Final Update'!$P$21:$AD1000,Column(I24),False))</f>
        <v>6.5</v>
      </c>
      <c r="H26" s="411">
        <f>IF($D26="","", VLOOKUP($D26,'Final Update'!$P$21:$AD1000,Column(J24),False))</f>
        <v>1.4</v>
      </c>
      <c r="I26" s="411">
        <f>IF($D26="","", VLOOKUP($D26,'Final Update'!$P$21:$AD1000,Column(K24),False))</f>
        <v>0.6</v>
      </c>
      <c r="J26" s="411">
        <f>IF($D26="","", VLOOKUP($D26,'Final Update'!$P$21:$AD1000,Column(L24),False))</f>
        <v>0.6</v>
      </c>
      <c r="K26" s="412">
        <f>IF($D26="","", VLOOKUP($D26,'Final Update'!$P$21:$AD1000,Column(M24),False))</f>
        <v>0.485</v>
      </c>
      <c r="L26" s="412">
        <f>IF($D26="","", VLOOKUP($D26,'Final Update'!$P$21:$AD1000,Column(N24),False))</f>
        <v>0.818</v>
      </c>
      <c r="M26" s="411">
        <f>IF($D26="","", VLOOKUP($D26,'Final Update'!$P$21:$AD1000,Column(O24),False))</f>
        <v>1.2</v>
      </c>
      <c r="N26" s="403" t="str">
        <f>IF($D26="","", VLOOKUP($D26,'Final Update'!$P$21:$AD1000,Column(C24),False))</f>
        <v>SF,PF</v>
      </c>
      <c r="O26" s="94"/>
      <c r="P26" s="94"/>
      <c r="Q26" s="94"/>
      <c r="R26" s="94"/>
      <c r="S26" s="94"/>
      <c r="T26" s="94"/>
      <c r="U26" s="94"/>
      <c r="V26" s="94"/>
      <c r="W26" s="94"/>
      <c r="X26" s="94"/>
      <c r="Y26" s="94"/>
      <c r="Z26" s="94"/>
    </row>
    <row r="27">
      <c r="A27" s="94"/>
      <c r="B27" s="396">
        <f>Projections!$AK$29</f>
        <v>100</v>
      </c>
      <c r="C27" s="397">
        <v>8.0</v>
      </c>
      <c r="D27" s="407" t="str">
        <f t="array" ref="D27">INDIRECT("Draft!K"&amp;TEXT(15-A19,"0"))</f>
        <v>James Harden</v>
      </c>
      <c r="E27" s="411">
        <f>IF($D27="","", VLOOKUP($D27,'Final Update'!$P$21:$AD1000,Column(G25),False))</f>
        <v>20.4</v>
      </c>
      <c r="F27" s="411">
        <f>IF($D27="","", VLOOKUP($D27,'Final Update'!$P$21:$AD1000,Column(H25),False))</f>
        <v>2.8</v>
      </c>
      <c r="G27" s="411">
        <f>IF($D27="","", VLOOKUP($D27,'Final Update'!$P$21:$AD1000,Column(I25),False))</f>
        <v>6.1</v>
      </c>
      <c r="H27" s="411">
        <f>IF($D27="","", VLOOKUP($D27,'Final Update'!$P$21:$AD1000,Column(J25),False))</f>
        <v>10.4</v>
      </c>
      <c r="I27" s="411">
        <f>IF($D27="","", VLOOKUP($D27,'Final Update'!$P$21:$AD1000,Column(K25),False))</f>
        <v>1.1</v>
      </c>
      <c r="J27" s="411">
        <f>IF($D27="","", VLOOKUP($D27,'Final Update'!$P$21:$AD1000,Column(L25),False))</f>
        <v>0.7</v>
      </c>
      <c r="K27" s="412">
        <f>IF($D27="","", VLOOKUP($D27,'Final Update'!$P$21:$AD1000,Column(M25),False))</f>
        <v>0.438</v>
      </c>
      <c r="L27" s="412">
        <f>IF($D27="","", VLOOKUP($D27,'Final Update'!$P$21:$AD1000,Column(N25),False))</f>
        <v>0.871</v>
      </c>
      <c r="M27" s="411">
        <f>IF($D27="","", VLOOKUP($D27,'Final Update'!$P$21:$AD1000,Column(O25),False))</f>
        <v>2.9</v>
      </c>
      <c r="N27" s="403" t="str">
        <f>IF($D27="","", VLOOKUP($D27,'Final Update'!$P$21:$AD1000,Column(C25),False))</f>
        <v>PG,SG</v>
      </c>
      <c r="O27" s="94"/>
      <c r="P27" s="94"/>
      <c r="Q27" s="94"/>
      <c r="R27" s="94"/>
      <c r="S27" s="94"/>
      <c r="T27" s="94"/>
      <c r="U27" s="94"/>
      <c r="V27" s="94"/>
      <c r="W27" s="94"/>
      <c r="X27" s="94"/>
      <c r="Y27" s="94"/>
      <c r="Z27" s="94"/>
    </row>
    <row r="28">
      <c r="A28" s="94"/>
      <c r="B28" s="396">
        <f>Projections!$AK$30</f>
        <v>100</v>
      </c>
      <c r="C28" s="397">
        <v>9.0</v>
      </c>
      <c r="D28" s="406" t="str">
        <f t="array" ref="D28">INDIRECT("Draft!L"&amp;TEXT(A19+2,"0"))</f>
        <v>Naz Reid</v>
      </c>
      <c r="E28" s="411">
        <f>IF($D28="","", VLOOKUP($D28,'Final Update'!$P$21:$AD1000,Column(G26),False))</f>
        <v>14.7</v>
      </c>
      <c r="F28" s="411">
        <f>IF($D28="","", VLOOKUP($D28,'Final Update'!$P$21:$AD1000,Column(H26),False))</f>
        <v>2</v>
      </c>
      <c r="G28" s="411">
        <f>IF($D28="","", VLOOKUP($D28,'Final Update'!$P$21:$AD1000,Column(I26),False))</f>
        <v>6.2</v>
      </c>
      <c r="H28" s="411">
        <f>IF($D28="","", VLOOKUP($D28,'Final Update'!$P$21:$AD1000,Column(J26),False))</f>
        <v>1.5</v>
      </c>
      <c r="I28" s="411">
        <f>IF($D28="","", VLOOKUP($D28,'Final Update'!$P$21:$AD1000,Column(K26),False))</f>
        <v>0.9</v>
      </c>
      <c r="J28" s="411">
        <f>IF($D28="","", VLOOKUP($D28,'Final Update'!$P$21:$AD1000,Column(L26),False))</f>
        <v>1</v>
      </c>
      <c r="K28" s="412">
        <f>IF($D28="","", VLOOKUP($D28,'Final Update'!$P$21:$AD1000,Column(M26),False))</f>
        <v>0.472</v>
      </c>
      <c r="L28" s="412">
        <f>IF($D28="","", VLOOKUP($D28,'Final Update'!$P$21:$AD1000,Column(N26),False))</f>
        <v>0.735</v>
      </c>
      <c r="M28" s="411">
        <f>IF($D28="","", VLOOKUP($D28,'Final Update'!$P$21:$AD1000,Column(O26),False))</f>
        <v>1.7</v>
      </c>
      <c r="N28" s="403" t="str">
        <f>IF($D28="","", VLOOKUP($D28,'Final Update'!$P$21:$AD1000,Column(C26),False))</f>
        <v>PF,C</v>
      </c>
      <c r="O28" s="94"/>
      <c r="P28" s="94"/>
      <c r="Q28" s="94"/>
      <c r="R28" s="94"/>
      <c r="S28" s="94"/>
      <c r="T28" s="94"/>
      <c r="U28" s="94"/>
      <c r="V28" s="94"/>
      <c r="W28" s="94"/>
      <c r="X28" s="94"/>
      <c r="Y28" s="94"/>
      <c r="Z28" s="94"/>
    </row>
    <row r="29">
      <c r="A29" s="94"/>
      <c r="B29" s="396">
        <f>Projections!$AK$31</f>
        <v>100</v>
      </c>
      <c r="C29" s="397">
        <v>10.0</v>
      </c>
      <c r="D29" s="407" t="str">
        <f t="array" ref="D29">INDIRECT("Draft!M"&amp;TEXT(15-A19,"0"))</f>
        <v>Jalen Suggs</v>
      </c>
      <c r="E29" s="411">
        <f>IF($D29="","", VLOOKUP($D29,'Final Update'!$P$21:$AD1000,Column(G27),False))</f>
        <v>14</v>
      </c>
      <c r="F29" s="411">
        <f>IF($D29="","", VLOOKUP($D29,'Final Update'!$P$21:$AD1000,Column(H27),False))</f>
        <v>2.2</v>
      </c>
      <c r="G29" s="411">
        <f>IF($D29="","", VLOOKUP($D29,'Final Update'!$P$21:$AD1000,Column(I27),False))</f>
        <v>3.5</v>
      </c>
      <c r="H29" s="411">
        <f>IF($D29="","", VLOOKUP($D29,'Final Update'!$P$21:$AD1000,Column(J27),False))</f>
        <v>3.6</v>
      </c>
      <c r="I29" s="411">
        <f>IF($D29="","", VLOOKUP($D29,'Final Update'!$P$21:$AD1000,Column(K27),False))</f>
        <v>1.6</v>
      </c>
      <c r="J29" s="411">
        <f>IF($D29="","", VLOOKUP($D29,'Final Update'!$P$21:$AD1000,Column(L27),False))</f>
        <v>0.7</v>
      </c>
      <c r="K29" s="412">
        <f>IF($D29="","", VLOOKUP($D29,'Final Update'!$P$21:$AD1000,Column(M27),False))</f>
        <v>0.465</v>
      </c>
      <c r="L29" s="412">
        <f>IF($D29="","", VLOOKUP($D29,'Final Update'!$P$21:$AD1000,Column(N27),False))</f>
        <v>0.758</v>
      </c>
      <c r="M29" s="411">
        <f>IF($D29="","", VLOOKUP($D29,'Final Update'!$P$21:$AD1000,Column(O27),False))</f>
        <v>2</v>
      </c>
      <c r="N29" s="403" t="str">
        <f>IF($D29="","", VLOOKUP($D29,'Final Update'!$P$21:$AD1000,Column(C27),False))</f>
        <v>PG,SG</v>
      </c>
      <c r="O29" s="94"/>
      <c r="P29" s="94"/>
      <c r="Q29" s="94"/>
      <c r="R29" s="94"/>
      <c r="S29" s="94"/>
      <c r="T29" s="94"/>
      <c r="U29" s="94"/>
      <c r="V29" s="94"/>
      <c r="W29" s="94"/>
      <c r="X29" s="94"/>
      <c r="Y29" s="94"/>
      <c r="Z29" s="94"/>
    </row>
    <row r="30">
      <c r="A30" s="94"/>
      <c r="B30" s="396">
        <f>Projections!$AK$32</f>
        <v>100</v>
      </c>
      <c r="C30" s="397">
        <v>11.0</v>
      </c>
      <c r="D30" s="406" t="str">
        <f t="array" ref="D30">INDIRECT("Draft!N"&amp;TEXT(A19+2,"0"))</f>
        <v>Kyrie Irving</v>
      </c>
      <c r="E30" s="411">
        <f>IF($D30="","", VLOOKUP($D30,'Final Update'!$P$21:$AD1000,Column(G28),False))</f>
        <v>24.6</v>
      </c>
      <c r="F30" s="411">
        <f>IF($D30="","", VLOOKUP($D30,'Final Update'!$P$21:$AD1000,Column(H28),False))</f>
        <v>3</v>
      </c>
      <c r="G30" s="411">
        <f>IF($D30="","", VLOOKUP($D30,'Final Update'!$P$21:$AD1000,Column(I28),False))</f>
        <v>4.9</v>
      </c>
      <c r="H30" s="411">
        <f>IF($D30="","", VLOOKUP($D30,'Final Update'!$P$21:$AD1000,Column(J28),False))</f>
        <v>5.2</v>
      </c>
      <c r="I30" s="411">
        <f>IF($D30="","", VLOOKUP($D30,'Final Update'!$P$21:$AD1000,Column(K28),False))</f>
        <v>1.2</v>
      </c>
      <c r="J30" s="411">
        <f>IF($D30="","", VLOOKUP($D30,'Final Update'!$P$21:$AD1000,Column(L28),False))</f>
        <v>0.6</v>
      </c>
      <c r="K30" s="412">
        <f>IF($D30="","", VLOOKUP($D30,'Final Update'!$P$21:$AD1000,Column(M28),False))</f>
        <v>0.495</v>
      </c>
      <c r="L30" s="412">
        <f>IF($D30="","", VLOOKUP($D30,'Final Update'!$P$21:$AD1000,Column(N28),False))</f>
        <v>0.907</v>
      </c>
      <c r="M30" s="411">
        <f>IF($D30="","", VLOOKUP($D30,'Final Update'!$P$21:$AD1000,Column(O28),False))</f>
        <v>1.8</v>
      </c>
      <c r="N30" s="403" t="str">
        <f>IF($D30="","", VLOOKUP($D30,'Final Update'!$P$21:$AD1000,Column(C28),False))</f>
        <v>PG,SG</v>
      </c>
      <c r="O30" s="94"/>
      <c r="P30" s="94"/>
      <c r="Q30" s="94"/>
      <c r="R30" s="94"/>
      <c r="S30" s="94"/>
      <c r="T30" s="94"/>
      <c r="U30" s="94"/>
      <c r="V30" s="94"/>
      <c r="W30" s="94"/>
      <c r="X30" s="94"/>
      <c r="Y30" s="94"/>
      <c r="Z30" s="94"/>
    </row>
    <row r="31">
      <c r="A31" s="94"/>
      <c r="B31" s="396">
        <f>Projections!$AK$33</f>
        <v>100</v>
      </c>
      <c r="C31" s="397">
        <v>12.0</v>
      </c>
      <c r="D31" s="407" t="str">
        <f t="array" ref="D31">INDIRECT("Draft!O"&amp;TEXT(15-A19,"0"))</f>
        <v>Dereck Lively II</v>
      </c>
      <c r="E31" s="411">
        <f>IF($D31="","", VLOOKUP($D31,'Final Update'!$P$21:$AD1000,Column(G29),False))</f>
        <v>10.1</v>
      </c>
      <c r="F31" s="411">
        <f>IF($D31="","", VLOOKUP($D31,'Final Update'!$P$21:$AD1000,Column(H29),False))</f>
        <v>0</v>
      </c>
      <c r="G31" s="411">
        <f>IF($D31="","", VLOOKUP($D31,'Final Update'!$P$21:$AD1000,Column(I29),False))</f>
        <v>7.9</v>
      </c>
      <c r="H31" s="411">
        <f>IF($D31="","", VLOOKUP($D31,'Final Update'!$P$21:$AD1000,Column(J29),False))</f>
        <v>1.5</v>
      </c>
      <c r="I31" s="411">
        <f>IF($D31="","", VLOOKUP($D31,'Final Update'!$P$21:$AD1000,Column(K29),False))</f>
        <v>0.8</v>
      </c>
      <c r="J31" s="411">
        <f>IF($D31="","", VLOOKUP($D31,'Final Update'!$P$21:$AD1000,Column(L29),False))</f>
        <v>1.6</v>
      </c>
      <c r="K31" s="412">
        <f>IF($D31="","", VLOOKUP($D31,'Final Update'!$P$21:$AD1000,Column(M29),False))</f>
        <v>0.738</v>
      </c>
      <c r="L31" s="412">
        <f>IF($D31="","", VLOOKUP($D31,'Final Update'!$P$21:$AD1000,Column(N29),False))</f>
        <v>0.535</v>
      </c>
      <c r="M31" s="411">
        <f>IF($D31="","", VLOOKUP($D31,'Final Update'!$P$21:$AD1000,Column(O29),False))</f>
        <v>1</v>
      </c>
      <c r="N31" s="403" t="str">
        <f>IF($D31="","", VLOOKUP($D31,'Final Update'!$P$21:$AD1000,Column(C29),False))</f>
        <v>C</v>
      </c>
      <c r="O31" s="94"/>
      <c r="P31" s="94"/>
      <c r="Q31" s="94"/>
      <c r="R31" s="94"/>
      <c r="S31" s="94"/>
      <c r="T31" s="94"/>
      <c r="U31" s="94"/>
      <c r="V31" s="94"/>
      <c r="W31" s="94"/>
      <c r="X31" s="94"/>
      <c r="Y31" s="94"/>
      <c r="Z31" s="94"/>
    </row>
    <row r="32">
      <c r="A32" s="94"/>
      <c r="B32" s="408">
        <f>Projections!$AK$34</f>
        <v>100</v>
      </c>
      <c r="C32" s="397">
        <v>13.0</v>
      </c>
      <c r="D32" s="406" t="str">
        <f t="array" ref="D32">INDIRECT("Draft!P"&amp;TEXT(A19+2,"0"))</f>
        <v>Keon Ellis</v>
      </c>
      <c r="E32" s="411">
        <f>IF($D32="","", VLOOKUP($D32,'Final Update'!$P$21:$AD1000,Column(G30),False))</f>
        <v>8.4</v>
      </c>
      <c r="F32" s="411">
        <f>IF($D32="","", VLOOKUP($D32,'Final Update'!$P$21:$AD1000,Column(H30),False))</f>
        <v>1.9</v>
      </c>
      <c r="G32" s="411">
        <f>IF($D32="","", VLOOKUP($D32,'Final Update'!$P$21:$AD1000,Column(I30),False))</f>
        <v>3.3</v>
      </c>
      <c r="H32" s="411">
        <f>IF($D32="","", VLOOKUP($D32,'Final Update'!$P$21:$AD1000,Column(J30),False))</f>
        <v>2.3</v>
      </c>
      <c r="I32" s="411">
        <f>IF($D32="","", VLOOKUP($D32,'Final Update'!$P$21:$AD1000,Column(K30),False))</f>
        <v>1.4</v>
      </c>
      <c r="J32" s="411">
        <f>IF($D32="","", VLOOKUP($D32,'Final Update'!$P$21:$AD1000,Column(L30),False))</f>
        <v>0.8</v>
      </c>
      <c r="K32" s="412">
        <f>IF($D32="","", VLOOKUP($D32,'Final Update'!$P$21:$AD1000,Column(M30),False))</f>
        <v>0.461</v>
      </c>
      <c r="L32" s="412">
        <f>IF($D32="","", VLOOKUP($D32,'Final Update'!$P$21:$AD1000,Column(N30),False))</f>
        <v>0.735</v>
      </c>
      <c r="M32" s="411">
        <f>IF($D32="","", VLOOKUP($D32,'Final Update'!$P$21:$AD1000,Column(O30),False))</f>
        <v>1</v>
      </c>
      <c r="N32" s="403" t="str">
        <f>IF($D32="","", VLOOKUP($D32,'Final Update'!$P$21:$AD1000,Column(C30),False))</f>
        <v>SG,SF</v>
      </c>
      <c r="O32" s="94"/>
      <c r="P32" s="94"/>
      <c r="Q32" s="94"/>
      <c r="R32" s="94"/>
      <c r="S32" s="94"/>
      <c r="T32" s="94"/>
      <c r="U32" s="94"/>
      <c r="V32" s="94"/>
      <c r="W32" s="94"/>
      <c r="X32" s="94"/>
      <c r="Y32" s="94"/>
      <c r="Z32" s="94"/>
    </row>
    <row r="33">
      <c r="A33" s="94"/>
      <c r="B33" s="396">
        <f>Projections!$AK$35</f>
        <v>50</v>
      </c>
      <c r="C33" s="397">
        <v>14.0</v>
      </c>
      <c r="D33" s="407" t="str">
        <f t="array" ref="D33">INDIRECT("Draft!Q"&amp;TEXT(15-A19,"0"))</f>
        <v/>
      </c>
      <c r="E33" s="411" t="str">
        <f>IF($D33="","", VLOOKUP($D33,'Final Update'!$P$21:$AD1000,Column(G31),False))</f>
        <v/>
      </c>
      <c r="F33" s="411" t="str">
        <f>IF($D33="","", VLOOKUP($D33,'Final Update'!$P$21:$AD1000,Column(H31),False))</f>
        <v/>
      </c>
      <c r="G33" s="411" t="str">
        <f>IF($D33="","", VLOOKUP($D33,'Final Update'!$P$21:$AD1000,Column(I31),False))</f>
        <v/>
      </c>
      <c r="H33" s="411" t="str">
        <f>IF($D33="","", VLOOKUP($D33,'Final Update'!$P$21:$AD1000,Column(J31),False))</f>
        <v/>
      </c>
      <c r="I33" s="411" t="str">
        <f>IF($D33="","", VLOOKUP($D33,'Final Update'!$P$21:$AD1000,Column(K31),False))</f>
        <v/>
      </c>
      <c r="J33" s="411" t="str">
        <f>IF($D33="","", VLOOKUP($D33,'Final Update'!$P$21:$AD1000,Column(L31),False))</f>
        <v/>
      </c>
      <c r="K33" s="412" t="str">
        <f>IF($D33="","", VLOOKUP($D33,'Final Update'!$P$21:$AD1000,Column(M31),False))</f>
        <v/>
      </c>
      <c r="L33" s="412" t="str">
        <f>IF($D33="","", VLOOKUP($D33,'Final Update'!$P$21:$AD1000,Column(N31),False))</f>
        <v/>
      </c>
      <c r="M33" s="411" t="str">
        <f>IF($D33="","", VLOOKUP($D33,'Final Update'!$P$21:$AD1000,Column(O31),False))</f>
        <v/>
      </c>
      <c r="N33" s="403" t="str">
        <f>IF($D33="","", VLOOKUP($D33,'Final Update'!$P$21:$AD1000,Column(C31),False))</f>
        <v/>
      </c>
      <c r="O33" s="94"/>
      <c r="P33" s="94"/>
      <c r="Q33" s="94"/>
      <c r="R33" s="94"/>
      <c r="S33" s="94"/>
      <c r="T33" s="94"/>
      <c r="U33" s="94"/>
      <c r="V33" s="94"/>
      <c r="W33" s="94"/>
      <c r="X33" s="94"/>
      <c r="Y33" s="94"/>
      <c r="Z33" s="94"/>
    </row>
    <row r="34">
      <c r="A34" s="392" t="s">
        <v>5</v>
      </c>
      <c r="B34" s="94"/>
      <c r="C34" s="94"/>
      <c r="D34" s="395" t="s">
        <v>1291</v>
      </c>
      <c r="E34" s="409" t="str">
        <f t="shared" ref="E34:J34" si="2">IFERROR(AVERAGE(SUMPRODUCT(E20:E33,$B20:$B33/100))/(SUM(OFFSET($B20,0,0,COUNT(E20:E33)))/100),"")</f>
        <v/>
      </c>
      <c r="F34" s="409" t="str">
        <f t="shared" si="2"/>
        <v/>
      </c>
      <c r="G34" s="409" t="str">
        <f t="shared" si="2"/>
        <v/>
      </c>
      <c r="H34" s="409" t="str">
        <f t="shared" si="2"/>
        <v/>
      </c>
      <c r="I34" s="409" t="str">
        <f t="shared" si="2"/>
        <v/>
      </c>
      <c r="J34" s="409" t="str">
        <f t="shared" si="2"/>
        <v/>
      </c>
      <c r="K34" s="409">
        <f t="array" ref="K34">IFERROR(100*SUMPRODUCT(IFERROR(VLOOKUP($D20:$D33,UpdateHashtag!$C:$S,6,False),"")*$B20:$B33/100)/SUMPRODUCT(IFERROR(VLOOKUP($D20:$D33,UpdateHashtag!$C:$S,17,False),"")*$B20:$B33/100),"")</f>
        <v>49.34660859</v>
      </c>
      <c r="L34" s="409">
        <f t="array" ref="L34">IFERROR(100*SUMPRODUCT(IFERROR(VLOOKUP($D20:$D33,UpdateHashtag!$C:$T,8,False),"")*$B20:$B33/100)/SUMPRODUCT(IFERROR(VLOOKUP($D20:$D33,UpdateHashtag!$C:$T,18,False),"")*$B20:$B33/100),"")</f>
        <v>82.82828283</v>
      </c>
      <c r="M34" s="409" t="str">
        <f>IFERROR(AVERAGE(SUMPRODUCT(M20:M33,$B20:$B33/100))/(SUM(OFFSET($B20,0,0,COUNT(M20:M33)))/100),"")</f>
        <v/>
      </c>
      <c r="N34" s="347" t="s">
        <v>116</v>
      </c>
      <c r="O34" s="94"/>
      <c r="P34" s="94"/>
      <c r="Q34" s="94"/>
      <c r="R34" s="94"/>
      <c r="S34" s="94"/>
      <c r="T34" s="94"/>
      <c r="U34" s="94"/>
      <c r="V34" s="94"/>
      <c r="W34" s="94"/>
      <c r="X34" s="94"/>
      <c r="Y34" s="94"/>
      <c r="Z34" s="94"/>
    </row>
    <row r="35">
      <c r="A35" s="94"/>
      <c r="B35" s="94"/>
      <c r="C35" s="94"/>
      <c r="D35" s="395" t="s">
        <v>1318</v>
      </c>
      <c r="E35" s="410">
        <f>IFERROR((SUM(OFFSET('All Teams'!$B20,0,0,COUNT('All Teams'!E20:E33)))/100)*('All Teams'!E34-'Final Update'!$B$1)/'Final Update'!$B$2,"")</f>
        <v>-37.86430345</v>
      </c>
      <c r="F35" s="410">
        <f>IFERROR((SUM(OFFSET('All Teams'!$B20,0,0,COUNT('All Teams'!F20:F33)))/100)*('All Teams'!F34-'Final Update'!$C$1)/'Final Update'!$C$2,"")</f>
        <v>-20.88823897</v>
      </c>
      <c r="G35" s="410">
        <f>IFERROR((SUM(OFFSET('All Teams'!$B20,0,0,COUNT('All Teams'!G20:G33)))/100)*('All Teams'!G34-'Final Update'!$D$1)/'Final Update'!$D$2,"")</f>
        <v>-28.56718927</v>
      </c>
      <c r="H35" s="410">
        <f>IFERROR((SUM(OFFSET('All Teams'!$B20,0,0,COUNT('All Teams'!H20:H33)))/100)*('All Teams'!H34-'Final Update'!$E$1)/'Final Update'!$E$2,"")</f>
        <v>-21.51843192</v>
      </c>
      <c r="I35" s="410">
        <f>IFERROR((SUM(OFFSET('All Teams'!$B20,0,0,COUNT('All Teams'!I20:I33)))/100)*('All Teams'!I34-'Final Update'!$F$1)/'Final Update'!$F$2,"")</f>
        <v>-38.88228617</v>
      </c>
      <c r="J35" s="410">
        <f>IFERROR((SUM(OFFSET('All Teams'!$B20,0,0,COUNT('All Teams'!J20:J33)))/100)*('All Teams'!J34-'Final Update'!$G$1)/'Final Update'!$G$2,"")</f>
        <v>-15.94910581</v>
      </c>
      <c r="K35" s="410">
        <f t="array" ref="K35">SUMPRODUCT(IFERROR(VLOOKUP($D20:$D33,'Final Update'!$A$4:$L$403,8,False)*$B20:$B33/100,""))</f>
        <v>-0.7265745932</v>
      </c>
      <c r="L35" s="410">
        <f t="array" ref="L35">SUMPRODUCT(IFERROR(VLOOKUP($D20:$D33,'Final Update'!$A$4:$L$403,10,False)*$B20:$B33/100,""))</f>
        <v>4.695245377</v>
      </c>
      <c r="M35" s="410">
        <f>IFERROR(-(SUM(OFFSET('All Teams'!$B20,0,0,COUNT('All Teams'!M20:M33)))/100)*('All Teams'!M34-'Final Update'!$L$1)/'Final Update'!$L$2,"")</f>
        <v>20.81462846</v>
      </c>
      <c r="N35" s="94">
        <f t="array" ref="N35">SUM(IFERROR(vlookup(D20:D33,'Final Update'!$P$21:$S$620,4,0),""))</f>
        <v>28.05919125</v>
      </c>
      <c r="O35" s="94"/>
      <c r="P35" s="94"/>
      <c r="Q35" s="94"/>
      <c r="R35" s="94"/>
      <c r="S35" s="94"/>
      <c r="T35" s="94"/>
      <c r="U35" s="94"/>
      <c r="V35" s="94"/>
      <c r="W35" s="94"/>
      <c r="X35" s="94"/>
      <c r="Y35" s="94"/>
      <c r="Z35" s="94"/>
    </row>
    <row r="36">
      <c r="A36" s="393">
        <v>3.0</v>
      </c>
      <c r="B36" s="394" t="s">
        <v>256</v>
      </c>
      <c r="C36" s="395" t="s">
        <v>258</v>
      </c>
      <c r="D36" s="394" t="s">
        <v>3</v>
      </c>
      <c r="E36" s="394" t="s">
        <v>13</v>
      </c>
      <c r="F36" s="394" t="s">
        <v>99</v>
      </c>
      <c r="G36" s="394" t="s">
        <v>101</v>
      </c>
      <c r="H36" s="394" t="s">
        <v>15</v>
      </c>
      <c r="I36" s="394" t="s">
        <v>16</v>
      </c>
      <c r="J36" s="394" t="s">
        <v>17</v>
      </c>
      <c r="K36" s="394" t="s">
        <v>9</v>
      </c>
      <c r="L36" s="394" t="s">
        <v>11</v>
      </c>
      <c r="M36" s="394" t="s">
        <v>18</v>
      </c>
      <c r="N36" s="394" t="s">
        <v>4</v>
      </c>
      <c r="O36" s="394" t="s">
        <v>259</v>
      </c>
      <c r="P36" s="394" t="s">
        <v>4</v>
      </c>
      <c r="Q36" s="94"/>
      <c r="R36" s="94"/>
      <c r="S36" s="94"/>
      <c r="T36" s="94"/>
      <c r="U36" s="94"/>
      <c r="V36" s="94"/>
      <c r="W36" s="94"/>
      <c r="X36" s="94"/>
      <c r="Y36" s="94"/>
      <c r="Z36" s="94"/>
    </row>
    <row r="37">
      <c r="A37" s="94"/>
      <c r="B37" s="396">
        <f>Projections!$AK$22</f>
        <v>100</v>
      </c>
      <c r="C37" s="397">
        <v>1.0</v>
      </c>
      <c r="D37" s="398" t="str">
        <f t="array" ref="D37">INDIRECT("Draft!D"&amp;TEXT(A36+2,"0"))</f>
        <v>Shai Gilgeous-Alexander</v>
      </c>
      <c r="E37" s="399">
        <f>IF($D37="","", VLOOKUP($D37,'Final Update'!$P$21:$AD1000,Column(G35),False))</f>
        <v>29.9</v>
      </c>
      <c r="F37" s="399">
        <f>IF($D37="","", VLOOKUP($D37,'Final Update'!$P$21:$AD1000,Column(H35),False))</f>
        <v>1.4</v>
      </c>
      <c r="G37" s="399">
        <f>IF($D37="","", VLOOKUP($D37,'Final Update'!$P$21:$AD1000,Column(I35),False))</f>
        <v>5.1</v>
      </c>
      <c r="H37" s="399">
        <f>IF($D37="","", VLOOKUP($D37,'Final Update'!$P$21:$AD1000,Column(J35),False))</f>
        <v>6.5</v>
      </c>
      <c r="I37" s="399">
        <f>IF($D37="","", VLOOKUP($D37,'Final Update'!$P$21:$AD1000,Column(K35),False))</f>
        <v>1.9</v>
      </c>
      <c r="J37" s="399">
        <f>IF($D37="","", VLOOKUP($D37,'Final Update'!$P$21:$AD1000,Column(L35),False))</f>
        <v>0.9</v>
      </c>
      <c r="K37" s="400">
        <f>IF($D37="","", VLOOKUP($D37,'Final Update'!$P$21:$AD1000,Column(M35),False))</f>
        <v>0.524</v>
      </c>
      <c r="L37" s="400">
        <f>IF($D37="","", VLOOKUP($D37,'Final Update'!$P$21:$AD1000,Column(N35),False))</f>
        <v>0.88</v>
      </c>
      <c r="M37" s="399">
        <f>IF($D37="","", VLOOKUP($D37,'Final Update'!$P$21:$AD1000,Column(O35),False))</f>
        <v>2.4</v>
      </c>
      <c r="N37" s="399" t="str">
        <f>IF($D37="","", VLOOKUP($D37,'Final Update'!$P$21:$AD1000,Column(C35),False))</f>
        <v>PG</v>
      </c>
      <c r="O37" s="397">
        <f t="array" ref="O37">COUNTIF(FIND(P37,$N37:$N50),"&gt;0")</f>
        <v>2</v>
      </c>
      <c r="P37" s="398" t="s">
        <v>85</v>
      </c>
      <c r="Q37" s="94"/>
      <c r="R37" s="94"/>
      <c r="S37" s="94"/>
      <c r="T37" s="94"/>
      <c r="U37" s="94"/>
      <c r="V37" s="94"/>
      <c r="W37" s="94"/>
      <c r="X37" s="94"/>
      <c r="Y37" s="94"/>
      <c r="Z37" s="94"/>
    </row>
    <row r="38">
      <c r="A38" s="94"/>
      <c r="B38" s="396">
        <f>Projections!$AK$23</f>
        <v>100</v>
      </c>
      <c r="C38" s="397">
        <v>2.0</v>
      </c>
      <c r="D38" s="401" t="str">
        <f t="array" ref="D38">INDIRECT("Draft!E"&amp;TEXT(15-A36,"0"))</f>
        <v>Jalen Williams</v>
      </c>
      <c r="E38" s="399">
        <f>IF($D38="","", VLOOKUP($D38,'Final Update'!$P$21:$AD1000,Column(G36),False))</f>
        <v>20</v>
      </c>
      <c r="F38" s="399">
        <f>IF($D38="","", VLOOKUP($D38,'Final Update'!$P$21:$AD1000,Column(H36),False))</f>
        <v>1.7</v>
      </c>
      <c r="G38" s="399">
        <f>IF($D38="","", VLOOKUP($D38,'Final Update'!$P$21:$AD1000,Column(I36),False))</f>
        <v>4.6</v>
      </c>
      <c r="H38" s="399">
        <f>IF($D38="","", VLOOKUP($D38,'Final Update'!$P$21:$AD1000,Column(J36),False))</f>
        <v>4.9</v>
      </c>
      <c r="I38" s="399">
        <f>IF($D38="","", VLOOKUP($D38,'Final Update'!$P$21:$AD1000,Column(K36),False))</f>
        <v>1.2</v>
      </c>
      <c r="J38" s="399">
        <f>IF($D38="","", VLOOKUP($D38,'Final Update'!$P$21:$AD1000,Column(L36),False))</f>
        <v>0.6</v>
      </c>
      <c r="K38" s="400">
        <f>IF($D38="","", VLOOKUP($D38,'Final Update'!$P$21:$AD1000,Column(M36),False))</f>
        <v>0.536</v>
      </c>
      <c r="L38" s="400">
        <f>IF($D38="","", VLOOKUP($D38,'Final Update'!$P$21:$AD1000,Column(N36),False))</f>
        <v>0.822</v>
      </c>
      <c r="M38" s="399">
        <f>IF($D38="","", VLOOKUP($D38,'Final Update'!$P$21:$AD1000,Column(O36),False))</f>
        <v>1.8</v>
      </c>
      <c r="N38" s="399" t="str">
        <f>IF($D38="","", VLOOKUP($D38,'Final Update'!$P$21:$AD1000,Column(C36),False))</f>
        <v>SG,SF,PF</v>
      </c>
      <c r="O38" s="397">
        <f t="array" ref="O38">COUNTIF(FIND(P38,$N37:$N50),"&gt;0")</f>
        <v>5</v>
      </c>
      <c r="P38" s="398" t="s">
        <v>88</v>
      </c>
      <c r="Q38" s="94"/>
      <c r="R38" s="94"/>
      <c r="S38" s="94"/>
      <c r="T38" s="94"/>
      <c r="U38" s="94"/>
      <c r="V38" s="94"/>
      <c r="W38" s="94"/>
      <c r="X38" s="94"/>
      <c r="Y38" s="94"/>
      <c r="Z38" s="94"/>
    </row>
    <row r="39">
      <c r="A39" s="94"/>
      <c r="B39" s="396">
        <f>Projections!$AK$24</f>
        <v>100</v>
      </c>
      <c r="C39" s="397">
        <v>3.0</v>
      </c>
      <c r="D39" s="402" t="str">
        <f t="array" ref="D39">INDIRECT("Draft!F"&amp;TEXT(A36+2,"0"))</f>
        <v>Pascal Siakam</v>
      </c>
      <c r="E39" s="403">
        <f>IF($D39="","", VLOOKUP($D39,'Final Update'!$P$21:$AD1000,Column(G37),False))</f>
        <v>21.1</v>
      </c>
      <c r="F39" s="403">
        <f>IF($D39="","", VLOOKUP($D39,'Final Update'!$P$21:$AD1000,Column(H37),False))</f>
        <v>1.1</v>
      </c>
      <c r="G39" s="403">
        <f>IF($D39="","", VLOOKUP($D39,'Final Update'!$P$21:$AD1000,Column(I37),False))</f>
        <v>7.5</v>
      </c>
      <c r="H39" s="403">
        <f>IF($D39="","", VLOOKUP($D39,'Final Update'!$P$21:$AD1000,Column(J37),False))</f>
        <v>3.9</v>
      </c>
      <c r="I39" s="403">
        <f>IF($D39="","", VLOOKUP($D39,'Final Update'!$P$21:$AD1000,Column(K37),False))</f>
        <v>0.8</v>
      </c>
      <c r="J39" s="403">
        <f>IF($D39="","", VLOOKUP($D39,'Final Update'!$P$21:$AD1000,Column(L37),False))</f>
        <v>0.4</v>
      </c>
      <c r="K39" s="404">
        <f>IF($D39="","", VLOOKUP($D39,'Final Update'!$P$21:$AD1000,Column(M37),False))</f>
        <v>0.539</v>
      </c>
      <c r="L39" s="404">
        <f>IF($D39="","", VLOOKUP($D39,'Final Update'!$P$21:$AD1000,Column(N37),False))</f>
        <v>0.742</v>
      </c>
      <c r="M39" s="403">
        <f>IF($D39="","", VLOOKUP($D39,'Final Update'!$P$21:$AD1000,Column(O37),False))</f>
        <v>1.5</v>
      </c>
      <c r="N39" s="403" t="str">
        <f>IF($D39="","", VLOOKUP($D39,'Final Update'!$P$21:$AD1000,Column(C37),False))</f>
        <v>SF,PF</v>
      </c>
      <c r="O39" s="397">
        <f t="array" ref="O39">COUNTIF(FIND(P39,$N37:$N50),"&gt;0")</f>
        <v>8</v>
      </c>
      <c r="P39" s="398" t="s">
        <v>90</v>
      </c>
      <c r="Q39" s="94"/>
      <c r="R39" s="94"/>
      <c r="S39" s="94"/>
      <c r="T39" s="94"/>
      <c r="U39" s="94"/>
      <c r="V39" s="94"/>
      <c r="W39" s="94"/>
      <c r="X39" s="94"/>
      <c r="Y39" s="94"/>
      <c r="Z39" s="94"/>
    </row>
    <row r="40">
      <c r="A40" s="94"/>
      <c r="B40" s="396">
        <f>Projections!$AK$25</f>
        <v>100</v>
      </c>
      <c r="C40" s="397">
        <v>4.0</v>
      </c>
      <c r="D40" s="405" t="str">
        <f t="array" ref="D40">INDIRECT("Draft!G"&amp;TEXT(15-A36,"0"))</f>
        <v>Jaylen Brown</v>
      </c>
      <c r="E40" s="403">
        <f>IF($D40="","", VLOOKUP($D40,'Final Update'!$P$21:$AD1000,Column(G38),False))</f>
        <v>24.4</v>
      </c>
      <c r="F40" s="403">
        <f>IF($D40="","", VLOOKUP($D40,'Final Update'!$P$21:$AD1000,Column(H38),False))</f>
        <v>2.2</v>
      </c>
      <c r="G40" s="403">
        <f>IF($D40="","", VLOOKUP($D40,'Final Update'!$P$21:$AD1000,Column(I38),False))</f>
        <v>6.1</v>
      </c>
      <c r="H40" s="403">
        <f>IF($D40="","", VLOOKUP($D40,'Final Update'!$P$21:$AD1000,Column(J38),False))</f>
        <v>3.5</v>
      </c>
      <c r="I40" s="403">
        <f>IF($D40="","", VLOOKUP($D40,'Final Update'!$P$21:$AD1000,Column(K38),False))</f>
        <v>1.1</v>
      </c>
      <c r="J40" s="403">
        <f>IF($D40="","", VLOOKUP($D40,'Final Update'!$P$21:$AD1000,Column(L38),False))</f>
        <v>0.5</v>
      </c>
      <c r="K40" s="404">
        <f>IF($D40="","", VLOOKUP($D40,'Final Update'!$P$21:$AD1000,Column(M38),False))</f>
        <v>0.495</v>
      </c>
      <c r="L40" s="404">
        <f>IF($D40="","", VLOOKUP($D40,'Final Update'!$P$21:$AD1000,Column(N38),False))</f>
        <v>0.737</v>
      </c>
      <c r="M40" s="403">
        <f>IF($D40="","", VLOOKUP($D40,'Final Update'!$P$21:$AD1000,Column(O38),False))</f>
        <v>2.6</v>
      </c>
      <c r="N40" s="403" t="str">
        <f>IF($D40="","", VLOOKUP($D40,'Final Update'!$P$21:$AD1000,Column(C38),False))</f>
        <v>SG,SF</v>
      </c>
      <c r="O40" s="397">
        <f t="array" ref="O40">COUNTIF(FIND(P40,$N37:$N50),"&gt;0")</f>
        <v>6</v>
      </c>
      <c r="P40" s="398" t="s">
        <v>92</v>
      </c>
      <c r="Q40" s="94"/>
      <c r="R40" s="94"/>
      <c r="S40" s="94"/>
      <c r="T40" s="94"/>
      <c r="U40" s="94"/>
      <c r="V40" s="94"/>
      <c r="W40" s="94"/>
      <c r="X40" s="94"/>
      <c r="Y40" s="94"/>
      <c r="Z40" s="94"/>
    </row>
    <row r="41">
      <c r="A41" s="94"/>
      <c r="B41" s="396">
        <f>Projections!$AK$26</f>
        <v>100</v>
      </c>
      <c r="C41" s="397">
        <v>5.0</v>
      </c>
      <c r="D41" s="406" t="str">
        <f t="array" ref="D41">INDIRECT("Draft!H"&amp;TEXT(A36+2,"0"))</f>
        <v>Lauri Markkanen</v>
      </c>
      <c r="E41" s="403">
        <f>IF($D41="","", VLOOKUP($D41,'Final Update'!$P$21:$AD1000,Column(G39),False))</f>
        <v>24.5</v>
      </c>
      <c r="F41" s="403">
        <f>IF($D41="","", VLOOKUP($D41,'Final Update'!$P$21:$AD1000,Column(H39),False))</f>
        <v>3.1</v>
      </c>
      <c r="G41" s="403">
        <f>IF($D41="","", VLOOKUP($D41,'Final Update'!$P$21:$AD1000,Column(I39),False))</f>
        <v>8.4</v>
      </c>
      <c r="H41" s="403">
        <f>IF($D41="","", VLOOKUP($D41,'Final Update'!$P$21:$AD1000,Column(J39),False))</f>
        <v>1.9</v>
      </c>
      <c r="I41" s="403">
        <f>IF($D41="","", VLOOKUP($D41,'Final Update'!$P$21:$AD1000,Column(K39),False))</f>
        <v>0.8</v>
      </c>
      <c r="J41" s="403">
        <f>IF($D41="","", VLOOKUP($D41,'Final Update'!$P$21:$AD1000,Column(L39),False))</f>
        <v>0.5</v>
      </c>
      <c r="K41" s="404">
        <f>IF($D41="","", VLOOKUP($D41,'Final Update'!$P$21:$AD1000,Column(M39),False))</f>
        <v>0.483</v>
      </c>
      <c r="L41" s="404">
        <f>IF($D41="","", VLOOKUP($D41,'Final Update'!$P$21:$AD1000,Column(N39),False))</f>
        <v>0.884</v>
      </c>
      <c r="M41" s="403">
        <f>IF($D41="","", VLOOKUP($D41,'Final Update'!$P$21:$AD1000,Column(O39),False))</f>
        <v>1.7</v>
      </c>
      <c r="N41" s="403" t="str">
        <f>IF($D41="","", VLOOKUP($D41,'Final Update'!$P$21:$AD1000,Column(C39),False))</f>
        <v>SF,PF</v>
      </c>
      <c r="O41" s="397">
        <f t="array" ref="O41">COUNTIF(FIND(P41,$N37:$N50),"&gt;0")</f>
        <v>2</v>
      </c>
      <c r="P41" s="398" t="s">
        <v>97</v>
      </c>
      <c r="Q41" s="94"/>
      <c r="R41" s="94"/>
      <c r="S41" s="94"/>
      <c r="T41" s="94"/>
      <c r="U41" s="94"/>
      <c r="V41" s="94"/>
      <c r="W41" s="94"/>
      <c r="X41" s="94"/>
      <c r="Y41" s="94"/>
      <c r="Z41" s="94"/>
    </row>
    <row r="42">
      <c r="A42" s="94"/>
      <c r="B42" s="396">
        <f>Projections!$AK$27</f>
        <v>100</v>
      </c>
      <c r="C42" s="397">
        <v>6.0</v>
      </c>
      <c r="D42" s="407" t="str">
        <f t="array" ref="D42">INDIRECT("Draft!I"&amp;TEXT(15-A36,"0"))</f>
        <v>Jarrett Allen</v>
      </c>
      <c r="E42" s="403">
        <f>IF($D42="","", VLOOKUP($D42,'Final Update'!$P$21:$AD1000,Column(G40),False))</f>
        <v>14.9</v>
      </c>
      <c r="F42" s="403">
        <f>IF($D42="","", VLOOKUP($D42,'Final Update'!$P$21:$AD1000,Column(H40),False))</f>
        <v>0</v>
      </c>
      <c r="G42" s="403">
        <f>IF($D42="","", VLOOKUP($D42,'Final Update'!$P$21:$AD1000,Column(I40),False))</f>
        <v>9.9</v>
      </c>
      <c r="H42" s="403">
        <f>IF($D42="","", VLOOKUP($D42,'Final Update'!$P$21:$AD1000,Column(J40),False))</f>
        <v>2.2</v>
      </c>
      <c r="I42" s="403">
        <f>IF($D42="","", VLOOKUP($D42,'Final Update'!$P$21:$AD1000,Column(K40),False))</f>
        <v>0.7</v>
      </c>
      <c r="J42" s="403">
        <f>IF($D42="","", VLOOKUP($D42,'Final Update'!$P$21:$AD1000,Column(L40),False))</f>
        <v>1.1</v>
      </c>
      <c r="K42" s="404">
        <f>IF($D42="","", VLOOKUP($D42,'Final Update'!$P$21:$AD1000,Column(M40),False))</f>
        <v>0.637</v>
      </c>
      <c r="L42" s="404">
        <f>IF($D42="","", VLOOKUP($D42,'Final Update'!$P$21:$AD1000,Column(N40),False))</f>
        <v>0.735</v>
      </c>
      <c r="M42" s="403">
        <f>IF($D42="","", VLOOKUP($D42,'Final Update'!$P$21:$AD1000,Column(O40),False))</f>
        <v>1.4</v>
      </c>
      <c r="N42" s="403" t="str">
        <f>IF($D42="","", VLOOKUP($D42,'Final Update'!$P$21:$AD1000,Column(C40),False))</f>
        <v>C</v>
      </c>
      <c r="O42" s="94"/>
      <c r="P42" s="94"/>
      <c r="Q42" s="94"/>
      <c r="R42" s="94"/>
      <c r="S42" s="94"/>
      <c r="T42" s="94"/>
      <c r="U42" s="94"/>
      <c r="V42" s="94"/>
      <c r="W42" s="94"/>
      <c r="X42" s="94"/>
      <c r="Y42" s="94"/>
      <c r="Z42" s="94"/>
    </row>
    <row r="43">
      <c r="A43" s="94"/>
      <c r="B43" s="396">
        <f>Projections!$AK$28</f>
        <v>100</v>
      </c>
      <c r="C43" s="397">
        <v>7.0</v>
      </c>
      <c r="D43" s="406" t="str">
        <f t="array" ref="D43">INDIRECT("Draft!J"&amp;TEXT(A36+2,"0"))</f>
        <v>Isaiah Hartenstein</v>
      </c>
      <c r="E43" s="403">
        <f>IF($D43="","", VLOOKUP($D43,'Final Update'!$P$21:$AD1000,Column(G41),False))</f>
        <v>8.7</v>
      </c>
      <c r="F43" s="403">
        <f>IF($D43="","", VLOOKUP($D43,'Final Update'!$P$21:$AD1000,Column(H41),False))</f>
        <v>0.1</v>
      </c>
      <c r="G43" s="403">
        <f>IF($D43="","", VLOOKUP($D43,'Final Update'!$P$21:$AD1000,Column(I41),False))</f>
        <v>9</v>
      </c>
      <c r="H43" s="403">
        <f>IF($D43="","", VLOOKUP($D43,'Final Update'!$P$21:$AD1000,Column(J41),False))</f>
        <v>2.4</v>
      </c>
      <c r="I43" s="403">
        <f>IF($D43="","", VLOOKUP($D43,'Final Update'!$P$21:$AD1000,Column(K41),False))</f>
        <v>1.1</v>
      </c>
      <c r="J43" s="403">
        <f>IF($D43="","", VLOOKUP($D43,'Final Update'!$P$21:$AD1000,Column(L41),False))</f>
        <v>1.2</v>
      </c>
      <c r="K43" s="404">
        <f>IF($D43="","", VLOOKUP($D43,'Final Update'!$P$21:$AD1000,Column(M41),False))</f>
        <v>0.621</v>
      </c>
      <c r="L43" s="404">
        <f>IF($D43="","", VLOOKUP($D43,'Final Update'!$P$21:$AD1000,Column(N41),False))</f>
        <v>0.7</v>
      </c>
      <c r="M43" s="403">
        <f>IF($D43="","", VLOOKUP($D43,'Final Update'!$P$21:$AD1000,Column(O41),False))</f>
        <v>1.3</v>
      </c>
      <c r="N43" s="403" t="str">
        <f>IF($D43="","", VLOOKUP($D43,'Final Update'!$P$21:$AD1000,Column(C41),False))</f>
        <v>C</v>
      </c>
      <c r="O43" s="94"/>
      <c r="P43" s="94"/>
      <c r="Q43" s="94"/>
      <c r="R43" s="94"/>
      <c r="S43" s="94"/>
      <c r="T43" s="94"/>
      <c r="U43" s="94"/>
      <c r="V43" s="94"/>
      <c r="W43" s="94"/>
      <c r="X43" s="94"/>
      <c r="Y43" s="94"/>
      <c r="Z43" s="94"/>
    </row>
    <row r="44">
      <c r="A44" s="94"/>
      <c r="B44" s="396">
        <f>Projections!$AK$29</f>
        <v>100</v>
      </c>
      <c r="C44" s="397">
        <v>8.0</v>
      </c>
      <c r="D44" s="407" t="str">
        <f t="array" ref="D44">INDIRECT("Draft!K"&amp;TEXT(15-A36,"0"))</f>
        <v>Mikal Bridges</v>
      </c>
      <c r="E44" s="403">
        <f>IF($D44="","", VLOOKUP($D44,'Final Update'!$P$21:$AD1000,Column(G42),False))</f>
        <v>16</v>
      </c>
      <c r="F44" s="403">
        <f>IF($D44="","", VLOOKUP($D44,'Final Update'!$P$21:$AD1000,Column(H42),False))</f>
        <v>2.4</v>
      </c>
      <c r="G44" s="403">
        <f>IF($D44="","", VLOOKUP($D44,'Final Update'!$P$21:$AD1000,Column(I42),False))</f>
        <v>4.1</v>
      </c>
      <c r="H44" s="403">
        <f>IF($D44="","", VLOOKUP($D44,'Final Update'!$P$21:$AD1000,Column(J42),False))</f>
        <v>3.2</v>
      </c>
      <c r="I44" s="403">
        <f>IF($D44="","", VLOOKUP($D44,'Final Update'!$P$21:$AD1000,Column(K42),False))</f>
        <v>1.1</v>
      </c>
      <c r="J44" s="403">
        <f>IF($D44="","", VLOOKUP($D44,'Final Update'!$P$21:$AD1000,Column(L42),False))</f>
        <v>0.7</v>
      </c>
      <c r="K44" s="404">
        <f>IF($D44="","", VLOOKUP($D44,'Final Update'!$P$21:$AD1000,Column(M42),False))</f>
        <v>0.454</v>
      </c>
      <c r="L44" s="404">
        <f>IF($D44="","", VLOOKUP($D44,'Final Update'!$P$21:$AD1000,Column(N42),False))</f>
        <v>0.827</v>
      </c>
      <c r="M44" s="403">
        <f>IF($D44="","", VLOOKUP($D44,'Final Update'!$P$21:$AD1000,Column(O42),False))</f>
        <v>1.6</v>
      </c>
      <c r="N44" s="403" t="str">
        <f>IF($D44="","", VLOOKUP($D44,'Final Update'!$P$21:$AD1000,Column(C42),False))</f>
        <v>SG,SF,PF</v>
      </c>
      <c r="O44" s="94"/>
      <c r="P44" s="94"/>
      <c r="Q44" s="94"/>
      <c r="R44" s="94"/>
      <c r="S44" s="94"/>
      <c r="T44" s="94"/>
      <c r="U44" s="94"/>
      <c r="V44" s="94"/>
      <c r="W44" s="94"/>
      <c r="X44" s="94"/>
      <c r="Y44" s="94"/>
      <c r="Z44" s="94"/>
    </row>
    <row r="45">
      <c r="A45" s="94"/>
      <c r="B45" s="396">
        <f>Projections!$AK$30</f>
        <v>100</v>
      </c>
      <c r="C45" s="397">
        <v>9.0</v>
      </c>
      <c r="D45" s="406" t="str">
        <f t="array" ref="D45">INDIRECT("Draft!L"&amp;TEXT(A36+2,"0"))</f>
        <v>Andrew Wiggins</v>
      </c>
      <c r="E45" s="403">
        <f>IF($D45="","", VLOOKUP($D45,'Final Update'!$P$21:$AD1000,Column(G43),False))</f>
        <v>14.6</v>
      </c>
      <c r="F45" s="403">
        <f>IF($D45="","", VLOOKUP($D45,'Final Update'!$P$21:$AD1000,Column(H43),False))</f>
        <v>1.7</v>
      </c>
      <c r="G45" s="403">
        <f>IF($D45="","", VLOOKUP($D45,'Final Update'!$P$21:$AD1000,Column(I43),False))</f>
        <v>4.7</v>
      </c>
      <c r="H45" s="403">
        <f>IF($D45="","", VLOOKUP($D45,'Final Update'!$P$21:$AD1000,Column(J43),False))</f>
        <v>1.9</v>
      </c>
      <c r="I45" s="403">
        <f>IF($D45="","", VLOOKUP($D45,'Final Update'!$P$21:$AD1000,Column(K43),False))</f>
        <v>0.8</v>
      </c>
      <c r="J45" s="403">
        <f>IF($D45="","", VLOOKUP($D45,'Final Update'!$P$21:$AD1000,Column(L43),False))</f>
        <v>0.6</v>
      </c>
      <c r="K45" s="404">
        <f>IF($D45="","", VLOOKUP($D45,'Final Update'!$P$21:$AD1000,Column(M43),False))</f>
        <v>0.461</v>
      </c>
      <c r="L45" s="404">
        <f>IF($D45="","", VLOOKUP($D45,'Final Update'!$P$21:$AD1000,Column(N43),False))</f>
        <v>0.711</v>
      </c>
      <c r="M45" s="403">
        <f>IF($D45="","", VLOOKUP($D45,'Final Update'!$P$21:$AD1000,Column(O43),False))</f>
        <v>1.3</v>
      </c>
      <c r="N45" s="403" t="str">
        <f>IF($D45="","", VLOOKUP($D45,'Final Update'!$P$21:$AD1000,Column(C43),False))</f>
        <v>SF,PF</v>
      </c>
      <c r="O45" s="94"/>
      <c r="P45" s="94"/>
      <c r="Q45" s="94"/>
      <c r="R45" s="94"/>
      <c r="S45" s="94"/>
      <c r="T45" s="94"/>
      <c r="U45" s="94"/>
      <c r="V45" s="94"/>
      <c r="W45" s="94"/>
      <c r="X45" s="94"/>
      <c r="Y45" s="94"/>
      <c r="Z45" s="94"/>
    </row>
    <row r="46">
      <c r="A46" s="94"/>
      <c r="B46" s="396">
        <f>Projections!$AK$31</f>
        <v>100</v>
      </c>
      <c r="C46" s="397">
        <v>10.0</v>
      </c>
      <c r="D46" s="407" t="str">
        <f t="array" ref="D46">INDIRECT("Draft!M"&amp;TEXT(15-A36,"0"))</f>
        <v>Norman Powell</v>
      </c>
      <c r="E46" s="403">
        <f>IF($D46="","", VLOOKUP($D46,'Final Update'!$P$21:$AD1000,Column(G44),False))</f>
        <v>18.8</v>
      </c>
      <c r="F46" s="403">
        <f>IF($D46="","", VLOOKUP($D46,'Final Update'!$P$21:$AD1000,Column(H44),False))</f>
        <v>2.6</v>
      </c>
      <c r="G46" s="403">
        <f>IF($D46="","", VLOOKUP($D46,'Final Update'!$P$21:$AD1000,Column(I44),False))</f>
        <v>3.4</v>
      </c>
      <c r="H46" s="403">
        <f>IF($D46="","", VLOOKUP($D46,'Final Update'!$P$21:$AD1000,Column(J44),False))</f>
        <v>1.7</v>
      </c>
      <c r="I46" s="403">
        <f>IF($D46="","", VLOOKUP($D46,'Final Update'!$P$21:$AD1000,Column(K44),False))</f>
        <v>0.8</v>
      </c>
      <c r="J46" s="403">
        <f>IF($D46="","", VLOOKUP($D46,'Final Update'!$P$21:$AD1000,Column(L44),False))</f>
        <v>0.4</v>
      </c>
      <c r="K46" s="404">
        <f>IF($D46="","", VLOOKUP($D46,'Final Update'!$P$21:$AD1000,Column(M44),False))</f>
        <v>0.482</v>
      </c>
      <c r="L46" s="404">
        <f>IF($D46="","", VLOOKUP($D46,'Final Update'!$P$21:$AD1000,Column(N44),False))</f>
        <v>0.821</v>
      </c>
      <c r="M46" s="403">
        <f>IF($D46="","", VLOOKUP($D46,'Final Update'!$P$21:$AD1000,Column(O44),False))</f>
        <v>1.5</v>
      </c>
      <c r="N46" s="403" t="str">
        <f>IF($D46="","", VLOOKUP($D46,'Final Update'!$P$21:$AD1000,Column(C44),False))</f>
        <v>SG,SF</v>
      </c>
      <c r="O46" s="94"/>
      <c r="P46" s="94"/>
      <c r="Q46" s="94"/>
      <c r="R46" s="94"/>
      <c r="S46" s="94"/>
      <c r="T46" s="94"/>
      <c r="U46" s="94"/>
      <c r="V46" s="94"/>
      <c r="W46" s="94"/>
      <c r="X46" s="94"/>
      <c r="Y46" s="94"/>
      <c r="Z46" s="94"/>
    </row>
    <row r="47">
      <c r="A47" s="94"/>
      <c r="B47" s="396">
        <f>Projections!$AK$32</f>
        <v>100</v>
      </c>
      <c r="C47" s="397">
        <v>11.0</v>
      </c>
      <c r="D47" s="406" t="str">
        <f t="array" ref="D47">INDIRECT("Draft!N"&amp;TEXT(A36+2,"0"))</f>
        <v>Collin Sexton</v>
      </c>
      <c r="E47" s="403">
        <f>IF($D47="","", VLOOKUP($D47,'Final Update'!$P$21:$AD1000,Column(G45),False))</f>
        <v>20</v>
      </c>
      <c r="F47" s="403">
        <f>IF($D47="","", VLOOKUP($D47,'Final Update'!$P$21:$AD1000,Column(H45),False))</f>
        <v>1.7</v>
      </c>
      <c r="G47" s="403">
        <f>IF($D47="","", VLOOKUP($D47,'Final Update'!$P$21:$AD1000,Column(I45),False))</f>
        <v>2.9</v>
      </c>
      <c r="H47" s="403">
        <f>IF($D47="","", VLOOKUP($D47,'Final Update'!$P$21:$AD1000,Column(J45),False))</f>
        <v>4.9</v>
      </c>
      <c r="I47" s="403">
        <f>IF($D47="","", VLOOKUP($D47,'Final Update'!$P$21:$AD1000,Column(K45),False))</f>
        <v>0.8</v>
      </c>
      <c r="J47" s="403">
        <f>IF($D47="","", VLOOKUP($D47,'Final Update'!$P$21:$AD1000,Column(L45),False))</f>
        <v>0.2</v>
      </c>
      <c r="K47" s="404">
        <f>IF($D47="","", VLOOKUP($D47,'Final Update'!$P$21:$AD1000,Column(M45),False))</f>
        <v>0.487</v>
      </c>
      <c r="L47" s="404">
        <f>IF($D47="","", VLOOKUP($D47,'Final Update'!$P$21:$AD1000,Column(N45),False))</f>
        <v>0.843</v>
      </c>
      <c r="M47" s="403">
        <f>IF($D47="","", VLOOKUP($D47,'Final Update'!$P$21:$AD1000,Column(O45),False))</f>
        <v>2.4</v>
      </c>
      <c r="N47" s="403" t="str">
        <f>IF($D47="","", VLOOKUP($D47,'Final Update'!$P$21:$AD1000,Column(C45),False))</f>
        <v>PG,SG</v>
      </c>
      <c r="O47" s="94"/>
      <c r="P47" s="94"/>
      <c r="Q47" s="94"/>
      <c r="R47" s="94"/>
      <c r="S47" s="94"/>
      <c r="T47" s="94"/>
      <c r="U47" s="94"/>
      <c r="V47" s="94"/>
      <c r="W47" s="94"/>
      <c r="X47" s="94"/>
      <c r="Y47" s="94"/>
      <c r="Z47" s="94"/>
    </row>
    <row r="48">
      <c r="A48" s="94"/>
      <c r="B48" s="396">
        <f>Projections!$AK$33</f>
        <v>100</v>
      </c>
      <c r="C48" s="397">
        <v>12.0</v>
      </c>
      <c r="D48" s="407" t="str">
        <f t="array" ref="D48">INDIRECT("Draft!O"&amp;TEXT(15-A36,"0"))</f>
        <v>De'Andre Hunter</v>
      </c>
      <c r="E48" s="403">
        <f>IF($D48="","", VLOOKUP($D48,'Final Update'!$P$21:$AD1000,Column(G46),False))</f>
        <v>14.3</v>
      </c>
      <c r="F48" s="403">
        <f>IF($D48="","", VLOOKUP($D48,'Final Update'!$P$21:$AD1000,Column(H46),False))</f>
        <v>1.6</v>
      </c>
      <c r="G48" s="403">
        <f>IF($D48="","", VLOOKUP($D48,'Final Update'!$P$21:$AD1000,Column(I46),False))</f>
        <v>3.8</v>
      </c>
      <c r="H48" s="403">
        <f>IF($D48="","", VLOOKUP($D48,'Final Update'!$P$21:$AD1000,Column(J46),False))</f>
        <v>1.4</v>
      </c>
      <c r="I48" s="403">
        <f>IF($D48="","", VLOOKUP($D48,'Final Update'!$P$21:$AD1000,Column(K46),False))</f>
        <v>0.6</v>
      </c>
      <c r="J48" s="403">
        <f>IF($D48="","", VLOOKUP($D48,'Final Update'!$P$21:$AD1000,Column(L46),False))</f>
        <v>0.3</v>
      </c>
      <c r="K48" s="404">
        <f>IF($D48="","", VLOOKUP($D48,'Final Update'!$P$21:$AD1000,Column(M46),False))</f>
        <v>0.46</v>
      </c>
      <c r="L48" s="404">
        <f>IF($D48="","", VLOOKUP($D48,'Final Update'!$P$21:$AD1000,Column(N46),False))</f>
        <v>0.836</v>
      </c>
      <c r="M48" s="403">
        <f>IF($D48="","", VLOOKUP($D48,'Final Update'!$P$21:$AD1000,Column(O46),False))</f>
        <v>1.2</v>
      </c>
      <c r="N48" s="403" t="str">
        <f>IF($D48="","", VLOOKUP($D48,'Final Update'!$P$21:$AD1000,Column(C46),False))</f>
        <v>SF,PF</v>
      </c>
      <c r="O48" s="94"/>
      <c r="P48" s="94"/>
      <c r="Q48" s="94"/>
      <c r="R48" s="94"/>
      <c r="S48" s="94"/>
      <c r="T48" s="94"/>
      <c r="U48" s="94"/>
      <c r="V48" s="94"/>
      <c r="W48" s="94"/>
      <c r="X48" s="94"/>
      <c r="Y48" s="94"/>
      <c r="Z48" s="94"/>
    </row>
    <row r="49">
      <c r="A49" s="94"/>
      <c r="B49" s="408">
        <f>Projections!$AK$34</f>
        <v>100</v>
      </c>
      <c r="C49" s="397">
        <v>13.0</v>
      </c>
      <c r="D49" s="406" t="str">
        <f t="array" ref="D49">INDIRECT("Draft!P"&amp;TEXT(A36+2,"0"))</f>
        <v>Dylan Harper</v>
      </c>
      <c r="E49" s="403" t="str">
        <f>IF($D49="","", VLOOKUP($D49,'Final Update'!$P$21:$AD1000,Column(G47),False))</f>
        <v>#N/A</v>
      </c>
      <c r="F49" s="403" t="str">
        <f>IF($D49="","", VLOOKUP($D49,'Final Update'!$P$21:$AD1000,Column(H47),False))</f>
        <v>#N/A</v>
      </c>
      <c r="G49" s="403" t="str">
        <f>IF($D49="","", VLOOKUP($D49,'Final Update'!$P$21:$AD1000,Column(I47),False))</f>
        <v>#N/A</v>
      </c>
      <c r="H49" s="403" t="str">
        <f>IF($D49="","", VLOOKUP($D49,'Final Update'!$P$21:$AD1000,Column(J47),False))</f>
        <v>#N/A</v>
      </c>
      <c r="I49" s="403" t="str">
        <f>IF($D49="","", VLOOKUP($D49,'Final Update'!$P$21:$AD1000,Column(K47),False))</f>
        <v>#N/A</v>
      </c>
      <c r="J49" s="403" t="str">
        <f>IF($D49="","", VLOOKUP($D49,'Final Update'!$P$21:$AD1000,Column(L47),False))</f>
        <v>#N/A</v>
      </c>
      <c r="K49" s="404" t="str">
        <f>IF($D49="","", VLOOKUP($D49,'Final Update'!$P$21:$AD1000,Column(M47),False))</f>
        <v>#N/A</v>
      </c>
      <c r="L49" s="404" t="str">
        <f>IF($D49="","", VLOOKUP($D49,'Final Update'!$P$21:$AD1000,Column(N47),False))</f>
        <v>#N/A</v>
      </c>
      <c r="M49" s="403" t="str">
        <f>IF($D49="","", VLOOKUP($D49,'Final Update'!$P$21:$AD1000,Column(O47),False))</f>
        <v>#N/A</v>
      </c>
      <c r="N49" s="403" t="str">
        <f>IF($D49="","", VLOOKUP($D49,'Final Update'!$P$21:$AD1000,Column(C47),False))</f>
        <v>#N/A</v>
      </c>
      <c r="O49" s="94"/>
      <c r="P49" s="94"/>
      <c r="Q49" s="94"/>
      <c r="R49" s="94"/>
      <c r="S49" s="94"/>
      <c r="T49" s="94"/>
      <c r="U49" s="94"/>
      <c r="V49" s="94"/>
      <c r="W49" s="94"/>
      <c r="X49" s="94"/>
      <c r="Y49" s="94"/>
      <c r="Z49" s="94"/>
    </row>
    <row r="50">
      <c r="A50" s="94"/>
      <c r="B50" s="396">
        <f>Projections!$AK$35</f>
        <v>50</v>
      </c>
      <c r="C50" s="397">
        <v>14.0</v>
      </c>
      <c r="D50" s="407" t="str">
        <f t="array" ref="D50">INDIRECT("Draft!Q"&amp;TEXT(15-A36,"0"))</f>
        <v/>
      </c>
      <c r="E50" s="403" t="str">
        <f>IF($D50="","", VLOOKUP($D50,'Final Update'!$P$21:$AD1000,Column(G48),False))</f>
        <v/>
      </c>
      <c r="F50" s="403" t="str">
        <f>IF($D50="","", VLOOKUP($D50,'Final Update'!$P$21:$AD1000,Column(H48),False))</f>
        <v/>
      </c>
      <c r="G50" s="403" t="str">
        <f>IF($D50="","", VLOOKUP($D50,'Final Update'!$P$21:$AD1000,Column(I48),False))</f>
        <v/>
      </c>
      <c r="H50" s="403" t="str">
        <f>IF($D50="","", VLOOKUP($D50,'Final Update'!$P$21:$AD1000,Column(J48),False))</f>
        <v/>
      </c>
      <c r="I50" s="403" t="str">
        <f>IF($D50="","", VLOOKUP($D50,'Final Update'!$P$21:$AD1000,Column(K48),False))</f>
        <v/>
      </c>
      <c r="J50" s="403" t="str">
        <f>IF($D50="","", VLOOKUP($D50,'Final Update'!$P$21:$AD1000,Column(L48),False))</f>
        <v/>
      </c>
      <c r="K50" s="404" t="str">
        <f>IF($D50="","", VLOOKUP($D50,'Final Update'!$P$21:$AD1000,Column(M48),False))</f>
        <v/>
      </c>
      <c r="L50" s="404" t="str">
        <f>IF($D50="","", VLOOKUP($D50,'Final Update'!$P$21:$AD1000,Column(N48),False))</f>
        <v/>
      </c>
      <c r="M50" s="403" t="str">
        <f>IF($D50="","", VLOOKUP($D50,'Final Update'!$P$21:$AD1000,Column(O48),False))</f>
        <v/>
      </c>
      <c r="N50" s="403" t="str">
        <f>IF($D50="","", VLOOKUP($D50,'Final Update'!$P$21:$AD1000,Column(C48),False))</f>
        <v/>
      </c>
      <c r="O50" s="94"/>
      <c r="P50" s="94"/>
      <c r="Q50" s="94"/>
      <c r="R50" s="94"/>
      <c r="S50" s="94"/>
      <c r="T50" s="94"/>
      <c r="U50" s="94"/>
      <c r="V50" s="94"/>
      <c r="W50" s="94"/>
      <c r="X50" s="94"/>
      <c r="Y50" s="94"/>
      <c r="Z50" s="94"/>
    </row>
    <row r="51">
      <c r="A51" s="392" t="s">
        <v>5</v>
      </c>
      <c r="B51" s="94"/>
      <c r="C51" s="94"/>
      <c r="D51" s="395" t="s">
        <v>1291</v>
      </c>
      <c r="E51" s="409" t="str">
        <f t="shared" ref="E51:J51" si="3">IFERROR(AVERAGE(SUMPRODUCT(E37:E50,$B37:$B50/100))/(SUM(OFFSET($B37,0,0,COUNT(E37:E50)))/100),"")</f>
        <v/>
      </c>
      <c r="F51" s="409" t="str">
        <f t="shared" si="3"/>
        <v/>
      </c>
      <c r="G51" s="409" t="str">
        <f t="shared" si="3"/>
        <v/>
      </c>
      <c r="H51" s="409" t="str">
        <f t="shared" si="3"/>
        <v/>
      </c>
      <c r="I51" s="409" t="str">
        <f t="shared" si="3"/>
        <v/>
      </c>
      <c r="J51" s="409" t="str">
        <f t="shared" si="3"/>
        <v/>
      </c>
      <c r="K51" s="409">
        <f t="array" ref="K51">IFERROR(100*SUMPRODUCT(IFERROR(VLOOKUP($D37:$D50,UpdateHashtag!$C:$S,6,False),"")*$B37:$B50/100)/SUMPRODUCT(IFERROR(VLOOKUP($D37:$D50,UpdateHashtag!$C:$S,17,False),"")*$B37:$B50/100),"")</f>
        <v>50.91799266</v>
      </c>
      <c r="L51" s="409">
        <f t="array" ref="L51">IFERROR(100*SUMPRODUCT(IFERROR(VLOOKUP($D37:$D50,UpdateHashtag!$C:$T,8,False),"")*$B37:$B50/100)/SUMPRODUCT(IFERROR(VLOOKUP($D37:$D50,UpdateHashtag!$C:$T,18,False),"")*$B37:$B50/100),"")</f>
        <v>80.77669903</v>
      </c>
      <c r="M51" s="409" t="str">
        <f>IFERROR(AVERAGE(SUMPRODUCT(M37:M50,$B37:$B50/100))/(SUM(OFFSET($B37,0,0,COUNT(M37:M50)))/100),"")</f>
        <v/>
      </c>
      <c r="N51" s="347" t="s">
        <v>116</v>
      </c>
      <c r="O51" s="94"/>
      <c r="P51" s="94"/>
      <c r="Q51" s="94"/>
      <c r="R51" s="94"/>
      <c r="S51" s="94"/>
      <c r="T51" s="94"/>
      <c r="U51" s="94"/>
      <c r="V51" s="94"/>
      <c r="W51" s="94"/>
      <c r="X51" s="94"/>
      <c r="Y51" s="94"/>
      <c r="Z51" s="94"/>
    </row>
    <row r="52">
      <c r="A52" s="94"/>
      <c r="B52" s="94"/>
      <c r="C52" s="94"/>
      <c r="D52" s="395" t="s">
        <v>1318</v>
      </c>
      <c r="E52" s="410">
        <f>IFERROR((SUM(OFFSET('All Teams'!$B37,0,0,COUNT('All Teams'!E37:E50)))/100)*('All Teams'!E51-'Final Update'!$B$1)/'Final Update'!$B$2,"")</f>
        <v>-37.86430345</v>
      </c>
      <c r="F52" s="410">
        <f>IFERROR((SUM(OFFSET('All Teams'!$B37,0,0,COUNT('All Teams'!F37:F50)))/100)*('All Teams'!F51-'Final Update'!$C$1)/'Final Update'!$C$2,"")</f>
        <v>-20.88823897</v>
      </c>
      <c r="G52" s="410">
        <f>IFERROR((SUM(OFFSET('All Teams'!$B37,0,0,COUNT('All Teams'!G37:G50)))/100)*('All Teams'!G51-'Final Update'!$D$1)/'Final Update'!$D$2,"")</f>
        <v>-28.56718927</v>
      </c>
      <c r="H52" s="410">
        <f>IFERROR((SUM(OFFSET('All Teams'!$B37,0,0,COUNT('All Teams'!H37:H50)))/100)*('All Teams'!H51-'Final Update'!$E$1)/'Final Update'!$E$2,"")</f>
        <v>-21.51843192</v>
      </c>
      <c r="I52" s="410">
        <f>IFERROR((SUM(OFFSET('All Teams'!$B37,0,0,COUNT('All Teams'!I37:I50)))/100)*('All Teams'!I51-'Final Update'!$F$1)/'Final Update'!$F$2,"")</f>
        <v>-38.88228617</v>
      </c>
      <c r="J52" s="410">
        <f>IFERROR((SUM(OFFSET('All Teams'!$B37,0,0,COUNT('All Teams'!J37:J50)))/100)*('All Teams'!J51-'Final Update'!$G$1)/'Final Update'!$G$2,"")</f>
        <v>-15.94910581</v>
      </c>
      <c r="K52" s="410">
        <f t="array" ref="K52">SUMPRODUCT(IFERROR(VLOOKUP($D37:$D50,'Final Update'!$A$4:$L$403,8,False)*$B37:$B50/100,""))</f>
        <v>2.17063728</v>
      </c>
      <c r="L52" s="410">
        <f t="array" ref="L52">SUMPRODUCT(IFERROR(VLOOKUP($D37:$D50,'Final Update'!$A$4:$L$403,10,False)*$B37:$B50/100,""))</f>
        <v>2.948704588</v>
      </c>
      <c r="M52" s="410">
        <f>IFERROR(-(SUM(OFFSET('All Teams'!$B37,0,0,COUNT('All Teams'!M37:M50)))/100)*('All Teams'!M51-'Final Update'!$L$1)/'Final Update'!$L$2,"")</f>
        <v>20.81462846</v>
      </c>
      <c r="N52" s="94">
        <f t="array" ref="N52">SUM(IFERROR(vlookup(D37:D50,'Final Update'!$P$21:$S$620,4,0),""))</f>
        <v>11.26864562</v>
      </c>
      <c r="O52" s="94"/>
      <c r="P52" s="94"/>
      <c r="Q52" s="94"/>
      <c r="R52" s="94"/>
      <c r="S52" s="94"/>
      <c r="T52" s="94"/>
      <c r="U52" s="94"/>
      <c r="V52" s="94"/>
      <c r="W52" s="94"/>
      <c r="X52" s="94"/>
      <c r="Y52" s="94"/>
      <c r="Z52" s="94"/>
    </row>
    <row r="53">
      <c r="A53" s="393">
        <v>4.0</v>
      </c>
      <c r="B53" s="394" t="s">
        <v>256</v>
      </c>
      <c r="C53" s="395" t="s">
        <v>258</v>
      </c>
      <c r="D53" s="394" t="s">
        <v>3</v>
      </c>
      <c r="E53" s="394" t="s">
        <v>13</v>
      </c>
      <c r="F53" s="394" t="s">
        <v>99</v>
      </c>
      <c r="G53" s="394" t="s">
        <v>101</v>
      </c>
      <c r="H53" s="394" t="s">
        <v>15</v>
      </c>
      <c r="I53" s="394" t="s">
        <v>16</v>
      </c>
      <c r="J53" s="394" t="s">
        <v>17</v>
      </c>
      <c r="K53" s="394" t="s">
        <v>9</v>
      </c>
      <c r="L53" s="394" t="s">
        <v>11</v>
      </c>
      <c r="M53" s="394" t="s">
        <v>18</v>
      </c>
      <c r="N53" s="394" t="s">
        <v>4</v>
      </c>
      <c r="O53" s="394" t="s">
        <v>259</v>
      </c>
      <c r="P53" s="394" t="s">
        <v>4</v>
      </c>
      <c r="Q53" s="94"/>
      <c r="R53" s="94"/>
      <c r="S53" s="94"/>
      <c r="T53" s="94"/>
      <c r="U53" s="94"/>
      <c r="V53" s="94"/>
      <c r="W53" s="94"/>
      <c r="X53" s="94"/>
      <c r="Y53" s="94"/>
      <c r="Z53" s="94"/>
    </row>
    <row r="54">
      <c r="A54" s="94"/>
      <c r="B54" s="396">
        <f>Projections!$AK$22</f>
        <v>100</v>
      </c>
      <c r="C54" s="397">
        <v>1.0</v>
      </c>
      <c r="D54" s="398" t="str">
        <f t="array" ref="D54">INDIRECT("Draft!D"&amp;TEXT(A53+2,"0"))</f>
        <v>Luka Doncic</v>
      </c>
      <c r="E54" s="399">
        <f>IF($D54="","", VLOOKUP($D54,'Final Update'!$P$21:$AD1000,Column(G52),False))</f>
        <v>34.4</v>
      </c>
      <c r="F54" s="399">
        <f>IF($D54="","", VLOOKUP($D54,'Final Update'!$P$21:$AD1000,Column(H52),False))</f>
        <v>4.1</v>
      </c>
      <c r="G54" s="399">
        <f>IF($D54="","", VLOOKUP($D54,'Final Update'!$P$21:$AD1000,Column(I52),False))</f>
        <v>9.3</v>
      </c>
      <c r="H54" s="399">
        <f>IF($D54="","", VLOOKUP($D54,'Final Update'!$P$21:$AD1000,Column(J52),False))</f>
        <v>9.9</v>
      </c>
      <c r="I54" s="399">
        <f>IF($D54="","", VLOOKUP($D54,'Final Update'!$P$21:$AD1000,Column(K52),False))</f>
        <v>1.4</v>
      </c>
      <c r="J54" s="399">
        <f>IF($D54="","", VLOOKUP($D54,'Final Update'!$P$21:$AD1000,Column(L52),False))</f>
        <v>0.5</v>
      </c>
      <c r="K54" s="400">
        <f>IF($D54="","", VLOOKUP($D54,'Final Update'!$P$21:$AD1000,Column(M52),False))</f>
        <v>0.491</v>
      </c>
      <c r="L54" s="400">
        <f>IF($D54="","", VLOOKUP($D54,'Final Update'!$P$21:$AD1000,Column(N52),False))</f>
        <v>0.792</v>
      </c>
      <c r="M54" s="399">
        <f>IF($D54="","", VLOOKUP($D54,'Final Update'!$P$21:$AD1000,Column(O52),False))</f>
        <v>3.8</v>
      </c>
      <c r="N54" s="399" t="str">
        <f>IF($D54="","", VLOOKUP($D54,'Final Update'!$P$21:$AD1000,Column(C52),False))</f>
        <v>PG,SG</v>
      </c>
      <c r="O54" s="397">
        <f t="array" ref="O54">COUNTIF(FIND(P54,$N54:$N67),"&gt;0")</f>
        <v>6</v>
      </c>
      <c r="P54" s="398" t="s">
        <v>85</v>
      </c>
      <c r="Q54" s="94"/>
      <c r="R54" s="94"/>
      <c r="S54" s="94"/>
      <c r="T54" s="94"/>
      <c r="U54" s="94"/>
      <c r="V54" s="94"/>
      <c r="W54" s="94"/>
      <c r="X54" s="94"/>
      <c r="Y54" s="94"/>
      <c r="Z54" s="94"/>
    </row>
    <row r="55">
      <c r="A55" s="94"/>
      <c r="B55" s="396">
        <f>Projections!$AK$23</f>
        <v>100</v>
      </c>
      <c r="C55" s="397">
        <v>2.0</v>
      </c>
      <c r="D55" s="401" t="str">
        <f t="array" ref="D55">INDIRECT("Draft!E"&amp;TEXT(15-A53,"0"))</f>
        <v>Josh Giddey</v>
      </c>
      <c r="E55" s="399">
        <f>IF($D55="","", VLOOKUP($D55,'Final Update'!$P$21:$AD1000,Column(G53),False))</f>
        <v>16.1</v>
      </c>
      <c r="F55" s="399">
        <f>IF($D55="","", VLOOKUP($D55,'Final Update'!$P$21:$AD1000,Column(H53),False))</f>
        <v>1.1</v>
      </c>
      <c r="G55" s="399">
        <f>IF($D55="","", VLOOKUP($D55,'Final Update'!$P$21:$AD1000,Column(I53),False))</f>
        <v>7.4</v>
      </c>
      <c r="H55" s="399">
        <f>IF($D55="","", VLOOKUP($D55,'Final Update'!$P$21:$AD1000,Column(J53),False))</f>
        <v>6.1</v>
      </c>
      <c r="I55" s="399">
        <f>IF($D55="","", VLOOKUP($D55,'Final Update'!$P$21:$AD1000,Column(K53),False))</f>
        <v>0.8</v>
      </c>
      <c r="J55" s="399">
        <f>IF($D55="","", VLOOKUP($D55,'Final Update'!$P$21:$AD1000,Column(L53),False))</f>
        <v>0.5</v>
      </c>
      <c r="K55" s="400">
        <f>IF($D55="","", VLOOKUP($D55,'Final Update'!$P$21:$AD1000,Column(M53),False))</f>
        <v>0.479</v>
      </c>
      <c r="L55" s="400">
        <f>IF($D55="","", VLOOKUP($D55,'Final Update'!$P$21:$AD1000,Column(N53),False))</f>
        <v>0.795</v>
      </c>
      <c r="M55" s="399">
        <f>IF($D55="","", VLOOKUP($D55,'Final Update'!$P$21:$AD1000,Column(O53),False))</f>
        <v>2.7</v>
      </c>
      <c r="N55" s="399" t="str">
        <f>IF($D55="","", VLOOKUP($D55,'Final Update'!$P$21:$AD1000,Column(C53),False))</f>
        <v>SG,SF</v>
      </c>
      <c r="O55" s="397">
        <f t="array" ref="O55">COUNTIF(FIND(P55,$N54:$N67),"&gt;0")</f>
        <v>6</v>
      </c>
      <c r="P55" s="398" t="s">
        <v>88</v>
      </c>
      <c r="Q55" s="94"/>
      <c r="R55" s="94"/>
      <c r="S55" s="94"/>
      <c r="T55" s="94"/>
      <c r="U55" s="94"/>
      <c r="V55" s="94"/>
      <c r="W55" s="94"/>
      <c r="X55" s="94"/>
      <c r="Y55" s="94"/>
      <c r="Z55" s="94"/>
    </row>
    <row r="56">
      <c r="A56" s="94"/>
      <c r="B56" s="396">
        <f>Projections!$AK$24</f>
        <v>100</v>
      </c>
      <c r="C56" s="397">
        <v>3.0</v>
      </c>
      <c r="D56" s="402" t="str">
        <f t="array" ref="D56">INDIRECT("Draft!F"&amp;TEXT(A53+2,"0"))</f>
        <v>Bam Adebayo</v>
      </c>
      <c r="E56" s="403">
        <f>IF($D56="","", VLOOKUP($D56,'Final Update'!$P$21:$AD1000,Column(G54),False))</f>
        <v>20</v>
      </c>
      <c r="F56" s="403">
        <f>IF($D56="","", VLOOKUP($D56,'Final Update'!$P$21:$AD1000,Column(H54),False))</f>
        <v>0.2</v>
      </c>
      <c r="G56" s="403">
        <f>IF($D56="","", VLOOKUP($D56,'Final Update'!$P$21:$AD1000,Column(I54),False))</f>
        <v>10.4</v>
      </c>
      <c r="H56" s="403">
        <f>IF($D56="","", VLOOKUP($D56,'Final Update'!$P$21:$AD1000,Column(J54),False))</f>
        <v>3.9</v>
      </c>
      <c r="I56" s="403">
        <f>IF($D56="","", VLOOKUP($D56,'Final Update'!$P$21:$AD1000,Column(K54),False))</f>
        <v>1.2</v>
      </c>
      <c r="J56" s="403">
        <f>IF($D56="","", VLOOKUP($D56,'Final Update'!$P$21:$AD1000,Column(L54),False))</f>
        <v>0.9</v>
      </c>
      <c r="K56" s="404">
        <f>IF($D56="","", VLOOKUP($D56,'Final Update'!$P$21:$AD1000,Column(M54),False))</f>
        <v>0.531</v>
      </c>
      <c r="L56" s="404">
        <f>IF($D56="","", VLOOKUP($D56,'Final Update'!$P$21:$AD1000,Column(N54),False))</f>
        <v>0.743</v>
      </c>
      <c r="M56" s="403">
        <f>IF($D56="","", VLOOKUP($D56,'Final Update'!$P$21:$AD1000,Column(O54),False))</f>
        <v>2.4</v>
      </c>
      <c r="N56" s="403" t="str">
        <f>IF($D56="","", VLOOKUP($D56,'Final Update'!$P$21:$AD1000,Column(C54),False))</f>
        <v>C</v>
      </c>
      <c r="O56" s="397">
        <f t="array" ref="O56">COUNTIF(FIND(P56,$N54:$N67),"&gt;0")</f>
        <v>3</v>
      </c>
      <c r="P56" s="398" t="s">
        <v>90</v>
      </c>
      <c r="Q56" s="94"/>
      <c r="R56" s="94"/>
      <c r="S56" s="94"/>
      <c r="T56" s="94"/>
      <c r="U56" s="94"/>
      <c r="V56" s="94"/>
      <c r="W56" s="94"/>
      <c r="X56" s="94"/>
      <c r="Y56" s="94"/>
      <c r="Z56" s="94"/>
    </row>
    <row r="57">
      <c r="A57" s="94"/>
      <c r="B57" s="396">
        <f>Projections!$AK$25</f>
        <v>100</v>
      </c>
      <c r="C57" s="397">
        <v>4.0</v>
      </c>
      <c r="D57" s="405" t="str">
        <f t="array" ref="D57">INDIRECT("Draft!G"&amp;TEXT(15-A53,"0"))</f>
        <v>Ja Morant</v>
      </c>
      <c r="E57" s="403">
        <f>IF($D57="","", VLOOKUP($D57,'Final Update'!$P$21:$AD1000,Column(G55),False))</f>
        <v>25.8</v>
      </c>
      <c r="F57" s="403">
        <f>IF($D57="","", VLOOKUP($D57,'Final Update'!$P$21:$AD1000,Column(H55),False))</f>
        <v>1.5</v>
      </c>
      <c r="G57" s="403">
        <f>IF($D57="","", VLOOKUP($D57,'Final Update'!$P$21:$AD1000,Column(I55),False))</f>
        <v>5.9</v>
      </c>
      <c r="H57" s="403">
        <f>IF($D57="","", VLOOKUP($D57,'Final Update'!$P$21:$AD1000,Column(J55),False))</f>
        <v>8.2</v>
      </c>
      <c r="I57" s="403">
        <f>IF($D57="","", VLOOKUP($D57,'Final Update'!$P$21:$AD1000,Column(K55),False))</f>
        <v>0.9</v>
      </c>
      <c r="J57" s="403">
        <f>IF($D57="","", VLOOKUP($D57,'Final Update'!$P$21:$AD1000,Column(L55),False))</f>
        <v>0.5</v>
      </c>
      <c r="K57" s="404">
        <f>IF($D57="","", VLOOKUP($D57,'Final Update'!$P$21:$AD1000,Column(M55),False))</f>
        <v>0.47</v>
      </c>
      <c r="L57" s="404">
        <f>IF($D57="","", VLOOKUP($D57,'Final Update'!$P$21:$AD1000,Column(N55),False))</f>
        <v>0.788</v>
      </c>
      <c r="M57" s="403">
        <f>IF($D57="","", VLOOKUP($D57,'Final Update'!$P$21:$AD1000,Column(O55),False))</f>
        <v>3</v>
      </c>
      <c r="N57" s="403" t="str">
        <f>IF($D57="","", VLOOKUP($D57,'Final Update'!$P$21:$AD1000,Column(C55),False))</f>
        <v>PG</v>
      </c>
      <c r="O57" s="397">
        <f t="array" ref="O57">COUNTIF(FIND(P57,$N54:$N67),"&gt;0")</f>
        <v>3</v>
      </c>
      <c r="P57" s="398" t="s">
        <v>92</v>
      </c>
      <c r="Q57" s="94"/>
      <c r="R57" s="94"/>
      <c r="S57" s="94"/>
      <c r="T57" s="94"/>
      <c r="U57" s="94"/>
      <c r="V57" s="94"/>
      <c r="W57" s="94"/>
      <c r="X57" s="94"/>
      <c r="Y57" s="94"/>
      <c r="Z57" s="94"/>
    </row>
    <row r="58">
      <c r="A58" s="94"/>
      <c r="B58" s="396">
        <f>Projections!$AK$26</f>
        <v>100</v>
      </c>
      <c r="C58" s="397">
        <v>5.0</v>
      </c>
      <c r="D58" s="406" t="str">
        <f t="array" ref="D58">INDIRECT("Draft!H"&amp;TEXT(A53+2,"0"))</f>
        <v>Joel Embiid</v>
      </c>
      <c r="E58" s="403">
        <f>IF($D58="","", VLOOKUP($D58,'Final Update'!$P$21:$AD1000,Column(G56),False))</f>
        <v>28.1</v>
      </c>
      <c r="F58" s="403">
        <f>IF($D58="","", VLOOKUP($D58,'Final Update'!$P$21:$AD1000,Column(H56),False))</f>
        <v>1.3</v>
      </c>
      <c r="G58" s="403">
        <f>IF($D58="","", VLOOKUP($D58,'Final Update'!$P$21:$AD1000,Column(I56),False))</f>
        <v>10</v>
      </c>
      <c r="H58" s="403">
        <f>IF($D58="","", VLOOKUP($D58,'Final Update'!$P$21:$AD1000,Column(J56),False))</f>
        <v>3.9</v>
      </c>
      <c r="I58" s="403">
        <f>IF($D58="","", VLOOKUP($D58,'Final Update'!$P$21:$AD1000,Column(K56),False))</f>
        <v>0.9</v>
      </c>
      <c r="J58" s="403">
        <f>IF($D58="","", VLOOKUP($D58,'Final Update'!$P$21:$AD1000,Column(L56),False))</f>
        <v>1.4</v>
      </c>
      <c r="K58" s="404">
        <f>IF($D58="","", VLOOKUP($D58,'Final Update'!$P$21:$AD1000,Column(M56),False))</f>
        <v>0.518</v>
      </c>
      <c r="L58" s="404">
        <f>IF($D58="","", VLOOKUP($D58,'Final Update'!$P$21:$AD1000,Column(N56),False))</f>
        <v>0.871</v>
      </c>
      <c r="M58" s="403">
        <f>IF($D58="","", VLOOKUP($D58,'Final Update'!$P$21:$AD1000,Column(O56),False))</f>
        <v>3.3</v>
      </c>
      <c r="N58" s="403" t="str">
        <f>IF($D58="","", VLOOKUP($D58,'Final Update'!$P$21:$AD1000,Column(C56),False))</f>
        <v>C</v>
      </c>
      <c r="O58" s="397">
        <f t="array" ref="O58">COUNTIF(FIND(P58,$N54:$N67),"&gt;0")</f>
        <v>3</v>
      </c>
      <c r="P58" s="398" t="s">
        <v>97</v>
      </c>
      <c r="Q58" s="94"/>
      <c r="R58" s="94"/>
      <c r="S58" s="94"/>
      <c r="T58" s="94"/>
      <c r="U58" s="94"/>
      <c r="V58" s="94"/>
      <c r="W58" s="94"/>
      <c r="X58" s="94"/>
      <c r="Y58" s="94"/>
      <c r="Z58" s="94"/>
    </row>
    <row r="59">
      <c r="A59" s="94"/>
      <c r="B59" s="396">
        <f>Projections!$AK$27</f>
        <v>100</v>
      </c>
      <c r="C59" s="397">
        <v>6.0</v>
      </c>
      <c r="D59" s="407" t="str">
        <f t="array" ref="D59">INDIRECT("Draft!I"&amp;TEXT(15-A53,"0"))</f>
        <v>Payton Pritchard</v>
      </c>
      <c r="E59" s="403">
        <f>IF($D59="","", VLOOKUP($D59,'Final Update'!$P$21:$AD1000,Column(G57),False))</f>
        <v>10.5</v>
      </c>
      <c r="F59" s="403">
        <f>IF($D59="","", VLOOKUP($D59,'Final Update'!$P$21:$AD1000,Column(H57),False))</f>
        <v>2</v>
      </c>
      <c r="G59" s="403">
        <f>IF($D59="","", VLOOKUP($D59,'Final Update'!$P$21:$AD1000,Column(I57),False))</f>
        <v>3.5</v>
      </c>
      <c r="H59" s="403">
        <f>IF($D59="","", VLOOKUP($D59,'Final Update'!$P$21:$AD1000,Column(J57),False))</f>
        <v>3.4</v>
      </c>
      <c r="I59" s="403">
        <f>IF($D59="","", VLOOKUP($D59,'Final Update'!$P$21:$AD1000,Column(K57),False))</f>
        <v>0.5</v>
      </c>
      <c r="J59" s="403">
        <f>IF($D59="","", VLOOKUP($D59,'Final Update'!$P$21:$AD1000,Column(L57),False))</f>
        <v>0.1</v>
      </c>
      <c r="K59" s="404">
        <f>IF($D59="","", VLOOKUP($D59,'Final Update'!$P$21:$AD1000,Column(M57),False))</f>
        <v>0.453</v>
      </c>
      <c r="L59" s="404">
        <f>IF($D59="","", VLOOKUP($D59,'Final Update'!$P$21:$AD1000,Column(N57),False))</f>
        <v>0.806</v>
      </c>
      <c r="M59" s="403">
        <f>IF($D59="","", VLOOKUP($D59,'Final Update'!$P$21:$AD1000,Column(O57),False))</f>
        <v>1</v>
      </c>
      <c r="N59" s="403" t="str">
        <f>IF($D59="","", VLOOKUP($D59,'Final Update'!$P$21:$AD1000,Column(C57),False))</f>
        <v>PG</v>
      </c>
      <c r="O59" s="94"/>
      <c r="P59" s="94"/>
      <c r="Q59" s="94"/>
      <c r="R59" s="94"/>
      <c r="S59" s="94"/>
      <c r="T59" s="94"/>
      <c r="U59" s="94"/>
      <c r="V59" s="94"/>
      <c r="W59" s="94"/>
      <c r="X59" s="94"/>
      <c r="Y59" s="94"/>
      <c r="Z59" s="94"/>
    </row>
    <row r="60">
      <c r="A60" s="94"/>
      <c r="B60" s="396">
        <f>Projections!$AK$28</f>
        <v>100</v>
      </c>
      <c r="C60" s="397">
        <v>7.0</v>
      </c>
      <c r="D60" s="406" t="str">
        <f t="array" ref="D60">INDIRECT("Draft!J"&amp;TEXT(A53+2,"0"))</f>
        <v>Jordan Poole</v>
      </c>
      <c r="E60" s="403">
        <f>IF($D60="","", VLOOKUP($D60,'Final Update'!$P$21:$AD1000,Column(G58),False))</f>
        <v>20.1</v>
      </c>
      <c r="F60" s="403">
        <f>IF($D60="","", VLOOKUP($D60,'Final Update'!$P$21:$AD1000,Column(H58),False))</f>
        <v>2.6</v>
      </c>
      <c r="G60" s="403">
        <f>IF($D60="","", VLOOKUP($D60,'Final Update'!$P$21:$AD1000,Column(I58),False))</f>
        <v>2.9</v>
      </c>
      <c r="H60" s="403">
        <f>IF($D60="","", VLOOKUP($D60,'Final Update'!$P$21:$AD1000,Column(J58),False))</f>
        <v>5.7</v>
      </c>
      <c r="I60" s="403">
        <f>IF($D60="","", VLOOKUP($D60,'Final Update'!$P$21:$AD1000,Column(K58),False))</f>
        <v>1.1</v>
      </c>
      <c r="J60" s="403">
        <f>IF($D60="","", VLOOKUP($D60,'Final Update'!$P$21:$AD1000,Column(L58),False))</f>
        <v>0.3</v>
      </c>
      <c r="K60" s="404">
        <f>IF($D60="","", VLOOKUP($D60,'Final Update'!$P$21:$AD1000,Column(M58),False))</f>
        <v>0.422</v>
      </c>
      <c r="L60" s="404">
        <f>IF($D60="","", VLOOKUP($D60,'Final Update'!$P$21:$AD1000,Column(N58),False))</f>
        <v>0.871</v>
      </c>
      <c r="M60" s="403">
        <f>IF($D60="","", VLOOKUP($D60,'Final Update'!$P$21:$AD1000,Column(O58),False))</f>
        <v>2.9</v>
      </c>
      <c r="N60" s="403" t="str">
        <f>IF($D60="","", VLOOKUP($D60,'Final Update'!$P$21:$AD1000,Column(C58),False))</f>
        <v>PG,SG</v>
      </c>
      <c r="O60" s="94"/>
      <c r="P60" s="94"/>
      <c r="Q60" s="94"/>
      <c r="R60" s="94"/>
      <c r="S60" s="94"/>
      <c r="T60" s="94"/>
      <c r="U60" s="94"/>
      <c r="V60" s="94"/>
      <c r="W60" s="94"/>
      <c r="X60" s="94"/>
      <c r="Y60" s="94"/>
      <c r="Z60" s="94"/>
    </row>
    <row r="61">
      <c r="A61" s="94"/>
      <c r="B61" s="396">
        <f>Projections!$AK$29</f>
        <v>100</v>
      </c>
      <c r="C61" s="397">
        <v>8.0</v>
      </c>
      <c r="D61" s="407" t="str">
        <f t="array" ref="D61">INDIRECT("Draft!K"&amp;TEXT(15-A53,"0"))</f>
        <v>Jalen Green</v>
      </c>
      <c r="E61" s="403">
        <f>IF($D61="","", VLOOKUP($D61,'Final Update'!$P$21:$AD1000,Column(G59),False))</f>
        <v>20.5</v>
      </c>
      <c r="F61" s="403">
        <f>IF($D61="","", VLOOKUP($D61,'Final Update'!$P$21:$AD1000,Column(H59),False))</f>
        <v>2.4</v>
      </c>
      <c r="G61" s="403">
        <f>IF($D61="","", VLOOKUP($D61,'Final Update'!$P$21:$AD1000,Column(I59),False))</f>
        <v>4.9</v>
      </c>
      <c r="H61" s="403">
        <f>IF($D61="","", VLOOKUP($D61,'Final Update'!$P$21:$AD1000,Column(J59),False))</f>
        <v>3.7</v>
      </c>
      <c r="I61" s="403">
        <f>IF($D61="","", VLOOKUP($D61,'Final Update'!$P$21:$AD1000,Column(K59),False))</f>
        <v>0.9</v>
      </c>
      <c r="J61" s="403">
        <f>IF($D61="","", VLOOKUP($D61,'Final Update'!$P$21:$AD1000,Column(L59),False))</f>
        <v>0.3</v>
      </c>
      <c r="K61" s="404">
        <f>IF($D61="","", VLOOKUP($D61,'Final Update'!$P$21:$AD1000,Column(M59),False))</f>
        <v>0.429</v>
      </c>
      <c r="L61" s="404">
        <f>IF($D61="","", VLOOKUP($D61,'Final Update'!$P$21:$AD1000,Column(N59),False))</f>
        <v>0.807</v>
      </c>
      <c r="M61" s="403">
        <f>IF($D61="","", VLOOKUP($D61,'Final Update'!$P$21:$AD1000,Column(O59),False))</f>
        <v>2.4</v>
      </c>
      <c r="N61" s="403" t="str">
        <f>IF($D61="","", VLOOKUP($D61,'Final Update'!$P$21:$AD1000,Column(C59),False))</f>
        <v>PG,SG</v>
      </c>
      <c r="O61" s="94"/>
      <c r="P61" s="94"/>
      <c r="Q61" s="94"/>
      <c r="R61" s="94"/>
      <c r="S61" s="94"/>
      <c r="T61" s="94"/>
      <c r="U61" s="94"/>
      <c r="V61" s="94"/>
      <c r="W61" s="94"/>
      <c r="X61" s="94"/>
      <c r="Y61" s="94"/>
      <c r="Z61" s="94"/>
    </row>
    <row r="62">
      <c r="A62" s="94"/>
      <c r="B62" s="396">
        <f>Projections!$AK$30</f>
        <v>100</v>
      </c>
      <c r="C62" s="397">
        <v>9.0</v>
      </c>
      <c r="D62" s="406" t="str">
        <f t="array" ref="D62">INDIRECT("Draft!L"&amp;TEXT(A53+2,"0"))</f>
        <v>Bobby Portis</v>
      </c>
      <c r="E62" s="403">
        <f>IF($D62="","", VLOOKUP($D62,'Final Update'!$P$21:$AD1000,Column(G60),False))</f>
        <v>14.1</v>
      </c>
      <c r="F62" s="403">
        <f>IF($D62="","", VLOOKUP($D62,'Final Update'!$P$21:$AD1000,Column(H60),False))</f>
        <v>1.3</v>
      </c>
      <c r="G62" s="403">
        <f>IF($D62="","", VLOOKUP($D62,'Final Update'!$P$21:$AD1000,Column(I60),False))</f>
        <v>8.3</v>
      </c>
      <c r="H62" s="403">
        <f>IF($D62="","", VLOOKUP($D62,'Final Update'!$P$21:$AD1000,Column(J60),False))</f>
        <v>1.4</v>
      </c>
      <c r="I62" s="403">
        <f>IF($D62="","", VLOOKUP($D62,'Final Update'!$P$21:$AD1000,Column(K60),False))</f>
        <v>0.7</v>
      </c>
      <c r="J62" s="403">
        <f>IF($D62="","", VLOOKUP($D62,'Final Update'!$P$21:$AD1000,Column(L60),False))</f>
        <v>0.3</v>
      </c>
      <c r="K62" s="404">
        <f>IF($D62="","", VLOOKUP($D62,'Final Update'!$P$21:$AD1000,Column(M60),False))</f>
        <v>0.502</v>
      </c>
      <c r="L62" s="404">
        <f>IF($D62="","", VLOOKUP($D62,'Final Update'!$P$21:$AD1000,Column(N60),False))</f>
        <v>0.777</v>
      </c>
      <c r="M62" s="403">
        <f>IF($D62="","", VLOOKUP($D62,'Final Update'!$P$21:$AD1000,Column(O60),False))</f>
        <v>1.1</v>
      </c>
      <c r="N62" s="403" t="str">
        <f>IF($D62="","", VLOOKUP($D62,'Final Update'!$P$21:$AD1000,Column(C60),False))</f>
        <v>PF,C</v>
      </c>
      <c r="O62" s="94"/>
      <c r="P62" s="94"/>
      <c r="Q62" s="94"/>
      <c r="R62" s="94"/>
      <c r="S62" s="94"/>
      <c r="T62" s="94"/>
      <c r="U62" s="94"/>
      <c r="V62" s="94"/>
      <c r="W62" s="94"/>
      <c r="X62" s="94"/>
      <c r="Y62" s="94"/>
      <c r="Z62" s="94"/>
    </row>
    <row r="63">
      <c r="A63" s="94"/>
      <c r="B63" s="396">
        <f>Projections!$AK$31</f>
        <v>100</v>
      </c>
      <c r="C63" s="397">
        <v>10.0</v>
      </c>
      <c r="D63" s="407" t="str">
        <f t="array" ref="D63">INDIRECT("Draft!M"&amp;TEXT(15-A53,"0"))</f>
        <v>Reed Sheppard</v>
      </c>
      <c r="E63" s="403">
        <f>IF($D63="","", VLOOKUP($D63,'Final Update'!$P$21:$AD1000,Column(G61),False))</f>
        <v>6.7</v>
      </c>
      <c r="F63" s="403">
        <f>IF($D63="","", VLOOKUP($D63,'Final Update'!$P$21:$AD1000,Column(H61),False))</f>
        <v>1.3</v>
      </c>
      <c r="G63" s="403">
        <f>IF($D63="","", VLOOKUP($D63,'Final Update'!$P$21:$AD1000,Column(I61),False))</f>
        <v>2.5</v>
      </c>
      <c r="H63" s="403">
        <f>IF($D63="","", VLOOKUP($D63,'Final Update'!$P$21:$AD1000,Column(J61),False))</f>
        <v>2.4</v>
      </c>
      <c r="I63" s="403">
        <f>IF($D63="","", VLOOKUP($D63,'Final Update'!$P$21:$AD1000,Column(K61),False))</f>
        <v>1.3</v>
      </c>
      <c r="J63" s="403">
        <f>IF($D63="","", VLOOKUP($D63,'Final Update'!$P$21:$AD1000,Column(L61),False))</f>
        <v>0.4</v>
      </c>
      <c r="K63" s="404">
        <f>IF($D63="","", VLOOKUP($D63,'Final Update'!$P$21:$AD1000,Column(M61),False))</f>
        <v>0.472</v>
      </c>
      <c r="L63" s="404">
        <f>IF($D63="","", VLOOKUP($D63,'Final Update'!$P$21:$AD1000,Column(N61),False))</f>
        <v>0.835</v>
      </c>
      <c r="M63" s="403">
        <f>IF($D63="","", VLOOKUP($D63,'Final Update'!$P$21:$AD1000,Column(O61),False))</f>
        <v>1.1</v>
      </c>
      <c r="N63" s="403" t="str">
        <f>IF($D63="","", VLOOKUP($D63,'Final Update'!$P$21:$AD1000,Column(C61),False))</f>
        <v>SG</v>
      </c>
      <c r="O63" s="94"/>
      <c r="P63" s="94"/>
      <c r="Q63" s="94"/>
      <c r="R63" s="94"/>
      <c r="S63" s="94"/>
      <c r="T63" s="94"/>
      <c r="U63" s="94"/>
      <c r="V63" s="94"/>
      <c r="W63" s="94"/>
      <c r="X63" s="94"/>
      <c r="Y63" s="94"/>
      <c r="Z63" s="94"/>
    </row>
    <row r="64">
      <c r="A64" s="94"/>
      <c r="B64" s="396">
        <f>Projections!$AK$32</f>
        <v>100</v>
      </c>
      <c r="C64" s="397">
        <v>11.0</v>
      </c>
      <c r="D64" s="406" t="str">
        <f t="array" ref="D64">INDIRECT("Draft!N"&amp;TEXT(A53+2,"0"))</f>
        <v>Cason Wallace</v>
      </c>
      <c r="E64" s="403">
        <f>IF($D64="","", VLOOKUP($D64,'Final Update'!$P$21:$AD1000,Column(G62),False))</f>
        <v>7.4</v>
      </c>
      <c r="F64" s="403">
        <f>IF($D64="","", VLOOKUP($D64,'Final Update'!$P$21:$AD1000,Column(H62),False))</f>
        <v>1.3</v>
      </c>
      <c r="G64" s="403">
        <f>IF($D64="","", VLOOKUP($D64,'Final Update'!$P$21:$AD1000,Column(I62),False))</f>
        <v>2.5</v>
      </c>
      <c r="H64" s="403">
        <f>IF($D64="","", VLOOKUP($D64,'Final Update'!$P$21:$AD1000,Column(J62),False))</f>
        <v>1.6</v>
      </c>
      <c r="I64" s="403">
        <f>IF($D64="","", VLOOKUP($D64,'Final Update'!$P$21:$AD1000,Column(K62),False))</f>
        <v>1</v>
      </c>
      <c r="J64" s="403">
        <f>IF($D64="","", VLOOKUP($D64,'Final Update'!$P$21:$AD1000,Column(L62),False))</f>
        <v>0.5</v>
      </c>
      <c r="K64" s="404">
        <f>IF($D64="","", VLOOKUP($D64,'Final Update'!$P$21:$AD1000,Column(M62),False))</f>
        <v>0.491</v>
      </c>
      <c r="L64" s="404">
        <f>IF($D64="","", VLOOKUP($D64,'Final Update'!$P$21:$AD1000,Column(N62),False))</f>
        <v>0.776</v>
      </c>
      <c r="M64" s="403">
        <f>IF($D64="","", VLOOKUP($D64,'Final Update'!$P$21:$AD1000,Column(O62),False))</f>
        <v>0.6</v>
      </c>
      <c r="N64" s="403" t="str">
        <f>IF($D64="","", VLOOKUP($D64,'Final Update'!$P$21:$AD1000,Column(C62),False))</f>
        <v>PG,SG</v>
      </c>
      <c r="O64" s="94"/>
      <c r="P64" s="94"/>
      <c r="Q64" s="94"/>
      <c r="R64" s="94"/>
      <c r="S64" s="94"/>
      <c r="T64" s="94"/>
      <c r="U64" s="94"/>
      <c r="V64" s="94"/>
      <c r="W64" s="94"/>
      <c r="X64" s="94"/>
      <c r="Y64" s="94"/>
      <c r="Z64" s="94"/>
    </row>
    <row r="65">
      <c r="A65" s="94"/>
      <c r="B65" s="396">
        <f>Projections!$AK$33</f>
        <v>100</v>
      </c>
      <c r="C65" s="397">
        <v>12.0</v>
      </c>
      <c r="D65" s="407" t="str">
        <f t="array" ref="D65">INDIRECT("Draft!O"&amp;TEXT(15-A53,"0"))</f>
        <v>Keegan Murray</v>
      </c>
      <c r="E65" s="403">
        <f>IF($D65="","", VLOOKUP($D65,'Final Update'!$P$21:$AD1000,Column(G63),False))</f>
        <v>14.6</v>
      </c>
      <c r="F65" s="403">
        <f>IF($D65="","", VLOOKUP($D65,'Final Update'!$P$21:$AD1000,Column(H63),False))</f>
        <v>2.7</v>
      </c>
      <c r="G65" s="403">
        <f>IF($D65="","", VLOOKUP($D65,'Final Update'!$P$21:$AD1000,Column(I63),False))</f>
        <v>5.4</v>
      </c>
      <c r="H65" s="403">
        <f>IF($D65="","", VLOOKUP($D65,'Final Update'!$P$21:$AD1000,Column(J63),False))</f>
        <v>1.6</v>
      </c>
      <c r="I65" s="403">
        <f>IF($D65="","", VLOOKUP($D65,'Final Update'!$P$21:$AD1000,Column(K63),False))</f>
        <v>1</v>
      </c>
      <c r="J65" s="403">
        <f>IF($D65="","", VLOOKUP($D65,'Final Update'!$P$21:$AD1000,Column(L63),False))</f>
        <v>0.8</v>
      </c>
      <c r="K65" s="404">
        <f>IF($D65="","", VLOOKUP($D65,'Final Update'!$P$21:$AD1000,Column(M63),False))</f>
        <v>0.454</v>
      </c>
      <c r="L65" s="404">
        <f>IF($D65="","", VLOOKUP($D65,'Final Update'!$P$21:$AD1000,Column(N63),False))</f>
        <v>0.836</v>
      </c>
      <c r="M65" s="403">
        <f>IF($D65="","", VLOOKUP($D65,'Final Update'!$P$21:$AD1000,Column(O63),False))</f>
        <v>0.8</v>
      </c>
      <c r="N65" s="403" t="str">
        <f>IF($D65="","", VLOOKUP($D65,'Final Update'!$P$21:$AD1000,Column(C63),False))</f>
        <v>SF,PF</v>
      </c>
      <c r="O65" s="94"/>
      <c r="P65" s="94"/>
      <c r="Q65" s="94"/>
      <c r="R65" s="94"/>
      <c r="S65" s="94"/>
      <c r="T65" s="94"/>
      <c r="U65" s="94"/>
      <c r="V65" s="94"/>
      <c r="W65" s="94"/>
      <c r="X65" s="94"/>
      <c r="Y65" s="94"/>
      <c r="Z65" s="94"/>
    </row>
    <row r="66">
      <c r="A66" s="94"/>
      <c r="B66" s="413">
        <v>75.0</v>
      </c>
      <c r="C66" s="397">
        <v>13.0</v>
      </c>
      <c r="D66" s="406" t="str">
        <f t="array" ref="D66">INDIRECT("Draft!P"&amp;TEXT(A53+2,"0"))</f>
        <v>Sam Hauser</v>
      </c>
      <c r="E66" s="403">
        <f>IF($D66="","", VLOOKUP($D66,'Final Update'!$P$21:$AD1000,Column(G64),False))</f>
        <v>9.6</v>
      </c>
      <c r="F66" s="403">
        <f>IF($D66="","", VLOOKUP($D66,'Final Update'!$P$21:$AD1000,Column(H64),False))</f>
        <v>2.6</v>
      </c>
      <c r="G66" s="403">
        <f>IF($D66="","", VLOOKUP($D66,'Final Update'!$P$21:$AD1000,Column(I64),False))</f>
        <v>3.8</v>
      </c>
      <c r="H66" s="403">
        <f>IF($D66="","", VLOOKUP($D66,'Final Update'!$P$21:$AD1000,Column(J64),False))</f>
        <v>1.2</v>
      </c>
      <c r="I66" s="403">
        <f>IF($D66="","", VLOOKUP($D66,'Final Update'!$P$21:$AD1000,Column(K64),False))</f>
        <v>0.5</v>
      </c>
      <c r="J66" s="403">
        <f>IF($D66="","", VLOOKUP($D66,'Final Update'!$P$21:$AD1000,Column(L64),False))</f>
        <v>0.4</v>
      </c>
      <c r="K66" s="404">
        <f>IF($D66="","", VLOOKUP($D66,'Final Update'!$P$21:$AD1000,Column(M64),False))</f>
        <v>0.45</v>
      </c>
      <c r="L66" s="404">
        <f>IF($D66="","", VLOOKUP($D66,'Final Update'!$P$21:$AD1000,Column(N64),False))</f>
        <v>0.821</v>
      </c>
      <c r="M66" s="403">
        <f>IF($D66="","", VLOOKUP($D66,'Final Update'!$P$21:$AD1000,Column(O64),False))</f>
        <v>0.5</v>
      </c>
      <c r="N66" s="403" t="str">
        <f>IF($D66="","", VLOOKUP($D66,'Final Update'!$P$21:$AD1000,Column(C64),False))</f>
        <v>SF,PF</v>
      </c>
      <c r="O66" s="94"/>
      <c r="P66" s="94"/>
      <c r="Q66" s="94"/>
      <c r="R66" s="94"/>
      <c r="S66" s="94"/>
      <c r="T66" s="94"/>
      <c r="U66" s="94"/>
      <c r="V66" s="94"/>
      <c r="W66" s="94"/>
      <c r="X66" s="94"/>
      <c r="Y66" s="94"/>
      <c r="Z66" s="94"/>
    </row>
    <row r="67">
      <c r="A67" s="94"/>
      <c r="B67" s="396">
        <f>Projections!$AK$35</f>
        <v>50</v>
      </c>
      <c r="C67" s="397">
        <v>14.0</v>
      </c>
      <c r="D67" s="407" t="str">
        <f t="array" ref="D67">INDIRECT("Draft!Q"&amp;TEXT(15-A53,"0"))</f>
        <v/>
      </c>
      <c r="E67" s="403" t="str">
        <f>IF($D67="","", VLOOKUP($D67,'Final Update'!$P$21:$AD1000,Column(G65),False))</f>
        <v/>
      </c>
      <c r="F67" s="403" t="str">
        <f>IF($D67="","", VLOOKUP($D67,'Final Update'!$P$21:$AD1000,Column(H65),False))</f>
        <v/>
      </c>
      <c r="G67" s="403" t="str">
        <f>IF($D67="","", VLOOKUP($D67,'Final Update'!$P$21:$AD1000,Column(I65),False))</f>
        <v/>
      </c>
      <c r="H67" s="403" t="str">
        <f>IF($D67="","", VLOOKUP($D67,'Final Update'!$P$21:$AD1000,Column(J65),False))</f>
        <v/>
      </c>
      <c r="I67" s="403" t="str">
        <f>IF($D67="","", VLOOKUP($D67,'Final Update'!$P$21:$AD1000,Column(K65),False))</f>
        <v/>
      </c>
      <c r="J67" s="403" t="str">
        <f>IF($D67="","", VLOOKUP($D67,'Final Update'!$P$21:$AD1000,Column(L65),False))</f>
        <v/>
      </c>
      <c r="K67" s="404" t="str">
        <f>IF($D67="","", VLOOKUP($D67,'Final Update'!$P$21:$AD1000,Column(M65),False))</f>
        <v/>
      </c>
      <c r="L67" s="404" t="str">
        <f>IF($D67="","", VLOOKUP($D67,'Final Update'!$P$21:$AD1000,Column(N65),False))</f>
        <v/>
      </c>
      <c r="M67" s="403" t="str">
        <f>IF($D67="","", VLOOKUP($D67,'Final Update'!$P$21:$AD1000,Column(O65),False))</f>
        <v/>
      </c>
      <c r="N67" s="403" t="str">
        <f>IF($D67="","", VLOOKUP($D67,'Final Update'!$P$21:$AD1000,Column(C65),False))</f>
        <v/>
      </c>
      <c r="O67" s="94"/>
      <c r="P67" s="94"/>
      <c r="Q67" s="94"/>
      <c r="R67" s="94"/>
      <c r="S67" s="94"/>
      <c r="T67" s="94"/>
      <c r="U67" s="94"/>
      <c r="V67" s="94"/>
      <c r="W67" s="94"/>
      <c r="X67" s="94"/>
      <c r="Y67" s="94"/>
      <c r="Z67" s="94"/>
    </row>
    <row r="68">
      <c r="A68" s="392" t="s">
        <v>5</v>
      </c>
      <c r="B68" s="94"/>
      <c r="C68" s="94"/>
      <c r="D68" s="395" t="s">
        <v>1291</v>
      </c>
      <c r="E68" s="409">
        <f t="shared" ref="E68:J68" si="4">IFERROR(AVERAGE(SUMPRODUCT(E54:E67,$B54:$B67/100))/(SUM(OFFSET($B54,0,0,COUNT(E54:E67)))/100),"")</f>
        <v>17.68627451</v>
      </c>
      <c r="F68" s="409">
        <f t="shared" si="4"/>
        <v>1.862745098</v>
      </c>
      <c r="G68" s="409">
        <f t="shared" si="4"/>
        <v>5.949019608</v>
      </c>
      <c r="H68" s="409">
        <f t="shared" si="4"/>
        <v>4.133333333</v>
      </c>
      <c r="I68" s="410">
        <f t="shared" si="4"/>
        <v>0.9470588235</v>
      </c>
      <c r="J68" s="409">
        <f t="shared" si="4"/>
        <v>0.5333333333</v>
      </c>
      <c r="K68" s="409">
        <f t="array" ref="K68">IFERROR(100*SUMPRODUCT(IFERROR(VLOOKUP($D54:$D67,UpdateHashtag!$C:$S,6,False),"")*$B54:$B67/100)/SUMPRODUCT(IFERROR(VLOOKUP($D54:$D67,UpdateHashtag!$C:$S,17,False),"")*$B54:$B67/100),"")</f>
        <v>47.46807574</v>
      </c>
      <c r="L68" s="409">
        <f t="array" ref="L68">IFERROR(100*SUMPRODUCT(IFERROR(VLOOKUP($D54:$D67,UpdateHashtag!$C:$T,8,False),"")*$B54:$B67/100)/SUMPRODUCT(IFERROR(VLOOKUP($D54:$D67,UpdateHashtag!$C:$T,18,False),"")*$B54:$B67/100),"")</f>
        <v>81.28505864</v>
      </c>
      <c r="M68" s="409">
        <f>IFERROR(AVERAGE(SUMPRODUCT(M54:M67,$B54:$B67/100))/(SUM(OFFSET($B54,0,0,COUNT(M54:M67)))/100),"")</f>
        <v>1.998039216</v>
      </c>
      <c r="N68" s="347" t="s">
        <v>116</v>
      </c>
      <c r="O68" s="94"/>
      <c r="P68" s="94"/>
      <c r="Q68" s="94"/>
      <c r="R68" s="94"/>
      <c r="S68" s="94"/>
      <c r="T68" s="94"/>
      <c r="U68" s="94"/>
      <c r="V68" s="94"/>
      <c r="W68" s="94"/>
      <c r="X68" s="94"/>
      <c r="Y68" s="94"/>
      <c r="Z68" s="94"/>
    </row>
    <row r="69">
      <c r="A69" s="94"/>
      <c r="B69" s="94"/>
      <c r="C69" s="94"/>
      <c r="D69" s="395" t="s">
        <v>1318</v>
      </c>
      <c r="E69" s="410">
        <f>IFERROR((SUM(OFFSET('All Teams'!$B54,0,0,COUNT('All Teams'!E54:E67)))/100)*('All Teams'!E68-'Final Update'!$B$1)/'Final Update'!$B$2,"")</f>
        <v>0.5053060086</v>
      </c>
      <c r="F69" s="410">
        <f>IFERROR((SUM(OFFSET('All Teams'!$B54,0,0,COUNT('All Teams'!F54:F67)))/100)*('All Teams'!F68-'Final Update'!$C$1)/'Final Update'!$C$2,"")</f>
        <v>1.443267111</v>
      </c>
      <c r="G69" s="410">
        <f>IFERROR((SUM(OFFSET('All Teams'!$B54,0,0,COUNT('All Teams'!G54:G67)))/100)*('All Teams'!G68-'Final Update'!$D$1)/'Final Update'!$D$2,"")</f>
        <v>-0.5994361018</v>
      </c>
      <c r="H69" s="410">
        <f>IFERROR((SUM(OFFSET('All Teams'!$B54,0,0,COUNT('All Teams'!H54:H67)))/100)*('All Teams'!H68-'Final Update'!$E$1)/'Final Update'!$E$2,"")</f>
        <v>1.147719101</v>
      </c>
      <c r="I69" s="410">
        <f>IFERROR((SUM(OFFSET('All Teams'!$B54,0,0,COUNT('All Teams'!I54:I67)))/100)*('All Teams'!I68-'Final Update'!$F$1)/'Final Update'!$F$2,"")</f>
        <v>-1.231558165</v>
      </c>
      <c r="J69" s="410">
        <f>IFERROR((SUM(OFFSET('All Teams'!$B54,0,0,COUNT('All Teams'!J54:J67)))/100)*('All Teams'!J68-'Final Update'!$G$1)/'Final Update'!$G$2,"")</f>
        <v>-4.815153186</v>
      </c>
      <c r="K69" s="410">
        <f t="array" ref="K69">SUMPRODUCT(IFERROR(VLOOKUP($D54:$D67,'Final Update'!$A$4:$L$403,8,False)*$B54:$B67/100,""))</f>
        <v>-4.25491575</v>
      </c>
      <c r="L69" s="410">
        <f t="array" ref="L69">SUMPRODUCT(IFERROR(VLOOKUP($D54:$D67,'Final Update'!$A$4:$L$403,10,False)*$B54:$B67/100,""))</f>
        <v>2.959459594</v>
      </c>
      <c r="M69" s="410">
        <f>IFERROR(-(SUM(OFFSET('All Teams'!$B54,0,0,COUNT('All Teams'!M54:M67)))/100)*('All Teams'!M68-'Final Update'!$L$1)/'Final Update'!$L$2,"")</f>
        <v>-3.15383679</v>
      </c>
      <c r="N69" s="94">
        <f t="array" ref="N69">SUM(IFERROR(vlookup(D54:D67,'Final Update'!$P$21:$S$620,4,0),""))</f>
        <v>8.760886607</v>
      </c>
      <c r="O69" s="94"/>
      <c r="P69" s="94"/>
      <c r="Q69" s="94"/>
      <c r="R69" s="94"/>
      <c r="S69" s="94"/>
      <c r="T69" s="94"/>
      <c r="U69" s="94"/>
      <c r="V69" s="94"/>
      <c r="W69" s="94"/>
      <c r="X69" s="94"/>
      <c r="Y69" s="94"/>
      <c r="Z69" s="94"/>
    </row>
    <row r="70">
      <c r="A70" s="393">
        <v>5.0</v>
      </c>
      <c r="B70" s="394" t="s">
        <v>256</v>
      </c>
      <c r="C70" s="395" t="s">
        <v>258</v>
      </c>
      <c r="D70" s="394" t="s">
        <v>3</v>
      </c>
      <c r="E70" s="394" t="s">
        <v>13</v>
      </c>
      <c r="F70" s="394" t="s">
        <v>99</v>
      </c>
      <c r="G70" s="394" t="s">
        <v>101</v>
      </c>
      <c r="H70" s="394" t="s">
        <v>15</v>
      </c>
      <c r="I70" s="394" t="s">
        <v>16</v>
      </c>
      <c r="J70" s="394" t="s">
        <v>17</v>
      </c>
      <c r="K70" s="394" t="s">
        <v>9</v>
      </c>
      <c r="L70" s="394" t="s">
        <v>11</v>
      </c>
      <c r="M70" s="394" t="s">
        <v>18</v>
      </c>
      <c r="N70" s="394" t="s">
        <v>4</v>
      </c>
      <c r="O70" s="394" t="s">
        <v>259</v>
      </c>
      <c r="P70" s="394" t="s">
        <v>4</v>
      </c>
      <c r="Q70" s="94"/>
      <c r="R70" s="94"/>
      <c r="S70" s="94"/>
      <c r="T70" s="94"/>
      <c r="U70" s="94"/>
      <c r="V70" s="94"/>
      <c r="W70" s="94"/>
      <c r="X70" s="94"/>
      <c r="Y70" s="94"/>
      <c r="Z70" s="94"/>
    </row>
    <row r="71">
      <c r="A71" s="94"/>
      <c r="B71" s="396">
        <f>Projections!$AK$22</f>
        <v>100</v>
      </c>
      <c r="C71" s="397">
        <v>1.0</v>
      </c>
      <c r="D71" s="398" t="str">
        <f t="array" ref="D71">INDIRECT("Draft!D"&amp;TEXT(A70+2,"0"))</f>
        <v>Giannis Antetokounmpo</v>
      </c>
      <c r="E71" s="399">
        <f>IF($D71="","", VLOOKUP($D71,'Final Update'!$P$21:$AD1000,Column(G69),False))</f>
        <v>31.1</v>
      </c>
      <c r="F71" s="399">
        <f>IF($D71="","", VLOOKUP($D71,'Final Update'!$P$21:$AD1000,Column(H69),False))</f>
        <v>0.6</v>
      </c>
      <c r="G71" s="399">
        <f>IF($D71="","", VLOOKUP($D71,'Final Update'!$P$21:$AD1000,Column(I69),False))</f>
        <v>11.8</v>
      </c>
      <c r="H71" s="399">
        <f>IF($D71="","", VLOOKUP($D71,'Final Update'!$P$21:$AD1000,Column(J69),False))</f>
        <v>6.7</v>
      </c>
      <c r="I71" s="399">
        <f>IF($D71="","", VLOOKUP($D71,'Final Update'!$P$21:$AD1000,Column(K69),False))</f>
        <v>1.2</v>
      </c>
      <c r="J71" s="399">
        <f>IF($D71="","", VLOOKUP($D71,'Final Update'!$P$21:$AD1000,Column(L69),False))</f>
        <v>1.1</v>
      </c>
      <c r="K71" s="400">
        <f>IF($D71="","", VLOOKUP($D71,'Final Update'!$P$21:$AD1000,Column(M69),False))</f>
        <v>0.614</v>
      </c>
      <c r="L71" s="400">
        <f>IF($D71="","", VLOOKUP($D71,'Final Update'!$P$21:$AD1000,Column(N69),False))</f>
        <v>0.671</v>
      </c>
      <c r="M71" s="399">
        <f>IF($D71="","", VLOOKUP($D71,'Final Update'!$P$21:$AD1000,Column(O69),False))</f>
        <v>3.4</v>
      </c>
      <c r="N71" s="399" t="str">
        <f>IF($D71="","", VLOOKUP($D71,'Final Update'!$P$21:$AD1000,Column(C69),False))</f>
        <v>PF,C</v>
      </c>
      <c r="O71" s="397">
        <f t="array" ref="O71">COUNTIF(FIND(P71,$N71:$N84),"&gt;0")</f>
        <v>3</v>
      </c>
      <c r="P71" s="398" t="s">
        <v>85</v>
      </c>
      <c r="Q71" s="94"/>
      <c r="R71" s="94"/>
      <c r="S71" s="94"/>
      <c r="T71" s="94"/>
      <c r="U71" s="94"/>
      <c r="V71" s="94"/>
      <c r="W71" s="94"/>
      <c r="X71" s="94"/>
      <c r="Y71" s="94"/>
      <c r="Z71" s="94"/>
    </row>
    <row r="72">
      <c r="A72" s="94"/>
      <c r="B72" s="396">
        <f>Projections!$AK$23</f>
        <v>100</v>
      </c>
      <c r="C72" s="397">
        <v>2.0</v>
      </c>
      <c r="D72" s="401" t="str">
        <f t="array" ref="D72">INDIRECT("Draft!E"&amp;TEXT(15-A70,"0"))</f>
        <v>Jalen Johnson</v>
      </c>
      <c r="E72" s="399">
        <f>IF($D72="","", VLOOKUP($D72,'Final Update'!$P$21:$AD1000,Column(G70),False))</f>
        <v>18.2</v>
      </c>
      <c r="F72" s="399">
        <f>IF($D72="","", VLOOKUP($D72,'Final Update'!$P$21:$AD1000,Column(H70),False))</f>
        <v>1.4</v>
      </c>
      <c r="G72" s="399">
        <f>IF($D72="","", VLOOKUP($D72,'Final Update'!$P$21:$AD1000,Column(I70),False))</f>
        <v>9.2</v>
      </c>
      <c r="H72" s="399">
        <f>IF($D72="","", VLOOKUP($D72,'Final Update'!$P$21:$AD1000,Column(J70),False))</f>
        <v>3.5</v>
      </c>
      <c r="I72" s="399">
        <f>IF($D72="","", VLOOKUP($D72,'Final Update'!$P$21:$AD1000,Column(K70),False))</f>
        <v>1.3</v>
      </c>
      <c r="J72" s="399">
        <f>IF($D72="","", VLOOKUP($D72,'Final Update'!$P$21:$AD1000,Column(L70),False))</f>
        <v>1</v>
      </c>
      <c r="K72" s="400">
        <f>IF($D72="","", VLOOKUP($D72,'Final Update'!$P$21:$AD1000,Column(M70),False))</f>
        <v>0.503</v>
      </c>
      <c r="L72" s="400">
        <f>IF($D72="","", VLOOKUP($D72,'Final Update'!$P$21:$AD1000,Column(N70),False))</f>
        <v>0.747</v>
      </c>
      <c r="M72" s="399">
        <f>IF($D72="","", VLOOKUP($D72,'Final Update'!$P$21:$AD1000,Column(O70),False))</f>
        <v>1.7</v>
      </c>
      <c r="N72" s="399" t="str">
        <f>IF($D72="","", VLOOKUP($D72,'Final Update'!$P$21:$AD1000,Column(C70),False))</f>
        <v>PF</v>
      </c>
      <c r="O72" s="397">
        <f t="array" ref="O72">COUNTIF(FIND(P72,$N71:$N84),"&gt;0")</f>
        <v>3</v>
      </c>
      <c r="P72" s="398" t="s">
        <v>88</v>
      </c>
      <c r="Q72" s="94"/>
      <c r="R72" s="94"/>
      <c r="S72" s="94"/>
      <c r="T72" s="94"/>
      <c r="U72" s="94"/>
      <c r="V72" s="94"/>
      <c r="W72" s="94"/>
      <c r="X72" s="94"/>
      <c r="Y72" s="94"/>
      <c r="Z72" s="94"/>
    </row>
    <row r="73">
      <c r="A73" s="94"/>
      <c r="B73" s="396">
        <f>Projections!$AK$24</f>
        <v>100</v>
      </c>
      <c r="C73" s="397">
        <v>3.0</v>
      </c>
      <c r="D73" s="402" t="str">
        <f t="array" ref="D73">INDIRECT("Draft!F"&amp;TEXT(A70+2,"0"))</f>
        <v>LeBron James</v>
      </c>
      <c r="E73" s="403">
        <f>IF($D73="","", VLOOKUP($D73,'Final Update'!$P$21:$AD1000,Column(G71),False))</f>
        <v>25.2</v>
      </c>
      <c r="F73" s="403">
        <f>IF($D73="","", VLOOKUP($D73,'Final Update'!$P$21:$AD1000,Column(H71),False))</f>
        <v>2.1</v>
      </c>
      <c r="G73" s="403">
        <f>IF($D73="","", VLOOKUP($D73,'Final Update'!$P$21:$AD1000,Column(I71),False))</f>
        <v>7.2</v>
      </c>
      <c r="H73" s="403">
        <f>IF($D73="","", VLOOKUP($D73,'Final Update'!$P$21:$AD1000,Column(J71),False))</f>
        <v>8.2</v>
      </c>
      <c r="I73" s="403">
        <f>IF($D73="","", VLOOKUP($D73,'Final Update'!$P$21:$AD1000,Column(K71),False))</f>
        <v>1.1</v>
      </c>
      <c r="J73" s="403">
        <f>IF($D73="","", VLOOKUP($D73,'Final Update'!$P$21:$AD1000,Column(L71),False))</f>
        <v>0.5</v>
      </c>
      <c r="K73" s="404">
        <f>IF($D73="","", VLOOKUP($D73,'Final Update'!$P$21:$AD1000,Column(M71),False))</f>
        <v>0.535</v>
      </c>
      <c r="L73" s="404">
        <f>IF($D73="","", VLOOKUP($D73,'Final Update'!$P$21:$AD1000,Column(N71),False))</f>
        <v>0.758</v>
      </c>
      <c r="M73" s="403">
        <f>IF($D73="","", VLOOKUP($D73,'Final Update'!$P$21:$AD1000,Column(O71),False))</f>
        <v>3.3</v>
      </c>
      <c r="N73" s="403" t="str">
        <f>IF($D73="","", VLOOKUP($D73,'Final Update'!$P$21:$AD1000,Column(C71),False))</f>
        <v>SF,PF</v>
      </c>
      <c r="O73" s="397">
        <f t="array" ref="O73">COUNTIF(FIND(P73,$N71:$N84),"&gt;0")</f>
        <v>3</v>
      </c>
      <c r="P73" s="398" t="s">
        <v>90</v>
      </c>
      <c r="Q73" s="94"/>
      <c r="R73" s="94"/>
      <c r="S73" s="94"/>
      <c r="T73" s="94"/>
      <c r="U73" s="94"/>
      <c r="V73" s="94"/>
      <c r="W73" s="94"/>
      <c r="X73" s="94"/>
      <c r="Y73" s="94"/>
      <c r="Z73" s="94"/>
    </row>
    <row r="74">
      <c r="A74" s="94"/>
      <c r="B74" s="396">
        <f>Projections!$AK$25</f>
        <v>100</v>
      </c>
      <c r="C74" s="397">
        <v>4.0</v>
      </c>
      <c r="D74" s="405" t="str">
        <f t="array" ref="D74">INDIRECT("Draft!G"&amp;TEXT(15-A70,"0"))</f>
        <v>Zion Williamson</v>
      </c>
      <c r="E74" s="403">
        <f>IF($D74="","", VLOOKUP($D74,'Final Update'!$P$21:$AD1000,Column(G72),False))</f>
        <v>22.8</v>
      </c>
      <c r="F74" s="403">
        <f>IF($D74="","", VLOOKUP($D74,'Final Update'!$P$21:$AD1000,Column(H72),False))</f>
        <v>0.1</v>
      </c>
      <c r="G74" s="403">
        <f>IF($D74="","", VLOOKUP($D74,'Final Update'!$P$21:$AD1000,Column(I72),False))</f>
        <v>6.2</v>
      </c>
      <c r="H74" s="403">
        <f>IF($D74="","", VLOOKUP($D74,'Final Update'!$P$21:$AD1000,Column(J72),False))</f>
        <v>5</v>
      </c>
      <c r="I74" s="403">
        <f>IF($D74="","", VLOOKUP($D74,'Final Update'!$P$21:$AD1000,Column(K72),False))</f>
        <v>1.1</v>
      </c>
      <c r="J74" s="403">
        <f>IF($D74="","", VLOOKUP($D74,'Final Update'!$P$21:$AD1000,Column(L72),False))</f>
        <v>0.7</v>
      </c>
      <c r="K74" s="404">
        <f>IF($D74="","", VLOOKUP($D74,'Final Update'!$P$21:$AD1000,Column(M72),False))</f>
        <v>0.573</v>
      </c>
      <c r="L74" s="404">
        <f>IF($D74="","", VLOOKUP($D74,'Final Update'!$P$21:$AD1000,Column(N72),False))</f>
        <v>0.714</v>
      </c>
      <c r="M74" s="403">
        <f>IF($D74="","", VLOOKUP($D74,'Final Update'!$P$21:$AD1000,Column(O72),False))</f>
        <v>3</v>
      </c>
      <c r="N74" s="403" t="str">
        <f>IF($D74="","", VLOOKUP($D74,'Final Update'!$P$21:$AD1000,Column(C72),False))</f>
        <v>PF,C</v>
      </c>
      <c r="O74" s="397">
        <f t="array" ref="O74">COUNTIF(FIND(P74,$N71:$N84),"&gt;0")</f>
        <v>5</v>
      </c>
      <c r="P74" s="398" t="s">
        <v>92</v>
      </c>
      <c r="Q74" s="94"/>
      <c r="R74" s="94"/>
      <c r="S74" s="94"/>
      <c r="T74" s="94"/>
      <c r="U74" s="94"/>
      <c r="V74" s="94"/>
      <c r="W74" s="94"/>
      <c r="X74" s="94"/>
      <c r="Y74" s="94"/>
      <c r="Z74" s="94"/>
    </row>
    <row r="75">
      <c r="A75" s="94"/>
      <c r="B75" s="396">
        <f>Projections!$AK$26</f>
        <v>100</v>
      </c>
      <c r="C75" s="397">
        <v>5.0</v>
      </c>
      <c r="D75" s="406" t="str">
        <f t="array" ref="D75">INDIRECT("Draft!H"&amp;TEXT(A70+2,"0"))</f>
        <v>Rudy Gobert</v>
      </c>
      <c r="E75" s="403">
        <f>IF($D75="","", VLOOKUP($D75,'Final Update'!$P$21:$AD1000,Column(G73),False))</f>
        <v>14.3</v>
      </c>
      <c r="F75" s="403">
        <f>IF($D75="","", VLOOKUP($D75,'Final Update'!$P$21:$AD1000,Column(H73),False))</f>
        <v>0</v>
      </c>
      <c r="G75" s="403">
        <f>IF($D75="","", VLOOKUP($D75,'Final Update'!$P$21:$AD1000,Column(I73),False))</f>
        <v>12.9</v>
      </c>
      <c r="H75" s="403">
        <f>IF($D75="","", VLOOKUP($D75,'Final Update'!$P$21:$AD1000,Column(J73),False))</f>
        <v>1.4</v>
      </c>
      <c r="I75" s="403">
        <f>IF($D75="","", VLOOKUP($D75,'Final Update'!$P$21:$AD1000,Column(K73),False))</f>
        <v>0.8</v>
      </c>
      <c r="J75" s="403">
        <f>IF($D75="","", VLOOKUP($D75,'Final Update'!$P$21:$AD1000,Column(L73),False))</f>
        <v>1.8</v>
      </c>
      <c r="K75" s="404">
        <f>IF($D75="","", VLOOKUP($D75,'Final Update'!$P$21:$AD1000,Column(M73),False))</f>
        <v>0.66</v>
      </c>
      <c r="L75" s="404">
        <f>IF($D75="","", VLOOKUP($D75,'Final Update'!$P$21:$AD1000,Column(N73),False))</f>
        <v>0.642</v>
      </c>
      <c r="M75" s="403">
        <f>IF($D75="","", VLOOKUP($D75,'Final Update'!$P$21:$AD1000,Column(O73),False))</f>
        <v>1.7</v>
      </c>
      <c r="N75" s="403" t="str">
        <f>IF($D75="","", VLOOKUP($D75,'Final Update'!$P$21:$AD1000,Column(C73),False))</f>
        <v>C</v>
      </c>
      <c r="O75" s="397">
        <f t="array" ref="O75">COUNTIF(FIND(P75,$N71:$N84),"&gt;0")</f>
        <v>5</v>
      </c>
      <c r="P75" s="398" t="s">
        <v>97</v>
      </c>
      <c r="Q75" s="94"/>
      <c r="R75" s="94"/>
      <c r="S75" s="94"/>
      <c r="T75" s="94"/>
      <c r="U75" s="94"/>
      <c r="V75" s="94"/>
      <c r="W75" s="94"/>
      <c r="X75" s="94"/>
      <c r="Y75" s="94"/>
      <c r="Z75" s="94"/>
    </row>
    <row r="76">
      <c r="A76" s="94"/>
      <c r="B76" s="396">
        <f>Projections!$AK$27</f>
        <v>100</v>
      </c>
      <c r="C76" s="397">
        <v>6.0</v>
      </c>
      <c r="D76" s="407" t="str">
        <f t="array" ref="D76">INDIRECT("Draft!I"&amp;TEXT(15-A70,"0"))</f>
        <v>Mark Williams</v>
      </c>
      <c r="E76" s="403">
        <f>IF($D76="","", VLOOKUP($D76,'Final Update'!$P$21:$AD1000,Column(G74),False))</f>
        <v>12.6</v>
      </c>
      <c r="F76" s="403">
        <f>IF($D76="","", VLOOKUP($D76,'Final Update'!$P$21:$AD1000,Column(H74),False))</f>
        <v>0</v>
      </c>
      <c r="G76" s="403">
        <f>IF($D76="","", VLOOKUP($D76,'Final Update'!$P$21:$AD1000,Column(I74),False))</f>
        <v>9.7</v>
      </c>
      <c r="H76" s="403">
        <f>IF($D76="","", VLOOKUP($D76,'Final Update'!$P$21:$AD1000,Column(J74),False))</f>
        <v>0.8</v>
      </c>
      <c r="I76" s="403">
        <f>IF($D76="","", VLOOKUP($D76,'Final Update'!$P$21:$AD1000,Column(K74),False))</f>
        <v>0.9</v>
      </c>
      <c r="J76" s="403">
        <f>IF($D76="","", VLOOKUP($D76,'Final Update'!$P$21:$AD1000,Column(L74),False))</f>
        <v>1.2</v>
      </c>
      <c r="K76" s="404">
        <f>IF($D76="","", VLOOKUP($D76,'Final Update'!$P$21:$AD1000,Column(M74),False))</f>
        <v>0.641</v>
      </c>
      <c r="L76" s="404">
        <f>IF($D76="","", VLOOKUP($D76,'Final Update'!$P$21:$AD1000,Column(N74),False))</f>
        <v>0.704</v>
      </c>
      <c r="M76" s="403">
        <f>IF($D76="","", VLOOKUP($D76,'Final Update'!$P$21:$AD1000,Column(O74),False))</f>
        <v>1.1</v>
      </c>
      <c r="N76" s="403" t="str">
        <f>IF($D76="","", VLOOKUP($D76,'Final Update'!$P$21:$AD1000,Column(C74),False))</f>
        <v>C</v>
      </c>
      <c r="O76" s="94"/>
      <c r="P76" s="94"/>
      <c r="Q76" s="94"/>
      <c r="R76" s="94"/>
      <c r="S76" s="94"/>
      <c r="T76" s="94"/>
      <c r="U76" s="94"/>
      <c r="V76" s="94"/>
      <c r="W76" s="94"/>
      <c r="X76" s="94"/>
      <c r="Y76" s="94"/>
      <c r="Z76" s="94"/>
    </row>
    <row r="77">
      <c r="A77" s="94"/>
      <c r="B77" s="396">
        <f>Projections!$AK$28</f>
        <v>100</v>
      </c>
      <c r="C77" s="397">
        <v>7.0</v>
      </c>
      <c r="D77" s="406" t="str">
        <f t="array" ref="D77">INDIRECT("Draft!J"&amp;TEXT(A70+2,"0"))</f>
        <v>Immanuel Quickley</v>
      </c>
      <c r="E77" s="403">
        <f>IF($D77="","", VLOOKUP($D77,'Final Update'!$P$21:$AD1000,Column(G75),False))</f>
        <v>18.7</v>
      </c>
      <c r="F77" s="403">
        <f>IF($D77="","", VLOOKUP($D77,'Final Update'!$P$21:$AD1000,Column(H75),False))</f>
        <v>2.6</v>
      </c>
      <c r="G77" s="403">
        <f>IF($D77="","", VLOOKUP($D77,'Final Update'!$P$21:$AD1000,Column(I75),False))</f>
        <v>4.6</v>
      </c>
      <c r="H77" s="403">
        <f>IF($D77="","", VLOOKUP($D77,'Final Update'!$P$21:$AD1000,Column(J75),False))</f>
        <v>6.8</v>
      </c>
      <c r="I77" s="403">
        <f>IF($D77="","", VLOOKUP($D77,'Final Update'!$P$21:$AD1000,Column(K75),False))</f>
        <v>1.1</v>
      </c>
      <c r="J77" s="403">
        <f>IF($D77="","", VLOOKUP($D77,'Final Update'!$P$21:$AD1000,Column(L75),False))</f>
        <v>0.2</v>
      </c>
      <c r="K77" s="404">
        <f>IF($D77="","", VLOOKUP($D77,'Final Update'!$P$21:$AD1000,Column(M75),False))</f>
        <v>0.44</v>
      </c>
      <c r="L77" s="404">
        <f>IF($D77="","", VLOOKUP($D77,'Final Update'!$P$21:$AD1000,Column(N75),False))</f>
        <v>0.849</v>
      </c>
      <c r="M77" s="403">
        <f>IF($D77="","", VLOOKUP($D77,'Final Update'!$P$21:$AD1000,Column(O75),False))</f>
        <v>1.6</v>
      </c>
      <c r="N77" s="403" t="str">
        <f>IF($D77="","", VLOOKUP($D77,'Final Update'!$P$21:$AD1000,Column(C75),False))</f>
        <v>PG,SG</v>
      </c>
      <c r="O77" s="94"/>
      <c r="P77" s="94"/>
      <c r="Q77" s="94"/>
      <c r="R77" s="94"/>
      <c r="S77" s="94"/>
      <c r="T77" s="94"/>
      <c r="U77" s="94"/>
      <c r="V77" s="94"/>
      <c r="W77" s="94"/>
      <c r="X77" s="94"/>
      <c r="Y77" s="94"/>
      <c r="Z77" s="94"/>
    </row>
    <row r="78">
      <c r="A78" s="94"/>
      <c r="B78" s="396">
        <f>Projections!$AK$29</f>
        <v>100</v>
      </c>
      <c r="C78" s="397">
        <v>8.0</v>
      </c>
      <c r="D78" s="407" t="str">
        <f t="array" ref="D78">INDIRECT("Draft!K"&amp;TEXT(15-A70,"0"))</f>
        <v>C.J. McCollum</v>
      </c>
      <c r="E78" s="403" t="str">
        <f>IF($D78="","", VLOOKUP($D78,'Final Update'!$P$21:$AD1000,Column(G76),False))</f>
        <v>#N/A</v>
      </c>
      <c r="F78" s="403" t="str">
        <f>IF($D78="","", VLOOKUP($D78,'Final Update'!$P$21:$AD1000,Column(H76),False))</f>
        <v>#N/A</v>
      </c>
      <c r="G78" s="403" t="str">
        <f>IF($D78="","", VLOOKUP($D78,'Final Update'!$P$21:$AD1000,Column(I76),False))</f>
        <v>#N/A</v>
      </c>
      <c r="H78" s="403" t="str">
        <f>IF($D78="","", VLOOKUP($D78,'Final Update'!$P$21:$AD1000,Column(J76),False))</f>
        <v>#N/A</v>
      </c>
      <c r="I78" s="403" t="str">
        <f>IF($D78="","", VLOOKUP($D78,'Final Update'!$P$21:$AD1000,Column(K76),False))</f>
        <v>#N/A</v>
      </c>
      <c r="J78" s="403" t="str">
        <f>IF($D78="","", VLOOKUP($D78,'Final Update'!$P$21:$AD1000,Column(L76),False))</f>
        <v>#N/A</v>
      </c>
      <c r="K78" s="404" t="str">
        <f>IF($D78="","", VLOOKUP($D78,'Final Update'!$P$21:$AD1000,Column(M76),False))</f>
        <v>#N/A</v>
      </c>
      <c r="L78" s="404" t="str">
        <f>IF($D78="","", VLOOKUP($D78,'Final Update'!$P$21:$AD1000,Column(N76),False))</f>
        <v>#N/A</v>
      </c>
      <c r="M78" s="403" t="str">
        <f>IF($D78="","", VLOOKUP($D78,'Final Update'!$P$21:$AD1000,Column(O76),False))</f>
        <v>#N/A</v>
      </c>
      <c r="N78" s="403" t="str">
        <f>IF($D78="","", VLOOKUP($D78,'Final Update'!$P$21:$AD1000,Column(C76),False))</f>
        <v>#N/A</v>
      </c>
      <c r="O78" s="94"/>
      <c r="P78" s="94"/>
      <c r="Q78" s="94"/>
      <c r="R78" s="94"/>
      <c r="S78" s="94"/>
      <c r="T78" s="94"/>
      <c r="U78" s="94"/>
      <c r="V78" s="94"/>
      <c r="W78" s="94"/>
      <c r="X78" s="94"/>
      <c r="Y78" s="94"/>
      <c r="Z78" s="94"/>
    </row>
    <row r="79">
      <c r="A79" s="94"/>
      <c r="B79" s="396">
        <f>Projections!$AK$30</f>
        <v>100</v>
      </c>
      <c r="C79" s="397">
        <v>9.0</v>
      </c>
      <c r="D79" s="406" t="str">
        <f t="array" ref="D79">INDIRECT("Draft!L"&amp;TEXT(A70+2,"0"))</f>
        <v>Anfernee Simons</v>
      </c>
      <c r="E79" s="403">
        <f>IF($D79="","", VLOOKUP($D79,'Final Update'!$P$21:$AD1000,Column(G77),False))</f>
        <v>21.4</v>
      </c>
      <c r="F79" s="403">
        <f>IF($D79="","", VLOOKUP($D79,'Final Update'!$P$21:$AD1000,Column(H77),False))</f>
        <v>3.4</v>
      </c>
      <c r="G79" s="403">
        <f>IF($D79="","", VLOOKUP($D79,'Final Update'!$P$21:$AD1000,Column(I77),False))</f>
        <v>3</v>
      </c>
      <c r="H79" s="403">
        <f>IF($D79="","", VLOOKUP($D79,'Final Update'!$P$21:$AD1000,Column(J77),False))</f>
        <v>4.9</v>
      </c>
      <c r="I79" s="403">
        <f>IF($D79="","", VLOOKUP($D79,'Final Update'!$P$21:$AD1000,Column(K77),False))</f>
        <v>0.6</v>
      </c>
      <c r="J79" s="403">
        <f>IF($D79="","", VLOOKUP($D79,'Final Update'!$P$21:$AD1000,Column(L77),False))</f>
        <v>0.2</v>
      </c>
      <c r="K79" s="404">
        <f>IF($D79="","", VLOOKUP($D79,'Final Update'!$P$21:$AD1000,Column(M77),False))</f>
        <v>0.44</v>
      </c>
      <c r="L79" s="404">
        <f>IF($D79="","", VLOOKUP($D79,'Final Update'!$P$21:$AD1000,Column(N77),False))</f>
        <v>0.905</v>
      </c>
      <c r="M79" s="403">
        <f>IF($D79="","", VLOOKUP($D79,'Final Update'!$P$21:$AD1000,Column(O77),False))</f>
        <v>2.3</v>
      </c>
      <c r="N79" s="403" t="str">
        <f>IF($D79="","", VLOOKUP($D79,'Final Update'!$P$21:$AD1000,Column(C77),False))</f>
        <v>PG,SG</v>
      </c>
      <c r="O79" s="94"/>
      <c r="P79" s="94"/>
      <c r="Q79" s="94"/>
      <c r="R79" s="94"/>
      <c r="S79" s="94"/>
      <c r="T79" s="94"/>
      <c r="U79" s="94"/>
      <c r="V79" s="94"/>
      <c r="W79" s="94"/>
      <c r="X79" s="94"/>
      <c r="Y79" s="94"/>
      <c r="Z79" s="94"/>
    </row>
    <row r="80">
      <c r="A80" s="94"/>
      <c r="B80" s="396">
        <f>Projections!$AK$31</f>
        <v>100</v>
      </c>
      <c r="C80" s="397">
        <v>10.0</v>
      </c>
      <c r="D80" s="407" t="str">
        <f t="array" ref="D80">INDIRECT("Draft!M"&amp;TEXT(15-A70,"0"))</f>
        <v>D'Angelo Russell</v>
      </c>
      <c r="E80" s="403">
        <f>IF($D80="","", VLOOKUP($D80,'Final Update'!$P$21:$AD1000,Column(G78),False))</f>
        <v>17.5</v>
      </c>
      <c r="F80" s="403">
        <f>IF($D80="","", VLOOKUP($D80,'Final Update'!$P$21:$AD1000,Column(H78),False))</f>
        <v>2.9</v>
      </c>
      <c r="G80" s="403">
        <f>IF($D80="","", VLOOKUP($D80,'Final Update'!$P$21:$AD1000,Column(I78),False))</f>
        <v>3.1</v>
      </c>
      <c r="H80" s="403">
        <f>IF($D80="","", VLOOKUP($D80,'Final Update'!$P$21:$AD1000,Column(J78),False))</f>
        <v>6</v>
      </c>
      <c r="I80" s="403">
        <f>IF($D80="","", VLOOKUP($D80,'Final Update'!$P$21:$AD1000,Column(K78),False))</f>
        <v>1</v>
      </c>
      <c r="J80" s="403">
        <f>IF($D80="","", VLOOKUP($D80,'Final Update'!$P$21:$AD1000,Column(L78),False))</f>
        <v>0.5</v>
      </c>
      <c r="K80" s="404">
        <f>IF($D80="","", VLOOKUP($D80,'Final Update'!$P$21:$AD1000,Column(M78),False))</f>
        <v>0.457</v>
      </c>
      <c r="L80" s="404">
        <f>IF($D80="","", VLOOKUP($D80,'Final Update'!$P$21:$AD1000,Column(N78),False))</f>
        <v>0.829</v>
      </c>
      <c r="M80" s="403">
        <f>IF($D80="","", VLOOKUP($D80,'Final Update'!$P$21:$AD1000,Column(O78),False))</f>
        <v>2.4</v>
      </c>
      <c r="N80" s="403" t="str">
        <f>IF($D80="","", VLOOKUP($D80,'Final Update'!$P$21:$AD1000,Column(C78),False))</f>
        <v>PG</v>
      </c>
      <c r="O80" s="94"/>
      <c r="P80" s="94"/>
      <c r="Q80" s="94"/>
      <c r="R80" s="94"/>
      <c r="S80" s="94"/>
      <c r="T80" s="94"/>
      <c r="U80" s="94"/>
      <c r="V80" s="94"/>
      <c r="W80" s="94"/>
      <c r="X80" s="94"/>
      <c r="Y80" s="94"/>
      <c r="Z80" s="94"/>
    </row>
    <row r="81">
      <c r="A81" s="94"/>
      <c r="B81" s="396">
        <f>Projections!$AK$32</f>
        <v>100</v>
      </c>
      <c r="C81" s="397">
        <v>11.0</v>
      </c>
      <c r="D81" s="406" t="str">
        <f t="array" ref="D81">INDIRECT("Draft!N"&amp;TEXT(A70+2,"0"))</f>
        <v>Tobias Harris</v>
      </c>
      <c r="E81" s="403">
        <f>IF($D81="","", VLOOKUP($D81,'Final Update'!$P$21:$AD1000,Column(G79),False))</f>
        <v>17.6</v>
      </c>
      <c r="F81" s="403">
        <f>IF($D81="","", VLOOKUP($D81,'Final Update'!$P$21:$AD1000,Column(H79),False))</f>
        <v>1.6</v>
      </c>
      <c r="G81" s="403">
        <f>IF($D81="","", VLOOKUP($D81,'Final Update'!$P$21:$AD1000,Column(I79),False))</f>
        <v>6.3</v>
      </c>
      <c r="H81" s="403">
        <f>IF($D81="","", VLOOKUP($D81,'Final Update'!$P$21:$AD1000,Column(J79),False))</f>
        <v>3</v>
      </c>
      <c r="I81" s="403">
        <f>IF($D81="","", VLOOKUP($D81,'Final Update'!$P$21:$AD1000,Column(K79),False))</f>
        <v>1</v>
      </c>
      <c r="J81" s="403">
        <f>IF($D81="","", VLOOKUP($D81,'Final Update'!$P$21:$AD1000,Column(L79),False))</f>
        <v>0.6</v>
      </c>
      <c r="K81" s="404">
        <f>IF($D81="","", VLOOKUP($D81,'Final Update'!$P$21:$AD1000,Column(M79),False))</f>
        <v>0.482</v>
      </c>
      <c r="L81" s="404">
        <f>IF($D81="","", VLOOKUP($D81,'Final Update'!$P$21:$AD1000,Column(N79),False))</f>
        <v>0.878</v>
      </c>
      <c r="M81" s="403">
        <f>IF($D81="","", VLOOKUP($D81,'Final Update'!$P$21:$AD1000,Column(O79),False))</f>
        <v>1.3</v>
      </c>
      <c r="N81" s="403" t="str">
        <f>IF($D81="","", VLOOKUP($D81,'Final Update'!$P$21:$AD1000,Column(C79),False))</f>
        <v>SF,PF</v>
      </c>
      <c r="O81" s="94"/>
      <c r="P81" s="94"/>
      <c r="Q81" s="94"/>
      <c r="R81" s="94"/>
      <c r="S81" s="94"/>
      <c r="T81" s="94"/>
      <c r="U81" s="94"/>
      <c r="V81" s="94"/>
      <c r="W81" s="94"/>
      <c r="X81" s="94"/>
      <c r="Y81" s="94"/>
      <c r="Z81" s="94"/>
    </row>
    <row r="82">
      <c r="A82" s="94"/>
      <c r="B82" s="396">
        <f>Projections!$AK$33</f>
        <v>100</v>
      </c>
      <c r="C82" s="397">
        <v>12.0</v>
      </c>
      <c r="D82" s="407" t="str">
        <f t="array" ref="D82">INDIRECT("Draft!O"&amp;TEXT(15-A70,"0"))</f>
        <v>Neemias Queta</v>
      </c>
      <c r="E82" s="403">
        <f>IF($D82="","", VLOOKUP($D82,'Final Update'!$P$21:$AD1000,Column(G80),False))</f>
        <v>5.6</v>
      </c>
      <c r="F82" s="403">
        <f>IF($D82="","", VLOOKUP($D82,'Final Update'!$P$21:$AD1000,Column(H80),False))</f>
        <v>0</v>
      </c>
      <c r="G82" s="403">
        <f>IF($D82="","", VLOOKUP($D82,'Final Update'!$P$21:$AD1000,Column(I80),False))</f>
        <v>4.5</v>
      </c>
      <c r="H82" s="403">
        <f>IF($D82="","", VLOOKUP($D82,'Final Update'!$P$21:$AD1000,Column(J80),False))</f>
        <v>0.7</v>
      </c>
      <c r="I82" s="403">
        <f>IF($D82="","", VLOOKUP($D82,'Final Update'!$P$21:$AD1000,Column(K80),False))</f>
        <v>0.4</v>
      </c>
      <c r="J82" s="403">
        <f>IF($D82="","", VLOOKUP($D82,'Final Update'!$P$21:$AD1000,Column(L80),False))</f>
        <v>0.8</v>
      </c>
      <c r="K82" s="404">
        <f>IF($D82="","", VLOOKUP($D82,'Final Update'!$P$21:$AD1000,Column(M80),False))</f>
        <v>0.647</v>
      </c>
      <c r="L82" s="404">
        <f>IF($D82="","", VLOOKUP($D82,'Final Update'!$P$21:$AD1000,Column(N80),False))</f>
        <v>0.673</v>
      </c>
      <c r="M82" s="403">
        <f>IF($D82="","", VLOOKUP($D82,'Final Update'!$P$21:$AD1000,Column(O80),False))</f>
        <v>0.5</v>
      </c>
      <c r="N82" s="403" t="str">
        <f>IF($D82="","", VLOOKUP($D82,'Final Update'!$P$21:$AD1000,Column(C80),False))</f>
        <v>C</v>
      </c>
      <c r="O82" s="94"/>
      <c r="P82" s="94"/>
      <c r="Q82" s="94"/>
      <c r="R82" s="94"/>
      <c r="S82" s="94"/>
      <c r="T82" s="94"/>
      <c r="U82" s="94"/>
      <c r="V82" s="94"/>
      <c r="W82" s="94"/>
      <c r="X82" s="94"/>
      <c r="Y82" s="94"/>
      <c r="Z82" s="94"/>
    </row>
    <row r="83">
      <c r="A83" s="94"/>
      <c r="B83" s="408">
        <f>Projections!$AK$34</f>
        <v>100</v>
      </c>
      <c r="C83" s="397">
        <v>13.0</v>
      </c>
      <c r="D83" s="406" t="str">
        <f t="array" ref="D83">INDIRECT("Draft!P"&amp;TEXT(A70+2,"0"))</f>
        <v>Malik Monk</v>
      </c>
      <c r="E83" s="403">
        <f>IF($D83="","", VLOOKUP($D83,'Final Update'!$P$21:$AD1000,Column(G81),False))</f>
        <v>14.5</v>
      </c>
      <c r="F83" s="403">
        <f>IF($D83="","", VLOOKUP($D83,'Final Update'!$P$21:$AD1000,Column(H81),False))</f>
        <v>2</v>
      </c>
      <c r="G83" s="403">
        <f>IF($D83="","", VLOOKUP($D83,'Final Update'!$P$21:$AD1000,Column(I81),False))</f>
        <v>2.8</v>
      </c>
      <c r="H83" s="403">
        <f>IF($D83="","", VLOOKUP($D83,'Final Update'!$P$21:$AD1000,Column(J81),False))</f>
        <v>4.5</v>
      </c>
      <c r="I83" s="403">
        <f>IF($D83="","", VLOOKUP($D83,'Final Update'!$P$21:$AD1000,Column(K81),False))</f>
        <v>0.6</v>
      </c>
      <c r="J83" s="403">
        <f>IF($D83="","", VLOOKUP($D83,'Final Update'!$P$21:$AD1000,Column(L81),False))</f>
        <v>0.4</v>
      </c>
      <c r="K83" s="404">
        <f>IF($D83="","", VLOOKUP($D83,'Final Update'!$P$21:$AD1000,Column(M81),False))</f>
        <v>0.446</v>
      </c>
      <c r="L83" s="404">
        <f>IF($D83="","", VLOOKUP($D83,'Final Update'!$P$21:$AD1000,Column(N81),False))</f>
        <v>0.86</v>
      </c>
      <c r="M83" s="403">
        <f>IF($D83="","", VLOOKUP($D83,'Final Update'!$P$21:$AD1000,Column(O81),False))</f>
        <v>2</v>
      </c>
      <c r="N83" s="403" t="str">
        <f>IF($D83="","", VLOOKUP($D83,'Final Update'!$P$21:$AD1000,Column(C81),False))</f>
        <v>SG,SF</v>
      </c>
      <c r="O83" s="94"/>
      <c r="P83" s="94"/>
      <c r="Q83" s="94"/>
      <c r="R83" s="94"/>
      <c r="S83" s="94"/>
      <c r="T83" s="94"/>
      <c r="U83" s="94"/>
      <c r="V83" s="94"/>
      <c r="W83" s="94"/>
      <c r="X83" s="94"/>
      <c r="Y83" s="94"/>
      <c r="Z83" s="94"/>
    </row>
    <row r="84">
      <c r="A84" s="94"/>
      <c r="B84" s="396">
        <f>Projections!$AK$35</f>
        <v>50</v>
      </c>
      <c r="C84" s="397">
        <v>14.0</v>
      </c>
      <c r="D84" s="407" t="str">
        <f t="array" ref="D84">INDIRECT("Draft!Q"&amp;TEXT(15-A70,"0"))</f>
        <v/>
      </c>
      <c r="E84" s="403" t="str">
        <f>IF($D84="","", VLOOKUP($D84,'Final Update'!$P$21:$AD1000,Column(G82),False))</f>
        <v/>
      </c>
      <c r="F84" s="403" t="str">
        <f>IF($D84="","", VLOOKUP($D84,'Final Update'!$P$21:$AD1000,Column(H82),False))</f>
        <v/>
      </c>
      <c r="G84" s="403" t="str">
        <f>IF($D84="","", VLOOKUP($D84,'Final Update'!$P$21:$AD1000,Column(I82),False))</f>
        <v/>
      </c>
      <c r="H84" s="403" t="str">
        <f>IF($D84="","", VLOOKUP($D84,'Final Update'!$P$21:$AD1000,Column(J82),False))</f>
        <v/>
      </c>
      <c r="I84" s="403" t="str">
        <f>IF($D84="","", VLOOKUP($D84,'Final Update'!$P$21:$AD1000,Column(K82),False))</f>
        <v/>
      </c>
      <c r="J84" s="403" t="str">
        <f>IF($D84="","", VLOOKUP($D84,'Final Update'!$P$21:$AD1000,Column(L82),False))</f>
        <v/>
      </c>
      <c r="K84" s="404" t="str">
        <f>IF($D84="","", VLOOKUP($D84,'Final Update'!$P$21:$AD1000,Column(M82),False))</f>
        <v/>
      </c>
      <c r="L84" s="404" t="str">
        <f>IF($D84="","", VLOOKUP($D84,'Final Update'!$P$21:$AD1000,Column(N82),False))</f>
        <v/>
      </c>
      <c r="M84" s="403" t="str">
        <f>IF($D84="","", VLOOKUP($D84,'Final Update'!$P$21:$AD1000,Column(O82),False))</f>
        <v/>
      </c>
      <c r="N84" s="403" t="str">
        <f>IF($D84="","", VLOOKUP($D84,'Final Update'!$P$21:$AD1000,Column(C82),False))</f>
        <v/>
      </c>
      <c r="O84" s="94"/>
      <c r="P84" s="94"/>
      <c r="Q84" s="94"/>
      <c r="R84" s="94"/>
      <c r="S84" s="94"/>
      <c r="T84" s="94"/>
      <c r="U84" s="94"/>
      <c r="V84" s="94"/>
      <c r="W84" s="94"/>
      <c r="X84" s="94"/>
      <c r="Y84" s="94"/>
      <c r="Z84" s="94"/>
    </row>
    <row r="85">
      <c r="A85" s="392" t="s">
        <v>5</v>
      </c>
      <c r="B85" s="94"/>
      <c r="C85" s="94"/>
      <c r="D85" s="395" t="s">
        <v>1291</v>
      </c>
      <c r="E85" s="409" t="str">
        <f t="shared" ref="E85:J85" si="5">IFERROR(AVERAGE(SUMPRODUCT(E71:E84,$B71:$B84/100))/(SUM(OFFSET($B71,0,0,COUNT(E71:E84)))/100),"")</f>
        <v/>
      </c>
      <c r="F85" s="409" t="str">
        <f t="shared" si="5"/>
        <v/>
      </c>
      <c r="G85" s="409" t="str">
        <f t="shared" si="5"/>
        <v/>
      </c>
      <c r="H85" s="409" t="str">
        <f t="shared" si="5"/>
        <v/>
      </c>
      <c r="I85" s="409" t="str">
        <f t="shared" si="5"/>
        <v/>
      </c>
      <c r="J85" s="409" t="str">
        <f t="shared" si="5"/>
        <v/>
      </c>
      <c r="K85" s="409">
        <f t="array" ref="K85">IFERROR(100*SUMPRODUCT(IFERROR(VLOOKUP($D71:$D84,UpdateHashtag!$C:$S,6,False),"")*$B71:$B84/100)/SUMPRODUCT(IFERROR(VLOOKUP($D71:$D84,UpdateHashtag!$C:$S,17,False),"")*$B71:$B84/100),"")</f>
        <v>52.31452124</v>
      </c>
      <c r="L85" s="409">
        <f t="array" ref="L85">IFERROR(100*SUMPRODUCT(IFERROR(VLOOKUP($D71:$D84,UpdateHashtag!$C:$T,8,False),"")*$B71:$B84/100)/SUMPRODUCT(IFERROR(VLOOKUP($D71:$D84,UpdateHashtag!$C:$T,18,False),"")*$B71:$B84/100),"")</f>
        <v>74.7553816</v>
      </c>
      <c r="M85" s="409" t="str">
        <f>IFERROR(AVERAGE(SUMPRODUCT(M71:M84,$B71:$B84/100))/(SUM(OFFSET($B71,0,0,COUNT(M71:M84)))/100),"")</f>
        <v/>
      </c>
      <c r="N85" s="347" t="s">
        <v>116</v>
      </c>
      <c r="O85" s="94"/>
      <c r="P85" s="94"/>
      <c r="Q85" s="94"/>
      <c r="R85" s="94"/>
      <c r="S85" s="94"/>
      <c r="T85" s="94"/>
      <c r="U85" s="94"/>
      <c r="V85" s="94"/>
      <c r="W85" s="94"/>
      <c r="X85" s="94"/>
      <c r="Y85" s="94"/>
      <c r="Z85" s="94"/>
    </row>
    <row r="86">
      <c r="A86" s="94"/>
      <c r="B86" s="94"/>
      <c r="C86" s="94"/>
      <c r="D86" s="395" t="s">
        <v>1318</v>
      </c>
      <c r="E86" s="410">
        <f>IFERROR((SUM(OFFSET('All Teams'!$B71,0,0,COUNT('All Teams'!E71:E84)))/100)*('All Teams'!E85-'Final Update'!$B$1)/'Final Update'!$B$2,"")</f>
        <v>-37.86430345</v>
      </c>
      <c r="F86" s="410">
        <f>IFERROR((SUM(OFFSET('All Teams'!$B71,0,0,COUNT('All Teams'!F71:F84)))/100)*('All Teams'!F85-'Final Update'!$C$1)/'Final Update'!$C$2,"")</f>
        <v>-20.88823897</v>
      </c>
      <c r="G86" s="410">
        <f>IFERROR((SUM(OFFSET('All Teams'!$B71,0,0,COUNT('All Teams'!G71:G84)))/100)*('All Teams'!G85-'Final Update'!$D$1)/'Final Update'!$D$2,"")</f>
        <v>-28.56718927</v>
      </c>
      <c r="H86" s="410">
        <f>IFERROR((SUM(OFFSET('All Teams'!$B71,0,0,COUNT('All Teams'!H71:H84)))/100)*('All Teams'!H85-'Final Update'!$E$1)/'Final Update'!$E$2,"")</f>
        <v>-21.51843192</v>
      </c>
      <c r="I86" s="410">
        <f>IFERROR((SUM(OFFSET('All Teams'!$B71,0,0,COUNT('All Teams'!I71:I84)))/100)*('All Teams'!I85-'Final Update'!$F$1)/'Final Update'!$F$2,"")</f>
        <v>-38.88228617</v>
      </c>
      <c r="J86" s="410">
        <f>IFERROR((SUM(OFFSET('All Teams'!$B71,0,0,COUNT('All Teams'!J71:J84)))/100)*('All Teams'!J85-'Final Update'!$G$1)/'Final Update'!$G$2,"")</f>
        <v>-15.94910581</v>
      </c>
      <c r="K86" s="410">
        <f t="array" ref="K86">SUMPRODUCT(IFERROR(VLOOKUP($D71:$D84,'Final Update'!$A$4:$L$403,8,False)*$B71:$B84/100,""))</f>
        <v>4.822899409</v>
      </c>
      <c r="L86" s="410">
        <f t="array" ref="L86">SUMPRODUCT(IFERROR(VLOOKUP($D71:$D84,'Final Update'!$A$4:$L$403,10,False)*$B71:$B84/100,""))</f>
        <v>-8.293296004</v>
      </c>
      <c r="M86" s="410">
        <f>IFERROR(-(SUM(OFFSET('All Teams'!$B71,0,0,COUNT('All Teams'!M71:M84)))/100)*('All Teams'!M85-'Final Update'!$L$1)/'Final Update'!$L$2,"")</f>
        <v>20.81462846</v>
      </c>
      <c r="N86" s="94">
        <f t="array" ref="N86">SUM(IFERROR(vlookup(D71:D84,'Final Update'!$P$21:$S$620,4,0),""))</f>
        <v>16.23437099</v>
      </c>
      <c r="O86" s="94"/>
      <c r="P86" s="94"/>
      <c r="Q86" s="94"/>
      <c r="R86" s="94"/>
      <c r="S86" s="94"/>
      <c r="T86" s="94"/>
      <c r="U86" s="94"/>
      <c r="V86" s="94"/>
      <c r="W86" s="94"/>
      <c r="X86" s="94"/>
      <c r="Y86" s="94"/>
      <c r="Z86" s="94"/>
    </row>
    <row r="87">
      <c r="A87" s="393">
        <v>6.0</v>
      </c>
      <c r="B87" s="394" t="s">
        <v>256</v>
      </c>
      <c r="C87" s="395" t="s">
        <v>258</v>
      </c>
      <c r="D87" s="394" t="s">
        <v>3</v>
      </c>
      <c r="E87" s="394" t="s">
        <v>13</v>
      </c>
      <c r="F87" s="394" t="s">
        <v>99</v>
      </c>
      <c r="G87" s="394" t="s">
        <v>101</v>
      </c>
      <c r="H87" s="394" t="s">
        <v>15</v>
      </c>
      <c r="I87" s="394" t="s">
        <v>16</v>
      </c>
      <c r="J87" s="394" t="s">
        <v>17</v>
      </c>
      <c r="K87" s="394" t="s">
        <v>9</v>
      </c>
      <c r="L87" s="394" t="s">
        <v>11</v>
      </c>
      <c r="M87" s="394" t="s">
        <v>18</v>
      </c>
      <c r="N87" s="394" t="s">
        <v>4</v>
      </c>
      <c r="O87" s="394" t="s">
        <v>259</v>
      </c>
      <c r="P87" s="394" t="s">
        <v>4</v>
      </c>
      <c r="Q87" s="94"/>
      <c r="R87" s="94"/>
      <c r="S87" s="94"/>
      <c r="T87" s="94"/>
      <c r="U87" s="94"/>
      <c r="V87" s="94"/>
      <c r="W87" s="94"/>
      <c r="X87" s="94"/>
      <c r="Y87" s="94"/>
      <c r="Z87" s="94"/>
    </row>
    <row r="88">
      <c r="A88" s="94"/>
      <c r="B88" s="396">
        <f>Projections!$AK$22</f>
        <v>100</v>
      </c>
      <c r="C88" s="397">
        <v>1.0</v>
      </c>
      <c r="D88" s="398" t="str">
        <f t="array" ref="D88">INDIRECT("Draft!D"&amp;TEXT(A87+2,"0"))</f>
        <v>Cade Cunningham</v>
      </c>
      <c r="E88" s="399">
        <f>IF($D88="","", VLOOKUP($D88,'Final Update'!$P$21:$AD1000,Column(G86),False))</f>
        <v>23.2</v>
      </c>
      <c r="F88" s="399">
        <f>IF($D88="","", VLOOKUP($D88,'Final Update'!$P$21:$AD1000,Column(H86),False))</f>
        <v>1.9</v>
      </c>
      <c r="G88" s="399">
        <f>IF($D88="","", VLOOKUP($D88,'Final Update'!$P$21:$AD1000,Column(I86),False))</f>
        <v>4.7</v>
      </c>
      <c r="H88" s="399">
        <f>IF($D88="","", VLOOKUP($D88,'Final Update'!$P$21:$AD1000,Column(J86),False))</f>
        <v>7.8</v>
      </c>
      <c r="I88" s="399">
        <f>IF($D88="","", VLOOKUP($D88,'Final Update'!$P$21:$AD1000,Column(K86),False))</f>
        <v>0.9</v>
      </c>
      <c r="J88" s="399">
        <f>IF($D88="","", VLOOKUP($D88,'Final Update'!$P$21:$AD1000,Column(L86),False))</f>
        <v>0.4</v>
      </c>
      <c r="K88" s="400">
        <f>IF($D88="","", VLOOKUP($D88,'Final Update'!$P$21:$AD1000,Column(M86),False))</f>
        <v>0.45</v>
      </c>
      <c r="L88" s="400">
        <f>IF($D88="","", VLOOKUP($D88,'Final Update'!$P$21:$AD1000,Column(N86),False))</f>
        <v>0.865</v>
      </c>
      <c r="M88" s="399">
        <f>IF($D88="","", VLOOKUP($D88,'Final Update'!$P$21:$AD1000,Column(O86),False))</f>
        <v>3.5</v>
      </c>
      <c r="N88" s="399" t="str">
        <f>IF($D88="","", VLOOKUP($D88,'Final Update'!$P$21:$AD1000,Column(C86),False))</f>
        <v>PG,SG</v>
      </c>
      <c r="O88" s="397">
        <f t="array" ref="O88">COUNTIF(FIND(P88,$N88:$N101),"&gt;0")</f>
        <v>4</v>
      </c>
      <c r="P88" s="398" t="s">
        <v>85</v>
      </c>
      <c r="Q88" s="94"/>
      <c r="R88" s="94"/>
      <c r="S88" s="94"/>
      <c r="T88" s="94"/>
      <c r="U88" s="94"/>
      <c r="V88" s="94"/>
      <c r="W88" s="94"/>
      <c r="X88" s="94"/>
      <c r="Y88" s="94"/>
      <c r="Z88" s="94"/>
    </row>
    <row r="89">
      <c r="A89" s="94"/>
      <c r="B89" s="396">
        <f>Projections!$AK$23</f>
        <v>100</v>
      </c>
      <c r="C89" s="397">
        <v>2.0</v>
      </c>
      <c r="D89" s="401" t="str">
        <f t="array" ref="D89">INDIRECT("Draft!E"&amp;TEXT(15-A87,"0"))</f>
        <v>Tyrese Maxey</v>
      </c>
      <c r="E89" s="399">
        <f>IF($D89="","", VLOOKUP($D89,'Final Update'!$P$21:$AD1000,Column(G87),False))</f>
        <v>24.4</v>
      </c>
      <c r="F89" s="399">
        <f>IF($D89="","", VLOOKUP($D89,'Final Update'!$P$21:$AD1000,Column(H87),False))</f>
        <v>3</v>
      </c>
      <c r="G89" s="399">
        <f>IF($D89="","", VLOOKUP($D89,'Final Update'!$P$21:$AD1000,Column(I87),False))</f>
        <v>3.5</v>
      </c>
      <c r="H89" s="399">
        <f>IF($D89="","", VLOOKUP($D89,'Final Update'!$P$21:$AD1000,Column(J87),False))</f>
        <v>5.9</v>
      </c>
      <c r="I89" s="399">
        <f>IF($D89="","", VLOOKUP($D89,'Final Update'!$P$21:$AD1000,Column(K87),False))</f>
        <v>1</v>
      </c>
      <c r="J89" s="399">
        <f>IF($D89="","", VLOOKUP($D89,'Final Update'!$P$21:$AD1000,Column(L87),False))</f>
        <v>0.3</v>
      </c>
      <c r="K89" s="400">
        <f>IF($D89="","", VLOOKUP($D89,'Final Update'!$P$21:$AD1000,Column(M87),False))</f>
        <v>0.462</v>
      </c>
      <c r="L89" s="400">
        <f>IF($D89="","", VLOOKUP($D89,'Final Update'!$P$21:$AD1000,Column(N87),False))</f>
        <v>0.859</v>
      </c>
      <c r="M89" s="399">
        <f>IF($D89="","", VLOOKUP($D89,'Final Update'!$P$21:$AD1000,Column(O87),False))</f>
        <v>1.6</v>
      </c>
      <c r="N89" s="399" t="str">
        <f>IF($D89="","", VLOOKUP($D89,'Final Update'!$P$21:$AD1000,Column(C87),False))</f>
        <v>PG,SG</v>
      </c>
      <c r="O89" s="397">
        <f t="array" ref="O89">COUNTIF(FIND(P89,$N88:$N101),"&gt;0")</f>
        <v>7</v>
      </c>
      <c r="P89" s="398" t="s">
        <v>88</v>
      </c>
      <c r="Q89" s="94"/>
      <c r="R89" s="94"/>
      <c r="S89" s="94"/>
      <c r="T89" s="94"/>
      <c r="U89" s="94"/>
      <c r="V89" s="94"/>
      <c r="W89" s="94"/>
      <c r="X89" s="94"/>
      <c r="Y89" s="94"/>
      <c r="Z89" s="94"/>
    </row>
    <row r="90">
      <c r="A90" s="94"/>
      <c r="B90" s="396">
        <f>Projections!$AK$24</f>
        <v>100</v>
      </c>
      <c r="C90" s="397">
        <v>3.0</v>
      </c>
      <c r="D90" s="402" t="str">
        <f t="array" ref="D90">INDIRECT("Draft!F"&amp;TEXT(A87+2,"0"))</f>
        <v>Scottie Barnes</v>
      </c>
      <c r="E90" s="403">
        <f>IF($D90="","", VLOOKUP($D90,'Final Update'!$P$21:$AD1000,Column(G88),False))</f>
        <v>19.1</v>
      </c>
      <c r="F90" s="403">
        <f>IF($D90="","", VLOOKUP($D90,'Final Update'!$P$21:$AD1000,Column(H88),False))</f>
        <v>1.7</v>
      </c>
      <c r="G90" s="403">
        <f>IF($D90="","", VLOOKUP($D90,'Final Update'!$P$21:$AD1000,Column(I88),False))</f>
        <v>8.3</v>
      </c>
      <c r="H90" s="403">
        <f>IF($D90="","", VLOOKUP($D90,'Final Update'!$P$21:$AD1000,Column(J88),False))</f>
        <v>6</v>
      </c>
      <c r="I90" s="403">
        <f>IF($D90="","", VLOOKUP($D90,'Final Update'!$P$21:$AD1000,Column(K88),False))</f>
        <v>1.3</v>
      </c>
      <c r="J90" s="403">
        <f>IF($D90="","", VLOOKUP($D90,'Final Update'!$P$21:$AD1000,Column(L88),False))</f>
        <v>1.5</v>
      </c>
      <c r="K90" s="404">
        <f>IF($D90="","", VLOOKUP($D90,'Final Update'!$P$21:$AD1000,Column(M88),False))</f>
        <v>0.479</v>
      </c>
      <c r="L90" s="404">
        <f>IF($D90="","", VLOOKUP($D90,'Final Update'!$P$21:$AD1000,Column(N88),False))</f>
        <v>0.791</v>
      </c>
      <c r="M90" s="403">
        <f>IF($D90="","", VLOOKUP($D90,'Final Update'!$P$21:$AD1000,Column(O88),False))</f>
        <v>2.4</v>
      </c>
      <c r="N90" s="403" t="str">
        <f>IF($D90="","", VLOOKUP($D90,'Final Update'!$P$21:$AD1000,Column(C88),False))</f>
        <v>SG,SF,PF</v>
      </c>
      <c r="O90" s="397">
        <f t="array" ref="O90">COUNTIF(FIND(P90,$N88:$N101),"&gt;0")</f>
        <v>4</v>
      </c>
      <c r="P90" s="398" t="s">
        <v>90</v>
      </c>
      <c r="Q90" s="94"/>
      <c r="R90" s="94"/>
      <c r="S90" s="94"/>
      <c r="T90" s="94"/>
      <c r="U90" s="94"/>
      <c r="V90" s="94"/>
      <c r="W90" s="94"/>
      <c r="X90" s="94"/>
      <c r="Y90" s="94"/>
      <c r="Z90" s="94"/>
    </row>
    <row r="91">
      <c r="A91" s="94"/>
      <c r="B91" s="396">
        <f>Projections!$AK$25</f>
        <v>100</v>
      </c>
      <c r="C91" s="397">
        <v>4.0</v>
      </c>
      <c r="D91" s="405" t="str">
        <f t="array" ref="D91">INDIRECT("Draft!G"&amp;TEXT(15-A87,"0"))</f>
        <v>Myles Turner</v>
      </c>
      <c r="E91" s="403">
        <f>IF($D91="","", VLOOKUP($D91,'Final Update'!$P$21:$AD1000,Column(G89),False))</f>
        <v>17</v>
      </c>
      <c r="F91" s="403">
        <f>IF($D91="","", VLOOKUP($D91,'Final Update'!$P$21:$AD1000,Column(H89),False))</f>
        <v>1.5</v>
      </c>
      <c r="G91" s="403">
        <f>IF($D91="","", VLOOKUP($D91,'Final Update'!$P$21:$AD1000,Column(I89),False))</f>
        <v>7</v>
      </c>
      <c r="H91" s="403">
        <f>IF($D91="","", VLOOKUP($D91,'Final Update'!$P$21:$AD1000,Column(J89),False))</f>
        <v>1.3</v>
      </c>
      <c r="I91" s="403">
        <f>IF($D91="","", VLOOKUP($D91,'Final Update'!$P$21:$AD1000,Column(K89),False))</f>
        <v>0.5</v>
      </c>
      <c r="J91" s="403">
        <f>IF($D91="","", VLOOKUP($D91,'Final Update'!$P$21:$AD1000,Column(L89),False))</f>
        <v>2</v>
      </c>
      <c r="K91" s="404">
        <f>IF($D91="","", VLOOKUP($D91,'Final Update'!$P$21:$AD1000,Column(M89),False))</f>
        <v>0.535</v>
      </c>
      <c r="L91" s="404">
        <f>IF($D91="","", VLOOKUP($D91,'Final Update'!$P$21:$AD1000,Column(N89),False))</f>
        <v>0.778</v>
      </c>
      <c r="M91" s="403">
        <f>IF($D91="","", VLOOKUP($D91,'Final Update'!$P$21:$AD1000,Column(O89),False))</f>
        <v>1.5</v>
      </c>
      <c r="N91" s="403" t="str">
        <f>IF($D91="","", VLOOKUP($D91,'Final Update'!$P$21:$AD1000,Column(C89),False))</f>
        <v>C</v>
      </c>
      <c r="O91" s="397">
        <f t="array" ref="O91">COUNTIF(FIND(P91,$N88:$N101),"&gt;0")</f>
        <v>2</v>
      </c>
      <c r="P91" s="398" t="s">
        <v>92</v>
      </c>
      <c r="Q91" s="94"/>
      <c r="R91" s="94"/>
      <c r="S91" s="94"/>
      <c r="T91" s="94"/>
      <c r="U91" s="94"/>
      <c r="V91" s="94"/>
      <c r="W91" s="94"/>
      <c r="X91" s="94"/>
      <c r="Y91" s="94"/>
      <c r="Z91" s="94"/>
    </row>
    <row r="92">
      <c r="A92" s="94"/>
      <c r="B92" s="396">
        <f>Projections!$AK$26</f>
        <v>100</v>
      </c>
      <c r="C92" s="397">
        <v>5.0</v>
      </c>
      <c r="D92" s="406" t="str">
        <f t="array" ref="D92">INDIRECT("Draft!H"&amp;TEXT(A87+2,"0"))</f>
        <v>Walker Kessler</v>
      </c>
      <c r="E92" s="403">
        <f>IF($D92="","", VLOOKUP($D92,'Final Update'!$P$21:$AD1000,Column(G90),False))</f>
        <v>9.5</v>
      </c>
      <c r="F92" s="403">
        <f>IF($D92="","", VLOOKUP($D92,'Final Update'!$P$21:$AD1000,Column(H90),False))</f>
        <v>0</v>
      </c>
      <c r="G92" s="403">
        <f>IF($D92="","", VLOOKUP($D92,'Final Update'!$P$21:$AD1000,Column(I90),False))</f>
        <v>8.7</v>
      </c>
      <c r="H92" s="403">
        <f>IF($D92="","", VLOOKUP($D92,'Final Update'!$P$21:$AD1000,Column(J90),False))</f>
        <v>1</v>
      </c>
      <c r="I92" s="403">
        <f>IF($D92="","", VLOOKUP($D92,'Final Update'!$P$21:$AD1000,Column(K90),False))</f>
        <v>0.4</v>
      </c>
      <c r="J92" s="403">
        <f>IF($D92="","", VLOOKUP($D92,'Final Update'!$P$21:$AD1000,Column(L90),False))</f>
        <v>2.5</v>
      </c>
      <c r="K92" s="404">
        <f>IF($D92="","", VLOOKUP($D92,'Final Update'!$P$21:$AD1000,Column(M90),False))</f>
        <v>0.662</v>
      </c>
      <c r="L92" s="404">
        <f>IF($D92="","", VLOOKUP($D92,'Final Update'!$P$21:$AD1000,Column(N90),False))</f>
        <v>0.577</v>
      </c>
      <c r="M92" s="403">
        <f>IF($D92="","", VLOOKUP($D92,'Final Update'!$P$21:$AD1000,Column(O90),False))</f>
        <v>1</v>
      </c>
      <c r="N92" s="403" t="str">
        <f>IF($D92="","", VLOOKUP($D92,'Final Update'!$P$21:$AD1000,Column(C90),False))</f>
        <v>C</v>
      </c>
      <c r="O92" s="397">
        <f t="array" ref="O92">COUNTIF(FIND(P92,$N88:$N101),"&gt;0")</f>
        <v>3</v>
      </c>
      <c r="P92" s="398" t="s">
        <v>97</v>
      </c>
      <c r="Q92" s="94"/>
      <c r="R92" s="94"/>
      <c r="S92" s="94"/>
      <c r="T92" s="94"/>
      <c r="U92" s="94"/>
      <c r="V92" s="94"/>
      <c r="W92" s="94"/>
      <c r="X92" s="94"/>
      <c r="Y92" s="94"/>
      <c r="Z92" s="94"/>
    </row>
    <row r="93">
      <c r="A93" s="94"/>
      <c r="B93" s="396">
        <f>Projections!$AK$27</f>
        <v>100</v>
      </c>
      <c r="C93" s="397">
        <v>6.0</v>
      </c>
      <c r="D93" s="407" t="str">
        <f t="array" ref="D93">INDIRECT("Draft!I"&amp;TEXT(15-A87,"0"))</f>
        <v>Jakob Poeltl</v>
      </c>
      <c r="E93" s="403">
        <f>IF($D93="","", VLOOKUP($D93,'Final Update'!$P$21:$AD1000,Column(G91),False))</f>
        <v>12.2</v>
      </c>
      <c r="F93" s="403">
        <f>IF($D93="","", VLOOKUP($D93,'Final Update'!$P$21:$AD1000,Column(H91),False))</f>
        <v>0</v>
      </c>
      <c r="G93" s="403">
        <f>IF($D93="","", VLOOKUP($D93,'Final Update'!$P$21:$AD1000,Column(I91),False))</f>
        <v>9.1</v>
      </c>
      <c r="H93" s="403">
        <f>IF($D93="","", VLOOKUP($D93,'Final Update'!$P$21:$AD1000,Column(J91),False))</f>
        <v>2.7</v>
      </c>
      <c r="I93" s="403">
        <f>IF($D93="","", VLOOKUP($D93,'Final Update'!$P$21:$AD1000,Column(K91),False))</f>
        <v>0.9</v>
      </c>
      <c r="J93" s="403">
        <f>IF($D93="","", VLOOKUP($D93,'Final Update'!$P$21:$AD1000,Column(L91),False))</f>
        <v>1.4</v>
      </c>
      <c r="K93" s="404">
        <f>IF($D93="","", VLOOKUP($D93,'Final Update'!$P$21:$AD1000,Column(M91),False))</f>
        <v>0.64</v>
      </c>
      <c r="L93" s="404">
        <f>IF($D93="","", VLOOKUP($D93,'Final Update'!$P$21:$AD1000,Column(N91),False))</f>
        <v>0.575</v>
      </c>
      <c r="M93" s="403">
        <f>IF($D93="","", VLOOKUP($D93,'Final Update'!$P$21:$AD1000,Column(O91),False))</f>
        <v>1.7</v>
      </c>
      <c r="N93" s="403" t="str">
        <f>IF($D93="","", VLOOKUP($D93,'Final Update'!$P$21:$AD1000,Column(C91),False))</f>
        <v>C</v>
      </c>
      <c r="O93" s="94"/>
      <c r="P93" s="94"/>
      <c r="Q93" s="94"/>
      <c r="R93" s="94"/>
      <c r="S93" s="94"/>
      <c r="T93" s="94"/>
      <c r="U93" s="94"/>
      <c r="V93" s="94"/>
      <c r="W93" s="94"/>
      <c r="X93" s="94"/>
      <c r="Y93" s="94"/>
      <c r="Z93" s="94"/>
    </row>
    <row r="94">
      <c r="A94" s="94"/>
      <c r="B94" s="396">
        <f>Projections!$AK$28</f>
        <v>100</v>
      </c>
      <c r="C94" s="397">
        <v>7.0</v>
      </c>
      <c r="D94" s="406" t="str">
        <f t="array" ref="D94">INDIRECT("Draft!J"&amp;TEXT(A87+2,"0"))</f>
        <v>Shaedon Sharpe</v>
      </c>
      <c r="E94" s="403">
        <f>IF($D94="","", VLOOKUP($D94,'Final Update'!$P$21:$AD1000,Column(G92),False))</f>
        <v>15.9</v>
      </c>
      <c r="F94" s="403">
        <f>IF($D94="","", VLOOKUP($D94,'Final Update'!$P$21:$AD1000,Column(H92),False))</f>
        <v>1.9</v>
      </c>
      <c r="G94" s="403">
        <f>IF($D94="","", VLOOKUP($D94,'Final Update'!$P$21:$AD1000,Column(I92),False))</f>
        <v>4.6</v>
      </c>
      <c r="H94" s="403">
        <f>IF($D94="","", VLOOKUP($D94,'Final Update'!$P$21:$AD1000,Column(J92),False))</f>
        <v>2.2</v>
      </c>
      <c r="I94" s="403">
        <f>IF($D94="","", VLOOKUP($D94,'Final Update'!$P$21:$AD1000,Column(K92),False))</f>
        <v>0.8</v>
      </c>
      <c r="J94" s="403">
        <f>IF($D94="","", VLOOKUP($D94,'Final Update'!$P$21:$AD1000,Column(L92),False))</f>
        <v>0.4</v>
      </c>
      <c r="K94" s="404">
        <f>IF($D94="","", VLOOKUP($D94,'Final Update'!$P$21:$AD1000,Column(M92),False))</f>
        <v>0.434</v>
      </c>
      <c r="L94" s="404">
        <f>IF($D94="","", VLOOKUP($D94,'Final Update'!$P$21:$AD1000,Column(N92),False))</f>
        <v>0.812</v>
      </c>
      <c r="M94" s="403">
        <f>IF($D94="","", VLOOKUP($D94,'Final Update'!$P$21:$AD1000,Column(O92),False))</f>
        <v>1.8</v>
      </c>
      <c r="N94" s="403" t="str">
        <f>IF($D94="","", VLOOKUP($D94,'Final Update'!$P$21:$AD1000,Column(C92),False))</f>
        <v>SG,SF</v>
      </c>
      <c r="O94" s="94"/>
      <c r="P94" s="94"/>
      <c r="Q94" s="94"/>
      <c r="R94" s="94"/>
      <c r="S94" s="94"/>
      <c r="T94" s="94"/>
      <c r="U94" s="94"/>
      <c r="V94" s="94"/>
      <c r="W94" s="94"/>
      <c r="X94" s="94"/>
      <c r="Y94" s="94"/>
      <c r="Z94" s="94"/>
    </row>
    <row r="95">
      <c r="A95" s="94"/>
      <c r="B95" s="396">
        <f>Projections!$AK$29</f>
        <v>100</v>
      </c>
      <c r="C95" s="397">
        <v>8.0</v>
      </c>
      <c r="D95" s="407" t="str">
        <f t="array" ref="D95">INDIRECT("Draft!K"&amp;TEXT(15-A87,"0"))</f>
        <v>Cam Thomas</v>
      </c>
      <c r="E95" s="403">
        <f>IF($D95="","", VLOOKUP($D95,'Final Update'!$P$21:$AD1000,Column(G93),False))</f>
        <v>25.6</v>
      </c>
      <c r="F95" s="403">
        <f>IF($D95="","", VLOOKUP($D95,'Final Update'!$P$21:$AD1000,Column(H93),False))</f>
        <v>2.6</v>
      </c>
      <c r="G95" s="403">
        <f>IF($D95="","", VLOOKUP($D95,'Final Update'!$P$21:$AD1000,Column(I93),False))</f>
        <v>3.3</v>
      </c>
      <c r="H95" s="403">
        <f>IF($D95="","", VLOOKUP($D95,'Final Update'!$P$21:$AD1000,Column(J93),False))</f>
        <v>2.9</v>
      </c>
      <c r="I95" s="403">
        <f>IF($D95="","", VLOOKUP($D95,'Final Update'!$P$21:$AD1000,Column(K93),False))</f>
        <v>0.7</v>
      </c>
      <c r="J95" s="403">
        <f>IF($D95="","", VLOOKUP($D95,'Final Update'!$P$21:$AD1000,Column(L93),False))</f>
        <v>0.3</v>
      </c>
      <c r="K95" s="404">
        <f>IF($D95="","", VLOOKUP($D95,'Final Update'!$P$21:$AD1000,Column(M93),False))</f>
        <v>0.44</v>
      </c>
      <c r="L95" s="404">
        <f>IF($D95="","", VLOOKUP($D95,'Final Update'!$P$21:$AD1000,Column(N93),False))</f>
        <v>0.861</v>
      </c>
      <c r="M95" s="403">
        <f>IF($D95="","", VLOOKUP($D95,'Final Update'!$P$21:$AD1000,Column(O93),False))</f>
        <v>2</v>
      </c>
      <c r="N95" s="403" t="str">
        <f>IF($D95="","", VLOOKUP($D95,'Final Update'!$P$21:$AD1000,Column(C93),False))</f>
        <v>SG</v>
      </c>
      <c r="O95" s="94"/>
      <c r="P95" s="94"/>
      <c r="Q95" s="94"/>
      <c r="R95" s="94"/>
      <c r="S95" s="94"/>
      <c r="T95" s="94"/>
      <c r="U95" s="94"/>
      <c r="V95" s="94"/>
      <c r="W95" s="94"/>
      <c r="X95" s="94"/>
      <c r="Y95" s="94"/>
      <c r="Z95" s="94"/>
    </row>
    <row r="96">
      <c r="A96" s="94"/>
      <c r="B96" s="396">
        <f>Projections!$AK$30</f>
        <v>100</v>
      </c>
      <c r="C96" s="397">
        <v>9.0</v>
      </c>
      <c r="D96" s="406" t="str">
        <f t="array" ref="D96">INDIRECT("Draft!L"&amp;TEXT(A87+2,"0"))</f>
        <v>Kevin Porter Jr.</v>
      </c>
      <c r="E96" s="403">
        <f>IF($D96="","", VLOOKUP($D96,'Final Update'!$P$21:$AD1000,Column(G94),False))</f>
        <v>14.2</v>
      </c>
      <c r="F96" s="403">
        <f>IF($D96="","", VLOOKUP($D96,'Final Update'!$P$21:$AD1000,Column(H94),False))</f>
        <v>1.8</v>
      </c>
      <c r="G96" s="403">
        <f>IF($D96="","", VLOOKUP($D96,'Final Update'!$P$21:$AD1000,Column(I94),False))</f>
        <v>3.9</v>
      </c>
      <c r="H96" s="403">
        <f>IF($D96="","", VLOOKUP($D96,'Final Update'!$P$21:$AD1000,Column(J94),False))</f>
        <v>4.3</v>
      </c>
      <c r="I96" s="403">
        <f>IF($D96="","", VLOOKUP($D96,'Final Update'!$P$21:$AD1000,Column(K94),False))</f>
        <v>1</v>
      </c>
      <c r="J96" s="403">
        <f>IF($D96="","", VLOOKUP($D96,'Final Update'!$P$21:$AD1000,Column(L94),False))</f>
        <v>0.2</v>
      </c>
      <c r="K96" s="404">
        <f>IF($D96="","", VLOOKUP($D96,'Final Update'!$P$21:$AD1000,Column(M94),False))</f>
        <v>0.442</v>
      </c>
      <c r="L96" s="404">
        <f>IF($D96="","", VLOOKUP($D96,'Final Update'!$P$21:$AD1000,Column(N94),False))</f>
        <v>0.785</v>
      </c>
      <c r="M96" s="403">
        <f>IF($D96="","", VLOOKUP($D96,'Final Update'!$P$21:$AD1000,Column(O94),False))</f>
        <v>2.4</v>
      </c>
      <c r="N96" s="403" t="str">
        <f>IF($D96="","", VLOOKUP($D96,'Final Update'!$P$21:$AD1000,Column(C94),False))</f>
        <v>PG</v>
      </c>
      <c r="O96" s="94"/>
      <c r="P96" s="94"/>
      <c r="Q96" s="94"/>
      <c r="R96" s="94"/>
      <c r="S96" s="94"/>
      <c r="T96" s="94"/>
      <c r="U96" s="94"/>
      <c r="V96" s="94"/>
      <c r="W96" s="94"/>
      <c r="X96" s="94"/>
      <c r="Y96" s="94"/>
      <c r="Z96" s="94"/>
    </row>
    <row r="97">
      <c r="A97" s="94"/>
      <c r="B97" s="396">
        <f>Projections!$AK$31</f>
        <v>100</v>
      </c>
      <c r="C97" s="397">
        <v>10.0</v>
      </c>
      <c r="D97" s="407" t="str">
        <f t="array" ref="D97">INDIRECT("Draft!M"&amp;TEXT(15-A87,"0"))</f>
        <v>Bennedict Mathurin</v>
      </c>
      <c r="E97" s="403">
        <f>IF($D97="","", VLOOKUP($D97,'Final Update'!$P$21:$AD1000,Column(G95),False))</f>
        <v>16.8</v>
      </c>
      <c r="F97" s="403">
        <f>IF($D97="","", VLOOKUP($D97,'Final Update'!$P$21:$AD1000,Column(H95),False))</f>
        <v>1.4</v>
      </c>
      <c r="G97" s="403">
        <f>IF($D97="","", VLOOKUP($D97,'Final Update'!$P$21:$AD1000,Column(I95),False))</f>
        <v>4.3</v>
      </c>
      <c r="H97" s="403">
        <f>IF($D97="","", VLOOKUP($D97,'Final Update'!$P$21:$AD1000,Column(J95),False))</f>
        <v>1.8</v>
      </c>
      <c r="I97" s="403">
        <f>IF($D97="","", VLOOKUP($D97,'Final Update'!$P$21:$AD1000,Column(K95),False))</f>
        <v>0.7</v>
      </c>
      <c r="J97" s="403">
        <f>IF($D97="","", VLOOKUP($D97,'Final Update'!$P$21:$AD1000,Column(L95),False))</f>
        <v>0.2</v>
      </c>
      <c r="K97" s="404">
        <f>IF($D97="","", VLOOKUP($D97,'Final Update'!$P$21:$AD1000,Column(M95),False))</f>
        <v>0.443</v>
      </c>
      <c r="L97" s="404">
        <f>IF($D97="","", VLOOKUP($D97,'Final Update'!$P$21:$AD1000,Column(N95),False))</f>
        <v>0.826</v>
      </c>
      <c r="M97" s="403">
        <f>IF($D97="","", VLOOKUP($D97,'Final Update'!$P$21:$AD1000,Column(O95),False))</f>
        <v>1.9</v>
      </c>
      <c r="N97" s="403" t="str">
        <f>IF($D97="","", VLOOKUP($D97,'Final Update'!$P$21:$AD1000,Column(C95),False))</f>
        <v>SG,SF</v>
      </c>
      <c r="O97" s="94"/>
      <c r="P97" s="94"/>
      <c r="Q97" s="94"/>
      <c r="R97" s="94"/>
      <c r="S97" s="94"/>
      <c r="T97" s="94"/>
      <c r="U97" s="94"/>
      <c r="V97" s="94"/>
      <c r="W97" s="94"/>
      <c r="X97" s="94"/>
      <c r="Y97" s="94"/>
      <c r="Z97" s="94"/>
    </row>
    <row r="98">
      <c r="A98" s="94"/>
      <c r="B98" s="396">
        <f>Projections!$AK$32</f>
        <v>100</v>
      </c>
      <c r="C98" s="397">
        <v>11.0</v>
      </c>
      <c r="D98" s="406" t="str">
        <f t="array" ref="D98">INDIRECT("Draft!N"&amp;TEXT(A87+2,"0"))</f>
        <v>Jaden Ivey</v>
      </c>
      <c r="E98" s="403">
        <f>IF($D98="","", VLOOKUP($D98,'Final Update'!$P$21:$AD1000,Column(G96),False))</f>
        <v>18.4</v>
      </c>
      <c r="F98" s="403">
        <f>IF($D98="","", VLOOKUP($D98,'Final Update'!$P$21:$AD1000,Column(H96),False))</f>
        <v>2.2</v>
      </c>
      <c r="G98" s="403">
        <f>IF($D98="","", VLOOKUP($D98,'Final Update'!$P$21:$AD1000,Column(I96),False))</f>
        <v>3.7</v>
      </c>
      <c r="H98" s="403">
        <f>IF($D98="","", VLOOKUP($D98,'Final Update'!$P$21:$AD1000,Column(J96),False))</f>
        <v>4.6</v>
      </c>
      <c r="I98" s="403">
        <f>IF($D98="","", VLOOKUP($D98,'Final Update'!$P$21:$AD1000,Column(K96),False))</f>
        <v>0.8</v>
      </c>
      <c r="J98" s="403">
        <f>IF($D98="","", VLOOKUP($D98,'Final Update'!$P$21:$AD1000,Column(L96),False))</f>
        <v>0.6</v>
      </c>
      <c r="K98" s="404">
        <f>IF($D98="","", VLOOKUP($D98,'Final Update'!$P$21:$AD1000,Column(M96),False))</f>
        <v>0.435</v>
      </c>
      <c r="L98" s="404">
        <f>IF($D98="","", VLOOKUP($D98,'Final Update'!$P$21:$AD1000,Column(N96),False))</f>
        <v>0.759</v>
      </c>
      <c r="M98" s="403">
        <f>IF($D98="","", VLOOKUP($D98,'Final Update'!$P$21:$AD1000,Column(O96),False))</f>
        <v>2.7</v>
      </c>
      <c r="N98" s="403" t="str">
        <f>IF($D98="","", VLOOKUP($D98,'Final Update'!$P$21:$AD1000,Column(C96),False))</f>
        <v>PG,SG</v>
      </c>
      <c r="O98" s="94"/>
      <c r="P98" s="94"/>
      <c r="Q98" s="94"/>
      <c r="R98" s="94"/>
      <c r="S98" s="94"/>
      <c r="T98" s="94"/>
      <c r="U98" s="94"/>
      <c r="V98" s="94"/>
      <c r="W98" s="94"/>
      <c r="X98" s="94"/>
      <c r="Y98" s="94"/>
      <c r="Z98" s="94"/>
    </row>
    <row r="99">
      <c r="A99" s="94"/>
      <c r="B99" s="396">
        <f>Projections!$AK$33</f>
        <v>100</v>
      </c>
      <c r="C99" s="397">
        <v>12.0</v>
      </c>
      <c r="D99" s="407" t="str">
        <f t="array" ref="D99">INDIRECT("Draft!O"&amp;TEXT(15-A87,"0"))</f>
        <v>Cam Whitmore</v>
      </c>
      <c r="E99" s="403">
        <f>IF($D99="","", VLOOKUP($D99,'Final Update'!$P$21:$AD1000,Column(G97),False))</f>
        <v>11.4</v>
      </c>
      <c r="F99" s="403">
        <f>IF($D99="","", VLOOKUP($D99,'Final Update'!$P$21:$AD1000,Column(H97),False))</f>
        <v>1.6</v>
      </c>
      <c r="G99" s="403">
        <f>IF($D99="","", VLOOKUP($D99,'Final Update'!$P$21:$AD1000,Column(I97),False))</f>
        <v>3.5</v>
      </c>
      <c r="H99" s="403">
        <f>IF($D99="","", VLOOKUP($D99,'Final Update'!$P$21:$AD1000,Column(J97),False))</f>
        <v>0.7</v>
      </c>
      <c r="I99" s="403">
        <f>IF($D99="","", VLOOKUP($D99,'Final Update'!$P$21:$AD1000,Column(K97),False))</f>
        <v>0.6</v>
      </c>
      <c r="J99" s="403">
        <f>IF($D99="","", VLOOKUP($D99,'Final Update'!$P$21:$AD1000,Column(L97),False))</f>
        <v>0.3</v>
      </c>
      <c r="K99" s="404">
        <f>IF($D99="","", VLOOKUP($D99,'Final Update'!$P$21:$AD1000,Column(M97),False))</f>
        <v>0.454</v>
      </c>
      <c r="L99" s="404">
        <f>IF($D99="","", VLOOKUP($D99,'Final Update'!$P$21:$AD1000,Column(N97),False))</f>
        <v>0.677</v>
      </c>
      <c r="M99" s="403">
        <f>IF($D99="","", VLOOKUP($D99,'Final Update'!$P$21:$AD1000,Column(O97),False))</f>
        <v>0.9</v>
      </c>
      <c r="N99" s="403" t="str">
        <f>IF($D99="","", VLOOKUP($D99,'Final Update'!$P$21:$AD1000,Column(C97),False))</f>
        <v>SF,PF</v>
      </c>
      <c r="O99" s="94"/>
      <c r="P99" s="94"/>
      <c r="Q99" s="94"/>
      <c r="R99" s="94"/>
      <c r="S99" s="94"/>
      <c r="T99" s="94"/>
      <c r="U99" s="94"/>
      <c r="V99" s="94"/>
      <c r="W99" s="94"/>
      <c r="X99" s="94"/>
      <c r="Y99" s="94"/>
      <c r="Z99" s="94"/>
    </row>
    <row r="100">
      <c r="A100" s="94"/>
      <c r="B100" s="413">
        <v>75.0</v>
      </c>
      <c r="C100" s="397">
        <v>13.0</v>
      </c>
      <c r="D100" s="406" t="str">
        <f t="array" ref="D100">INDIRECT("Draft!P"&amp;TEXT(A87+2,"0"))</f>
        <v>VJ Edgecombe</v>
      </c>
      <c r="E100" s="403" t="str">
        <f>IF($D100="","", VLOOKUP($D100,'Final Update'!$P$21:$AD1000,Column(G98),False))</f>
        <v>#N/A</v>
      </c>
      <c r="F100" s="403" t="str">
        <f>IF($D100="","", VLOOKUP($D100,'Final Update'!$P$21:$AD1000,Column(H98),False))</f>
        <v>#N/A</v>
      </c>
      <c r="G100" s="403" t="str">
        <f>IF($D100="","", VLOOKUP($D100,'Final Update'!$P$21:$AD1000,Column(I98),False))</f>
        <v>#N/A</v>
      </c>
      <c r="H100" s="403" t="str">
        <f>IF($D100="","", VLOOKUP($D100,'Final Update'!$P$21:$AD1000,Column(J98),False))</f>
        <v>#N/A</v>
      </c>
      <c r="I100" s="403" t="str">
        <f>IF($D100="","", VLOOKUP($D100,'Final Update'!$P$21:$AD1000,Column(K98),False))</f>
        <v>#N/A</v>
      </c>
      <c r="J100" s="403" t="str">
        <f>IF($D100="","", VLOOKUP($D100,'Final Update'!$P$21:$AD1000,Column(L98),False))</f>
        <v>#N/A</v>
      </c>
      <c r="K100" s="404" t="str">
        <f>IF($D100="","", VLOOKUP($D100,'Final Update'!$P$21:$AD1000,Column(M98),False))</f>
        <v>#N/A</v>
      </c>
      <c r="L100" s="404" t="str">
        <f>IF($D100="","", VLOOKUP($D100,'Final Update'!$P$21:$AD1000,Column(N98),False))</f>
        <v>#N/A</v>
      </c>
      <c r="M100" s="403" t="str">
        <f>IF($D100="","", VLOOKUP($D100,'Final Update'!$P$21:$AD1000,Column(O98),False))</f>
        <v>#N/A</v>
      </c>
      <c r="N100" s="403" t="str">
        <f>IF($D100="","", VLOOKUP($D100,'Final Update'!$P$21:$AD1000,Column(C98),False))</f>
        <v>#N/A</v>
      </c>
      <c r="O100" s="94"/>
      <c r="P100" s="94"/>
      <c r="Q100" s="94"/>
      <c r="R100" s="94"/>
      <c r="S100" s="94"/>
      <c r="T100" s="94"/>
      <c r="U100" s="94"/>
      <c r="V100" s="94"/>
      <c r="W100" s="94"/>
      <c r="X100" s="94"/>
      <c r="Y100" s="94"/>
      <c r="Z100" s="94"/>
    </row>
    <row r="101">
      <c r="A101" s="94"/>
      <c r="B101" s="396">
        <f>Projections!$AK$35</f>
        <v>50</v>
      </c>
      <c r="C101" s="397">
        <v>14.0</v>
      </c>
      <c r="D101" s="407" t="str">
        <f t="array" ref="D101">INDIRECT("Draft!Q"&amp;TEXT(15-A87,"0"))</f>
        <v/>
      </c>
      <c r="E101" s="403" t="str">
        <f>IF($D101="","", VLOOKUP($D101,'Final Update'!$P$21:$AD1000,Column(G99),False))</f>
        <v/>
      </c>
      <c r="F101" s="403" t="str">
        <f>IF($D101="","", VLOOKUP($D101,'Final Update'!$P$21:$AD1000,Column(H99),False))</f>
        <v/>
      </c>
      <c r="G101" s="403" t="str">
        <f>IF($D101="","", VLOOKUP($D101,'Final Update'!$P$21:$AD1000,Column(I99),False))</f>
        <v/>
      </c>
      <c r="H101" s="403" t="str">
        <f>IF($D101="","", VLOOKUP($D101,'Final Update'!$P$21:$AD1000,Column(J99),False))</f>
        <v/>
      </c>
      <c r="I101" s="403" t="str">
        <f>IF($D101="","", VLOOKUP($D101,'Final Update'!$P$21:$AD1000,Column(K99),False))</f>
        <v/>
      </c>
      <c r="J101" s="403" t="str">
        <f>IF($D101="","", VLOOKUP($D101,'Final Update'!$P$21:$AD1000,Column(L99),False))</f>
        <v/>
      </c>
      <c r="K101" s="404" t="str">
        <f>IF($D101="","", VLOOKUP($D101,'Final Update'!$P$21:$AD1000,Column(M99),False))</f>
        <v/>
      </c>
      <c r="L101" s="404" t="str">
        <f>IF($D101="","", VLOOKUP($D101,'Final Update'!$P$21:$AD1000,Column(N99),False))</f>
        <v/>
      </c>
      <c r="M101" s="403" t="str">
        <f>IF($D101="","", VLOOKUP($D101,'Final Update'!$P$21:$AD1000,Column(O99),False))</f>
        <v/>
      </c>
      <c r="N101" s="403" t="str">
        <f>IF($D101="","", VLOOKUP($D101,'Final Update'!$P$21:$AD1000,Column(C99),False))</f>
        <v/>
      </c>
      <c r="O101" s="94"/>
      <c r="P101" s="94"/>
      <c r="Q101" s="94"/>
      <c r="R101" s="94"/>
      <c r="S101" s="94"/>
      <c r="T101" s="94"/>
      <c r="U101" s="94"/>
      <c r="V101" s="94"/>
      <c r="W101" s="94"/>
      <c r="X101" s="94"/>
      <c r="Y101" s="94"/>
      <c r="Z101" s="94"/>
    </row>
    <row r="102">
      <c r="A102" s="392" t="s">
        <v>5</v>
      </c>
      <c r="B102" s="94"/>
      <c r="C102" s="94"/>
      <c r="D102" s="395" t="s">
        <v>1291</v>
      </c>
      <c r="E102" s="409" t="str">
        <f t="shared" ref="E102:J102" si="6">IFERROR(AVERAGE(SUMPRODUCT(E88:E101,$B88:$B101/100))/(SUM(OFFSET($B88,0,0,COUNT(E88:E101)))/100),"")</f>
        <v/>
      </c>
      <c r="F102" s="409" t="str">
        <f t="shared" si="6"/>
        <v/>
      </c>
      <c r="G102" s="409" t="str">
        <f t="shared" si="6"/>
        <v/>
      </c>
      <c r="H102" s="409" t="str">
        <f t="shared" si="6"/>
        <v/>
      </c>
      <c r="I102" s="410" t="str">
        <f t="shared" si="6"/>
        <v/>
      </c>
      <c r="J102" s="409" t="str">
        <f t="shared" si="6"/>
        <v/>
      </c>
      <c r="K102" s="409">
        <f t="array" ref="K102">IFERROR(100*SUMPRODUCT(IFERROR(VLOOKUP($D88:$D101,UpdateHashtag!$C:$S,6,False),"")*$B88:$B101/100)/SUMPRODUCT(IFERROR(VLOOKUP($D88:$D101,UpdateHashtag!$C:$S,17,False),"")*$B88:$B101/100),"")</f>
        <v>47.37827715</v>
      </c>
      <c r="L102" s="409">
        <f t="array" ref="L102">IFERROR(100*SUMPRODUCT(IFERROR(VLOOKUP($D88:$D101,UpdateHashtag!$C:$T,8,False),"")*$B88:$B101/100)/SUMPRODUCT(IFERROR(VLOOKUP($D88:$D101,UpdateHashtag!$C:$T,18,False),"")*$B88:$B101/100),"")</f>
        <v>78.6637931</v>
      </c>
      <c r="M102" s="409" t="str">
        <f>IFERROR(AVERAGE(SUMPRODUCT(M88:M101,$B88:$B101/100))/(SUM(OFFSET($B88,0,0,COUNT(M88:M101)))/100),"")</f>
        <v/>
      </c>
      <c r="N102" s="347" t="s">
        <v>116</v>
      </c>
      <c r="O102" s="94"/>
      <c r="P102" s="94"/>
      <c r="Q102" s="94"/>
      <c r="R102" s="94"/>
      <c r="S102" s="94"/>
      <c r="T102" s="94"/>
      <c r="U102" s="94"/>
      <c r="V102" s="94"/>
      <c r="W102" s="94"/>
      <c r="X102" s="94"/>
      <c r="Y102" s="94"/>
      <c r="Z102" s="94"/>
    </row>
    <row r="103">
      <c r="A103" s="94"/>
      <c r="B103" s="94"/>
      <c r="C103" s="94"/>
      <c r="D103" s="395" t="s">
        <v>1318</v>
      </c>
      <c r="E103" s="410">
        <f>IFERROR((SUM(OFFSET('All Teams'!$B88,0,0,COUNT('All Teams'!E88:E101)))/100)*('All Teams'!E102-'Final Update'!$B$1)/'Final Update'!$B$2,"")</f>
        <v>-37.86430345</v>
      </c>
      <c r="F103" s="410">
        <f>IFERROR((SUM(OFFSET('All Teams'!$B88,0,0,COUNT('All Teams'!F88:F101)))/100)*('All Teams'!F102-'Final Update'!$C$1)/'Final Update'!$C$2,"")</f>
        <v>-20.88823897</v>
      </c>
      <c r="G103" s="410">
        <f>IFERROR((SUM(OFFSET('All Teams'!$B88,0,0,COUNT('All Teams'!G88:G101)))/100)*('All Teams'!G102-'Final Update'!$D$1)/'Final Update'!$D$2,"")</f>
        <v>-28.56718927</v>
      </c>
      <c r="H103" s="410">
        <f>IFERROR((SUM(OFFSET('All Teams'!$B88,0,0,COUNT('All Teams'!H88:H101)))/100)*('All Teams'!H102-'Final Update'!$E$1)/'Final Update'!$E$2,"")</f>
        <v>-21.51843192</v>
      </c>
      <c r="I103" s="410">
        <f>IFERROR((SUM(OFFSET('All Teams'!$B88,0,0,COUNT('All Teams'!I88:I101)))/100)*('All Teams'!I102-'Final Update'!$F$1)/'Final Update'!$F$2,"")</f>
        <v>-38.88228617</v>
      </c>
      <c r="J103" s="410">
        <f>IFERROR((SUM(OFFSET('All Teams'!$B88,0,0,COUNT('All Teams'!J88:J101)))/100)*('All Teams'!J102-'Final Update'!$G$1)/'Final Update'!$G$2,"")</f>
        <v>-15.94910581</v>
      </c>
      <c r="K103" s="410">
        <f t="array" ref="K103">SUMPRODUCT(IFERROR(VLOOKUP($D88:$D101,'Final Update'!$A$4:$L$403,8,False)*$B88:$B101/100,""))</f>
        <v>-4.37156729</v>
      </c>
      <c r="L103" s="410">
        <f t="array" ref="L103">SUMPRODUCT(IFERROR(VLOOKUP($D88:$D101,'Final Update'!$A$4:$L$403,10,False)*$B88:$B101/100,""))</f>
        <v>-1.12796053</v>
      </c>
      <c r="M103" s="410">
        <f>IFERROR(-(SUM(OFFSET('All Teams'!$B88,0,0,COUNT('All Teams'!M88:M101)))/100)*('All Teams'!M102-'Final Update'!$L$1)/'Final Update'!$L$2,"")</f>
        <v>20.81462846</v>
      </c>
      <c r="N103" s="94">
        <f t="array" ref="N103">SUM(IFERROR(vlookup(D88:D101,'Final Update'!$P$21:$S$620,4,0),""))</f>
        <v>-4.021362185</v>
      </c>
      <c r="O103" s="94"/>
      <c r="P103" s="94"/>
      <c r="Q103" s="94"/>
      <c r="R103" s="94"/>
      <c r="S103" s="94"/>
      <c r="T103" s="94"/>
      <c r="U103" s="94"/>
      <c r="V103" s="94"/>
      <c r="W103" s="94"/>
      <c r="X103" s="94"/>
      <c r="Y103" s="94"/>
      <c r="Z103" s="94"/>
    </row>
    <row r="104">
      <c r="A104" s="393">
        <v>7.0</v>
      </c>
      <c r="B104" s="394" t="s">
        <v>256</v>
      </c>
      <c r="C104" s="395" t="s">
        <v>258</v>
      </c>
      <c r="D104" s="394" t="s">
        <v>3</v>
      </c>
      <c r="E104" s="394" t="s">
        <v>13</v>
      </c>
      <c r="F104" s="394" t="s">
        <v>99</v>
      </c>
      <c r="G104" s="394" t="s">
        <v>101</v>
      </c>
      <c r="H104" s="394" t="s">
        <v>15</v>
      </c>
      <c r="I104" s="394" t="s">
        <v>16</v>
      </c>
      <c r="J104" s="394" t="s">
        <v>17</v>
      </c>
      <c r="K104" s="394" t="s">
        <v>9</v>
      </c>
      <c r="L104" s="394" t="s">
        <v>11</v>
      </c>
      <c r="M104" s="394" t="s">
        <v>18</v>
      </c>
      <c r="N104" s="394" t="s">
        <v>4</v>
      </c>
      <c r="O104" s="394" t="s">
        <v>259</v>
      </c>
      <c r="P104" s="394" t="s">
        <v>4</v>
      </c>
      <c r="Q104" s="94"/>
      <c r="R104" s="94"/>
      <c r="S104" s="94"/>
      <c r="T104" s="94"/>
      <c r="U104" s="94"/>
      <c r="V104" s="94"/>
      <c r="W104" s="94"/>
      <c r="X104" s="94"/>
      <c r="Y104" s="94"/>
      <c r="Z104" s="94"/>
    </row>
    <row r="105">
      <c r="A105" s="94"/>
      <c r="B105" s="396">
        <f>Projections!$AK$22</f>
        <v>100</v>
      </c>
      <c r="C105" s="397">
        <v>1.0</v>
      </c>
      <c r="D105" s="398" t="str">
        <f t="array" ref="D105">INDIRECT("Draft!D"&amp;TEXT(A104+2,"0"))</f>
        <v>Anthony Edwards</v>
      </c>
      <c r="E105" s="399">
        <f>IF($D105="","", VLOOKUP($D105,'Final Update'!$P$21:$AD1000,Column(G103),False))</f>
        <v>26.2</v>
      </c>
      <c r="F105" s="399">
        <f>IF($D105="","", VLOOKUP($D105,'Final Update'!$P$21:$AD1000,Column(H103),False))</f>
        <v>2.5</v>
      </c>
      <c r="G105" s="399">
        <f>IF($D105="","", VLOOKUP($D105,'Final Update'!$P$21:$AD1000,Column(I103),False))</f>
        <v>5.5</v>
      </c>
      <c r="H105" s="399">
        <f>IF($D105="","", VLOOKUP($D105,'Final Update'!$P$21:$AD1000,Column(J103),False))</f>
        <v>5.2</v>
      </c>
      <c r="I105" s="399">
        <f>IF($D105="","", VLOOKUP($D105,'Final Update'!$P$21:$AD1000,Column(K103),False))</f>
        <v>1.4</v>
      </c>
      <c r="J105" s="399">
        <f>IF($D105="","", VLOOKUP($D105,'Final Update'!$P$21:$AD1000,Column(L103),False))</f>
        <v>0.7</v>
      </c>
      <c r="K105" s="400">
        <f>IF($D105="","", VLOOKUP($D105,'Final Update'!$P$21:$AD1000,Column(M103),False))</f>
        <v>0.46</v>
      </c>
      <c r="L105" s="400">
        <f>IF($D105="","", VLOOKUP($D105,'Final Update'!$P$21:$AD1000,Column(N103),False))</f>
        <v>0.823</v>
      </c>
      <c r="M105" s="399">
        <f>IF($D105="","", VLOOKUP($D105,'Final Update'!$P$21:$AD1000,Column(O103),False))</f>
        <v>3.1</v>
      </c>
      <c r="N105" s="399" t="str">
        <f>IF($D105="","", VLOOKUP($D105,'Final Update'!$P$21:$AD1000,Column(C103),False))</f>
        <v>SG,SF</v>
      </c>
      <c r="O105" s="397">
        <f t="array" ref="O105">COUNTIF(FIND(P105,$N105:$N118),"&gt;0")</f>
        <v>3</v>
      </c>
      <c r="P105" s="398" t="s">
        <v>85</v>
      </c>
      <c r="Q105" s="94"/>
      <c r="R105" s="94"/>
      <c r="S105" s="94"/>
      <c r="T105" s="94"/>
      <c r="U105" s="94"/>
      <c r="V105" s="94"/>
      <c r="W105" s="94"/>
      <c r="X105" s="94"/>
      <c r="Y105" s="94"/>
      <c r="Z105" s="94"/>
    </row>
    <row r="106">
      <c r="A106" s="94"/>
      <c r="B106" s="396">
        <f>Projections!$AK$23</f>
        <v>100</v>
      </c>
      <c r="C106" s="397">
        <v>2.0</v>
      </c>
      <c r="D106" s="401" t="str">
        <f t="array" ref="D106">INDIRECT("Draft!E"&amp;TEXT(15-A104,"0"))</f>
        <v>Donovan Mitchell</v>
      </c>
      <c r="E106" s="399">
        <f>IF($D106="","", VLOOKUP($D106,'Final Update'!$P$21:$AD1000,Column(G104),False))</f>
        <v>26.2</v>
      </c>
      <c r="F106" s="399">
        <f>IF($D106="","", VLOOKUP($D106,'Final Update'!$P$21:$AD1000,Column(H104),False))</f>
        <v>3.3</v>
      </c>
      <c r="G106" s="399">
        <f>IF($D106="","", VLOOKUP($D106,'Final Update'!$P$21:$AD1000,Column(I104),False))</f>
        <v>4.4</v>
      </c>
      <c r="H106" s="399">
        <f>IF($D106="","", VLOOKUP($D106,'Final Update'!$P$21:$AD1000,Column(J104),False))</f>
        <v>5.4</v>
      </c>
      <c r="I106" s="399">
        <f>IF($D106="","", VLOOKUP($D106,'Final Update'!$P$21:$AD1000,Column(K104),False))</f>
        <v>1.6</v>
      </c>
      <c r="J106" s="399">
        <f>IF($D106="","", VLOOKUP($D106,'Final Update'!$P$21:$AD1000,Column(L104),False))</f>
        <v>0.4</v>
      </c>
      <c r="K106" s="400">
        <f>IF($D106="","", VLOOKUP($D106,'Final Update'!$P$21:$AD1000,Column(M104),False))</f>
        <v>0.468</v>
      </c>
      <c r="L106" s="400">
        <f>IF($D106="","", VLOOKUP($D106,'Final Update'!$P$21:$AD1000,Column(N104),False))</f>
        <v>0.866</v>
      </c>
      <c r="M106" s="399">
        <f>IF($D106="","", VLOOKUP($D106,'Final Update'!$P$21:$AD1000,Column(O104),False))</f>
        <v>2.8</v>
      </c>
      <c r="N106" s="399" t="str">
        <f>IF($D106="","", VLOOKUP($D106,'Final Update'!$P$21:$AD1000,Column(C104),False))</f>
        <v>PG,SG</v>
      </c>
      <c r="O106" s="397">
        <f t="array" ref="O106">COUNTIF(FIND(P106,$N105:$N118),"&gt;0")</f>
        <v>6</v>
      </c>
      <c r="P106" s="398" t="s">
        <v>88</v>
      </c>
      <c r="Q106" s="94"/>
      <c r="R106" s="94"/>
      <c r="S106" s="94"/>
      <c r="T106" s="94"/>
      <c r="U106" s="94"/>
      <c r="V106" s="94"/>
      <c r="W106" s="94"/>
      <c r="X106" s="94"/>
      <c r="Y106" s="94"/>
      <c r="Z106" s="94"/>
    </row>
    <row r="107">
      <c r="A107" s="94"/>
      <c r="B107" s="396">
        <f>Projections!$AK$24</f>
        <v>100</v>
      </c>
      <c r="C107" s="397">
        <v>3.0</v>
      </c>
      <c r="D107" s="402" t="str">
        <f t="array" ref="D107">INDIRECT("Draft!F"&amp;TEXT(A104+2,"0"))</f>
        <v>Jaren Jackson Jr.</v>
      </c>
      <c r="E107" s="403">
        <f>IF($D107="","", VLOOKUP($D107,'Final Update'!$P$21:$AD1000,Column(G105),False))</f>
        <v>21.3</v>
      </c>
      <c r="F107" s="403">
        <f>IF($D107="","", VLOOKUP($D107,'Final Update'!$P$21:$AD1000,Column(H105),False))</f>
        <v>1.7</v>
      </c>
      <c r="G107" s="403">
        <f>IF($D107="","", VLOOKUP($D107,'Final Update'!$P$21:$AD1000,Column(I105),False))</f>
        <v>6.3</v>
      </c>
      <c r="H107" s="403">
        <f>IF($D107="","", VLOOKUP($D107,'Final Update'!$P$21:$AD1000,Column(J105),False))</f>
        <v>1.7</v>
      </c>
      <c r="I107" s="403">
        <f>IF($D107="","", VLOOKUP($D107,'Final Update'!$P$21:$AD1000,Column(K105),False))</f>
        <v>1.2</v>
      </c>
      <c r="J107" s="403">
        <f>IF($D107="","", VLOOKUP($D107,'Final Update'!$P$21:$AD1000,Column(L105),False))</f>
        <v>1.9</v>
      </c>
      <c r="K107" s="404">
        <f>IF($D107="","", VLOOKUP($D107,'Final Update'!$P$21:$AD1000,Column(M105),False))</f>
        <v>0.47</v>
      </c>
      <c r="L107" s="404">
        <f>IF($D107="","", VLOOKUP($D107,'Final Update'!$P$21:$AD1000,Column(N105),False))</f>
        <v>0.8</v>
      </c>
      <c r="M107" s="403">
        <f>IF($D107="","", VLOOKUP($D107,'Final Update'!$P$21:$AD1000,Column(O105),False))</f>
        <v>2.1</v>
      </c>
      <c r="N107" s="403" t="str">
        <f>IF($D107="","", VLOOKUP($D107,'Final Update'!$P$21:$AD1000,Column(C105),False))</f>
        <v>PF,C</v>
      </c>
      <c r="O107" s="397">
        <f t="array" ref="O107">COUNTIF(FIND(P107,$N105:$N118),"&gt;0")</f>
        <v>6</v>
      </c>
      <c r="P107" s="398" t="s">
        <v>90</v>
      </c>
      <c r="Q107" s="94"/>
      <c r="R107" s="94"/>
      <c r="S107" s="94"/>
      <c r="T107" s="94"/>
      <c r="U107" s="94"/>
      <c r="V107" s="94"/>
      <c r="W107" s="94"/>
      <c r="X107" s="94"/>
      <c r="Y107" s="94"/>
      <c r="Z107" s="94"/>
    </row>
    <row r="108">
      <c r="A108" s="94"/>
      <c r="B108" s="396">
        <f>Projections!$AK$25</f>
        <v>100</v>
      </c>
      <c r="C108" s="397">
        <v>4.0</v>
      </c>
      <c r="D108" s="405" t="str">
        <f t="array" ref="D108">INDIRECT("Draft!G"&amp;TEXT(15-A104,"0"))</f>
        <v>Austin Reaves</v>
      </c>
      <c r="E108" s="403">
        <f>IF($D108="","", VLOOKUP($D108,'Final Update'!$P$21:$AD1000,Column(G106),False))</f>
        <v>15.7</v>
      </c>
      <c r="F108" s="403">
        <f>IF($D108="","", VLOOKUP($D108,'Final Update'!$P$21:$AD1000,Column(H106),False))</f>
        <v>2</v>
      </c>
      <c r="G108" s="403">
        <f>IF($D108="","", VLOOKUP($D108,'Final Update'!$P$21:$AD1000,Column(I106),False))</f>
        <v>4</v>
      </c>
      <c r="H108" s="403">
        <f>IF($D108="","", VLOOKUP($D108,'Final Update'!$P$21:$AD1000,Column(J106),False))</f>
        <v>5.1</v>
      </c>
      <c r="I108" s="403">
        <f>IF($D108="","", VLOOKUP($D108,'Final Update'!$P$21:$AD1000,Column(K106),False))</f>
        <v>0.8</v>
      </c>
      <c r="J108" s="403">
        <f>IF($D108="","", VLOOKUP($D108,'Final Update'!$P$21:$AD1000,Column(L106),False))</f>
        <v>0.3</v>
      </c>
      <c r="K108" s="404">
        <f>IF($D108="","", VLOOKUP($D108,'Final Update'!$P$21:$AD1000,Column(M106),False))</f>
        <v>0.482</v>
      </c>
      <c r="L108" s="404">
        <f>IF($D108="","", VLOOKUP($D108,'Final Update'!$P$21:$AD1000,Column(N106),False))</f>
        <v>0.859</v>
      </c>
      <c r="M108" s="403">
        <f>IF($D108="","", VLOOKUP($D108,'Final Update'!$P$21:$AD1000,Column(O106),False))</f>
        <v>2</v>
      </c>
      <c r="N108" s="403" t="str">
        <f>IF($D108="","", VLOOKUP($D108,'Final Update'!$P$21:$AD1000,Column(C106),False))</f>
        <v>PG,SG</v>
      </c>
      <c r="O108" s="397">
        <f t="array" ref="O108">COUNTIF(FIND(P108,$N105:$N118),"&gt;0")</f>
        <v>7</v>
      </c>
      <c r="P108" s="398" t="s">
        <v>92</v>
      </c>
      <c r="Q108" s="94"/>
      <c r="R108" s="94"/>
      <c r="S108" s="94"/>
      <c r="T108" s="94"/>
      <c r="U108" s="94"/>
      <c r="V108" s="94"/>
      <c r="W108" s="94"/>
      <c r="X108" s="94"/>
      <c r="Y108" s="94"/>
      <c r="Z108" s="94"/>
    </row>
    <row r="109">
      <c r="A109" s="94"/>
      <c r="B109" s="396">
        <f>Projections!$AK$26</f>
        <v>100</v>
      </c>
      <c r="C109" s="397">
        <v>5.0</v>
      </c>
      <c r="D109" s="406" t="str">
        <f t="array" ref="D109">INDIRECT("Draft!H"&amp;TEXT(A104+2,"0"))</f>
        <v>Coby White</v>
      </c>
      <c r="E109" s="403">
        <f>IF($D109="","", VLOOKUP($D109,'Final Update'!$P$21:$AD1000,Column(G107),False))</f>
        <v>18</v>
      </c>
      <c r="F109" s="403">
        <f>IF($D109="","", VLOOKUP($D109,'Final Update'!$P$21:$AD1000,Column(H107),False))</f>
        <v>2.7</v>
      </c>
      <c r="G109" s="403">
        <f>IF($D109="","", VLOOKUP($D109,'Final Update'!$P$21:$AD1000,Column(I107),False))</f>
        <v>4.6</v>
      </c>
      <c r="H109" s="403">
        <f>IF($D109="","", VLOOKUP($D109,'Final Update'!$P$21:$AD1000,Column(J107),False))</f>
        <v>4.9</v>
      </c>
      <c r="I109" s="403">
        <f>IF($D109="","", VLOOKUP($D109,'Final Update'!$P$21:$AD1000,Column(K107),False))</f>
        <v>0.9</v>
      </c>
      <c r="J109" s="403">
        <f>IF($D109="","", VLOOKUP($D109,'Final Update'!$P$21:$AD1000,Column(L107),False))</f>
        <v>0.2</v>
      </c>
      <c r="K109" s="404">
        <f>IF($D109="","", VLOOKUP($D109,'Final Update'!$P$21:$AD1000,Column(M107),False))</f>
        <v>0.446</v>
      </c>
      <c r="L109" s="404">
        <f>IF($D109="","", VLOOKUP($D109,'Final Update'!$P$21:$AD1000,Column(N107),False))</f>
        <v>0.843</v>
      </c>
      <c r="M109" s="403">
        <f>IF($D109="","", VLOOKUP($D109,'Final Update'!$P$21:$AD1000,Column(O107),False))</f>
        <v>2</v>
      </c>
      <c r="N109" s="403" t="str">
        <f>IF($D109="","", VLOOKUP($D109,'Final Update'!$P$21:$AD1000,Column(C107),False))</f>
        <v>PG,SG</v>
      </c>
      <c r="O109" s="397">
        <f t="array" ref="O109">COUNTIF(FIND(P109,$N105:$N118),"&gt;0")</f>
        <v>3</v>
      </c>
      <c r="P109" s="398" t="s">
        <v>97</v>
      </c>
      <c r="Q109" s="94"/>
      <c r="R109" s="94"/>
      <c r="S109" s="94"/>
      <c r="T109" s="94"/>
      <c r="U109" s="94"/>
      <c r="V109" s="94"/>
      <c r="W109" s="94"/>
      <c r="X109" s="94"/>
      <c r="Y109" s="94"/>
      <c r="Z109" s="94"/>
    </row>
    <row r="110">
      <c r="A110" s="94"/>
      <c r="B110" s="396">
        <f>Projections!$AK$27</f>
        <v>100</v>
      </c>
      <c r="C110" s="397">
        <v>6.0</v>
      </c>
      <c r="D110" s="407" t="str">
        <f t="array" ref="D110">INDIRECT("Draft!I"&amp;TEXT(15-A104,"0"))</f>
        <v>Ausar Thompson</v>
      </c>
      <c r="E110" s="403">
        <f>IF($D110="","", VLOOKUP($D110,'Final Update'!$P$21:$AD1000,Column(G108),False))</f>
        <v>10.6</v>
      </c>
      <c r="F110" s="403">
        <f>IF($D110="","", VLOOKUP($D110,'Final Update'!$P$21:$AD1000,Column(H108),False))</f>
        <v>0.4</v>
      </c>
      <c r="G110" s="403">
        <f>IF($D110="","", VLOOKUP($D110,'Final Update'!$P$21:$AD1000,Column(I108),False))</f>
        <v>7.2</v>
      </c>
      <c r="H110" s="403">
        <f>IF($D110="","", VLOOKUP($D110,'Final Update'!$P$21:$AD1000,Column(J108),False))</f>
        <v>2.2</v>
      </c>
      <c r="I110" s="403">
        <f>IF($D110="","", VLOOKUP($D110,'Final Update'!$P$21:$AD1000,Column(K108),False))</f>
        <v>1.2</v>
      </c>
      <c r="J110" s="403">
        <f>IF($D110="","", VLOOKUP($D110,'Final Update'!$P$21:$AD1000,Column(L108),False))</f>
        <v>1.1</v>
      </c>
      <c r="K110" s="404">
        <f>IF($D110="","", VLOOKUP($D110,'Final Update'!$P$21:$AD1000,Column(M108),False))</f>
        <v>0.493</v>
      </c>
      <c r="L110" s="404">
        <f>IF($D110="","", VLOOKUP($D110,'Final Update'!$P$21:$AD1000,Column(N108),False))</f>
        <v>0.624</v>
      </c>
      <c r="M110" s="403">
        <f>IF($D110="","", VLOOKUP($D110,'Final Update'!$P$21:$AD1000,Column(O108),False))</f>
        <v>1.5</v>
      </c>
      <c r="N110" s="403" t="str">
        <f>IF($D110="","", VLOOKUP($D110,'Final Update'!$P$21:$AD1000,Column(C108),False))</f>
        <v>SF,PF</v>
      </c>
      <c r="O110" s="94"/>
      <c r="P110" s="94"/>
      <c r="Q110" s="94"/>
      <c r="R110" s="94"/>
      <c r="S110" s="94"/>
      <c r="T110" s="94"/>
      <c r="U110" s="94"/>
      <c r="V110" s="94"/>
      <c r="W110" s="94"/>
      <c r="X110" s="94"/>
      <c r="Y110" s="94"/>
      <c r="Z110" s="94"/>
    </row>
    <row r="111">
      <c r="A111" s="94"/>
      <c r="B111" s="396">
        <f>Projections!$AK$28</f>
        <v>100</v>
      </c>
      <c r="C111" s="397">
        <v>7.0</v>
      </c>
      <c r="D111" s="406" t="str">
        <f t="array" ref="D111">INDIRECT("Draft!J"&amp;TEXT(A104+2,"0"))</f>
        <v>Tari Eason</v>
      </c>
      <c r="E111" s="403">
        <f>IF($D111="","", VLOOKUP($D111,'Final Update'!$P$21:$AD1000,Column(G109),False))</f>
        <v>9.8</v>
      </c>
      <c r="F111" s="403">
        <f>IF($D111="","", VLOOKUP($D111,'Final Update'!$P$21:$AD1000,Column(H109),False))</f>
        <v>0.8</v>
      </c>
      <c r="G111" s="403">
        <f>IF($D111="","", VLOOKUP($D111,'Final Update'!$P$21:$AD1000,Column(I109),False))</f>
        <v>7.1</v>
      </c>
      <c r="H111" s="403">
        <f>IF($D111="","", VLOOKUP($D111,'Final Update'!$P$21:$AD1000,Column(J109),False))</f>
        <v>1.2</v>
      </c>
      <c r="I111" s="403">
        <f>IF($D111="","", VLOOKUP($D111,'Final Update'!$P$21:$AD1000,Column(K109),False))</f>
        <v>1.3</v>
      </c>
      <c r="J111" s="403">
        <f>IF($D111="","", VLOOKUP($D111,'Final Update'!$P$21:$AD1000,Column(L109),False))</f>
        <v>0.7</v>
      </c>
      <c r="K111" s="404">
        <f>IF($D111="","", VLOOKUP($D111,'Final Update'!$P$21:$AD1000,Column(M109),False))</f>
        <v>0.457</v>
      </c>
      <c r="L111" s="404">
        <f>IF($D111="","", VLOOKUP($D111,'Final Update'!$P$21:$AD1000,Column(N109),False))</f>
        <v>0.732</v>
      </c>
      <c r="M111" s="403">
        <f>IF($D111="","", VLOOKUP($D111,'Final Update'!$P$21:$AD1000,Column(O109),False))</f>
        <v>1.2</v>
      </c>
      <c r="N111" s="403" t="str">
        <f>IF($D111="","", VLOOKUP($D111,'Final Update'!$P$21:$AD1000,Column(C109),False))</f>
        <v>SF,PF</v>
      </c>
      <c r="O111" s="94"/>
      <c r="P111" s="94"/>
      <c r="Q111" s="94"/>
      <c r="R111" s="94"/>
      <c r="S111" s="94"/>
      <c r="T111" s="94"/>
      <c r="U111" s="94"/>
      <c r="V111" s="94"/>
      <c r="W111" s="94"/>
      <c r="X111" s="94"/>
      <c r="Y111" s="94"/>
      <c r="Z111" s="94"/>
    </row>
    <row r="112">
      <c r="A112" s="94"/>
      <c r="B112" s="396">
        <f>Projections!$AK$29</f>
        <v>100</v>
      </c>
      <c r="C112" s="397">
        <v>8.0</v>
      </c>
      <c r="D112" s="407" t="str">
        <f t="array" ref="D112">INDIRECT("Draft!K"&amp;TEXT(15-A104,"0"))</f>
        <v>Draymond Green</v>
      </c>
      <c r="E112" s="403">
        <f>IF($D112="","", VLOOKUP($D112,'Final Update'!$P$21:$AD1000,Column(G110),False))</f>
        <v>8.2</v>
      </c>
      <c r="F112" s="403">
        <f>IF($D112="","", VLOOKUP($D112,'Final Update'!$P$21:$AD1000,Column(H110),False))</f>
        <v>0.7</v>
      </c>
      <c r="G112" s="403">
        <f>IF($D112="","", VLOOKUP($D112,'Final Update'!$P$21:$AD1000,Column(I110),False))</f>
        <v>6.9</v>
      </c>
      <c r="H112" s="403">
        <f>IF($D112="","", VLOOKUP($D112,'Final Update'!$P$21:$AD1000,Column(J110),False))</f>
        <v>6.2</v>
      </c>
      <c r="I112" s="403">
        <f>IF($D112="","", VLOOKUP($D112,'Final Update'!$P$21:$AD1000,Column(K110),False))</f>
        <v>1.1</v>
      </c>
      <c r="J112" s="403">
        <f>IF($D112="","", VLOOKUP($D112,'Final Update'!$P$21:$AD1000,Column(L110),False))</f>
        <v>0.8</v>
      </c>
      <c r="K112" s="404">
        <f>IF($D112="","", VLOOKUP($D112,'Final Update'!$P$21:$AD1000,Column(M110),False))</f>
        <v>0.514</v>
      </c>
      <c r="L112" s="404">
        <f>IF($D112="","", VLOOKUP($D112,'Final Update'!$P$21:$AD1000,Column(N110),False))</f>
        <v>0.713</v>
      </c>
      <c r="M112" s="403">
        <f>IF($D112="","", VLOOKUP($D112,'Final Update'!$P$21:$AD1000,Column(O110),False))</f>
        <v>2.5</v>
      </c>
      <c r="N112" s="403" t="str">
        <f>IF($D112="","", VLOOKUP($D112,'Final Update'!$P$21:$AD1000,Column(C110),False))</f>
        <v>PF,C</v>
      </c>
      <c r="O112" s="94"/>
      <c r="P112" s="94"/>
      <c r="Q112" s="94"/>
      <c r="R112" s="94"/>
      <c r="S112" s="94"/>
      <c r="T112" s="94"/>
      <c r="U112" s="94"/>
      <c r="V112" s="94"/>
      <c r="W112" s="94"/>
      <c r="X112" s="94"/>
      <c r="Y112" s="94"/>
      <c r="Z112" s="94"/>
    </row>
    <row r="113">
      <c r="A113" s="94"/>
      <c r="B113" s="396">
        <f>Projections!$AK$30</f>
        <v>100</v>
      </c>
      <c r="C113" s="397">
        <v>9.0</v>
      </c>
      <c r="D113" s="406" t="str">
        <f t="array" ref="D113">INDIRECT("Draft!L"&amp;TEXT(A104+2,"0"))</f>
        <v>Brandin Podziemski</v>
      </c>
      <c r="E113" s="403">
        <f>IF($D113="","", VLOOKUP($D113,'Final Update'!$P$21:$AD1000,Column(G111),False))</f>
        <v>11.2</v>
      </c>
      <c r="F113" s="403">
        <f>IF($D113="","", VLOOKUP($D113,'Final Update'!$P$21:$AD1000,Column(H111),False))</f>
        <v>1.5</v>
      </c>
      <c r="G113" s="403">
        <f>IF($D113="","", VLOOKUP($D113,'Final Update'!$P$21:$AD1000,Column(I111),False))</f>
        <v>6.9</v>
      </c>
      <c r="H113" s="403">
        <f>IF($D113="","", VLOOKUP($D113,'Final Update'!$P$21:$AD1000,Column(J111),False))</f>
        <v>4.4</v>
      </c>
      <c r="I113" s="403">
        <f>IF($D113="","", VLOOKUP($D113,'Final Update'!$P$21:$AD1000,Column(K111),False))</f>
        <v>1.2</v>
      </c>
      <c r="J113" s="403">
        <f>IF($D113="","", VLOOKUP($D113,'Final Update'!$P$21:$AD1000,Column(L111),False))</f>
        <v>0.2</v>
      </c>
      <c r="K113" s="404">
        <f>IF($D113="","", VLOOKUP($D113,'Final Update'!$P$21:$AD1000,Column(M111),False))</f>
        <v>0.459</v>
      </c>
      <c r="L113" s="404">
        <f>IF($D113="","", VLOOKUP($D113,'Final Update'!$P$21:$AD1000,Column(N111),False))</f>
        <v>0.664</v>
      </c>
      <c r="M113" s="403">
        <f>IF($D113="","", VLOOKUP($D113,'Final Update'!$P$21:$AD1000,Column(O111),False))</f>
        <v>1.4</v>
      </c>
      <c r="N113" s="403" t="str">
        <f>IF($D113="","", VLOOKUP($D113,'Final Update'!$P$21:$AD1000,Column(C111),False))</f>
        <v>SG</v>
      </c>
      <c r="O113" s="94"/>
      <c r="P113" s="94"/>
      <c r="Q113" s="94"/>
      <c r="R113" s="94"/>
      <c r="S113" s="94"/>
      <c r="T113" s="94"/>
      <c r="U113" s="94"/>
      <c r="V113" s="94"/>
      <c r="W113" s="94"/>
      <c r="X113" s="94"/>
      <c r="Y113" s="94"/>
      <c r="Z113" s="94"/>
    </row>
    <row r="114">
      <c r="A114" s="94"/>
      <c r="B114" s="396">
        <f>Projections!$AK$31</f>
        <v>100</v>
      </c>
      <c r="C114" s="397">
        <v>10.0</v>
      </c>
      <c r="D114" s="407" t="str">
        <f t="array" ref="D114">INDIRECT("Draft!M"&amp;TEXT(15-A104,"0"))</f>
        <v>Donte DiVincenzo</v>
      </c>
      <c r="E114" s="403">
        <f>IF($D114="","", VLOOKUP($D114,'Final Update'!$P$21:$AD1000,Column(G112),False))</f>
        <v>12.7</v>
      </c>
      <c r="F114" s="403">
        <f>IF($D114="","", VLOOKUP($D114,'Final Update'!$P$21:$AD1000,Column(H112),False))</f>
        <v>2.7</v>
      </c>
      <c r="G114" s="403">
        <f>IF($D114="","", VLOOKUP($D114,'Final Update'!$P$21:$AD1000,Column(I112),False))</f>
        <v>3.9</v>
      </c>
      <c r="H114" s="403">
        <f>IF($D114="","", VLOOKUP($D114,'Final Update'!$P$21:$AD1000,Column(J112),False))</f>
        <v>3</v>
      </c>
      <c r="I114" s="403">
        <f>IF($D114="","", VLOOKUP($D114,'Final Update'!$P$21:$AD1000,Column(K112),False))</f>
        <v>1.3</v>
      </c>
      <c r="J114" s="403">
        <f>IF($D114="","", VLOOKUP($D114,'Final Update'!$P$21:$AD1000,Column(L112),False))</f>
        <v>0.3</v>
      </c>
      <c r="K114" s="404">
        <f>IF($D114="","", VLOOKUP($D114,'Final Update'!$P$21:$AD1000,Column(M112),False))</f>
        <v>0.444</v>
      </c>
      <c r="L114" s="404">
        <f>IF($D114="","", VLOOKUP($D114,'Final Update'!$P$21:$AD1000,Column(N112),False))</f>
        <v>0.786</v>
      </c>
      <c r="M114" s="403">
        <f>IF($D114="","", VLOOKUP($D114,'Final Update'!$P$21:$AD1000,Column(O112),False))</f>
        <v>1.4</v>
      </c>
      <c r="N114" s="403" t="str">
        <f>IF($D114="","", VLOOKUP($D114,'Final Update'!$P$21:$AD1000,Column(C112),False))</f>
        <v>SG,SF</v>
      </c>
      <c r="O114" s="94"/>
      <c r="P114" s="94"/>
      <c r="Q114" s="94"/>
      <c r="R114" s="94"/>
      <c r="S114" s="94"/>
      <c r="T114" s="94"/>
      <c r="U114" s="94"/>
      <c r="V114" s="94"/>
      <c r="W114" s="94"/>
      <c r="X114" s="94"/>
      <c r="Y114" s="94"/>
      <c r="Z114" s="94"/>
    </row>
    <row r="115">
      <c r="A115" s="94"/>
      <c r="B115" s="396">
        <f>Projections!$AK$32</f>
        <v>100</v>
      </c>
      <c r="C115" s="397">
        <v>11.0</v>
      </c>
      <c r="D115" s="406" t="str">
        <f t="array" ref="D115">INDIRECT("Draft!N"&amp;TEXT(A104+2,"0"))</f>
        <v>Aaron Nesmith</v>
      </c>
      <c r="E115" s="403">
        <f>IF($D115="","", VLOOKUP($D115,'Final Update'!$P$21:$AD1000,Column(G113),False))</f>
        <v>11.9</v>
      </c>
      <c r="F115" s="403">
        <f>IF($D115="","", VLOOKUP($D115,'Final Update'!$P$21:$AD1000,Column(H113),False))</f>
        <v>1.9</v>
      </c>
      <c r="G115" s="403">
        <f>IF($D115="","", VLOOKUP($D115,'Final Update'!$P$21:$AD1000,Column(I113),False))</f>
        <v>4.1</v>
      </c>
      <c r="H115" s="403">
        <f>IF($D115="","", VLOOKUP($D115,'Final Update'!$P$21:$AD1000,Column(J113),False))</f>
        <v>1.5</v>
      </c>
      <c r="I115" s="403">
        <f>IF($D115="","", VLOOKUP($D115,'Final Update'!$P$21:$AD1000,Column(K113),False))</f>
        <v>0.9</v>
      </c>
      <c r="J115" s="403">
        <f>IF($D115="","", VLOOKUP($D115,'Final Update'!$P$21:$AD1000,Column(L113),False))</f>
        <v>0.6</v>
      </c>
      <c r="K115" s="404">
        <f>IF($D115="","", VLOOKUP($D115,'Final Update'!$P$21:$AD1000,Column(M113),False))</f>
        <v>0.477</v>
      </c>
      <c r="L115" s="404">
        <f>IF($D115="","", VLOOKUP($D115,'Final Update'!$P$21:$AD1000,Column(N113),False))</f>
        <v>0.796</v>
      </c>
      <c r="M115" s="403">
        <f>IF($D115="","", VLOOKUP($D115,'Final Update'!$P$21:$AD1000,Column(O113),False))</f>
        <v>1</v>
      </c>
      <c r="N115" s="403" t="str">
        <f>IF($D115="","", VLOOKUP($D115,'Final Update'!$P$21:$AD1000,Column(C113),False))</f>
        <v>SF,PF</v>
      </c>
      <c r="O115" s="94"/>
      <c r="P115" s="94"/>
      <c r="Q115" s="94"/>
      <c r="R115" s="94"/>
      <c r="S115" s="94"/>
      <c r="T115" s="94"/>
      <c r="U115" s="94"/>
      <c r="V115" s="94"/>
      <c r="W115" s="94"/>
      <c r="X115" s="94"/>
      <c r="Y115" s="94"/>
      <c r="Z115" s="94"/>
    </row>
    <row r="116">
      <c r="A116" s="94"/>
      <c r="B116" s="396">
        <f>Projections!$AK$33</f>
        <v>100</v>
      </c>
      <c r="C116" s="397">
        <v>12.0</v>
      </c>
      <c r="D116" s="407" t="str">
        <f t="array" ref="D116">INDIRECT("Draft!O"&amp;TEXT(15-A104,"0"))</f>
        <v>Santi Aldama</v>
      </c>
      <c r="E116" s="403">
        <f>IF($D116="","", VLOOKUP($D116,'Final Update'!$P$21:$AD1000,Column(G114),False))</f>
        <v>9.4</v>
      </c>
      <c r="F116" s="403">
        <f>IF($D116="","", VLOOKUP($D116,'Final Update'!$P$21:$AD1000,Column(H114),False))</f>
        <v>1.4</v>
      </c>
      <c r="G116" s="403">
        <f>IF($D116="","", VLOOKUP($D116,'Final Update'!$P$21:$AD1000,Column(I114),False))</f>
        <v>5.1</v>
      </c>
      <c r="H116" s="403">
        <f>IF($D116="","", VLOOKUP($D116,'Final Update'!$P$21:$AD1000,Column(J114),False))</f>
        <v>1.6</v>
      </c>
      <c r="I116" s="403">
        <f>IF($D116="","", VLOOKUP($D116,'Final Update'!$P$21:$AD1000,Column(K114),False))</f>
        <v>0.6</v>
      </c>
      <c r="J116" s="403">
        <f>IF($D116="","", VLOOKUP($D116,'Final Update'!$P$21:$AD1000,Column(L114),False))</f>
        <v>0.7</v>
      </c>
      <c r="K116" s="404">
        <f>IF($D116="","", VLOOKUP($D116,'Final Update'!$P$21:$AD1000,Column(M114),False))</f>
        <v>0.452</v>
      </c>
      <c r="L116" s="404">
        <f>IF($D116="","", VLOOKUP($D116,'Final Update'!$P$21:$AD1000,Column(N114),False))</f>
        <v>0.702</v>
      </c>
      <c r="M116" s="403">
        <f>IF($D116="","", VLOOKUP($D116,'Final Update'!$P$21:$AD1000,Column(O114),False))</f>
        <v>0.9</v>
      </c>
      <c r="N116" s="403" t="str">
        <f>IF($D116="","", VLOOKUP($D116,'Final Update'!$P$21:$AD1000,Column(C114),False))</f>
        <v>PF,C</v>
      </c>
      <c r="O116" s="94"/>
      <c r="P116" s="94"/>
      <c r="Q116" s="94"/>
      <c r="R116" s="94"/>
      <c r="S116" s="94"/>
      <c r="T116" s="94"/>
      <c r="U116" s="94"/>
      <c r="V116" s="94"/>
      <c r="W116" s="94"/>
      <c r="X116" s="94"/>
      <c r="Y116" s="94"/>
      <c r="Z116" s="94"/>
    </row>
    <row r="117">
      <c r="A117" s="94"/>
      <c r="B117" s="413">
        <v>75.0</v>
      </c>
      <c r="C117" s="397">
        <v>13.0</v>
      </c>
      <c r="D117" s="406" t="str">
        <f t="array" ref="D117">INDIRECT("Draft!P"&amp;TEXT(A104+2,"0"))</f>
        <v>Taylor Hendricks</v>
      </c>
      <c r="E117" s="403">
        <f>IF($D117="","", VLOOKUP($D117,'Final Update'!$P$21:$AD1000,Column(G115),False))</f>
        <v>11.4</v>
      </c>
      <c r="F117" s="403">
        <f>IF($D117="","", VLOOKUP($D117,'Final Update'!$P$21:$AD1000,Column(H115),False))</f>
        <v>2</v>
      </c>
      <c r="G117" s="403">
        <f>IF($D117="","", VLOOKUP($D117,'Final Update'!$P$21:$AD1000,Column(I115),False))</f>
        <v>7</v>
      </c>
      <c r="H117" s="403">
        <f>IF($D117="","", VLOOKUP($D117,'Final Update'!$P$21:$AD1000,Column(J115),False))</f>
        <v>1.2</v>
      </c>
      <c r="I117" s="403">
        <f>IF($D117="","", VLOOKUP($D117,'Final Update'!$P$21:$AD1000,Column(K115),False))</f>
        <v>1.1</v>
      </c>
      <c r="J117" s="403">
        <f>IF($D117="","", VLOOKUP($D117,'Final Update'!$P$21:$AD1000,Column(L115),False))</f>
        <v>1.1</v>
      </c>
      <c r="K117" s="404">
        <f>IF($D117="","", VLOOKUP($D117,'Final Update'!$P$21:$AD1000,Column(M115),False))</f>
        <v>0.471</v>
      </c>
      <c r="L117" s="404">
        <f>IF($D117="","", VLOOKUP($D117,'Final Update'!$P$21:$AD1000,Column(N115),False))</f>
        <v>0.798</v>
      </c>
      <c r="M117" s="403">
        <f>IF($D117="","", VLOOKUP($D117,'Final Update'!$P$21:$AD1000,Column(O115),False))</f>
        <v>1</v>
      </c>
      <c r="N117" s="403" t="str">
        <f>IF($D117="","", VLOOKUP($D117,'Final Update'!$P$21:$AD1000,Column(C115),False))</f>
        <v>SF,PF</v>
      </c>
      <c r="O117" s="94"/>
      <c r="P117" s="94"/>
      <c r="Q117" s="94"/>
      <c r="R117" s="94"/>
      <c r="S117" s="94"/>
      <c r="T117" s="94"/>
      <c r="U117" s="94"/>
      <c r="V117" s="94"/>
      <c r="W117" s="94"/>
      <c r="X117" s="94"/>
      <c r="Y117" s="94"/>
      <c r="Z117" s="94"/>
    </row>
    <row r="118">
      <c r="A118" s="94"/>
      <c r="B118" s="396">
        <f>Projections!$AK$35</f>
        <v>50</v>
      </c>
      <c r="C118" s="397">
        <v>14.0</v>
      </c>
      <c r="D118" s="407" t="str">
        <f t="array" ref="D118">INDIRECT("Draft!Q"&amp;TEXT(15-A104,"0"))</f>
        <v/>
      </c>
      <c r="E118" s="403" t="str">
        <f>IF($D118="","", VLOOKUP($D118,'Final Update'!$P$21:$AD1000,Column(G116),False))</f>
        <v/>
      </c>
      <c r="F118" s="403" t="str">
        <f>IF($D118="","", VLOOKUP($D118,'Final Update'!$P$21:$AD1000,Column(H116),False))</f>
        <v/>
      </c>
      <c r="G118" s="403" t="str">
        <f>IF($D118="","", VLOOKUP($D118,'Final Update'!$P$21:$AD1000,Column(I116),False))</f>
        <v/>
      </c>
      <c r="H118" s="403" t="str">
        <f>IF($D118="","", VLOOKUP($D118,'Final Update'!$P$21:$AD1000,Column(J116),False))</f>
        <v/>
      </c>
      <c r="I118" s="403" t="str">
        <f>IF($D118="","", VLOOKUP($D118,'Final Update'!$P$21:$AD1000,Column(K116),False))</f>
        <v/>
      </c>
      <c r="J118" s="403" t="str">
        <f>IF($D118="","", VLOOKUP($D118,'Final Update'!$P$21:$AD1000,Column(L116),False))</f>
        <v/>
      </c>
      <c r="K118" s="404" t="str">
        <f>IF($D118="","", VLOOKUP($D118,'Final Update'!$P$21:$AD1000,Column(M116),False))</f>
        <v/>
      </c>
      <c r="L118" s="404" t="str">
        <f>IF($D118="","", VLOOKUP($D118,'Final Update'!$P$21:$AD1000,Column(N116),False))</f>
        <v/>
      </c>
      <c r="M118" s="403" t="str">
        <f>IF($D118="","", VLOOKUP($D118,'Final Update'!$P$21:$AD1000,Column(O116),False))</f>
        <v/>
      </c>
      <c r="N118" s="403" t="str">
        <f>IF($D118="","", VLOOKUP($D118,'Final Update'!$P$21:$AD1000,Column(C116),False))</f>
        <v/>
      </c>
      <c r="O118" s="94"/>
      <c r="P118" s="94"/>
      <c r="Q118" s="94"/>
      <c r="R118" s="94"/>
      <c r="S118" s="94"/>
      <c r="T118" s="94"/>
      <c r="U118" s="94"/>
      <c r="V118" s="94"/>
      <c r="W118" s="94"/>
      <c r="X118" s="94"/>
      <c r="Y118" s="94"/>
      <c r="Z118" s="94"/>
    </row>
    <row r="119">
      <c r="A119" s="392" t="s">
        <v>5</v>
      </c>
      <c r="B119" s="94"/>
      <c r="C119" s="94"/>
      <c r="D119" s="395" t="s">
        <v>1291</v>
      </c>
      <c r="E119" s="409">
        <f t="shared" ref="E119:J119" si="7">IFERROR(AVERAGE(SUMPRODUCT(E105:E118,$B105:$B118/100))/(SUM(OFFSET($B105,0,0,COUNT(E105:E118)))/100),"")</f>
        <v>14.88235294</v>
      </c>
      <c r="F119" s="409">
        <f t="shared" si="7"/>
        <v>1.811764706</v>
      </c>
      <c r="G119" s="409">
        <f t="shared" si="7"/>
        <v>5.588235294</v>
      </c>
      <c r="H119" s="409">
        <f t="shared" si="7"/>
        <v>3.396078431</v>
      </c>
      <c r="I119" s="409">
        <f t="shared" si="7"/>
        <v>1.123529412</v>
      </c>
      <c r="J119" s="409">
        <f t="shared" si="7"/>
        <v>0.6843137255</v>
      </c>
      <c r="K119" s="409">
        <f t="array" ref="K119">IFERROR(100*SUMPRODUCT(IFERROR(VLOOKUP($D105:$D118,UpdateHashtag!$C:$S,6,False),"")*$B105:$B118/100)/SUMPRODUCT(IFERROR(VLOOKUP($D105:$D118,UpdateHashtag!$C:$S,17,False),"")*$B105:$B118/100),"")</f>
        <v>46.68583023</v>
      </c>
      <c r="L119" s="409">
        <f t="array" ref="L119">IFERROR(100*SUMPRODUCT(IFERROR(VLOOKUP($D105:$D118,UpdateHashtag!$C:$T,8,False),"")*$B105:$B118/100)/SUMPRODUCT(IFERROR(VLOOKUP($D105:$D118,UpdateHashtag!$C:$T,18,False),"")*$B105:$B118/100),"")</f>
        <v>79.37716263</v>
      </c>
      <c r="M119" s="409">
        <f>IFERROR(AVERAGE(SUMPRODUCT(M105:M118,$B105:$B118/100))/(SUM(OFFSET($B105,0,0,COUNT(M105:M118)))/100),"")</f>
        <v>1.776470588</v>
      </c>
      <c r="N119" s="347" t="s">
        <v>116</v>
      </c>
      <c r="O119" s="94"/>
      <c r="P119" s="94"/>
      <c r="Q119" s="94"/>
      <c r="R119" s="94"/>
      <c r="S119" s="94"/>
      <c r="T119" s="94"/>
      <c r="U119" s="94"/>
      <c r="V119" s="94"/>
      <c r="W119" s="94"/>
      <c r="X119" s="94"/>
      <c r="Y119" s="94"/>
      <c r="Z119" s="94"/>
    </row>
    <row r="120">
      <c r="A120" s="94"/>
      <c r="B120" s="94"/>
      <c r="C120" s="94"/>
      <c r="D120" s="395" t="s">
        <v>1318</v>
      </c>
      <c r="E120" s="410">
        <f>IFERROR((SUM(OFFSET('All Teams'!$B105,0,0,COUNT('All Teams'!E105:E118)))/100)*('All Teams'!E119-'Final Update'!$B$1)/'Final Update'!$B$2,"")</f>
        <v>-5.952860693</v>
      </c>
      <c r="F120" s="410">
        <f>IFERROR((SUM(OFFSET('All Teams'!$B105,0,0,COUNT('All Teams'!F105:F118)))/100)*('All Teams'!F119-'Final Update'!$C$1)/'Final Update'!$C$2,"")</f>
        <v>0.7963591676</v>
      </c>
      <c r="G120" s="410">
        <f>IFERROR((SUM(OFFSET('All Teams'!$B105,0,0,COUNT('All Teams'!G105:G118)))/100)*('All Teams'!G119-'Final Update'!$D$1)/'Final Update'!$D$2,"")</f>
        <v>-2.403849174</v>
      </c>
      <c r="H120" s="410">
        <f>IFERROR((SUM(OFFSET('All Teams'!$B105,0,0,COUNT('All Teams'!H105:H118)))/100)*('All Teams'!H119-'Final Update'!$E$1)/'Final Update'!$E$2,"")</f>
        <v>-3.135087319</v>
      </c>
      <c r="I120" s="410">
        <f>IFERROR((SUM(OFFSET('All Teams'!$B105,0,0,COUNT('All Teams'!I105:I118)))/100)*('All Teams'!I119-'Final Update'!$F$1)/'Final Update'!$F$2,"")</f>
        <v>6.236927093</v>
      </c>
      <c r="J120" s="410">
        <f>IFERROR((SUM(OFFSET('All Teams'!$B105,0,0,COUNT('All Teams'!J105:J118)))/100)*('All Teams'!J119-'Final Update'!$G$1)/'Final Update'!$G$2,"")</f>
        <v>-1.381074422</v>
      </c>
      <c r="K120" s="410">
        <f t="array" ref="K120">SUMPRODUCT(IFERROR(VLOOKUP($D105:$D118,'Final Update'!$A$4:$L$403,8,False)*$B105:$B118/100,""))</f>
        <v>-5.275381797</v>
      </c>
      <c r="L120" s="410">
        <f t="array" ref="L120">SUMPRODUCT(IFERROR(VLOOKUP($D105:$D118,'Final Update'!$A$4:$L$403,10,False)*$B105:$B118/100,""))</f>
        <v>0.1869341232</v>
      </c>
      <c r="M120" s="410">
        <f>IFERROR(-(SUM(OFFSET('All Teams'!$B105,0,0,COUNT('All Teams'!M105:M118)))/100)*('All Teams'!M119-'Final Update'!$L$1)/'Final Update'!$L$2,"")</f>
        <v>-0.3516386671</v>
      </c>
      <c r="N120" s="94">
        <f t="array" ref="N120">SUM(IFERROR(vlookup(D105:D118,'Final Update'!$P$21:$S$620,4,0),""))</f>
        <v>3.342833572</v>
      </c>
      <c r="O120" s="94"/>
      <c r="P120" s="94"/>
      <c r="Q120" s="94"/>
      <c r="R120" s="94"/>
      <c r="S120" s="94"/>
      <c r="T120" s="94"/>
      <c r="U120" s="94"/>
      <c r="V120" s="94"/>
      <c r="W120" s="94"/>
      <c r="X120" s="94"/>
      <c r="Y120" s="94"/>
      <c r="Z120" s="94"/>
    </row>
    <row r="121">
      <c r="A121" s="393">
        <v>8.0</v>
      </c>
      <c r="B121" s="394" t="s">
        <v>256</v>
      </c>
      <c r="C121" s="395" t="s">
        <v>258</v>
      </c>
      <c r="D121" s="394" t="s">
        <v>3</v>
      </c>
      <c r="E121" s="394" t="s">
        <v>13</v>
      </c>
      <c r="F121" s="394" t="s">
        <v>99</v>
      </c>
      <c r="G121" s="394" t="s">
        <v>101</v>
      </c>
      <c r="H121" s="394" t="s">
        <v>15</v>
      </c>
      <c r="I121" s="394" t="s">
        <v>16</v>
      </c>
      <c r="J121" s="394" t="s">
        <v>17</v>
      </c>
      <c r="K121" s="394" t="s">
        <v>9</v>
      </c>
      <c r="L121" s="394" t="s">
        <v>11</v>
      </c>
      <c r="M121" s="394" t="s">
        <v>18</v>
      </c>
      <c r="N121" s="394" t="s">
        <v>4</v>
      </c>
      <c r="O121" s="394" t="s">
        <v>259</v>
      </c>
      <c r="P121" s="394" t="s">
        <v>4</v>
      </c>
      <c r="Q121" s="94"/>
      <c r="R121" s="94"/>
      <c r="S121" s="94"/>
      <c r="T121" s="94"/>
      <c r="U121" s="94"/>
      <c r="V121" s="94"/>
      <c r="W121" s="94"/>
      <c r="X121" s="94"/>
      <c r="Y121" s="94"/>
      <c r="Z121" s="94"/>
    </row>
    <row r="122">
      <c r="A122" s="94"/>
      <c r="B122" s="396">
        <f>Projections!$AK$22</f>
        <v>100</v>
      </c>
      <c r="C122" s="397">
        <v>1.0</v>
      </c>
      <c r="D122" s="398" t="str">
        <f t="array" ref="D122">INDIRECT("Draft!D"&amp;TEXT(A121+2,"0"))</f>
        <v>Karl-Anthony Towns</v>
      </c>
      <c r="E122" s="399">
        <f>IF($D122="","", VLOOKUP($D122,'Final Update'!$P$21:$AD1000,Column(G120),False))</f>
        <v>21.4</v>
      </c>
      <c r="F122" s="399">
        <f>IF($D122="","", VLOOKUP($D122,'Final Update'!$P$21:$AD1000,Column(H120),False))</f>
        <v>2.2</v>
      </c>
      <c r="G122" s="399">
        <f>IF($D122="","", VLOOKUP($D122,'Final Update'!$P$21:$AD1000,Column(I120),False))</f>
        <v>9.5</v>
      </c>
      <c r="H122" s="399">
        <f>IF($D122="","", VLOOKUP($D122,'Final Update'!$P$21:$AD1000,Column(J120),False))</f>
        <v>3.3</v>
      </c>
      <c r="I122" s="399">
        <f>IF($D122="","", VLOOKUP($D122,'Final Update'!$P$21:$AD1000,Column(K120),False))</f>
        <v>0.7</v>
      </c>
      <c r="J122" s="399">
        <f>IF($D122="","", VLOOKUP($D122,'Final Update'!$P$21:$AD1000,Column(L120),False))</f>
        <v>1</v>
      </c>
      <c r="K122" s="400">
        <f>IF($D122="","", VLOOKUP($D122,'Final Update'!$P$21:$AD1000,Column(M120),False))</f>
        <v>0.501</v>
      </c>
      <c r="L122" s="400">
        <f>IF($D122="","", VLOOKUP($D122,'Final Update'!$P$21:$AD1000,Column(N120),False))</f>
        <v>0.873</v>
      </c>
      <c r="M122" s="399">
        <f>IF($D122="","", VLOOKUP($D122,'Final Update'!$P$21:$AD1000,Column(O120),False))</f>
        <v>2.9</v>
      </c>
      <c r="N122" s="399" t="str">
        <f>IF($D122="","", VLOOKUP($D122,'Final Update'!$P$21:$AD1000,Column(C120),False))</f>
        <v>PF,C</v>
      </c>
      <c r="O122" s="397">
        <f t="array" ref="O122">COUNTIF(FIND(P122,$N122:$N135),"&gt;0")</f>
        <v>2</v>
      </c>
      <c r="P122" s="398" t="s">
        <v>85</v>
      </c>
      <c r="Q122" s="94"/>
      <c r="R122" s="94"/>
      <c r="S122" s="94"/>
      <c r="T122" s="94"/>
      <c r="U122" s="94"/>
      <c r="V122" s="94"/>
      <c r="W122" s="94"/>
      <c r="X122" s="94"/>
      <c r="Y122" s="94"/>
      <c r="Z122" s="94"/>
    </row>
    <row r="123">
      <c r="A123" s="94"/>
      <c r="B123" s="396">
        <f>Projections!$AK$23</f>
        <v>100</v>
      </c>
      <c r="C123" s="397">
        <v>2.0</v>
      </c>
      <c r="D123" s="401" t="str">
        <f t="array" ref="D123">INDIRECT("Draft!E"&amp;TEXT(15-A121,"0"))</f>
        <v>Evan Mobley</v>
      </c>
      <c r="E123" s="399">
        <f>IF($D123="","", VLOOKUP($D123,'Final Update'!$P$21:$AD1000,Column(G121),False))</f>
        <v>16.1</v>
      </c>
      <c r="F123" s="399">
        <f>IF($D123="","", VLOOKUP($D123,'Final Update'!$P$21:$AD1000,Column(H121),False))</f>
        <v>0.4</v>
      </c>
      <c r="G123" s="399">
        <f>IF($D123="","", VLOOKUP($D123,'Final Update'!$P$21:$AD1000,Column(I121),False))</f>
        <v>9.2</v>
      </c>
      <c r="H123" s="399">
        <f>IF($D123="","", VLOOKUP($D123,'Final Update'!$P$21:$AD1000,Column(J121),False))</f>
        <v>3.4</v>
      </c>
      <c r="I123" s="399">
        <f>IF($D123="","", VLOOKUP($D123,'Final Update'!$P$21:$AD1000,Column(K121),False))</f>
        <v>0.9</v>
      </c>
      <c r="J123" s="399">
        <f>IF($D123="","", VLOOKUP($D123,'Final Update'!$P$21:$AD1000,Column(L121),False))</f>
        <v>1.5</v>
      </c>
      <c r="K123" s="400">
        <f>IF($D123="","", VLOOKUP($D123,'Final Update'!$P$21:$AD1000,Column(M121),False))</f>
        <v>0.573</v>
      </c>
      <c r="L123" s="400">
        <f>IF($D123="","", VLOOKUP($D123,'Final Update'!$P$21:$AD1000,Column(N121),False))</f>
        <v>0.726</v>
      </c>
      <c r="M123" s="399">
        <f>IF($D123="","", VLOOKUP($D123,'Final Update'!$P$21:$AD1000,Column(O121),False))</f>
        <v>1.8</v>
      </c>
      <c r="N123" s="399" t="str">
        <f>IF($D123="","", VLOOKUP($D123,'Final Update'!$P$21:$AD1000,Column(C121),False))</f>
        <v>PF,C</v>
      </c>
      <c r="O123" s="397">
        <f t="array" ref="O123">COUNTIF(FIND(P123,$N122:$N135),"&gt;0")</f>
        <v>3</v>
      </c>
      <c r="P123" s="398" t="s">
        <v>88</v>
      </c>
      <c r="Q123" s="94"/>
      <c r="R123" s="94"/>
      <c r="S123" s="94"/>
      <c r="T123" s="94"/>
      <c r="U123" s="94"/>
      <c r="V123" s="94"/>
      <c r="W123" s="94"/>
      <c r="X123" s="94"/>
      <c r="Y123" s="94"/>
      <c r="Z123" s="94"/>
    </row>
    <row r="124">
      <c r="A124" s="94"/>
      <c r="B124" s="396">
        <f>Projections!$AK$24</f>
        <v>100</v>
      </c>
      <c r="C124" s="397">
        <v>3.0</v>
      </c>
      <c r="D124" s="402" t="str">
        <f t="array" ref="D124">INDIRECT("Draft!F"&amp;TEXT(A121+2,"0"))</f>
        <v>Franz Wagner</v>
      </c>
      <c r="E124" s="403">
        <f>IF($D124="","", VLOOKUP($D124,'Final Update'!$P$21:$AD1000,Column(G122),False))</f>
        <v>19.6</v>
      </c>
      <c r="F124" s="403">
        <f>IF($D124="","", VLOOKUP($D124,'Final Update'!$P$21:$AD1000,Column(H122),False))</f>
        <v>1.4</v>
      </c>
      <c r="G124" s="403">
        <f>IF($D124="","", VLOOKUP($D124,'Final Update'!$P$21:$AD1000,Column(I122),False))</f>
        <v>5.4</v>
      </c>
      <c r="H124" s="403">
        <f>IF($D124="","", VLOOKUP($D124,'Final Update'!$P$21:$AD1000,Column(J122),False))</f>
        <v>3.9</v>
      </c>
      <c r="I124" s="403">
        <f>IF($D124="","", VLOOKUP($D124,'Final Update'!$P$21:$AD1000,Column(K122),False))</f>
        <v>1.2</v>
      </c>
      <c r="J124" s="403">
        <f>IF($D124="","", VLOOKUP($D124,'Final Update'!$P$21:$AD1000,Column(L122),False))</f>
        <v>0.4</v>
      </c>
      <c r="K124" s="404">
        <f>IF($D124="","", VLOOKUP($D124,'Final Update'!$P$21:$AD1000,Column(M122),False))</f>
        <v>0.483</v>
      </c>
      <c r="L124" s="404">
        <f>IF($D124="","", VLOOKUP($D124,'Final Update'!$P$21:$AD1000,Column(N122),False))</f>
        <v>0.845</v>
      </c>
      <c r="M124" s="403">
        <f>IF($D124="","", VLOOKUP($D124,'Final Update'!$P$21:$AD1000,Column(O122),False))</f>
        <v>2</v>
      </c>
      <c r="N124" s="403" t="str">
        <f>IF($D124="","", VLOOKUP($D124,'Final Update'!$P$21:$AD1000,Column(C122),False))</f>
        <v>SF,PF</v>
      </c>
      <c r="O124" s="397">
        <f t="array" ref="O124">COUNTIF(FIND(P124,$N122:$N135),"&gt;0")</f>
        <v>3</v>
      </c>
      <c r="P124" s="398" t="s">
        <v>90</v>
      </c>
      <c r="Q124" s="94"/>
      <c r="R124" s="94"/>
      <c r="S124" s="94"/>
      <c r="T124" s="94"/>
      <c r="U124" s="94"/>
      <c r="V124" s="94"/>
      <c r="W124" s="94"/>
      <c r="X124" s="94"/>
      <c r="Y124" s="94"/>
      <c r="Z124" s="94"/>
    </row>
    <row r="125">
      <c r="A125" s="94"/>
      <c r="B125" s="396">
        <f>Projections!$AK$25</f>
        <v>100</v>
      </c>
      <c r="C125" s="397">
        <v>4.0</v>
      </c>
      <c r="D125" s="405" t="str">
        <f t="array" ref="D125">INDIRECT("Draft!G"&amp;TEXT(15-A121,"0"))</f>
        <v>Dyson Daniels</v>
      </c>
      <c r="E125" s="403">
        <f>IF($D125="","", VLOOKUP($D125,'Final Update'!$P$21:$AD1000,Column(G123),False))</f>
        <v>7.1</v>
      </c>
      <c r="F125" s="403">
        <f>IF($D125="","", VLOOKUP($D125,'Final Update'!$P$21:$AD1000,Column(H123),False))</f>
        <v>0.8</v>
      </c>
      <c r="G125" s="403">
        <f>IF($D125="","", VLOOKUP($D125,'Final Update'!$P$21:$AD1000,Column(I123),False))</f>
        <v>5</v>
      </c>
      <c r="H125" s="403">
        <f>IF($D125="","", VLOOKUP($D125,'Final Update'!$P$21:$AD1000,Column(J123),False))</f>
        <v>3.5</v>
      </c>
      <c r="I125" s="403">
        <f>IF($D125="","", VLOOKUP($D125,'Final Update'!$P$21:$AD1000,Column(K123),False))</f>
        <v>1.5</v>
      </c>
      <c r="J125" s="403">
        <f>IF($D125="","", VLOOKUP($D125,'Final Update'!$P$21:$AD1000,Column(L123),False))</f>
        <v>0.4</v>
      </c>
      <c r="K125" s="404">
        <f>IF($D125="","", VLOOKUP($D125,'Final Update'!$P$21:$AD1000,Column(M123),False))</f>
        <v>0.453</v>
      </c>
      <c r="L125" s="404">
        <f>IF($D125="","", VLOOKUP($D125,'Final Update'!$P$21:$AD1000,Column(N123),False))</f>
        <v>0.651</v>
      </c>
      <c r="M125" s="403">
        <f>IF($D125="","", VLOOKUP($D125,'Final Update'!$P$21:$AD1000,Column(O123),False))</f>
        <v>1.4</v>
      </c>
      <c r="N125" s="403" t="str">
        <f>IF($D125="","", VLOOKUP($D125,'Final Update'!$P$21:$AD1000,Column(C123),False))</f>
        <v>PG,SG</v>
      </c>
      <c r="O125" s="397">
        <f t="array" ref="O125">COUNTIF(FIND(P125,$N122:$N135),"&gt;0")</f>
        <v>9</v>
      </c>
      <c r="P125" s="398" t="s">
        <v>92</v>
      </c>
      <c r="Q125" s="94"/>
      <c r="R125" s="94"/>
      <c r="S125" s="94"/>
      <c r="T125" s="94"/>
      <c r="U125" s="94"/>
      <c r="V125" s="94"/>
      <c r="W125" s="94"/>
      <c r="X125" s="94"/>
      <c r="Y125" s="94"/>
      <c r="Z125" s="94"/>
    </row>
    <row r="126">
      <c r="A126" s="94"/>
      <c r="B126" s="396">
        <f>Projections!$AK$26</f>
        <v>100</v>
      </c>
      <c r="C126" s="397">
        <v>5.0</v>
      </c>
      <c r="D126" s="406" t="str">
        <f t="array" ref="D126">INDIRECT("Draft!H"&amp;TEXT(A121+2,"0"))</f>
        <v>Ivica Zubac</v>
      </c>
      <c r="E126" s="403">
        <f>IF($D126="","", VLOOKUP($D126,'Final Update'!$P$21:$AD1000,Column(G124),False))</f>
        <v>12.3</v>
      </c>
      <c r="F126" s="403">
        <f>IF($D126="","", VLOOKUP($D126,'Final Update'!$P$21:$AD1000,Column(H124),False))</f>
        <v>0</v>
      </c>
      <c r="G126" s="403">
        <f>IF($D126="","", VLOOKUP($D126,'Final Update'!$P$21:$AD1000,Column(I124),False))</f>
        <v>10.1</v>
      </c>
      <c r="H126" s="403">
        <f>IF($D126="","", VLOOKUP($D126,'Final Update'!$P$21:$AD1000,Column(J124),False))</f>
        <v>1.3</v>
      </c>
      <c r="I126" s="403">
        <f>IF($D126="","", VLOOKUP($D126,'Final Update'!$P$21:$AD1000,Column(K124),False))</f>
        <v>0.4</v>
      </c>
      <c r="J126" s="403">
        <f>IF($D126="","", VLOOKUP($D126,'Final Update'!$P$21:$AD1000,Column(L124),False))</f>
        <v>1.4</v>
      </c>
      <c r="K126" s="404">
        <f>IF($D126="","", VLOOKUP($D126,'Final Update'!$P$21:$AD1000,Column(M124),False))</f>
        <v>0.642</v>
      </c>
      <c r="L126" s="404">
        <f>IF($D126="","", VLOOKUP($D126,'Final Update'!$P$21:$AD1000,Column(N124),False))</f>
        <v>0.709</v>
      </c>
      <c r="M126" s="403">
        <f>IF($D126="","", VLOOKUP($D126,'Final Update'!$P$21:$AD1000,Column(O124),False))</f>
        <v>1.5</v>
      </c>
      <c r="N126" s="403" t="str">
        <f>IF($D126="","", VLOOKUP($D126,'Final Update'!$P$21:$AD1000,Column(C124),False))</f>
        <v>C</v>
      </c>
      <c r="O126" s="397">
        <f t="array" ref="O126">COUNTIF(FIND(P126,$N122:$N135),"&gt;0")</f>
        <v>7</v>
      </c>
      <c r="P126" s="398" t="s">
        <v>97</v>
      </c>
      <c r="Q126" s="94"/>
      <c r="R126" s="94"/>
      <c r="S126" s="94"/>
      <c r="T126" s="94"/>
      <c r="U126" s="94"/>
      <c r="V126" s="94"/>
      <c r="W126" s="94"/>
      <c r="X126" s="94"/>
      <c r="Y126" s="94"/>
      <c r="Z126" s="94"/>
    </row>
    <row r="127">
      <c r="A127" s="94"/>
      <c r="B127" s="396">
        <f>Projections!$AK$27</f>
        <v>100</v>
      </c>
      <c r="C127" s="397">
        <v>6.0</v>
      </c>
      <c r="D127" s="407" t="str">
        <f t="array" ref="D127">INDIRECT("Draft!I"&amp;TEXT(15-A121,"0"))</f>
        <v>Miles Bridges</v>
      </c>
      <c r="E127" s="403">
        <f>IF($D127="","", VLOOKUP($D127,'Final Update'!$P$21:$AD1000,Column(G125),False))</f>
        <v>19.8</v>
      </c>
      <c r="F127" s="403">
        <f>IF($D127="","", VLOOKUP($D127,'Final Update'!$P$21:$AD1000,Column(H125),False))</f>
        <v>2.2</v>
      </c>
      <c r="G127" s="403">
        <f>IF($D127="","", VLOOKUP($D127,'Final Update'!$P$21:$AD1000,Column(I125),False))</f>
        <v>6.9</v>
      </c>
      <c r="H127" s="403">
        <f>IF($D127="","", VLOOKUP($D127,'Final Update'!$P$21:$AD1000,Column(J125),False))</f>
        <v>3.2</v>
      </c>
      <c r="I127" s="403">
        <f>IF($D127="","", VLOOKUP($D127,'Final Update'!$P$21:$AD1000,Column(K125),False))</f>
        <v>0.9</v>
      </c>
      <c r="J127" s="403">
        <f>IF($D127="","", VLOOKUP($D127,'Final Update'!$P$21:$AD1000,Column(L125),False))</f>
        <v>0.5</v>
      </c>
      <c r="K127" s="404">
        <f>IF($D127="","", VLOOKUP($D127,'Final Update'!$P$21:$AD1000,Column(M125),False))</f>
        <v>0.462</v>
      </c>
      <c r="L127" s="404">
        <f>IF($D127="","", VLOOKUP($D127,'Final Update'!$P$21:$AD1000,Column(N125),False))</f>
        <v>0.824</v>
      </c>
      <c r="M127" s="403">
        <f>IF($D127="","", VLOOKUP($D127,'Final Update'!$P$21:$AD1000,Column(O125),False))</f>
        <v>1.9</v>
      </c>
      <c r="N127" s="403" t="str">
        <f>IF($D127="","", VLOOKUP($D127,'Final Update'!$P$21:$AD1000,Column(C125),False))</f>
        <v>SF,PF</v>
      </c>
      <c r="O127" s="94"/>
      <c r="P127" s="94"/>
      <c r="Q127" s="94"/>
      <c r="R127" s="94"/>
      <c r="S127" s="94"/>
      <c r="T127" s="94"/>
      <c r="U127" s="94"/>
      <c r="V127" s="94"/>
      <c r="W127" s="94"/>
      <c r="X127" s="94"/>
      <c r="Y127" s="94"/>
      <c r="Z127" s="94"/>
    </row>
    <row r="128">
      <c r="A128" s="94"/>
      <c r="B128" s="396">
        <f>Projections!$AK$28</f>
        <v>100</v>
      </c>
      <c r="C128" s="397">
        <v>7.0</v>
      </c>
      <c r="D128" s="406" t="str">
        <f t="array" ref="D128">INDIRECT("Draft!J"&amp;TEXT(A121+2,"0"))</f>
        <v>Onyeka Okongwu</v>
      </c>
      <c r="E128" s="403">
        <f>IF($D128="","", VLOOKUP($D128,'Final Update'!$P$21:$AD1000,Column(G126),False))</f>
        <v>10.6</v>
      </c>
      <c r="F128" s="403">
        <f>IF($D128="","", VLOOKUP($D128,'Final Update'!$P$21:$AD1000,Column(H126),False))</f>
        <v>0.5</v>
      </c>
      <c r="G128" s="403">
        <f>IF($D128="","", VLOOKUP($D128,'Final Update'!$P$21:$AD1000,Column(I126),False))</f>
        <v>7.6</v>
      </c>
      <c r="H128" s="403">
        <f>IF($D128="","", VLOOKUP($D128,'Final Update'!$P$21:$AD1000,Column(J126),False))</f>
        <v>1.3</v>
      </c>
      <c r="I128" s="403">
        <f>IF($D128="","", VLOOKUP($D128,'Final Update'!$P$21:$AD1000,Column(K126),False))</f>
        <v>0.7</v>
      </c>
      <c r="J128" s="403">
        <f>IF($D128="","", VLOOKUP($D128,'Final Update'!$P$21:$AD1000,Column(L126),False))</f>
        <v>1.3</v>
      </c>
      <c r="K128" s="404">
        <f>IF($D128="","", VLOOKUP($D128,'Final Update'!$P$21:$AD1000,Column(M126),False))</f>
        <v>0.617</v>
      </c>
      <c r="L128" s="404">
        <f>IF($D128="","", VLOOKUP($D128,'Final Update'!$P$21:$AD1000,Column(N126),False))</f>
        <v>0.785</v>
      </c>
      <c r="M128" s="403">
        <f>IF($D128="","", VLOOKUP($D128,'Final Update'!$P$21:$AD1000,Column(O126),False))</f>
        <v>1.1</v>
      </c>
      <c r="N128" s="403" t="str">
        <f>IF($D128="","", VLOOKUP($D128,'Final Update'!$P$21:$AD1000,Column(C126),False))</f>
        <v>PF,C</v>
      </c>
      <c r="O128" s="94"/>
      <c r="P128" s="94"/>
      <c r="Q128" s="94"/>
      <c r="R128" s="94"/>
      <c r="S128" s="94"/>
      <c r="T128" s="94"/>
      <c r="U128" s="94"/>
      <c r="V128" s="94"/>
      <c r="W128" s="94"/>
      <c r="X128" s="94"/>
      <c r="Y128" s="94"/>
      <c r="Z128" s="94"/>
    </row>
    <row r="129">
      <c r="A129" s="94"/>
      <c r="B129" s="396">
        <f>Projections!$AK$29</f>
        <v>100</v>
      </c>
      <c r="C129" s="397">
        <v>8.0</v>
      </c>
      <c r="D129" s="407" t="str">
        <f t="array" ref="D129">INDIRECT("Draft!K"&amp;TEXT(15-A121,"0"))</f>
        <v>John Collins</v>
      </c>
      <c r="E129" s="403">
        <f>IF($D129="","", VLOOKUP($D129,'Final Update'!$P$21:$AD1000,Column(G127),False))</f>
        <v>13.7</v>
      </c>
      <c r="F129" s="403">
        <f>IF($D129="","", VLOOKUP($D129,'Final Update'!$P$21:$AD1000,Column(H127),False))</f>
        <v>1.1</v>
      </c>
      <c r="G129" s="403">
        <f>IF($D129="","", VLOOKUP($D129,'Final Update'!$P$21:$AD1000,Column(I127),False))</f>
        <v>7.3</v>
      </c>
      <c r="H129" s="403">
        <f>IF($D129="","", VLOOKUP($D129,'Final Update'!$P$21:$AD1000,Column(J127),False))</f>
        <v>1.1</v>
      </c>
      <c r="I129" s="403">
        <f>IF($D129="","", VLOOKUP($D129,'Final Update'!$P$21:$AD1000,Column(K127),False))</f>
        <v>0.6</v>
      </c>
      <c r="J129" s="403">
        <f>IF($D129="","", VLOOKUP($D129,'Final Update'!$P$21:$AD1000,Column(L127),False))</f>
        <v>0.9</v>
      </c>
      <c r="K129" s="404">
        <f>IF($D129="","", VLOOKUP($D129,'Final Update'!$P$21:$AD1000,Column(M127),False))</f>
        <v>0.52</v>
      </c>
      <c r="L129" s="404">
        <f>IF($D129="","", VLOOKUP($D129,'Final Update'!$P$21:$AD1000,Column(N127),False))</f>
        <v>0.796</v>
      </c>
      <c r="M129" s="403">
        <f>IF($D129="","", VLOOKUP($D129,'Final Update'!$P$21:$AD1000,Column(O127),False))</f>
        <v>1.2</v>
      </c>
      <c r="N129" s="403" t="str">
        <f>IF($D129="","", VLOOKUP($D129,'Final Update'!$P$21:$AD1000,Column(C127),False))</f>
        <v>PF,C</v>
      </c>
      <c r="O129" s="94"/>
      <c r="P129" s="94"/>
      <c r="Q129" s="94"/>
      <c r="R129" s="94"/>
      <c r="S129" s="94"/>
      <c r="T129" s="94"/>
      <c r="U129" s="94"/>
      <c r="V129" s="94"/>
      <c r="W129" s="94"/>
      <c r="X129" s="94"/>
      <c r="Y129" s="94"/>
      <c r="Z129" s="94"/>
    </row>
    <row r="130">
      <c r="A130" s="94"/>
      <c r="B130" s="396">
        <f>Projections!$AK$30</f>
        <v>100</v>
      </c>
      <c r="C130" s="397">
        <v>9.0</v>
      </c>
      <c r="D130" s="406" t="str">
        <f t="array" ref="D130">INDIRECT("Draft!L"&amp;TEXT(A121+2,"0"))</f>
        <v>Keyonte George</v>
      </c>
      <c r="E130" s="403">
        <f>IF($D130="","", VLOOKUP($D130,'Final Update'!$P$21:$AD1000,Column(G128),False))</f>
        <v>16.3</v>
      </c>
      <c r="F130" s="403">
        <f>IF($D130="","", VLOOKUP($D130,'Final Update'!$P$21:$AD1000,Column(H128),False))</f>
        <v>2.4</v>
      </c>
      <c r="G130" s="403">
        <f>IF($D130="","", VLOOKUP($D130,'Final Update'!$P$21:$AD1000,Column(I128),False))</f>
        <v>3.3</v>
      </c>
      <c r="H130" s="403">
        <f>IF($D130="","", VLOOKUP($D130,'Final Update'!$P$21:$AD1000,Column(J128),False))</f>
        <v>5.2</v>
      </c>
      <c r="I130" s="403">
        <f>IF($D130="","", VLOOKUP($D130,'Final Update'!$P$21:$AD1000,Column(K128),False))</f>
        <v>0.6</v>
      </c>
      <c r="J130" s="403">
        <f>IF($D130="","", VLOOKUP($D130,'Final Update'!$P$21:$AD1000,Column(L128),False))</f>
        <v>0.2</v>
      </c>
      <c r="K130" s="404">
        <f>IF($D130="","", VLOOKUP($D130,'Final Update'!$P$21:$AD1000,Column(M128),False))</f>
        <v>0.422</v>
      </c>
      <c r="L130" s="404">
        <f>IF($D130="","", VLOOKUP($D130,'Final Update'!$P$21:$AD1000,Column(N128),False))</f>
        <v>0.851</v>
      </c>
      <c r="M130" s="403">
        <f>IF($D130="","", VLOOKUP($D130,'Final Update'!$P$21:$AD1000,Column(O128),False))</f>
        <v>2.6</v>
      </c>
      <c r="N130" s="403" t="str">
        <f>IF($D130="","", VLOOKUP($D130,'Final Update'!$P$21:$AD1000,Column(C128),False))</f>
        <v>PG,SG</v>
      </c>
      <c r="O130" s="94"/>
      <c r="P130" s="94"/>
      <c r="Q130" s="94"/>
      <c r="R130" s="94"/>
      <c r="S130" s="94"/>
      <c r="T130" s="94"/>
      <c r="U130" s="94"/>
      <c r="V130" s="94"/>
      <c r="W130" s="94"/>
      <c r="X130" s="94"/>
      <c r="Y130" s="94"/>
      <c r="Z130" s="94"/>
    </row>
    <row r="131">
      <c r="A131" s="94"/>
      <c r="B131" s="396">
        <f>Projections!$AK$31</f>
        <v>100</v>
      </c>
      <c r="C131" s="397">
        <v>10.0</v>
      </c>
      <c r="D131" s="407" t="str">
        <f t="array" ref="D131">INDIRECT("Draft!M"&amp;TEXT(15-A121,"0"))</f>
        <v>Jonathan Kuminga</v>
      </c>
      <c r="E131" s="403">
        <f>IF($D131="","", VLOOKUP($D131,'Final Update'!$P$21:$AD1000,Column(G129),False))</f>
        <v>16.2</v>
      </c>
      <c r="F131" s="403">
        <f>IF($D131="","", VLOOKUP($D131,'Final Update'!$P$21:$AD1000,Column(H129),False))</f>
        <v>0.9</v>
      </c>
      <c r="G131" s="403">
        <f>IF($D131="","", VLOOKUP($D131,'Final Update'!$P$21:$AD1000,Column(I129),False))</f>
        <v>5.1</v>
      </c>
      <c r="H131" s="403">
        <f>IF($D131="","", VLOOKUP($D131,'Final Update'!$P$21:$AD1000,Column(J129),False))</f>
        <v>2.5</v>
      </c>
      <c r="I131" s="403">
        <f>IF($D131="","", VLOOKUP($D131,'Final Update'!$P$21:$AD1000,Column(K129),False))</f>
        <v>0.8</v>
      </c>
      <c r="J131" s="403">
        <f>IF($D131="","", VLOOKUP($D131,'Final Update'!$P$21:$AD1000,Column(L129),False))</f>
        <v>0.6</v>
      </c>
      <c r="K131" s="404">
        <f>IF($D131="","", VLOOKUP($D131,'Final Update'!$P$21:$AD1000,Column(M129),False))</f>
        <v>0.527</v>
      </c>
      <c r="L131" s="404">
        <f>IF($D131="","", VLOOKUP($D131,'Final Update'!$P$21:$AD1000,Column(N129),False))</f>
        <v>0.759</v>
      </c>
      <c r="M131" s="403">
        <f>IF($D131="","", VLOOKUP($D131,'Final Update'!$P$21:$AD1000,Column(O129),False))</f>
        <v>1.9</v>
      </c>
      <c r="N131" s="403" t="str">
        <f>IF($D131="","", VLOOKUP($D131,'Final Update'!$P$21:$AD1000,Column(C129),False))</f>
        <v>PF</v>
      </c>
      <c r="O131" s="94"/>
      <c r="P131" s="94"/>
      <c r="Q131" s="94"/>
      <c r="R131" s="94"/>
      <c r="S131" s="94"/>
      <c r="T131" s="94"/>
      <c r="U131" s="94"/>
      <c r="V131" s="94"/>
      <c r="W131" s="94"/>
      <c r="X131" s="94"/>
      <c r="Y131" s="94"/>
      <c r="Z131" s="94"/>
    </row>
    <row r="132">
      <c r="A132" s="94"/>
      <c r="B132" s="396">
        <f>Projections!$AK$32</f>
        <v>100</v>
      </c>
      <c r="C132" s="397">
        <v>11.0</v>
      </c>
      <c r="D132" s="406" t="str">
        <f t="array" ref="D132">INDIRECT("Draft!N"&amp;TEXT(A121+2,"0"))</f>
        <v>Isaiah Jackson</v>
      </c>
      <c r="E132" s="403">
        <f>IF($D132="","", VLOOKUP($D132,'Final Update'!$P$21:$AD1000,Column(G130),False))</f>
        <v>7.7</v>
      </c>
      <c r="F132" s="403">
        <f>IF($D132="","", VLOOKUP($D132,'Final Update'!$P$21:$AD1000,Column(H130),False))</f>
        <v>0</v>
      </c>
      <c r="G132" s="403">
        <f>IF($D132="","", VLOOKUP($D132,'Final Update'!$P$21:$AD1000,Column(I130),False))</f>
        <v>4.8</v>
      </c>
      <c r="H132" s="403">
        <f>IF($D132="","", VLOOKUP($D132,'Final Update'!$P$21:$AD1000,Column(J130),False))</f>
        <v>0.9</v>
      </c>
      <c r="I132" s="403">
        <f>IF($D132="","", VLOOKUP($D132,'Final Update'!$P$21:$AD1000,Column(K130),False))</f>
        <v>0.6</v>
      </c>
      <c r="J132" s="403">
        <f>IF($D132="","", VLOOKUP($D132,'Final Update'!$P$21:$AD1000,Column(L130),False))</f>
        <v>1.4</v>
      </c>
      <c r="K132" s="404">
        <f>IF($D132="","", VLOOKUP($D132,'Final Update'!$P$21:$AD1000,Column(M130),False))</f>
        <v>0.607</v>
      </c>
      <c r="L132" s="404">
        <f>IF($D132="","", VLOOKUP($D132,'Final Update'!$P$21:$AD1000,Column(N130),False))</f>
        <v>0.675</v>
      </c>
      <c r="M132" s="403">
        <f>IF($D132="","", VLOOKUP($D132,'Final Update'!$P$21:$AD1000,Column(O130),False))</f>
        <v>0.8</v>
      </c>
      <c r="N132" s="403" t="str">
        <f>IF($D132="","", VLOOKUP($D132,'Final Update'!$P$21:$AD1000,Column(C130),False))</f>
        <v>PF,C</v>
      </c>
      <c r="O132" s="94"/>
      <c r="P132" s="94"/>
      <c r="Q132" s="94"/>
      <c r="R132" s="94"/>
      <c r="S132" s="94"/>
      <c r="T132" s="94"/>
      <c r="U132" s="94"/>
      <c r="V132" s="94"/>
      <c r="W132" s="94"/>
      <c r="X132" s="94"/>
      <c r="Y132" s="94"/>
      <c r="Z132" s="94"/>
    </row>
    <row r="133">
      <c r="A133" s="94"/>
      <c r="B133" s="396">
        <f>Projections!$AK$33</f>
        <v>100</v>
      </c>
      <c r="C133" s="397">
        <v>12.0</v>
      </c>
      <c r="D133" s="407" t="str">
        <f t="array" ref="D133">INDIRECT("Draft!O"&amp;TEXT(15-A121,"0"))</f>
        <v>Chris Boucher</v>
      </c>
      <c r="E133" s="403">
        <f>IF($D133="","", VLOOKUP($D133,'Final Update'!$P$21:$AD1000,Column(G131),False))</f>
        <v>6.3</v>
      </c>
      <c r="F133" s="403">
        <f>IF($D133="","", VLOOKUP($D133,'Final Update'!$P$21:$AD1000,Column(H131),False))</f>
        <v>0.6</v>
      </c>
      <c r="G133" s="403">
        <f>IF($D133="","", VLOOKUP($D133,'Final Update'!$P$21:$AD1000,Column(I131),False))</f>
        <v>3.8</v>
      </c>
      <c r="H133" s="403">
        <f>IF($D133="","", VLOOKUP($D133,'Final Update'!$P$21:$AD1000,Column(J131),False))</f>
        <v>0.3</v>
      </c>
      <c r="I133" s="403">
        <f>IF($D133="","", VLOOKUP($D133,'Final Update'!$P$21:$AD1000,Column(K131),False))</f>
        <v>0.4</v>
      </c>
      <c r="J133" s="403">
        <f>IF($D133="","", VLOOKUP($D133,'Final Update'!$P$21:$AD1000,Column(L131),False))</f>
        <v>0.5</v>
      </c>
      <c r="K133" s="404">
        <f>IF($D133="","", VLOOKUP($D133,'Final Update'!$P$21:$AD1000,Column(M131),False))</f>
        <v>0.497</v>
      </c>
      <c r="L133" s="404">
        <f>IF($D133="","", VLOOKUP($D133,'Final Update'!$P$21:$AD1000,Column(N131),False))</f>
        <v>0.766</v>
      </c>
      <c r="M133" s="403">
        <f>IF($D133="","", VLOOKUP($D133,'Final Update'!$P$21:$AD1000,Column(O131),False))</f>
        <v>0.4</v>
      </c>
      <c r="N133" s="403" t="str">
        <f>IF($D133="","", VLOOKUP($D133,'Final Update'!$P$21:$AD1000,Column(C131),False))</f>
        <v>PF,C</v>
      </c>
      <c r="O133" s="94"/>
      <c r="P133" s="94"/>
      <c r="Q133" s="94"/>
      <c r="R133" s="94"/>
      <c r="S133" s="94"/>
      <c r="T133" s="94"/>
      <c r="U133" s="94"/>
      <c r="V133" s="94"/>
      <c r="W133" s="94"/>
      <c r="X133" s="94"/>
      <c r="Y133" s="94"/>
      <c r="Z133" s="94"/>
    </row>
    <row r="134">
      <c r="A134" s="94"/>
      <c r="B134" s="413">
        <v>75.0</v>
      </c>
      <c r="C134" s="397">
        <v>13.0</v>
      </c>
      <c r="D134" s="406" t="str">
        <f t="array" ref="D134">INDIRECT("Draft!P"&amp;TEXT(A121+2,"0"))</f>
        <v>Gradey Dick</v>
      </c>
      <c r="E134" s="403">
        <f>IF($D134="","", VLOOKUP($D134,'Final Update'!$P$21:$AD1000,Column(G132),False))</f>
        <v>11.4</v>
      </c>
      <c r="F134" s="403">
        <f>IF($D134="","", VLOOKUP($D134,'Final Update'!$P$21:$AD1000,Column(H132),False))</f>
        <v>2</v>
      </c>
      <c r="G134" s="403">
        <f>IF($D134="","", VLOOKUP($D134,'Final Update'!$P$21:$AD1000,Column(I132),False))</f>
        <v>2.9</v>
      </c>
      <c r="H134" s="403">
        <f>IF($D134="","", VLOOKUP($D134,'Final Update'!$P$21:$AD1000,Column(J132),False))</f>
        <v>1.5</v>
      </c>
      <c r="I134" s="403">
        <f>IF($D134="","", VLOOKUP($D134,'Final Update'!$P$21:$AD1000,Column(K132),False))</f>
        <v>0.8</v>
      </c>
      <c r="J134" s="403">
        <f>IF($D134="","", VLOOKUP($D134,'Final Update'!$P$21:$AD1000,Column(L132),False))</f>
        <v>0</v>
      </c>
      <c r="K134" s="404">
        <f>IF($D134="","", VLOOKUP($D134,'Final Update'!$P$21:$AD1000,Column(M132),False))</f>
        <v>0.424</v>
      </c>
      <c r="L134" s="404">
        <f>IF($D134="","", VLOOKUP($D134,'Final Update'!$P$21:$AD1000,Column(N132),False))</f>
        <v>0.86</v>
      </c>
      <c r="M134" s="403">
        <f>IF($D134="","", VLOOKUP($D134,'Final Update'!$P$21:$AD1000,Column(O132),False))</f>
        <v>1.1</v>
      </c>
      <c r="N134" s="403" t="str">
        <f>IF($D134="","", VLOOKUP($D134,'Final Update'!$P$21:$AD1000,Column(C132),False))</f>
        <v>SG,SF</v>
      </c>
      <c r="O134" s="94"/>
      <c r="P134" s="94"/>
      <c r="Q134" s="94"/>
      <c r="R134" s="94"/>
      <c r="S134" s="94"/>
      <c r="T134" s="94"/>
      <c r="U134" s="94"/>
      <c r="V134" s="94"/>
      <c r="W134" s="94"/>
      <c r="X134" s="94"/>
      <c r="Y134" s="94"/>
      <c r="Z134" s="94"/>
    </row>
    <row r="135">
      <c r="A135" s="94"/>
      <c r="B135" s="396">
        <f>Projections!$AK$35</f>
        <v>50</v>
      </c>
      <c r="C135" s="397">
        <v>14.0</v>
      </c>
      <c r="D135" s="407" t="str">
        <f t="array" ref="D135">INDIRECT("Draft!Q"&amp;TEXT(15-A121,"0"))</f>
        <v/>
      </c>
      <c r="E135" s="403" t="str">
        <f>IF($D135="","", VLOOKUP($D135,'Final Update'!$P$21:$AD1000,Column(G133),False))</f>
        <v/>
      </c>
      <c r="F135" s="403" t="str">
        <f>IF($D135="","", VLOOKUP($D135,'Final Update'!$P$21:$AD1000,Column(H133),False))</f>
        <v/>
      </c>
      <c r="G135" s="403" t="str">
        <f>IF($D135="","", VLOOKUP($D135,'Final Update'!$P$21:$AD1000,Column(I133),False))</f>
        <v/>
      </c>
      <c r="H135" s="403" t="str">
        <f>IF($D135="","", VLOOKUP($D135,'Final Update'!$P$21:$AD1000,Column(J133),False))</f>
        <v/>
      </c>
      <c r="I135" s="403" t="str">
        <f>IF($D135="","", VLOOKUP($D135,'Final Update'!$P$21:$AD1000,Column(K133),False))</f>
        <v/>
      </c>
      <c r="J135" s="403" t="str">
        <f>IF($D135="","", VLOOKUP($D135,'Final Update'!$P$21:$AD1000,Column(L133),False))</f>
        <v/>
      </c>
      <c r="K135" s="404" t="str">
        <f>IF($D135="","", VLOOKUP($D135,'Final Update'!$P$21:$AD1000,Column(M133),False))</f>
        <v/>
      </c>
      <c r="L135" s="404" t="str">
        <f>IF($D135="","", VLOOKUP($D135,'Final Update'!$P$21:$AD1000,Column(N133),False))</f>
        <v/>
      </c>
      <c r="M135" s="403" t="str">
        <f>IF($D135="","", VLOOKUP($D135,'Final Update'!$P$21:$AD1000,Column(O133),False))</f>
        <v/>
      </c>
      <c r="N135" s="403" t="str">
        <f>IF($D135="","", VLOOKUP($D135,'Final Update'!$P$21:$AD1000,Column(C133),False))</f>
        <v/>
      </c>
      <c r="O135" s="94"/>
      <c r="P135" s="94"/>
      <c r="Q135" s="94"/>
      <c r="R135" s="94"/>
      <c r="S135" s="94"/>
      <c r="T135" s="94"/>
      <c r="U135" s="94"/>
      <c r="V135" s="94"/>
      <c r="W135" s="94"/>
      <c r="X135" s="94"/>
      <c r="Y135" s="94"/>
      <c r="Z135" s="94"/>
    </row>
    <row r="136">
      <c r="A136" s="392" t="s">
        <v>5</v>
      </c>
      <c r="B136" s="94"/>
      <c r="C136" s="94"/>
      <c r="D136" s="395" t="s">
        <v>1291</v>
      </c>
      <c r="E136" s="409">
        <f t="shared" ref="E136:J136" si="8">IFERROR(AVERAGE(SUMPRODUCT(E122:E135,$B122:$B135/100))/(SUM(OFFSET($B122,0,0,COUNT(E122:E135)))/100),"")</f>
        <v>13.77647059</v>
      </c>
      <c r="F136" s="409">
        <f t="shared" si="8"/>
        <v>1.098039216</v>
      </c>
      <c r="G136" s="409">
        <f t="shared" si="8"/>
        <v>6.288235294</v>
      </c>
      <c r="H136" s="409">
        <f t="shared" si="8"/>
        <v>2.433333333</v>
      </c>
      <c r="I136" s="409">
        <f t="shared" si="8"/>
        <v>0.7764705882</v>
      </c>
      <c r="J136" s="409">
        <f t="shared" si="8"/>
        <v>0.7921568627</v>
      </c>
      <c r="K136" s="409">
        <f t="array" ref="K136">IFERROR(100*SUMPRODUCT(IFERROR(VLOOKUP($D122:$D135,UpdateHashtag!$C:$S,6,False),"")*$B122:$B135/100)/SUMPRODUCT(IFERROR(VLOOKUP($D122:$D135,UpdateHashtag!$C:$S,17,False),"")*$B122:$B135/100),"")</f>
        <v>50.79669802</v>
      </c>
      <c r="L136" s="409">
        <f t="array" ref="L136">IFERROR(100*SUMPRODUCT(IFERROR(VLOOKUP($D122:$D135,UpdateHashtag!$C:$T,8,False),"")*$B122:$B135/100)/SUMPRODUCT(IFERROR(VLOOKUP($D122:$D135,UpdateHashtag!$C:$T,18,False),"")*$B122:$B135/100),"")</f>
        <v>78.63362358</v>
      </c>
      <c r="M136" s="409">
        <f>IFERROR(AVERAGE(SUMPRODUCT(M122:M135,$B122:$B135/100))/(SUM(OFFSET($B122,0,0,COUNT(M122:M135)))/100),"")</f>
        <v>1.594117647</v>
      </c>
      <c r="N136" s="347" t="s">
        <v>116</v>
      </c>
      <c r="O136" s="94"/>
      <c r="P136" s="94"/>
      <c r="Q136" s="94"/>
      <c r="R136" s="94"/>
      <c r="S136" s="94"/>
      <c r="T136" s="94"/>
      <c r="U136" s="94"/>
      <c r="V136" s="94"/>
      <c r="W136" s="94"/>
      <c r="X136" s="94"/>
      <c r="Y136" s="94"/>
      <c r="Z136" s="94"/>
    </row>
    <row r="137">
      <c r="A137" s="94"/>
      <c r="B137" s="94"/>
      <c r="C137" s="94"/>
      <c r="D137" s="395" t="s">
        <v>1318</v>
      </c>
      <c r="E137" s="410">
        <f>IFERROR((SUM(OFFSET('All Teams'!$B122,0,0,COUNT('All Teams'!E122:E135)))/100)*('All Teams'!E136-'Final Update'!$B$1)/'Final Update'!$B$2,"")</f>
        <v>-8.49999777</v>
      </c>
      <c r="F137" s="410">
        <f>IFERROR((SUM(OFFSET('All Teams'!$B122,0,0,COUNT('All Teams'!F122:F135)))/100)*('All Teams'!F136-'Final Update'!$C$1)/'Final Update'!$C$2,"")</f>
        <v>-8.260352044</v>
      </c>
      <c r="G137" s="410">
        <f>IFERROR((SUM(OFFSET('All Teams'!$B122,0,0,COUNT('All Teams'!G122:G135)))/100)*('All Teams'!G136-'Final Update'!$D$1)/'Final Update'!$D$2,"")</f>
        <v>1.097104449</v>
      </c>
      <c r="H137" s="410">
        <f>IFERROR((SUM(OFFSET('All Teams'!$B122,0,0,COUNT('All Teams'!H122:H135)))/100)*('All Teams'!H136-'Final Update'!$E$1)/'Final Update'!$E$2,"")</f>
        <v>-8.727794638</v>
      </c>
      <c r="I137" s="410">
        <f>IFERROR((SUM(OFFSET('All Teams'!$B122,0,0,COUNT('All Teams'!I122:I135)))/100)*('All Teams'!I136-'Final Update'!$F$1)/'Final Update'!$F$2,"")</f>
        <v>-8.451093915</v>
      </c>
      <c r="J137" s="410">
        <f>IFERROR((SUM(OFFSET('All Teams'!$B122,0,0,COUNT('All Teams'!J122:J135)))/100)*('All Teams'!J136-'Final Update'!$G$1)/'Final Update'!$G$2,"")</f>
        <v>1.071838981</v>
      </c>
      <c r="K137" s="410">
        <f t="array" ref="K137">SUMPRODUCT(IFERROR(VLOOKUP($D122:$D135,'Final Update'!$A$4:$L$403,8,False)*$B122:$B135/100,""))</f>
        <v>1.706783185</v>
      </c>
      <c r="L137" s="410">
        <f t="array" ref="L137">SUMPRODUCT(IFERROR(VLOOKUP($D122:$D135,'Final Update'!$A$4:$L$403,10,False)*$B122:$B135/100,""))</f>
        <v>-0.7304585923</v>
      </c>
      <c r="M137" s="410">
        <f>IFERROR(-(SUM(OFFSET('All Teams'!$B122,0,0,COUNT('All Teams'!M122:M135)))/100)*('All Teams'!M136-'Final Update'!$L$1)/'Final Update'!$L$2,"")</f>
        <v>1.954595186</v>
      </c>
      <c r="N137" s="94">
        <f t="array" ref="N137">SUM(IFERROR(vlookup(D122:D135,'Final Update'!$P$21:$S$620,4,0),""))</f>
        <v>-14.6133397</v>
      </c>
      <c r="O137" s="94"/>
      <c r="P137" s="94"/>
      <c r="Q137" s="94"/>
      <c r="R137" s="94"/>
      <c r="S137" s="94"/>
      <c r="T137" s="94"/>
      <c r="U137" s="94"/>
      <c r="V137" s="94"/>
      <c r="W137" s="94"/>
      <c r="X137" s="94"/>
      <c r="Y137" s="94"/>
      <c r="Z137" s="94"/>
    </row>
    <row r="138">
      <c r="A138" s="393">
        <v>9.0</v>
      </c>
      <c r="B138" s="394" t="s">
        <v>256</v>
      </c>
      <c r="C138" s="395" t="s">
        <v>258</v>
      </c>
      <c r="D138" s="394" t="s">
        <v>3</v>
      </c>
      <c r="E138" s="394" t="s">
        <v>13</v>
      </c>
      <c r="F138" s="394" t="s">
        <v>99</v>
      </c>
      <c r="G138" s="394" t="s">
        <v>101</v>
      </c>
      <c r="H138" s="394" t="s">
        <v>15</v>
      </c>
      <c r="I138" s="394" t="s">
        <v>16</v>
      </c>
      <c r="J138" s="394" t="s">
        <v>17</v>
      </c>
      <c r="K138" s="394" t="s">
        <v>9</v>
      </c>
      <c r="L138" s="394" t="s">
        <v>11</v>
      </c>
      <c r="M138" s="394" t="s">
        <v>18</v>
      </c>
      <c r="N138" s="394" t="s">
        <v>4</v>
      </c>
      <c r="O138" s="394" t="s">
        <v>259</v>
      </c>
      <c r="P138" s="394" t="s">
        <v>4</v>
      </c>
      <c r="Q138" s="94"/>
      <c r="R138" s="94"/>
      <c r="S138" s="94"/>
      <c r="T138" s="94"/>
      <c r="U138" s="94"/>
      <c r="V138" s="94"/>
      <c r="W138" s="94"/>
      <c r="X138" s="94"/>
      <c r="Y138" s="94"/>
      <c r="Z138" s="94"/>
    </row>
    <row r="139">
      <c r="A139" s="94"/>
      <c r="B139" s="396">
        <f>Projections!$AK$22</f>
        <v>100</v>
      </c>
      <c r="C139" s="397">
        <v>1.0</v>
      </c>
      <c r="D139" s="398" t="str">
        <f t="array" ref="D139">INDIRECT("Draft!D"&amp;TEXT(A138+2,"0"))</f>
        <v>Devin Booker</v>
      </c>
      <c r="E139" s="399">
        <f>IF($D139="","", VLOOKUP($D139,'Final Update'!$P$21:$AD1000,Column(G137),False))</f>
        <v>27.8</v>
      </c>
      <c r="F139" s="399">
        <f>IF($D139="","", VLOOKUP($D139,'Final Update'!$P$21:$AD1000,Column(H137),False))</f>
        <v>2.2</v>
      </c>
      <c r="G139" s="399">
        <f>IF($D139="","", VLOOKUP($D139,'Final Update'!$P$21:$AD1000,Column(I137),False))</f>
        <v>4.5</v>
      </c>
      <c r="H139" s="399">
        <f>IF($D139="","", VLOOKUP($D139,'Final Update'!$P$21:$AD1000,Column(J137),False))</f>
        <v>5.5</v>
      </c>
      <c r="I139" s="399">
        <f>IF($D139="","", VLOOKUP($D139,'Final Update'!$P$21:$AD1000,Column(K137),False))</f>
        <v>1</v>
      </c>
      <c r="J139" s="399">
        <f>IF($D139="","", VLOOKUP($D139,'Final Update'!$P$21:$AD1000,Column(L137),False))</f>
        <v>0.4</v>
      </c>
      <c r="K139" s="400">
        <f>IF($D139="","", VLOOKUP($D139,'Final Update'!$P$21:$AD1000,Column(M137),False))</f>
        <v>0.49</v>
      </c>
      <c r="L139" s="400">
        <f>IF($D139="","", VLOOKUP($D139,'Final Update'!$P$21:$AD1000,Column(N137),False))</f>
        <v>0.873</v>
      </c>
      <c r="M139" s="399">
        <f>IF($D139="","", VLOOKUP($D139,'Final Update'!$P$21:$AD1000,Column(O137),False))</f>
        <v>2.7</v>
      </c>
      <c r="N139" s="399" t="str">
        <f>IF($D139="","", VLOOKUP($D139,'Final Update'!$P$21:$AD1000,Column(C137),False))</f>
        <v>PG,SG</v>
      </c>
      <c r="O139" s="397">
        <f t="array" ref="O139">COUNTIF(FIND(P139,$N139:$N152),"&gt;0")</f>
        <v>4</v>
      </c>
      <c r="P139" s="398" t="s">
        <v>85</v>
      </c>
      <c r="Q139" s="94"/>
      <c r="R139" s="94"/>
      <c r="S139" s="94"/>
      <c r="T139" s="94"/>
      <c r="U139" s="94"/>
      <c r="V139" s="94"/>
      <c r="W139" s="94"/>
      <c r="X139" s="94"/>
      <c r="Y139" s="94"/>
      <c r="Z139" s="94"/>
    </row>
    <row r="140">
      <c r="A140" s="94"/>
      <c r="B140" s="396">
        <f>Projections!$AK$23</f>
        <v>100</v>
      </c>
      <c r="C140" s="397">
        <v>2.0</v>
      </c>
      <c r="D140" s="401" t="str">
        <f t="array" ref="D140">INDIRECT("Draft!E"&amp;TEXT(15-A138,"0"))</f>
        <v>Kevin Durant</v>
      </c>
      <c r="E140" s="399">
        <f>IF($D140="","", VLOOKUP($D140,'Final Update'!$P$21:$AD1000,Column(G138),False))</f>
        <v>25.7</v>
      </c>
      <c r="F140" s="399">
        <f>IF($D140="","", VLOOKUP($D140,'Final Update'!$P$21:$AD1000,Column(H138),False))</f>
        <v>2.1</v>
      </c>
      <c r="G140" s="399">
        <f>IF($D140="","", VLOOKUP($D140,'Final Update'!$P$21:$AD1000,Column(I138),False))</f>
        <v>6.4</v>
      </c>
      <c r="H140" s="399">
        <f>IF($D140="","", VLOOKUP($D140,'Final Update'!$P$21:$AD1000,Column(J138),False))</f>
        <v>4.8</v>
      </c>
      <c r="I140" s="399">
        <f>IF($D140="","", VLOOKUP($D140,'Final Update'!$P$21:$AD1000,Column(K138),False))</f>
        <v>0.8</v>
      </c>
      <c r="J140" s="399">
        <f>IF($D140="","", VLOOKUP($D140,'Final Update'!$P$21:$AD1000,Column(L138),False))</f>
        <v>1.2</v>
      </c>
      <c r="K140" s="400">
        <f>IF($D140="","", VLOOKUP($D140,'Final Update'!$P$21:$AD1000,Column(M138),False))</f>
        <v>0.52</v>
      </c>
      <c r="L140" s="400">
        <f>IF($D140="","", VLOOKUP($D140,'Final Update'!$P$21:$AD1000,Column(N138),False))</f>
        <v>0.846</v>
      </c>
      <c r="M140" s="399">
        <f>IF($D140="","", VLOOKUP($D140,'Final Update'!$P$21:$AD1000,Column(O138),False))</f>
        <v>3.2</v>
      </c>
      <c r="N140" s="399" t="str">
        <f>IF($D140="","", VLOOKUP($D140,'Final Update'!$P$21:$AD1000,Column(C138),False))</f>
        <v>SF,PF</v>
      </c>
      <c r="O140" s="397">
        <f t="array" ref="O140">COUNTIF(FIND(P140,$N139:$N152),"&gt;0")</f>
        <v>5</v>
      </c>
      <c r="P140" s="398" t="s">
        <v>88</v>
      </c>
      <c r="Q140" s="94"/>
      <c r="R140" s="94"/>
      <c r="S140" s="94"/>
      <c r="T140" s="94"/>
      <c r="U140" s="94"/>
      <c r="V140" s="94"/>
      <c r="W140" s="94"/>
      <c r="X140" s="94"/>
      <c r="Y140" s="94"/>
      <c r="Z140" s="94"/>
    </row>
    <row r="141">
      <c r="A141" s="94"/>
      <c r="B141" s="396">
        <f>Projections!$AK$24</f>
        <v>100</v>
      </c>
      <c r="C141" s="397">
        <v>3.0</v>
      </c>
      <c r="D141" s="402" t="str">
        <f t="array" ref="D141">INDIRECT("Draft!F"&amp;TEXT(A138+2,"0"))</f>
        <v>Jamal Murray</v>
      </c>
      <c r="E141" s="403">
        <f>IF($D141="","", VLOOKUP($D141,'Final Update'!$P$21:$AD1000,Column(G139),False))</f>
        <v>20</v>
      </c>
      <c r="F141" s="403">
        <f>IF($D141="","", VLOOKUP($D141,'Final Update'!$P$21:$AD1000,Column(H139),False))</f>
        <v>2.5</v>
      </c>
      <c r="G141" s="403">
        <f>IF($D141="","", VLOOKUP($D141,'Final Update'!$P$21:$AD1000,Column(I139),False))</f>
        <v>3.9</v>
      </c>
      <c r="H141" s="403">
        <f>IF($D141="","", VLOOKUP($D141,'Final Update'!$P$21:$AD1000,Column(J139),False))</f>
        <v>6.1</v>
      </c>
      <c r="I141" s="403">
        <f>IF($D141="","", VLOOKUP($D141,'Final Update'!$P$21:$AD1000,Column(K139),False))</f>
        <v>1</v>
      </c>
      <c r="J141" s="403">
        <f>IF($D141="","", VLOOKUP($D141,'Final Update'!$P$21:$AD1000,Column(L139),False))</f>
        <v>0.5</v>
      </c>
      <c r="K141" s="404">
        <f>IF($D141="","", VLOOKUP($D141,'Final Update'!$P$21:$AD1000,Column(M139),False))</f>
        <v>0.471</v>
      </c>
      <c r="L141" s="404">
        <f>IF($D141="","", VLOOKUP($D141,'Final Update'!$P$21:$AD1000,Column(N139),False))</f>
        <v>0.841</v>
      </c>
      <c r="M141" s="403">
        <f>IF($D141="","", VLOOKUP($D141,'Final Update'!$P$21:$AD1000,Column(O139),False))</f>
        <v>2.1</v>
      </c>
      <c r="N141" s="403" t="str">
        <f>IF($D141="","", VLOOKUP($D141,'Final Update'!$P$21:$AD1000,Column(C139),False))</f>
        <v>PG,SG</v>
      </c>
      <c r="O141" s="397">
        <f t="array" ref="O141">COUNTIF(FIND(P141,$N139:$N152),"&gt;0")</f>
        <v>4</v>
      </c>
      <c r="P141" s="398" t="s">
        <v>90</v>
      </c>
      <c r="Q141" s="94"/>
      <c r="R141" s="94"/>
      <c r="S141" s="94"/>
      <c r="T141" s="94"/>
      <c r="U141" s="94"/>
      <c r="V141" s="94"/>
      <c r="W141" s="94"/>
      <c r="X141" s="94"/>
      <c r="Y141" s="94"/>
      <c r="Z141" s="94"/>
    </row>
    <row r="142">
      <c r="A142" s="94"/>
      <c r="B142" s="396">
        <f>Projections!$AK$25</f>
        <v>100</v>
      </c>
      <c r="C142" s="397">
        <v>4.0</v>
      </c>
      <c r="D142" s="405" t="str">
        <f t="array" ref="D142">INDIRECT("Draft!G"&amp;TEXT(15-A138,"0"))</f>
        <v>Kawhi Leonard</v>
      </c>
      <c r="E142" s="403">
        <f>IF($D142="","", VLOOKUP($D142,'Final Update'!$P$21:$AD1000,Column(G140),False))</f>
        <v>20.2</v>
      </c>
      <c r="F142" s="403">
        <f>IF($D142="","", VLOOKUP($D142,'Final Update'!$P$21:$AD1000,Column(H140),False))</f>
        <v>1.7</v>
      </c>
      <c r="G142" s="403">
        <f>IF($D142="","", VLOOKUP($D142,'Final Update'!$P$21:$AD1000,Column(I140),False))</f>
        <v>5.4</v>
      </c>
      <c r="H142" s="403">
        <f>IF($D142="","", VLOOKUP($D142,'Final Update'!$P$21:$AD1000,Column(J140),False))</f>
        <v>3.2</v>
      </c>
      <c r="I142" s="403">
        <f>IF($D142="","", VLOOKUP($D142,'Final Update'!$P$21:$AD1000,Column(K140),False))</f>
        <v>1.1</v>
      </c>
      <c r="J142" s="403">
        <f>IF($D142="","", VLOOKUP($D142,'Final Update'!$P$21:$AD1000,Column(L140),False))</f>
        <v>0.5</v>
      </c>
      <c r="K142" s="404">
        <f>IF($D142="","", VLOOKUP($D142,'Final Update'!$P$21:$AD1000,Column(M140),False))</f>
        <v>0.507</v>
      </c>
      <c r="L142" s="404">
        <f>IF($D142="","", VLOOKUP($D142,'Final Update'!$P$21:$AD1000,Column(N140),False))</f>
        <v>0.859</v>
      </c>
      <c r="M142" s="403">
        <f>IF($D142="","", VLOOKUP($D142,'Final Update'!$P$21:$AD1000,Column(O140),False))</f>
        <v>1.6</v>
      </c>
      <c r="N142" s="403" t="str">
        <f>IF($D142="","", VLOOKUP($D142,'Final Update'!$P$21:$AD1000,Column(C140),False))</f>
        <v>SG,SF,PF</v>
      </c>
      <c r="O142" s="397">
        <f t="array" ref="O142">COUNTIF(FIND(P142,$N139:$N152),"&gt;0")</f>
        <v>4</v>
      </c>
      <c r="P142" s="398" t="s">
        <v>92</v>
      </c>
      <c r="Q142" s="94"/>
      <c r="R142" s="94"/>
      <c r="S142" s="94"/>
      <c r="T142" s="94"/>
      <c r="U142" s="94"/>
      <c r="V142" s="94"/>
      <c r="W142" s="94"/>
      <c r="X142" s="94"/>
      <c r="Y142" s="94"/>
      <c r="Z142" s="94"/>
    </row>
    <row r="143">
      <c r="A143" s="94"/>
      <c r="B143" s="396">
        <f>Projections!$AK$26</f>
        <v>100</v>
      </c>
      <c r="C143" s="397">
        <v>5.0</v>
      </c>
      <c r="D143" s="406" t="str">
        <f t="array" ref="D143">INDIRECT("Draft!H"&amp;TEXT(A138+2,"0"))</f>
        <v>Jimmy Butler</v>
      </c>
      <c r="E143" s="403">
        <f>IF($D143="","", VLOOKUP($D143,'Final Update'!$P$21:$AD1000,Column(G141),False))</f>
        <v>20.7</v>
      </c>
      <c r="F143" s="403">
        <f>IF($D143="","", VLOOKUP($D143,'Final Update'!$P$21:$AD1000,Column(H141),False))</f>
        <v>0.8</v>
      </c>
      <c r="G143" s="403">
        <f>IF($D143="","", VLOOKUP($D143,'Final Update'!$P$21:$AD1000,Column(I141),False))</f>
        <v>5.4</v>
      </c>
      <c r="H143" s="403">
        <f>IF($D143="","", VLOOKUP($D143,'Final Update'!$P$21:$AD1000,Column(J141),False))</f>
        <v>5.1</v>
      </c>
      <c r="I143" s="403">
        <f>IF($D143="","", VLOOKUP($D143,'Final Update'!$P$21:$AD1000,Column(K141),False))</f>
        <v>1.3</v>
      </c>
      <c r="J143" s="403">
        <f>IF($D143="","", VLOOKUP($D143,'Final Update'!$P$21:$AD1000,Column(L141),False))</f>
        <v>0.3</v>
      </c>
      <c r="K143" s="404">
        <f>IF($D143="","", VLOOKUP($D143,'Final Update'!$P$21:$AD1000,Column(M141),False))</f>
        <v>0.492</v>
      </c>
      <c r="L143" s="404">
        <f>IF($D143="","", VLOOKUP($D143,'Final Update'!$P$21:$AD1000,Column(N141),False))</f>
        <v>0.855</v>
      </c>
      <c r="M143" s="403">
        <f>IF($D143="","", VLOOKUP($D143,'Final Update'!$P$21:$AD1000,Column(O141),False))</f>
        <v>1.6</v>
      </c>
      <c r="N143" s="403" t="str">
        <f>IF($D143="","", VLOOKUP($D143,'Final Update'!$P$21:$AD1000,Column(C141),False))</f>
        <v>SF,PF</v>
      </c>
      <c r="O143" s="397">
        <f t="array" ref="O143">COUNTIF(FIND(P143,$N139:$N152),"&gt;0")</f>
        <v>3</v>
      </c>
      <c r="P143" s="398" t="s">
        <v>97</v>
      </c>
      <c r="Q143" s="94"/>
      <c r="R143" s="94"/>
      <c r="S143" s="94"/>
      <c r="T143" s="94"/>
      <c r="U143" s="94"/>
      <c r="V143" s="94"/>
      <c r="W143" s="94"/>
      <c r="X143" s="94"/>
      <c r="Y143" s="94"/>
      <c r="Z143" s="94"/>
    </row>
    <row r="144">
      <c r="A144" s="94"/>
      <c r="B144" s="396">
        <f>Projections!$AK$27</f>
        <v>100</v>
      </c>
      <c r="C144" s="397">
        <v>6.0</v>
      </c>
      <c r="D144" s="407" t="str">
        <f t="array" ref="D144">INDIRECT("Draft!I"&amp;TEXT(15-A138,"0"))</f>
        <v>Matas Buzelis</v>
      </c>
      <c r="E144" s="403">
        <f>IF($D144="","", VLOOKUP($D144,'Final Update'!$P$21:$AD1000,Column(G142),False))</f>
        <v>7.4</v>
      </c>
      <c r="F144" s="403">
        <f>IF($D144="","", VLOOKUP($D144,'Final Update'!$P$21:$AD1000,Column(H142),False))</f>
        <v>0.5</v>
      </c>
      <c r="G144" s="403">
        <f>IF($D144="","", VLOOKUP($D144,'Final Update'!$P$21:$AD1000,Column(I142),False))</f>
        <v>3.9</v>
      </c>
      <c r="H144" s="403">
        <f>IF($D144="","", VLOOKUP($D144,'Final Update'!$P$21:$AD1000,Column(J142),False))</f>
        <v>1.1</v>
      </c>
      <c r="I144" s="403">
        <f>IF($D144="","", VLOOKUP($D144,'Final Update'!$P$21:$AD1000,Column(K142),False))</f>
        <v>0.5</v>
      </c>
      <c r="J144" s="403">
        <f>IF($D144="","", VLOOKUP($D144,'Final Update'!$P$21:$AD1000,Column(L142),False))</f>
        <v>1.2</v>
      </c>
      <c r="K144" s="404">
        <f>IF($D144="","", VLOOKUP($D144,'Final Update'!$P$21:$AD1000,Column(M142),False))</f>
        <v>0.447</v>
      </c>
      <c r="L144" s="404">
        <f>IF($D144="","", VLOOKUP($D144,'Final Update'!$P$21:$AD1000,Column(N142),False))</f>
        <v>0.678</v>
      </c>
      <c r="M144" s="403">
        <f>IF($D144="","", VLOOKUP($D144,'Final Update'!$P$21:$AD1000,Column(O142),False))</f>
        <v>1.3</v>
      </c>
      <c r="N144" s="403" t="str">
        <f>IF($D144="","", VLOOKUP($D144,'Final Update'!$P$21:$AD1000,Column(C142),False))</f>
        <v>SF</v>
      </c>
      <c r="O144" s="94"/>
      <c r="P144" s="94"/>
      <c r="Q144" s="94"/>
      <c r="R144" s="94"/>
      <c r="S144" s="94"/>
      <c r="T144" s="94"/>
      <c r="U144" s="94"/>
      <c r="V144" s="94"/>
      <c r="W144" s="94"/>
      <c r="X144" s="94"/>
      <c r="Y144" s="94"/>
      <c r="Z144" s="94"/>
    </row>
    <row r="145">
      <c r="A145" s="94"/>
      <c r="B145" s="396">
        <f>Projections!$AK$28</f>
        <v>100</v>
      </c>
      <c r="C145" s="397">
        <v>7.0</v>
      </c>
      <c r="D145" s="406" t="str">
        <f t="array" ref="D145">INDIRECT("Draft!J"&amp;TEXT(A138+2,"0"))</f>
        <v>Toumani Camara</v>
      </c>
      <c r="E145" s="403">
        <f>IF($D145="","", VLOOKUP($D145,'Final Update'!$P$21:$AD1000,Column(G143),False))</f>
        <v>6.2</v>
      </c>
      <c r="F145" s="403">
        <f>IF($D145="","", VLOOKUP($D145,'Final Update'!$P$21:$AD1000,Column(H143),False))</f>
        <v>0.7</v>
      </c>
      <c r="G145" s="403">
        <f>IF($D145="","", VLOOKUP($D145,'Final Update'!$P$21:$AD1000,Column(I143),False))</f>
        <v>4</v>
      </c>
      <c r="H145" s="403">
        <f>IF($D145="","", VLOOKUP($D145,'Final Update'!$P$21:$AD1000,Column(J143),False))</f>
        <v>1</v>
      </c>
      <c r="I145" s="403">
        <f>IF($D145="","", VLOOKUP($D145,'Final Update'!$P$21:$AD1000,Column(K143),False))</f>
        <v>0.8</v>
      </c>
      <c r="J145" s="403">
        <f>IF($D145="","", VLOOKUP($D145,'Final Update'!$P$21:$AD1000,Column(L143),False))</f>
        <v>0.4</v>
      </c>
      <c r="K145" s="404">
        <f>IF($D145="","", VLOOKUP($D145,'Final Update'!$P$21:$AD1000,Column(M143),False))</f>
        <v>0.449</v>
      </c>
      <c r="L145" s="404">
        <f>IF($D145="","", VLOOKUP($D145,'Final Update'!$P$21:$AD1000,Column(N143),False))</f>
        <v>0.759</v>
      </c>
      <c r="M145" s="403">
        <f>IF($D145="","", VLOOKUP($D145,'Final Update'!$P$21:$AD1000,Column(O143),False))</f>
        <v>1</v>
      </c>
      <c r="N145" s="403" t="str">
        <f>IF($D145="","", VLOOKUP($D145,'Final Update'!$P$21:$AD1000,Column(C143),False))</f>
        <v>PF</v>
      </c>
      <c r="O145" s="94"/>
      <c r="P145" s="94"/>
      <c r="Q145" s="94"/>
      <c r="R145" s="94"/>
      <c r="S145" s="94"/>
      <c r="T145" s="94"/>
      <c r="U145" s="94"/>
      <c r="V145" s="94"/>
      <c r="W145" s="94"/>
      <c r="X145" s="94"/>
      <c r="Y145" s="94"/>
      <c r="Z145" s="94"/>
    </row>
    <row r="146">
      <c r="A146" s="94"/>
      <c r="B146" s="396">
        <f>Projections!$AK$29</f>
        <v>100</v>
      </c>
      <c r="C146" s="397">
        <v>8.0</v>
      </c>
      <c r="D146" s="407" t="str">
        <f t="array" ref="D146">INDIRECT("Draft!K"&amp;TEXT(15-A138,"0"))</f>
        <v>Donovan Clingan</v>
      </c>
      <c r="E146" s="403">
        <f>IF($D146="","", VLOOKUP($D146,'Final Update'!$P$21:$AD1000,Column(G144),False))</f>
        <v>10.2</v>
      </c>
      <c r="F146" s="403">
        <f>IF($D146="","", VLOOKUP($D146,'Final Update'!$P$21:$AD1000,Column(H144),False))</f>
        <v>0.3</v>
      </c>
      <c r="G146" s="403">
        <f>IF($D146="","", VLOOKUP($D146,'Final Update'!$P$21:$AD1000,Column(I144),False))</f>
        <v>5.6</v>
      </c>
      <c r="H146" s="403">
        <f>IF($D146="","", VLOOKUP($D146,'Final Update'!$P$21:$AD1000,Column(J144),False))</f>
        <v>1.2</v>
      </c>
      <c r="I146" s="403">
        <f>IF($D146="","", VLOOKUP($D146,'Final Update'!$P$21:$AD1000,Column(K144),False))</f>
        <v>0.4</v>
      </c>
      <c r="J146" s="403">
        <f>IF($D146="","", VLOOKUP($D146,'Final Update'!$P$21:$AD1000,Column(L144),False))</f>
        <v>1.9</v>
      </c>
      <c r="K146" s="404">
        <f>IF($D146="","", VLOOKUP($D146,'Final Update'!$P$21:$AD1000,Column(M144),False))</f>
        <v>0.639</v>
      </c>
      <c r="L146" s="404">
        <f>IF($D146="","", VLOOKUP($D146,'Final Update'!$P$21:$AD1000,Column(N144),False))</f>
        <v>0.608</v>
      </c>
      <c r="M146" s="403">
        <f>IF($D146="","", VLOOKUP($D146,'Final Update'!$P$21:$AD1000,Column(O144),False))</f>
        <v>0.6</v>
      </c>
      <c r="N146" s="403" t="str">
        <f>IF($D146="","", VLOOKUP($D146,'Final Update'!$P$21:$AD1000,Column(C144),False))</f>
        <v>C</v>
      </c>
      <c r="O146" s="94"/>
      <c r="P146" s="94"/>
      <c r="Q146" s="94"/>
      <c r="R146" s="94"/>
      <c r="S146" s="94"/>
      <c r="T146" s="94"/>
      <c r="U146" s="94"/>
      <c r="V146" s="94"/>
      <c r="W146" s="94"/>
      <c r="X146" s="94"/>
      <c r="Y146" s="94"/>
      <c r="Z146" s="94"/>
    </row>
    <row r="147">
      <c r="A147" s="94"/>
      <c r="B147" s="396">
        <f>Projections!$AK$30</f>
        <v>100</v>
      </c>
      <c r="C147" s="397">
        <v>9.0</v>
      </c>
      <c r="D147" s="406" t="str">
        <f t="array" ref="D147">INDIRECT("Draft!L"&amp;TEXT(A138+2,"0"))</f>
        <v>Nicolas Claxton</v>
      </c>
      <c r="E147" s="403">
        <f>IF($D147="","", VLOOKUP($D147,'Final Update'!$P$21:$AD1000,Column(G145),False))</f>
        <v>12.5</v>
      </c>
      <c r="F147" s="403">
        <f>IF($D147="","", VLOOKUP($D147,'Final Update'!$P$21:$AD1000,Column(H145),False))</f>
        <v>0</v>
      </c>
      <c r="G147" s="403">
        <f>IF($D147="","", VLOOKUP($D147,'Final Update'!$P$21:$AD1000,Column(I145),False))</f>
        <v>9.8</v>
      </c>
      <c r="H147" s="403">
        <f>IF($D147="","", VLOOKUP($D147,'Final Update'!$P$21:$AD1000,Column(J145),False))</f>
        <v>2</v>
      </c>
      <c r="I147" s="403">
        <f>IF($D147="","", VLOOKUP($D147,'Final Update'!$P$21:$AD1000,Column(K145),False))</f>
        <v>0.8</v>
      </c>
      <c r="J147" s="403">
        <f>IF($D147="","", VLOOKUP($D147,'Final Update'!$P$21:$AD1000,Column(L145),False))</f>
        <v>2.2</v>
      </c>
      <c r="K147" s="404">
        <f>IF($D147="","", VLOOKUP($D147,'Final Update'!$P$21:$AD1000,Column(M145),False))</f>
        <v>0.621</v>
      </c>
      <c r="L147" s="404">
        <f>IF($D147="","", VLOOKUP($D147,'Final Update'!$P$21:$AD1000,Column(N145),False))</f>
        <v>0.555</v>
      </c>
      <c r="M147" s="403">
        <f>IF($D147="","", VLOOKUP($D147,'Final Update'!$P$21:$AD1000,Column(O145),False))</f>
        <v>1.3</v>
      </c>
      <c r="N147" s="403" t="str">
        <f>IF($D147="","", VLOOKUP($D147,'Final Update'!$P$21:$AD1000,Column(C145),False))</f>
        <v>C</v>
      </c>
      <c r="O147" s="94"/>
      <c r="P147" s="94"/>
      <c r="Q147" s="94"/>
      <c r="R147" s="94"/>
      <c r="S147" s="94"/>
      <c r="T147" s="94"/>
      <c r="U147" s="94"/>
      <c r="V147" s="94"/>
      <c r="W147" s="94"/>
      <c r="X147" s="94"/>
      <c r="Y147" s="94"/>
      <c r="Z147" s="94"/>
    </row>
    <row r="148">
      <c r="A148" s="94"/>
      <c r="B148" s="396">
        <f>Projections!$AK$31</f>
        <v>100</v>
      </c>
      <c r="C148" s="397">
        <v>10.0</v>
      </c>
      <c r="D148" s="407" t="str">
        <f t="array" ref="D148">INDIRECT("Draft!M"&amp;TEXT(15-A138,"0"))</f>
        <v>Andrew Nembhard</v>
      </c>
      <c r="E148" s="403">
        <f>IF($D148="","", VLOOKUP($D148,'Final Update'!$P$21:$AD1000,Column(G146),False))</f>
        <v>10.7</v>
      </c>
      <c r="F148" s="403">
        <f>IF($D148="","", VLOOKUP($D148,'Final Update'!$P$21:$AD1000,Column(H146),False))</f>
        <v>1.2</v>
      </c>
      <c r="G148" s="403">
        <f>IF($D148="","", VLOOKUP($D148,'Final Update'!$P$21:$AD1000,Column(I146),False))</f>
        <v>2.7</v>
      </c>
      <c r="H148" s="403">
        <f>IF($D148="","", VLOOKUP($D148,'Final Update'!$P$21:$AD1000,Column(J146),False))</f>
        <v>5</v>
      </c>
      <c r="I148" s="403">
        <f>IF($D148="","", VLOOKUP($D148,'Final Update'!$P$21:$AD1000,Column(K146),False))</f>
        <v>1.1</v>
      </c>
      <c r="J148" s="403">
        <f>IF($D148="","", VLOOKUP($D148,'Final Update'!$P$21:$AD1000,Column(L146),False))</f>
        <v>0.2</v>
      </c>
      <c r="K148" s="404">
        <f>IF($D148="","", VLOOKUP($D148,'Final Update'!$P$21:$AD1000,Column(M146),False))</f>
        <v>0.477</v>
      </c>
      <c r="L148" s="404">
        <f>IF($D148="","", VLOOKUP($D148,'Final Update'!$P$21:$AD1000,Column(N146),False))</f>
        <v>0.8</v>
      </c>
      <c r="M148" s="403">
        <f>IF($D148="","", VLOOKUP($D148,'Final Update'!$P$21:$AD1000,Column(O146),False))</f>
        <v>1.8</v>
      </c>
      <c r="N148" s="403" t="str">
        <f>IF($D148="","", VLOOKUP($D148,'Final Update'!$P$21:$AD1000,Column(C146),False))</f>
        <v>PG,SG</v>
      </c>
      <c r="O148" s="94"/>
      <c r="P148" s="94"/>
      <c r="Q148" s="94"/>
      <c r="R148" s="94"/>
      <c r="S148" s="94"/>
      <c r="T148" s="94"/>
      <c r="U148" s="94"/>
      <c r="V148" s="94"/>
      <c r="W148" s="94"/>
      <c r="X148" s="94"/>
      <c r="Y148" s="94"/>
      <c r="Z148" s="94"/>
    </row>
    <row r="149">
      <c r="A149" s="94"/>
      <c r="B149" s="396">
        <f>Projections!$AK$32</f>
        <v>100</v>
      </c>
      <c r="C149" s="397">
        <v>11.0</v>
      </c>
      <c r="D149" s="406" t="str">
        <f t="array" ref="D149">INDIRECT("Draft!N"&amp;TEXT(A138+2,"0"))</f>
        <v>Davion Mitchell</v>
      </c>
      <c r="E149" s="403">
        <f>IF($D149="","", VLOOKUP($D149,'Final Update'!$P$21:$AD1000,Column(G147),False))</f>
        <v>6.6</v>
      </c>
      <c r="F149" s="403">
        <f>IF($D149="","", VLOOKUP($D149,'Final Update'!$P$21:$AD1000,Column(H147),False))</f>
        <v>1</v>
      </c>
      <c r="G149" s="403">
        <f>IF($D149="","", VLOOKUP($D149,'Final Update'!$P$21:$AD1000,Column(I147),False))</f>
        <v>1.6</v>
      </c>
      <c r="H149" s="403">
        <f>IF($D149="","", VLOOKUP($D149,'Final Update'!$P$21:$AD1000,Column(J147),False))</f>
        <v>2.5</v>
      </c>
      <c r="I149" s="403">
        <f>IF($D149="","", VLOOKUP($D149,'Final Update'!$P$21:$AD1000,Column(K147),False))</f>
        <v>0.5</v>
      </c>
      <c r="J149" s="403">
        <f>IF($D149="","", VLOOKUP($D149,'Final Update'!$P$21:$AD1000,Column(L147),False))</f>
        <v>0.1</v>
      </c>
      <c r="K149" s="404">
        <f>IF($D149="","", VLOOKUP($D149,'Final Update'!$P$21:$AD1000,Column(M147),False))</f>
        <v>0.453</v>
      </c>
      <c r="L149" s="404">
        <f>IF($D149="","", VLOOKUP($D149,'Final Update'!$P$21:$AD1000,Column(N147),False))</f>
        <v>0.741</v>
      </c>
      <c r="M149" s="403">
        <f>IF($D149="","", VLOOKUP($D149,'Final Update'!$P$21:$AD1000,Column(O147),False))</f>
        <v>0.8</v>
      </c>
      <c r="N149" s="403" t="str">
        <f>IF($D149="","", VLOOKUP($D149,'Final Update'!$P$21:$AD1000,Column(C147),False))</f>
        <v>PG,SG</v>
      </c>
      <c r="O149" s="94"/>
      <c r="P149" s="94"/>
      <c r="Q149" s="94"/>
      <c r="R149" s="94"/>
      <c r="S149" s="94"/>
      <c r="T149" s="94"/>
      <c r="U149" s="94"/>
      <c r="V149" s="94"/>
      <c r="W149" s="94"/>
      <c r="X149" s="94"/>
      <c r="Y149" s="94"/>
      <c r="Z149" s="94"/>
    </row>
    <row r="150">
      <c r="A150" s="94"/>
      <c r="B150" s="396">
        <f>Projections!$AK$33</f>
        <v>100</v>
      </c>
      <c r="C150" s="397">
        <v>12.0</v>
      </c>
      <c r="D150" s="407" t="str">
        <f t="array" ref="D150">INDIRECT("Draft!O"&amp;TEXT(15-A138,"0"))</f>
        <v>Mitchell Robinson</v>
      </c>
      <c r="E150" s="403">
        <f>IF($D150="","", VLOOKUP($D150,'Final Update'!$P$21:$AD1000,Column(G148),False))</f>
        <v>6.8</v>
      </c>
      <c r="F150" s="403">
        <f>IF($D150="","", VLOOKUP($D150,'Final Update'!$P$21:$AD1000,Column(H148),False))</f>
        <v>0</v>
      </c>
      <c r="G150" s="403">
        <f>IF($D150="","", VLOOKUP($D150,'Final Update'!$P$21:$AD1000,Column(I148),False))</f>
        <v>9.1</v>
      </c>
      <c r="H150" s="403">
        <f>IF($D150="","", VLOOKUP($D150,'Final Update'!$P$21:$AD1000,Column(J148),False))</f>
        <v>0.8</v>
      </c>
      <c r="I150" s="403">
        <f>IF($D150="","", VLOOKUP($D150,'Final Update'!$P$21:$AD1000,Column(K148),False))</f>
        <v>1</v>
      </c>
      <c r="J150" s="403">
        <f>IF($D150="","", VLOOKUP($D150,'Final Update'!$P$21:$AD1000,Column(L148),False))</f>
        <v>1.6</v>
      </c>
      <c r="K150" s="404">
        <f>IF($D150="","", VLOOKUP($D150,'Final Update'!$P$21:$AD1000,Column(M148),False))</f>
        <v>0.64</v>
      </c>
      <c r="L150" s="404">
        <f>IF($D150="","", VLOOKUP($D150,'Final Update'!$P$21:$AD1000,Column(N148),False))</f>
        <v>0.459</v>
      </c>
      <c r="M150" s="403">
        <f>IF($D150="","", VLOOKUP($D150,'Final Update'!$P$21:$AD1000,Column(O148),False))</f>
        <v>0.7</v>
      </c>
      <c r="N150" s="403" t="str">
        <f>IF($D150="","", VLOOKUP($D150,'Final Update'!$P$21:$AD1000,Column(C148),False))</f>
        <v>C</v>
      </c>
      <c r="O150" s="94"/>
      <c r="P150" s="94"/>
      <c r="Q150" s="94"/>
      <c r="R150" s="94"/>
      <c r="S150" s="94"/>
      <c r="T150" s="94"/>
      <c r="U150" s="94"/>
      <c r="V150" s="94"/>
      <c r="W150" s="94"/>
      <c r="X150" s="94"/>
      <c r="Y150" s="94"/>
      <c r="Z150" s="94"/>
    </row>
    <row r="151">
      <c r="A151" s="94"/>
      <c r="B151" s="413">
        <v>75.0</v>
      </c>
      <c r="C151" s="397">
        <v>13.0</v>
      </c>
      <c r="D151" s="406" t="str">
        <f t="array" ref="D151">INDIRECT("Draft!P"&amp;TEXT(A138+2,"0"))</f>
        <v>Ace Bailey</v>
      </c>
      <c r="E151" s="403" t="str">
        <f>IF($D151="","", VLOOKUP($D151,'Final Update'!$P$21:$AD1000,Column(G149),False))</f>
        <v>#N/A</v>
      </c>
      <c r="F151" s="403" t="str">
        <f>IF($D151="","", VLOOKUP($D151,'Final Update'!$P$21:$AD1000,Column(H149),False))</f>
        <v>#N/A</v>
      </c>
      <c r="G151" s="403" t="str">
        <f>IF($D151="","", VLOOKUP($D151,'Final Update'!$P$21:$AD1000,Column(I149),False))</f>
        <v>#N/A</v>
      </c>
      <c r="H151" s="403" t="str">
        <f>IF($D151="","", VLOOKUP($D151,'Final Update'!$P$21:$AD1000,Column(J149),False))</f>
        <v>#N/A</v>
      </c>
      <c r="I151" s="403" t="str">
        <f>IF($D151="","", VLOOKUP($D151,'Final Update'!$P$21:$AD1000,Column(K149),False))</f>
        <v>#N/A</v>
      </c>
      <c r="J151" s="403" t="str">
        <f>IF($D151="","", VLOOKUP($D151,'Final Update'!$P$21:$AD1000,Column(L149),False))</f>
        <v>#N/A</v>
      </c>
      <c r="K151" s="404" t="str">
        <f>IF($D151="","", VLOOKUP($D151,'Final Update'!$P$21:$AD1000,Column(M149),False))</f>
        <v>#N/A</v>
      </c>
      <c r="L151" s="404" t="str">
        <f>IF($D151="","", VLOOKUP($D151,'Final Update'!$P$21:$AD1000,Column(N149),False))</f>
        <v>#N/A</v>
      </c>
      <c r="M151" s="403" t="str">
        <f>IF($D151="","", VLOOKUP($D151,'Final Update'!$P$21:$AD1000,Column(O149),False))</f>
        <v>#N/A</v>
      </c>
      <c r="N151" s="403" t="str">
        <f>IF($D151="","", VLOOKUP($D151,'Final Update'!$P$21:$AD1000,Column(C149),False))</f>
        <v>#N/A</v>
      </c>
      <c r="O151" s="94"/>
      <c r="P151" s="94"/>
      <c r="Q151" s="94"/>
      <c r="R151" s="94"/>
      <c r="S151" s="94"/>
      <c r="T151" s="94"/>
      <c r="U151" s="94"/>
      <c r="V151" s="94"/>
      <c r="W151" s="94"/>
      <c r="X151" s="94"/>
      <c r="Y151" s="94"/>
      <c r="Z151" s="94"/>
    </row>
    <row r="152">
      <c r="A152" s="94"/>
      <c r="B152" s="396">
        <f>Projections!$AK$35</f>
        <v>50</v>
      </c>
      <c r="C152" s="397">
        <v>14.0</v>
      </c>
      <c r="D152" s="407" t="str">
        <f t="array" ref="D152">INDIRECT("Draft!Q"&amp;TEXT(15-A138,"0"))</f>
        <v/>
      </c>
      <c r="E152" s="403" t="str">
        <f>IF($D152="","", VLOOKUP($D152,'Final Update'!$P$21:$AD1000,Column(G150),False))</f>
        <v/>
      </c>
      <c r="F152" s="403" t="str">
        <f>IF($D152="","", VLOOKUP($D152,'Final Update'!$P$21:$AD1000,Column(H150),False))</f>
        <v/>
      </c>
      <c r="G152" s="403" t="str">
        <f>IF($D152="","", VLOOKUP($D152,'Final Update'!$P$21:$AD1000,Column(I150),False))</f>
        <v/>
      </c>
      <c r="H152" s="403" t="str">
        <f>IF($D152="","", VLOOKUP($D152,'Final Update'!$P$21:$AD1000,Column(J150),False))</f>
        <v/>
      </c>
      <c r="I152" s="403" t="str">
        <f>IF($D152="","", VLOOKUP($D152,'Final Update'!$P$21:$AD1000,Column(K150),False))</f>
        <v/>
      </c>
      <c r="J152" s="403" t="str">
        <f>IF($D152="","", VLOOKUP($D152,'Final Update'!$P$21:$AD1000,Column(L150),False))</f>
        <v/>
      </c>
      <c r="K152" s="404" t="str">
        <f>IF($D152="","", VLOOKUP($D152,'Final Update'!$P$21:$AD1000,Column(M150),False))</f>
        <v/>
      </c>
      <c r="L152" s="404" t="str">
        <f>IF($D152="","", VLOOKUP($D152,'Final Update'!$P$21:$AD1000,Column(N150),False))</f>
        <v/>
      </c>
      <c r="M152" s="403" t="str">
        <f>IF($D152="","", VLOOKUP($D152,'Final Update'!$P$21:$AD1000,Column(O150),False))</f>
        <v/>
      </c>
      <c r="N152" s="403" t="str">
        <f>IF($D152="","", VLOOKUP($D152,'Final Update'!$P$21:$AD1000,Column(C150),False))</f>
        <v/>
      </c>
      <c r="O152" s="94"/>
      <c r="P152" s="94"/>
      <c r="Q152" s="94"/>
      <c r="R152" s="94"/>
      <c r="S152" s="94"/>
      <c r="T152" s="94"/>
      <c r="U152" s="94"/>
      <c r="V152" s="94"/>
      <c r="W152" s="94"/>
      <c r="X152" s="94"/>
      <c r="Y152" s="94"/>
      <c r="Z152" s="94"/>
    </row>
    <row r="153">
      <c r="A153" s="392" t="s">
        <v>5</v>
      </c>
      <c r="B153" s="94"/>
      <c r="C153" s="94"/>
      <c r="D153" s="395" t="s">
        <v>1291</v>
      </c>
      <c r="E153" s="409" t="str">
        <f t="shared" ref="E153:J153" si="9">IFERROR(AVERAGE(SUMPRODUCT(E139:E152,$B139:$B152/100))/(SUM(OFFSET($B139,0,0,COUNT(E139:E152)))/100),"")</f>
        <v/>
      </c>
      <c r="F153" s="409" t="str">
        <f t="shared" si="9"/>
        <v/>
      </c>
      <c r="G153" s="409" t="str">
        <f t="shared" si="9"/>
        <v/>
      </c>
      <c r="H153" s="409" t="str">
        <f t="shared" si="9"/>
        <v/>
      </c>
      <c r="I153" s="409" t="str">
        <f t="shared" si="9"/>
        <v/>
      </c>
      <c r="J153" s="409" t="str">
        <f t="shared" si="9"/>
        <v/>
      </c>
      <c r="K153" s="409">
        <f t="array" ref="K153">IFERROR(100*SUMPRODUCT(IFERROR(VLOOKUP($D139:$D152,UpdateHashtag!$C:$S,6,False),"")*$B139:$B152/100)/SUMPRODUCT(IFERROR(VLOOKUP($D139:$D152,UpdateHashtag!$C:$S,17,False),"")*$B139:$B152/100),"")</f>
        <v>51.05058366</v>
      </c>
      <c r="L153" s="409">
        <f t="array" ref="L153">IFERROR(100*SUMPRODUCT(IFERROR(VLOOKUP($D139:$D152,UpdateHashtag!$C:$T,8,False),"")*$B139:$B152/100)/SUMPRODUCT(IFERROR(VLOOKUP($D139:$D152,UpdateHashtag!$C:$T,18,False),"")*$B139:$B152/100),"")</f>
        <v>78.03030303</v>
      </c>
      <c r="M153" s="409" t="str">
        <f>IFERROR(AVERAGE(SUMPRODUCT(M139:M152,$B139:$B152/100))/(SUM(OFFSET($B139,0,0,COUNT(M139:M152)))/100),"")</f>
        <v/>
      </c>
      <c r="N153" s="347" t="s">
        <v>116</v>
      </c>
      <c r="O153" s="94"/>
      <c r="P153" s="94"/>
      <c r="Q153" s="94"/>
      <c r="R153" s="94"/>
      <c r="S153" s="94"/>
      <c r="T153" s="94"/>
      <c r="U153" s="94"/>
      <c r="V153" s="94"/>
      <c r="W153" s="94"/>
      <c r="X153" s="94"/>
      <c r="Y153" s="94"/>
      <c r="Z153" s="94"/>
    </row>
    <row r="154">
      <c r="A154" s="94"/>
      <c r="B154" s="94"/>
      <c r="C154" s="94"/>
      <c r="D154" s="395" t="s">
        <v>1318</v>
      </c>
      <c r="E154" s="410">
        <f>IFERROR((SUM(OFFSET('All Teams'!$B139,0,0,COUNT('All Teams'!E139:E152)))/100)*('All Teams'!E153-'Final Update'!$B$1)/'Final Update'!$B$2,"")</f>
        <v>-37.86430345</v>
      </c>
      <c r="F154" s="410">
        <f>IFERROR((SUM(OFFSET('All Teams'!$B139,0,0,COUNT('All Teams'!F139:F152)))/100)*('All Teams'!F153-'Final Update'!$C$1)/'Final Update'!$C$2,"")</f>
        <v>-20.88823897</v>
      </c>
      <c r="G154" s="410">
        <f>IFERROR((SUM(OFFSET('All Teams'!$B139,0,0,COUNT('All Teams'!G139:G152)))/100)*('All Teams'!G153-'Final Update'!$D$1)/'Final Update'!$D$2,"")</f>
        <v>-28.56718927</v>
      </c>
      <c r="H154" s="410">
        <f>IFERROR((SUM(OFFSET('All Teams'!$B139,0,0,COUNT('All Teams'!H139:H152)))/100)*('All Teams'!H153-'Final Update'!$E$1)/'Final Update'!$E$2,"")</f>
        <v>-21.51843192</v>
      </c>
      <c r="I154" s="410">
        <f>IFERROR((SUM(OFFSET('All Teams'!$B139,0,0,COUNT('All Teams'!I139:I152)))/100)*('All Teams'!I153-'Final Update'!$F$1)/'Final Update'!$F$2,"")</f>
        <v>-38.88228617</v>
      </c>
      <c r="J154" s="410">
        <f>IFERROR((SUM(OFFSET('All Teams'!$B139,0,0,COUNT('All Teams'!J139:J152)))/100)*('All Teams'!J153-'Final Update'!$G$1)/'Final Update'!$G$2,"")</f>
        <v>-15.94910581</v>
      </c>
      <c r="K154" s="410">
        <f t="array" ref="K154">SUMPRODUCT(IFERROR(VLOOKUP($D139:$D152,'Final Update'!$A$4:$L$403,8,False)*$B139:$B152/100,""))</f>
        <v>1.848500798</v>
      </c>
      <c r="L154" s="410">
        <f t="array" ref="L154">SUMPRODUCT(IFERROR(VLOOKUP($D139:$D152,'Final Update'!$A$4:$L$403,10,False)*$B139:$B152/100,""))</f>
        <v>-1.67718293</v>
      </c>
      <c r="M154" s="410">
        <f>IFERROR(-(SUM(OFFSET('All Teams'!$B139,0,0,COUNT('All Teams'!M139:M152)))/100)*('All Teams'!M153-'Final Update'!$L$1)/'Final Update'!$L$2,"")</f>
        <v>20.81462846</v>
      </c>
      <c r="N154" s="94">
        <f t="array" ref="N154">SUM(IFERROR(vlookup(D139:D152,'Final Update'!$P$21:$S$620,4,0),""))</f>
        <v>-6.069997941</v>
      </c>
      <c r="O154" s="94"/>
      <c r="P154" s="94"/>
      <c r="Q154" s="94"/>
      <c r="R154" s="94"/>
      <c r="S154" s="94"/>
      <c r="T154" s="94"/>
      <c r="U154" s="94"/>
      <c r="V154" s="94"/>
      <c r="W154" s="94"/>
      <c r="X154" s="94"/>
      <c r="Y154" s="94"/>
      <c r="Z154" s="94"/>
    </row>
    <row r="155">
      <c r="A155" s="393">
        <v>10.0</v>
      </c>
      <c r="B155" s="394" t="s">
        <v>256</v>
      </c>
      <c r="C155" s="395" t="s">
        <v>258</v>
      </c>
      <c r="D155" s="394" t="s">
        <v>3</v>
      </c>
      <c r="E155" s="394" t="s">
        <v>13</v>
      </c>
      <c r="F155" s="394" t="s">
        <v>99</v>
      </c>
      <c r="G155" s="394" t="s">
        <v>101</v>
      </c>
      <c r="H155" s="394" t="s">
        <v>15</v>
      </c>
      <c r="I155" s="394" t="s">
        <v>16</v>
      </c>
      <c r="J155" s="394" t="s">
        <v>17</v>
      </c>
      <c r="K155" s="394" t="s">
        <v>9</v>
      </c>
      <c r="L155" s="394" t="s">
        <v>11</v>
      </c>
      <c r="M155" s="394" t="s">
        <v>18</v>
      </c>
      <c r="N155" s="394" t="s">
        <v>4</v>
      </c>
      <c r="O155" s="394" t="s">
        <v>259</v>
      </c>
      <c r="P155" s="394" t="s">
        <v>4</v>
      </c>
      <c r="Q155" s="94"/>
      <c r="R155" s="94"/>
      <c r="S155" s="94"/>
      <c r="T155" s="94"/>
      <c r="U155" s="94"/>
      <c r="V155" s="94"/>
      <c r="W155" s="94"/>
      <c r="X155" s="94"/>
      <c r="Y155" s="94"/>
      <c r="Z155" s="94"/>
    </row>
    <row r="156">
      <c r="A156" s="94"/>
      <c r="B156" s="396">
        <f>Projections!$AK$22</f>
        <v>100</v>
      </c>
      <c r="C156" s="397">
        <v>1.0</v>
      </c>
      <c r="D156" s="398" t="str">
        <f t="array" ref="D156">INDIRECT("Draft!D"&amp;TEXT(A155+2,"0"))</f>
        <v>Domantas Sabonis</v>
      </c>
      <c r="E156" s="399">
        <f>IF($D156="","", VLOOKUP($D156,'Final Update'!$P$21:$AD1000,Column(G154),False))</f>
        <v>18.8</v>
      </c>
      <c r="F156" s="399">
        <f>IF($D156="","", VLOOKUP($D156,'Final Update'!$P$21:$AD1000,Column(H154),False))</f>
        <v>0.4</v>
      </c>
      <c r="G156" s="399">
        <f>IF($D156="","", VLOOKUP($D156,'Final Update'!$P$21:$AD1000,Column(I154),False))</f>
        <v>13.2</v>
      </c>
      <c r="H156" s="399">
        <f>IF($D156="","", VLOOKUP($D156,'Final Update'!$P$21:$AD1000,Column(J154),False))</f>
        <v>7.9</v>
      </c>
      <c r="I156" s="399">
        <f>IF($D156="","", VLOOKUP($D156,'Final Update'!$P$21:$AD1000,Column(K154),False))</f>
        <v>0.9</v>
      </c>
      <c r="J156" s="399">
        <f>IF($D156="","", VLOOKUP($D156,'Final Update'!$P$21:$AD1000,Column(L154),False))</f>
        <v>0.6</v>
      </c>
      <c r="K156" s="400">
        <f>IF($D156="","", VLOOKUP($D156,'Final Update'!$P$21:$AD1000,Column(M154),False))</f>
        <v>0.6</v>
      </c>
      <c r="L156" s="400">
        <f>IF($D156="","", VLOOKUP($D156,'Final Update'!$P$21:$AD1000,Column(N154),False))</f>
        <v>0.725</v>
      </c>
      <c r="M156" s="399">
        <f>IF($D156="","", VLOOKUP($D156,'Final Update'!$P$21:$AD1000,Column(O154),False))</f>
        <v>3.2</v>
      </c>
      <c r="N156" s="399" t="str">
        <f>IF($D156="","", VLOOKUP($D156,'Final Update'!$P$21:$AD1000,Column(C154),False))</f>
        <v>C</v>
      </c>
      <c r="O156" s="397">
        <f t="array" ref="O156">COUNTIF(FIND(P156,$N156:$N169),"&gt;0")</f>
        <v>1</v>
      </c>
      <c r="P156" s="398" t="s">
        <v>85</v>
      </c>
      <c r="Q156" s="94"/>
      <c r="R156" s="94"/>
      <c r="S156" s="94"/>
      <c r="T156" s="94"/>
      <c r="U156" s="94"/>
      <c r="V156" s="94"/>
      <c r="W156" s="94"/>
      <c r="X156" s="94"/>
      <c r="Y156" s="94"/>
      <c r="Z156" s="94"/>
    </row>
    <row r="157">
      <c r="A157" s="94"/>
      <c r="B157" s="396">
        <f>Projections!$AK$23</f>
        <v>100</v>
      </c>
      <c r="C157" s="397">
        <v>2.0</v>
      </c>
      <c r="D157" s="401" t="str">
        <f t="array" ref="D157">INDIRECT("Draft!E"&amp;TEXT(15-A155,"0"))</f>
        <v>Alperen Sengun</v>
      </c>
      <c r="E157" s="399" t="str">
        <f>IF($D157="","", VLOOKUP($D157,'Final Update'!$P$21:$AD1000,Column(G155),False))</f>
        <v>#N/A</v>
      </c>
      <c r="F157" s="399" t="str">
        <f>IF($D157="","", VLOOKUP($D157,'Final Update'!$P$21:$AD1000,Column(H155),False))</f>
        <v>#N/A</v>
      </c>
      <c r="G157" s="399" t="str">
        <f>IF($D157="","", VLOOKUP($D157,'Final Update'!$P$21:$AD1000,Column(I155),False))</f>
        <v>#N/A</v>
      </c>
      <c r="H157" s="399" t="str">
        <f>IF($D157="","", VLOOKUP($D157,'Final Update'!$P$21:$AD1000,Column(J155),False))</f>
        <v>#N/A</v>
      </c>
      <c r="I157" s="399" t="str">
        <f>IF($D157="","", VLOOKUP($D157,'Final Update'!$P$21:$AD1000,Column(K155),False))</f>
        <v>#N/A</v>
      </c>
      <c r="J157" s="399" t="str">
        <f>IF($D157="","", VLOOKUP($D157,'Final Update'!$P$21:$AD1000,Column(L155),False))</f>
        <v>#N/A</v>
      </c>
      <c r="K157" s="400" t="str">
        <f>IF($D157="","", VLOOKUP($D157,'Final Update'!$P$21:$AD1000,Column(M155),False))</f>
        <v>#N/A</v>
      </c>
      <c r="L157" s="400" t="str">
        <f>IF($D157="","", VLOOKUP($D157,'Final Update'!$P$21:$AD1000,Column(N155),False))</f>
        <v>#N/A</v>
      </c>
      <c r="M157" s="399" t="str">
        <f>IF($D157="","", VLOOKUP($D157,'Final Update'!$P$21:$AD1000,Column(O155),False))</f>
        <v>#N/A</v>
      </c>
      <c r="N157" s="399" t="str">
        <f>IF($D157="","", VLOOKUP($D157,'Final Update'!$P$21:$AD1000,Column(C155),False))</f>
        <v>#N/A</v>
      </c>
      <c r="O157" s="397">
        <f t="array" ref="O157">COUNTIF(FIND(P157,$N156:$N169),"&gt;0")</f>
        <v>2</v>
      </c>
      <c r="P157" s="398" t="s">
        <v>88</v>
      </c>
      <c r="Q157" s="94"/>
      <c r="R157" s="94"/>
      <c r="S157" s="94"/>
      <c r="T157" s="94"/>
      <c r="U157" s="94"/>
      <c r="V157" s="94"/>
      <c r="W157" s="94"/>
      <c r="X157" s="94"/>
      <c r="Y157" s="94"/>
      <c r="Z157" s="94"/>
    </row>
    <row r="158">
      <c r="A158" s="94"/>
      <c r="B158" s="396">
        <f>Projections!$AK$24</f>
        <v>100</v>
      </c>
      <c r="C158" s="397">
        <v>3.0</v>
      </c>
      <c r="D158" s="402" t="str">
        <f t="array" ref="D158">INDIRECT("Draft!F"&amp;TEXT(A155+2,"0"))</f>
        <v>Paolo Banchero</v>
      </c>
      <c r="E158" s="403">
        <f>IF($D158="","", VLOOKUP($D158,'Final Update'!$P$21:$AD1000,Column(G156),False))</f>
        <v>23.1</v>
      </c>
      <c r="F158" s="403">
        <f>IF($D158="","", VLOOKUP($D158,'Final Update'!$P$21:$AD1000,Column(H156),False))</f>
        <v>1.6</v>
      </c>
      <c r="G158" s="403">
        <f>IF($D158="","", VLOOKUP($D158,'Final Update'!$P$21:$AD1000,Column(I156),False))</f>
        <v>7.4</v>
      </c>
      <c r="H158" s="403">
        <f>IF($D158="","", VLOOKUP($D158,'Final Update'!$P$21:$AD1000,Column(J156),False))</f>
        <v>5.7</v>
      </c>
      <c r="I158" s="403">
        <f>IF($D158="","", VLOOKUP($D158,'Final Update'!$P$21:$AD1000,Column(K156),False))</f>
        <v>1</v>
      </c>
      <c r="J158" s="403">
        <f>IF($D158="","", VLOOKUP($D158,'Final Update'!$P$21:$AD1000,Column(L156),False))</f>
        <v>0.7</v>
      </c>
      <c r="K158" s="404">
        <f>IF($D158="","", VLOOKUP($D158,'Final Update'!$P$21:$AD1000,Column(M156),False))</f>
        <v>0.462</v>
      </c>
      <c r="L158" s="404">
        <f>IF($D158="","", VLOOKUP($D158,'Final Update'!$P$21:$AD1000,Column(N156),False))</f>
        <v>0.731</v>
      </c>
      <c r="M158" s="403">
        <f>IF($D158="","", VLOOKUP($D158,'Final Update'!$P$21:$AD1000,Column(O156),False))</f>
        <v>3</v>
      </c>
      <c r="N158" s="403" t="str">
        <f>IF($D158="","", VLOOKUP($D158,'Final Update'!$P$21:$AD1000,Column(C156),False))</f>
        <v>SF,PF</v>
      </c>
      <c r="O158" s="397">
        <f t="array" ref="O158">COUNTIF(FIND(P158,$N156:$N169),"&gt;0")</f>
        <v>3</v>
      </c>
      <c r="P158" s="398" t="s">
        <v>90</v>
      </c>
      <c r="Q158" s="94"/>
      <c r="R158" s="94"/>
      <c r="S158" s="94"/>
      <c r="T158" s="94"/>
      <c r="U158" s="94"/>
      <c r="V158" s="94"/>
      <c r="W158" s="94"/>
      <c r="X158" s="94"/>
      <c r="Y158" s="94"/>
      <c r="Z158" s="94"/>
    </row>
    <row r="159">
      <c r="A159" s="94"/>
      <c r="B159" s="396">
        <f>Projections!$AK$25</f>
        <v>100</v>
      </c>
      <c r="C159" s="397">
        <v>4.0</v>
      </c>
      <c r="D159" s="405" t="str">
        <f t="array" ref="D159">INDIRECT("Draft!G"&amp;TEXT(15-A155,"0"))</f>
        <v>Nikola Vucevic</v>
      </c>
      <c r="E159" s="403">
        <f>IF($D159="","", VLOOKUP($D159,'Final Update'!$P$21:$AD1000,Column(G157),False))</f>
        <v>17.1</v>
      </c>
      <c r="F159" s="403">
        <f>IF($D159="","", VLOOKUP($D159,'Final Update'!$P$21:$AD1000,Column(H157),False))</f>
        <v>1.4</v>
      </c>
      <c r="G159" s="403">
        <f>IF($D159="","", VLOOKUP($D159,'Final Update'!$P$21:$AD1000,Column(I157),False))</f>
        <v>10.4</v>
      </c>
      <c r="H159" s="403">
        <f>IF($D159="","", VLOOKUP($D159,'Final Update'!$P$21:$AD1000,Column(J157),False))</f>
        <v>3.3</v>
      </c>
      <c r="I159" s="403">
        <f>IF($D159="","", VLOOKUP($D159,'Final Update'!$P$21:$AD1000,Column(K157),False))</f>
        <v>0.7</v>
      </c>
      <c r="J159" s="403">
        <f>IF($D159="","", VLOOKUP($D159,'Final Update'!$P$21:$AD1000,Column(L157),False))</f>
        <v>0.7</v>
      </c>
      <c r="K159" s="404">
        <f>IF($D159="","", VLOOKUP($D159,'Final Update'!$P$21:$AD1000,Column(M157),False))</f>
        <v>0.482</v>
      </c>
      <c r="L159" s="404">
        <f>IF($D159="","", VLOOKUP($D159,'Final Update'!$P$21:$AD1000,Column(N157),False))</f>
        <v>0.817</v>
      </c>
      <c r="M159" s="403">
        <f>IF($D159="","", VLOOKUP($D159,'Final Update'!$P$21:$AD1000,Column(O157),False))</f>
        <v>1.6</v>
      </c>
      <c r="N159" s="403" t="str">
        <f>IF($D159="","", VLOOKUP($D159,'Final Update'!$P$21:$AD1000,Column(C157),False))</f>
        <v>PF,C</v>
      </c>
      <c r="O159" s="397">
        <f t="array" ref="O159">COUNTIF(FIND(P159,$N156:$N169),"&gt;0")</f>
        <v>5</v>
      </c>
      <c r="P159" s="398" t="s">
        <v>92</v>
      </c>
      <c r="Q159" s="94"/>
      <c r="R159" s="94"/>
      <c r="S159" s="94"/>
      <c r="T159" s="94"/>
      <c r="U159" s="94"/>
      <c r="V159" s="94"/>
      <c r="W159" s="94"/>
      <c r="X159" s="94"/>
      <c r="Y159" s="94"/>
      <c r="Z159" s="94"/>
    </row>
    <row r="160">
      <c r="A160" s="94"/>
      <c r="B160" s="396">
        <f>Projections!$AK$26</f>
        <v>100</v>
      </c>
      <c r="C160" s="397">
        <v>5.0</v>
      </c>
      <c r="D160" s="406" t="str">
        <f t="array" ref="D160">INDIRECT("Draft!H"&amp;TEXT(A155+2,"0"))</f>
        <v>Desmond Bane</v>
      </c>
      <c r="E160" s="403">
        <f>IF($D160="","", VLOOKUP($D160,'Final Update'!$P$21:$AD1000,Column(G158),False))</f>
        <v>21.4</v>
      </c>
      <c r="F160" s="403">
        <f>IF($D160="","", VLOOKUP($D160,'Final Update'!$P$21:$AD1000,Column(H158),False))</f>
        <v>2.9</v>
      </c>
      <c r="G160" s="403">
        <f>IF($D160="","", VLOOKUP($D160,'Final Update'!$P$21:$AD1000,Column(I158),False))</f>
        <v>4.5</v>
      </c>
      <c r="H160" s="403">
        <f>IF($D160="","", VLOOKUP($D160,'Final Update'!$P$21:$AD1000,Column(J158),False))</f>
        <v>4.4</v>
      </c>
      <c r="I160" s="403">
        <f>IF($D160="","", VLOOKUP($D160,'Final Update'!$P$21:$AD1000,Column(K158),False))</f>
        <v>1</v>
      </c>
      <c r="J160" s="403">
        <f>IF($D160="","", VLOOKUP($D160,'Final Update'!$P$21:$AD1000,Column(L158),False))</f>
        <v>0.4</v>
      </c>
      <c r="K160" s="404">
        <f>IF($D160="","", VLOOKUP($D160,'Final Update'!$P$21:$AD1000,Column(M158),False))</f>
        <v>0.472</v>
      </c>
      <c r="L160" s="404">
        <f>IF($D160="","", VLOOKUP($D160,'Final Update'!$P$21:$AD1000,Column(N158),False))</f>
        <v>0.877</v>
      </c>
      <c r="M160" s="403">
        <f>IF($D160="","", VLOOKUP($D160,'Final Update'!$P$21:$AD1000,Column(O158),False))</f>
        <v>2.3</v>
      </c>
      <c r="N160" s="403" t="str">
        <f>IF($D160="","", VLOOKUP($D160,'Final Update'!$P$21:$AD1000,Column(C158),False))</f>
        <v>SG,SF</v>
      </c>
      <c r="O160" s="397">
        <f t="array" ref="O160">COUNTIF(FIND(P160,$N156:$N169),"&gt;0")</f>
        <v>6</v>
      </c>
      <c r="P160" s="398" t="s">
        <v>97</v>
      </c>
      <c r="Q160" s="94"/>
      <c r="R160" s="94"/>
      <c r="S160" s="94"/>
      <c r="T160" s="94"/>
      <c r="U160" s="94"/>
      <c r="V160" s="94"/>
      <c r="W160" s="94"/>
      <c r="X160" s="94"/>
      <c r="Y160" s="94"/>
      <c r="Z160" s="94"/>
    </row>
    <row r="161">
      <c r="A161" s="94"/>
      <c r="B161" s="396">
        <f>Projections!$AK$27</f>
        <v>100</v>
      </c>
      <c r="C161" s="397">
        <v>6.0</v>
      </c>
      <c r="D161" s="407" t="str">
        <f t="array" ref="D161">INDIRECT("Draft!I"&amp;TEXT(15-A155,"0"))</f>
        <v>Deandre Ayton</v>
      </c>
      <c r="E161" s="403">
        <f>IF($D161="","", VLOOKUP($D161,'Final Update'!$P$21:$AD1000,Column(G159),False))</f>
        <v>17</v>
      </c>
      <c r="F161" s="403">
        <f>IF($D161="","", VLOOKUP($D161,'Final Update'!$P$21:$AD1000,Column(H159),False))</f>
        <v>0.1</v>
      </c>
      <c r="G161" s="403">
        <f>IF($D161="","", VLOOKUP($D161,'Final Update'!$P$21:$AD1000,Column(I159),False))</f>
        <v>10.3</v>
      </c>
      <c r="H161" s="403">
        <f>IF($D161="","", VLOOKUP($D161,'Final Update'!$P$21:$AD1000,Column(J159),False))</f>
        <v>1.7</v>
      </c>
      <c r="I161" s="403">
        <f>IF($D161="","", VLOOKUP($D161,'Final Update'!$P$21:$AD1000,Column(K159),False))</f>
        <v>0.8</v>
      </c>
      <c r="J161" s="403">
        <f>IF($D161="","", VLOOKUP($D161,'Final Update'!$P$21:$AD1000,Column(L159),False))</f>
        <v>0.8</v>
      </c>
      <c r="K161" s="404">
        <f>IF($D161="","", VLOOKUP($D161,'Final Update'!$P$21:$AD1000,Column(M159),False))</f>
        <v>0.571</v>
      </c>
      <c r="L161" s="404">
        <f>IF($D161="","", VLOOKUP($D161,'Final Update'!$P$21:$AD1000,Column(N159),False))</f>
        <v>0.778</v>
      </c>
      <c r="M161" s="403">
        <f>IF($D161="","", VLOOKUP($D161,'Final Update'!$P$21:$AD1000,Column(O159),False))</f>
        <v>1.8</v>
      </c>
      <c r="N161" s="403" t="str">
        <f>IF($D161="","", VLOOKUP($D161,'Final Update'!$P$21:$AD1000,Column(C159),False))</f>
        <v>C</v>
      </c>
      <c r="O161" s="94"/>
      <c r="P161" s="94"/>
      <c r="Q161" s="94"/>
      <c r="R161" s="94"/>
      <c r="S161" s="94"/>
      <c r="T161" s="94"/>
      <c r="U161" s="94"/>
      <c r="V161" s="94"/>
      <c r="W161" s="94"/>
      <c r="X161" s="94"/>
      <c r="Y161" s="94"/>
      <c r="Z161" s="94"/>
    </row>
    <row r="162">
      <c r="A162" s="94"/>
      <c r="B162" s="396">
        <f>Projections!$AK$28</f>
        <v>100</v>
      </c>
      <c r="C162" s="397">
        <v>7.0</v>
      </c>
      <c r="D162" s="406" t="str">
        <f t="array" ref="D162">INDIRECT("Draft!J"&amp;TEXT(A155+2,"0"))</f>
        <v>Brandon Ingram</v>
      </c>
      <c r="E162" s="403">
        <f>IF($D162="","", VLOOKUP($D162,'Final Update'!$P$21:$AD1000,Column(G160),False))</f>
        <v>20.1</v>
      </c>
      <c r="F162" s="403">
        <f>IF($D162="","", VLOOKUP($D162,'Final Update'!$P$21:$AD1000,Column(H160),False))</f>
        <v>1.3</v>
      </c>
      <c r="G162" s="403">
        <f>IF($D162="","", VLOOKUP($D162,'Final Update'!$P$21:$AD1000,Column(I160),False))</f>
        <v>4.8</v>
      </c>
      <c r="H162" s="403">
        <f>IF($D162="","", VLOOKUP($D162,'Final Update'!$P$21:$AD1000,Column(J160),False))</f>
        <v>4.6</v>
      </c>
      <c r="I162" s="403">
        <f>IF($D162="","", VLOOKUP($D162,'Final Update'!$P$21:$AD1000,Column(K160),False))</f>
        <v>0.8</v>
      </c>
      <c r="J162" s="403">
        <f>IF($D162="","", VLOOKUP($D162,'Final Update'!$P$21:$AD1000,Column(L160),False))</f>
        <v>0.6</v>
      </c>
      <c r="K162" s="404">
        <f>IF($D162="","", VLOOKUP($D162,'Final Update'!$P$21:$AD1000,Column(M160),False))</f>
        <v>0.492</v>
      </c>
      <c r="L162" s="404">
        <f>IF($D162="","", VLOOKUP($D162,'Final Update'!$P$21:$AD1000,Column(N160),False))</f>
        <v>0.812</v>
      </c>
      <c r="M162" s="403">
        <f>IF($D162="","", VLOOKUP($D162,'Final Update'!$P$21:$AD1000,Column(O160),False))</f>
        <v>2.3</v>
      </c>
      <c r="N162" s="403" t="str">
        <f>IF($D162="","", VLOOKUP($D162,'Final Update'!$P$21:$AD1000,Column(C160),False))</f>
        <v>SG,SF,PF</v>
      </c>
      <c r="O162" s="94"/>
      <c r="P162" s="94"/>
      <c r="Q162" s="94"/>
      <c r="R162" s="94"/>
      <c r="S162" s="94"/>
      <c r="T162" s="94"/>
      <c r="U162" s="94"/>
      <c r="V162" s="94"/>
      <c r="W162" s="94"/>
      <c r="X162" s="94"/>
      <c r="Y162" s="94"/>
      <c r="Z162" s="94"/>
    </row>
    <row r="163">
      <c r="A163" s="94"/>
      <c r="B163" s="396">
        <f>Projections!$AK$29</f>
        <v>100</v>
      </c>
      <c r="C163" s="397">
        <v>8.0</v>
      </c>
      <c r="D163" s="407" t="str">
        <f t="array" ref="D163">INDIRECT("Draft!K"&amp;TEXT(15-A155,"0"))</f>
        <v>R.J. Barrett</v>
      </c>
      <c r="E163" s="403" t="str">
        <f>IF($D163="","", VLOOKUP($D163,'Final Update'!$P$21:$AD1000,Column(G161),False))</f>
        <v>#N/A</v>
      </c>
      <c r="F163" s="403" t="str">
        <f>IF($D163="","", VLOOKUP($D163,'Final Update'!$P$21:$AD1000,Column(H161),False))</f>
        <v>#N/A</v>
      </c>
      <c r="G163" s="403" t="str">
        <f>IF($D163="","", VLOOKUP($D163,'Final Update'!$P$21:$AD1000,Column(I161),False))</f>
        <v>#N/A</v>
      </c>
      <c r="H163" s="403" t="str">
        <f>IF($D163="","", VLOOKUP($D163,'Final Update'!$P$21:$AD1000,Column(J161),False))</f>
        <v>#N/A</v>
      </c>
      <c r="I163" s="403" t="str">
        <f>IF($D163="","", VLOOKUP($D163,'Final Update'!$P$21:$AD1000,Column(K161),False))</f>
        <v>#N/A</v>
      </c>
      <c r="J163" s="403" t="str">
        <f>IF($D163="","", VLOOKUP($D163,'Final Update'!$P$21:$AD1000,Column(L161),False))</f>
        <v>#N/A</v>
      </c>
      <c r="K163" s="404" t="str">
        <f>IF($D163="","", VLOOKUP($D163,'Final Update'!$P$21:$AD1000,Column(M161),False))</f>
        <v>#N/A</v>
      </c>
      <c r="L163" s="404" t="str">
        <f>IF($D163="","", VLOOKUP($D163,'Final Update'!$P$21:$AD1000,Column(N161),False))</f>
        <v>#N/A</v>
      </c>
      <c r="M163" s="403" t="str">
        <f>IF($D163="","", VLOOKUP($D163,'Final Update'!$P$21:$AD1000,Column(O161),False))</f>
        <v>#N/A</v>
      </c>
      <c r="N163" s="403" t="str">
        <f>IF($D163="","", VLOOKUP($D163,'Final Update'!$P$21:$AD1000,Column(C161),False))</f>
        <v>#N/A</v>
      </c>
      <c r="O163" s="94"/>
      <c r="P163" s="94"/>
      <c r="Q163" s="94"/>
      <c r="R163" s="94"/>
      <c r="S163" s="94"/>
      <c r="T163" s="94"/>
      <c r="U163" s="94"/>
      <c r="V163" s="94"/>
      <c r="W163" s="94"/>
      <c r="X163" s="94"/>
      <c r="Y163" s="94"/>
      <c r="Z163" s="94"/>
    </row>
    <row r="164">
      <c r="A164" s="94"/>
      <c r="B164" s="396">
        <f>Projections!$AK$30</f>
        <v>100</v>
      </c>
      <c r="C164" s="397">
        <v>9.0</v>
      </c>
      <c r="D164" s="406" t="str">
        <f t="array" ref="D164">INDIRECT("Draft!L"&amp;TEXT(A155+2,"0"))</f>
        <v>Aaron Gordon</v>
      </c>
      <c r="E164" s="403">
        <f>IF($D164="","", VLOOKUP($D164,'Final Update'!$P$21:$AD1000,Column(G162),False))</f>
        <v>15.3</v>
      </c>
      <c r="F164" s="403">
        <f>IF($D164="","", VLOOKUP($D164,'Final Update'!$P$21:$AD1000,Column(H162),False))</f>
        <v>0.7</v>
      </c>
      <c r="G164" s="403">
        <f>IF($D164="","", VLOOKUP($D164,'Final Update'!$P$21:$AD1000,Column(I162),False))</f>
        <v>6.6</v>
      </c>
      <c r="H164" s="403">
        <f>IF($D164="","", VLOOKUP($D164,'Final Update'!$P$21:$AD1000,Column(J162),False))</f>
        <v>3.3</v>
      </c>
      <c r="I164" s="403">
        <f>IF($D164="","", VLOOKUP($D164,'Final Update'!$P$21:$AD1000,Column(K162),False))</f>
        <v>0.8</v>
      </c>
      <c r="J164" s="403">
        <f>IF($D164="","", VLOOKUP($D164,'Final Update'!$P$21:$AD1000,Column(L162),False))</f>
        <v>0.7</v>
      </c>
      <c r="K164" s="404">
        <f>IF($D164="","", VLOOKUP($D164,'Final Update'!$P$21:$AD1000,Column(M162),False))</f>
        <v>0.56</v>
      </c>
      <c r="L164" s="404">
        <f>IF($D164="","", VLOOKUP($D164,'Final Update'!$P$21:$AD1000,Column(N162),False))</f>
        <v>0.632</v>
      </c>
      <c r="M164" s="403">
        <f>IF($D164="","", VLOOKUP($D164,'Final Update'!$P$21:$AD1000,Column(O162),False))</f>
        <v>1.5</v>
      </c>
      <c r="N164" s="403" t="str">
        <f>IF($D164="","", VLOOKUP($D164,'Final Update'!$P$21:$AD1000,Column(C162),False))</f>
        <v>PF,C</v>
      </c>
      <c r="O164" s="94"/>
      <c r="P164" s="94"/>
      <c r="Q164" s="94"/>
      <c r="R164" s="94"/>
      <c r="S164" s="94"/>
      <c r="T164" s="94"/>
      <c r="U164" s="94"/>
      <c r="V164" s="94"/>
      <c r="W164" s="94"/>
      <c r="X164" s="94"/>
      <c r="Y164" s="94"/>
      <c r="Z164" s="94"/>
    </row>
    <row r="165">
      <c r="A165" s="94"/>
      <c r="B165" s="396">
        <f>Projections!$AK$31</f>
        <v>100</v>
      </c>
      <c r="C165" s="397">
        <v>10.0</v>
      </c>
      <c r="D165" s="407" t="str">
        <f t="array" ref="D165">INDIRECT("Draft!M"&amp;TEXT(15-A155,"0"))</f>
        <v>Jabari Smith Jr.</v>
      </c>
      <c r="E165" s="403">
        <f>IF($D165="","", VLOOKUP($D165,'Final Update'!$P$21:$AD1000,Column(G163),False))</f>
        <v>14</v>
      </c>
      <c r="F165" s="403">
        <f>IF($D165="","", VLOOKUP($D165,'Final Update'!$P$21:$AD1000,Column(H163),False))</f>
        <v>1.9</v>
      </c>
      <c r="G165" s="403">
        <f>IF($D165="","", VLOOKUP($D165,'Final Update'!$P$21:$AD1000,Column(I163),False))</f>
        <v>8.4</v>
      </c>
      <c r="H165" s="403">
        <f>IF($D165="","", VLOOKUP($D165,'Final Update'!$P$21:$AD1000,Column(J163),False))</f>
        <v>1.5</v>
      </c>
      <c r="I165" s="403">
        <f>IF($D165="","", VLOOKUP($D165,'Final Update'!$P$21:$AD1000,Column(K163),False))</f>
        <v>0.8</v>
      </c>
      <c r="J165" s="403">
        <f>IF($D165="","", VLOOKUP($D165,'Final Update'!$P$21:$AD1000,Column(L163),False))</f>
        <v>0.9</v>
      </c>
      <c r="K165" s="404">
        <f>IF($D165="","", VLOOKUP($D165,'Final Update'!$P$21:$AD1000,Column(M163),False))</f>
        <v>0.463</v>
      </c>
      <c r="L165" s="404">
        <f>IF($D165="","", VLOOKUP($D165,'Final Update'!$P$21:$AD1000,Column(N163),False))</f>
        <v>0.824</v>
      </c>
      <c r="M165" s="403">
        <f>IF($D165="","", VLOOKUP($D165,'Final Update'!$P$21:$AD1000,Column(O163),False))</f>
        <v>1.3</v>
      </c>
      <c r="N165" s="403" t="str">
        <f>IF($D165="","", VLOOKUP($D165,'Final Update'!$P$21:$AD1000,Column(C163),False))</f>
        <v>PF,C</v>
      </c>
      <c r="O165" s="94"/>
      <c r="P165" s="94"/>
      <c r="Q165" s="94"/>
      <c r="R165" s="94"/>
      <c r="S165" s="94"/>
      <c r="T165" s="94"/>
      <c r="U165" s="94"/>
      <c r="V165" s="94"/>
      <c r="W165" s="94"/>
      <c r="X165" s="94"/>
      <c r="Y165" s="94"/>
      <c r="Z165" s="94"/>
    </row>
    <row r="166">
      <c r="A166" s="94"/>
      <c r="B166" s="396">
        <f>Projections!$AK$32</f>
        <v>100</v>
      </c>
      <c r="C166" s="397">
        <v>11.0</v>
      </c>
      <c r="D166" s="406" t="str">
        <f t="array" ref="D166">INDIRECT("Draft!N"&amp;TEXT(A155+2,"0"))</f>
        <v>Kel'el Ware</v>
      </c>
      <c r="E166" s="403">
        <f>IF($D166="","", VLOOKUP($D166,'Final Update'!$P$21:$AD1000,Column(G164),False))</f>
        <v>6.3</v>
      </c>
      <c r="F166" s="403">
        <f>IF($D166="","", VLOOKUP($D166,'Final Update'!$P$21:$AD1000,Column(H164),False))</f>
        <v>0.2</v>
      </c>
      <c r="G166" s="403">
        <f>IF($D166="","", VLOOKUP($D166,'Final Update'!$P$21:$AD1000,Column(I164),False))</f>
        <v>3.9</v>
      </c>
      <c r="H166" s="403">
        <f>IF($D166="","", VLOOKUP($D166,'Final Update'!$P$21:$AD1000,Column(J164),False))</f>
        <v>0.6</v>
      </c>
      <c r="I166" s="403">
        <f>IF($D166="","", VLOOKUP($D166,'Final Update'!$P$21:$AD1000,Column(K164),False))</f>
        <v>0.2</v>
      </c>
      <c r="J166" s="403">
        <f>IF($D166="","", VLOOKUP($D166,'Final Update'!$P$21:$AD1000,Column(L164),False))</f>
        <v>0.7</v>
      </c>
      <c r="K166" s="404">
        <f>IF($D166="","", VLOOKUP($D166,'Final Update'!$P$21:$AD1000,Column(M164),False))</f>
        <v>0.512</v>
      </c>
      <c r="L166" s="404">
        <f>IF($D166="","", VLOOKUP($D166,'Final Update'!$P$21:$AD1000,Column(N164),False))</f>
        <v>0.633</v>
      </c>
      <c r="M166" s="403">
        <f>IF($D166="","", VLOOKUP($D166,'Final Update'!$P$21:$AD1000,Column(O164),False))</f>
        <v>0.6</v>
      </c>
      <c r="N166" s="403" t="str">
        <f>IF($D166="","", VLOOKUP($D166,'Final Update'!$P$21:$AD1000,Column(C164),False))</f>
        <v>C</v>
      </c>
      <c r="O166" s="94"/>
      <c r="P166" s="94"/>
      <c r="Q166" s="94"/>
      <c r="R166" s="94"/>
      <c r="S166" s="94"/>
      <c r="T166" s="94"/>
      <c r="U166" s="94"/>
      <c r="V166" s="94"/>
      <c r="W166" s="94"/>
      <c r="X166" s="94"/>
      <c r="Y166" s="94"/>
      <c r="Z166" s="94"/>
    </row>
    <row r="167">
      <c r="A167" s="94"/>
      <c r="B167" s="396">
        <f>Projections!$AK$33</f>
        <v>100</v>
      </c>
      <c r="C167" s="397">
        <v>12.0</v>
      </c>
      <c r="D167" s="407" t="str">
        <f t="array" ref="D167">INDIRECT("Draft!O"&amp;TEXT(15-A155,"0"))</f>
        <v>Stephon Castle</v>
      </c>
      <c r="E167" s="403">
        <f>IF($D167="","", VLOOKUP($D167,'Final Update'!$P$21:$AD1000,Column(G165),False))</f>
        <v>7.5</v>
      </c>
      <c r="F167" s="403">
        <f>IF($D167="","", VLOOKUP($D167,'Final Update'!$P$21:$AD1000,Column(H165),False))</f>
        <v>0.4</v>
      </c>
      <c r="G167" s="403">
        <f>IF($D167="","", VLOOKUP($D167,'Final Update'!$P$21:$AD1000,Column(I165),False))</f>
        <v>3.1</v>
      </c>
      <c r="H167" s="403">
        <f>IF($D167="","", VLOOKUP($D167,'Final Update'!$P$21:$AD1000,Column(J165),False))</f>
        <v>2.6</v>
      </c>
      <c r="I167" s="403">
        <f>IF($D167="","", VLOOKUP($D167,'Final Update'!$P$21:$AD1000,Column(K165),False))</f>
        <v>0.8</v>
      </c>
      <c r="J167" s="403">
        <f>IF($D167="","", VLOOKUP($D167,'Final Update'!$P$21:$AD1000,Column(L165),False))</f>
        <v>0.4</v>
      </c>
      <c r="K167" s="404">
        <f>IF($D167="","", VLOOKUP($D167,'Final Update'!$P$21:$AD1000,Column(M165),False))</f>
        <v>0.465</v>
      </c>
      <c r="L167" s="404">
        <f>IF($D167="","", VLOOKUP($D167,'Final Update'!$P$21:$AD1000,Column(N165),False))</f>
        <v>0.755</v>
      </c>
      <c r="M167" s="403">
        <f>IF($D167="","", VLOOKUP($D167,'Final Update'!$P$21:$AD1000,Column(O165),False))</f>
        <v>1</v>
      </c>
      <c r="N167" s="403" t="str">
        <f>IF($D167="","", VLOOKUP($D167,'Final Update'!$P$21:$AD1000,Column(C165),False))</f>
        <v>PG</v>
      </c>
      <c r="O167" s="94"/>
      <c r="P167" s="94"/>
      <c r="Q167" s="94"/>
      <c r="R167" s="94"/>
      <c r="S167" s="94"/>
      <c r="T167" s="94"/>
      <c r="U167" s="94"/>
      <c r="V167" s="94"/>
      <c r="W167" s="94"/>
      <c r="X167" s="94"/>
      <c r="Y167" s="94"/>
      <c r="Z167" s="94"/>
    </row>
    <row r="168">
      <c r="A168" s="94"/>
      <c r="B168" s="408">
        <f>Projections!$AK$34</f>
        <v>100</v>
      </c>
      <c r="C168" s="397">
        <v>13.0</v>
      </c>
      <c r="D168" s="406" t="str">
        <f t="array" ref="D168">INDIRECT("Draft!P"&amp;TEXT(A155+2,"0"))</f>
        <v>Dennis Schroder</v>
      </c>
      <c r="E168" s="403" t="str">
        <f>IF($D168="","", VLOOKUP($D168,'Final Update'!$P$21:$AD1000,Column(G166),False))</f>
        <v>#N/A</v>
      </c>
      <c r="F168" s="403" t="str">
        <f>IF($D168="","", VLOOKUP($D168,'Final Update'!$P$21:$AD1000,Column(H166),False))</f>
        <v>#N/A</v>
      </c>
      <c r="G168" s="403" t="str">
        <f>IF($D168="","", VLOOKUP($D168,'Final Update'!$P$21:$AD1000,Column(I166),False))</f>
        <v>#N/A</v>
      </c>
      <c r="H168" s="403" t="str">
        <f>IF($D168="","", VLOOKUP($D168,'Final Update'!$P$21:$AD1000,Column(J166),False))</f>
        <v>#N/A</v>
      </c>
      <c r="I168" s="403" t="str">
        <f>IF($D168="","", VLOOKUP($D168,'Final Update'!$P$21:$AD1000,Column(K166),False))</f>
        <v>#N/A</v>
      </c>
      <c r="J168" s="403" t="str">
        <f>IF($D168="","", VLOOKUP($D168,'Final Update'!$P$21:$AD1000,Column(L166),False))</f>
        <v>#N/A</v>
      </c>
      <c r="K168" s="404" t="str">
        <f>IF($D168="","", VLOOKUP($D168,'Final Update'!$P$21:$AD1000,Column(M166),False))</f>
        <v>#N/A</v>
      </c>
      <c r="L168" s="404" t="str">
        <f>IF($D168="","", VLOOKUP($D168,'Final Update'!$P$21:$AD1000,Column(N166),False))</f>
        <v>#N/A</v>
      </c>
      <c r="M168" s="403" t="str">
        <f>IF($D168="","", VLOOKUP($D168,'Final Update'!$P$21:$AD1000,Column(O166),False))</f>
        <v>#N/A</v>
      </c>
      <c r="N168" s="403" t="str">
        <f>IF($D168="","", VLOOKUP($D168,'Final Update'!$P$21:$AD1000,Column(C166),False))</f>
        <v>#N/A</v>
      </c>
      <c r="O168" s="94"/>
      <c r="P168" s="94"/>
      <c r="Q168" s="94"/>
      <c r="R168" s="94"/>
      <c r="S168" s="94"/>
      <c r="T168" s="94"/>
      <c r="U168" s="94"/>
      <c r="V168" s="94"/>
      <c r="W168" s="94"/>
      <c r="X168" s="94"/>
      <c r="Y168" s="94"/>
      <c r="Z168" s="94"/>
    </row>
    <row r="169">
      <c r="A169" s="94"/>
      <c r="B169" s="396">
        <f>Projections!$AK$35</f>
        <v>50</v>
      </c>
      <c r="C169" s="397">
        <v>14.0</v>
      </c>
      <c r="D169" s="407" t="str">
        <f t="array" ref="D169">INDIRECT("Draft!Q"&amp;TEXT(15-A155,"0"))</f>
        <v/>
      </c>
      <c r="E169" s="403" t="str">
        <f>IF($D169="","", VLOOKUP($D169,'Final Update'!$P$21:$AD1000,Column(G167),False))</f>
        <v/>
      </c>
      <c r="F169" s="403" t="str">
        <f>IF($D169="","", VLOOKUP($D169,'Final Update'!$P$21:$AD1000,Column(H167),False))</f>
        <v/>
      </c>
      <c r="G169" s="403" t="str">
        <f>IF($D169="","", VLOOKUP($D169,'Final Update'!$P$21:$AD1000,Column(I167),False))</f>
        <v/>
      </c>
      <c r="H169" s="403" t="str">
        <f>IF($D169="","", VLOOKUP($D169,'Final Update'!$P$21:$AD1000,Column(J167),False))</f>
        <v/>
      </c>
      <c r="I169" s="403" t="str">
        <f>IF($D169="","", VLOOKUP($D169,'Final Update'!$P$21:$AD1000,Column(K167),False))</f>
        <v/>
      </c>
      <c r="J169" s="403" t="str">
        <f>IF($D169="","", VLOOKUP($D169,'Final Update'!$P$21:$AD1000,Column(L167),False))</f>
        <v/>
      </c>
      <c r="K169" s="404" t="str">
        <f>IF($D169="","", VLOOKUP($D169,'Final Update'!$P$21:$AD1000,Column(M167),False))</f>
        <v/>
      </c>
      <c r="L169" s="404" t="str">
        <f>IF($D169="","", VLOOKUP($D169,'Final Update'!$P$21:$AD1000,Column(N167),False))</f>
        <v/>
      </c>
      <c r="M169" s="403" t="str">
        <f>IF($D169="","", VLOOKUP($D169,'Final Update'!$P$21:$AD1000,Column(O167),False))</f>
        <v/>
      </c>
      <c r="N169" s="403" t="str">
        <f>IF($D169="","", VLOOKUP($D169,'Final Update'!$P$21:$AD1000,Column(C167),False))</f>
        <v/>
      </c>
      <c r="O169" s="94"/>
      <c r="P169" s="94"/>
      <c r="Q169" s="94"/>
      <c r="R169" s="94"/>
      <c r="S169" s="94"/>
      <c r="T169" s="94"/>
      <c r="U169" s="94"/>
      <c r="V169" s="94"/>
      <c r="W169" s="94"/>
      <c r="X169" s="94"/>
      <c r="Y169" s="94"/>
      <c r="Z169" s="94"/>
    </row>
    <row r="170">
      <c r="A170" s="392" t="s">
        <v>5</v>
      </c>
      <c r="B170" s="94"/>
      <c r="C170" s="94"/>
      <c r="D170" s="395" t="s">
        <v>1291</v>
      </c>
      <c r="E170" s="409" t="str">
        <f t="shared" ref="E170:J170" si="10">IFERROR(AVERAGE(SUMPRODUCT(E156:E169,$B156:$B169/100))/(SUM(OFFSET($B156,0,0,COUNT(E156:E169)))/100),"")</f>
        <v/>
      </c>
      <c r="F170" s="409" t="str">
        <f t="shared" si="10"/>
        <v/>
      </c>
      <c r="G170" s="409" t="str">
        <f t="shared" si="10"/>
        <v/>
      </c>
      <c r="H170" s="409" t="str">
        <f t="shared" si="10"/>
        <v/>
      </c>
      <c r="I170" s="409" t="str">
        <f t="shared" si="10"/>
        <v/>
      </c>
      <c r="J170" s="409" t="str">
        <f t="shared" si="10"/>
        <v/>
      </c>
      <c r="K170" s="409">
        <f t="array" ref="K170">IFERROR(100*SUMPRODUCT(IFERROR(VLOOKUP($D156:$D169,UpdateHashtag!$C:$S,6,False),"")*$B156:$B169/100)/SUMPRODUCT(IFERROR(VLOOKUP($D156:$D169,UpdateHashtag!$C:$S,17,False),"")*$B156:$B169/100),"")</f>
        <v>50.5358615</v>
      </c>
      <c r="L170" s="409">
        <f t="array" ref="L170">IFERROR(100*SUMPRODUCT(IFERROR(VLOOKUP($D156:$D169,UpdateHashtag!$C:$T,8,False),"")*$B156:$B169/100)/SUMPRODUCT(IFERROR(VLOOKUP($D156:$D169,UpdateHashtag!$C:$T,18,False),"")*$B156:$B169/100),"")</f>
        <v>75.20891365</v>
      </c>
      <c r="M170" s="409" t="str">
        <f>IFERROR(AVERAGE(SUMPRODUCT(M156:M169,$B156:$B169/100))/(SUM(OFFSET($B156,0,0,COUNT(M156:M169)))/100),"")</f>
        <v/>
      </c>
      <c r="N170" s="347" t="s">
        <v>116</v>
      </c>
      <c r="O170" s="94"/>
      <c r="P170" s="94"/>
      <c r="Q170" s="94"/>
      <c r="R170" s="94"/>
      <c r="S170" s="94"/>
      <c r="T170" s="94"/>
      <c r="U170" s="94"/>
      <c r="V170" s="94"/>
      <c r="W170" s="94"/>
      <c r="X170" s="94"/>
      <c r="Y170" s="94"/>
      <c r="Z170" s="94"/>
    </row>
    <row r="171">
      <c r="A171" s="94"/>
      <c r="B171" s="94"/>
      <c r="C171" s="94"/>
      <c r="D171" s="395" t="s">
        <v>1318</v>
      </c>
      <c r="E171" s="410">
        <f>IFERROR((SUM(OFFSET('All Teams'!$B156,0,0,COUNT('All Teams'!E156:E169)))/100)*('All Teams'!E170-'Final Update'!$B$1)/'Final Update'!$B$2,"")</f>
        <v>-31.55358621</v>
      </c>
      <c r="F171" s="410">
        <f>IFERROR((SUM(OFFSET('All Teams'!$B156,0,0,COUNT('All Teams'!F156:F169)))/100)*('All Teams'!F170-'Final Update'!$C$1)/'Final Update'!$C$2,"")</f>
        <v>-17.40686581</v>
      </c>
      <c r="G171" s="410">
        <f>IFERROR((SUM(OFFSET('All Teams'!$B156,0,0,COUNT('All Teams'!G156:G169)))/100)*('All Teams'!G170-'Final Update'!$D$1)/'Final Update'!$D$2,"")</f>
        <v>-23.80599106</v>
      </c>
      <c r="H171" s="410">
        <f>IFERROR((SUM(OFFSET('All Teams'!$B156,0,0,COUNT('All Teams'!H156:H169)))/100)*('All Teams'!H170-'Final Update'!$E$1)/'Final Update'!$E$2,"")</f>
        <v>-17.9320266</v>
      </c>
      <c r="I171" s="410">
        <f>IFERROR((SUM(OFFSET('All Teams'!$B156,0,0,COUNT('All Teams'!I156:I169)))/100)*('All Teams'!I170-'Final Update'!$F$1)/'Final Update'!$F$2,"")</f>
        <v>-32.40190514</v>
      </c>
      <c r="J171" s="410">
        <f>IFERROR((SUM(OFFSET('All Teams'!$B156,0,0,COUNT('All Teams'!J156:J169)))/100)*('All Teams'!J170-'Final Update'!$G$1)/'Final Update'!$G$2,"")</f>
        <v>-13.29092151</v>
      </c>
      <c r="K171" s="410">
        <f t="array" ref="K171">SUMPRODUCT(IFERROR(VLOOKUP($D156:$D169,'Final Update'!$A$4:$L$403,8,False)*$B156:$B169/100,""))</f>
        <v>1.306147673</v>
      </c>
      <c r="L171" s="410">
        <f t="array" ref="L171">SUMPRODUCT(IFERROR(VLOOKUP($D156:$D169,'Final Update'!$A$4:$L$403,10,False)*$B156:$B169/100,""))</f>
        <v>-5.205563771</v>
      </c>
      <c r="M171" s="410">
        <f>IFERROR(-(SUM(OFFSET('All Teams'!$B156,0,0,COUNT('All Teams'!M156:M169)))/100)*('All Teams'!M170-'Final Update'!$L$1)/'Final Update'!$L$2,"")</f>
        <v>17.34552372</v>
      </c>
      <c r="N171" s="94">
        <f t="array" ref="N171">SUM(IFERROR(vlookup(D156:D169,'Final Update'!$P$21:$S$620,4,0),""))</f>
        <v>-3.836509731</v>
      </c>
      <c r="O171" s="94"/>
      <c r="P171" s="94"/>
      <c r="Q171" s="94"/>
      <c r="R171" s="94"/>
      <c r="S171" s="94"/>
      <c r="T171" s="94"/>
      <c r="U171" s="94"/>
      <c r="V171" s="94"/>
      <c r="W171" s="94"/>
      <c r="X171" s="94"/>
      <c r="Y171" s="94"/>
      <c r="Z171" s="94"/>
    </row>
    <row r="172">
      <c r="A172" s="393">
        <v>11.0</v>
      </c>
      <c r="B172" s="394" t="s">
        <v>256</v>
      </c>
      <c r="C172" s="395" t="s">
        <v>258</v>
      </c>
      <c r="D172" s="394" t="s">
        <v>3</v>
      </c>
      <c r="E172" s="394" t="s">
        <v>13</v>
      </c>
      <c r="F172" s="394" t="s">
        <v>99</v>
      </c>
      <c r="G172" s="394" t="s">
        <v>101</v>
      </c>
      <c r="H172" s="394" t="s">
        <v>15</v>
      </c>
      <c r="I172" s="394" t="s">
        <v>16</v>
      </c>
      <c r="J172" s="394" t="s">
        <v>17</v>
      </c>
      <c r="K172" s="394" t="s">
        <v>9</v>
      </c>
      <c r="L172" s="394" t="s">
        <v>11</v>
      </c>
      <c r="M172" s="394" t="s">
        <v>18</v>
      </c>
      <c r="N172" s="394" t="s">
        <v>4</v>
      </c>
      <c r="O172" s="394" t="s">
        <v>259</v>
      </c>
      <c r="P172" s="394" t="s">
        <v>4</v>
      </c>
      <c r="Q172" s="94"/>
      <c r="R172" s="94"/>
      <c r="S172" s="94"/>
      <c r="T172" s="94"/>
      <c r="U172" s="94"/>
      <c r="V172" s="94"/>
      <c r="W172" s="94"/>
      <c r="X172" s="94"/>
      <c r="Y172" s="94"/>
      <c r="Z172" s="94"/>
    </row>
    <row r="173">
      <c r="A173" s="94"/>
      <c r="B173" s="396">
        <f>Projections!$AK$22</f>
        <v>100</v>
      </c>
      <c r="C173" s="397">
        <v>1.0</v>
      </c>
      <c r="D173" s="398" t="str">
        <f t="array" ref="D173">INDIRECT("Draft!D"&amp;TEXT(A172+2,"0"))</f>
        <v>Trae Young</v>
      </c>
      <c r="E173" s="399">
        <f>IF($D173="","", VLOOKUP($D173,'Final Update'!$P$21:$AD1000,Column(G171),False))</f>
        <v>28.1</v>
      </c>
      <c r="F173" s="399">
        <f>IF($D173="","", VLOOKUP($D173,'Final Update'!$P$21:$AD1000,Column(H171),False))</f>
        <v>3.4</v>
      </c>
      <c r="G173" s="399">
        <f>IF($D173="","", VLOOKUP($D173,'Final Update'!$P$21:$AD1000,Column(I171),False))</f>
        <v>2.9</v>
      </c>
      <c r="H173" s="399">
        <f>IF($D173="","", VLOOKUP($D173,'Final Update'!$P$21:$AD1000,Column(J171),False))</f>
        <v>10.8</v>
      </c>
      <c r="I173" s="399">
        <f>IF($D173="","", VLOOKUP($D173,'Final Update'!$P$21:$AD1000,Column(K171),False))</f>
        <v>1.2</v>
      </c>
      <c r="J173" s="399">
        <f>IF($D173="","", VLOOKUP($D173,'Final Update'!$P$21:$AD1000,Column(L171),False))</f>
        <v>0.2</v>
      </c>
      <c r="K173" s="400">
        <f>IF($D173="","", VLOOKUP($D173,'Final Update'!$P$21:$AD1000,Column(M171),False))</f>
        <v>0.432</v>
      </c>
      <c r="L173" s="400">
        <f>IF($D173="","", VLOOKUP($D173,'Final Update'!$P$21:$AD1000,Column(N171),False))</f>
        <v>0.877</v>
      </c>
      <c r="M173" s="399">
        <f>IF($D173="","", VLOOKUP($D173,'Final Update'!$P$21:$AD1000,Column(O171),False))</f>
        <v>4.2</v>
      </c>
      <c r="N173" s="399" t="str">
        <f>IF($D173="","", VLOOKUP($D173,'Final Update'!$P$21:$AD1000,Column(C171),False))</f>
        <v>PG</v>
      </c>
      <c r="O173" s="397">
        <f t="array" ref="O173">COUNTIF(FIND(P173,$N173:$N186),"&gt;0")</f>
        <v>3</v>
      </c>
      <c r="P173" s="398" t="s">
        <v>85</v>
      </c>
      <c r="Q173" s="94"/>
      <c r="R173" s="94"/>
      <c r="S173" s="94"/>
      <c r="T173" s="94"/>
      <c r="U173" s="94"/>
      <c r="V173" s="94"/>
      <c r="W173" s="94"/>
      <c r="X173" s="94"/>
      <c r="Y173" s="94"/>
      <c r="Z173" s="94"/>
    </row>
    <row r="174">
      <c r="A174" s="94"/>
      <c r="B174" s="396">
        <f>Projections!$AK$23</f>
        <v>100</v>
      </c>
      <c r="C174" s="397">
        <v>2.0</v>
      </c>
      <c r="D174" s="401" t="str">
        <f t="array" ref="D174">INDIRECT("Draft!E"&amp;TEXT(15-A172,"0"))</f>
        <v>Stephen Curry</v>
      </c>
      <c r="E174" s="399">
        <f>IF($D174="","", VLOOKUP($D174,'Final Update'!$P$21:$AD1000,Column(G172),False))</f>
        <v>26.4</v>
      </c>
      <c r="F174" s="399">
        <f>IF($D174="","", VLOOKUP($D174,'Final Update'!$P$21:$AD1000,Column(H172),False))</f>
        <v>4.8</v>
      </c>
      <c r="G174" s="399">
        <f>IF($D174="","", VLOOKUP($D174,'Final Update'!$P$21:$AD1000,Column(I172),False))</f>
        <v>4.5</v>
      </c>
      <c r="H174" s="399">
        <f>IF($D174="","", VLOOKUP($D174,'Final Update'!$P$21:$AD1000,Column(J172),False))</f>
        <v>5.3</v>
      </c>
      <c r="I174" s="399">
        <f>IF($D174="","", VLOOKUP($D174,'Final Update'!$P$21:$AD1000,Column(K172),False))</f>
        <v>0.8</v>
      </c>
      <c r="J174" s="399">
        <f>IF($D174="","", VLOOKUP($D174,'Final Update'!$P$21:$AD1000,Column(L172),False))</f>
        <v>0.4</v>
      </c>
      <c r="K174" s="400">
        <f>IF($D174="","", VLOOKUP($D174,'Final Update'!$P$21:$AD1000,Column(M172),False))</f>
        <v>0.469</v>
      </c>
      <c r="L174" s="400">
        <f>IF($D174="","", VLOOKUP($D174,'Final Update'!$P$21:$AD1000,Column(N172),False))</f>
        <v>0.918</v>
      </c>
      <c r="M174" s="399">
        <f>IF($D174="","", VLOOKUP($D174,'Final Update'!$P$21:$AD1000,Column(O172),False))</f>
        <v>2.8</v>
      </c>
      <c r="N174" s="399" t="str">
        <f>IF($D174="","", VLOOKUP($D174,'Final Update'!$P$21:$AD1000,Column(C172),False))</f>
        <v>PG,SG</v>
      </c>
      <c r="O174" s="397">
        <f t="array" ref="O174">COUNTIF(FIND(P174,$N173:$N186),"&gt;0")</f>
        <v>4</v>
      </c>
      <c r="P174" s="398" t="s">
        <v>88</v>
      </c>
      <c r="Q174" s="94"/>
      <c r="R174" s="94"/>
      <c r="S174" s="94"/>
      <c r="T174" s="94"/>
      <c r="U174" s="94"/>
      <c r="V174" s="94"/>
      <c r="W174" s="94"/>
      <c r="X174" s="94"/>
      <c r="Y174" s="94"/>
      <c r="Z174" s="94"/>
    </row>
    <row r="175">
      <c r="A175" s="94"/>
      <c r="B175" s="396">
        <f>Projections!$AK$24</f>
        <v>100</v>
      </c>
      <c r="C175" s="397">
        <v>3.0</v>
      </c>
      <c r="D175" s="402" t="str">
        <f t="array" ref="D175">INDIRECT("Draft!F"&amp;TEXT(A172+2,"0"))</f>
        <v>Chet Holmgren</v>
      </c>
      <c r="E175" s="403">
        <f>IF($D175="","", VLOOKUP($D175,'Final Update'!$P$21:$AD1000,Column(G173),False))</f>
        <v>17.4</v>
      </c>
      <c r="F175" s="403">
        <f>IF($D175="","", VLOOKUP($D175,'Final Update'!$P$21:$AD1000,Column(H173),False))</f>
        <v>1.7</v>
      </c>
      <c r="G175" s="403">
        <f>IF($D175="","", VLOOKUP($D175,'Final Update'!$P$21:$AD1000,Column(I173),False))</f>
        <v>8.1</v>
      </c>
      <c r="H175" s="403">
        <f>IF($D175="","", VLOOKUP($D175,'Final Update'!$P$21:$AD1000,Column(J173),False))</f>
        <v>2.6</v>
      </c>
      <c r="I175" s="403">
        <f>IF($D175="","", VLOOKUP($D175,'Final Update'!$P$21:$AD1000,Column(K173),False))</f>
        <v>0.7</v>
      </c>
      <c r="J175" s="403">
        <f>IF($D175="","", VLOOKUP($D175,'Final Update'!$P$21:$AD1000,Column(L173),False))</f>
        <v>2.3</v>
      </c>
      <c r="K175" s="404">
        <f>IF($D175="","", VLOOKUP($D175,'Final Update'!$P$21:$AD1000,Column(M173),False))</f>
        <v>0.53</v>
      </c>
      <c r="L175" s="404">
        <f>IF($D175="","", VLOOKUP($D175,'Final Update'!$P$21:$AD1000,Column(N173),False))</f>
        <v>0.793</v>
      </c>
      <c r="M175" s="403">
        <f>IF($D175="","", VLOOKUP($D175,'Final Update'!$P$21:$AD1000,Column(O173),False))</f>
        <v>1.7</v>
      </c>
      <c r="N175" s="403" t="str">
        <f>IF($D175="","", VLOOKUP($D175,'Final Update'!$P$21:$AD1000,Column(C173),False))</f>
        <v>PF,C</v>
      </c>
      <c r="O175" s="397">
        <f t="array" ref="O175">COUNTIF(FIND(P175,$N173:$N186),"&gt;0")</f>
        <v>5</v>
      </c>
      <c r="P175" s="398" t="s">
        <v>90</v>
      </c>
      <c r="Q175" s="94"/>
      <c r="R175" s="94"/>
      <c r="S175" s="94"/>
      <c r="T175" s="94"/>
      <c r="U175" s="94"/>
      <c r="V175" s="94"/>
      <c r="W175" s="94"/>
      <c r="X175" s="94"/>
      <c r="Y175" s="94"/>
      <c r="Z175" s="94"/>
    </row>
    <row r="176">
      <c r="A176" s="94"/>
      <c r="B176" s="396">
        <f>Projections!$AK$25</f>
        <v>100</v>
      </c>
      <c r="C176" s="397">
        <v>4.0</v>
      </c>
      <c r="D176" s="405" t="str">
        <f t="array" ref="D176">INDIRECT("Draft!G"&amp;TEXT(15-A172,"0"))</f>
        <v>Julius Randle</v>
      </c>
      <c r="E176" s="403">
        <f>IF($D176="","", VLOOKUP($D176,'Final Update'!$P$21:$AD1000,Column(G174),False))</f>
        <v>20.3</v>
      </c>
      <c r="F176" s="403">
        <f>IF($D176="","", VLOOKUP($D176,'Final Update'!$P$21:$AD1000,Column(H174),False))</f>
        <v>1.4</v>
      </c>
      <c r="G176" s="403">
        <f>IF($D176="","", VLOOKUP($D176,'Final Update'!$P$21:$AD1000,Column(I174),False))</f>
        <v>8.5</v>
      </c>
      <c r="H176" s="403">
        <f>IF($D176="","", VLOOKUP($D176,'Final Update'!$P$21:$AD1000,Column(J174),False))</f>
        <v>3.9</v>
      </c>
      <c r="I176" s="403">
        <f>IF($D176="","", VLOOKUP($D176,'Final Update'!$P$21:$AD1000,Column(K174),False))</f>
        <v>0.5</v>
      </c>
      <c r="J176" s="403">
        <f>IF($D176="","", VLOOKUP($D176,'Final Update'!$P$21:$AD1000,Column(L174),False))</f>
        <v>0.2</v>
      </c>
      <c r="K176" s="404">
        <f>IF($D176="","", VLOOKUP($D176,'Final Update'!$P$21:$AD1000,Column(M174),False))</f>
        <v>0.477</v>
      </c>
      <c r="L176" s="404">
        <f>IF($D176="","", VLOOKUP($D176,'Final Update'!$P$21:$AD1000,Column(N174),False))</f>
        <v>0.78</v>
      </c>
      <c r="M176" s="403">
        <f>IF($D176="","", VLOOKUP($D176,'Final Update'!$P$21:$AD1000,Column(O174),False))</f>
        <v>2.6</v>
      </c>
      <c r="N176" s="403" t="str">
        <f>IF($D176="","", VLOOKUP($D176,'Final Update'!$P$21:$AD1000,Column(C174),False))</f>
        <v>PF</v>
      </c>
      <c r="O176" s="397">
        <f t="array" ref="O176">COUNTIF(FIND(P176,$N173:$N186),"&gt;0")</f>
        <v>4</v>
      </c>
      <c r="P176" s="398" t="s">
        <v>92</v>
      </c>
      <c r="Q176" s="94"/>
      <c r="R176" s="94"/>
      <c r="S176" s="94"/>
      <c r="T176" s="94"/>
      <c r="U176" s="94"/>
      <c r="V176" s="94"/>
      <c r="W176" s="94"/>
      <c r="X176" s="94"/>
      <c r="Y176" s="94"/>
      <c r="Z176" s="94"/>
    </row>
    <row r="177">
      <c r="A177" s="94"/>
      <c r="B177" s="396">
        <f>Projections!$AK$26</f>
        <v>100</v>
      </c>
      <c r="C177" s="397">
        <v>5.0</v>
      </c>
      <c r="D177" s="406" t="str">
        <f t="array" ref="D177">INDIRECT("Draft!H"&amp;TEXT(A172+2,"0"))</f>
        <v>Zach LaVine</v>
      </c>
      <c r="E177" s="403">
        <f>IF($D177="","", VLOOKUP($D177,'Final Update'!$P$21:$AD1000,Column(G175),False))</f>
        <v>21.6</v>
      </c>
      <c r="F177" s="403">
        <f>IF($D177="","", VLOOKUP($D177,'Final Update'!$P$21:$AD1000,Column(H175),False))</f>
        <v>2.5</v>
      </c>
      <c r="G177" s="403">
        <f>IF($D177="","", VLOOKUP($D177,'Final Update'!$P$21:$AD1000,Column(I175),False))</f>
        <v>4.5</v>
      </c>
      <c r="H177" s="403">
        <f>IF($D177="","", VLOOKUP($D177,'Final Update'!$P$21:$AD1000,Column(J175),False))</f>
        <v>4</v>
      </c>
      <c r="I177" s="403">
        <f>IF($D177="","", VLOOKUP($D177,'Final Update'!$P$21:$AD1000,Column(K175),False))</f>
        <v>0.9</v>
      </c>
      <c r="J177" s="403">
        <f>IF($D177="","", VLOOKUP($D177,'Final Update'!$P$21:$AD1000,Column(L175),False))</f>
        <v>0.3</v>
      </c>
      <c r="K177" s="404">
        <f>IF($D177="","", VLOOKUP($D177,'Final Update'!$P$21:$AD1000,Column(M175),False))</f>
        <v>0.459</v>
      </c>
      <c r="L177" s="404">
        <f>IF($D177="","", VLOOKUP($D177,'Final Update'!$P$21:$AD1000,Column(N175),False))</f>
        <v>0.845</v>
      </c>
      <c r="M177" s="403">
        <f>IF($D177="","", VLOOKUP($D177,'Final Update'!$P$21:$AD1000,Column(O175),False))</f>
        <v>2.3</v>
      </c>
      <c r="N177" s="403" t="str">
        <f>IF($D177="","", VLOOKUP($D177,'Final Update'!$P$21:$AD1000,Column(C175),False))</f>
        <v>SG,SF</v>
      </c>
      <c r="O177" s="397">
        <f t="array" ref="O177">COUNTIF(FIND(P177,$N173:$N186),"&gt;0")</f>
        <v>3</v>
      </c>
      <c r="P177" s="398" t="s">
        <v>97</v>
      </c>
      <c r="Q177" s="94"/>
      <c r="R177" s="94"/>
      <c r="S177" s="94"/>
      <c r="T177" s="94"/>
      <c r="U177" s="94"/>
      <c r="V177" s="94"/>
      <c r="W177" s="94"/>
      <c r="X177" s="94"/>
      <c r="Y177" s="94"/>
      <c r="Z177" s="94"/>
    </row>
    <row r="178">
      <c r="A178" s="94"/>
      <c r="B178" s="396">
        <f>Projections!$AK$27</f>
        <v>100</v>
      </c>
      <c r="C178" s="397">
        <v>6.0</v>
      </c>
      <c r="D178" s="407" t="str">
        <f t="array" ref="D178">INDIRECT("Draft!I"&amp;TEXT(15-A172,"0"))</f>
        <v>Jalen Duren</v>
      </c>
      <c r="E178" s="403">
        <f>IF($D178="","", VLOOKUP($D178,'Final Update'!$P$21:$AD1000,Column(G176),False))</f>
        <v>12.8</v>
      </c>
      <c r="F178" s="403">
        <f>IF($D178="","", VLOOKUP($D178,'Final Update'!$P$21:$AD1000,Column(H176),False))</f>
        <v>0</v>
      </c>
      <c r="G178" s="403">
        <f>IF($D178="","", VLOOKUP($D178,'Final Update'!$P$21:$AD1000,Column(I176),False))</f>
        <v>10.9</v>
      </c>
      <c r="H178" s="403">
        <f>IF($D178="","", VLOOKUP($D178,'Final Update'!$P$21:$AD1000,Column(J176),False))</f>
        <v>2</v>
      </c>
      <c r="I178" s="403">
        <f>IF($D178="","", VLOOKUP($D178,'Final Update'!$P$21:$AD1000,Column(K176),False))</f>
        <v>0.6</v>
      </c>
      <c r="J178" s="403">
        <f>IF($D178="","", VLOOKUP($D178,'Final Update'!$P$21:$AD1000,Column(L176),False))</f>
        <v>0.9</v>
      </c>
      <c r="K178" s="404">
        <f>IF($D178="","", VLOOKUP($D178,'Final Update'!$P$21:$AD1000,Column(M176),False))</f>
        <v>0.628</v>
      </c>
      <c r="L178" s="404">
        <f>IF($D178="","", VLOOKUP($D178,'Final Update'!$P$21:$AD1000,Column(N176),False))</f>
        <v>0.781</v>
      </c>
      <c r="M178" s="403">
        <f>IF($D178="","", VLOOKUP($D178,'Final Update'!$P$21:$AD1000,Column(O176),False))</f>
        <v>1.9</v>
      </c>
      <c r="N178" s="403" t="str">
        <f>IF($D178="","", VLOOKUP($D178,'Final Update'!$P$21:$AD1000,Column(C176),False))</f>
        <v>C</v>
      </c>
      <c r="O178" s="94"/>
      <c r="P178" s="94"/>
      <c r="Q178" s="94"/>
      <c r="R178" s="94"/>
      <c r="S178" s="94"/>
      <c r="T178" s="94"/>
      <c r="U178" s="94"/>
      <c r="V178" s="94"/>
      <c r="W178" s="94"/>
      <c r="X178" s="94"/>
      <c r="Y178" s="94"/>
      <c r="Z178" s="94"/>
    </row>
    <row r="179">
      <c r="A179" s="94"/>
      <c r="B179" s="396">
        <f>Projections!$AK$28</f>
        <v>100</v>
      </c>
      <c r="C179" s="397">
        <v>7.0</v>
      </c>
      <c r="D179" s="406" t="str">
        <f t="array" ref="D179">INDIRECT("Draft!J"&amp;TEXT(A172+2,"0"))</f>
        <v>Josh Hart</v>
      </c>
      <c r="E179" s="403">
        <f>IF($D179="","", VLOOKUP($D179,'Final Update'!$P$21:$AD1000,Column(G177),False))</f>
        <v>9.1</v>
      </c>
      <c r="F179" s="403">
        <f>IF($D179="","", VLOOKUP($D179,'Final Update'!$P$21:$AD1000,Column(H177),False))</f>
        <v>0.9</v>
      </c>
      <c r="G179" s="403">
        <f>IF($D179="","", VLOOKUP($D179,'Final Update'!$P$21:$AD1000,Column(I177),False))</f>
        <v>7.9</v>
      </c>
      <c r="H179" s="403">
        <f>IF($D179="","", VLOOKUP($D179,'Final Update'!$P$21:$AD1000,Column(J177),False))</f>
        <v>3.9</v>
      </c>
      <c r="I179" s="403">
        <f>IF($D179="","", VLOOKUP($D179,'Final Update'!$P$21:$AD1000,Column(K177),False))</f>
        <v>1</v>
      </c>
      <c r="J179" s="403">
        <f>IF($D179="","", VLOOKUP($D179,'Final Update'!$P$21:$AD1000,Column(L177),False))</f>
        <v>0.3</v>
      </c>
      <c r="K179" s="404">
        <f>IF($D179="","", VLOOKUP($D179,'Final Update'!$P$21:$AD1000,Column(M177),False))</f>
        <v>0.457</v>
      </c>
      <c r="L179" s="404">
        <f>IF($D179="","", VLOOKUP($D179,'Final Update'!$P$21:$AD1000,Column(N177),False))</f>
        <v>0.765</v>
      </c>
      <c r="M179" s="403">
        <f>IF($D179="","", VLOOKUP($D179,'Final Update'!$P$21:$AD1000,Column(O177),False))</f>
        <v>1.7</v>
      </c>
      <c r="N179" s="403" t="str">
        <f>IF($D179="","", VLOOKUP($D179,'Final Update'!$P$21:$AD1000,Column(C177),False))</f>
        <v>SF,PF</v>
      </c>
      <c r="O179" s="94"/>
      <c r="P179" s="94"/>
      <c r="Q179" s="94"/>
      <c r="R179" s="94"/>
      <c r="S179" s="94"/>
      <c r="T179" s="94"/>
      <c r="U179" s="94"/>
      <c r="V179" s="94"/>
      <c r="W179" s="94"/>
      <c r="X179" s="94"/>
      <c r="Y179" s="94"/>
      <c r="Z179" s="94"/>
    </row>
    <row r="180">
      <c r="A180" s="94"/>
      <c r="B180" s="396">
        <f>Projections!$AK$29</f>
        <v>100</v>
      </c>
      <c r="C180" s="397">
        <v>8.0</v>
      </c>
      <c r="D180" s="407" t="str">
        <f t="array" ref="D180">INDIRECT("Draft!K"&amp;TEXT(15-A172,"0"))</f>
        <v>PJ Washington</v>
      </c>
      <c r="E180" s="403" t="str">
        <f>IF($D180="","", VLOOKUP($D180,'Final Update'!$P$21:$AD1000,Column(G178),False))</f>
        <v>#N/A</v>
      </c>
      <c r="F180" s="403" t="str">
        <f>IF($D180="","", VLOOKUP($D180,'Final Update'!$P$21:$AD1000,Column(H178),False))</f>
        <v>#N/A</v>
      </c>
      <c r="G180" s="403" t="str">
        <f>IF($D180="","", VLOOKUP($D180,'Final Update'!$P$21:$AD1000,Column(I178),False))</f>
        <v>#N/A</v>
      </c>
      <c r="H180" s="403" t="str">
        <f>IF($D180="","", VLOOKUP($D180,'Final Update'!$P$21:$AD1000,Column(J178),False))</f>
        <v>#N/A</v>
      </c>
      <c r="I180" s="403" t="str">
        <f>IF($D180="","", VLOOKUP($D180,'Final Update'!$P$21:$AD1000,Column(K178),False))</f>
        <v>#N/A</v>
      </c>
      <c r="J180" s="403" t="str">
        <f>IF($D180="","", VLOOKUP($D180,'Final Update'!$P$21:$AD1000,Column(L178),False))</f>
        <v>#N/A</v>
      </c>
      <c r="K180" s="404" t="str">
        <f>IF($D180="","", VLOOKUP($D180,'Final Update'!$P$21:$AD1000,Column(M178),False))</f>
        <v>#N/A</v>
      </c>
      <c r="L180" s="404" t="str">
        <f>IF($D180="","", VLOOKUP($D180,'Final Update'!$P$21:$AD1000,Column(N178),False))</f>
        <v>#N/A</v>
      </c>
      <c r="M180" s="403" t="str">
        <f>IF($D180="","", VLOOKUP($D180,'Final Update'!$P$21:$AD1000,Column(O178),False))</f>
        <v>#N/A</v>
      </c>
      <c r="N180" s="403" t="str">
        <f>IF($D180="","", VLOOKUP($D180,'Final Update'!$P$21:$AD1000,Column(C178),False))</f>
        <v>#N/A</v>
      </c>
      <c r="O180" s="94"/>
      <c r="P180" s="94"/>
      <c r="Q180" s="94"/>
      <c r="R180" s="94"/>
      <c r="S180" s="94"/>
      <c r="T180" s="94"/>
      <c r="U180" s="94"/>
      <c r="V180" s="94"/>
      <c r="W180" s="94"/>
      <c r="X180" s="94"/>
      <c r="Y180" s="94"/>
      <c r="Z180" s="94"/>
    </row>
    <row r="181">
      <c r="A181" s="94"/>
      <c r="B181" s="396">
        <f>Projections!$AK$30</f>
        <v>100</v>
      </c>
      <c r="C181" s="397">
        <v>9.0</v>
      </c>
      <c r="D181" s="406" t="str">
        <f t="array" ref="D181">INDIRECT("Draft!L"&amp;TEXT(A172+2,"0"))</f>
        <v>Chris Paul</v>
      </c>
      <c r="E181" s="403">
        <f>IF($D181="","", VLOOKUP($D181,'Final Update'!$P$21:$AD1000,Column(G179),False))</f>
        <v>10.2</v>
      </c>
      <c r="F181" s="403">
        <f>IF($D181="","", VLOOKUP($D181,'Final Update'!$P$21:$AD1000,Column(H179),False))</f>
        <v>1.3</v>
      </c>
      <c r="G181" s="403">
        <f>IF($D181="","", VLOOKUP($D181,'Final Update'!$P$21:$AD1000,Column(I179),False))</f>
        <v>3.6</v>
      </c>
      <c r="H181" s="403">
        <f>IF($D181="","", VLOOKUP($D181,'Final Update'!$P$21:$AD1000,Column(J179),False))</f>
        <v>6.9</v>
      </c>
      <c r="I181" s="403">
        <f>IF($D181="","", VLOOKUP($D181,'Final Update'!$P$21:$AD1000,Column(K179),False))</f>
        <v>1.2</v>
      </c>
      <c r="J181" s="403">
        <f>IF($D181="","", VLOOKUP($D181,'Final Update'!$P$21:$AD1000,Column(L179),False))</f>
        <v>0.2</v>
      </c>
      <c r="K181" s="404">
        <f>IF($D181="","", VLOOKUP($D181,'Final Update'!$P$21:$AD1000,Column(M179),False))</f>
        <v>0.441</v>
      </c>
      <c r="L181" s="404">
        <f>IF($D181="","", VLOOKUP($D181,'Final Update'!$P$21:$AD1000,Column(N179),False))</f>
        <v>0.831</v>
      </c>
      <c r="M181" s="403">
        <f>IF($D181="","", VLOOKUP($D181,'Final Update'!$P$21:$AD1000,Column(O179),False))</f>
        <v>1.4</v>
      </c>
      <c r="N181" s="403" t="str">
        <f>IF($D181="","", VLOOKUP($D181,'Final Update'!$P$21:$AD1000,Column(C179),False))</f>
        <v>PG</v>
      </c>
      <c r="O181" s="94"/>
      <c r="P181" s="94"/>
      <c r="Q181" s="94"/>
      <c r="R181" s="94"/>
      <c r="S181" s="94"/>
      <c r="T181" s="94"/>
      <c r="U181" s="94"/>
      <c r="V181" s="94"/>
      <c r="W181" s="94"/>
      <c r="X181" s="94"/>
      <c r="Y181" s="94"/>
      <c r="Z181" s="94"/>
    </row>
    <row r="182">
      <c r="A182" s="94"/>
      <c r="B182" s="396">
        <f>Projections!$AK$31</f>
        <v>100</v>
      </c>
      <c r="C182" s="397">
        <v>10.0</v>
      </c>
      <c r="D182" s="407" t="str">
        <f t="array" ref="D182">INDIRECT("Draft!M"&amp;TEXT(15-A172,"0"))</f>
        <v>Klay Thompson</v>
      </c>
      <c r="E182" s="403">
        <f>IF($D182="","", VLOOKUP($D182,'Final Update'!$P$21:$AD1000,Column(G180),False))</f>
        <v>17.2</v>
      </c>
      <c r="F182" s="403">
        <f>IF($D182="","", VLOOKUP($D182,'Final Update'!$P$21:$AD1000,Column(H180),False))</f>
        <v>3.4</v>
      </c>
      <c r="G182" s="403">
        <f>IF($D182="","", VLOOKUP($D182,'Final Update'!$P$21:$AD1000,Column(I180),False))</f>
        <v>3.2</v>
      </c>
      <c r="H182" s="403">
        <f>IF($D182="","", VLOOKUP($D182,'Final Update'!$P$21:$AD1000,Column(J180),False))</f>
        <v>2</v>
      </c>
      <c r="I182" s="403">
        <f>IF($D182="","", VLOOKUP($D182,'Final Update'!$P$21:$AD1000,Column(K180),False))</f>
        <v>0.6</v>
      </c>
      <c r="J182" s="403">
        <f>IF($D182="","", VLOOKUP($D182,'Final Update'!$P$21:$AD1000,Column(L180),False))</f>
        <v>0.4</v>
      </c>
      <c r="K182" s="404">
        <f>IF($D182="","", VLOOKUP($D182,'Final Update'!$P$21:$AD1000,Column(M180),False))</f>
        <v>0.434</v>
      </c>
      <c r="L182" s="404">
        <f>IF($D182="","", VLOOKUP($D182,'Final Update'!$P$21:$AD1000,Column(N180),False))</f>
        <v>0.901</v>
      </c>
      <c r="M182" s="403">
        <f>IF($D182="","", VLOOKUP($D182,'Final Update'!$P$21:$AD1000,Column(O180),False))</f>
        <v>1.4</v>
      </c>
      <c r="N182" s="403" t="str">
        <f>IF($D182="","", VLOOKUP($D182,'Final Update'!$P$21:$AD1000,Column(C180),False))</f>
        <v>SG,SF</v>
      </c>
      <c r="O182" s="94"/>
      <c r="P182" s="94"/>
      <c r="Q182" s="94"/>
      <c r="R182" s="94"/>
      <c r="S182" s="94"/>
      <c r="T182" s="94"/>
      <c r="U182" s="94"/>
      <c r="V182" s="94"/>
      <c r="W182" s="94"/>
      <c r="X182" s="94"/>
      <c r="Y182" s="94"/>
      <c r="Z182" s="94"/>
    </row>
    <row r="183">
      <c r="A183" s="94"/>
      <c r="B183" s="396">
        <f>Projections!$AK$32</f>
        <v>100</v>
      </c>
      <c r="C183" s="397">
        <v>11.0</v>
      </c>
      <c r="D183" s="406" t="str">
        <f t="array" ref="D183">INDIRECT("Draft!N"&amp;TEXT(A172+2,"0"))</f>
        <v>Brook Lopez</v>
      </c>
      <c r="E183" s="403">
        <f>IF($D183="","", VLOOKUP($D183,'Final Update'!$P$21:$AD1000,Column(G181),False))</f>
        <v>11.7</v>
      </c>
      <c r="F183" s="403">
        <f>IF($D183="","", VLOOKUP($D183,'Final Update'!$P$21:$AD1000,Column(H181),False))</f>
        <v>1.7</v>
      </c>
      <c r="G183" s="403">
        <f>IF($D183="","", VLOOKUP($D183,'Final Update'!$P$21:$AD1000,Column(I181),False))</f>
        <v>4.9</v>
      </c>
      <c r="H183" s="403">
        <f>IF($D183="","", VLOOKUP($D183,'Final Update'!$P$21:$AD1000,Column(J181),False))</f>
        <v>1.3</v>
      </c>
      <c r="I183" s="403">
        <f>IF($D183="","", VLOOKUP($D183,'Final Update'!$P$21:$AD1000,Column(K181),False))</f>
        <v>0.5</v>
      </c>
      <c r="J183" s="403">
        <f>IF($D183="","", VLOOKUP($D183,'Final Update'!$P$21:$AD1000,Column(L181),False))</f>
        <v>2</v>
      </c>
      <c r="K183" s="404">
        <f>IF($D183="","", VLOOKUP($D183,'Final Update'!$P$21:$AD1000,Column(M181),False))</f>
        <v>0.471</v>
      </c>
      <c r="L183" s="404">
        <f>IF($D183="","", VLOOKUP($D183,'Final Update'!$P$21:$AD1000,Column(N181),False))</f>
        <v>0.803</v>
      </c>
      <c r="M183" s="403">
        <f>IF($D183="","", VLOOKUP($D183,'Final Update'!$P$21:$AD1000,Column(O181),False))</f>
        <v>1</v>
      </c>
      <c r="N183" s="403" t="str">
        <f>IF($D183="","", VLOOKUP($D183,'Final Update'!$P$21:$AD1000,Column(C181),False))</f>
        <v>C</v>
      </c>
      <c r="O183" s="94"/>
      <c r="P183" s="94"/>
      <c r="Q183" s="94"/>
      <c r="R183" s="94"/>
      <c r="S183" s="94"/>
      <c r="T183" s="94"/>
      <c r="U183" s="94"/>
      <c r="V183" s="94"/>
      <c r="W183" s="94"/>
      <c r="X183" s="94"/>
      <c r="Y183" s="94"/>
      <c r="Z183" s="94"/>
    </row>
    <row r="184">
      <c r="A184" s="94"/>
      <c r="B184" s="396">
        <f>Projections!$AK$33</f>
        <v>100</v>
      </c>
      <c r="C184" s="397">
        <v>12.0</v>
      </c>
      <c r="D184" s="407" t="str">
        <f t="array" ref="D184">INDIRECT("Draft!O"&amp;TEXT(15-A172,"0"))</f>
        <v>Duncan Robinson</v>
      </c>
      <c r="E184" s="403">
        <f>IF($D184="","", VLOOKUP($D184,'Final Update'!$P$21:$AD1000,Column(G182),False))</f>
        <v>12.5</v>
      </c>
      <c r="F184" s="403">
        <f>IF($D184="","", VLOOKUP($D184,'Final Update'!$P$21:$AD1000,Column(H182),False))</f>
        <v>2.6</v>
      </c>
      <c r="G184" s="403">
        <f>IF($D184="","", VLOOKUP($D184,'Final Update'!$P$21:$AD1000,Column(I182),False))</f>
        <v>2.5</v>
      </c>
      <c r="H184" s="403">
        <f>IF($D184="","", VLOOKUP($D184,'Final Update'!$P$21:$AD1000,Column(J182),False))</f>
        <v>2.5</v>
      </c>
      <c r="I184" s="403">
        <f>IF($D184="","", VLOOKUP($D184,'Final Update'!$P$21:$AD1000,Column(K182),False))</f>
        <v>0.6</v>
      </c>
      <c r="J184" s="403">
        <f>IF($D184="","", VLOOKUP($D184,'Final Update'!$P$21:$AD1000,Column(L182),False))</f>
        <v>0.2</v>
      </c>
      <c r="K184" s="404">
        <f>IF($D184="","", VLOOKUP($D184,'Final Update'!$P$21:$AD1000,Column(M182),False))</f>
        <v>0.447</v>
      </c>
      <c r="L184" s="404">
        <f>IF($D184="","", VLOOKUP($D184,'Final Update'!$P$21:$AD1000,Column(N182),False))</f>
        <v>0.889</v>
      </c>
      <c r="M184" s="403">
        <f>IF($D184="","", VLOOKUP($D184,'Final Update'!$P$21:$AD1000,Column(O182),False))</f>
        <v>1.3</v>
      </c>
      <c r="N184" s="403" t="str">
        <f>IF($D184="","", VLOOKUP($D184,'Final Update'!$P$21:$AD1000,Column(C182),False))</f>
        <v>SG,SF</v>
      </c>
      <c r="O184" s="94"/>
      <c r="P184" s="94"/>
      <c r="Q184" s="94"/>
      <c r="R184" s="94"/>
      <c r="S184" s="94"/>
      <c r="T184" s="94"/>
      <c r="U184" s="94"/>
      <c r="V184" s="94"/>
      <c r="W184" s="94"/>
      <c r="X184" s="94"/>
      <c r="Y184" s="94"/>
      <c r="Z184" s="94"/>
    </row>
    <row r="185">
      <c r="A185" s="94"/>
      <c r="B185" s="408">
        <f>Projections!$AK$34</f>
        <v>100</v>
      </c>
      <c r="C185" s="397">
        <v>13.0</v>
      </c>
      <c r="D185" s="406" t="str">
        <f t="array" ref="D185">INDIRECT("Draft!P"&amp;TEXT(A172+2,"0"))</f>
        <v>Jerami Grant</v>
      </c>
      <c r="E185" s="403">
        <f>IF($D185="","", VLOOKUP($D185,'Final Update'!$P$21:$AD1000,Column(G183),False))</f>
        <v>19.7</v>
      </c>
      <c r="F185" s="403">
        <f>IF($D185="","", VLOOKUP($D185,'Final Update'!$P$21:$AD1000,Column(H183),False))</f>
        <v>2.1</v>
      </c>
      <c r="G185" s="403">
        <f>IF($D185="","", VLOOKUP($D185,'Final Update'!$P$21:$AD1000,Column(I183),False))</f>
        <v>3.9</v>
      </c>
      <c r="H185" s="403">
        <f>IF($D185="","", VLOOKUP($D185,'Final Update'!$P$21:$AD1000,Column(J183),False))</f>
        <v>2.5</v>
      </c>
      <c r="I185" s="403">
        <f>IF($D185="","", VLOOKUP($D185,'Final Update'!$P$21:$AD1000,Column(K183),False))</f>
        <v>0.8</v>
      </c>
      <c r="J185" s="403">
        <f>IF($D185="","", VLOOKUP($D185,'Final Update'!$P$21:$AD1000,Column(L183),False))</f>
        <v>0.7</v>
      </c>
      <c r="K185" s="404">
        <f>IF($D185="","", VLOOKUP($D185,'Final Update'!$P$21:$AD1000,Column(M183),False))</f>
        <v>0.463</v>
      </c>
      <c r="L185" s="404">
        <f>IF($D185="","", VLOOKUP($D185,'Final Update'!$P$21:$AD1000,Column(N183),False))</f>
        <v>0.814</v>
      </c>
      <c r="M185" s="403">
        <f>IF($D185="","", VLOOKUP($D185,'Final Update'!$P$21:$AD1000,Column(O183),False))</f>
        <v>1.9</v>
      </c>
      <c r="N185" s="403" t="str">
        <f>IF($D185="","", VLOOKUP($D185,'Final Update'!$P$21:$AD1000,Column(C183),False))</f>
        <v>SF,PF</v>
      </c>
      <c r="O185" s="94"/>
      <c r="P185" s="94"/>
      <c r="Q185" s="94"/>
      <c r="R185" s="94"/>
      <c r="S185" s="94"/>
      <c r="T185" s="94"/>
      <c r="U185" s="94"/>
      <c r="V185" s="94"/>
      <c r="W185" s="94"/>
      <c r="X185" s="94"/>
      <c r="Y185" s="94"/>
      <c r="Z185" s="94"/>
    </row>
    <row r="186">
      <c r="A186" s="94"/>
      <c r="B186" s="396">
        <f>Projections!$AK$35</f>
        <v>50</v>
      </c>
      <c r="C186" s="397">
        <v>14.0</v>
      </c>
      <c r="D186" s="407" t="str">
        <f t="array" ref="D186">INDIRECT("Draft!Q"&amp;TEXT(15-A172,"0"))</f>
        <v/>
      </c>
      <c r="E186" s="403" t="str">
        <f>IF($D186="","", VLOOKUP($D186,'Final Update'!$P$21:$AD1000,Column(G184),False))</f>
        <v/>
      </c>
      <c r="F186" s="403" t="str">
        <f>IF($D186="","", VLOOKUP($D186,'Final Update'!$P$21:$AD1000,Column(H184),False))</f>
        <v/>
      </c>
      <c r="G186" s="403" t="str">
        <f>IF($D186="","", VLOOKUP($D186,'Final Update'!$P$21:$AD1000,Column(I184),False))</f>
        <v/>
      </c>
      <c r="H186" s="403" t="str">
        <f>IF($D186="","", VLOOKUP($D186,'Final Update'!$P$21:$AD1000,Column(J184),False))</f>
        <v/>
      </c>
      <c r="I186" s="403" t="str">
        <f>IF($D186="","", VLOOKUP($D186,'Final Update'!$P$21:$AD1000,Column(K184),False))</f>
        <v/>
      </c>
      <c r="J186" s="403" t="str">
        <f>IF($D186="","", VLOOKUP($D186,'Final Update'!$P$21:$AD1000,Column(L184),False))</f>
        <v/>
      </c>
      <c r="K186" s="404" t="str">
        <f>IF($D186="","", VLOOKUP($D186,'Final Update'!$P$21:$AD1000,Column(M184),False))</f>
        <v/>
      </c>
      <c r="L186" s="404" t="str">
        <f>IF($D186="","", VLOOKUP($D186,'Final Update'!$P$21:$AD1000,Column(N184),False))</f>
        <v/>
      </c>
      <c r="M186" s="403" t="str">
        <f>IF($D186="","", VLOOKUP($D186,'Final Update'!$P$21:$AD1000,Column(O184),False))</f>
        <v/>
      </c>
      <c r="N186" s="403" t="str">
        <f>IF($D186="","", VLOOKUP($D186,'Final Update'!$P$21:$AD1000,Column(C184),False))</f>
        <v/>
      </c>
      <c r="O186" s="94"/>
      <c r="P186" s="94"/>
      <c r="Q186" s="94"/>
      <c r="R186" s="94"/>
      <c r="S186" s="94"/>
      <c r="T186" s="94"/>
      <c r="U186" s="94"/>
      <c r="V186" s="94"/>
      <c r="W186" s="94"/>
      <c r="X186" s="94"/>
      <c r="Y186" s="94"/>
      <c r="Z186" s="94"/>
    </row>
    <row r="187">
      <c r="A187" s="392" t="s">
        <v>5</v>
      </c>
      <c r="B187" s="94"/>
      <c r="C187" s="94"/>
      <c r="D187" s="395" t="s">
        <v>1291</v>
      </c>
      <c r="E187" s="409" t="str">
        <f t="shared" ref="E187:J187" si="11">IFERROR(AVERAGE(SUMPRODUCT(E173:E186,$B173:$B186/100))/(SUM(OFFSET($B173,0,0,COUNT(E173:E186)))/100),"")</f>
        <v/>
      </c>
      <c r="F187" s="409" t="str">
        <f t="shared" si="11"/>
        <v/>
      </c>
      <c r="G187" s="409" t="str">
        <f t="shared" si="11"/>
        <v/>
      </c>
      <c r="H187" s="409" t="str">
        <f t="shared" si="11"/>
        <v/>
      </c>
      <c r="I187" s="409" t="str">
        <f t="shared" si="11"/>
        <v/>
      </c>
      <c r="J187" s="409" t="str">
        <f t="shared" si="11"/>
        <v/>
      </c>
      <c r="K187" s="409">
        <f t="array" ref="K187">IFERROR(100*SUMPRODUCT(IFERROR(VLOOKUP($D173:$D186,UpdateHashtag!$C:$S,6,False),"")*$B173:$B186/100)/SUMPRODUCT(IFERROR(VLOOKUP($D173:$D186,UpdateHashtag!$C:$S,17,False),"")*$B173:$B186/100),"")</f>
        <v>47.01298701</v>
      </c>
      <c r="L187" s="409">
        <f t="array" ref="L187">IFERROR(100*SUMPRODUCT(IFERROR(VLOOKUP($D173:$D186,UpdateHashtag!$C:$T,8,False),"")*$B173:$B186/100)/SUMPRODUCT(IFERROR(VLOOKUP($D173:$D186,UpdateHashtag!$C:$T,18,False),"")*$B173:$B186/100),"")</f>
        <v>83.37182448</v>
      </c>
      <c r="M187" s="409" t="str">
        <f>IFERROR(AVERAGE(SUMPRODUCT(M173:M186,$B173:$B186/100))/(SUM(OFFSET($B173,0,0,COUNT(M173:M186)))/100),"")</f>
        <v/>
      </c>
      <c r="N187" s="347" t="s">
        <v>116</v>
      </c>
      <c r="O187" s="94"/>
      <c r="P187" s="94"/>
      <c r="Q187" s="94"/>
      <c r="R187" s="94"/>
      <c r="S187" s="94"/>
      <c r="T187" s="94"/>
      <c r="U187" s="94"/>
      <c r="V187" s="94"/>
      <c r="W187" s="94"/>
      <c r="X187" s="94"/>
      <c r="Y187" s="94"/>
      <c r="Z187" s="94"/>
    </row>
    <row r="188">
      <c r="A188" s="94"/>
      <c r="B188" s="94"/>
      <c r="C188" s="94"/>
      <c r="D188" s="395" t="s">
        <v>1318</v>
      </c>
      <c r="E188" s="410">
        <f>IFERROR((SUM(OFFSET('All Teams'!$B173,0,0,COUNT('All Teams'!E173:E186)))/100)*('All Teams'!E187-'Final Update'!$B$1)/'Final Update'!$B$2,"")</f>
        <v>-37.86430345</v>
      </c>
      <c r="F188" s="410">
        <f>IFERROR((SUM(OFFSET('All Teams'!$B173,0,0,COUNT('All Teams'!F173:F186)))/100)*('All Teams'!F187-'Final Update'!$C$1)/'Final Update'!$C$2,"")</f>
        <v>-20.88823897</v>
      </c>
      <c r="G188" s="410">
        <f>IFERROR((SUM(OFFSET('All Teams'!$B173,0,0,COUNT('All Teams'!G173:G186)))/100)*('All Teams'!G187-'Final Update'!$D$1)/'Final Update'!$D$2,"")</f>
        <v>-28.56718927</v>
      </c>
      <c r="H188" s="410">
        <f>IFERROR((SUM(OFFSET('All Teams'!$B173,0,0,COUNT('All Teams'!H173:H186)))/100)*('All Teams'!H187-'Final Update'!$E$1)/'Final Update'!$E$2,"")</f>
        <v>-21.51843192</v>
      </c>
      <c r="I188" s="410">
        <f>IFERROR((SUM(OFFSET('All Teams'!$B173,0,0,COUNT('All Teams'!I173:I186)))/100)*('All Teams'!I187-'Final Update'!$F$1)/'Final Update'!$F$2,"")</f>
        <v>-38.88228617</v>
      </c>
      <c r="J188" s="410">
        <f>IFERROR((SUM(OFFSET('All Teams'!$B173,0,0,COUNT('All Teams'!J173:J186)))/100)*('All Teams'!J187-'Final Update'!$G$1)/'Final Update'!$G$2,"")</f>
        <v>-15.94910581</v>
      </c>
      <c r="K188" s="410">
        <f t="array" ref="K188">SUMPRODUCT(IFERROR(VLOOKUP($D173:$D186,'Final Update'!$A$4:$L$403,8,False)*$B173:$B186/100,""))</f>
        <v>-4.775601799</v>
      </c>
      <c r="L188" s="410">
        <f t="array" ref="L188">SUMPRODUCT(IFERROR(VLOOKUP($D173:$D186,'Final Update'!$A$4:$L$403,10,False)*$B173:$B186/100,""))</f>
        <v>6.407940994</v>
      </c>
      <c r="M188" s="410">
        <f>IFERROR(-(SUM(OFFSET('All Teams'!$B173,0,0,COUNT('All Teams'!M173:M186)))/100)*('All Teams'!M187-'Final Update'!$L$1)/'Final Update'!$L$2,"")</f>
        <v>20.81462846</v>
      </c>
      <c r="N188" s="94">
        <f t="array" ref="N188">SUM(IFERROR(vlookup(D173:D186,'Final Update'!$P$21:$S$620,4,0),""))</f>
        <v>8.30938828</v>
      </c>
      <c r="O188" s="94"/>
      <c r="P188" s="94"/>
      <c r="Q188" s="94"/>
      <c r="R188" s="94"/>
      <c r="S188" s="94"/>
      <c r="T188" s="94"/>
      <c r="U188" s="94"/>
      <c r="V188" s="94"/>
      <c r="W188" s="94"/>
      <c r="X188" s="94"/>
      <c r="Y188" s="94"/>
      <c r="Z188" s="94"/>
    </row>
    <row r="189">
      <c r="A189" s="393">
        <v>12.0</v>
      </c>
      <c r="B189" s="394" t="s">
        <v>256</v>
      </c>
      <c r="C189" s="395" t="s">
        <v>258</v>
      </c>
      <c r="D189" s="394" t="s">
        <v>3</v>
      </c>
      <c r="E189" s="394" t="s">
        <v>13</v>
      </c>
      <c r="F189" s="394" t="s">
        <v>99</v>
      </c>
      <c r="G189" s="394" t="s">
        <v>101</v>
      </c>
      <c r="H189" s="394" t="s">
        <v>15</v>
      </c>
      <c r="I189" s="394" t="s">
        <v>16</v>
      </c>
      <c r="J189" s="394" t="s">
        <v>17</v>
      </c>
      <c r="K189" s="394" t="s">
        <v>9</v>
      </c>
      <c r="L189" s="394" t="s">
        <v>11</v>
      </c>
      <c r="M189" s="394" t="s">
        <v>18</v>
      </c>
      <c r="N189" s="394" t="s">
        <v>4</v>
      </c>
      <c r="O189" s="394" t="s">
        <v>259</v>
      </c>
      <c r="P189" s="394" t="s">
        <v>4</v>
      </c>
      <c r="Q189" s="94"/>
      <c r="R189" s="94"/>
      <c r="S189" s="94"/>
      <c r="T189" s="94"/>
      <c r="U189" s="94"/>
      <c r="V189" s="94"/>
      <c r="W189" s="94"/>
      <c r="X189" s="94"/>
      <c r="Y189" s="94"/>
      <c r="Z189" s="94"/>
    </row>
    <row r="190">
      <c r="A190" s="94"/>
      <c r="B190" s="396">
        <f>Projections!$AK$22</f>
        <v>100</v>
      </c>
      <c r="C190" s="397">
        <v>1.0</v>
      </c>
      <c r="D190" s="398" t="str">
        <f t="array" ref="D190">INDIRECT("Draft!D"&amp;TEXT(A189+2,"0"))</f>
        <v>Anthony Davis</v>
      </c>
      <c r="E190" s="399">
        <f>IF($D190="","", VLOOKUP($D190,'Final Update'!$P$21:$AD1000,Column(G188),False))</f>
        <v>25.2</v>
      </c>
      <c r="F190" s="399">
        <f>IF($D190="","", VLOOKUP($D190,'Final Update'!$P$21:$AD1000,Column(H188),False))</f>
        <v>0.4</v>
      </c>
      <c r="G190" s="399">
        <f>IF($D190="","", VLOOKUP($D190,'Final Update'!$P$21:$AD1000,Column(I188),False))</f>
        <v>12.7</v>
      </c>
      <c r="H190" s="399">
        <f>IF($D190="","", VLOOKUP($D190,'Final Update'!$P$21:$AD1000,Column(J188),False))</f>
        <v>3.6</v>
      </c>
      <c r="I190" s="399">
        <f>IF($D190="","", VLOOKUP($D190,'Final Update'!$P$21:$AD1000,Column(K188),False))</f>
        <v>1.2</v>
      </c>
      <c r="J190" s="399">
        <f>IF($D190="","", VLOOKUP($D190,'Final Update'!$P$21:$AD1000,Column(L188),False))</f>
        <v>2.3</v>
      </c>
      <c r="K190" s="400">
        <f>IF($D190="","", VLOOKUP($D190,'Final Update'!$P$21:$AD1000,Column(M188),False))</f>
        <v>0.559</v>
      </c>
      <c r="L190" s="400">
        <f>IF($D190="","", VLOOKUP($D190,'Final Update'!$P$21:$AD1000,Column(N188),False))</f>
        <v>0.802</v>
      </c>
      <c r="M190" s="399">
        <f>IF($D190="","", VLOOKUP($D190,'Final Update'!$P$21:$AD1000,Column(O188),False))</f>
        <v>2.1</v>
      </c>
      <c r="N190" s="399" t="str">
        <f>IF($D190="","", VLOOKUP($D190,'Final Update'!$P$21:$AD1000,Column(C188),False))</f>
        <v>PF,C</v>
      </c>
      <c r="O190" s="397">
        <f t="array" ref="O190">COUNTIF(FIND(P190,$N190:$N203),"&gt;0")</f>
        <v>3</v>
      </c>
      <c r="P190" s="398" t="s">
        <v>85</v>
      </c>
      <c r="Q190" s="94"/>
      <c r="R190" s="94"/>
      <c r="S190" s="94"/>
      <c r="T190" s="94"/>
      <c r="U190" s="94"/>
      <c r="V190" s="94"/>
      <c r="W190" s="94"/>
      <c r="X190" s="94"/>
      <c r="Y190" s="94"/>
      <c r="Z190" s="94"/>
    </row>
    <row r="191">
      <c r="A191" s="94"/>
      <c r="B191" s="396">
        <f>Projections!$AK$23</f>
        <v>100</v>
      </c>
      <c r="C191" s="397">
        <v>2.0</v>
      </c>
      <c r="D191" s="401" t="str">
        <f t="array" ref="D191">INDIRECT("Draft!E"&amp;TEXT(15-A189,"0"))</f>
        <v>James Harden</v>
      </c>
      <c r="E191" s="399">
        <f>IF($D191="","", VLOOKUP($D191,'Final Update'!$P$21:$AD1000,Column(G189),False))</f>
        <v>20.4</v>
      </c>
      <c r="F191" s="399">
        <f>IF($D191="","", VLOOKUP($D191,'Final Update'!$P$21:$AD1000,Column(H189),False))</f>
        <v>2.8</v>
      </c>
      <c r="G191" s="399">
        <f>IF($D191="","", VLOOKUP($D191,'Final Update'!$P$21:$AD1000,Column(I189),False))</f>
        <v>6.1</v>
      </c>
      <c r="H191" s="399">
        <f>IF($D191="","", VLOOKUP($D191,'Final Update'!$P$21:$AD1000,Column(J189),False))</f>
        <v>10.4</v>
      </c>
      <c r="I191" s="399">
        <f>IF($D191="","", VLOOKUP($D191,'Final Update'!$P$21:$AD1000,Column(K189),False))</f>
        <v>1.1</v>
      </c>
      <c r="J191" s="399">
        <f>IF($D191="","", VLOOKUP($D191,'Final Update'!$P$21:$AD1000,Column(L189),False))</f>
        <v>0.7</v>
      </c>
      <c r="K191" s="400">
        <f>IF($D191="","", VLOOKUP($D191,'Final Update'!$P$21:$AD1000,Column(M189),False))</f>
        <v>0.438</v>
      </c>
      <c r="L191" s="400">
        <f>IF($D191="","", VLOOKUP($D191,'Final Update'!$P$21:$AD1000,Column(N189),False))</f>
        <v>0.871</v>
      </c>
      <c r="M191" s="399">
        <f>IF($D191="","", VLOOKUP($D191,'Final Update'!$P$21:$AD1000,Column(O189),False))</f>
        <v>2.9</v>
      </c>
      <c r="N191" s="399" t="str">
        <f>IF($D191="","", VLOOKUP($D191,'Final Update'!$P$21:$AD1000,Column(C189),False))</f>
        <v>PG,SG</v>
      </c>
      <c r="O191" s="397">
        <f t="array" ref="O191">COUNTIF(FIND(P191,$N190:$N203),"&gt;0")</f>
        <v>5</v>
      </c>
      <c r="P191" s="398" t="s">
        <v>88</v>
      </c>
      <c r="Q191" s="94"/>
      <c r="R191" s="94"/>
      <c r="S191" s="94"/>
      <c r="T191" s="94"/>
      <c r="U191" s="94"/>
      <c r="V191" s="94"/>
      <c r="W191" s="94"/>
      <c r="X191" s="94"/>
      <c r="Y191" s="94"/>
      <c r="Z191" s="94"/>
    </row>
    <row r="192">
      <c r="A192" s="94"/>
      <c r="B192" s="396">
        <f>Projections!$AK$24</f>
        <v>100</v>
      </c>
      <c r="C192" s="397">
        <v>3.0</v>
      </c>
      <c r="D192" s="402" t="str">
        <f t="array" ref="D192">INDIRECT("Draft!F"&amp;TEXT(A189+2,"0"))</f>
        <v>Amen Thompson</v>
      </c>
      <c r="E192" s="399">
        <f>IF($D192="","", VLOOKUP($D192,'Final Update'!$P$21:$AD1000,Column(G190),False))</f>
        <v>12</v>
      </c>
      <c r="F192" s="399">
        <f>IF($D192="","", VLOOKUP($D192,'Final Update'!$P$21:$AD1000,Column(H190),False))</f>
        <v>0.3</v>
      </c>
      <c r="G192" s="399">
        <f>IF($D192="","", VLOOKUP($D192,'Final Update'!$P$21:$AD1000,Column(I190),False))</f>
        <v>7.2</v>
      </c>
      <c r="H192" s="399">
        <f>IF($D192="","", VLOOKUP($D192,'Final Update'!$P$21:$AD1000,Column(J190),False))</f>
        <v>3.2</v>
      </c>
      <c r="I192" s="399">
        <f>IF($D192="","", VLOOKUP($D192,'Final Update'!$P$21:$AD1000,Column(K190),False))</f>
        <v>1.5</v>
      </c>
      <c r="J192" s="399">
        <f>IF($D192="","", VLOOKUP($D192,'Final Update'!$P$21:$AD1000,Column(L190),False))</f>
        <v>0.8</v>
      </c>
      <c r="K192" s="400">
        <f>IF($D192="","", VLOOKUP($D192,'Final Update'!$P$21:$AD1000,Column(M190),False))</f>
        <v>0.529</v>
      </c>
      <c r="L192" s="400">
        <f>IF($D192="","", VLOOKUP($D192,'Final Update'!$P$21:$AD1000,Column(N190),False))</f>
        <v>0.72</v>
      </c>
      <c r="M192" s="399">
        <f>IF($D192="","", VLOOKUP($D192,'Final Update'!$P$21:$AD1000,Column(O190),False))</f>
        <v>1.8</v>
      </c>
      <c r="N192" s="399" t="str">
        <f>IF($D192="","", VLOOKUP($D192,'Final Update'!$P$21:$AD1000,Column(C190),False))</f>
        <v>SG,SF</v>
      </c>
      <c r="O192" s="397">
        <f t="array" ref="O192">COUNTIF(FIND(P192,$N190:$N203),"&gt;0")</f>
        <v>4</v>
      </c>
      <c r="P192" s="398" t="s">
        <v>90</v>
      </c>
      <c r="Q192" s="94"/>
      <c r="R192" s="94"/>
      <c r="S192" s="94"/>
      <c r="T192" s="94"/>
      <c r="U192" s="94"/>
      <c r="V192" s="94"/>
      <c r="W192" s="94"/>
      <c r="X192" s="94"/>
      <c r="Y192" s="94"/>
      <c r="Z192" s="94"/>
    </row>
    <row r="193">
      <c r="A193" s="94"/>
      <c r="B193" s="396">
        <f>Projections!$AK$25</f>
        <v>100</v>
      </c>
      <c r="C193" s="397">
        <v>4.0</v>
      </c>
      <c r="D193" s="405" t="str">
        <f t="array" ref="D193">INDIRECT("Draft!G"&amp;TEXT(15-A189,"0"))</f>
        <v>Brandon Miller</v>
      </c>
      <c r="E193" s="403">
        <f>IF($D193="","", VLOOKUP($D193,'Final Update'!$P$21:$AD1000,Column(G191),False))</f>
        <v>18.1</v>
      </c>
      <c r="F193" s="403">
        <f>IF($D193="","", VLOOKUP($D193,'Final Update'!$P$21:$AD1000,Column(H191),False))</f>
        <v>2.6</v>
      </c>
      <c r="G193" s="403">
        <f>IF($D193="","", VLOOKUP($D193,'Final Update'!$P$21:$AD1000,Column(I191),False))</f>
        <v>4.4</v>
      </c>
      <c r="H193" s="403">
        <f>IF($D193="","", VLOOKUP($D193,'Final Update'!$P$21:$AD1000,Column(J191),False))</f>
        <v>2.5</v>
      </c>
      <c r="I193" s="403">
        <f>IF($D193="","", VLOOKUP($D193,'Final Update'!$P$21:$AD1000,Column(K191),False))</f>
        <v>1</v>
      </c>
      <c r="J193" s="403">
        <f>IF($D193="","", VLOOKUP($D193,'Final Update'!$P$21:$AD1000,Column(L191),False))</f>
        <v>0.6</v>
      </c>
      <c r="K193" s="404">
        <f>IF($D193="","", VLOOKUP($D193,'Final Update'!$P$21:$AD1000,Column(M191),False))</f>
        <v>0.445</v>
      </c>
      <c r="L193" s="404">
        <f>IF($D193="","", VLOOKUP($D193,'Final Update'!$P$21:$AD1000,Column(N191),False))</f>
        <v>0.837</v>
      </c>
      <c r="M193" s="403">
        <f>IF($D193="","", VLOOKUP($D193,'Final Update'!$P$21:$AD1000,Column(O191),False))</f>
        <v>1.9</v>
      </c>
      <c r="N193" s="403" t="str">
        <f>IF($D193="","", VLOOKUP($D193,'Final Update'!$P$21:$AD1000,Column(C191),False))</f>
        <v>SG,SF</v>
      </c>
      <c r="O193" s="397">
        <f t="array" ref="O193">COUNTIF(FIND(P193,$N190:$N203),"&gt;0")</f>
        <v>4</v>
      </c>
      <c r="P193" s="398" t="s">
        <v>92</v>
      </c>
      <c r="Q193" s="94"/>
      <c r="R193" s="94"/>
      <c r="S193" s="94"/>
      <c r="T193" s="94"/>
      <c r="U193" s="94"/>
      <c r="V193" s="94"/>
      <c r="W193" s="94"/>
      <c r="X193" s="94"/>
      <c r="Y193" s="94"/>
      <c r="Z193" s="94"/>
    </row>
    <row r="194">
      <c r="A194" s="94"/>
      <c r="B194" s="396">
        <f>Projections!$AK$26</f>
        <v>100</v>
      </c>
      <c r="C194" s="397">
        <v>5.0</v>
      </c>
      <c r="D194" s="406" t="str">
        <f t="array" ref="D194">INDIRECT("Draft!H"&amp;TEXT(A189+2,"0"))</f>
        <v>Deni Avdija</v>
      </c>
      <c r="E194" s="403">
        <f>IF($D194="","", VLOOKUP($D194,'Final Update'!$P$21:$AD1000,Column(G192),False))</f>
        <v>11.9</v>
      </c>
      <c r="F194" s="403">
        <f>IF($D194="","", VLOOKUP($D194,'Final Update'!$P$21:$AD1000,Column(H192),False))</f>
        <v>1</v>
      </c>
      <c r="G194" s="403">
        <f>IF($D194="","", VLOOKUP($D194,'Final Update'!$P$21:$AD1000,Column(I192),False))</f>
        <v>6.5</v>
      </c>
      <c r="H194" s="403">
        <f>IF($D194="","", VLOOKUP($D194,'Final Update'!$P$21:$AD1000,Column(J192),False))</f>
        <v>3.3</v>
      </c>
      <c r="I194" s="403">
        <f>IF($D194="","", VLOOKUP($D194,'Final Update'!$P$21:$AD1000,Column(K192),False))</f>
        <v>0.8</v>
      </c>
      <c r="J194" s="403">
        <f>IF($D194="","", VLOOKUP($D194,'Final Update'!$P$21:$AD1000,Column(L192),False))</f>
        <v>0.4</v>
      </c>
      <c r="K194" s="404">
        <f>IF($D194="","", VLOOKUP($D194,'Final Update'!$P$21:$AD1000,Column(M192),False))</f>
        <v>0.477</v>
      </c>
      <c r="L194" s="404">
        <f>IF($D194="","", VLOOKUP($D194,'Final Update'!$P$21:$AD1000,Column(N192),False))</f>
        <v>0.738</v>
      </c>
      <c r="M194" s="403">
        <f>IF($D194="","", VLOOKUP($D194,'Final Update'!$P$21:$AD1000,Column(O192),False))</f>
        <v>1.9</v>
      </c>
      <c r="N194" s="403" t="str">
        <f>IF($D194="","", VLOOKUP($D194,'Final Update'!$P$21:$AD1000,Column(C192),False))</f>
        <v>SF,PF</v>
      </c>
      <c r="O194" s="397">
        <f t="array" ref="O194">COUNTIF(FIND(P194,$N190:$N203),"&gt;0")</f>
        <v>3</v>
      </c>
      <c r="P194" s="398" t="s">
        <v>97</v>
      </c>
      <c r="Q194" s="94"/>
      <c r="R194" s="94"/>
      <c r="S194" s="94"/>
      <c r="T194" s="94"/>
      <c r="U194" s="94"/>
      <c r="V194" s="94"/>
      <c r="W194" s="94"/>
      <c r="X194" s="94"/>
      <c r="Y194" s="94"/>
      <c r="Z194" s="94"/>
    </row>
    <row r="195">
      <c r="A195" s="94"/>
      <c r="B195" s="396">
        <f>Projections!$AK$27</f>
        <v>100</v>
      </c>
      <c r="C195" s="397">
        <v>6.0</v>
      </c>
      <c r="D195" s="407" t="str">
        <f t="array" ref="D195">INDIRECT("Draft!I"&amp;TEXT(15-A189,"0"))</f>
        <v>Alexandre Sarr</v>
      </c>
      <c r="E195" s="403">
        <f>IF($D195="","", VLOOKUP($D195,'Final Update'!$P$21:$AD1000,Column(G193),False))</f>
        <v>12.2</v>
      </c>
      <c r="F195" s="403">
        <f>IF($D195="","", VLOOKUP($D195,'Final Update'!$P$21:$AD1000,Column(H193),False))</f>
        <v>0.9</v>
      </c>
      <c r="G195" s="403">
        <f>IF($D195="","", VLOOKUP($D195,'Final Update'!$P$21:$AD1000,Column(I193),False))</f>
        <v>6.4</v>
      </c>
      <c r="H195" s="403">
        <f>IF($D195="","", VLOOKUP($D195,'Final Update'!$P$21:$AD1000,Column(J193),False))</f>
        <v>1.3</v>
      </c>
      <c r="I195" s="403">
        <f>IF($D195="","", VLOOKUP($D195,'Final Update'!$P$21:$AD1000,Column(K193),False))</f>
        <v>0.8</v>
      </c>
      <c r="J195" s="403">
        <f>IF($D195="","", VLOOKUP($D195,'Final Update'!$P$21:$AD1000,Column(L193),False))</f>
        <v>1.9</v>
      </c>
      <c r="K195" s="404">
        <f>IF($D195="","", VLOOKUP($D195,'Final Update'!$P$21:$AD1000,Column(M193),False))</f>
        <v>0.448</v>
      </c>
      <c r="L195" s="404">
        <f>IF($D195="","", VLOOKUP($D195,'Final Update'!$P$21:$AD1000,Column(N193),False))</f>
        <v>0.711</v>
      </c>
      <c r="M195" s="403">
        <f>IF($D195="","", VLOOKUP($D195,'Final Update'!$P$21:$AD1000,Column(O193),False))</f>
        <v>1.3</v>
      </c>
      <c r="N195" s="403" t="str">
        <f>IF($D195="","", VLOOKUP($D195,'Final Update'!$P$21:$AD1000,Column(C193),False))</f>
        <v>PF</v>
      </c>
      <c r="O195" s="94"/>
      <c r="P195" s="94"/>
      <c r="Q195" s="94"/>
      <c r="R195" s="94"/>
      <c r="S195" s="94"/>
      <c r="T195" s="94"/>
      <c r="U195" s="94"/>
      <c r="V195" s="94"/>
      <c r="W195" s="94"/>
      <c r="X195" s="94"/>
      <c r="Y195" s="94"/>
      <c r="Z195" s="94"/>
    </row>
    <row r="196">
      <c r="A196" s="94"/>
      <c r="B196" s="396">
        <f>Projections!$AK$28</f>
        <v>100</v>
      </c>
      <c r="C196" s="397">
        <v>7.0</v>
      </c>
      <c r="D196" s="406" t="str">
        <f t="array" ref="D196">INDIRECT("Draft!J"&amp;TEXT(A189+2,"0"))</f>
        <v>Darius Garland</v>
      </c>
      <c r="E196" s="403">
        <f>IF($D196="","", VLOOKUP($D196,'Final Update'!$P$21:$AD1000,Column(G194),False))</f>
        <v>19.3</v>
      </c>
      <c r="F196" s="403">
        <f>IF($D196="","", VLOOKUP($D196,'Final Update'!$P$21:$AD1000,Column(H194),False))</f>
        <v>2.3</v>
      </c>
      <c r="G196" s="403">
        <f>IF($D196="","", VLOOKUP($D196,'Final Update'!$P$21:$AD1000,Column(I194),False))</f>
        <v>2.6</v>
      </c>
      <c r="H196" s="403">
        <f>IF($D196="","", VLOOKUP($D196,'Final Update'!$P$21:$AD1000,Column(J194),False))</f>
        <v>7</v>
      </c>
      <c r="I196" s="403">
        <f>IF($D196="","", VLOOKUP($D196,'Final Update'!$P$21:$AD1000,Column(K194),False))</f>
        <v>1.2</v>
      </c>
      <c r="J196" s="403">
        <f>IF($D196="","", VLOOKUP($D196,'Final Update'!$P$21:$AD1000,Column(L194),False))</f>
        <v>0.1</v>
      </c>
      <c r="K196" s="404">
        <f>IF($D196="","", VLOOKUP($D196,'Final Update'!$P$21:$AD1000,Column(M194),False))</f>
        <v>0.455</v>
      </c>
      <c r="L196" s="404">
        <f>IF($D196="","", VLOOKUP($D196,'Final Update'!$P$21:$AD1000,Column(N194),False))</f>
        <v>0.85</v>
      </c>
      <c r="M196" s="403">
        <f>IF($D196="","", VLOOKUP($D196,'Final Update'!$P$21:$AD1000,Column(O194),False))</f>
        <v>2.9</v>
      </c>
      <c r="N196" s="403" t="str">
        <f>IF($D196="","", VLOOKUP($D196,'Final Update'!$P$21:$AD1000,Column(C194),False))</f>
        <v>PG</v>
      </c>
      <c r="O196" s="94"/>
      <c r="P196" s="94"/>
      <c r="Q196" s="94"/>
      <c r="R196" s="94"/>
      <c r="S196" s="94"/>
      <c r="T196" s="94"/>
      <c r="U196" s="94"/>
      <c r="V196" s="94"/>
      <c r="W196" s="94"/>
      <c r="X196" s="94"/>
      <c r="Y196" s="94"/>
      <c r="Z196" s="94"/>
    </row>
    <row r="197">
      <c r="A197" s="94"/>
      <c r="B197" s="396">
        <f>Projections!$AK$29</f>
        <v>100</v>
      </c>
      <c r="C197" s="397">
        <v>8.0</v>
      </c>
      <c r="D197" s="407" t="str">
        <f t="array" ref="D197">INDIRECT("Draft!K"&amp;TEXT(15-A189,"0"))</f>
        <v>Cam Johnson</v>
      </c>
      <c r="E197" s="403" t="str">
        <f>IF($D197="","", VLOOKUP($D197,'Final Update'!$P$21:$AD1000,Column(G195),False))</f>
        <v>#N/A</v>
      </c>
      <c r="F197" s="403" t="str">
        <f>IF($D197="","", VLOOKUP($D197,'Final Update'!$P$21:$AD1000,Column(H195),False))</f>
        <v>#N/A</v>
      </c>
      <c r="G197" s="403" t="str">
        <f>IF($D197="","", VLOOKUP($D197,'Final Update'!$P$21:$AD1000,Column(I195),False))</f>
        <v>#N/A</v>
      </c>
      <c r="H197" s="403" t="str">
        <f>IF($D197="","", VLOOKUP($D197,'Final Update'!$P$21:$AD1000,Column(J195),False))</f>
        <v>#N/A</v>
      </c>
      <c r="I197" s="403" t="str">
        <f>IF($D197="","", VLOOKUP($D197,'Final Update'!$P$21:$AD1000,Column(K195),False))</f>
        <v>#N/A</v>
      </c>
      <c r="J197" s="403" t="str">
        <f>IF($D197="","", VLOOKUP($D197,'Final Update'!$P$21:$AD1000,Column(L195),False))</f>
        <v>#N/A</v>
      </c>
      <c r="K197" s="404" t="str">
        <f>IF($D197="","", VLOOKUP($D197,'Final Update'!$P$21:$AD1000,Column(M195),False))</f>
        <v>#N/A</v>
      </c>
      <c r="L197" s="404" t="str">
        <f>IF($D197="","", VLOOKUP($D197,'Final Update'!$P$21:$AD1000,Column(N195),False))</f>
        <v>#N/A</v>
      </c>
      <c r="M197" s="403" t="str">
        <f>IF($D197="","", VLOOKUP($D197,'Final Update'!$P$21:$AD1000,Column(O195),False))</f>
        <v>#N/A</v>
      </c>
      <c r="N197" s="403" t="str">
        <f>IF($D197="","", VLOOKUP($D197,'Final Update'!$P$21:$AD1000,Column(C195),False))</f>
        <v>#N/A</v>
      </c>
      <c r="O197" s="94"/>
      <c r="P197" s="94"/>
      <c r="Q197" s="94"/>
      <c r="R197" s="94"/>
      <c r="S197" s="94"/>
      <c r="T197" s="94"/>
      <c r="U197" s="94"/>
      <c r="V197" s="94"/>
      <c r="W197" s="94"/>
      <c r="X197" s="94"/>
      <c r="Y197" s="94"/>
      <c r="Z197" s="94"/>
    </row>
    <row r="198">
      <c r="A198" s="94"/>
      <c r="B198" s="396">
        <f>Projections!$AK$30</f>
        <v>100</v>
      </c>
      <c r="C198" s="397">
        <v>9.0</v>
      </c>
      <c r="D198" s="406" t="str">
        <f t="array" ref="D198">INDIRECT("Draft!L"&amp;TEXT(A189+2,"0"))</f>
        <v>Zach Edey</v>
      </c>
      <c r="E198" s="403">
        <f>IF($D198="","", VLOOKUP($D198,'Final Update'!$P$21:$AD1000,Column(G196),False))</f>
        <v>10.2</v>
      </c>
      <c r="F198" s="403">
        <f>IF($D198="","", VLOOKUP($D198,'Final Update'!$P$21:$AD1000,Column(H196),False))</f>
        <v>0</v>
      </c>
      <c r="G198" s="403">
        <f>IF($D198="","", VLOOKUP($D198,'Final Update'!$P$21:$AD1000,Column(I196),False))</f>
        <v>7.2</v>
      </c>
      <c r="H198" s="403">
        <f>IF($D198="","", VLOOKUP($D198,'Final Update'!$P$21:$AD1000,Column(J196),False))</f>
        <v>1.3</v>
      </c>
      <c r="I198" s="403">
        <f>IF($D198="","", VLOOKUP($D198,'Final Update'!$P$21:$AD1000,Column(K196),False))</f>
        <v>0.3</v>
      </c>
      <c r="J198" s="403">
        <f>IF($D198="","", VLOOKUP($D198,'Final Update'!$P$21:$AD1000,Column(L196),False))</f>
        <v>1.3</v>
      </c>
      <c r="K198" s="404">
        <f>IF($D198="","", VLOOKUP($D198,'Final Update'!$P$21:$AD1000,Column(M196),False))</f>
        <v>0.575</v>
      </c>
      <c r="L198" s="404">
        <f>IF($D198="","", VLOOKUP($D198,'Final Update'!$P$21:$AD1000,Column(N196),False))</f>
        <v>0.729</v>
      </c>
      <c r="M198" s="403">
        <f>IF($D198="","", VLOOKUP($D198,'Final Update'!$P$21:$AD1000,Column(O196),False))</f>
        <v>1</v>
      </c>
      <c r="N198" s="403" t="str">
        <f>IF($D198="","", VLOOKUP($D198,'Final Update'!$P$21:$AD1000,Column(C196),False))</f>
        <v>C</v>
      </c>
      <c r="O198" s="94"/>
      <c r="P198" s="94"/>
      <c r="Q198" s="94"/>
      <c r="R198" s="94"/>
      <c r="S198" s="94"/>
      <c r="T198" s="94"/>
      <c r="U198" s="94"/>
      <c r="V198" s="94"/>
      <c r="W198" s="94"/>
      <c r="X198" s="94"/>
      <c r="Y198" s="94"/>
      <c r="Z198" s="94"/>
    </row>
    <row r="199">
      <c r="A199" s="94"/>
      <c r="B199" s="396">
        <f>Projections!$AK$31</f>
        <v>100</v>
      </c>
      <c r="C199" s="397">
        <v>10.0</v>
      </c>
      <c r="D199" s="407" t="str">
        <f t="array" ref="D199">INDIRECT("Draft!M"&amp;TEXT(15-A189,"0"))</f>
        <v>Jrue Holiday</v>
      </c>
      <c r="E199" s="403">
        <f>IF($D199="","", VLOOKUP($D199,'Final Update'!$P$21:$AD1000,Column(G197),False))</f>
        <v>13.5</v>
      </c>
      <c r="F199" s="403">
        <f>IF($D199="","", VLOOKUP($D199,'Final Update'!$P$21:$AD1000,Column(H197),False))</f>
        <v>2.2</v>
      </c>
      <c r="G199" s="403">
        <f>IF($D199="","", VLOOKUP($D199,'Final Update'!$P$21:$AD1000,Column(I197),False))</f>
        <v>5.3</v>
      </c>
      <c r="H199" s="403">
        <f>IF($D199="","", VLOOKUP($D199,'Final Update'!$P$21:$AD1000,Column(J197),False))</f>
        <v>5.1</v>
      </c>
      <c r="I199" s="403">
        <f>IF($D199="","", VLOOKUP($D199,'Final Update'!$P$21:$AD1000,Column(K197),False))</f>
        <v>1</v>
      </c>
      <c r="J199" s="403">
        <f>IF($D199="","", VLOOKUP($D199,'Final Update'!$P$21:$AD1000,Column(L197),False))</f>
        <v>0.6</v>
      </c>
      <c r="K199" s="404">
        <f>IF($D199="","", VLOOKUP($D199,'Final Update'!$P$21:$AD1000,Column(M197),False))</f>
        <v>0.477</v>
      </c>
      <c r="L199" s="404">
        <f>IF($D199="","", VLOOKUP($D199,'Final Update'!$P$21:$AD1000,Column(N197),False))</f>
        <v>0.847</v>
      </c>
      <c r="M199" s="403">
        <f>IF($D199="","", VLOOKUP($D199,'Final Update'!$P$21:$AD1000,Column(O197),False))</f>
        <v>2.4</v>
      </c>
      <c r="N199" s="403" t="str">
        <f>IF($D199="","", VLOOKUP($D199,'Final Update'!$P$21:$AD1000,Column(C197),False))</f>
        <v>PG,SG</v>
      </c>
      <c r="O199" s="94"/>
      <c r="P199" s="94"/>
      <c r="Q199" s="94"/>
      <c r="R199" s="94"/>
      <c r="S199" s="94"/>
      <c r="T199" s="94"/>
      <c r="U199" s="94"/>
      <c r="V199" s="94"/>
      <c r="W199" s="94"/>
      <c r="X199" s="94"/>
      <c r="Y199" s="94"/>
      <c r="Z199" s="94"/>
    </row>
    <row r="200">
      <c r="A200" s="94"/>
      <c r="B200" s="396">
        <f>Projections!$AK$32</f>
        <v>100</v>
      </c>
      <c r="C200" s="397">
        <v>11.0</v>
      </c>
      <c r="D200" s="406" t="str">
        <f t="array" ref="D200">INDIRECT("Draft!N"&amp;TEXT(A189+2,"0"))</f>
        <v>Herb Jones</v>
      </c>
      <c r="E200" s="403" t="str">
        <f>IF($D200="","", VLOOKUP($D200,'Final Update'!$P$21:$AD1000,Column(G198),False))</f>
        <v>#N/A</v>
      </c>
      <c r="F200" s="403" t="str">
        <f>IF($D200="","", VLOOKUP($D200,'Final Update'!$P$21:$AD1000,Column(H198),False))</f>
        <v>#N/A</v>
      </c>
      <c r="G200" s="403" t="str">
        <f>IF($D200="","", VLOOKUP($D200,'Final Update'!$P$21:$AD1000,Column(I198),False))</f>
        <v>#N/A</v>
      </c>
      <c r="H200" s="403" t="str">
        <f>IF($D200="","", VLOOKUP($D200,'Final Update'!$P$21:$AD1000,Column(J198),False))</f>
        <v>#N/A</v>
      </c>
      <c r="I200" s="403" t="str">
        <f>IF($D200="","", VLOOKUP($D200,'Final Update'!$P$21:$AD1000,Column(K198),False))</f>
        <v>#N/A</v>
      </c>
      <c r="J200" s="403" t="str">
        <f>IF($D200="","", VLOOKUP($D200,'Final Update'!$P$21:$AD1000,Column(L198),False))</f>
        <v>#N/A</v>
      </c>
      <c r="K200" s="404" t="str">
        <f>IF($D200="","", VLOOKUP($D200,'Final Update'!$P$21:$AD1000,Column(M198),False))</f>
        <v>#N/A</v>
      </c>
      <c r="L200" s="404" t="str">
        <f>IF($D200="","", VLOOKUP($D200,'Final Update'!$P$21:$AD1000,Column(N198),False))</f>
        <v>#N/A</v>
      </c>
      <c r="M200" s="403" t="str">
        <f>IF($D200="","", VLOOKUP($D200,'Final Update'!$P$21:$AD1000,Column(O198),False))</f>
        <v>#N/A</v>
      </c>
      <c r="N200" s="403" t="str">
        <f>IF($D200="","", VLOOKUP($D200,'Final Update'!$P$21:$AD1000,Column(C198),False))</f>
        <v>#N/A</v>
      </c>
      <c r="O200" s="94"/>
      <c r="P200" s="94"/>
      <c r="Q200" s="94"/>
      <c r="R200" s="94"/>
      <c r="S200" s="94"/>
      <c r="T200" s="94"/>
      <c r="U200" s="94"/>
      <c r="V200" s="94"/>
      <c r="W200" s="94"/>
      <c r="X200" s="94"/>
      <c r="Y200" s="94"/>
      <c r="Z200" s="94"/>
    </row>
    <row r="201">
      <c r="A201" s="94"/>
      <c r="B201" s="396">
        <f>Projections!$AK$33</f>
        <v>100</v>
      </c>
      <c r="C201" s="397">
        <v>12.0</v>
      </c>
      <c r="D201" s="407" t="str">
        <f t="array" ref="D201">INDIRECT("Draft!O"&amp;TEXT(15-A189,"0"))</f>
        <v>Nikola Jovic</v>
      </c>
      <c r="E201" s="403">
        <f>IF($D201="","", VLOOKUP($D201,'Final Update'!$P$21:$AD1000,Column(G199),False))</f>
        <v>10.4</v>
      </c>
      <c r="F201" s="403">
        <f>IF($D201="","", VLOOKUP($D201,'Final Update'!$P$21:$AD1000,Column(H199),False))</f>
        <v>1.8</v>
      </c>
      <c r="G201" s="403">
        <f>IF($D201="","", VLOOKUP($D201,'Final Update'!$P$21:$AD1000,Column(I199),False))</f>
        <v>5.3</v>
      </c>
      <c r="H201" s="403">
        <f>IF($D201="","", VLOOKUP($D201,'Final Update'!$P$21:$AD1000,Column(J199),False))</f>
        <v>2.4</v>
      </c>
      <c r="I201" s="403">
        <f>IF($D201="","", VLOOKUP($D201,'Final Update'!$P$21:$AD1000,Column(K199),False))</f>
        <v>0.8</v>
      </c>
      <c r="J201" s="403">
        <f>IF($D201="","", VLOOKUP($D201,'Final Update'!$P$21:$AD1000,Column(L199),False))</f>
        <v>0.4</v>
      </c>
      <c r="K201" s="404">
        <f>IF($D201="","", VLOOKUP($D201,'Final Update'!$P$21:$AD1000,Column(M199),False))</f>
        <v>0.443</v>
      </c>
      <c r="L201" s="404">
        <f>IF($D201="","", VLOOKUP($D201,'Final Update'!$P$21:$AD1000,Column(N199),False))</f>
        <v>0.766</v>
      </c>
      <c r="M201" s="403">
        <f>IF($D201="","", VLOOKUP($D201,'Final Update'!$P$21:$AD1000,Column(O199),False))</f>
        <v>1.2</v>
      </c>
      <c r="N201" s="403" t="str">
        <f>IF($D201="","", VLOOKUP($D201,'Final Update'!$P$21:$AD1000,Column(C199),False))</f>
        <v>PF,C</v>
      </c>
      <c r="O201" s="94"/>
      <c r="P201" s="94"/>
      <c r="Q201" s="94"/>
      <c r="R201" s="94"/>
      <c r="S201" s="94"/>
      <c r="T201" s="94"/>
      <c r="U201" s="94"/>
      <c r="V201" s="94"/>
      <c r="W201" s="94"/>
      <c r="X201" s="94"/>
      <c r="Y201" s="94"/>
      <c r="Z201" s="94"/>
    </row>
    <row r="202">
      <c r="A202" s="94"/>
      <c r="B202" s="408">
        <f>Projections!$AK$34</f>
        <v>100</v>
      </c>
      <c r="C202" s="397">
        <v>13.0</v>
      </c>
      <c r="D202" s="406" t="str">
        <f t="array" ref="D202">INDIRECT("Draft!P"&amp;TEXT(A189+2,"0"))</f>
        <v>Bilal Coulibaly</v>
      </c>
      <c r="E202" s="403">
        <f>IF($D202="","", VLOOKUP($D202,'Final Update'!$P$21:$AD1000,Column(G200),False))</f>
        <v>11.2</v>
      </c>
      <c r="F202" s="403">
        <f>IF($D202="","", VLOOKUP($D202,'Final Update'!$P$21:$AD1000,Column(H200),False))</f>
        <v>1.3</v>
      </c>
      <c r="G202" s="403">
        <f>IF($D202="","", VLOOKUP($D202,'Final Update'!$P$21:$AD1000,Column(I200),False))</f>
        <v>5.3</v>
      </c>
      <c r="H202" s="403">
        <f>IF($D202="","", VLOOKUP($D202,'Final Update'!$P$21:$AD1000,Column(J200),False))</f>
        <v>2.3</v>
      </c>
      <c r="I202" s="403">
        <f>IF($D202="","", VLOOKUP($D202,'Final Update'!$P$21:$AD1000,Column(K200),False))</f>
        <v>1.2</v>
      </c>
      <c r="J202" s="403">
        <f>IF($D202="","", VLOOKUP($D202,'Final Update'!$P$21:$AD1000,Column(L200),False))</f>
        <v>1</v>
      </c>
      <c r="K202" s="404">
        <f>IF($D202="","", VLOOKUP($D202,'Final Update'!$P$21:$AD1000,Column(M200),False))</f>
        <v>0.441</v>
      </c>
      <c r="L202" s="404">
        <f>IF($D202="","", VLOOKUP($D202,'Final Update'!$P$21:$AD1000,Column(N200),False))</f>
        <v>0.706</v>
      </c>
      <c r="M202" s="403">
        <f>IF($D202="","", VLOOKUP($D202,'Final Update'!$P$21:$AD1000,Column(O200),False))</f>
        <v>1.8</v>
      </c>
      <c r="N202" s="403" t="str">
        <f>IF($D202="","", VLOOKUP($D202,'Final Update'!$P$21:$AD1000,Column(C200),False))</f>
        <v>SG,SF</v>
      </c>
      <c r="O202" s="94"/>
      <c r="P202" s="94"/>
      <c r="Q202" s="94"/>
      <c r="R202" s="94"/>
      <c r="S202" s="94"/>
      <c r="T202" s="94"/>
      <c r="U202" s="94"/>
      <c r="V202" s="94"/>
      <c r="W202" s="94"/>
      <c r="X202" s="94"/>
      <c r="Y202" s="94"/>
      <c r="Z202" s="94"/>
    </row>
    <row r="203">
      <c r="A203" s="94"/>
      <c r="B203" s="396">
        <f>Projections!$AK$35</f>
        <v>50</v>
      </c>
      <c r="C203" s="397">
        <v>14.0</v>
      </c>
      <c r="D203" s="407" t="str">
        <f t="array" ref="D203">INDIRECT("Draft!Q"&amp;TEXT(15-A189,"0"))</f>
        <v/>
      </c>
      <c r="E203" s="403" t="str">
        <f>IF($D203="","", VLOOKUP($D203,'Final Update'!$P$21:$AD1000,Column(G201),False))</f>
        <v/>
      </c>
      <c r="F203" s="403" t="str">
        <f>IF($D203="","", VLOOKUP($D203,'Final Update'!$P$21:$AD1000,Column(H201),False))</f>
        <v/>
      </c>
      <c r="G203" s="403" t="str">
        <f>IF($D203="","", VLOOKUP($D203,'Final Update'!$P$21:$AD1000,Column(I201),False))</f>
        <v/>
      </c>
      <c r="H203" s="403" t="str">
        <f>IF($D203="","", VLOOKUP($D203,'Final Update'!$P$21:$AD1000,Column(J201),False))</f>
        <v/>
      </c>
      <c r="I203" s="403" t="str">
        <f>IF($D203="","", VLOOKUP($D203,'Final Update'!$P$21:$AD1000,Column(K201),False))</f>
        <v/>
      </c>
      <c r="J203" s="403" t="str">
        <f>IF($D203="","", VLOOKUP($D203,'Final Update'!$P$21:$AD1000,Column(L201),False))</f>
        <v/>
      </c>
      <c r="K203" s="404" t="str">
        <f>IF($D203="","", VLOOKUP($D203,'Final Update'!$P$21:$AD1000,Column(M201),False))</f>
        <v/>
      </c>
      <c r="L203" s="404" t="str">
        <f>IF($D203="","", VLOOKUP($D203,'Final Update'!$P$21:$AD1000,Column(N201),False))</f>
        <v/>
      </c>
      <c r="M203" s="403" t="str">
        <f>IF($D203="","", VLOOKUP($D203,'Final Update'!$P$21:$AD1000,Column(O201),False))</f>
        <v/>
      </c>
      <c r="N203" s="403" t="str">
        <f>IF($D203="","", VLOOKUP($D203,'Final Update'!$P$21:$AD1000,Column(C201),False))</f>
        <v/>
      </c>
      <c r="O203" s="94"/>
      <c r="P203" s="94"/>
      <c r="Q203" s="94"/>
      <c r="R203" s="94"/>
      <c r="S203" s="94"/>
      <c r="T203" s="94"/>
      <c r="U203" s="94"/>
      <c r="V203" s="94"/>
      <c r="W203" s="94"/>
      <c r="X203" s="94"/>
      <c r="Y203" s="94"/>
      <c r="Z203" s="94"/>
    </row>
    <row r="204">
      <c r="A204" s="94"/>
      <c r="B204" s="94"/>
      <c r="C204" s="94"/>
      <c r="D204" s="395" t="s">
        <v>1291</v>
      </c>
      <c r="E204" s="409" t="str">
        <f t="shared" ref="E204:J204" si="12">IFERROR(AVERAGE(SUMPRODUCT(E190:E203,$B190:$B203/100))/(SUM(OFFSET($B190,0,0,COUNT(E190:E203)))/100),"")</f>
        <v/>
      </c>
      <c r="F204" s="409" t="str">
        <f t="shared" si="12"/>
        <v/>
      </c>
      <c r="G204" s="409" t="str">
        <f t="shared" si="12"/>
        <v/>
      </c>
      <c r="H204" s="409" t="str">
        <f t="shared" si="12"/>
        <v/>
      </c>
      <c r="I204" s="409" t="str">
        <f t="shared" si="12"/>
        <v/>
      </c>
      <c r="J204" s="409" t="str">
        <f t="shared" si="12"/>
        <v/>
      </c>
      <c r="K204" s="409">
        <f t="array" ref="K204">IFERROR(100*SUMPRODUCT(IFERROR(VLOOKUP($D190:$D203,UpdateHashtag!$C:$S,6,False),"")*$B190:$B203/100)/SUMPRODUCT(IFERROR(VLOOKUP($D190:$D203,UpdateHashtag!$C:$S,17,False),"")*$B190:$B203/100),"")</f>
        <v>48.0861244</v>
      </c>
      <c r="L204" s="409">
        <f t="array" ref="L204">IFERROR(100*SUMPRODUCT(IFERROR(VLOOKUP($D190:$D203,UpdateHashtag!$C:$T,8,False),"")*$B190:$B203/100)/SUMPRODUCT(IFERROR(VLOOKUP($D190:$D203,UpdateHashtag!$C:$T,18,False),"")*$B190:$B203/100),"")</f>
        <v>78.35616438</v>
      </c>
      <c r="M204" s="409" t="str">
        <f>IFERROR(AVERAGE(SUMPRODUCT(M190:M203,$B190:$B203/100))/(SUM(OFFSET($B190,0,0,COUNT(M190:M203)))/100),"")</f>
        <v/>
      </c>
      <c r="N204" s="347" t="s">
        <v>116</v>
      </c>
      <c r="O204" s="94"/>
      <c r="P204" s="94"/>
      <c r="Q204" s="94"/>
      <c r="R204" s="94"/>
      <c r="S204" s="94"/>
      <c r="T204" s="94"/>
      <c r="U204" s="94"/>
      <c r="V204" s="94"/>
      <c r="W204" s="94"/>
      <c r="X204" s="94"/>
      <c r="Y204" s="94"/>
      <c r="Z204" s="94"/>
    </row>
    <row r="205">
      <c r="A205" s="94"/>
      <c r="B205" s="94"/>
      <c r="C205" s="94"/>
      <c r="D205" s="395" t="s">
        <v>1318</v>
      </c>
      <c r="E205" s="410">
        <f>IFERROR((SUM(OFFSET('All Teams'!$B190,0,0,COUNT('All Teams'!E190:E203)))/100)*('All Teams'!E204-'Final Update'!$B$1)/'Final Update'!$B$2,"")</f>
        <v>-34.70894483</v>
      </c>
      <c r="F205" s="410">
        <f>IFERROR((SUM(OFFSET('All Teams'!$B190,0,0,COUNT('All Teams'!F190:F203)))/100)*('All Teams'!F204-'Final Update'!$C$1)/'Final Update'!$C$2,"")</f>
        <v>-19.14755239</v>
      </c>
      <c r="G205" s="410">
        <f>IFERROR((SUM(OFFSET('All Teams'!$B190,0,0,COUNT('All Teams'!G190:G203)))/100)*('All Teams'!G204-'Final Update'!$D$1)/'Final Update'!$D$2,"")</f>
        <v>-26.18659016</v>
      </c>
      <c r="H205" s="410">
        <f>IFERROR((SUM(OFFSET('All Teams'!$B190,0,0,COUNT('All Teams'!H190:H203)))/100)*('All Teams'!H204-'Final Update'!$E$1)/'Final Update'!$E$2,"")</f>
        <v>-19.72522926</v>
      </c>
      <c r="I205" s="410">
        <f>IFERROR((SUM(OFFSET('All Teams'!$B190,0,0,COUNT('All Teams'!I190:I203)))/100)*('All Teams'!I204-'Final Update'!$F$1)/'Final Update'!$F$2,"")</f>
        <v>-35.64209565</v>
      </c>
      <c r="J205" s="410">
        <f>IFERROR((SUM(OFFSET('All Teams'!$B190,0,0,COUNT('All Teams'!J190:J203)))/100)*('All Teams'!J204-'Final Update'!$G$1)/'Final Update'!$G$2,"")</f>
        <v>-14.62001366</v>
      </c>
      <c r="K205" s="410">
        <f t="array" ref="K205">SUMPRODUCT(IFERROR(VLOOKUP($D190:$D203,'Final Update'!$A$4:$L$403,8,False)*$B190:$B203/100,""))</f>
        <v>-2.587604159</v>
      </c>
      <c r="L205" s="410">
        <f t="array" ref="L205">SUMPRODUCT(IFERROR(VLOOKUP($D190:$D203,'Final Update'!$A$4:$L$403,10,False)*$B190:$B203/100,""))</f>
        <v>-1.031465086</v>
      </c>
      <c r="M205" s="410">
        <f>IFERROR(-(SUM(OFFSET('All Teams'!$B190,0,0,COUNT('All Teams'!M190:M203)))/100)*('All Teams'!M204-'Final Update'!$L$1)/'Final Update'!$L$2,"")</f>
        <v>19.08007609</v>
      </c>
      <c r="N205" s="94">
        <f t="array" ref="N205">SUM(IFERROR(vlookup(D190:D203,'Final Update'!$P$21:$S$620,4,0),""))</f>
        <v>5.331595435</v>
      </c>
      <c r="O205" s="94"/>
      <c r="P205" s="94"/>
      <c r="Q205" s="94"/>
      <c r="R205" s="94"/>
      <c r="S205" s="94"/>
      <c r="T205" s="94"/>
      <c r="U205" s="94"/>
      <c r="V205" s="94"/>
      <c r="W205" s="94"/>
      <c r="X205" s="94"/>
      <c r="Y205" s="94"/>
      <c r="Z205" s="94"/>
    </row>
    <row r="206">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dataValidations>
    <dataValidation type="list" allowBlank="1" sqref="B3:B16 B20:B33 B37:B50 B54:B67 B71:B84 B88:B101 B105:B118 B122:B135 B139:B152 B156:B169 B173:B186 B190:B203">
      <formula1>"100,75,50,25,0"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20.13"/>
    <col customWidth="1" min="12" max="12" width="11.13"/>
    <col customWidth="1" hidden="1" min="13" max="13" width="16.75"/>
    <col hidden="1" min="14" max="24" width="12.63"/>
    <col customWidth="1" min="25" max="25" width="14.75"/>
  </cols>
  <sheetData>
    <row r="1">
      <c r="C1" s="415" t="s">
        <v>95</v>
      </c>
      <c r="D1" s="416">
        <f>VLOOKUP(TRUE(),Projections!I3:J14,2,FALSE)</f>
        <v>4</v>
      </c>
      <c r="Y1" s="416" t="s">
        <v>2618</v>
      </c>
      <c r="Z1" s="416">
        <v>150.0</v>
      </c>
      <c r="AB1" s="417"/>
    </row>
    <row r="2">
      <c r="C2" s="418"/>
      <c r="D2" s="418"/>
      <c r="F2" s="419" t="s">
        <v>2619</v>
      </c>
      <c r="Y2" s="418"/>
      <c r="Z2" s="418"/>
    </row>
    <row r="3">
      <c r="M3" s="2">
        <f>Projections!J3</f>
        <v>1</v>
      </c>
      <c r="N3" s="2">
        <f>Projections!J4</f>
        <v>2</v>
      </c>
      <c r="O3" s="2">
        <f>Projections!J5</f>
        <v>3</v>
      </c>
      <c r="P3">
        <f>Projections!J6</f>
        <v>4</v>
      </c>
      <c r="Q3" s="2">
        <f>Projections!J7</f>
        <v>5</v>
      </c>
      <c r="R3">
        <f>Projections!J8</f>
        <v>6</v>
      </c>
      <c r="S3">
        <f>Projections!J9</f>
        <v>7</v>
      </c>
      <c r="T3">
        <f>Projections!J10</f>
        <v>8</v>
      </c>
      <c r="U3">
        <f>Projections!J11</f>
        <v>9</v>
      </c>
      <c r="V3">
        <f>Projections!J12</f>
        <v>10</v>
      </c>
      <c r="W3">
        <f>Projections!J13</f>
        <v>11</v>
      </c>
      <c r="X3">
        <f>Projections!J14</f>
        <v>12</v>
      </c>
    </row>
    <row r="7" ht="15.75" customHeight="1"/>
    <row r="12">
      <c r="AA12" s="420"/>
    </row>
    <row r="17">
      <c r="D17" s="421"/>
      <c r="M17" s="422"/>
    </row>
    <row r="19">
      <c r="B19" s="423"/>
      <c r="C19" s="424" t="str">
        <f>'Final Update'!A3</f>
        <v>ADP</v>
      </c>
      <c r="D19" s="425" t="s">
        <v>13</v>
      </c>
      <c r="E19" s="425" t="s">
        <v>99</v>
      </c>
      <c r="F19" s="425" t="s">
        <v>101</v>
      </c>
      <c r="G19" s="425" t="s">
        <v>15</v>
      </c>
      <c r="H19" s="425" t="s">
        <v>16</v>
      </c>
      <c r="I19" s="425" t="s">
        <v>17</v>
      </c>
      <c r="J19" s="425" t="s">
        <v>9</v>
      </c>
      <c r="K19" s="425" t="s">
        <v>11</v>
      </c>
      <c r="L19" s="425" t="s">
        <v>18</v>
      </c>
      <c r="M19" s="424"/>
      <c r="N19" s="424"/>
      <c r="O19" s="424"/>
      <c r="P19" s="424"/>
      <c r="Q19" s="424"/>
      <c r="R19" s="424"/>
      <c r="S19" s="424"/>
      <c r="T19" s="424"/>
      <c r="U19" s="424"/>
      <c r="V19" s="424"/>
      <c r="W19" s="424"/>
      <c r="X19" s="424"/>
      <c r="Y19" s="426" t="s">
        <v>4</v>
      </c>
      <c r="Z19" s="426" t="s">
        <v>259</v>
      </c>
      <c r="AA19" s="426" t="s">
        <v>4</v>
      </c>
    </row>
    <row r="20">
      <c r="B20" s="427">
        <v>1.0</v>
      </c>
      <c r="C20" s="427" t="b">
        <f t="array" ref="C20">INDIRECT("Draft!C"&amp;TEXT(D1+2,"0"))</f>
        <v>1</v>
      </c>
      <c r="D20" s="428" t="str">
        <f>IF($C20="","", VLOOKUP($C20,UpdateHashtag!$B$2:$R$420,11,False))</f>
        <v>#N/A</v>
      </c>
      <c r="E20" s="428" t="str">
        <f>IF($C20="","", VLOOKUP($C20,UpdateHashtag!$B$2:$R$420,10,False))</f>
        <v>#N/A</v>
      </c>
      <c r="F20" s="428" t="str">
        <f>IF($C20="","", VLOOKUP($C20,UpdateHashtag!$B$2:$R$420,12,False))</f>
        <v>#N/A</v>
      </c>
      <c r="G20" s="428" t="str">
        <f>IF($C20="","", VLOOKUP($C20,UpdateHashtag!$B$2:$R$420,13,False))</f>
        <v>#N/A</v>
      </c>
      <c r="H20" s="428" t="str">
        <f>IF($C20="","", VLOOKUP($C20,UpdateHashtag!$B$2:$R$420,14,False))</f>
        <v>#N/A</v>
      </c>
      <c r="I20" s="428" t="str">
        <f>IF($C20="","", VLOOKUP($C20,UpdateHashtag!$B$2:$R$420,15,False))</f>
        <v>#N/A</v>
      </c>
      <c r="J20" s="429" t="str">
        <f> IF($C20="","", 100*VLOOKUP($C20,UpdateHashtag!$B$2:$R$420,6,False)/VLOOKUP($C20,'Final Update'!$A$3:$L$420,9,False))</f>
        <v>#N/A</v>
      </c>
      <c r="K20" s="429" t="str">
        <f>IF($C20="","", 100*VLOOKUP($C20,UpdateHashtag!$B$2:$R$420,9,False))</f>
        <v>#N/A</v>
      </c>
      <c r="L20" s="428" t="str">
        <f>IF($C20="","", VLOOKUP($C20,UpdateHashtag!$B$2:$R$420,16,False))</f>
        <v>#N/A</v>
      </c>
      <c r="M20" s="423"/>
      <c r="N20" s="423"/>
      <c r="O20" s="423"/>
      <c r="P20" s="423"/>
      <c r="Q20" s="423"/>
      <c r="R20" s="423"/>
      <c r="S20" s="423"/>
      <c r="T20" s="423"/>
      <c r="U20" s="423"/>
      <c r="V20" s="423"/>
      <c r="W20" s="423"/>
      <c r="X20" s="423"/>
      <c r="Y20" s="423" t="str">
        <f>IF($C20="","", VLOOKUP($C20,UpdateHashtag!$B$2:$C$420,2,FALSE))</f>
        <v>#N/A</v>
      </c>
      <c r="Z20" s="423">
        <f t="array" ref="Z20">COUNTIF(FIND(AA20,$Y$20:$Y$31),"&gt;0")</f>
        <v>0</v>
      </c>
      <c r="AA20" s="427" t="s">
        <v>85</v>
      </c>
    </row>
    <row r="21">
      <c r="B21" s="427">
        <v>2.0</v>
      </c>
      <c r="C21" s="430" t="str">
        <f t="array" ref="C21">INDIRECT("Draft!D"&amp;TEXT(15-D1,"0"))</f>
        <v>Devin Booker</v>
      </c>
      <c r="D21" s="428" t="str">
        <f>IF($C21="","", VLOOKUP($C21,UpdateHashtag!$B$2:$R$420,11,False))</f>
        <v>#N/A</v>
      </c>
      <c r="E21" s="428" t="str">
        <f>IF($C21="","", VLOOKUP($C21,UpdateHashtag!$B$2:$R$420,10,False))</f>
        <v>#N/A</v>
      </c>
      <c r="F21" s="428" t="str">
        <f>IF($C21="","", VLOOKUP($C21,UpdateHashtag!$B$2:$R$420,12,False))</f>
        <v>#N/A</v>
      </c>
      <c r="G21" s="428" t="str">
        <f>IF($C21="","", VLOOKUP($C21,UpdateHashtag!$B$2:$R$420,13,False))</f>
        <v>#N/A</v>
      </c>
      <c r="H21" s="428" t="str">
        <f>IF($C21="","", VLOOKUP($C21,UpdateHashtag!$B$2:$R$420,14,False))</f>
        <v>#N/A</v>
      </c>
      <c r="I21" s="428" t="str">
        <f>IF($C21="","", VLOOKUP($C21,UpdateHashtag!$B$2:$R$420,15,False))</f>
        <v>#N/A</v>
      </c>
      <c r="J21" s="429" t="str">
        <f> IF($C21="","", 100*VLOOKUP($C21,UpdateHashtag!$B$2:$R$420,6,False)/VLOOKUP($C21,'Final Update'!$A$3:$L$420,9,False))</f>
        <v>#N/A</v>
      </c>
      <c r="K21" s="429" t="str">
        <f>IF($C21="","", 100*VLOOKUP($C21,UpdateHashtag!$B$2:$R$420,9,False))</f>
        <v>#N/A</v>
      </c>
      <c r="L21" s="428" t="str">
        <f>IF($C21="","", VLOOKUP($C21,UpdateHashtag!$B$2:$R$420,16,False))</f>
        <v>#N/A</v>
      </c>
      <c r="M21" s="423"/>
      <c r="N21" s="423"/>
      <c r="O21" s="423"/>
      <c r="P21" s="423"/>
      <c r="Q21" s="423"/>
      <c r="R21" s="423"/>
      <c r="S21" s="423"/>
      <c r="T21" s="423"/>
      <c r="U21" s="423"/>
      <c r="V21" s="423"/>
      <c r="W21" s="423"/>
      <c r="X21" s="423"/>
      <c r="Y21" s="423" t="str">
        <f>IF($C21="","", VLOOKUP($C21,UpdateHashtag!$B$2:$C$420,2,FALSE))</f>
        <v>#N/A</v>
      </c>
      <c r="Z21" s="423">
        <f t="array" ref="Z21">COUNTIF(FIND(AA21,$Y$20:$Y$31),"&gt;0")</f>
        <v>0</v>
      </c>
      <c r="AA21" s="427" t="s">
        <v>88</v>
      </c>
    </row>
    <row r="22">
      <c r="B22" s="427">
        <v>3.0</v>
      </c>
      <c r="C22" s="427" t="str">
        <f t="array" ref="C22">INDIRECT("Draft!E"&amp;TEXT(D1+2,"0"))</f>
        <v>Kevin Durant</v>
      </c>
      <c r="D22" s="428" t="str">
        <f>IF($C22="","", VLOOKUP($C22,UpdateHashtag!$B$2:$R$420,11,False))</f>
        <v>#N/A</v>
      </c>
      <c r="E22" s="428" t="str">
        <f>IF($C22="","", VLOOKUP($C22,UpdateHashtag!$B$2:$R$420,10,False))</f>
        <v>#N/A</v>
      </c>
      <c r="F22" s="428" t="str">
        <f>IF($C22="","", VLOOKUP($C22,UpdateHashtag!$B$2:$R$420,12,False))</f>
        <v>#N/A</v>
      </c>
      <c r="G22" s="428" t="str">
        <f>IF($C22="","", VLOOKUP($C22,UpdateHashtag!$B$2:$R$420,13,False))</f>
        <v>#N/A</v>
      </c>
      <c r="H22" s="428" t="str">
        <f>IF($C22="","", VLOOKUP($C22,UpdateHashtag!$B$2:$R$420,14,False))</f>
        <v>#N/A</v>
      </c>
      <c r="I22" s="428" t="str">
        <f>IF($C22="","", VLOOKUP($C22,UpdateHashtag!$B$2:$R$420,15,False))</f>
        <v>#N/A</v>
      </c>
      <c r="J22" s="429" t="str">
        <f> IF($C22="","", 100*VLOOKUP($C22,UpdateHashtag!$B$2:$R$420,6,False)/VLOOKUP($C22,'Final Update'!$A$3:$L$420,9,False))</f>
        <v>#N/A</v>
      </c>
      <c r="K22" s="429" t="str">
        <f>IF($C22="","", 100*VLOOKUP($C22,UpdateHashtag!$B$2:$R$420,9,False))</f>
        <v>#N/A</v>
      </c>
      <c r="L22" s="428" t="str">
        <f>IF($C22="","", VLOOKUP($C22,UpdateHashtag!$B$2:$R$420,16,False))</f>
        <v>#N/A</v>
      </c>
      <c r="M22" s="423"/>
      <c r="N22" s="423"/>
      <c r="O22" s="423"/>
      <c r="P22" s="423"/>
      <c r="Q22" s="423"/>
      <c r="R22" s="423"/>
      <c r="S22" s="423"/>
      <c r="T22" s="423"/>
      <c r="U22" s="423"/>
      <c r="V22" s="423"/>
      <c r="W22" s="423"/>
      <c r="X22" s="423"/>
      <c r="Y22" s="423" t="str">
        <f>IF($C22="","", VLOOKUP($C22,UpdateHashtag!$B$2:$C$420,2,FALSE))</f>
        <v>#N/A</v>
      </c>
      <c r="Z22" s="423">
        <f t="array" ref="Z22">COUNTIF(FIND(AA22,$Y$20:$Y$31),"&gt;0")</f>
        <v>0</v>
      </c>
      <c r="AA22" s="427" t="s">
        <v>90</v>
      </c>
    </row>
    <row r="23">
      <c r="B23" s="427">
        <v>4.0</v>
      </c>
      <c r="C23" s="431" t="str">
        <f t="array" ref="C23">INDIRECT("Draft!F"&amp;TEXT(15-D1,"0"))</f>
        <v>Jamal Murray</v>
      </c>
      <c r="D23" s="428" t="str">
        <f>IF($C23="","", VLOOKUP($C23,UpdateHashtag!$B$2:$R$420,11,False))</f>
        <v>#N/A</v>
      </c>
      <c r="E23" s="428" t="str">
        <f>IF($C23="","", VLOOKUP($C23,UpdateHashtag!$B$2:$R$420,10,False))</f>
        <v>#N/A</v>
      </c>
      <c r="F23" s="428" t="str">
        <f>IF($C23="","", VLOOKUP($C23,UpdateHashtag!$B$2:$R$420,12,False))</f>
        <v>#N/A</v>
      </c>
      <c r="G23" s="428" t="str">
        <f>IF($C23="","", VLOOKUP($C23,UpdateHashtag!$B$2:$R$420,13,False))</f>
        <v>#N/A</v>
      </c>
      <c r="H23" s="428" t="str">
        <f>IF($C23="","", VLOOKUP($C23,UpdateHashtag!$B$2:$R$420,14,False))</f>
        <v>#N/A</v>
      </c>
      <c r="I23" s="428" t="str">
        <f>IF($C23="","", VLOOKUP($C23,UpdateHashtag!$B$2:$R$420,15,False))</f>
        <v>#N/A</v>
      </c>
      <c r="J23" s="429" t="str">
        <f> IF($C23="","", 100*VLOOKUP($C23,UpdateHashtag!$B$2:$R$420,6,False)/VLOOKUP($C23,'Final Update'!$A$3:$L$420,9,False))</f>
        <v>#N/A</v>
      </c>
      <c r="K23" s="429" t="str">
        <f>IF($C23="","", 100*VLOOKUP($C23,UpdateHashtag!$B$2:$R$420,9,False))</f>
        <v>#N/A</v>
      </c>
      <c r="L23" s="428" t="str">
        <f>IF($C23="","", VLOOKUP($C23,UpdateHashtag!$B$2:$R$420,16,False))</f>
        <v>#N/A</v>
      </c>
      <c r="M23" s="423"/>
      <c r="N23" s="423"/>
      <c r="O23" s="423"/>
      <c r="P23" s="423"/>
      <c r="Q23" s="423"/>
      <c r="R23" s="423"/>
      <c r="S23" s="423"/>
      <c r="T23" s="423"/>
      <c r="U23" s="423"/>
      <c r="V23" s="423"/>
      <c r="W23" s="423"/>
      <c r="X23" s="423"/>
      <c r="Y23" s="423" t="str">
        <f>IF($C23="","", VLOOKUP($C23,UpdateHashtag!$B$2:$C$420,2,FALSE))</f>
        <v>#N/A</v>
      </c>
      <c r="Z23" s="423">
        <f t="array" ref="Z23">COUNTIF(FIND(AA23,$Y$20:$Y$31),"&gt;0")</f>
        <v>0</v>
      </c>
      <c r="AA23" s="427" t="s">
        <v>92</v>
      </c>
    </row>
    <row r="24">
      <c r="B24" s="427">
        <v>5.0</v>
      </c>
      <c r="C24" s="432" t="str">
        <f t="array" ref="C24">INDIRECT("Draft!G"&amp;TEXT(D1+2,"0"))</f>
        <v>Kawhi Leonard</v>
      </c>
      <c r="D24" s="428" t="str">
        <f>IF($C24="","", VLOOKUP($C24,UpdateHashtag!$B$2:$R$420,11,False))</f>
        <v>#N/A</v>
      </c>
      <c r="E24" s="428" t="str">
        <f>IF($C24="","", VLOOKUP($C24,UpdateHashtag!$B$2:$R$420,10,False))</f>
        <v>#N/A</v>
      </c>
      <c r="F24" s="428" t="str">
        <f>IF($C24="","", VLOOKUP($C24,UpdateHashtag!$B$2:$R$420,12,False))</f>
        <v>#N/A</v>
      </c>
      <c r="G24" s="428" t="str">
        <f>IF($C24="","", VLOOKUP($C24,UpdateHashtag!$B$2:$R$420,13,False))</f>
        <v>#N/A</v>
      </c>
      <c r="H24" s="428" t="str">
        <f>IF($C24="","", VLOOKUP($C24,UpdateHashtag!$B$2:$R$420,14,False))</f>
        <v>#N/A</v>
      </c>
      <c r="I24" s="428" t="str">
        <f>IF($C24="","", VLOOKUP($C24,UpdateHashtag!$B$2:$R$420,15,False))</f>
        <v>#N/A</v>
      </c>
      <c r="J24" s="429" t="str">
        <f> IF($C24="","", 100*VLOOKUP($C24,UpdateHashtag!$B$2:$R$420,6,False)/VLOOKUP($C24,'Final Update'!$A$3:$L$420,9,False))</f>
        <v>#N/A</v>
      </c>
      <c r="K24" s="429" t="str">
        <f>IF($C24="","", 100*VLOOKUP($C24,UpdateHashtag!$B$2:$R$420,9,False))</f>
        <v>#N/A</v>
      </c>
      <c r="L24" s="428" t="str">
        <f>IF($C24="","", VLOOKUP($C24,UpdateHashtag!$B$2:$R$420,16,False))</f>
        <v>#N/A</v>
      </c>
      <c r="M24" s="423"/>
      <c r="N24" s="423"/>
      <c r="O24" s="423"/>
      <c r="P24" s="423"/>
      <c r="Q24" s="423"/>
      <c r="R24" s="423"/>
      <c r="S24" s="423"/>
      <c r="T24" s="423"/>
      <c r="U24" s="423"/>
      <c r="V24" s="423"/>
      <c r="W24" s="423"/>
      <c r="X24" s="423"/>
      <c r="Y24" s="423" t="str">
        <f>IF($C24="","", VLOOKUP($C24,UpdateHashtag!$B$2:$C$420,2,FALSE))</f>
        <v>#N/A</v>
      </c>
      <c r="Z24" s="423">
        <f t="array" ref="Z24">COUNTIF(FIND(AA24,$Y$20:$Y$31),"&gt;0")</f>
        <v>0</v>
      </c>
      <c r="AA24" s="427" t="s">
        <v>97</v>
      </c>
    </row>
    <row r="25">
      <c r="B25" s="427">
        <v>6.0</v>
      </c>
      <c r="C25" s="431" t="str">
        <f t="array" ref="C25">INDIRECT("Draft!H"&amp;TEXT(15-D1,"0"))</f>
        <v>Jimmy Butler</v>
      </c>
      <c r="D25" s="428" t="str">
        <f>IF($C25="","", VLOOKUP($C25,UpdateHashtag!$B$2:$R$420,11,False))</f>
        <v>#N/A</v>
      </c>
      <c r="E25" s="428" t="str">
        <f>IF($C25="","", VLOOKUP($C25,UpdateHashtag!$B$2:$R$420,10,False))</f>
        <v>#N/A</v>
      </c>
      <c r="F25" s="428" t="str">
        <f>IF($C25="","", VLOOKUP($C25,UpdateHashtag!$B$2:$R$420,12,False))</f>
        <v>#N/A</v>
      </c>
      <c r="G25" s="428" t="str">
        <f>IF($C25="","", VLOOKUP($C25,UpdateHashtag!$B$2:$R$420,13,False))</f>
        <v>#N/A</v>
      </c>
      <c r="H25" s="428" t="str">
        <f>IF($C25="","", VLOOKUP($C25,UpdateHashtag!$B$2:$R$420,14,False))</f>
        <v>#N/A</v>
      </c>
      <c r="I25" s="428" t="str">
        <f>IF($C25="","", VLOOKUP($C25,UpdateHashtag!$B$2:$R$420,15,False))</f>
        <v>#N/A</v>
      </c>
      <c r="J25" s="429" t="str">
        <f> IF($C25="","", 100*VLOOKUP($C25,UpdateHashtag!$B$2:$R$420,6,False)/VLOOKUP($C25,'Final Update'!$A$3:$L$420,9,False))</f>
        <v>#N/A</v>
      </c>
      <c r="K25" s="429" t="str">
        <f>IF($C25="","", 100*VLOOKUP($C25,UpdateHashtag!$B$2:$R$420,9,False))</f>
        <v>#N/A</v>
      </c>
      <c r="L25" s="428" t="str">
        <f>IF($C25="","", VLOOKUP($C25,UpdateHashtag!$B$2:$R$420,16,False))</f>
        <v>#N/A</v>
      </c>
      <c r="M25" s="423"/>
      <c r="N25" s="423"/>
      <c r="O25" s="423"/>
      <c r="P25" s="423"/>
      <c r="Q25" s="423"/>
      <c r="R25" s="423"/>
      <c r="S25" s="423"/>
      <c r="T25" s="423"/>
      <c r="U25" s="423"/>
      <c r="V25" s="423"/>
      <c r="W25" s="423"/>
      <c r="X25" s="423"/>
      <c r="Y25" s="423" t="str">
        <f>IF($C25="","", VLOOKUP($C25,UpdateHashtag!$B$2:$C$420,2,FALSE))</f>
        <v>#N/A</v>
      </c>
      <c r="Z25" s="433"/>
      <c r="AA25" s="433"/>
    </row>
    <row r="26">
      <c r="B26" s="427">
        <v>7.0</v>
      </c>
      <c r="C26" s="432" t="str">
        <f t="array" ref="C26">INDIRECT("Draft!I"&amp;TEXT(D1+2,"0"))</f>
        <v>Matas Buzelis</v>
      </c>
      <c r="D26" s="428" t="str">
        <f>IF($C26="","", VLOOKUP($C26,UpdateHashtag!$B$2:$R$420,11,False))</f>
        <v>#N/A</v>
      </c>
      <c r="E26" s="428" t="str">
        <f>IF($C26="","", VLOOKUP($C26,UpdateHashtag!$B$2:$R$420,10,False))</f>
        <v>#N/A</v>
      </c>
      <c r="F26" s="428" t="str">
        <f>IF($C26="","", VLOOKUP($C26,UpdateHashtag!$B$2:$R$420,12,False))</f>
        <v>#N/A</v>
      </c>
      <c r="G26" s="428" t="str">
        <f>IF($C26="","", VLOOKUP($C26,UpdateHashtag!$B$2:$R$420,13,False))</f>
        <v>#N/A</v>
      </c>
      <c r="H26" s="428" t="str">
        <f>IF($C26="","", VLOOKUP($C26,UpdateHashtag!$B$2:$R$420,14,False))</f>
        <v>#N/A</v>
      </c>
      <c r="I26" s="428" t="str">
        <f>IF($C26="","", VLOOKUP($C26,UpdateHashtag!$B$2:$R$420,15,False))</f>
        <v>#N/A</v>
      </c>
      <c r="J26" s="429" t="str">
        <f> IF($C26="","", 100*VLOOKUP($C26,UpdateHashtag!$B$2:$R$420,6,False)/VLOOKUP($C26,'Final Update'!$A$3:$L$420,9,False))</f>
        <v>#N/A</v>
      </c>
      <c r="K26" s="429" t="str">
        <f>IF($C26="","", 100*VLOOKUP($C26,UpdateHashtag!$B$2:$R$420,9,False))</f>
        <v>#N/A</v>
      </c>
      <c r="L26" s="428" t="str">
        <f>IF($C26="","", VLOOKUP($C26,UpdateHashtag!$B$2:$R$420,16,False))</f>
        <v>#N/A</v>
      </c>
      <c r="M26" s="423"/>
      <c r="N26" s="423"/>
      <c r="O26" s="423"/>
      <c r="P26" s="423"/>
      <c r="Q26" s="423"/>
      <c r="R26" s="423"/>
      <c r="S26" s="423"/>
      <c r="T26" s="423"/>
      <c r="U26" s="423"/>
      <c r="V26" s="423"/>
      <c r="W26" s="423"/>
      <c r="X26" s="423"/>
      <c r="Y26" s="423" t="str">
        <f>IF($C26="","", VLOOKUP($C26,UpdateHashtag!$B$2:$C$420,2,FALSE))</f>
        <v>#N/A</v>
      </c>
      <c r="Z26" s="433"/>
      <c r="AA26" s="433"/>
    </row>
    <row r="27">
      <c r="B27" s="427">
        <v>8.0</v>
      </c>
      <c r="C27" s="431" t="str">
        <f t="array" ref="C27">INDIRECT("Draft!J"&amp;TEXT(15-D1,"0"))</f>
        <v>Toumani Camara</v>
      </c>
      <c r="D27" s="428" t="str">
        <f>IF($C27="","", VLOOKUP($C27,UpdateHashtag!$B$2:$R$420,11,False))</f>
        <v>#N/A</v>
      </c>
      <c r="E27" s="428" t="str">
        <f>IF($C27="","", VLOOKUP($C27,UpdateHashtag!$B$2:$R$420,10,False))</f>
        <v>#N/A</v>
      </c>
      <c r="F27" s="428" t="str">
        <f>IF($C27="","", VLOOKUP($C27,UpdateHashtag!$B$2:$R$420,12,False))</f>
        <v>#N/A</v>
      </c>
      <c r="G27" s="428" t="str">
        <f>IF($C27="","", VLOOKUP($C27,UpdateHashtag!$B$2:$R$420,13,False))</f>
        <v>#N/A</v>
      </c>
      <c r="H27" s="428" t="str">
        <f>IF($C27="","", VLOOKUP($C27,UpdateHashtag!$B$2:$R$420,14,False))</f>
        <v>#N/A</v>
      </c>
      <c r="I27" s="428" t="str">
        <f>IF($C27="","", VLOOKUP($C27,UpdateHashtag!$B$2:$R$420,15,False))</f>
        <v>#N/A</v>
      </c>
      <c r="J27" s="429" t="str">
        <f> IF($C27="","", 100*VLOOKUP($C27,UpdateHashtag!$B$2:$R$420,6,False)/VLOOKUP($C27,'Final Update'!$A$3:$L$420,9,False))</f>
        <v>#N/A</v>
      </c>
      <c r="K27" s="429" t="str">
        <f>IF($C27="","", 100*VLOOKUP($C27,UpdateHashtag!$B$2:$R$420,9,False))</f>
        <v>#N/A</v>
      </c>
      <c r="L27" s="428" t="str">
        <f>IF($C27="","", VLOOKUP($C27,UpdateHashtag!$B$2:$R$420,16,False))</f>
        <v>#N/A</v>
      </c>
      <c r="M27" s="423"/>
      <c r="N27" s="423"/>
      <c r="O27" s="423"/>
      <c r="P27" s="423"/>
      <c r="Q27" s="423"/>
      <c r="R27" s="423"/>
      <c r="S27" s="423"/>
      <c r="T27" s="423"/>
      <c r="U27" s="423"/>
      <c r="V27" s="423"/>
      <c r="W27" s="423"/>
      <c r="X27" s="423"/>
      <c r="Y27" s="423" t="str">
        <f>IF($C27="","", VLOOKUP($C27,UpdateHashtag!$B$2:$C$420,2,FALSE))</f>
        <v>#N/A</v>
      </c>
      <c r="Z27" s="433"/>
      <c r="AA27" s="433"/>
    </row>
    <row r="28">
      <c r="B28" s="427">
        <v>9.0</v>
      </c>
      <c r="C28" s="432" t="str">
        <f t="array" ref="C28">INDIRECT("Draft!K"&amp;TEXT(D1+2,"0"))</f>
        <v>Donovan Clingan</v>
      </c>
      <c r="D28" s="428" t="str">
        <f>IF($C28="","", VLOOKUP($C28,UpdateHashtag!$B$2:$R$420,11,False))</f>
        <v>#N/A</v>
      </c>
      <c r="E28" s="428" t="str">
        <f>IF($C28="","", VLOOKUP($C28,UpdateHashtag!$B$2:$R$420,10,False))</f>
        <v>#N/A</v>
      </c>
      <c r="F28" s="428" t="str">
        <f>IF($C28="","", VLOOKUP($C28,UpdateHashtag!$B$2:$R$420,12,False))</f>
        <v>#N/A</v>
      </c>
      <c r="G28" s="428" t="str">
        <f>IF($C28="","", VLOOKUP($C28,UpdateHashtag!$B$2:$R$420,13,False))</f>
        <v>#N/A</v>
      </c>
      <c r="H28" s="428" t="str">
        <f>IF($C28="","", VLOOKUP($C28,UpdateHashtag!$B$2:$R$420,14,False))</f>
        <v>#N/A</v>
      </c>
      <c r="I28" s="428" t="str">
        <f>IF($C28="","", VLOOKUP($C28,UpdateHashtag!$B$2:$R$420,15,False))</f>
        <v>#N/A</v>
      </c>
      <c r="J28" s="429" t="str">
        <f> IF($C28="","", 100*VLOOKUP($C28,UpdateHashtag!$B$2:$R$420,6,False)/VLOOKUP($C28,'Final Update'!$A$3:$L$420,9,False))</f>
        <v>#N/A</v>
      </c>
      <c r="K28" s="429" t="str">
        <f>IF($C28="","", 100*VLOOKUP($C28,UpdateHashtag!$B$2:$R$420,9,False))</f>
        <v>#N/A</v>
      </c>
      <c r="L28" s="428" t="str">
        <f>IF($C28="","", VLOOKUP($C28,UpdateHashtag!$B$2:$R$420,16,False))</f>
        <v>#N/A</v>
      </c>
      <c r="M28" s="423"/>
      <c r="N28" s="423"/>
      <c r="O28" s="423"/>
      <c r="P28" s="423"/>
      <c r="Q28" s="423"/>
      <c r="R28" s="423"/>
      <c r="S28" s="423"/>
      <c r="T28" s="423"/>
      <c r="U28" s="423"/>
      <c r="V28" s="423"/>
      <c r="W28" s="423"/>
      <c r="X28" s="423"/>
      <c r="Y28" s="423" t="str">
        <f>IF($C28="","", VLOOKUP($C28,UpdateHashtag!$B$2:$C$420,2,FALSE))</f>
        <v>#N/A</v>
      </c>
      <c r="Z28" s="433"/>
      <c r="AA28" s="433"/>
      <c r="AB28" s="417"/>
    </row>
    <row r="29">
      <c r="B29" s="427">
        <v>10.0</v>
      </c>
      <c r="C29" s="431" t="str">
        <f t="array" ref="C29">INDIRECT("Draft!L"&amp;TEXT(15-D1,"0"))</f>
        <v>Nicolas Claxton</v>
      </c>
      <c r="D29" s="428" t="str">
        <f>IF($C29="","", VLOOKUP($C29,UpdateHashtag!$B$2:$R$420,11,False))</f>
        <v>#N/A</v>
      </c>
      <c r="E29" s="428" t="str">
        <f>IF($C29="","", VLOOKUP($C29,UpdateHashtag!$B$2:$R$420,10,False))</f>
        <v>#N/A</v>
      </c>
      <c r="F29" s="428" t="str">
        <f>IF($C29="","", VLOOKUP($C29,UpdateHashtag!$B$2:$R$420,12,False))</f>
        <v>#N/A</v>
      </c>
      <c r="G29" s="428" t="str">
        <f>IF($C29="","", VLOOKUP($C29,UpdateHashtag!$B$2:$R$420,13,False))</f>
        <v>#N/A</v>
      </c>
      <c r="H29" s="428" t="str">
        <f>IF($C29="","", VLOOKUP($C29,UpdateHashtag!$B$2:$R$420,14,False))</f>
        <v>#N/A</v>
      </c>
      <c r="I29" s="428" t="str">
        <f>IF($C29="","", VLOOKUP($C29,UpdateHashtag!$B$2:$R$420,15,False))</f>
        <v>#N/A</v>
      </c>
      <c r="J29" s="429" t="str">
        <f> IF($C29="","", 100*VLOOKUP($C29,UpdateHashtag!$B$2:$R$420,6,False)/VLOOKUP($C29,'Final Update'!$A$3:$L$420,9,False))</f>
        <v>#N/A</v>
      </c>
      <c r="K29" s="429" t="str">
        <f>IF($C29="","", 100*VLOOKUP($C29,UpdateHashtag!$B$2:$R$420,9,False))</f>
        <v>#N/A</v>
      </c>
      <c r="L29" s="428" t="str">
        <f>IF($C29="","", VLOOKUP($C29,UpdateHashtag!$B$2:$R$420,16,False))</f>
        <v>#N/A</v>
      </c>
      <c r="M29" s="423"/>
      <c r="N29" s="423"/>
      <c r="O29" s="423"/>
      <c r="P29" s="423"/>
      <c r="Q29" s="423"/>
      <c r="R29" s="423"/>
      <c r="S29" s="423"/>
      <c r="T29" s="423"/>
      <c r="U29" s="423"/>
      <c r="V29" s="423"/>
      <c r="W29" s="423"/>
      <c r="X29" s="423"/>
      <c r="Y29" s="423" t="str">
        <f>IF($C29="","", VLOOKUP($C29,UpdateHashtag!$B$2:$C$420,2,FALSE))</f>
        <v>#N/A</v>
      </c>
      <c r="Z29" s="433"/>
      <c r="AA29" s="433"/>
    </row>
    <row r="30">
      <c r="B30" s="427">
        <v>11.0</v>
      </c>
      <c r="C30" s="432" t="str">
        <f t="array" ref="C30">INDIRECT("Draft!M"&amp;TEXT(D1+2,"0"))</f>
        <v>Andrew Nembhard</v>
      </c>
      <c r="D30" s="428" t="str">
        <f>IF($C30="","", VLOOKUP($C30,UpdateHashtag!$B$2:$R$420,11,False))</f>
        <v>#N/A</v>
      </c>
      <c r="E30" s="428" t="str">
        <f>IF($C30="","", VLOOKUP($C30,UpdateHashtag!$B$2:$R$420,10,False))</f>
        <v>#N/A</v>
      </c>
      <c r="F30" s="428" t="str">
        <f>IF($C30="","", VLOOKUP($C30,UpdateHashtag!$B$2:$R$420,12,False))</f>
        <v>#N/A</v>
      </c>
      <c r="G30" s="428" t="str">
        <f>IF($C30="","", VLOOKUP($C30,UpdateHashtag!$B$2:$R$420,13,False))</f>
        <v>#N/A</v>
      </c>
      <c r="H30" s="428" t="str">
        <f>IF($C30="","", VLOOKUP($C30,UpdateHashtag!$B$2:$R$420,14,False))</f>
        <v>#N/A</v>
      </c>
      <c r="I30" s="428" t="str">
        <f>IF($C30="","", VLOOKUP($C30,UpdateHashtag!$B$2:$R$420,15,False))</f>
        <v>#N/A</v>
      </c>
      <c r="J30" s="429" t="str">
        <f> IF($C30="","", 100*VLOOKUP($C30,UpdateHashtag!$B$2:$R$420,6,False)/VLOOKUP($C30,'Final Update'!$A$3:$L$420,9,False))</f>
        <v>#N/A</v>
      </c>
      <c r="K30" s="429" t="str">
        <f>IF($C30="","", 100*VLOOKUP($C30,UpdateHashtag!$B$2:$R$420,9,False))</f>
        <v>#N/A</v>
      </c>
      <c r="L30" s="428" t="str">
        <f>IF($C30="","", VLOOKUP($C30,UpdateHashtag!$B$2:$R$420,16,False))</f>
        <v>#N/A</v>
      </c>
      <c r="M30" s="423"/>
      <c r="N30" s="423"/>
      <c r="O30" s="423"/>
      <c r="P30" s="423"/>
      <c r="Q30" s="423"/>
      <c r="R30" s="423"/>
      <c r="S30" s="423"/>
      <c r="T30" s="423"/>
      <c r="U30" s="423"/>
      <c r="V30" s="423"/>
      <c r="W30" s="423"/>
      <c r="X30" s="423"/>
      <c r="Y30" s="423" t="str">
        <f>IF($C30="","", VLOOKUP($C30,UpdateHashtag!$B$2:$C$420,2,FALSE))</f>
        <v>#N/A</v>
      </c>
      <c r="Z30" s="433"/>
      <c r="AA30" s="433"/>
    </row>
    <row r="31">
      <c r="B31" s="427">
        <v>12.0</v>
      </c>
      <c r="C31" s="431" t="str">
        <f t="array" ref="C31">INDIRECT("Draft!N"&amp;TEXT(15-D1,"0"))</f>
        <v>Davion Mitchell</v>
      </c>
      <c r="D31" s="428" t="str">
        <f>IF($C31="","", VLOOKUP($C31,UpdateHashtag!$B$2:$R$420,11,False))</f>
        <v>#N/A</v>
      </c>
      <c r="E31" s="428" t="str">
        <f>IF($C31="","", VLOOKUP($C31,UpdateHashtag!$B$2:$R$420,10,False))</f>
        <v>#N/A</v>
      </c>
      <c r="F31" s="428" t="str">
        <f>IF($C31="","", VLOOKUP($C31,UpdateHashtag!$B$2:$R$420,12,False))</f>
        <v>#N/A</v>
      </c>
      <c r="G31" s="428" t="str">
        <f>IF($C31="","", VLOOKUP($C31,UpdateHashtag!$B$2:$R$420,13,False))</f>
        <v>#N/A</v>
      </c>
      <c r="H31" s="428" t="str">
        <f>IF($C31="","", VLOOKUP($C31,UpdateHashtag!$B$2:$R$420,14,False))</f>
        <v>#N/A</v>
      </c>
      <c r="I31" s="428" t="str">
        <f>IF($C31="","", VLOOKUP($C31,UpdateHashtag!$B$2:$R$420,15,False))</f>
        <v>#N/A</v>
      </c>
      <c r="J31" s="429" t="str">
        <f> IF($C31="","", 100*VLOOKUP($C31,UpdateHashtag!$B$2:$R$420,6,False)/VLOOKUP($C31,'Final Update'!$A$3:$L$420,9,False))</f>
        <v>#N/A</v>
      </c>
      <c r="K31" s="429" t="str">
        <f>IF($C31="","", 100*VLOOKUP($C31,UpdateHashtag!$B$2:$R$420,9,False))</f>
        <v>#N/A</v>
      </c>
      <c r="L31" s="428" t="str">
        <f>IF($C31="","", VLOOKUP($C31,UpdateHashtag!$B$2:$R$420,16,False))</f>
        <v>#N/A</v>
      </c>
      <c r="M31" s="423"/>
      <c r="N31" s="423"/>
      <c r="O31" s="423"/>
      <c r="P31" s="423"/>
      <c r="Q31" s="423"/>
      <c r="R31" s="423"/>
      <c r="S31" s="423"/>
      <c r="T31" s="423"/>
      <c r="U31" s="423"/>
      <c r="V31" s="423"/>
      <c r="W31" s="423"/>
      <c r="X31" s="423"/>
      <c r="Y31" s="423" t="str">
        <f>IF($C31="","", VLOOKUP($C31,UpdateHashtag!$B$2:$C$420,2,FALSE))</f>
        <v>#N/A</v>
      </c>
      <c r="Z31" s="433"/>
      <c r="AA31" s="433"/>
    </row>
    <row r="32">
      <c r="C32" s="437" t="s">
        <v>1291</v>
      </c>
      <c r="D32" s="429" t="str">
        <f t="shared" ref="D32:I32" si="1">IFERROR(AVERAGE(D20:D31),"")</f>
        <v/>
      </c>
      <c r="E32" s="429" t="str">
        <f t="shared" si="1"/>
        <v/>
      </c>
      <c r="F32" s="429" t="str">
        <f t="shared" si="1"/>
        <v/>
      </c>
      <c r="G32" s="429" t="str">
        <f t="shared" si="1"/>
        <v/>
      </c>
      <c r="H32" s="429" t="str">
        <f t="shared" si="1"/>
        <v/>
      </c>
      <c r="I32" s="429" t="str">
        <f t="shared" si="1"/>
        <v/>
      </c>
      <c r="J32" s="429" t="str">
        <f t="array" ref="J32">IFERROR(100*SUMPRODUCT(IFERROR(VLOOKUP(C20:C31,UpdateHashtag!B:S,6,False),""))/SUMPRODUCT(IFERROR(VLOOKUP(C20:C31,UpdateHashtag!B:S,17,False),"")),"")</f>
        <v/>
      </c>
      <c r="K32" s="429" t="str">
        <f t="array" ref="K32">IFERROR(100*SUMPRODUCT(IFERROR(VLOOKUP(C20:C31,UpdateHashtag!B:S,8,False),""))/SUMPRODUCT(IFERROR(VLOOKUP(C20:C31,UpdateHashtag!B:S,18,False),"")),"")</f>
        <v/>
      </c>
      <c r="L32" s="429" t="str">
        <f>IFERROR(AVERAGE(L20:L31),"")</f>
        <v/>
      </c>
      <c r="M32" s="423"/>
      <c r="N32" s="423"/>
      <c r="O32" s="423"/>
      <c r="P32" s="423"/>
      <c r="Q32" s="423"/>
      <c r="R32" s="423"/>
      <c r="S32" s="423"/>
      <c r="T32" s="423"/>
      <c r="U32" s="423"/>
      <c r="V32" s="423"/>
      <c r="W32" s="423"/>
      <c r="X32" s="438"/>
      <c r="Y32" s="433"/>
    </row>
  </sheetData>
  <mergeCells count="4">
    <mergeCell ref="C1:C2"/>
    <mergeCell ref="D1:D2"/>
    <mergeCell ref="Y1:Y2"/>
    <mergeCell ref="Z1:Z2"/>
  </mergeCells>
  <dataValidations>
    <dataValidation type="list" allowBlank="1" sqref="Z1">
      <formula1>"50,100,150,200,250,300,350,400"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row>
    <row r="2">
      <c r="A2" s="7"/>
      <c r="B2" s="7"/>
      <c r="C2" s="7"/>
      <c r="D2" s="17" t="s">
        <v>2620</v>
      </c>
      <c r="E2" s="17" t="s">
        <v>2621</v>
      </c>
      <c r="F2" s="17" t="s">
        <v>2622</v>
      </c>
      <c r="G2" s="17" t="s">
        <v>2623</v>
      </c>
      <c r="H2" s="17" t="s">
        <v>1570</v>
      </c>
      <c r="I2" s="17" t="s">
        <v>2624</v>
      </c>
      <c r="J2" s="17" t="s">
        <v>2625</v>
      </c>
      <c r="K2" s="17" t="s">
        <v>2626</v>
      </c>
      <c r="L2" s="17" t="s">
        <v>1612</v>
      </c>
      <c r="M2" s="17" t="s">
        <v>1562</v>
      </c>
      <c r="N2" s="17" t="s">
        <v>2627</v>
      </c>
      <c r="O2" s="17" t="s">
        <v>2628</v>
      </c>
      <c r="P2" s="17" t="s">
        <v>2629</v>
      </c>
      <c r="Q2" s="17" t="s">
        <v>2630</v>
      </c>
      <c r="R2" s="7"/>
      <c r="S2" s="7"/>
      <c r="T2" s="7"/>
      <c r="U2" s="7"/>
      <c r="V2" s="7"/>
      <c r="W2" s="7"/>
      <c r="X2" s="7"/>
      <c r="Y2" s="7"/>
      <c r="Z2" s="7"/>
      <c r="AA2" s="7"/>
      <c r="AB2" s="7"/>
      <c r="AC2" s="7"/>
      <c r="AD2" s="7"/>
      <c r="AE2" s="7"/>
      <c r="AF2" s="7"/>
      <c r="AG2" s="7"/>
      <c r="AH2" s="7"/>
      <c r="AI2" s="7"/>
      <c r="AJ2" s="7"/>
      <c r="AK2" s="7"/>
      <c r="AL2" s="7"/>
      <c r="AM2" s="7"/>
      <c r="AN2" s="7"/>
    </row>
    <row r="3">
      <c r="A3" s="17" t="s">
        <v>2631</v>
      </c>
      <c r="B3" s="7" t="str">
        <f t="array" ref="B3">TOCOL(IF(IF(Projections!G12,D16:O27,D3:O14)=Projections!G13,D15:O15&amp;C16:C27,NA()),2)</f>
        <v>#REF!</v>
      </c>
      <c r="C3" s="17">
        <v>3.0</v>
      </c>
      <c r="D3" s="10">
        <v>1.0</v>
      </c>
      <c r="E3" s="10">
        <v>13.0</v>
      </c>
      <c r="F3" s="439">
        <v>25.0</v>
      </c>
      <c r="G3" s="439">
        <v>37.0</v>
      </c>
      <c r="H3" s="439">
        <v>49.0</v>
      </c>
      <c r="I3" s="439">
        <v>61.0</v>
      </c>
      <c r="J3" s="439">
        <v>73.0</v>
      </c>
      <c r="K3" s="439">
        <v>85.0</v>
      </c>
      <c r="L3" s="439">
        <v>97.0</v>
      </c>
      <c r="M3" s="439">
        <v>109.0</v>
      </c>
      <c r="N3" s="439">
        <v>121.0</v>
      </c>
      <c r="O3" s="439">
        <v>133.0</v>
      </c>
      <c r="P3" s="439">
        <v>145.0</v>
      </c>
      <c r="Q3" s="439">
        <v>157.0</v>
      </c>
      <c r="R3" s="7"/>
      <c r="S3" s="7"/>
      <c r="T3" s="7"/>
      <c r="U3" s="7" t="str">
        <f>IFERROR(__xludf.DUMMYFUNCTION("(FILTER(FLATTEN(Draft!D3:O14), FLATTEN(Draft!D3:O14)&lt;&gt;""""))"),"Victor Wembanyama")</f>
        <v>Victor Wembanyama</v>
      </c>
      <c r="V3" s="7"/>
      <c r="W3" s="7" t="b">
        <f>IFERROR(__xludf.DUMMYFUNCTION("ArrayFormula(IF(FILTER(FLATTEN(Draft!D3:O14), FLATTEN(Draft!D3:O14)&lt;&gt;"""")&lt;&gt;0,true,false))"),TRUE)</f>
        <v>1</v>
      </c>
      <c r="X3" s="7"/>
      <c r="Y3" s="7"/>
      <c r="Z3" s="7"/>
      <c r="AA3" s="7"/>
      <c r="AB3" s="7"/>
      <c r="AC3" s="7"/>
      <c r="AD3" s="7"/>
      <c r="AE3" s="7"/>
      <c r="AF3" s="7"/>
      <c r="AG3" s="7"/>
      <c r="AH3" s="7"/>
      <c r="AI3" s="7"/>
      <c r="AJ3" s="7"/>
      <c r="AK3" s="7"/>
      <c r="AL3" s="7"/>
      <c r="AM3" s="7"/>
      <c r="AN3" s="7"/>
    </row>
    <row r="4">
      <c r="A4" s="17" t="s">
        <v>2632</v>
      </c>
      <c r="B4" s="7" t="str">
        <f t="array" ref="B4">TOCOL(IF(IF(Projections!G12,D16:O27,D3:O14)=(Projections!G13-1),D15:O15&amp;C16:C27,NA()),2)</f>
        <v>O3</v>
      </c>
      <c r="C4" s="17">
        <v>4.0</v>
      </c>
      <c r="D4" s="10">
        <v>2.0</v>
      </c>
      <c r="E4" s="10">
        <v>14.0</v>
      </c>
      <c r="F4" s="439">
        <v>26.0</v>
      </c>
      <c r="G4" s="439">
        <v>38.0</v>
      </c>
      <c r="H4" s="439">
        <v>50.0</v>
      </c>
      <c r="I4" s="439">
        <v>62.0</v>
      </c>
      <c r="J4" s="439">
        <v>74.0</v>
      </c>
      <c r="K4" s="439">
        <v>86.0</v>
      </c>
      <c r="L4" s="439">
        <v>98.0</v>
      </c>
      <c r="M4" s="439">
        <v>110.0</v>
      </c>
      <c r="N4" s="439">
        <v>122.0</v>
      </c>
      <c r="O4" s="439">
        <v>134.0</v>
      </c>
      <c r="P4" s="439">
        <v>146.0</v>
      </c>
      <c r="Q4" s="439">
        <v>158.0</v>
      </c>
      <c r="R4" s="7"/>
      <c r="S4" s="7"/>
      <c r="T4" s="7"/>
      <c r="U4" s="7" t="str">
        <f>IFERROR(__xludf.DUMMYFUNCTION("""COMPUTED_VALUE"""),"James Harden")</f>
        <v>James Harden</v>
      </c>
      <c r="V4" s="7"/>
      <c r="W4" s="7" t="b">
        <f>IFERROR(__xludf.DUMMYFUNCTION("""COMPUTED_VALUE"""),TRUE)</f>
        <v>1</v>
      </c>
      <c r="X4" s="7"/>
      <c r="Y4" s="7"/>
      <c r="Z4" s="7"/>
      <c r="AA4" s="7"/>
      <c r="AB4" s="7"/>
      <c r="AC4" s="7"/>
      <c r="AD4" s="7"/>
      <c r="AE4" s="7"/>
      <c r="AF4" s="7"/>
      <c r="AG4" s="7"/>
      <c r="AH4" s="7"/>
      <c r="AI4" s="7"/>
      <c r="AJ4" s="7"/>
      <c r="AK4" s="7"/>
      <c r="AL4" s="7"/>
      <c r="AM4" s="7"/>
      <c r="AN4" s="7"/>
    </row>
    <row r="5">
      <c r="A5" s="17" t="s">
        <v>21</v>
      </c>
      <c r="B5" s="19" t="str">
        <f t="array" ref="B5">TOCOL(IF(IF(Projections!G12,D16:Q27,D3:Q14)=Indirect("Draft!"&amp;ADDRESS(IF(Projections!G12,17,16),Projections!G6+3)),D15:O15&amp;C16:C27,NA()),2)</f>
        <v>D6</v>
      </c>
      <c r="C5" s="17">
        <v>5.0</v>
      </c>
      <c r="D5" s="10">
        <v>3.0</v>
      </c>
      <c r="E5" s="10">
        <v>15.0</v>
      </c>
      <c r="F5" s="439">
        <v>27.0</v>
      </c>
      <c r="G5" s="439">
        <v>39.0</v>
      </c>
      <c r="H5" s="439">
        <v>51.0</v>
      </c>
      <c r="I5" s="439">
        <v>63.0</v>
      </c>
      <c r="J5" s="439">
        <v>75.0</v>
      </c>
      <c r="K5" s="439">
        <v>87.0</v>
      </c>
      <c r="L5" s="439">
        <v>99.0</v>
      </c>
      <c r="M5" s="439">
        <v>111.0</v>
      </c>
      <c r="N5" s="439">
        <v>123.0</v>
      </c>
      <c r="O5" s="439">
        <v>135.0</v>
      </c>
      <c r="P5" s="439">
        <v>147.0</v>
      </c>
      <c r="Q5" s="439">
        <v>159.0</v>
      </c>
      <c r="R5" s="7"/>
      <c r="S5" s="7"/>
      <c r="T5" s="7"/>
      <c r="U5" s="54" t="str">
        <f>IFERROR(__xludf.DUMMYFUNCTION("""COMPUTED_VALUE"""),"Cooper Flagg")</f>
        <v>Cooper Flagg</v>
      </c>
      <c r="V5" s="7"/>
      <c r="W5" s="7" t="b">
        <f>IFERROR(__xludf.DUMMYFUNCTION("""COMPUTED_VALUE"""),TRUE)</f>
        <v>1</v>
      </c>
      <c r="X5" s="7"/>
      <c r="Y5" s="7"/>
      <c r="Z5" s="7"/>
      <c r="AA5" s="7"/>
      <c r="AB5" s="7"/>
      <c r="AC5" s="7"/>
      <c r="AD5" s="7"/>
      <c r="AE5" s="7"/>
      <c r="AF5" s="7"/>
      <c r="AG5" s="7"/>
      <c r="AH5" s="7"/>
      <c r="AI5" s="7"/>
      <c r="AJ5" s="7"/>
      <c r="AK5" s="7"/>
      <c r="AL5" s="7"/>
      <c r="AM5" s="7"/>
      <c r="AN5" s="7"/>
    </row>
    <row r="6">
      <c r="A6" s="7"/>
      <c r="B6" s="7"/>
      <c r="C6" s="17">
        <v>6.0</v>
      </c>
      <c r="D6" s="10">
        <v>4.0</v>
      </c>
      <c r="E6" s="10">
        <v>16.0</v>
      </c>
      <c r="F6" s="439">
        <v>28.0</v>
      </c>
      <c r="G6" s="439">
        <v>40.0</v>
      </c>
      <c r="H6" s="439">
        <v>52.0</v>
      </c>
      <c r="I6" s="439">
        <v>64.0</v>
      </c>
      <c r="J6" s="439">
        <v>76.0</v>
      </c>
      <c r="K6" s="439">
        <v>88.0</v>
      </c>
      <c r="L6" s="439">
        <v>100.0</v>
      </c>
      <c r="M6" s="439">
        <v>112.0</v>
      </c>
      <c r="N6" s="439">
        <v>124.0</v>
      </c>
      <c r="O6" s="439">
        <v>136.0</v>
      </c>
      <c r="P6" s="439">
        <v>148.0</v>
      </c>
      <c r="Q6" s="439">
        <v>160.0</v>
      </c>
      <c r="R6" s="7"/>
      <c r="S6" s="7"/>
      <c r="T6" s="7"/>
      <c r="U6" s="54" t="str">
        <f>IFERROR(__xludf.DUMMYFUNCTION("""COMPUTED_VALUE"""),"Brandon Miller")</f>
        <v>Brandon Miller</v>
      </c>
      <c r="V6" s="7"/>
      <c r="W6" s="7" t="b">
        <f>IFERROR(__xludf.DUMMYFUNCTION("""COMPUTED_VALUE"""),TRUE)</f>
        <v>1</v>
      </c>
      <c r="X6" s="7"/>
      <c r="Y6" s="7"/>
      <c r="Z6" s="7"/>
      <c r="AA6" s="7"/>
      <c r="AB6" s="7"/>
      <c r="AC6" s="7"/>
      <c r="AD6" s="7"/>
      <c r="AE6" s="7"/>
      <c r="AF6" s="7"/>
      <c r="AG6" s="7"/>
      <c r="AH6" s="7"/>
      <c r="AI6" s="7"/>
      <c r="AJ6" s="7"/>
      <c r="AK6" s="7"/>
      <c r="AL6" s="7"/>
      <c r="AM6" s="7"/>
      <c r="AN6" s="7"/>
    </row>
    <row r="7">
      <c r="A7" s="7"/>
      <c r="B7" s="7"/>
      <c r="C7" s="17">
        <v>7.0</v>
      </c>
      <c r="D7" s="10">
        <v>5.0</v>
      </c>
      <c r="E7" s="10">
        <v>17.0</v>
      </c>
      <c r="F7" s="439">
        <v>29.0</v>
      </c>
      <c r="G7" s="439">
        <v>41.0</v>
      </c>
      <c r="H7" s="439">
        <v>53.0</v>
      </c>
      <c r="I7" s="439">
        <v>65.0</v>
      </c>
      <c r="J7" s="439">
        <v>77.0</v>
      </c>
      <c r="K7" s="439">
        <v>89.0</v>
      </c>
      <c r="L7" s="439">
        <v>101.0</v>
      </c>
      <c r="M7" s="439">
        <v>113.0</v>
      </c>
      <c r="N7" s="439">
        <v>125.0</v>
      </c>
      <c r="O7" s="439">
        <v>137.0</v>
      </c>
      <c r="P7" s="439">
        <v>149.0</v>
      </c>
      <c r="Q7" s="439">
        <v>161.0</v>
      </c>
      <c r="R7" s="7"/>
      <c r="S7" s="7"/>
      <c r="T7" s="7"/>
      <c r="U7" s="54" t="str">
        <f>IFERROR(__xludf.DUMMYFUNCTION("""COMPUTED_VALUE"""),"O.G. Anunoby")</f>
        <v>O.G. Anunoby</v>
      </c>
      <c r="V7" s="7"/>
      <c r="W7" s="7" t="b">
        <f>IFERROR(__xludf.DUMMYFUNCTION("""COMPUTED_VALUE"""),TRUE)</f>
        <v>1</v>
      </c>
      <c r="X7" s="7"/>
      <c r="Y7" s="7"/>
      <c r="Z7" s="7"/>
      <c r="AA7" s="7"/>
      <c r="AB7" s="7"/>
      <c r="AC7" s="7"/>
      <c r="AD7" s="7"/>
      <c r="AE7" s="7"/>
      <c r="AF7" s="7"/>
      <c r="AG7" s="7"/>
      <c r="AH7" s="7"/>
      <c r="AI7" s="7"/>
      <c r="AJ7" s="7"/>
      <c r="AK7" s="7"/>
      <c r="AL7" s="7"/>
      <c r="AM7" s="7"/>
      <c r="AN7" s="7"/>
    </row>
    <row r="8">
      <c r="A8" s="7"/>
      <c r="B8" s="7"/>
      <c r="C8" s="17">
        <v>8.0</v>
      </c>
      <c r="D8" s="10">
        <v>6.0</v>
      </c>
      <c r="E8" s="10">
        <v>18.0</v>
      </c>
      <c r="F8" s="439">
        <v>30.0</v>
      </c>
      <c r="G8" s="439">
        <v>42.0</v>
      </c>
      <c r="H8" s="439">
        <v>54.0</v>
      </c>
      <c r="I8" s="439">
        <v>66.0</v>
      </c>
      <c r="J8" s="439">
        <v>78.0</v>
      </c>
      <c r="K8" s="439">
        <v>90.0</v>
      </c>
      <c r="L8" s="439">
        <v>102.0</v>
      </c>
      <c r="M8" s="439">
        <v>114.0</v>
      </c>
      <c r="N8" s="439">
        <v>126.0</v>
      </c>
      <c r="O8" s="439">
        <v>138.0</v>
      </c>
      <c r="P8" s="439">
        <v>150.0</v>
      </c>
      <c r="Q8" s="439">
        <v>162.0</v>
      </c>
      <c r="R8" s="7"/>
      <c r="S8" s="7"/>
      <c r="T8" s="7"/>
      <c r="U8" s="54" t="str">
        <f>IFERROR(__xludf.DUMMYFUNCTION("""COMPUTED_VALUE"""),"Alexandre Sarr")</f>
        <v>Alexandre Sarr</v>
      </c>
      <c r="V8" s="7"/>
      <c r="W8" s="7" t="b">
        <f>IFERROR(__xludf.DUMMYFUNCTION("""COMPUTED_VALUE"""),TRUE)</f>
        <v>1</v>
      </c>
      <c r="X8" s="7"/>
      <c r="Y8" s="7"/>
      <c r="Z8" s="7"/>
      <c r="AA8" s="7"/>
      <c r="AB8" s="7"/>
      <c r="AC8" s="7"/>
      <c r="AD8" s="7"/>
      <c r="AE8" s="7"/>
      <c r="AF8" s="7"/>
      <c r="AG8" s="7"/>
      <c r="AH8" s="7"/>
      <c r="AI8" s="7"/>
      <c r="AJ8" s="7"/>
      <c r="AK8" s="7"/>
      <c r="AL8" s="7"/>
      <c r="AM8" s="7"/>
      <c r="AN8" s="7"/>
    </row>
    <row r="9">
      <c r="A9" s="7"/>
      <c r="B9" s="7"/>
      <c r="C9" s="17">
        <v>9.0</v>
      </c>
      <c r="D9" s="10">
        <v>7.0</v>
      </c>
      <c r="E9" s="10">
        <v>19.0</v>
      </c>
      <c r="F9" s="439">
        <v>31.0</v>
      </c>
      <c r="G9" s="439">
        <v>43.0</v>
      </c>
      <c r="H9" s="439">
        <v>55.0</v>
      </c>
      <c r="I9" s="439">
        <v>67.0</v>
      </c>
      <c r="J9" s="439">
        <v>79.0</v>
      </c>
      <c r="K9" s="439">
        <v>91.0</v>
      </c>
      <c r="L9" s="439">
        <v>103.0</v>
      </c>
      <c r="M9" s="439">
        <v>115.0</v>
      </c>
      <c r="N9" s="439">
        <v>127.0</v>
      </c>
      <c r="O9" s="439">
        <v>139.0</v>
      </c>
      <c r="P9" s="439">
        <v>151.0</v>
      </c>
      <c r="Q9" s="439">
        <v>163.0</v>
      </c>
      <c r="R9" s="7"/>
      <c r="S9" s="7"/>
      <c r="T9" s="7"/>
      <c r="U9" s="54" t="str">
        <f>IFERROR(__xludf.DUMMYFUNCTION("""COMPUTED_VALUE"""),"Paul George")</f>
        <v>Paul George</v>
      </c>
      <c r="V9" s="7"/>
      <c r="W9" s="7" t="b">
        <f>IFERROR(__xludf.DUMMYFUNCTION("""COMPUTED_VALUE"""),TRUE)</f>
        <v>1</v>
      </c>
      <c r="X9" s="7"/>
      <c r="Y9" s="7"/>
      <c r="Z9" s="7"/>
      <c r="AA9" s="7"/>
      <c r="AB9" s="7"/>
      <c r="AC9" s="7"/>
      <c r="AD9" s="7"/>
      <c r="AE9" s="7"/>
      <c r="AF9" s="7"/>
      <c r="AG9" s="7"/>
      <c r="AH9" s="7"/>
      <c r="AI9" s="7"/>
      <c r="AJ9" s="7"/>
      <c r="AK9" s="7"/>
      <c r="AL9" s="7"/>
      <c r="AM9" s="7"/>
      <c r="AN9" s="7"/>
    </row>
    <row r="10">
      <c r="A10" s="7"/>
      <c r="B10" s="7"/>
      <c r="C10" s="17">
        <v>10.0</v>
      </c>
      <c r="D10" s="10">
        <v>8.0</v>
      </c>
      <c r="E10" s="10">
        <v>20.0</v>
      </c>
      <c r="F10" s="439">
        <v>32.0</v>
      </c>
      <c r="G10" s="439">
        <v>44.0</v>
      </c>
      <c r="H10" s="439">
        <v>56.0</v>
      </c>
      <c r="I10" s="439">
        <v>68.0</v>
      </c>
      <c r="J10" s="439">
        <v>80.0</v>
      </c>
      <c r="K10" s="439">
        <v>92.0</v>
      </c>
      <c r="L10" s="439">
        <v>104.0</v>
      </c>
      <c r="M10" s="439">
        <v>116.0</v>
      </c>
      <c r="N10" s="439">
        <v>128.0</v>
      </c>
      <c r="O10" s="439">
        <v>140.0</v>
      </c>
      <c r="P10" s="439">
        <v>152.0</v>
      </c>
      <c r="Q10" s="439">
        <v>164.0</v>
      </c>
      <c r="R10" s="7"/>
      <c r="S10" s="7"/>
      <c r="T10" s="7"/>
      <c r="U10" s="54" t="str">
        <f>IFERROR(__xludf.DUMMYFUNCTION("""COMPUTED_VALUE"""),"Cam Johnson")</f>
        <v>Cam Johnson</v>
      </c>
      <c r="V10" s="7"/>
      <c r="W10" s="7" t="b">
        <f>IFERROR(__xludf.DUMMYFUNCTION("""COMPUTED_VALUE"""),TRUE)</f>
        <v>1</v>
      </c>
      <c r="X10" s="7"/>
      <c r="Y10" s="7"/>
      <c r="Z10" s="7"/>
      <c r="AA10" s="7"/>
      <c r="AB10" s="7"/>
      <c r="AC10" s="7"/>
      <c r="AD10" s="7"/>
      <c r="AE10" s="7"/>
      <c r="AF10" s="7"/>
      <c r="AG10" s="7"/>
      <c r="AH10" s="7"/>
      <c r="AI10" s="7"/>
      <c r="AJ10" s="7"/>
      <c r="AK10" s="7"/>
      <c r="AL10" s="7"/>
      <c r="AM10" s="7"/>
      <c r="AN10" s="7"/>
    </row>
    <row r="11">
      <c r="A11" s="7"/>
      <c r="B11" s="7"/>
      <c r="C11" s="17">
        <v>11.0</v>
      </c>
      <c r="D11" s="10">
        <v>9.0</v>
      </c>
      <c r="E11" s="10">
        <v>21.0</v>
      </c>
      <c r="F11" s="439">
        <v>33.0</v>
      </c>
      <c r="G11" s="439">
        <v>45.0</v>
      </c>
      <c r="H11" s="439">
        <v>57.0</v>
      </c>
      <c r="I11" s="439">
        <v>69.0</v>
      </c>
      <c r="J11" s="439">
        <v>81.0</v>
      </c>
      <c r="K11" s="439">
        <v>93.0</v>
      </c>
      <c r="L11" s="439">
        <v>105.0</v>
      </c>
      <c r="M11" s="439">
        <v>117.0</v>
      </c>
      <c r="N11" s="439">
        <v>129.0</v>
      </c>
      <c r="O11" s="439">
        <v>141.0</v>
      </c>
      <c r="P11" s="439">
        <v>153.0</v>
      </c>
      <c r="Q11" s="439">
        <v>165.0</v>
      </c>
      <c r="R11" s="7"/>
      <c r="S11" s="7"/>
      <c r="T11" s="7"/>
      <c r="U11" s="54" t="str">
        <f>IFERROR(__xludf.DUMMYFUNCTION("""COMPUTED_VALUE"""),"Jaden McDaniels")</f>
        <v>Jaden McDaniels</v>
      </c>
      <c r="V11" s="7"/>
      <c r="W11" s="7" t="b">
        <f>IFERROR(__xludf.DUMMYFUNCTION("""COMPUTED_VALUE"""),TRUE)</f>
        <v>1</v>
      </c>
      <c r="X11" s="7"/>
      <c r="Y11" s="7"/>
      <c r="Z11" s="7"/>
      <c r="AA11" s="7"/>
      <c r="AB11" s="7"/>
      <c r="AC11" s="7"/>
      <c r="AD11" s="7"/>
      <c r="AE11" s="7"/>
      <c r="AF11" s="7"/>
      <c r="AG11" s="7"/>
      <c r="AH11" s="7"/>
      <c r="AI11" s="7"/>
      <c r="AJ11" s="7"/>
      <c r="AK11" s="7"/>
      <c r="AL11" s="7"/>
      <c r="AM11" s="7"/>
      <c r="AN11" s="7"/>
    </row>
    <row r="12">
      <c r="A12" s="7"/>
      <c r="B12" s="7"/>
      <c r="C12" s="17">
        <v>12.0</v>
      </c>
      <c r="D12" s="10">
        <v>10.0</v>
      </c>
      <c r="E12" s="10">
        <v>22.0</v>
      </c>
      <c r="F12" s="439">
        <v>34.0</v>
      </c>
      <c r="G12" s="439">
        <v>46.0</v>
      </c>
      <c r="H12" s="439">
        <v>58.0</v>
      </c>
      <c r="I12" s="439">
        <v>70.0</v>
      </c>
      <c r="J12" s="439">
        <v>82.0</v>
      </c>
      <c r="K12" s="439">
        <v>94.0</v>
      </c>
      <c r="L12" s="439">
        <v>106.0</v>
      </c>
      <c r="M12" s="439">
        <v>118.0</v>
      </c>
      <c r="N12" s="439">
        <v>130.0</v>
      </c>
      <c r="O12" s="439">
        <v>142.0</v>
      </c>
      <c r="P12" s="439">
        <v>154.0</v>
      </c>
      <c r="Q12" s="439">
        <v>166.0</v>
      </c>
      <c r="R12" s="7"/>
      <c r="S12" s="7"/>
      <c r="T12" s="7"/>
      <c r="U12" s="54" t="str">
        <f>IFERROR(__xludf.DUMMYFUNCTION("""COMPUTED_VALUE"""),"Jrue Holiday")</f>
        <v>Jrue Holiday</v>
      </c>
      <c r="V12" s="7"/>
      <c r="W12" s="7" t="b">
        <f>IFERROR(__xludf.DUMMYFUNCTION("""COMPUTED_VALUE"""),TRUE)</f>
        <v>1</v>
      </c>
      <c r="X12" s="7"/>
      <c r="Y12" s="7"/>
      <c r="Z12" s="7"/>
      <c r="AA12" s="7"/>
      <c r="AB12" s="7"/>
      <c r="AC12" s="7"/>
      <c r="AD12" s="7"/>
      <c r="AE12" s="7"/>
      <c r="AF12" s="7"/>
      <c r="AG12" s="7"/>
      <c r="AH12" s="7"/>
      <c r="AI12" s="7"/>
      <c r="AJ12" s="7"/>
      <c r="AK12" s="7"/>
      <c r="AL12" s="7"/>
      <c r="AM12" s="7"/>
      <c r="AN12" s="7"/>
    </row>
    <row r="13">
      <c r="A13" s="7"/>
      <c r="B13" s="7"/>
      <c r="C13" s="17">
        <v>13.0</v>
      </c>
      <c r="D13" s="10">
        <v>11.0</v>
      </c>
      <c r="E13" s="10">
        <v>23.0</v>
      </c>
      <c r="F13" s="439">
        <v>35.0</v>
      </c>
      <c r="G13" s="439">
        <v>47.0</v>
      </c>
      <c r="H13" s="439">
        <v>59.0</v>
      </c>
      <c r="I13" s="439">
        <v>71.0</v>
      </c>
      <c r="J13" s="439">
        <v>83.0</v>
      </c>
      <c r="K13" s="439">
        <v>95.0</v>
      </c>
      <c r="L13" s="439">
        <v>107.0</v>
      </c>
      <c r="M13" s="439">
        <v>119.0</v>
      </c>
      <c r="N13" s="439">
        <v>131.0</v>
      </c>
      <c r="O13" s="439">
        <v>143.0</v>
      </c>
      <c r="P13" s="439">
        <v>155.0</v>
      </c>
      <c r="Q13" s="439">
        <v>167.0</v>
      </c>
      <c r="R13" s="7"/>
      <c r="S13" s="7"/>
      <c r="T13" s="7"/>
      <c r="U13" s="54" t="str">
        <f>IFERROR(__xludf.DUMMYFUNCTION("""COMPUTED_VALUE"""),"Zaccharie Risacher")</f>
        <v>Zaccharie Risacher</v>
      </c>
      <c r="V13" s="7"/>
      <c r="W13" s="7" t="b">
        <f>IFERROR(__xludf.DUMMYFUNCTION("""COMPUTED_VALUE"""),TRUE)</f>
        <v>1</v>
      </c>
      <c r="X13" s="7"/>
      <c r="Y13" s="7"/>
      <c r="Z13" s="7"/>
      <c r="AA13" s="7"/>
      <c r="AB13" s="7"/>
      <c r="AC13" s="7"/>
      <c r="AD13" s="7"/>
      <c r="AE13" s="7"/>
      <c r="AF13" s="7"/>
      <c r="AG13" s="7"/>
      <c r="AH13" s="7"/>
      <c r="AI13" s="7"/>
      <c r="AJ13" s="7"/>
      <c r="AK13" s="7"/>
      <c r="AL13" s="7"/>
      <c r="AM13" s="7"/>
      <c r="AN13" s="7"/>
    </row>
    <row r="14">
      <c r="A14" s="7"/>
      <c r="B14" s="7"/>
      <c r="C14" s="17">
        <v>14.0</v>
      </c>
      <c r="D14" s="10">
        <v>12.0</v>
      </c>
      <c r="E14" s="10">
        <v>24.0</v>
      </c>
      <c r="F14" s="439">
        <v>36.0</v>
      </c>
      <c r="G14" s="439">
        <v>48.0</v>
      </c>
      <c r="H14" s="439">
        <v>60.0</v>
      </c>
      <c r="I14" s="439">
        <v>72.0</v>
      </c>
      <c r="J14" s="439">
        <v>84.0</v>
      </c>
      <c r="K14" s="439">
        <v>96.0</v>
      </c>
      <c r="L14" s="439">
        <v>108.0</v>
      </c>
      <c r="M14" s="439">
        <v>120.0</v>
      </c>
      <c r="N14" s="439">
        <v>132.0</v>
      </c>
      <c r="O14" s="439">
        <v>144.0</v>
      </c>
      <c r="P14" s="439">
        <v>156.0</v>
      </c>
      <c r="Q14" s="439">
        <v>168.0</v>
      </c>
      <c r="R14" s="7"/>
      <c r="S14" s="7"/>
      <c r="T14" s="7"/>
      <c r="U14" s="54" t="str">
        <f>IFERROR(__xludf.DUMMYFUNCTION("""COMPUTED_VALUE"""),"Nikola Jovic")</f>
        <v>Nikola Jovic</v>
      </c>
      <c r="V14" s="7"/>
      <c r="W14" s="7" t="b">
        <f>IFERROR(__xludf.DUMMYFUNCTION("""COMPUTED_VALUE"""),TRUE)</f>
        <v>1</v>
      </c>
      <c r="X14" s="7"/>
      <c r="Y14" s="7"/>
      <c r="Z14" s="7"/>
      <c r="AA14" s="7"/>
      <c r="AB14" s="7"/>
      <c r="AC14" s="7"/>
      <c r="AD14" s="7"/>
      <c r="AE14" s="7"/>
      <c r="AF14" s="7"/>
      <c r="AG14" s="7"/>
      <c r="AH14" s="7"/>
      <c r="AI14" s="7"/>
      <c r="AJ14" s="7"/>
      <c r="AK14" s="7"/>
      <c r="AL14" s="7"/>
      <c r="AM14" s="7"/>
      <c r="AN14" s="7"/>
    </row>
    <row r="15">
      <c r="A15" s="7"/>
      <c r="B15" s="7"/>
      <c r="C15" s="7"/>
      <c r="D15" s="17" t="s">
        <v>2620</v>
      </c>
      <c r="E15" s="17" t="s">
        <v>2621</v>
      </c>
      <c r="F15" s="17" t="s">
        <v>2622</v>
      </c>
      <c r="G15" s="17" t="s">
        <v>2623</v>
      </c>
      <c r="H15" s="17" t="s">
        <v>1570</v>
      </c>
      <c r="I15" s="17" t="s">
        <v>2624</v>
      </c>
      <c r="J15" s="17" t="s">
        <v>2625</v>
      </c>
      <c r="K15" s="17" t="s">
        <v>2626</v>
      </c>
      <c r="L15" s="17" t="s">
        <v>1612</v>
      </c>
      <c r="M15" s="17" t="s">
        <v>1562</v>
      </c>
      <c r="N15" s="17" t="s">
        <v>2627</v>
      </c>
      <c r="O15" s="17" t="s">
        <v>2628</v>
      </c>
      <c r="P15" s="17" t="s">
        <v>2629</v>
      </c>
      <c r="Q15" s="17" t="s">
        <v>2630</v>
      </c>
      <c r="R15" s="7"/>
      <c r="S15" s="7"/>
      <c r="T15" s="7"/>
      <c r="U15" s="7" t="str">
        <f>IFERROR(__xludf.DUMMYFUNCTION("""COMPUTED_VALUE"""),"Nikola Jokic")</f>
        <v>Nikola Jokic</v>
      </c>
      <c r="V15" s="7"/>
      <c r="W15" s="7" t="b">
        <f>IFERROR(__xludf.DUMMYFUNCTION("""COMPUTED_VALUE"""),TRUE)</f>
        <v>1</v>
      </c>
      <c r="X15" s="7"/>
      <c r="Y15" s="7"/>
      <c r="Z15" s="7"/>
      <c r="AA15" s="7"/>
      <c r="AB15" s="7"/>
      <c r="AC15" s="7"/>
      <c r="AD15" s="7"/>
      <c r="AE15" s="7"/>
      <c r="AF15" s="7"/>
      <c r="AG15" s="7"/>
      <c r="AH15" s="7"/>
      <c r="AI15" s="7"/>
      <c r="AJ15" s="7"/>
      <c r="AK15" s="7"/>
      <c r="AL15" s="7"/>
      <c r="AM15" s="7"/>
      <c r="AN15" s="7"/>
    </row>
    <row r="16">
      <c r="A16" s="7"/>
      <c r="B16" s="17"/>
      <c r="C16" s="17">
        <v>3.0</v>
      </c>
      <c r="D16" s="10">
        <v>1.0</v>
      </c>
      <c r="E16" s="10">
        <v>13.0</v>
      </c>
      <c r="F16" s="439">
        <v>36.0</v>
      </c>
      <c r="G16" s="439">
        <v>48.0</v>
      </c>
      <c r="H16" s="439">
        <v>60.0</v>
      </c>
      <c r="I16" s="439">
        <v>72.0</v>
      </c>
      <c r="J16" s="439">
        <v>84.0</v>
      </c>
      <c r="K16" s="439">
        <v>96.0</v>
      </c>
      <c r="L16" s="439">
        <v>108.0</v>
      </c>
      <c r="M16" s="439">
        <v>120.0</v>
      </c>
      <c r="N16" s="439">
        <v>132.0</v>
      </c>
      <c r="O16" s="439">
        <v>144.0</v>
      </c>
      <c r="P16" s="439">
        <v>156.0</v>
      </c>
      <c r="Q16" s="439">
        <v>168.0</v>
      </c>
      <c r="R16" s="7"/>
      <c r="S16" s="7"/>
      <c r="T16" s="7"/>
      <c r="U16" s="7" t="str">
        <f>IFERROR(__xludf.DUMMYFUNCTION("""COMPUTED_VALUE"""),"Stephen Curry")</f>
        <v>Stephen Curry</v>
      </c>
      <c r="V16" s="7"/>
      <c r="W16" s="7" t="b">
        <f>IFERROR(__xludf.DUMMYFUNCTION("""COMPUTED_VALUE"""),TRUE)</f>
        <v>1</v>
      </c>
      <c r="X16" s="7"/>
      <c r="Y16" s="7"/>
      <c r="Z16" s="7"/>
      <c r="AA16" s="7"/>
      <c r="AB16" s="7"/>
      <c r="AC16" s="7"/>
      <c r="AD16" s="7"/>
      <c r="AE16" s="7"/>
      <c r="AF16" s="7"/>
      <c r="AG16" s="7"/>
      <c r="AH16" s="7"/>
      <c r="AI16" s="7"/>
      <c r="AJ16" s="7"/>
      <c r="AK16" s="7"/>
      <c r="AL16" s="7"/>
      <c r="AM16" s="7"/>
      <c r="AN16" s="7"/>
    </row>
    <row r="17">
      <c r="A17" s="7"/>
      <c r="B17" s="7"/>
      <c r="C17" s="17">
        <v>4.0</v>
      </c>
      <c r="D17" s="10">
        <v>2.0</v>
      </c>
      <c r="E17" s="10">
        <v>14.0</v>
      </c>
      <c r="F17" s="439">
        <v>35.0</v>
      </c>
      <c r="G17" s="439">
        <v>47.0</v>
      </c>
      <c r="H17" s="439">
        <v>59.0</v>
      </c>
      <c r="I17" s="439">
        <v>71.0</v>
      </c>
      <c r="J17" s="439">
        <v>83.0</v>
      </c>
      <c r="K17" s="439">
        <v>95.0</v>
      </c>
      <c r="L17" s="439">
        <v>107.0</v>
      </c>
      <c r="M17" s="439">
        <v>119.0</v>
      </c>
      <c r="N17" s="439">
        <v>131.0</v>
      </c>
      <c r="O17" s="439">
        <v>143.0</v>
      </c>
      <c r="P17" s="439">
        <v>155.0</v>
      </c>
      <c r="Q17" s="439">
        <v>167.0</v>
      </c>
      <c r="R17" s="7"/>
      <c r="S17" s="7"/>
      <c r="T17" s="7"/>
      <c r="U17" s="54" t="str">
        <f>IFERROR(__xludf.DUMMYFUNCTION("""COMPUTED_VALUE"""),"Jalen Brunson")</f>
        <v>Jalen Brunson</v>
      </c>
      <c r="V17" s="7"/>
      <c r="W17" s="7" t="b">
        <f>IFERROR(__xludf.DUMMYFUNCTION("""COMPUTED_VALUE"""),TRUE)</f>
        <v>1</v>
      </c>
      <c r="X17" s="7"/>
      <c r="Y17" s="7"/>
      <c r="Z17" s="7"/>
      <c r="AA17" s="7"/>
      <c r="AB17" s="7"/>
      <c r="AC17" s="7"/>
      <c r="AD17" s="7"/>
      <c r="AE17" s="7"/>
      <c r="AF17" s="7"/>
      <c r="AG17" s="7"/>
      <c r="AH17" s="7"/>
      <c r="AI17" s="7"/>
      <c r="AJ17" s="7"/>
      <c r="AK17" s="7"/>
      <c r="AL17" s="7"/>
      <c r="AM17" s="7"/>
      <c r="AN17" s="7"/>
    </row>
    <row r="18">
      <c r="A18" s="7"/>
      <c r="B18" s="7"/>
      <c r="C18" s="17">
        <v>5.0</v>
      </c>
      <c r="D18" s="10">
        <v>3.0</v>
      </c>
      <c r="E18" s="10">
        <v>15.0</v>
      </c>
      <c r="F18" s="439">
        <v>34.0</v>
      </c>
      <c r="G18" s="439">
        <v>46.0</v>
      </c>
      <c r="H18" s="439">
        <v>58.0</v>
      </c>
      <c r="I18" s="439">
        <v>70.0</v>
      </c>
      <c r="J18" s="439">
        <v>82.0</v>
      </c>
      <c r="K18" s="439">
        <v>94.0</v>
      </c>
      <c r="L18" s="439">
        <v>106.0</v>
      </c>
      <c r="M18" s="439">
        <v>118.0</v>
      </c>
      <c r="N18" s="439">
        <v>130.0</v>
      </c>
      <c r="O18" s="439">
        <v>142.0</v>
      </c>
      <c r="P18" s="439">
        <v>154.0</v>
      </c>
      <c r="Q18" s="439">
        <v>166.0</v>
      </c>
      <c r="R18" s="7"/>
      <c r="S18" s="7"/>
      <c r="T18" s="7"/>
      <c r="U18" s="54" t="str">
        <f>IFERROR(__xludf.DUMMYFUNCTION("""COMPUTED_VALUE"""),"Julius Randle")</f>
        <v>Julius Randle</v>
      </c>
      <c r="V18" s="7"/>
      <c r="W18" s="7" t="b">
        <f>IFERROR(__xludf.DUMMYFUNCTION("""COMPUTED_VALUE"""),TRUE)</f>
        <v>1</v>
      </c>
      <c r="X18" s="7"/>
      <c r="Y18" s="7"/>
      <c r="Z18" s="7"/>
      <c r="AA18" s="7"/>
      <c r="AB18" s="7"/>
      <c r="AC18" s="7"/>
      <c r="AD18" s="7"/>
      <c r="AE18" s="7"/>
      <c r="AF18" s="7"/>
      <c r="AG18" s="7"/>
      <c r="AH18" s="7"/>
      <c r="AI18" s="7"/>
      <c r="AJ18" s="7"/>
      <c r="AK18" s="7"/>
      <c r="AL18" s="7"/>
      <c r="AM18" s="7"/>
      <c r="AN18" s="7"/>
    </row>
    <row r="19">
      <c r="A19" s="7"/>
      <c r="B19" s="7"/>
      <c r="C19" s="17">
        <v>6.0</v>
      </c>
      <c r="D19" s="10">
        <v>4.0</v>
      </c>
      <c r="E19" s="10">
        <v>16.0</v>
      </c>
      <c r="F19" s="439">
        <v>33.0</v>
      </c>
      <c r="G19" s="439">
        <v>45.0</v>
      </c>
      <c r="H19" s="439">
        <v>57.0</v>
      </c>
      <c r="I19" s="439">
        <v>69.0</v>
      </c>
      <c r="J19" s="439">
        <v>81.0</v>
      </c>
      <c r="K19" s="439">
        <v>93.0</v>
      </c>
      <c r="L19" s="439">
        <v>105.0</v>
      </c>
      <c r="M19" s="439">
        <v>117.0</v>
      </c>
      <c r="N19" s="439">
        <v>129.0</v>
      </c>
      <c r="O19" s="439">
        <v>141.0</v>
      </c>
      <c r="P19" s="439">
        <v>153.0</v>
      </c>
      <c r="Q19" s="439">
        <v>165.0</v>
      </c>
      <c r="R19" s="7"/>
      <c r="S19" s="7"/>
      <c r="T19" s="7"/>
      <c r="U19" s="54" t="str">
        <f>IFERROR(__xludf.DUMMYFUNCTION("""COMPUTED_VALUE"""),"Kristaps Porzingis")</f>
        <v>Kristaps Porzingis</v>
      </c>
      <c r="V19" s="7"/>
      <c r="W19" s="7" t="b">
        <f>IFERROR(__xludf.DUMMYFUNCTION("""COMPUTED_VALUE"""),TRUE)</f>
        <v>1</v>
      </c>
      <c r="X19" s="7"/>
      <c r="Y19" s="7"/>
      <c r="Z19" s="7"/>
      <c r="AA19" s="7"/>
      <c r="AB19" s="7"/>
      <c r="AC19" s="7"/>
      <c r="AD19" s="7"/>
      <c r="AE19" s="7"/>
      <c r="AF19" s="7"/>
      <c r="AG19" s="7"/>
      <c r="AH19" s="7"/>
      <c r="AI19" s="7"/>
      <c r="AJ19" s="7"/>
      <c r="AK19" s="7"/>
      <c r="AL19" s="7"/>
      <c r="AM19" s="7"/>
      <c r="AN19" s="7"/>
    </row>
    <row r="20">
      <c r="A20" s="7"/>
      <c r="B20" s="7"/>
      <c r="C20" s="17">
        <v>7.0</v>
      </c>
      <c r="D20" s="10">
        <v>5.0</v>
      </c>
      <c r="E20" s="10">
        <v>17.0</v>
      </c>
      <c r="F20" s="439">
        <v>32.0</v>
      </c>
      <c r="G20" s="439">
        <v>44.0</v>
      </c>
      <c r="H20" s="439">
        <v>56.0</v>
      </c>
      <c r="I20" s="439">
        <v>68.0</v>
      </c>
      <c r="J20" s="439">
        <v>80.0</v>
      </c>
      <c r="K20" s="439">
        <v>92.0</v>
      </c>
      <c r="L20" s="439">
        <v>104.0</v>
      </c>
      <c r="M20" s="439">
        <v>116.0</v>
      </c>
      <c r="N20" s="439">
        <v>128.0</v>
      </c>
      <c r="O20" s="439">
        <v>140.0</v>
      </c>
      <c r="P20" s="439">
        <v>152.0</v>
      </c>
      <c r="Q20" s="439">
        <v>164.0</v>
      </c>
      <c r="R20" s="7"/>
      <c r="S20" s="7"/>
      <c r="T20" s="7"/>
      <c r="U20" s="54" t="str">
        <f>IFERROR(__xludf.DUMMYFUNCTION("""COMPUTED_VALUE"""),"Jalen Duren")</f>
        <v>Jalen Duren</v>
      </c>
      <c r="V20" s="7"/>
      <c r="W20" s="7" t="b">
        <f>IFERROR(__xludf.DUMMYFUNCTION("""COMPUTED_VALUE"""),TRUE)</f>
        <v>1</v>
      </c>
      <c r="X20" s="7"/>
      <c r="Y20" s="7"/>
      <c r="Z20" s="7"/>
      <c r="AA20" s="7"/>
      <c r="AB20" s="7"/>
      <c r="AC20" s="7"/>
      <c r="AD20" s="7"/>
      <c r="AE20" s="7"/>
      <c r="AF20" s="7"/>
      <c r="AG20" s="7"/>
      <c r="AH20" s="7"/>
      <c r="AI20" s="7"/>
      <c r="AJ20" s="7"/>
      <c r="AK20" s="7"/>
      <c r="AL20" s="7"/>
      <c r="AM20" s="7"/>
      <c r="AN20" s="7"/>
    </row>
    <row r="21">
      <c r="A21" s="7"/>
      <c r="B21" s="7"/>
      <c r="C21" s="17">
        <v>8.0</v>
      </c>
      <c r="D21" s="10">
        <v>6.0</v>
      </c>
      <c r="E21" s="10">
        <v>18.0</v>
      </c>
      <c r="F21" s="439">
        <v>31.0</v>
      </c>
      <c r="G21" s="439">
        <v>43.0</v>
      </c>
      <c r="H21" s="439">
        <v>55.0</v>
      </c>
      <c r="I21" s="439">
        <v>67.0</v>
      </c>
      <c r="J21" s="439">
        <v>79.0</v>
      </c>
      <c r="K21" s="439">
        <v>91.0</v>
      </c>
      <c r="L21" s="439">
        <v>103.0</v>
      </c>
      <c r="M21" s="439">
        <v>115.0</v>
      </c>
      <c r="N21" s="439">
        <v>127.0</v>
      </c>
      <c r="O21" s="439">
        <v>139.0</v>
      </c>
      <c r="P21" s="439">
        <v>151.0</v>
      </c>
      <c r="Q21" s="439">
        <v>163.0</v>
      </c>
      <c r="R21" s="7"/>
      <c r="S21" s="7"/>
      <c r="T21" s="7"/>
      <c r="U21" s="54" t="str">
        <f>IFERROR(__xludf.DUMMYFUNCTION("""COMPUTED_VALUE"""),"Michael Porter Jr.")</f>
        <v>Michael Porter Jr.</v>
      </c>
      <c r="V21" s="7"/>
      <c r="W21" s="7" t="b">
        <f>IFERROR(__xludf.DUMMYFUNCTION("""COMPUTED_VALUE"""),TRUE)</f>
        <v>1</v>
      </c>
      <c r="X21" s="7"/>
      <c r="Y21" s="7"/>
      <c r="Z21" s="7"/>
      <c r="AA21" s="7"/>
      <c r="AB21" s="7"/>
      <c r="AC21" s="7"/>
      <c r="AD21" s="7"/>
      <c r="AE21" s="7"/>
      <c r="AF21" s="7"/>
      <c r="AG21" s="7"/>
      <c r="AH21" s="7"/>
      <c r="AI21" s="7"/>
      <c r="AJ21" s="7"/>
      <c r="AK21" s="7"/>
      <c r="AL21" s="7"/>
      <c r="AM21" s="7"/>
      <c r="AN21" s="7"/>
    </row>
    <row r="22">
      <c r="A22" s="7"/>
      <c r="B22" s="7"/>
      <c r="C22" s="17">
        <v>9.0</v>
      </c>
      <c r="D22" s="10">
        <v>7.0</v>
      </c>
      <c r="E22" s="10">
        <v>19.0</v>
      </c>
      <c r="F22" s="439">
        <v>30.0</v>
      </c>
      <c r="G22" s="439">
        <v>42.0</v>
      </c>
      <c r="H22" s="439">
        <v>54.0</v>
      </c>
      <c r="I22" s="439">
        <v>66.0</v>
      </c>
      <c r="J22" s="439">
        <v>78.0</v>
      </c>
      <c r="K22" s="439">
        <v>90.0</v>
      </c>
      <c r="L22" s="439">
        <v>102.0</v>
      </c>
      <c r="M22" s="439">
        <v>114.0</v>
      </c>
      <c r="N22" s="439">
        <v>126.0</v>
      </c>
      <c r="O22" s="439">
        <v>138.0</v>
      </c>
      <c r="P22" s="439">
        <v>150.0</v>
      </c>
      <c r="Q22" s="439">
        <v>162.0</v>
      </c>
      <c r="R22" s="7"/>
      <c r="S22" s="7"/>
      <c r="T22" s="7"/>
      <c r="U22" s="54" t="str">
        <f>IFERROR(__xludf.DUMMYFUNCTION("""COMPUTED_VALUE"""),"PJ Washington")</f>
        <v>PJ Washington</v>
      </c>
      <c r="V22" s="7"/>
      <c r="W22" s="7" t="b">
        <f>IFERROR(__xludf.DUMMYFUNCTION("""COMPUTED_VALUE"""),TRUE)</f>
        <v>1</v>
      </c>
      <c r="X22" s="7"/>
      <c r="Y22" s="7"/>
      <c r="Z22" s="7"/>
      <c r="AA22" s="7"/>
      <c r="AB22" s="7"/>
      <c r="AC22" s="7"/>
      <c r="AD22" s="7"/>
      <c r="AE22" s="7"/>
      <c r="AF22" s="7"/>
      <c r="AG22" s="7"/>
      <c r="AH22" s="7"/>
      <c r="AI22" s="7"/>
      <c r="AJ22" s="7"/>
      <c r="AK22" s="7"/>
      <c r="AL22" s="7"/>
      <c r="AM22" s="7"/>
      <c r="AN22" s="7"/>
    </row>
    <row r="23">
      <c r="A23" s="7"/>
      <c r="B23" s="7"/>
      <c r="C23" s="17">
        <v>10.0</v>
      </c>
      <c r="D23" s="10">
        <v>8.0</v>
      </c>
      <c r="E23" s="10">
        <v>20.0</v>
      </c>
      <c r="F23" s="439">
        <v>29.0</v>
      </c>
      <c r="G23" s="439">
        <v>41.0</v>
      </c>
      <c r="H23" s="439">
        <v>53.0</v>
      </c>
      <c r="I23" s="439">
        <v>65.0</v>
      </c>
      <c r="J23" s="439">
        <v>77.0</v>
      </c>
      <c r="K23" s="439">
        <v>89.0</v>
      </c>
      <c r="L23" s="439">
        <v>101.0</v>
      </c>
      <c r="M23" s="439">
        <v>113.0</v>
      </c>
      <c r="N23" s="439">
        <v>125.0</v>
      </c>
      <c r="O23" s="439">
        <v>137.0</v>
      </c>
      <c r="P23" s="439">
        <v>149.0</v>
      </c>
      <c r="Q23" s="439">
        <v>161.0</v>
      </c>
      <c r="R23" s="7"/>
      <c r="S23" s="7"/>
      <c r="T23" s="7"/>
      <c r="U23" s="54" t="str">
        <f>IFERROR(__xludf.DUMMYFUNCTION("""COMPUTED_VALUE"""),"Naz Reid")</f>
        <v>Naz Reid</v>
      </c>
      <c r="V23" s="7"/>
      <c r="W23" s="7" t="b">
        <f>IFERROR(__xludf.DUMMYFUNCTION("""COMPUTED_VALUE"""),TRUE)</f>
        <v>1</v>
      </c>
      <c r="X23" s="7"/>
      <c r="Y23" s="7"/>
      <c r="Z23" s="7"/>
      <c r="AA23" s="7"/>
      <c r="AB23" s="7"/>
      <c r="AC23" s="7"/>
      <c r="AD23" s="7"/>
      <c r="AE23" s="7"/>
      <c r="AF23" s="7"/>
      <c r="AG23" s="7"/>
      <c r="AH23" s="7"/>
      <c r="AI23" s="7"/>
      <c r="AJ23" s="7"/>
      <c r="AK23" s="7"/>
      <c r="AL23" s="7"/>
      <c r="AM23" s="7"/>
      <c r="AN23" s="7"/>
    </row>
    <row r="24">
      <c r="A24" s="7"/>
      <c r="B24" s="7"/>
      <c r="C24" s="17">
        <v>11.0</v>
      </c>
      <c r="D24" s="10">
        <v>9.0</v>
      </c>
      <c r="E24" s="10">
        <v>21.0</v>
      </c>
      <c r="F24" s="439">
        <v>28.0</v>
      </c>
      <c r="G24" s="439">
        <v>40.0</v>
      </c>
      <c r="H24" s="439">
        <v>52.0</v>
      </c>
      <c r="I24" s="439">
        <v>64.0</v>
      </c>
      <c r="J24" s="439">
        <v>76.0</v>
      </c>
      <c r="K24" s="439">
        <v>88.0</v>
      </c>
      <c r="L24" s="439">
        <v>100.0</v>
      </c>
      <c r="M24" s="439">
        <v>112.0</v>
      </c>
      <c r="N24" s="439">
        <v>124.0</v>
      </c>
      <c r="O24" s="439">
        <v>136.0</v>
      </c>
      <c r="P24" s="439">
        <v>148.0</v>
      </c>
      <c r="Q24" s="439">
        <v>160.0</v>
      </c>
      <c r="R24" s="7"/>
      <c r="S24" s="7"/>
      <c r="T24" s="7"/>
      <c r="U24" s="54" t="str">
        <f>IFERROR(__xludf.DUMMYFUNCTION("""COMPUTED_VALUE"""),"Klay Thompson")</f>
        <v>Klay Thompson</v>
      </c>
      <c r="V24" s="7"/>
      <c r="W24" s="7" t="b">
        <f>IFERROR(__xludf.DUMMYFUNCTION("""COMPUTED_VALUE"""),TRUE)</f>
        <v>1</v>
      </c>
      <c r="X24" s="7"/>
      <c r="Y24" s="7"/>
      <c r="Z24" s="7"/>
      <c r="AA24" s="7"/>
      <c r="AB24" s="7"/>
      <c r="AC24" s="7"/>
      <c r="AD24" s="7"/>
      <c r="AE24" s="7"/>
      <c r="AF24" s="7"/>
      <c r="AG24" s="7"/>
      <c r="AH24" s="7"/>
      <c r="AI24" s="7"/>
      <c r="AJ24" s="7"/>
      <c r="AK24" s="7"/>
      <c r="AL24" s="7"/>
      <c r="AM24" s="7"/>
      <c r="AN24" s="7"/>
    </row>
    <row r="25">
      <c r="A25" s="7"/>
      <c r="B25" s="7"/>
      <c r="C25" s="17">
        <v>12.0</v>
      </c>
      <c r="D25" s="10">
        <v>10.0</v>
      </c>
      <c r="E25" s="10">
        <v>22.0</v>
      </c>
      <c r="F25" s="439">
        <v>27.0</v>
      </c>
      <c r="G25" s="439">
        <v>39.0</v>
      </c>
      <c r="H25" s="439">
        <v>51.0</v>
      </c>
      <c r="I25" s="439">
        <v>63.0</v>
      </c>
      <c r="J25" s="439">
        <v>75.0</v>
      </c>
      <c r="K25" s="439">
        <v>87.0</v>
      </c>
      <c r="L25" s="439">
        <v>99.0</v>
      </c>
      <c r="M25" s="439">
        <v>111.0</v>
      </c>
      <c r="N25" s="439">
        <v>123.0</v>
      </c>
      <c r="O25" s="439">
        <v>135.0</v>
      </c>
      <c r="P25" s="439">
        <v>147.0</v>
      </c>
      <c r="Q25" s="439">
        <v>159.0</v>
      </c>
      <c r="R25" s="7"/>
      <c r="S25" s="7"/>
      <c r="T25" s="7"/>
      <c r="U25" s="54" t="str">
        <f>IFERROR(__xludf.DUMMYFUNCTION("""COMPUTED_VALUE"""),"Kyrie Irving")</f>
        <v>Kyrie Irving</v>
      </c>
      <c r="V25" s="7"/>
      <c r="W25" s="7" t="b">
        <f>IFERROR(__xludf.DUMMYFUNCTION("""COMPUTED_VALUE"""),TRUE)</f>
        <v>1</v>
      </c>
      <c r="X25" s="7"/>
      <c r="Y25" s="7"/>
      <c r="Z25" s="7"/>
      <c r="AA25" s="7"/>
      <c r="AB25" s="7"/>
      <c r="AC25" s="7"/>
      <c r="AD25" s="7"/>
      <c r="AE25" s="7"/>
      <c r="AF25" s="7"/>
      <c r="AG25" s="7"/>
      <c r="AH25" s="7"/>
      <c r="AI25" s="7"/>
      <c r="AJ25" s="7"/>
      <c r="AK25" s="7"/>
      <c r="AL25" s="7"/>
      <c r="AM25" s="7"/>
      <c r="AN25" s="7"/>
    </row>
    <row r="26">
      <c r="A26" s="7"/>
      <c r="B26" s="7"/>
      <c r="C26" s="17">
        <v>13.0</v>
      </c>
      <c r="D26" s="10">
        <v>11.0</v>
      </c>
      <c r="E26" s="10">
        <v>23.0</v>
      </c>
      <c r="F26" s="439">
        <v>26.0</v>
      </c>
      <c r="G26" s="439">
        <v>38.0</v>
      </c>
      <c r="H26" s="439">
        <v>50.0</v>
      </c>
      <c r="I26" s="439">
        <v>62.0</v>
      </c>
      <c r="J26" s="439">
        <v>74.0</v>
      </c>
      <c r="K26" s="439">
        <v>86.0</v>
      </c>
      <c r="L26" s="439">
        <v>98.0</v>
      </c>
      <c r="M26" s="439">
        <v>110.0</v>
      </c>
      <c r="N26" s="439">
        <v>122.0</v>
      </c>
      <c r="O26" s="439">
        <v>134.0</v>
      </c>
      <c r="P26" s="439">
        <v>146.0</v>
      </c>
      <c r="Q26" s="439">
        <v>158.0</v>
      </c>
      <c r="R26" s="7"/>
      <c r="S26" s="7"/>
      <c r="T26" s="7"/>
      <c r="U26" s="54" t="str">
        <f>IFERROR(__xludf.DUMMYFUNCTION("""COMPUTED_VALUE"""),"Duncan Robinson")</f>
        <v>Duncan Robinson</v>
      </c>
      <c r="V26" s="7"/>
      <c r="W26" s="7" t="b">
        <f>IFERROR(__xludf.DUMMYFUNCTION("""COMPUTED_VALUE"""),TRUE)</f>
        <v>1</v>
      </c>
      <c r="X26" s="7"/>
      <c r="Y26" s="7"/>
      <c r="Z26" s="7"/>
      <c r="AA26" s="7"/>
      <c r="AB26" s="7"/>
      <c r="AC26" s="7"/>
      <c r="AD26" s="7"/>
      <c r="AE26" s="7"/>
      <c r="AF26" s="7"/>
      <c r="AG26" s="7"/>
      <c r="AH26" s="7"/>
      <c r="AI26" s="7"/>
      <c r="AJ26" s="7"/>
      <c r="AK26" s="7"/>
      <c r="AL26" s="7"/>
      <c r="AM26" s="7"/>
      <c r="AN26" s="7"/>
    </row>
    <row r="27">
      <c r="A27" s="7"/>
      <c r="B27" s="7"/>
      <c r="C27" s="17">
        <v>14.0</v>
      </c>
      <c r="D27" s="10">
        <v>12.0</v>
      </c>
      <c r="E27" s="10">
        <v>24.0</v>
      </c>
      <c r="F27" s="439">
        <v>25.0</v>
      </c>
      <c r="G27" s="439">
        <v>37.0</v>
      </c>
      <c r="H27" s="439">
        <v>49.0</v>
      </c>
      <c r="I27" s="439">
        <v>61.0</v>
      </c>
      <c r="J27" s="439">
        <v>73.0</v>
      </c>
      <c r="K27" s="439">
        <v>85.0</v>
      </c>
      <c r="L27" s="439">
        <v>97.0</v>
      </c>
      <c r="M27" s="439">
        <v>109.0</v>
      </c>
      <c r="N27" s="439">
        <v>121.0</v>
      </c>
      <c r="O27" s="439">
        <v>133.0</v>
      </c>
      <c r="P27" s="439">
        <v>145.0</v>
      </c>
      <c r="Q27" s="439">
        <v>157.0</v>
      </c>
      <c r="R27" s="7"/>
      <c r="S27" s="7"/>
      <c r="T27" s="7"/>
      <c r="U27" s="7" t="str">
        <f>IFERROR(__xludf.DUMMYFUNCTION("""COMPUTED_VALUE"""),"Shai Gilgeous-Alexander")</f>
        <v>Shai Gilgeous-Alexander</v>
      </c>
      <c r="V27" s="7"/>
      <c r="W27" s="7" t="b">
        <f>IFERROR(__xludf.DUMMYFUNCTION("""COMPUTED_VALUE"""),TRUE)</f>
        <v>1</v>
      </c>
      <c r="X27" s="7"/>
      <c r="Y27" s="7"/>
      <c r="Z27" s="7"/>
      <c r="AA27" s="7"/>
      <c r="AB27" s="7"/>
      <c r="AC27" s="7"/>
      <c r="AD27" s="7"/>
      <c r="AE27" s="7"/>
      <c r="AF27" s="7"/>
      <c r="AG27" s="7"/>
      <c r="AH27" s="7"/>
      <c r="AI27" s="7"/>
      <c r="AJ27" s="7"/>
      <c r="AK27" s="7"/>
      <c r="AL27" s="7"/>
      <c r="AM27" s="7"/>
      <c r="AN27" s="7"/>
    </row>
    <row r="28">
      <c r="A28" s="7"/>
      <c r="B28" s="7"/>
      <c r="C28" s="7"/>
      <c r="D28" s="7"/>
      <c r="E28" s="7"/>
      <c r="F28" s="7"/>
      <c r="G28" s="7"/>
      <c r="H28" s="7"/>
      <c r="I28" s="7"/>
      <c r="J28" s="7"/>
      <c r="K28" s="7"/>
      <c r="L28" s="7"/>
      <c r="M28" s="7"/>
      <c r="N28" s="7"/>
      <c r="O28" s="7"/>
      <c r="P28" s="7"/>
      <c r="Q28" s="7"/>
      <c r="R28" s="7"/>
      <c r="S28" s="7"/>
      <c r="T28" s="7"/>
      <c r="U28" s="7" t="str">
        <f>IFERROR(__xludf.DUMMYFUNCTION("""COMPUTED_VALUE"""),"Alperen Sengun")</f>
        <v>Alperen Sengun</v>
      </c>
      <c r="V28" s="7"/>
      <c r="W28" s="7" t="b">
        <f>IFERROR(__xludf.DUMMYFUNCTION("""COMPUTED_VALUE"""),TRUE)</f>
        <v>1</v>
      </c>
      <c r="X28" s="7"/>
      <c r="Y28" s="7"/>
      <c r="Z28" s="7"/>
      <c r="AA28" s="7"/>
      <c r="AB28" s="7"/>
      <c r="AC28" s="7"/>
      <c r="AD28" s="7"/>
      <c r="AE28" s="7"/>
      <c r="AF28" s="7"/>
      <c r="AG28" s="7"/>
      <c r="AH28" s="7"/>
      <c r="AI28" s="7"/>
      <c r="AJ28" s="7"/>
      <c r="AK28" s="7"/>
      <c r="AL28" s="7"/>
      <c r="AM28" s="7"/>
      <c r="AN28" s="7"/>
    </row>
    <row r="29">
      <c r="A29" s="7"/>
      <c r="B29" s="7"/>
      <c r="C29" s="7"/>
      <c r="D29" s="7"/>
      <c r="E29" s="7"/>
      <c r="F29" s="7"/>
      <c r="G29" s="7"/>
      <c r="H29" s="7"/>
      <c r="I29" s="7"/>
      <c r="J29" s="7"/>
      <c r="K29" s="7"/>
      <c r="L29" s="7"/>
      <c r="M29" s="7"/>
      <c r="N29" s="7"/>
      <c r="O29" s="7"/>
      <c r="P29" s="7"/>
      <c r="Q29" s="7"/>
      <c r="R29" s="7"/>
      <c r="S29" s="7"/>
      <c r="T29" s="7"/>
      <c r="U29" s="54" t="str">
        <f>IFERROR(__xludf.DUMMYFUNCTION("""COMPUTED_VALUE"""),"Pascal Siakam")</f>
        <v>Pascal Siakam</v>
      </c>
      <c r="V29" s="7"/>
      <c r="W29" s="7" t="b">
        <f>IFERROR(__xludf.DUMMYFUNCTION("""COMPUTED_VALUE"""),TRUE)</f>
        <v>1</v>
      </c>
      <c r="X29" s="7"/>
      <c r="Y29" s="7"/>
      <c r="Z29" s="7"/>
      <c r="AA29" s="7"/>
      <c r="AB29" s="7"/>
      <c r="AC29" s="7"/>
      <c r="AD29" s="7"/>
      <c r="AE29" s="7"/>
      <c r="AF29" s="7"/>
      <c r="AG29" s="7"/>
      <c r="AH29" s="7"/>
      <c r="AI29" s="7"/>
      <c r="AJ29" s="7"/>
      <c r="AK29" s="7"/>
      <c r="AL29" s="7"/>
      <c r="AM29" s="7"/>
      <c r="AN29" s="7"/>
    </row>
    <row r="30">
      <c r="A30" s="7"/>
      <c r="B30" s="7"/>
      <c r="C30" s="7"/>
      <c r="D30" s="7"/>
      <c r="E30" s="7"/>
      <c r="F30" s="7"/>
      <c r="G30" s="7"/>
      <c r="H30" s="7"/>
      <c r="I30" s="7"/>
      <c r="J30" s="7"/>
      <c r="K30" s="7"/>
      <c r="L30" s="7"/>
      <c r="M30" s="7"/>
      <c r="N30" s="7"/>
      <c r="O30" s="7"/>
      <c r="P30" s="7"/>
      <c r="Q30" s="7"/>
      <c r="R30" s="7"/>
      <c r="S30" s="7"/>
      <c r="T30" s="7"/>
      <c r="U30" s="54" t="str">
        <f>IFERROR(__xludf.DUMMYFUNCTION("""COMPUTED_VALUE"""),"Nikola Vucevic")</f>
        <v>Nikola Vucevic</v>
      </c>
      <c r="V30" s="7"/>
      <c r="W30" s="7" t="b">
        <f>IFERROR(__xludf.DUMMYFUNCTION("""COMPUTED_VALUE"""),TRUE)</f>
        <v>1</v>
      </c>
      <c r="X30" s="7"/>
      <c r="Y30" s="7"/>
      <c r="Z30" s="7"/>
      <c r="AA30" s="7"/>
      <c r="AB30" s="7"/>
      <c r="AC30" s="7"/>
      <c r="AD30" s="7"/>
      <c r="AE30" s="7"/>
      <c r="AF30" s="7"/>
      <c r="AG30" s="7"/>
      <c r="AH30" s="7"/>
      <c r="AI30" s="7"/>
      <c r="AJ30" s="7"/>
      <c r="AK30" s="7"/>
      <c r="AL30" s="7"/>
      <c r="AM30" s="7"/>
      <c r="AN30" s="7"/>
    </row>
    <row r="31">
      <c r="A31" s="7"/>
      <c r="B31" s="7"/>
      <c r="C31" s="7"/>
      <c r="D31" s="7"/>
      <c r="E31" s="7"/>
      <c r="F31" s="7"/>
      <c r="G31" s="7"/>
      <c r="H31" s="7"/>
      <c r="I31" s="7"/>
      <c r="J31" s="7"/>
      <c r="K31" s="7"/>
      <c r="L31" s="7"/>
      <c r="M31" s="7"/>
      <c r="N31" s="7"/>
      <c r="O31" s="7"/>
      <c r="P31" s="7"/>
      <c r="Q31" s="7"/>
      <c r="R31" s="7"/>
      <c r="S31" s="7"/>
      <c r="T31" s="7"/>
      <c r="U31" s="54" t="str">
        <f>IFERROR(__xludf.DUMMYFUNCTION("""COMPUTED_VALUE"""),"Lauri Markkanen")</f>
        <v>Lauri Markkanen</v>
      </c>
      <c r="V31" s="7"/>
      <c r="W31" s="7" t="b">
        <f>IFERROR(__xludf.DUMMYFUNCTION("""COMPUTED_VALUE"""),TRUE)</f>
        <v>1</v>
      </c>
      <c r="X31" s="7"/>
      <c r="Y31" s="7"/>
      <c r="Z31" s="7"/>
      <c r="AA31" s="7"/>
      <c r="AB31" s="7"/>
      <c r="AC31" s="7"/>
      <c r="AD31" s="7"/>
      <c r="AE31" s="7"/>
      <c r="AF31" s="7"/>
      <c r="AG31" s="7"/>
      <c r="AH31" s="7"/>
      <c r="AI31" s="7"/>
      <c r="AJ31" s="7"/>
      <c r="AK31" s="7"/>
      <c r="AL31" s="7"/>
      <c r="AM31" s="7"/>
      <c r="AN31" s="7"/>
    </row>
    <row r="32">
      <c r="A32" s="7"/>
      <c r="B32" s="7"/>
      <c r="C32" s="7"/>
      <c r="D32" s="7"/>
      <c r="E32" s="7"/>
      <c r="F32" s="7"/>
      <c r="G32" s="7"/>
      <c r="H32" s="7"/>
      <c r="I32" s="7"/>
      <c r="J32" s="7"/>
      <c r="K32" s="7"/>
      <c r="L32" s="7"/>
      <c r="M32" s="7"/>
      <c r="N32" s="7"/>
      <c r="O32" s="7"/>
      <c r="P32" s="7"/>
      <c r="Q32" s="7"/>
      <c r="R32" s="7"/>
      <c r="S32" s="7"/>
      <c r="T32" s="7"/>
      <c r="U32" s="54" t="str">
        <f>IFERROR(__xludf.DUMMYFUNCTION("""COMPUTED_VALUE"""),"Deandre Ayton")</f>
        <v>Deandre Ayton</v>
      </c>
      <c r="V32" s="7"/>
      <c r="W32" s="7" t="b">
        <f>IFERROR(__xludf.DUMMYFUNCTION("""COMPUTED_VALUE"""),TRUE)</f>
        <v>1</v>
      </c>
      <c r="X32" s="7"/>
      <c r="Y32" s="7"/>
      <c r="Z32" s="7"/>
      <c r="AA32" s="7"/>
      <c r="AB32" s="7"/>
      <c r="AC32" s="7"/>
      <c r="AD32" s="7"/>
      <c r="AE32" s="7"/>
      <c r="AF32" s="7"/>
      <c r="AG32" s="7"/>
      <c r="AH32" s="7"/>
      <c r="AI32" s="7"/>
      <c r="AJ32" s="7"/>
      <c r="AK32" s="7"/>
      <c r="AL32" s="7"/>
      <c r="AM32" s="7"/>
      <c r="AN32" s="7"/>
    </row>
    <row r="33">
      <c r="A33" s="7"/>
      <c r="B33" s="7"/>
      <c r="C33" s="7"/>
      <c r="D33" s="7"/>
      <c r="E33" s="7"/>
      <c r="F33" s="7"/>
      <c r="G33" s="7"/>
      <c r="H33" s="7"/>
      <c r="I33" s="7"/>
      <c r="J33" s="7"/>
      <c r="K33" s="7"/>
      <c r="L33" s="7"/>
      <c r="M33" s="7"/>
      <c r="N33" s="7"/>
      <c r="O33" s="7"/>
      <c r="P33" s="7"/>
      <c r="Q33" s="7"/>
      <c r="R33" s="7"/>
      <c r="S33" s="7"/>
      <c r="T33" s="7"/>
      <c r="U33" s="54" t="str">
        <f>IFERROR(__xludf.DUMMYFUNCTION("""COMPUTED_VALUE"""),"Isaiah Hartenstein")</f>
        <v>Isaiah Hartenstein</v>
      </c>
      <c r="V33" s="7"/>
      <c r="W33" s="7" t="b">
        <f>IFERROR(__xludf.DUMMYFUNCTION("""COMPUTED_VALUE"""),TRUE)</f>
        <v>1</v>
      </c>
      <c r="X33" s="7"/>
      <c r="Y33" s="7"/>
      <c r="Z33" s="7"/>
      <c r="AA33" s="7"/>
      <c r="AB33" s="7"/>
      <c r="AC33" s="7"/>
      <c r="AD33" s="7"/>
      <c r="AE33" s="7"/>
      <c r="AF33" s="7"/>
      <c r="AG33" s="7"/>
      <c r="AH33" s="7"/>
      <c r="AI33" s="7"/>
      <c r="AJ33" s="7"/>
      <c r="AK33" s="7"/>
      <c r="AL33" s="7"/>
      <c r="AM33" s="7"/>
      <c r="AN33" s="7"/>
    </row>
    <row r="34">
      <c r="A34" s="7"/>
      <c r="B34" s="7"/>
      <c r="C34" s="7"/>
      <c r="D34" s="7"/>
      <c r="E34" s="7"/>
      <c r="F34" s="7"/>
      <c r="G34" s="7"/>
      <c r="H34" s="7"/>
      <c r="I34" s="7"/>
      <c r="J34" s="7"/>
      <c r="K34" s="7"/>
      <c r="L34" s="7"/>
      <c r="M34" s="7"/>
      <c r="N34" s="7"/>
      <c r="O34" s="7"/>
      <c r="P34" s="7"/>
      <c r="Q34" s="7"/>
      <c r="R34" s="7"/>
      <c r="S34" s="7"/>
      <c r="T34" s="7"/>
      <c r="U34" s="54" t="str">
        <f>IFERROR(__xludf.DUMMYFUNCTION("""COMPUTED_VALUE"""),"R.J. Barrett")</f>
        <v>R.J. Barrett</v>
      </c>
      <c r="V34" s="7"/>
      <c r="W34" s="7" t="b">
        <f>IFERROR(__xludf.DUMMYFUNCTION("""COMPUTED_VALUE"""),TRUE)</f>
        <v>1</v>
      </c>
      <c r="X34" s="7"/>
      <c r="Y34" s="7"/>
      <c r="Z34" s="7"/>
      <c r="AA34" s="7"/>
      <c r="AB34" s="7"/>
      <c r="AC34" s="7"/>
      <c r="AD34" s="7"/>
      <c r="AE34" s="7"/>
      <c r="AF34" s="7"/>
      <c r="AG34" s="7"/>
      <c r="AH34" s="7"/>
      <c r="AI34" s="7"/>
      <c r="AJ34" s="7"/>
      <c r="AK34" s="7"/>
      <c r="AL34" s="7"/>
      <c r="AM34" s="7"/>
      <c r="AN34" s="7"/>
    </row>
    <row r="35">
      <c r="A35" s="7"/>
      <c r="B35" s="7"/>
      <c r="C35" s="7"/>
      <c r="D35" s="7"/>
      <c r="E35" s="7"/>
      <c r="F35" s="7"/>
      <c r="G35" s="7"/>
      <c r="H35" s="7"/>
      <c r="I35" s="7"/>
      <c r="J35" s="7"/>
      <c r="K35" s="7"/>
      <c r="L35" s="7"/>
      <c r="M35" s="7"/>
      <c r="N35" s="7"/>
      <c r="O35" s="7"/>
      <c r="P35" s="7"/>
      <c r="Q35" s="7"/>
      <c r="R35" s="7"/>
      <c r="S35" s="7"/>
      <c r="T35" s="7"/>
      <c r="U35" s="54" t="str">
        <f>IFERROR(__xludf.DUMMYFUNCTION("""COMPUTED_VALUE"""),"Andrew Wiggins")</f>
        <v>Andrew Wiggins</v>
      </c>
      <c r="V35" s="7"/>
      <c r="W35" s="7" t="b">
        <f>IFERROR(__xludf.DUMMYFUNCTION("""COMPUTED_VALUE"""),TRUE)</f>
        <v>1</v>
      </c>
      <c r="X35" s="7"/>
      <c r="Y35" s="7"/>
      <c r="Z35" s="7"/>
      <c r="AA35" s="7"/>
      <c r="AB35" s="7"/>
      <c r="AC35" s="7"/>
      <c r="AD35" s="7"/>
      <c r="AE35" s="7"/>
      <c r="AF35" s="7"/>
      <c r="AG35" s="7"/>
      <c r="AH35" s="7"/>
      <c r="AI35" s="7"/>
      <c r="AJ35" s="7"/>
      <c r="AK35" s="7"/>
      <c r="AL35" s="7"/>
      <c r="AM35" s="7"/>
      <c r="AN35" s="7"/>
    </row>
    <row r="36">
      <c r="A36" s="7"/>
      <c r="B36" s="7"/>
      <c r="C36" s="7"/>
      <c r="D36" s="7"/>
      <c r="E36" s="7"/>
      <c r="F36" s="7"/>
      <c r="G36" s="7"/>
      <c r="H36" s="7"/>
      <c r="I36" s="7"/>
      <c r="J36" s="7"/>
      <c r="K36" s="7"/>
      <c r="L36" s="7"/>
      <c r="M36" s="7"/>
      <c r="N36" s="7"/>
      <c r="O36" s="7"/>
      <c r="P36" s="7"/>
      <c r="Q36" s="7"/>
      <c r="R36" s="7"/>
      <c r="S36" s="7"/>
      <c r="T36" s="7"/>
      <c r="U36" s="54" t="str">
        <f>IFERROR(__xludf.DUMMYFUNCTION("""COMPUTED_VALUE"""),"Jabari Smith Jr.")</f>
        <v>Jabari Smith Jr.</v>
      </c>
      <c r="V36" s="7"/>
      <c r="W36" s="7" t="b">
        <f>IFERROR(__xludf.DUMMYFUNCTION("""COMPUTED_VALUE"""),TRUE)</f>
        <v>1</v>
      </c>
      <c r="X36" s="7"/>
      <c r="Y36" s="7"/>
      <c r="Z36" s="7"/>
      <c r="AA36" s="7"/>
      <c r="AB36" s="7"/>
      <c r="AC36" s="7"/>
      <c r="AD36" s="7"/>
      <c r="AE36" s="7"/>
      <c r="AF36" s="7"/>
      <c r="AG36" s="7"/>
      <c r="AH36" s="7"/>
      <c r="AI36" s="7"/>
      <c r="AJ36" s="7"/>
      <c r="AK36" s="7"/>
      <c r="AL36" s="7"/>
      <c r="AM36" s="7"/>
      <c r="AN36" s="7"/>
    </row>
    <row r="37">
      <c r="A37" s="7"/>
      <c r="B37" s="7"/>
      <c r="C37" s="7"/>
      <c r="D37" s="7"/>
      <c r="E37" s="7"/>
      <c r="F37" s="7"/>
      <c r="G37" s="7"/>
      <c r="H37" s="7"/>
      <c r="I37" s="7"/>
      <c r="J37" s="7"/>
      <c r="K37" s="7"/>
      <c r="L37" s="7"/>
      <c r="M37" s="7"/>
      <c r="N37" s="7"/>
      <c r="O37" s="7"/>
      <c r="P37" s="7"/>
      <c r="Q37" s="7"/>
      <c r="R37" s="7"/>
      <c r="S37" s="7"/>
      <c r="T37" s="7"/>
      <c r="U37" s="54" t="str">
        <f>IFERROR(__xludf.DUMMYFUNCTION("""COMPUTED_VALUE"""),"Collin Sexton")</f>
        <v>Collin Sexton</v>
      </c>
      <c r="V37" s="7"/>
      <c r="W37" s="7" t="b">
        <f>IFERROR(__xludf.DUMMYFUNCTION("""COMPUTED_VALUE"""),TRUE)</f>
        <v>1</v>
      </c>
      <c r="X37" s="7"/>
      <c r="Y37" s="7"/>
      <c r="Z37" s="7"/>
      <c r="AA37" s="7"/>
      <c r="AB37" s="7"/>
      <c r="AC37" s="7"/>
      <c r="AD37" s="7"/>
      <c r="AE37" s="7"/>
      <c r="AF37" s="7"/>
      <c r="AG37" s="7"/>
      <c r="AH37" s="7"/>
      <c r="AI37" s="7"/>
      <c r="AJ37" s="7"/>
      <c r="AK37" s="7"/>
      <c r="AL37" s="7"/>
      <c r="AM37" s="7"/>
      <c r="AN37" s="7"/>
    </row>
    <row r="38">
      <c r="A38" s="7"/>
      <c r="B38" s="7"/>
      <c r="C38" s="7"/>
      <c r="D38" s="7"/>
      <c r="E38" s="7"/>
      <c r="F38" s="7"/>
      <c r="G38" s="7"/>
      <c r="H38" s="7"/>
      <c r="I38" s="7"/>
      <c r="J38" s="7"/>
      <c r="K38" s="7"/>
      <c r="L38" s="7"/>
      <c r="M38" s="7"/>
      <c r="N38" s="7"/>
      <c r="O38" s="7"/>
      <c r="P38" s="7"/>
      <c r="Q38" s="7"/>
      <c r="R38" s="7"/>
      <c r="S38" s="7"/>
      <c r="T38" s="7"/>
      <c r="U38" s="54" t="str">
        <f>IFERROR(__xludf.DUMMYFUNCTION("""COMPUTED_VALUE"""),"Stephon Castle")</f>
        <v>Stephon Castle</v>
      </c>
      <c r="V38" s="7"/>
      <c r="W38" s="7" t="b">
        <f>IFERROR(__xludf.DUMMYFUNCTION("""COMPUTED_VALUE"""),TRUE)</f>
        <v>1</v>
      </c>
      <c r="X38" s="7"/>
      <c r="Y38" s="7"/>
      <c r="Z38" s="7"/>
      <c r="AA38" s="7"/>
      <c r="AB38" s="7"/>
      <c r="AC38" s="7"/>
      <c r="AD38" s="7"/>
      <c r="AE38" s="7"/>
      <c r="AF38" s="7"/>
      <c r="AG38" s="7"/>
      <c r="AH38" s="7"/>
      <c r="AI38" s="7"/>
      <c r="AJ38" s="7"/>
      <c r="AK38" s="7"/>
      <c r="AL38" s="7"/>
      <c r="AM38" s="7"/>
      <c r="AN38" s="7"/>
    </row>
    <row r="39">
      <c r="A39" s="7"/>
      <c r="B39" s="7"/>
      <c r="C39" s="7"/>
      <c r="D39" s="7"/>
      <c r="E39" s="7"/>
      <c r="F39" s="7"/>
      <c r="G39" s="7"/>
      <c r="H39" s="7"/>
      <c r="I39" s="7"/>
      <c r="J39" s="7"/>
      <c r="K39" s="7"/>
      <c r="L39" s="7"/>
      <c r="M39" s="7"/>
      <c r="N39" s="7"/>
      <c r="O39" s="7"/>
      <c r="P39" s="7"/>
      <c r="Q39" s="7"/>
      <c r="R39" s="7"/>
      <c r="S39" s="7"/>
      <c r="T39" s="7"/>
      <c r="U39" s="7" t="str">
        <f>IFERROR(__xludf.DUMMYFUNCTION("""COMPUTED_VALUE"""),"Luka Doncic")</f>
        <v>Luka Doncic</v>
      </c>
      <c r="V39" s="7"/>
      <c r="W39" s="7" t="b">
        <f>IFERROR(__xludf.DUMMYFUNCTION("""COMPUTED_VALUE"""),TRUE)</f>
        <v>1</v>
      </c>
      <c r="X39" s="7"/>
      <c r="Y39" s="7"/>
      <c r="Z39" s="7"/>
      <c r="AA39" s="7"/>
      <c r="AB39" s="7"/>
      <c r="AC39" s="7"/>
      <c r="AD39" s="7"/>
      <c r="AE39" s="7"/>
      <c r="AF39" s="7"/>
      <c r="AG39" s="7"/>
      <c r="AH39" s="7"/>
      <c r="AI39" s="7"/>
      <c r="AJ39" s="7"/>
      <c r="AK39" s="7"/>
      <c r="AL39" s="7"/>
      <c r="AM39" s="7"/>
      <c r="AN39" s="7"/>
    </row>
    <row r="40">
      <c r="A40" s="7"/>
      <c r="B40" s="7"/>
      <c r="C40" s="7"/>
      <c r="D40" s="7"/>
      <c r="E40" s="7"/>
      <c r="F40" s="7"/>
      <c r="G40" s="7"/>
      <c r="H40" s="7"/>
      <c r="I40" s="7"/>
      <c r="J40" s="7"/>
      <c r="K40" s="7"/>
      <c r="L40" s="7"/>
      <c r="M40" s="7"/>
      <c r="N40" s="7"/>
      <c r="O40" s="7"/>
      <c r="P40" s="7"/>
      <c r="Q40" s="7"/>
      <c r="R40" s="7"/>
      <c r="S40" s="7"/>
      <c r="T40" s="7"/>
      <c r="U40" s="7" t="str">
        <f>IFERROR(__xludf.DUMMYFUNCTION("""COMPUTED_VALUE"""),"Kevin Durant")</f>
        <v>Kevin Durant</v>
      </c>
      <c r="V40" s="7"/>
      <c r="W40" s="7" t="b">
        <f>IFERROR(__xludf.DUMMYFUNCTION("""COMPUTED_VALUE"""),TRUE)</f>
        <v>1</v>
      </c>
      <c r="X40" s="7"/>
      <c r="Y40" s="7"/>
      <c r="Z40" s="7"/>
      <c r="AA40" s="7"/>
      <c r="AB40" s="7"/>
      <c r="AC40" s="7"/>
      <c r="AD40" s="7"/>
      <c r="AE40" s="7"/>
      <c r="AF40" s="7"/>
      <c r="AG40" s="7"/>
      <c r="AH40" s="7"/>
      <c r="AI40" s="7"/>
      <c r="AJ40" s="7"/>
      <c r="AK40" s="7"/>
      <c r="AL40" s="7"/>
      <c r="AM40" s="7"/>
      <c r="AN40" s="7"/>
    </row>
    <row r="41">
      <c r="A41" s="7"/>
      <c r="B41" s="7"/>
      <c r="C41" s="7"/>
      <c r="D41" s="7"/>
      <c r="E41" s="7"/>
      <c r="F41" s="7"/>
      <c r="G41" s="7"/>
      <c r="H41" s="7"/>
      <c r="I41" s="7"/>
      <c r="J41" s="7"/>
      <c r="K41" s="7"/>
      <c r="L41" s="7"/>
      <c r="M41" s="7"/>
      <c r="N41" s="7"/>
      <c r="O41" s="7"/>
      <c r="P41" s="7"/>
      <c r="Q41" s="7"/>
      <c r="R41" s="7"/>
      <c r="S41" s="7"/>
      <c r="T41" s="7"/>
      <c r="U41" s="54" t="str">
        <f>IFERROR(__xludf.DUMMYFUNCTION("""COMPUTED_VALUE"""),"Bam Adebayo")</f>
        <v>Bam Adebayo</v>
      </c>
      <c r="V41" s="7"/>
      <c r="W41" s="7" t="b">
        <f>IFERROR(__xludf.DUMMYFUNCTION("""COMPUTED_VALUE"""),TRUE)</f>
        <v>1</v>
      </c>
      <c r="X41" s="7"/>
      <c r="Y41" s="7"/>
      <c r="Z41" s="7"/>
      <c r="AA41" s="7"/>
      <c r="AB41" s="7"/>
      <c r="AC41" s="7"/>
      <c r="AD41" s="7"/>
      <c r="AE41" s="7"/>
      <c r="AF41" s="7"/>
      <c r="AG41" s="7"/>
      <c r="AH41" s="7"/>
      <c r="AI41" s="7"/>
      <c r="AJ41" s="7"/>
      <c r="AK41" s="7"/>
      <c r="AL41" s="7"/>
      <c r="AM41" s="7"/>
      <c r="AN41" s="7"/>
    </row>
    <row r="42">
      <c r="A42" s="7"/>
      <c r="B42" s="7"/>
      <c r="C42" s="7"/>
      <c r="D42" s="7"/>
      <c r="E42" s="7"/>
      <c r="F42" s="7"/>
      <c r="G42" s="7"/>
      <c r="H42" s="7"/>
      <c r="I42" s="7"/>
      <c r="J42" s="7"/>
      <c r="K42" s="7"/>
      <c r="L42" s="7"/>
      <c r="M42" s="7"/>
      <c r="N42" s="7"/>
      <c r="O42" s="7"/>
      <c r="P42" s="7"/>
      <c r="Q42" s="7"/>
      <c r="R42" s="7"/>
      <c r="S42" s="7"/>
      <c r="T42" s="7"/>
      <c r="U42" s="54" t="str">
        <f>IFERROR(__xludf.DUMMYFUNCTION("""COMPUTED_VALUE"""),"Kawhi Leonard")</f>
        <v>Kawhi Leonard</v>
      </c>
      <c r="V42" s="7"/>
      <c r="W42" s="7" t="b">
        <f>IFERROR(__xludf.DUMMYFUNCTION("""COMPUTED_VALUE"""),TRUE)</f>
        <v>1</v>
      </c>
      <c r="X42" s="7"/>
      <c r="Y42" s="7"/>
      <c r="Z42" s="7"/>
      <c r="AA42" s="7"/>
      <c r="AB42" s="7"/>
      <c r="AC42" s="7"/>
      <c r="AD42" s="7"/>
      <c r="AE42" s="7"/>
      <c r="AF42" s="7"/>
      <c r="AG42" s="7"/>
      <c r="AH42" s="7"/>
      <c r="AI42" s="7"/>
      <c r="AJ42" s="7"/>
      <c r="AK42" s="7"/>
      <c r="AL42" s="7"/>
      <c r="AM42" s="7"/>
      <c r="AN42" s="7"/>
    </row>
    <row r="43">
      <c r="A43" s="7"/>
      <c r="B43" s="7"/>
      <c r="C43" s="7"/>
      <c r="D43" s="7"/>
      <c r="E43" s="7"/>
      <c r="F43" s="7"/>
      <c r="G43" s="7"/>
      <c r="H43" s="7"/>
      <c r="I43" s="7"/>
      <c r="J43" s="7"/>
      <c r="K43" s="7"/>
      <c r="L43" s="7"/>
      <c r="M43" s="7"/>
      <c r="N43" s="7"/>
      <c r="O43" s="7"/>
      <c r="P43" s="7"/>
      <c r="Q43" s="7"/>
      <c r="R43" s="7"/>
      <c r="S43" s="7"/>
      <c r="T43" s="7"/>
      <c r="U43" s="54" t="str">
        <f>IFERROR(__xludf.DUMMYFUNCTION("""COMPUTED_VALUE"""),"Joel Embiid")</f>
        <v>Joel Embiid</v>
      </c>
      <c r="V43" s="7"/>
      <c r="W43" s="7" t="b">
        <f>IFERROR(__xludf.DUMMYFUNCTION("""COMPUTED_VALUE"""),TRUE)</f>
        <v>1</v>
      </c>
      <c r="X43" s="7"/>
      <c r="Y43" s="7"/>
      <c r="Z43" s="7"/>
      <c r="AA43" s="7"/>
      <c r="AB43" s="7"/>
      <c r="AC43" s="7"/>
      <c r="AD43" s="7"/>
      <c r="AE43" s="7"/>
      <c r="AF43" s="7"/>
      <c r="AG43" s="7"/>
      <c r="AH43" s="7"/>
      <c r="AI43" s="7"/>
      <c r="AJ43" s="7"/>
      <c r="AK43" s="7"/>
      <c r="AL43" s="7"/>
      <c r="AM43" s="7"/>
      <c r="AN43" s="7"/>
    </row>
    <row r="44">
      <c r="A44" s="7"/>
      <c r="B44" s="7"/>
      <c r="C44" s="7"/>
      <c r="D44" s="7"/>
      <c r="E44" s="7"/>
      <c r="F44" s="7"/>
      <c r="G44" s="7"/>
      <c r="H44" s="7"/>
      <c r="I44" s="7"/>
      <c r="J44" s="7"/>
      <c r="K44" s="7"/>
      <c r="L44" s="7"/>
      <c r="M44" s="7"/>
      <c r="N44" s="7"/>
      <c r="O44" s="7"/>
      <c r="P44" s="7"/>
      <c r="Q44" s="7"/>
      <c r="R44" s="7"/>
      <c r="S44" s="7"/>
      <c r="T44" s="7"/>
      <c r="U44" s="54" t="str">
        <f>IFERROR(__xludf.DUMMYFUNCTION("""COMPUTED_VALUE"""),"Matas Buzelis")</f>
        <v>Matas Buzelis</v>
      </c>
      <c r="V44" s="7"/>
      <c r="W44" s="7" t="b">
        <f>IFERROR(__xludf.DUMMYFUNCTION("""COMPUTED_VALUE"""),TRUE)</f>
        <v>1</v>
      </c>
      <c r="X44" s="7"/>
      <c r="Y44" s="7"/>
      <c r="Z44" s="7"/>
      <c r="AA44" s="7"/>
      <c r="AB44" s="7"/>
      <c r="AC44" s="7"/>
      <c r="AD44" s="7"/>
      <c r="AE44" s="7"/>
      <c r="AF44" s="7"/>
      <c r="AG44" s="7"/>
      <c r="AH44" s="7"/>
      <c r="AI44" s="7"/>
      <c r="AJ44" s="7"/>
      <c r="AK44" s="7"/>
      <c r="AL44" s="7"/>
      <c r="AM44" s="7"/>
      <c r="AN44" s="7"/>
    </row>
    <row r="45">
      <c r="A45" s="7"/>
      <c r="B45" s="7"/>
      <c r="C45" s="7"/>
      <c r="D45" s="7"/>
      <c r="E45" s="7"/>
      <c r="F45" s="7"/>
      <c r="G45" s="7"/>
      <c r="H45" s="7"/>
      <c r="I45" s="7"/>
      <c r="J45" s="7"/>
      <c r="K45" s="7"/>
      <c r="L45" s="7"/>
      <c r="M45" s="7"/>
      <c r="N45" s="7"/>
      <c r="O45" s="7"/>
      <c r="P45" s="7"/>
      <c r="Q45" s="7"/>
      <c r="R45" s="7"/>
      <c r="S45" s="7"/>
      <c r="T45" s="7"/>
      <c r="U45" s="54" t="str">
        <f>IFERROR(__xludf.DUMMYFUNCTION("""COMPUTED_VALUE"""),"Jordan Poole")</f>
        <v>Jordan Poole</v>
      </c>
      <c r="V45" s="7"/>
      <c r="W45" s="7" t="b">
        <f>IFERROR(__xludf.DUMMYFUNCTION("""COMPUTED_VALUE"""),TRUE)</f>
        <v>1</v>
      </c>
      <c r="X45" s="7"/>
      <c r="Y45" s="7"/>
      <c r="Z45" s="7"/>
      <c r="AA45" s="7"/>
      <c r="AB45" s="7"/>
      <c r="AC45" s="7"/>
      <c r="AD45" s="7"/>
      <c r="AE45" s="7"/>
      <c r="AF45" s="7"/>
      <c r="AG45" s="7"/>
      <c r="AH45" s="7"/>
      <c r="AI45" s="7"/>
      <c r="AJ45" s="7"/>
      <c r="AK45" s="7"/>
      <c r="AL45" s="7"/>
      <c r="AM45" s="7"/>
      <c r="AN45" s="7"/>
    </row>
    <row r="46">
      <c r="A46" s="7"/>
      <c r="B46" s="7"/>
      <c r="C46" s="7"/>
      <c r="D46" s="7"/>
      <c r="E46" s="7"/>
      <c r="F46" s="7"/>
      <c r="G46" s="7"/>
      <c r="H46" s="7"/>
      <c r="I46" s="7"/>
      <c r="J46" s="7"/>
      <c r="K46" s="7"/>
      <c r="L46" s="7"/>
      <c r="M46" s="7"/>
      <c r="N46" s="7"/>
      <c r="O46" s="7"/>
      <c r="P46" s="7"/>
      <c r="Q46" s="7"/>
      <c r="R46" s="7"/>
      <c r="S46" s="7"/>
      <c r="T46" s="7"/>
      <c r="U46" s="54" t="str">
        <f>IFERROR(__xludf.DUMMYFUNCTION("""COMPUTED_VALUE"""),"Donovan Clingan")</f>
        <v>Donovan Clingan</v>
      </c>
      <c r="V46" s="7"/>
      <c r="W46" s="7" t="b">
        <f>IFERROR(__xludf.DUMMYFUNCTION("""COMPUTED_VALUE"""),TRUE)</f>
        <v>1</v>
      </c>
      <c r="X46" s="7"/>
      <c r="Y46" s="7"/>
      <c r="Z46" s="7"/>
      <c r="AA46" s="7"/>
      <c r="AB46" s="7"/>
      <c r="AC46" s="7"/>
      <c r="AD46" s="7"/>
      <c r="AE46" s="7"/>
      <c r="AF46" s="7"/>
      <c r="AG46" s="7"/>
      <c r="AH46" s="7"/>
      <c r="AI46" s="7"/>
      <c r="AJ46" s="7"/>
      <c r="AK46" s="7"/>
      <c r="AL46" s="7"/>
      <c r="AM46" s="7"/>
      <c r="AN46" s="7"/>
    </row>
    <row r="47">
      <c r="A47" s="7"/>
      <c r="B47" s="7"/>
      <c r="C47" s="7"/>
      <c r="D47" s="7"/>
      <c r="E47" s="7"/>
      <c r="F47" s="7"/>
      <c r="G47" s="7"/>
      <c r="H47" s="7"/>
      <c r="I47" s="7"/>
      <c r="J47" s="7"/>
      <c r="K47" s="7"/>
      <c r="L47" s="7"/>
      <c r="M47" s="7"/>
      <c r="N47" s="7"/>
      <c r="O47" s="7"/>
      <c r="P47" s="7"/>
      <c r="Q47" s="7"/>
      <c r="R47" s="7"/>
      <c r="S47" s="7"/>
      <c r="T47" s="7"/>
      <c r="U47" s="54" t="str">
        <f>IFERROR(__xludf.DUMMYFUNCTION("""COMPUTED_VALUE"""),"Bobby Portis")</f>
        <v>Bobby Portis</v>
      </c>
      <c r="V47" s="7"/>
      <c r="W47" s="7" t="b">
        <f>IFERROR(__xludf.DUMMYFUNCTION("""COMPUTED_VALUE"""),TRUE)</f>
        <v>1</v>
      </c>
      <c r="X47" s="7"/>
      <c r="Y47" s="7"/>
      <c r="Z47" s="7"/>
      <c r="AA47" s="7"/>
      <c r="AB47" s="7"/>
      <c r="AC47" s="7"/>
      <c r="AD47" s="7"/>
      <c r="AE47" s="7"/>
      <c r="AF47" s="7"/>
      <c r="AG47" s="7"/>
      <c r="AH47" s="7"/>
      <c r="AI47" s="7"/>
      <c r="AJ47" s="7"/>
      <c r="AK47" s="7"/>
      <c r="AL47" s="7"/>
      <c r="AM47" s="7"/>
      <c r="AN47" s="7"/>
    </row>
    <row r="48">
      <c r="A48" s="7"/>
      <c r="B48" s="7"/>
      <c r="C48" s="7"/>
      <c r="D48" s="7"/>
      <c r="E48" s="7"/>
      <c r="F48" s="7"/>
      <c r="G48" s="7"/>
      <c r="H48" s="7"/>
      <c r="I48" s="7"/>
      <c r="J48" s="7"/>
      <c r="K48" s="7"/>
      <c r="L48" s="7"/>
      <c r="M48" s="7"/>
      <c r="N48" s="7"/>
      <c r="O48" s="7"/>
      <c r="P48" s="7"/>
      <c r="Q48" s="7"/>
      <c r="R48" s="7"/>
      <c r="S48" s="7"/>
      <c r="T48" s="7"/>
      <c r="U48" s="54" t="str">
        <f>IFERROR(__xludf.DUMMYFUNCTION("""COMPUTED_VALUE"""),"Andrew Nembhard")</f>
        <v>Andrew Nembhard</v>
      </c>
      <c r="V48" s="7"/>
      <c r="W48" s="7" t="b">
        <f>IFERROR(__xludf.DUMMYFUNCTION("""COMPUTED_VALUE"""),TRUE)</f>
        <v>1</v>
      </c>
      <c r="X48" s="7"/>
      <c r="Y48" s="7"/>
      <c r="Z48" s="7"/>
      <c r="AA48" s="7"/>
      <c r="AB48" s="7"/>
      <c r="AC48" s="7"/>
      <c r="AD48" s="7"/>
      <c r="AE48" s="7"/>
      <c r="AF48" s="7"/>
      <c r="AG48" s="7"/>
      <c r="AH48" s="7"/>
      <c r="AI48" s="7"/>
      <c r="AJ48" s="7"/>
      <c r="AK48" s="7"/>
      <c r="AL48" s="7"/>
      <c r="AM48" s="7"/>
      <c r="AN48" s="7"/>
    </row>
    <row r="49">
      <c r="A49" s="7"/>
      <c r="B49" s="7"/>
      <c r="C49" s="7"/>
      <c r="D49" s="7"/>
      <c r="E49" s="7"/>
      <c r="F49" s="7"/>
      <c r="G49" s="7"/>
      <c r="H49" s="7"/>
      <c r="I49" s="7"/>
      <c r="J49" s="7"/>
      <c r="K49" s="7"/>
      <c r="L49" s="7"/>
      <c r="M49" s="7"/>
      <c r="N49" s="7"/>
      <c r="O49" s="7"/>
      <c r="P49" s="7"/>
      <c r="Q49" s="7"/>
      <c r="R49" s="7"/>
      <c r="S49" s="7"/>
      <c r="T49" s="7"/>
      <c r="U49" s="54" t="str">
        <f>IFERROR(__xludf.DUMMYFUNCTION("""COMPUTED_VALUE"""),"Cason Wallace")</f>
        <v>Cason Wallace</v>
      </c>
      <c r="V49" s="7"/>
      <c r="W49" s="7" t="b">
        <f>IFERROR(__xludf.DUMMYFUNCTION("""COMPUTED_VALUE"""),TRUE)</f>
        <v>1</v>
      </c>
      <c r="X49" s="7"/>
      <c r="Y49" s="7"/>
      <c r="Z49" s="7"/>
      <c r="AA49" s="7"/>
      <c r="AB49" s="7"/>
      <c r="AC49" s="7"/>
      <c r="AD49" s="7"/>
      <c r="AE49" s="7"/>
      <c r="AF49" s="7"/>
      <c r="AG49" s="7"/>
      <c r="AH49" s="7"/>
      <c r="AI49" s="7"/>
      <c r="AJ49" s="7"/>
      <c r="AK49" s="7"/>
      <c r="AL49" s="7"/>
      <c r="AM49" s="7"/>
      <c r="AN49" s="7"/>
    </row>
    <row r="50">
      <c r="A50" s="7"/>
      <c r="B50" s="7"/>
      <c r="C50" s="7"/>
      <c r="D50" s="7"/>
      <c r="E50" s="7"/>
      <c r="F50" s="7"/>
      <c r="G50" s="7"/>
      <c r="H50" s="7"/>
      <c r="I50" s="7"/>
      <c r="J50" s="7"/>
      <c r="K50" s="7"/>
      <c r="L50" s="7"/>
      <c r="M50" s="7"/>
      <c r="N50" s="7"/>
      <c r="O50" s="7"/>
      <c r="P50" s="7"/>
      <c r="Q50" s="7"/>
      <c r="R50" s="7"/>
      <c r="S50" s="7"/>
      <c r="T50" s="7"/>
      <c r="U50" s="54" t="str">
        <f>IFERROR(__xludf.DUMMYFUNCTION("""COMPUTED_VALUE"""),"Mitchell Robinson")</f>
        <v>Mitchell Robinson</v>
      </c>
      <c r="V50" s="7"/>
      <c r="W50" s="7" t="b">
        <f>IFERROR(__xludf.DUMMYFUNCTION("""COMPUTED_VALUE"""),TRUE)</f>
        <v>1</v>
      </c>
      <c r="X50" s="7"/>
      <c r="Y50" s="7"/>
      <c r="Z50" s="7"/>
      <c r="AA50" s="7"/>
      <c r="AB50" s="7"/>
      <c r="AC50" s="7"/>
      <c r="AD50" s="7"/>
      <c r="AE50" s="7"/>
      <c r="AF50" s="7"/>
      <c r="AG50" s="7"/>
      <c r="AH50" s="7"/>
      <c r="AI50" s="7"/>
      <c r="AJ50" s="7"/>
      <c r="AK50" s="7"/>
      <c r="AL50" s="7"/>
      <c r="AM50" s="7"/>
      <c r="AN50" s="7"/>
    </row>
    <row r="51">
      <c r="A51" s="7"/>
      <c r="B51" s="7"/>
      <c r="C51" s="7"/>
      <c r="D51" s="7"/>
      <c r="E51" s="7"/>
      <c r="F51" s="7"/>
      <c r="G51" s="7"/>
      <c r="H51" s="7"/>
      <c r="I51" s="7"/>
      <c r="J51" s="7"/>
      <c r="K51" s="7"/>
      <c r="L51" s="7"/>
      <c r="M51" s="7"/>
      <c r="N51" s="7"/>
      <c r="O51" s="7"/>
      <c r="P51" s="7"/>
      <c r="Q51" s="7"/>
      <c r="R51" s="7"/>
      <c r="S51" s="7"/>
      <c r="T51" s="7"/>
      <c r="U51" s="7" t="str">
        <f>IFERROR(__xludf.DUMMYFUNCTION("""COMPUTED_VALUE"""),"Giannis Antetokounmpo")</f>
        <v>Giannis Antetokounmpo</v>
      </c>
      <c r="V51" s="7"/>
      <c r="W51" s="7" t="b">
        <f>IFERROR(__xludf.DUMMYFUNCTION("""COMPUTED_VALUE"""),TRUE)</f>
        <v>1</v>
      </c>
      <c r="X51" s="7"/>
      <c r="Y51" s="7"/>
      <c r="Z51" s="7"/>
      <c r="AA51" s="7"/>
      <c r="AB51" s="7"/>
      <c r="AC51" s="7"/>
      <c r="AD51" s="7"/>
      <c r="AE51" s="7"/>
      <c r="AF51" s="7"/>
      <c r="AG51" s="7"/>
      <c r="AH51" s="7"/>
      <c r="AI51" s="7"/>
      <c r="AJ51" s="7"/>
      <c r="AK51" s="7"/>
      <c r="AL51" s="7"/>
      <c r="AM51" s="7"/>
      <c r="AN51" s="7"/>
    </row>
    <row r="52">
      <c r="A52" s="7"/>
      <c r="B52" s="7"/>
      <c r="C52" s="7"/>
      <c r="D52" s="7"/>
      <c r="E52" s="7"/>
      <c r="F52" s="7"/>
      <c r="G52" s="7"/>
      <c r="H52" s="7"/>
      <c r="I52" s="7"/>
      <c r="J52" s="7"/>
      <c r="K52" s="7"/>
      <c r="L52" s="7"/>
      <c r="M52" s="7"/>
      <c r="N52" s="7"/>
      <c r="O52" s="7"/>
      <c r="P52" s="7"/>
      <c r="Q52" s="7"/>
      <c r="R52" s="7"/>
      <c r="S52" s="7"/>
      <c r="T52" s="7"/>
      <c r="U52" s="7" t="str">
        <f>IFERROR(__xludf.DUMMYFUNCTION("""COMPUTED_VALUE"""),"Evan Mobley")</f>
        <v>Evan Mobley</v>
      </c>
      <c r="V52" s="7"/>
      <c r="W52" s="7" t="b">
        <f>IFERROR(__xludf.DUMMYFUNCTION("""COMPUTED_VALUE"""),TRUE)</f>
        <v>1</v>
      </c>
      <c r="X52" s="7"/>
      <c r="Y52" s="7"/>
      <c r="Z52" s="7"/>
      <c r="AA52" s="7"/>
      <c r="AB52" s="7"/>
      <c r="AC52" s="7"/>
      <c r="AD52" s="7"/>
      <c r="AE52" s="7"/>
      <c r="AF52" s="7"/>
      <c r="AG52" s="7"/>
      <c r="AH52" s="7"/>
      <c r="AI52" s="7"/>
      <c r="AJ52" s="7"/>
      <c r="AK52" s="7"/>
      <c r="AL52" s="7"/>
      <c r="AM52" s="7"/>
      <c r="AN52" s="7"/>
    </row>
    <row r="53">
      <c r="A53" s="7"/>
      <c r="B53" s="7"/>
      <c r="C53" s="7"/>
      <c r="D53" s="7"/>
      <c r="E53" s="7"/>
      <c r="F53" s="7"/>
      <c r="G53" s="7"/>
      <c r="H53" s="7"/>
      <c r="I53" s="7"/>
      <c r="J53" s="7"/>
      <c r="K53" s="7"/>
      <c r="L53" s="7"/>
      <c r="M53" s="7"/>
      <c r="N53" s="7"/>
      <c r="O53" s="7"/>
      <c r="P53" s="7"/>
      <c r="Q53" s="7"/>
      <c r="R53" s="7"/>
      <c r="S53" s="7"/>
      <c r="T53" s="7"/>
      <c r="U53" s="54" t="str">
        <f>IFERROR(__xludf.DUMMYFUNCTION("""COMPUTED_VALUE"""),"LeBron James")</f>
        <v>LeBron James</v>
      </c>
      <c r="V53" s="7"/>
      <c r="W53" s="7" t="b">
        <f>IFERROR(__xludf.DUMMYFUNCTION("""COMPUTED_VALUE"""),TRUE)</f>
        <v>1</v>
      </c>
      <c r="X53" s="7"/>
      <c r="Y53" s="7"/>
      <c r="Z53" s="7"/>
      <c r="AA53" s="7"/>
      <c r="AB53" s="7"/>
      <c r="AC53" s="7"/>
      <c r="AD53" s="7"/>
      <c r="AE53" s="7"/>
      <c r="AF53" s="7"/>
      <c r="AG53" s="7"/>
      <c r="AH53" s="7"/>
      <c r="AI53" s="7"/>
      <c r="AJ53" s="7"/>
      <c r="AK53" s="7"/>
      <c r="AL53" s="7"/>
      <c r="AM53" s="7"/>
      <c r="AN53" s="7"/>
    </row>
    <row r="54">
      <c r="A54" s="7"/>
      <c r="B54" s="7"/>
      <c r="C54" s="7"/>
      <c r="D54" s="7"/>
      <c r="E54" s="7"/>
      <c r="F54" s="7"/>
      <c r="G54" s="7"/>
      <c r="H54" s="7"/>
      <c r="I54" s="7"/>
      <c r="J54" s="7"/>
      <c r="K54" s="7"/>
      <c r="L54" s="7"/>
      <c r="M54" s="7"/>
      <c r="N54" s="7"/>
      <c r="O54" s="7"/>
      <c r="P54" s="7"/>
      <c r="Q54" s="7"/>
      <c r="R54" s="7"/>
      <c r="S54" s="7"/>
      <c r="T54" s="7"/>
      <c r="U54" s="54" t="str">
        <f>IFERROR(__xludf.DUMMYFUNCTION("""COMPUTED_VALUE"""),"Dyson Daniels")</f>
        <v>Dyson Daniels</v>
      </c>
      <c r="V54" s="7"/>
      <c r="W54" s="7" t="b">
        <f>IFERROR(__xludf.DUMMYFUNCTION("""COMPUTED_VALUE"""),TRUE)</f>
        <v>1</v>
      </c>
      <c r="X54" s="7"/>
      <c r="Y54" s="7"/>
      <c r="Z54" s="7"/>
      <c r="AA54" s="7"/>
      <c r="AB54" s="7"/>
      <c r="AC54" s="7"/>
      <c r="AD54" s="7"/>
      <c r="AE54" s="7"/>
      <c r="AF54" s="7"/>
      <c r="AG54" s="7"/>
      <c r="AH54" s="7"/>
      <c r="AI54" s="7"/>
      <c r="AJ54" s="7"/>
      <c r="AK54" s="7"/>
      <c r="AL54" s="7"/>
      <c r="AM54" s="7"/>
      <c r="AN54" s="7"/>
    </row>
    <row r="55">
      <c r="A55" s="7"/>
      <c r="B55" s="7"/>
      <c r="C55" s="7"/>
      <c r="D55" s="7"/>
      <c r="E55" s="7"/>
      <c r="F55" s="7"/>
      <c r="G55" s="7"/>
      <c r="H55" s="7"/>
      <c r="I55" s="7"/>
      <c r="J55" s="7"/>
      <c r="K55" s="7"/>
      <c r="L55" s="7"/>
      <c r="M55" s="7"/>
      <c r="N55" s="7"/>
      <c r="O55" s="7"/>
      <c r="P55" s="7"/>
      <c r="Q55" s="7"/>
      <c r="R55" s="7"/>
      <c r="S55" s="7"/>
      <c r="T55" s="7"/>
      <c r="U55" s="54" t="str">
        <f>IFERROR(__xludf.DUMMYFUNCTION("""COMPUTED_VALUE"""),"Rudy Gobert")</f>
        <v>Rudy Gobert</v>
      </c>
      <c r="V55" s="7"/>
      <c r="W55" s="7" t="b">
        <f>IFERROR(__xludf.DUMMYFUNCTION("""COMPUTED_VALUE"""),TRUE)</f>
        <v>1</v>
      </c>
      <c r="X55" s="7"/>
      <c r="Y55" s="7"/>
      <c r="Z55" s="7"/>
      <c r="AA55" s="7"/>
      <c r="AB55" s="7"/>
      <c r="AC55" s="7"/>
      <c r="AD55" s="7"/>
      <c r="AE55" s="7"/>
      <c r="AF55" s="7"/>
      <c r="AG55" s="7"/>
      <c r="AH55" s="7"/>
      <c r="AI55" s="7"/>
      <c r="AJ55" s="7"/>
      <c r="AK55" s="7"/>
      <c r="AL55" s="7"/>
      <c r="AM55" s="7"/>
      <c r="AN55" s="7"/>
    </row>
    <row r="56">
      <c r="A56" s="7"/>
      <c r="B56" s="7"/>
      <c r="C56" s="7"/>
      <c r="D56" s="7"/>
      <c r="E56" s="7"/>
      <c r="F56" s="7"/>
      <c r="G56" s="7"/>
      <c r="H56" s="7"/>
      <c r="I56" s="7"/>
      <c r="J56" s="7"/>
      <c r="K56" s="7"/>
      <c r="L56" s="7"/>
      <c r="M56" s="7"/>
      <c r="N56" s="7"/>
      <c r="O56" s="7"/>
      <c r="P56" s="7"/>
      <c r="Q56" s="7"/>
      <c r="R56" s="7"/>
      <c r="S56" s="7"/>
      <c r="T56" s="7"/>
      <c r="U56" s="54" t="str">
        <f>IFERROR(__xludf.DUMMYFUNCTION("""COMPUTED_VALUE"""),"Miles Bridges")</f>
        <v>Miles Bridges</v>
      </c>
      <c r="V56" s="7"/>
      <c r="W56" s="7" t="b">
        <f>IFERROR(__xludf.DUMMYFUNCTION("""COMPUTED_VALUE"""),TRUE)</f>
        <v>1</v>
      </c>
      <c r="X56" s="7"/>
      <c r="Y56" s="7"/>
      <c r="Z56" s="7"/>
      <c r="AA56" s="7"/>
      <c r="AB56" s="7"/>
      <c r="AC56" s="7"/>
      <c r="AD56" s="7"/>
      <c r="AE56" s="7"/>
      <c r="AF56" s="7"/>
      <c r="AG56" s="7"/>
      <c r="AH56" s="7"/>
      <c r="AI56" s="7"/>
      <c r="AJ56" s="7"/>
      <c r="AK56" s="7"/>
      <c r="AL56" s="7"/>
      <c r="AM56" s="7"/>
      <c r="AN56" s="7"/>
    </row>
    <row r="57">
      <c r="A57" s="7"/>
      <c r="B57" s="7"/>
      <c r="C57" s="7"/>
      <c r="D57" s="7"/>
      <c r="E57" s="7"/>
      <c r="F57" s="7"/>
      <c r="G57" s="7"/>
      <c r="H57" s="7"/>
      <c r="I57" s="7"/>
      <c r="J57" s="7"/>
      <c r="K57" s="7"/>
      <c r="L57" s="7"/>
      <c r="M57" s="7"/>
      <c r="N57" s="7"/>
      <c r="O57" s="7"/>
      <c r="P57" s="7"/>
      <c r="Q57" s="7"/>
      <c r="R57" s="7"/>
      <c r="S57" s="7"/>
      <c r="T57" s="7"/>
      <c r="U57" s="54" t="str">
        <f>IFERROR(__xludf.DUMMYFUNCTION("""COMPUTED_VALUE"""),"Immanuel Quickley")</f>
        <v>Immanuel Quickley</v>
      </c>
      <c r="V57" s="7"/>
      <c r="W57" s="7" t="b">
        <f>IFERROR(__xludf.DUMMYFUNCTION("""COMPUTED_VALUE"""),TRUE)</f>
        <v>1</v>
      </c>
      <c r="X57" s="7"/>
      <c r="Y57" s="7"/>
      <c r="Z57" s="7"/>
      <c r="AA57" s="7"/>
      <c r="AB57" s="7"/>
      <c r="AC57" s="7"/>
      <c r="AD57" s="7"/>
      <c r="AE57" s="7"/>
      <c r="AF57" s="7"/>
      <c r="AG57" s="7"/>
      <c r="AH57" s="7"/>
      <c r="AI57" s="7"/>
      <c r="AJ57" s="7"/>
      <c r="AK57" s="7"/>
      <c r="AL57" s="7"/>
      <c r="AM57" s="7"/>
      <c r="AN57" s="7"/>
    </row>
    <row r="58">
      <c r="A58" s="7"/>
      <c r="B58" s="7"/>
      <c r="C58" s="7"/>
      <c r="D58" s="7"/>
      <c r="E58" s="7"/>
      <c r="F58" s="7"/>
      <c r="G58" s="7"/>
      <c r="H58" s="7"/>
      <c r="I58" s="7"/>
      <c r="J58" s="7"/>
      <c r="K58" s="7"/>
      <c r="L58" s="7"/>
      <c r="M58" s="7"/>
      <c r="N58" s="7"/>
      <c r="O58" s="7"/>
      <c r="P58" s="7"/>
      <c r="Q58" s="7"/>
      <c r="R58" s="7"/>
      <c r="S58" s="7"/>
      <c r="T58" s="7"/>
      <c r="U58" s="54" t="str">
        <f>IFERROR(__xludf.DUMMYFUNCTION("""COMPUTED_VALUE"""),"John Collins")</f>
        <v>John Collins</v>
      </c>
      <c r="V58" s="7"/>
      <c r="W58" s="7" t="b">
        <f>IFERROR(__xludf.DUMMYFUNCTION("""COMPUTED_VALUE"""),TRUE)</f>
        <v>1</v>
      </c>
      <c r="X58" s="7"/>
      <c r="Y58" s="7"/>
      <c r="Z58" s="7"/>
      <c r="AA58" s="7"/>
      <c r="AB58" s="7"/>
      <c r="AC58" s="7"/>
      <c r="AD58" s="7"/>
      <c r="AE58" s="7"/>
      <c r="AF58" s="7"/>
      <c r="AG58" s="7"/>
      <c r="AH58" s="7"/>
      <c r="AI58" s="7"/>
      <c r="AJ58" s="7"/>
      <c r="AK58" s="7"/>
      <c r="AL58" s="7"/>
      <c r="AM58" s="7"/>
      <c r="AN58" s="7"/>
    </row>
    <row r="59">
      <c r="A59" s="7"/>
      <c r="B59" s="7"/>
      <c r="C59" s="7"/>
      <c r="D59" s="7"/>
      <c r="E59" s="7"/>
      <c r="F59" s="7"/>
      <c r="G59" s="7"/>
      <c r="H59" s="7"/>
      <c r="I59" s="7"/>
      <c r="J59" s="7"/>
      <c r="K59" s="7"/>
      <c r="L59" s="7"/>
      <c r="M59" s="7"/>
      <c r="N59" s="7"/>
      <c r="O59" s="7"/>
      <c r="P59" s="7"/>
      <c r="Q59" s="7"/>
      <c r="R59" s="7"/>
      <c r="S59" s="7"/>
      <c r="T59" s="7"/>
      <c r="U59" s="54" t="str">
        <f>IFERROR(__xludf.DUMMYFUNCTION("""COMPUTED_VALUE"""),"Anfernee Simons")</f>
        <v>Anfernee Simons</v>
      </c>
      <c r="V59" s="7"/>
      <c r="W59" s="7" t="b">
        <f>IFERROR(__xludf.DUMMYFUNCTION("""COMPUTED_VALUE"""),TRUE)</f>
        <v>1</v>
      </c>
      <c r="X59" s="7"/>
      <c r="Y59" s="7"/>
      <c r="Z59" s="7"/>
      <c r="AA59" s="7"/>
      <c r="AB59" s="7"/>
      <c r="AC59" s="7"/>
      <c r="AD59" s="7"/>
      <c r="AE59" s="7"/>
      <c r="AF59" s="7"/>
      <c r="AG59" s="7"/>
      <c r="AH59" s="7"/>
      <c r="AI59" s="7"/>
      <c r="AJ59" s="7"/>
      <c r="AK59" s="7"/>
      <c r="AL59" s="7"/>
      <c r="AM59" s="7"/>
      <c r="AN59" s="7"/>
    </row>
    <row r="60">
      <c r="A60" s="7"/>
      <c r="B60" s="7"/>
      <c r="C60" s="7"/>
      <c r="D60" s="7"/>
      <c r="E60" s="7"/>
      <c r="F60" s="7"/>
      <c r="G60" s="7"/>
      <c r="H60" s="7"/>
      <c r="I60" s="7"/>
      <c r="J60" s="7"/>
      <c r="K60" s="7"/>
      <c r="L60" s="7"/>
      <c r="M60" s="7"/>
      <c r="N60" s="7"/>
      <c r="O60" s="7"/>
      <c r="P60" s="7"/>
      <c r="Q60" s="7"/>
      <c r="R60" s="7"/>
      <c r="S60" s="7"/>
      <c r="T60" s="7"/>
      <c r="U60" s="54" t="str">
        <f>IFERROR(__xludf.DUMMYFUNCTION("""COMPUTED_VALUE"""),"Jonathan Kuminga")</f>
        <v>Jonathan Kuminga</v>
      </c>
      <c r="V60" s="7"/>
      <c r="W60" s="7" t="b">
        <f>IFERROR(__xludf.DUMMYFUNCTION("""COMPUTED_VALUE"""),TRUE)</f>
        <v>1</v>
      </c>
      <c r="X60" s="7"/>
      <c r="Y60" s="7"/>
      <c r="Z60" s="7"/>
      <c r="AA60" s="7"/>
      <c r="AB60" s="7"/>
      <c r="AC60" s="7"/>
      <c r="AD60" s="7"/>
      <c r="AE60" s="7"/>
      <c r="AF60" s="7"/>
      <c r="AG60" s="7"/>
      <c r="AH60" s="7"/>
      <c r="AI60" s="7"/>
      <c r="AJ60" s="7"/>
      <c r="AK60" s="7"/>
      <c r="AL60" s="7"/>
      <c r="AM60" s="7"/>
      <c r="AN60" s="7"/>
    </row>
    <row r="61">
      <c r="A61" s="7"/>
      <c r="B61" s="7"/>
      <c r="C61" s="7"/>
      <c r="D61" s="7"/>
      <c r="E61" s="7"/>
      <c r="F61" s="7"/>
      <c r="G61" s="7"/>
      <c r="H61" s="7"/>
      <c r="I61" s="7"/>
      <c r="J61" s="7"/>
      <c r="K61" s="7"/>
      <c r="L61" s="7"/>
      <c r="M61" s="7"/>
      <c r="N61" s="7"/>
      <c r="O61" s="7"/>
      <c r="P61" s="7"/>
      <c r="Q61" s="7"/>
      <c r="R61" s="7"/>
      <c r="S61" s="7"/>
      <c r="T61" s="7"/>
      <c r="U61" s="54" t="str">
        <f>IFERROR(__xludf.DUMMYFUNCTION("""COMPUTED_VALUE"""),"Tobias Harris")</f>
        <v>Tobias Harris</v>
      </c>
      <c r="V61" s="7"/>
      <c r="W61" s="7" t="b">
        <f>IFERROR(__xludf.DUMMYFUNCTION("""COMPUTED_VALUE"""),TRUE)</f>
        <v>1</v>
      </c>
      <c r="X61" s="7"/>
      <c r="Y61" s="7"/>
      <c r="Z61" s="7"/>
      <c r="AA61" s="7"/>
      <c r="AB61" s="7"/>
      <c r="AC61" s="7"/>
      <c r="AD61" s="7"/>
      <c r="AE61" s="7"/>
      <c r="AF61" s="7"/>
      <c r="AG61" s="7"/>
      <c r="AH61" s="7"/>
      <c r="AI61" s="7"/>
      <c r="AJ61" s="7"/>
      <c r="AK61" s="7"/>
      <c r="AL61" s="7"/>
      <c r="AM61" s="7"/>
      <c r="AN61" s="7"/>
    </row>
    <row r="62">
      <c r="A62" s="7"/>
      <c r="B62" s="7"/>
      <c r="C62" s="7"/>
      <c r="D62" s="7"/>
      <c r="E62" s="7"/>
      <c r="F62" s="7"/>
      <c r="G62" s="7"/>
      <c r="H62" s="7"/>
      <c r="I62" s="7"/>
      <c r="J62" s="7"/>
      <c r="K62" s="7"/>
      <c r="L62" s="7"/>
      <c r="M62" s="7"/>
      <c r="N62" s="7"/>
      <c r="O62" s="7"/>
      <c r="P62" s="7"/>
      <c r="Q62" s="7"/>
      <c r="R62" s="7"/>
      <c r="S62" s="7"/>
      <c r="T62" s="7"/>
      <c r="U62" s="54" t="str">
        <f>IFERROR(__xludf.DUMMYFUNCTION("""COMPUTED_VALUE"""),"Chris Boucher")</f>
        <v>Chris Boucher</v>
      </c>
      <c r="V62" s="7"/>
      <c r="W62" s="7" t="b">
        <f>IFERROR(__xludf.DUMMYFUNCTION("""COMPUTED_VALUE"""),TRUE)</f>
        <v>1</v>
      </c>
      <c r="X62" s="7"/>
      <c r="Y62" s="7"/>
      <c r="Z62" s="7"/>
      <c r="AA62" s="7"/>
      <c r="AB62" s="7"/>
      <c r="AC62" s="7"/>
      <c r="AD62" s="7"/>
      <c r="AE62" s="7"/>
      <c r="AF62" s="7"/>
      <c r="AG62" s="7"/>
      <c r="AH62" s="7"/>
      <c r="AI62" s="7"/>
      <c r="AJ62" s="7"/>
      <c r="AK62" s="7"/>
      <c r="AL62" s="7"/>
      <c r="AM62" s="7"/>
      <c r="AN62" s="7"/>
    </row>
    <row r="63">
      <c r="A63" s="7"/>
      <c r="B63" s="7"/>
      <c r="C63" s="7"/>
      <c r="D63" s="7"/>
      <c r="E63" s="7"/>
      <c r="F63" s="7"/>
      <c r="G63" s="7"/>
      <c r="H63" s="7"/>
      <c r="I63" s="7"/>
      <c r="J63" s="7"/>
      <c r="K63" s="7"/>
      <c r="L63" s="7"/>
      <c r="M63" s="7"/>
      <c r="N63" s="7"/>
      <c r="O63" s="7"/>
      <c r="P63" s="7"/>
      <c r="Q63" s="7"/>
      <c r="R63" s="7"/>
      <c r="S63" s="7"/>
      <c r="T63" s="7"/>
      <c r="U63" s="7" t="str">
        <f>IFERROR(__xludf.DUMMYFUNCTION("""COMPUTED_VALUE"""),"Cade Cunningham")</f>
        <v>Cade Cunningham</v>
      </c>
      <c r="V63" s="7"/>
      <c r="W63" s="7" t="b">
        <f>IFERROR(__xludf.DUMMYFUNCTION("""COMPUTED_VALUE"""),TRUE)</f>
        <v>1</v>
      </c>
      <c r="X63" s="7"/>
      <c r="Y63" s="7"/>
      <c r="Z63" s="7"/>
      <c r="AA63" s="7"/>
      <c r="AB63" s="7"/>
      <c r="AC63" s="7"/>
      <c r="AD63" s="7"/>
      <c r="AE63" s="7"/>
      <c r="AF63" s="7"/>
      <c r="AG63" s="7"/>
      <c r="AH63" s="7"/>
      <c r="AI63" s="7"/>
      <c r="AJ63" s="7"/>
      <c r="AK63" s="7"/>
      <c r="AL63" s="7"/>
      <c r="AM63" s="7"/>
      <c r="AN63" s="7"/>
    </row>
    <row r="64">
      <c r="A64" s="7"/>
      <c r="B64" s="7"/>
      <c r="C64" s="7"/>
      <c r="D64" s="7"/>
      <c r="E64" s="7"/>
      <c r="F64" s="7"/>
      <c r="G64" s="7"/>
      <c r="H64" s="7"/>
      <c r="I64" s="7"/>
      <c r="J64" s="7"/>
      <c r="K64" s="7"/>
      <c r="L64" s="7"/>
      <c r="M64" s="7"/>
      <c r="N64" s="7"/>
      <c r="O64" s="7"/>
      <c r="P64" s="7"/>
      <c r="Q64" s="7"/>
      <c r="R64" s="7"/>
      <c r="S64" s="7"/>
      <c r="T64" s="7"/>
      <c r="U64" s="7" t="str">
        <f>IFERROR(__xludf.DUMMYFUNCTION("""COMPUTED_VALUE"""),"Donovan Mitchell")</f>
        <v>Donovan Mitchell</v>
      </c>
      <c r="V64" s="7"/>
      <c r="W64" s="7" t="b">
        <f>IFERROR(__xludf.DUMMYFUNCTION("""COMPUTED_VALUE"""),TRUE)</f>
        <v>1</v>
      </c>
      <c r="X64" s="7"/>
      <c r="Y64" s="7"/>
      <c r="Z64" s="7"/>
      <c r="AA64" s="7"/>
      <c r="AB64" s="7"/>
      <c r="AC64" s="7"/>
      <c r="AD64" s="7"/>
      <c r="AE64" s="7"/>
      <c r="AF64" s="7"/>
      <c r="AG64" s="7"/>
      <c r="AH64" s="7"/>
      <c r="AI64" s="7"/>
      <c r="AJ64" s="7"/>
      <c r="AK64" s="7"/>
      <c r="AL64" s="7"/>
      <c r="AM64" s="7"/>
      <c r="AN64" s="7"/>
    </row>
    <row r="65">
      <c r="A65" s="7"/>
      <c r="B65" s="7"/>
      <c r="C65" s="7"/>
      <c r="D65" s="7"/>
      <c r="E65" s="7"/>
      <c r="F65" s="7"/>
      <c r="G65" s="7"/>
      <c r="H65" s="7"/>
      <c r="I65" s="7"/>
      <c r="J65" s="7"/>
      <c r="K65" s="7"/>
      <c r="L65" s="7"/>
      <c r="M65" s="7"/>
      <c r="N65" s="7"/>
      <c r="O65" s="7"/>
      <c r="P65" s="7"/>
      <c r="Q65" s="7"/>
      <c r="R65" s="7"/>
      <c r="S65" s="7"/>
      <c r="T65" s="7"/>
      <c r="U65" s="54" t="str">
        <f>IFERROR(__xludf.DUMMYFUNCTION("""COMPUTED_VALUE"""),"Scottie Barnes")</f>
        <v>Scottie Barnes</v>
      </c>
      <c r="V65" s="7"/>
      <c r="W65" s="7" t="b">
        <f>IFERROR(__xludf.DUMMYFUNCTION("""COMPUTED_VALUE"""),TRUE)</f>
        <v>1</v>
      </c>
      <c r="X65" s="7"/>
      <c r="Y65" s="7"/>
      <c r="Z65" s="7"/>
      <c r="AA65" s="7"/>
      <c r="AB65" s="7"/>
      <c r="AC65" s="7"/>
      <c r="AD65" s="7"/>
      <c r="AE65" s="7"/>
      <c r="AF65" s="7"/>
      <c r="AG65" s="7"/>
      <c r="AH65" s="7"/>
      <c r="AI65" s="7"/>
      <c r="AJ65" s="7"/>
      <c r="AK65" s="7"/>
      <c r="AL65" s="7"/>
      <c r="AM65" s="7"/>
      <c r="AN65" s="7"/>
    </row>
    <row r="66">
      <c r="A66" s="7"/>
      <c r="B66" s="7"/>
      <c r="C66" s="7"/>
      <c r="D66" s="7"/>
      <c r="E66" s="7"/>
      <c r="F66" s="7"/>
      <c r="G66" s="7"/>
      <c r="H66" s="7"/>
      <c r="I66" s="7"/>
      <c r="J66" s="7"/>
      <c r="K66" s="7"/>
      <c r="L66" s="7"/>
      <c r="M66" s="7"/>
      <c r="N66" s="7"/>
      <c r="O66" s="7"/>
      <c r="P66" s="7"/>
      <c r="Q66" s="7"/>
      <c r="R66" s="7"/>
      <c r="S66" s="7"/>
      <c r="T66" s="7"/>
      <c r="U66" s="54" t="str">
        <f>IFERROR(__xludf.DUMMYFUNCTION("""COMPUTED_VALUE"""),"Austin Reaves")</f>
        <v>Austin Reaves</v>
      </c>
      <c r="V66" s="7"/>
      <c r="W66" s="7" t="b">
        <f>IFERROR(__xludf.DUMMYFUNCTION("""COMPUTED_VALUE"""),TRUE)</f>
        <v>1</v>
      </c>
      <c r="X66" s="7"/>
      <c r="Y66" s="7"/>
      <c r="Z66" s="7"/>
      <c r="AA66" s="7"/>
      <c r="AB66" s="7"/>
      <c r="AC66" s="7"/>
      <c r="AD66" s="7"/>
      <c r="AE66" s="7"/>
      <c r="AF66" s="7"/>
      <c r="AG66" s="7"/>
      <c r="AH66" s="7"/>
      <c r="AI66" s="7"/>
      <c r="AJ66" s="7"/>
      <c r="AK66" s="7"/>
      <c r="AL66" s="7"/>
      <c r="AM66" s="7"/>
      <c r="AN66" s="7"/>
    </row>
    <row r="67">
      <c r="A67" s="7"/>
      <c r="B67" s="7"/>
      <c r="C67" s="7"/>
      <c r="D67" s="7"/>
      <c r="E67" s="7"/>
      <c r="F67" s="7"/>
      <c r="G67" s="7"/>
      <c r="H67" s="7"/>
      <c r="I67" s="7"/>
      <c r="J67" s="7"/>
      <c r="K67" s="7"/>
      <c r="L67" s="7"/>
      <c r="M67" s="7"/>
      <c r="N67" s="7"/>
      <c r="O67" s="7"/>
      <c r="P67" s="7"/>
      <c r="Q67" s="7"/>
      <c r="R67" s="7"/>
      <c r="S67" s="7"/>
      <c r="T67" s="7"/>
      <c r="U67" s="54" t="str">
        <f>IFERROR(__xludf.DUMMYFUNCTION("""COMPUTED_VALUE"""),"Walker Kessler")</f>
        <v>Walker Kessler</v>
      </c>
      <c r="V67" s="7"/>
      <c r="W67" s="7" t="b">
        <f>IFERROR(__xludf.DUMMYFUNCTION("""COMPUTED_VALUE"""),TRUE)</f>
        <v>1</v>
      </c>
      <c r="X67" s="7"/>
      <c r="Y67" s="7"/>
      <c r="Z67" s="7"/>
      <c r="AA67" s="7"/>
      <c r="AB67" s="7"/>
      <c r="AC67" s="7"/>
      <c r="AD67" s="7"/>
      <c r="AE67" s="7"/>
      <c r="AF67" s="7"/>
      <c r="AG67" s="7"/>
      <c r="AH67" s="7"/>
      <c r="AI67" s="7"/>
      <c r="AJ67" s="7"/>
      <c r="AK67" s="7"/>
      <c r="AL67" s="7"/>
      <c r="AM67" s="7"/>
      <c r="AN67" s="7"/>
    </row>
    <row r="68">
      <c r="A68" s="7"/>
      <c r="B68" s="7"/>
      <c r="C68" s="7"/>
      <c r="D68" s="7"/>
      <c r="E68" s="7"/>
      <c r="F68" s="7"/>
      <c r="G68" s="7"/>
      <c r="H68" s="7"/>
      <c r="I68" s="7"/>
      <c r="J68" s="7"/>
      <c r="K68" s="7"/>
      <c r="L68" s="7"/>
      <c r="M68" s="7"/>
      <c r="N68" s="7"/>
      <c r="O68" s="7"/>
      <c r="P68" s="7"/>
      <c r="Q68" s="7"/>
      <c r="R68" s="7"/>
      <c r="S68" s="7"/>
      <c r="T68" s="7"/>
      <c r="U68" s="54" t="str">
        <f>IFERROR(__xludf.DUMMYFUNCTION("""COMPUTED_VALUE"""),"Ausar Thompson")</f>
        <v>Ausar Thompson</v>
      </c>
      <c r="V68" s="7"/>
      <c r="W68" s="7" t="b">
        <f>IFERROR(__xludf.DUMMYFUNCTION("""COMPUTED_VALUE"""),TRUE)</f>
        <v>1</v>
      </c>
      <c r="X68" s="7"/>
      <c r="Y68" s="7"/>
      <c r="Z68" s="7"/>
      <c r="AA68" s="7"/>
      <c r="AB68" s="7"/>
      <c r="AC68" s="7"/>
      <c r="AD68" s="7"/>
      <c r="AE68" s="7"/>
      <c r="AF68" s="7"/>
      <c r="AG68" s="7"/>
      <c r="AH68" s="7"/>
      <c r="AI68" s="7"/>
      <c r="AJ68" s="7"/>
      <c r="AK68" s="7"/>
      <c r="AL68" s="7"/>
      <c r="AM68" s="7"/>
      <c r="AN68" s="7"/>
    </row>
    <row r="69">
      <c r="A69" s="7"/>
      <c r="B69" s="7"/>
      <c r="C69" s="7"/>
      <c r="D69" s="7"/>
      <c r="E69" s="7"/>
      <c r="F69" s="7"/>
      <c r="G69" s="7"/>
      <c r="H69" s="7"/>
      <c r="I69" s="7"/>
      <c r="J69" s="7"/>
      <c r="K69" s="7"/>
      <c r="L69" s="7"/>
      <c r="M69" s="7"/>
      <c r="N69" s="7"/>
      <c r="O69" s="7"/>
      <c r="P69" s="7"/>
      <c r="Q69" s="7"/>
      <c r="R69" s="7"/>
      <c r="S69" s="7"/>
      <c r="T69" s="7"/>
      <c r="U69" s="54" t="str">
        <f>IFERROR(__xludf.DUMMYFUNCTION("""COMPUTED_VALUE"""),"Shaedon Sharpe")</f>
        <v>Shaedon Sharpe</v>
      </c>
      <c r="V69" s="7"/>
      <c r="W69" s="7" t="b">
        <f>IFERROR(__xludf.DUMMYFUNCTION("""COMPUTED_VALUE"""),TRUE)</f>
        <v>1</v>
      </c>
      <c r="X69" s="7"/>
      <c r="Y69" s="7"/>
      <c r="Z69" s="7"/>
      <c r="AA69" s="7"/>
      <c r="AB69" s="7"/>
      <c r="AC69" s="7"/>
      <c r="AD69" s="7"/>
      <c r="AE69" s="7"/>
      <c r="AF69" s="7"/>
      <c r="AG69" s="7"/>
      <c r="AH69" s="7"/>
      <c r="AI69" s="7"/>
      <c r="AJ69" s="7"/>
      <c r="AK69" s="7"/>
      <c r="AL69" s="7"/>
      <c r="AM69" s="7"/>
      <c r="AN69" s="7"/>
    </row>
    <row r="70">
      <c r="A70" s="7"/>
      <c r="B70" s="7"/>
      <c r="C70" s="7"/>
      <c r="D70" s="7"/>
      <c r="E70" s="7"/>
      <c r="F70" s="7"/>
      <c r="G70" s="7"/>
      <c r="H70" s="7"/>
      <c r="I70" s="7"/>
      <c r="J70" s="7"/>
      <c r="K70" s="7"/>
      <c r="L70" s="7"/>
      <c r="M70" s="7"/>
      <c r="N70" s="7"/>
      <c r="O70" s="7"/>
      <c r="P70" s="7"/>
      <c r="Q70" s="7"/>
      <c r="R70" s="7"/>
      <c r="S70" s="7"/>
      <c r="T70" s="7"/>
      <c r="U70" s="54" t="str">
        <f>IFERROR(__xludf.DUMMYFUNCTION("""COMPUTED_VALUE"""),"Draymond Green")</f>
        <v>Draymond Green</v>
      </c>
      <c r="V70" s="7"/>
      <c r="W70" s="7" t="b">
        <f>IFERROR(__xludf.DUMMYFUNCTION("""COMPUTED_VALUE"""),TRUE)</f>
        <v>1</v>
      </c>
      <c r="X70" s="7"/>
      <c r="Y70" s="7"/>
      <c r="Z70" s="7"/>
      <c r="AA70" s="7"/>
      <c r="AB70" s="7"/>
      <c r="AC70" s="7"/>
      <c r="AD70" s="7"/>
      <c r="AE70" s="7"/>
      <c r="AF70" s="7"/>
      <c r="AG70" s="7"/>
      <c r="AH70" s="7"/>
      <c r="AI70" s="7"/>
      <c r="AJ70" s="7"/>
      <c r="AK70" s="7"/>
      <c r="AL70" s="7"/>
      <c r="AM70" s="7"/>
      <c r="AN70" s="7"/>
    </row>
    <row r="71">
      <c r="A71" s="7"/>
      <c r="B71" s="7"/>
      <c r="C71" s="7"/>
      <c r="D71" s="7"/>
      <c r="E71" s="7"/>
      <c r="F71" s="7"/>
      <c r="G71" s="7"/>
      <c r="H71" s="7"/>
      <c r="I71" s="7"/>
      <c r="J71" s="7"/>
      <c r="K71" s="7"/>
      <c r="L71" s="7"/>
      <c r="M71" s="7"/>
      <c r="N71" s="7"/>
      <c r="O71" s="7"/>
      <c r="P71" s="7"/>
      <c r="Q71" s="7"/>
      <c r="R71" s="7"/>
      <c r="S71" s="7"/>
      <c r="T71" s="7"/>
      <c r="U71" s="54" t="str">
        <f>IFERROR(__xludf.DUMMYFUNCTION("""COMPUTED_VALUE"""),"Kevin Porter Jr.")</f>
        <v>Kevin Porter Jr.</v>
      </c>
      <c r="V71" s="7"/>
      <c r="W71" s="7" t="b">
        <f>IFERROR(__xludf.DUMMYFUNCTION("""COMPUTED_VALUE"""),TRUE)</f>
        <v>1</v>
      </c>
      <c r="X71" s="7"/>
      <c r="Y71" s="7"/>
      <c r="Z71" s="7"/>
      <c r="AA71" s="7"/>
      <c r="AB71" s="7"/>
      <c r="AC71" s="7"/>
      <c r="AD71" s="7"/>
      <c r="AE71" s="7"/>
      <c r="AF71" s="7"/>
      <c r="AG71" s="7"/>
      <c r="AH71" s="7"/>
      <c r="AI71" s="7"/>
      <c r="AJ71" s="7"/>
      <c r="AK71" s="7"/>
      <c r="AL71" s="7"/>
      <c r="AM71" s="7"/>
      <c r="AN71" s="7"/>
    </row>
    <row r="72">
      <c r="A72" s="7"/>
      <c r="B72" s="7"/>
      <c r="C72" s="7"/>
      <c r="D72" s="7"/>
      <c r="E72" s="7"/>
      <c r="F72" s="7"/>
      <c r="G72" s="7"/>
      <c r="H72" s="7"/>
      <c r="I72" s="7"/>
      <c r="J72" s="7"/>
      <c r="K72" s="7"/>
      <c r="L72" s="7"/>
      <c r="M72" s="7"/>
      <c r="N72" s="7"/>
      <c r="O72" s="7"/>
      <c r="P72" s="7"/>
      <c r="Q72" s="7"/>
      <c r="R72" s="7"/>
      <c r="S72" s="7"/>
      <c r="T72" s="7"/>
      <c r="U72" s="54" t="str">
        <f>IFERROR(__xludf.DUMMYFUNCTION("""COMPUTED_VALUE"""),"Donte DiVincenzo")</f>
        <v>Donte DiVincenzo</v>
      </c>
      <c r="V72" s="7"/>
      <c r="W72" s="7" t="b">
        <f>IFERROR(__xludf.DUMMYFUNCTION("""COMPUTED_VALUE"""),TRUE)</f>
        <v>1</v>
      </c>
      <c r="X72" s="7"/>
      <c r="Y72" s="7"/>
      <c r="Z72" s="7"/>
      <c r="AA72" s="7"/>
      <c r="AB72" s="7"/>
      <c r="AC72" s="7"/>
      <c r="AD72" s="7"/>
      <c r="AE72" s="7"/>
      <c r="AF72" s="7"/>
      <c r="AG72" s="7"/>
      <c r="AH72" s="7"/>
      <c r="AI72" s="7"/>
      <c r="AJ72" s="7"/>
      <c r="AK72" s="7"/>
      <c r="AL72" s="7"/>
      <c r="AM72" s="7"/>
      <c r="AN72" s="7"/>
    </row>
    <row r="73">
      <c r="A73" s="7"/>
      <c r="B73" s="7"/>
      <c r="C73" s="7"/>
      <c r="D73" s="7"/>
      <c r="E73" s="7"/>
      <c r="F73" s="7"/>
      <c r="G73" s="7"/>
      <c r="H73" s="7"/>
      <c r="I73" s="7"/>
      <c r="J73" s="7"/>
      <c r="K73" s="7"/>
      <c r="L73" s="7"/>
      <c r="M73" s="7"/>
      <c r="N73" s="7"/>
      <c r="O73" s="7"/>
      <c r="P73" s="7"/>
      <c r="Q73" s="7"/>
      <c r="R73" s="7"/>
      <c r="S73" s="7"/>
      <c r="T73" s="7"/>
      <c r="U73" s="54" t="str">
        <f>IFERROR(__xludf.DUMMYFUNCTION("""COMPUTED_VALUE"""),"Jaden Ivey")</f>
        <v>Jaden Ivey</v>
      </c>
      <c r="V73" s="7"/>
      <c r="W73" s="7" t="b">
        <f>IFERROR(__xludf.DUMMYFUNCTION("""COMPUTED_VALUE"""),TRUE)</f>
        <v>1</v>
      </c>
      <c r="X73" s="7"/>
      <c r="Y73" s="7"/>
      <c r="Z73" s="7"/>
      <c r="AA73" s="7"/>
      <c r="AB73" s="7"/>
      <c r="AC73" s="7"/>
      <c r="AD73" s="7"/>
      <c r="AE73" s="7"/>
      <c r="AF73" s="7"/>
      <c r="AG73" s="7"/>
      <c r="AH73" s="7"/>
      <c r="AI73" s="7"/>
      <c r="AJ73" s="7"/>
      <c r="AK73" s="7"/>
      <c r="AL73" s="7"/>
      <c r="AM73" s="7"/>
      <c r="AN73" s="7"/>
    </row>
    <row r="74">
      <c r="A74" s="7"/>
      <c r="B74" s="7"/>
      <c r="C74" s="7"/>
      <c r="D74" s="7"/>
      <c r="E74" s="7"/>
      <c r="F74" s="7"/>
      <c r="G74" s="7"/>
      <c r="H74" s="7"/>
      <c r="I74" s="7"/>
      <c r="J74" s="7"/>
      <c r="K74" s="7"/>
      <c r="L74" s="7"/>
      <c r="M74" s="7"/>
      <c r="N74" s="7"/>
      <c r="O74" s="7"/>
      <c r="P74" s="7"/>
      <c r="Q74" s="7"/>
      <c r="R74" s="7"/>
      <c r="S74" s="7"/>
      <c r="T74" s="7"/>
      <c r="U74" s="54" t="str">
        <f>IFERROR(__xludf.DUMMYFUNCTION("""COMPUTED_VALUE"""),"Santi Aldama")</f>
        <v>Santi Aldama</v>
      </c>
      <c r="V74" s="7"/>
      <c r="W74" s="7" t="b">
        <f>IFERROR(__xludf.DUMMYFUNCTION("""COMPUTED_VALUE"""),TRUE)</f>
        <v>1</v>
      </c>
      <c r="X74" s="7"/>
      <c r="Y74" s="7"/>
      <c r="Z74" s="7"/>
      <c r="AA74" s="7"/>
      <c r="AB74" s="7"/>
      <c r="AC74" s="7"/>
      <c r="AD74" s="7"/>
      <c r="AE74" s="7"/>
      <c r="AF74" s="7"/>
      <c r="AG74" s="7"/>
      <c r="AH74" s="7"/>
      <c r="AI74" s="7"/>
      <c r="AJ74" s="7"/>
      <c r="AK74" s="7"/>
      <c r="AL74" s="7"/>
      <c r="AM74" s="7"/>
      <c r="AN74" s="7"/>
    </row>
    <row r="75">
      <c r="A75" s="7"/>
      <c r="B75" s="7"/>
      <c r="C75" s="7"/>
      <c r="D75" s="7"/>
      <c r="E75" s="7"/>
      <c r="F75" s="7"/>
      <c r="G75" s="7"/>
      <c r="H75" s="7"/>
      <c r="I75" s="7"/>
      <c r="J75" s="7"/>
      <c r="K75" s="7"/>
      <c r="L75" s="7"/>
      <c r="M75" s="7"/>
      <c r="N75" s="7"/>
      <c r="O75" s="7"/>
      <c r="P75" s="7"/>
      <c r="Q75" s="7"/>
      <c r="R75" s="7"/>
      <c r="S75" s="7"/>
      <c r="T75" s="7"/>
      <c r="U75" s="7" t="str">
        <f>IFERROR(__xludf.DUMMYFUNCTION("""COMPUTED_VALUE"""),"Anthony Edwards")</f>
        <v>Anthony Edwards</v>
      </c>
      <c r="V75" s="7"/>
      <c r="W75" s="7" t="b">
        <f>IFERROR(__xludf.DUMMYFUNCTION("""COMPUTED_VALUE"""),TRUE)</f>
        <v>1</v>
      </c>
      <c r="X75" s="7"/>
      <c r="Y75" s="7"/>
      <c r="Z75" s="7"/>
      <c r="AA75" s="7"/>
      <c r="AB75" s="7"/>
      <c r="AC75" s="7"/>
      <c r="AD75" s="7"/>
      <c r="AE75" s="7"/>
      <c r="AF75" s="7"/>
      <c r="AG75" s="7"/>
      <c r="AH75" s="7"/>
      <c r="AI75" s="7"/>
      <c r="AJ75" s="7"/>
      <c r="AK75" s="7"/>
      <c r="AL75" s="7"/>
      <c r="AM75" s="7"/>
      <c r="AN75" s="7"/>
    </row>
    <row r="76">
      <c r="A76" s="7"/>
      <c r="B76" s="7"/>
      <c r="C76" s="7"/>
      <c r="D76" s="7"/>
      <c r="E76" s="7"/>
      <c r="F76" s="7"/>
      <c r="G76" s="7"/>
      <c r="H76" s="7"/>
      <c r="I76" s="7"/>
      <c r="J76" s="7"/>
      <c r="K76" s="7"/>
      <c r="L76" s="7"/>
      <c r="M76" s="7"/>
      <c r="N76" s="7"/>
      <c r="O76" s="7"/>
      <c r="P76" s="7"/>
      <c r="Q76" s="7"/>
      <c r="R76" s="7"/>
      <c r="S76" s="7"/>
      <c r="T76" s="7"/>
      <c r="U76" s="7" t="str">
        <f>IFERROR(__xludf.DUMMYFUNCTION("""COMPUTED_VALUE"""),"Tyrese Maxey")</f>
        <v>Tyrese Maxey</v>
      </c>
      <c r="V76" s="7"/>
      <c r="W76" s="7" t="b">
        <f>IFERROR(__xludf.DUMMYFUNCTION("""COMPUTED_VALUE"""),TRUE)</f>
        <v>1</v>
      </c>
      <c r="X76" s="7"/>
      <c r="Y76" s="7"/>
      <c r="Z76" s="7"/>
      <c r="AA76" s="7"/>
      <c r="AB76" s="7"/>
      <c r="AC76" s="7"/>
      <c r="AD76" s="7"/>
      <c r="AE76" s="7"/>
      <c r="AF76" s="7"/>
      <c r="AG76" s="7"/>
      <c r="AH76" s="7"/>
      <c r="AI76" s="7"/>
      <c r="AJ76" s="7"/>
      <c r="AK76" s="7"/>
      <c r="AL76" s="7"/>
      <c r="AM76" s="7"/>
      <c r="AN76" s="7"/>
    </row>
    <row r="77">
      <c r="A77" s="7"/>
      <c r="B77" s="7"/>
      <c r="C77" s="7"/>
      <c r="D77" s="7"/>
      <c r="E77" s="7"/>
      <c r="F77" s="7"/>
      <c r="G77" s="7"/>
      <c r="H77" s="7"/>
      <c r="I77" s="7"/>
      <c r="J77" s="7"/>
      <c r="K77" s="7"/>
      <c r="L77" s="7"/>
      <c r="M77" s="7"/>
      <c r="N77" s="7"/>
      <c r="O77" s="7"/>
      <c r="P77" s="7"/>
      <c r="Q77" s="7"/>
      <c r="R77" s="7"/>
      <c r="S77" s="7"/>
      <c r="T77" s="7"/>
      <c r="U77" s="54" t="str">
        <f>IFERROR(__xludf.DUMMYFUNCTION("""COMPUTED_VALUE"""),"Jaren Jackson Jr.")</f>
        <v>Jaren Jackson Jr.</v>
      </c>
      <c r="V77" s="7"/>
      <c r="W77" s="7" t="b">
        <f>IFERROR(__xludf.DUMMYFUNCTION("""COMPUTED_VALUE"""),TRUE)</f>
        <v>1</v>
      </c>
      <c r="X77" s="7"/>
      <c r="Y77" s="7"/>
      <c r="Z77" s="7"/>
      <c r="AA77" s="7"/>
      <c r="AB77" s="7"/>
      <c r="AC77" s="7"/>
      <c r="AD77" s="7"/>
      <c r="AE77" s="7"/>
      <c r="AF77" s="7"/>
      <c r="AG77" s="7"/>
      <c r="AH77" s="7"/>
      <c r="AI77" s="7"/>
      <c r="AJ77" s="7"/>
      <c r="AK77" s="7"/>
      <c r="AL77" s="7"/>
      <c r="AM77" s="7"/>
      <c r="AN77" s="7"/>
    </row>
    <row r="78">
      <c r="A78" s="7"/>
      <c r="B78" s="7"/>
      <c r="C78" s="7"/>
      <c r="D78" s="7"/>
      <c r="E78" s="7"/>
      <c r="F78" s="7"/>
      <c r="G78" s="7"/>
      <c r="H78" s="7"/>
      <c r="I78" s="7"/>
      <c r="J78" s="7"/>
      <c r="K78" s="7"/>
      <c r="L78" s="7"/>
      <c r="M78" s="7"/>
      <c r="N78" s="7"/>
      <c r="O78" s="7"/>
      <c r="P78" s="7"/>
      <c r="Q78" s="7"/>
      <c r="R78" s="7"/>
      <c r="S78" s="7"/>
      <c r="T78" s="7"/>
      <c r="U78" s="54" t="str">
        <f>IFERROR(__xludf.DUMMYFUNCTION("""COMPUTED_VALUE"""),"Myles Turner")</f>
        <v>Myles Turner</v>
      </c>
      <c r="V78" s="7"/>
      <c r="W78" s="7" t="b">
        <f>IFERROR(__xludf.DUMMYFUNCTION("""COMPUTED_VALUE"""),TRUE)</f>
        <v>1</v>
      </c>
      <c r="X78" s="7"/>
      <c r="Y78" s="7"/>
      <c r="Z78" s="7"/>
      <c r="AA78" s="7"/>
      <c r="AB78" s="7"/>
      <c r="AC78" s="7"/>
      <c r="AD78" s="7"/>
      <c r="AE78" s="7"/>
      <c r="AF78" s="7"/>
      <c r="AG78" s="7"/>
      <c r="AH78" s="7"/>
      <c r="AI78" s="7"/>
      <c r="AJ78" s="7"/>
      <c r="AK78" s="7"/>
      <c r="AL78" s="7"/>
      <c r="AM78" s="7"/>
      <c r="AN78" s="7"/>
    </row>
    <row r="79">
      <c r="A79" s="7"/>
      <c r="B79" s="7"/>
      <c r="C79" s="7"/>
      <c r="D79" s="7"/>
      <c r="E79" s="7"/>
      <c r="F79" s="7"/>
      <c r="G79" s="7"/>
      <c r="H79" s="7"/>
      <c r="I79" s="7"/>
      <c r="J79" s="7"/>
      <c r="K79" s="7"/>
      <c r="L79" s="7"/>
      <c r="M79" s="7"/>
      <c r="N79" s="7"/>
      <c r="O79" s="7"/>
      <c r="P79" s="7"/>
      <c r="Q79" s="7"/>
      <c r="R79" s="7"/>
      <c r="S79" s="7"/>
      <c r="T79" s="7"/>
      <c r="U79" s="54" t="str">
        <f>IFERROR(__xludf.DUMMYFUNCTION("""COMPUTED_VALUE"""),"Coby White")</f>
        <v>Coby White</v>
      </c>
      <c r="V79" s="7"/>
      <c r="W79" s="7" t="b">
        <f>IFERROR(__xludf.DUMMYFUNCTION("""COMPUTED_VALUE"""),TRUE)</f>
        <v>1</v>
      </c>
      <c r="X79" s="7"/>
      <c r="Y79" s="7"/>
      <c r="Z79" s="7"/>
      <c r="AA79" s="7"/>
      <c r="AB79" s="7"/>
      <c r="AC79" s="7"/>
      <c r="AD79" s="7"/>
      <c r="AE79" s="7"/>
      <c r="AF79" s="7"/>
      <c r="AG79" s="7"/>
      <c r="AH79" s="7"/>
      <c r="AI79" s="7"/>
      <c r="AJ79" s="7"/>
      <c r="AK79" s="7"/>
      <c r="AL79" s="7"/>
      <c r="AM79" s="7"/>
      <c r="AN79" s="7"/>
    </row>
    <row r="80">
      <c r="A80" s="7"/>
      <c r="B80" s="7"/>
      <c r="C80" s="7"/>
      <c r="D80" s="7"/>
      <c r="E80" s="7"/>
      <c r="F80" s="7"/>
      <c r="G80" s="7"/>
      <c r="H80" s="7"/>
      <c r="I80" s="7"/>
      <c r="J80" s="7"/>
      <c r="K80" s="7"/>
      <c r="L80" s="7"/>
      <c r="M80" s="7"/>
      <c r="N80" s="7"/>
      <c r="O80" s="7"/>
      <c r="P80" s="7"/>
      <c r="Q80" s="7"/>
      <c r="R80" s="7"/>
      <c r="S80" s="7"/>
      <c r="T80" s="7"/>
      <c r="U80" s="54" t="str">
        <f>IFERROR(__xludf.DUMMYFUNCTION("""COMPUTED_VALUE"""),"Jakob Poeltl")</f>
        <v>Jakob Poeltl</v>
      </c>
      <c r="V80" s="7"/>
      <c r="W80" s="7" t="b">
        <f>IFERROR(__xludf.DUMMYFUNCTION("""COMPUTED_VALUE"""),TRUE)</f>
        <v>1</v>
      </c>
      <c r="X80" s="7"/>
      <c r="Y80" s="7"/>
      <c r="Z80" s="7"/>
      <c r="AA80" s="7"/>
      <c r="AB80" s="7"/>
      <c r="AC80" s="7"/>
      <c r="AD80" s="7"/>
      <c r="AE80" s="7"/>
      <c r="AF80" s="7"/>
      <c r="AG80" s="7"/>
      <c r="AH80" s="7"/>
      <c r="AI80" s="7"/>
      <c r="AJ80" s="7"/>
      <c r="AK80" s="7"/>
      <c r="AL80" s="7"/>
      <c r="AM80" s="7"/>
      <c r="AN80" s="7"/>
    </row>
    <row r="81">
      <c r="A81" s="7"/>
      <c r="B81" s="7"/>
      <c r="C81" s="7"/>
      <c r="D81" s="7"/>
      <c r="E81" s="7"/>
      <c r="F81" s="7"/>
      <c r="G81" s="7"/>
      <c r="H81" s="7"/>
      <c r="I81" s="7"/>
      <c r="J81" s="7"/>
      <c r="K81" s="7"/>
      <c r="L81" s="7"/>
      <c r="M81" s="7"/>
      <c r="N81" s="7"/>
      <c r="O81" s="7"/>
      <c r="P81" s="7"/>
      <c r="Q81" s="7"/>
      <c r="R81" s="7"/>
      <c r="S81" s="7"/>
      <c r="T81" s="7"/>
      <c r="U81" s="54" t="str">
        <f>IFERROR(__xludf.DUMMYFUNCTION("""COMPUTED_VALUE"""),"Tari Eason")</f>
        <v>Tari Eason</v>
      </c>
      <c r="V81" s="7"/>
      <c r="W81" s="7" t="b">
        <f>IFERROR(__xludf.DUMMYFUNCTION("""COMPUTED_VALUE"""),TRUE)</f>
        <v>1</v>
      </c>
      <c r="X81" s="7"/>
      <c r="Y81" s="7"/>
      <c r="Z81" s="7"/>
      <c r="AA81" s="7"/>
      <c r="AB81" s="7"/>
      <c r="AC81" s="7"/>
      <c r="AD81" s="7"/>
      <c r="AE81" s="7"/>
      <c r="AF81" s="7"/>
      <c r="AG81" s="7"/>
      <c r="AH81" s="7"/>
      <c r="AI81" s="7"/>
      <c r="AJ81" s="7"/>
      <c r="AK81" s="7"/>
      <c r="AL81" s="7"/>
      <c r="AM81" s="7"/>
      <c r="AN81" s="7"/>
    </row>
    <row r="82">
      <c r="A82" s="7"/>
      <c r="B82" s="7"/>
      <c r="C82" s="7"/>
      <c r="D82" s="7"/>
      <c r="E82" s="7"/>
      <c r="F82" s="7"/>
      <c r="G82" s="7"/>
      <c r="H82" s="7"/>
      <c r="I82" s="7"/>
      <c r="J82" s="7"/>
      <c r="K82" s="7"/>
      <c r="L82" s="7"/>
      <c r="M82" s="7"/>
      <c r="N82" s="7"/>
      <c r="O82" s="7"/>
      <c r="P82" s="7"/>
      <c r="Q82" s="7"/>
      <c r="R82" s="7"/>
      <c r="S82" s="7"/>
      <c r="T82" s="7"/>
      <c r="U82" s="54" t="str">
        <f>IFERROR(__xludf.DUMMYFUNCTION("""COMPUTED_VALUE"""),"Cam Thomas")</f>
        <v>Cam Thomas</v>
      </c>
      <c r="V82" s="7"/>
      <c r="W82" s="7" t="b">
        <f>IFERROR(__xludf.DUMMYFUNCTION("""COMPUTED_VALUE"""),TRUE)</f>
        <v>1</v>
      </c>
      <c r="X82" s="7"/>
      <c r="Y82" s="7"/>
      <c r="Z82" s="7"/>
      <c r="AA82" s="7"/>
      <c r="AB82" s="7"/>
      <c r="AC82" s="7"/>
      <c r="AD82" s="7"/>
      <c r="AE82" s="7"/>
      <c r="AF82" s="7"/>
      <c r="AG82" s="7"/>
      <c r="AH82" s="7"/>
      <c r="AI82" s="7"/>
      <c r="AJ82" s="7"/>
      <c r="AK82" s="7"/>
      <c r="AL82" s="7"/>
      <c r="AM82" s="7"/>
      <c r="AN82" s="7"/>
    </row>
    <row r="83">
      <c r="A83" s="7"/>
      <c r="B83" s="7"/>
      <c r="C83" s="7"/>
      <c r="D83" s="7"/>
      <c r="E83" s="7"/>
      <c r="F83" s="7"/>
      <c r="G83" s="7"/>
      <c r="H83" s="7"/>
      <c r="I83" s="7"/>
      <c r="J83" s="7"/>
      <c r="K83" s="7"/>
      <c r="L83" s="7"/>
      <c r="M83" s="7"/>
      <c r="N83" s="7"/>
      <c r="O83" s="7"/>
      <c r="P83" s="7"/>
      <c r="Q83" s="7"/>
      <c r="R83" s="7"/>
      <c r="S83" s="7"/>
      <c r="T83" s="7"/>
      <c r="U83" s="54" t="str">
        <f>IFERROR(__xludf.DUMMYFUNCTION("""COMPUTED_VALUE"""),"Brandin Podziemski")</f>
        <v>Brandin Podziemski</v>
      </c>
      <c r="V83" s="7"/>
      <c r="W83" s="7" t="b">
        <f>IFERROR(__xludf.DUMMYFUNCTION("""COMPUTED_VALUE"""),TRUE)</f>
        <v>1</v>
      </c>
      <c r="X83" s="7"/>
      <c r="Y83" s="7"/>
      <c r="Z83" s="7"/>
      <c r="AA83" s="7"/>
      <c r="AB83" s="7"/>
      <c r="AC83" s="7"/>
      <c r="AD83" s="7"/>
      <c r="AE83" s="7"/>
      <c r="AF83" s="7"/>
      <c r="AG83" s="7"/>
      <c r="AH83" s="7"/>
      <c r="AI83" s="7"/>
      <c r="AJ83" s="7"/>
      <c r="AK83" s="7"/>
      <c r="AL83" s="7"/>
      <c r="AM83" s="7"/>
      <c r="AN83" s="7"/>
    </row>
    <row r="84">
      <c r="A84" s="7"/>
      <c r="B84" s="7"/>
      <c r="C84" s="7"/>
      <c r="D84" s="7"/>
      <c r="E84" s="7"/>
      <c r="F84" s="7"/>
      <c r="G84" s="7"/>
      <c r="H84" s="7"/>
      <c r="I84" s="7"/>
      <c r="J84" s="7"/>
      <c r="K84" s="7"/>
      <c r="L84" s="7"/>
      <c r="M84" s="7"/>
      <c r="N84" s="7"/>
      <c r="O84" s="7"/>
      <c r="P84" s="7"/>
      <c r="Q84" s="7"/>
      <c r="R84" s="7"/>
      <c r="S84" s="7"/>
      <c r="T84" s="7"/>
      <c r="U84" s="54" t="str">
        <f>IFERROR(__xludf.DUMMYFUNCTION("""COMPUTED_VALUE"""),"Bennedict Mathurin")</f>
        <v>Bennedict Mathurin</v>
      </c>
      <c r="V84" s="7"/>
      <c r="W84" s="7" t="b">
        <f>IFERROR(__xludf.DUMMYFUNCTION("""COMPUTED_VALUE"""),TRUE)</f>
        <v>1</v>
      </c>
      <c r="X84" s="7"/>
      <c r="Y84" s="7"/>
      <c r="Z84" s="7"/>
      <c r="AA84" s="7"/>
      <c r="AB84" s="7"/>
      <c r="AC84" s="7"/>
      <c r="AD84" s="7"/>
      <c r="AE84" s="7"/>
      <c r="AF84" s="7"/>
      <c r="AG84" s="7"/>
      <c r="AH84" s="7"/>
      <c r="AI84" s="7"/>
      <c r="AJ84" s="7"/>
      <c r="AK84" s="7"/>
      <c r="AL84" s="7"/>
      <c r="AM84" s="7"/>
      <c r="AN84" s="7"/>
    </row>
    <row r="85">
      <c r="A85" s="7"/>
      <c r="B85" s="7"/>
      <c r="C85" s="7"/>
      <c r="D85" s="7"/>
      <c r="E85" s="7"/>
      <c r="F85" s="7"/>
      <c r="G85" s="7"/>
      <c r="H85" s="7"/>
      <c r="I85" s="7"/>
      <c r="J85" s="7"/>
      <c r="K85" s="7"/>
      <c r="L85" s="7"/>
      <c r="M85" s="7"/>
      <c r="N85" s="7"/>
      <c r="O85" s="7"/>
      <c r="P85" s="7"/>
      <c r="Q85" s="7"/>
      <c r="R85" s="7"/>
      <c r="S85" s="7"/>
      <c r="T85" s="7"/>
      <c r="U85" s="54" t="str">
        <f>IFERROR(__xludf.DUMMYFUNCTION("""COMPUTED_VALUE"""),"Aaron Nesmith")</f>
        <v>Aaron Nesmith</v>
      </c>
      <c r="V85" s="7"/>
      <c r="W85" s="7" t="b">
        <f>IFERROR(__xludf.DUMMYFUNCTION("""COMPUTED_VALUE"""),TRUE)</f>
        <v>1</v>
      </c>
      <c r="X85" s="7"/>
      <c r="Y85" s="7"/>
      <c r="Z85" s="7"/>
      <c r="AA85" s="7"/>
      <c r="AB85" s="7"/>
      <c r="AC85" s="7"/>
      <c r="AD85" s="7"/>
      <c r="AE85" s="7"/>
      <c r="AF85" s="7"/>
      <c r="AG85" s="7"/>
      <c r="AH85" s="7"/>
      <c r="AI85" s="7"/>
      <c r="AJ85" s="7"/>
      <c r="AK85" s="7"/>
      <c r="AL85" s="7"/>
      <c r="AM85" s="7"/>
      <c r="AN85" s="7"/>
    </row>
    <row r="86">
      <c r="A86" s="7"/>
      <c r="B86" s="7"/>
      <c r="C86" s="7"/>
      <c r="D86" s="7"/>
      <c r="E86" s="7"/>
      <c r="F86" s="7"/>
      <c r="G86" s="7"/>
      <c r="H86" s="7"/>
      <c r="I86" s="7"/>
      <c r="J86" s="7"/>
      <c r="K86" s="7"/>
      <c r="L86" s="7"/>
      <c r="M86" s="7"/>
      <c r="N86" s="7"/>
      <c r="O86" s="7"/>
      <c r="P86" s="7"/>
      <c r="Q86" s="7"/>
      <c r="R86" s="7"/>
      <c r="S86" s="7"/>
      <c r="T86" s="7"/>
      <c r="U86" s="54" t="str">
        <f>IFERROR(__xludf.DUMMYFUNCTION("""COMPUTED_VALUE"""),"Cam Whitmore")</f>
        <v>Cam Whitmore</v>
      </c>
      <c r="V86" s="7"/>
      <c r="W86" s="7" t="b">
        <f>IFERROR(__xludf.DUMMYFUNCTION("""COMPUTED_VALUE"""),TRUE)</f>
        <v>1</v>
      </c>
      <c r="X86" s="7"/>
      <c r="Y86" s="7"/>
      <c r="Z86" s="7"/>
      <c r="AA86" s="7"/>
      <c r="AB86" s="7"/>
      <c r="AC86" s="7"/>
      <c r="AD86" s="7"/>
      <c r="AE86" s="7"/>
      <c r="AF86" s="7"/>
      <c r="AG86" s="7"/>
      <c r="AH86" s="7"/>
      <c r="AI86" s="7"/>
      <c r="AJ86" s="7"/>
      <c r="AK86" s="7"/>
      <c r="AL86" s="7"/>
      <c r="AM86" s="7"/>
      <c r="AN86" s="7"/>
    </row>
    <row r="87">
      <c r="A87" s="7"/>
      <c r="B87" s="7"/>
      <c r="C87" s="7"/>
      <c r="D87" s="7"/>
      <c r="E87" s="7"/>
      <c r="F87" s="7"/>
      <c r="G87" s="7"/>
      <c r="H87" s="7"/>
      <c r="I87" s="7"/>
      <c r="J87" s="7"/>
      <c r="K87" s="7"/>
      <c r="L87" s="7"/>
      <c r="M87" s="7"/>
      <c r="N87" s="7"/>
      <c r="O87" s="7"/>
      <c r="P87" s="7"/>
      <c r="Q87" s="7"/>
      <c r="R87" s="7"/>
      <c r="S87" s="7"/>
      <c r="T87" s="7"/>
      <c r="U87" s="7" t="str">
        <f>IFERROR(__xludf.DUMMYFUNCTION("""COMPUTED_VALUE"""),"Karl-Anthony Towns")</f>
        <v>Karl-Anthony Towns</v>
      </c>
      <c r="V87" s="7"/>
      <c r="W87" s="7" t="b">
        <f>IFERROR(__xludf.DUMMYFUNCTION("""COMPUTED_VALUE"""),TRUE)</f>
        <v>1</v>
      </c>
      <c r="X87" s="7"/>
      <c r="Y87" s="7"/>
      <c r="Z87" s="7"/>
      <c r="AA87" s="7"/>
      <c r="AB87" s="7"/>
      <c r="AC87" s="7"/>
      <c r="AD87" s="7"/>
      <c r="AE87" s="7"/>
      <c r="AF87" s="7"/>
      <c r="AG87" s="7"/>
      <c r="AH87" s="7"/>
      <c r="AI87" s="7"/>
      <c r="AJ87" s="7"/>
      <c r="AK87" s="7"/>
      <c r="AL87" s="7"/>
      <c r="AM87" s="7"/>
      <c r="AN87" s="7"/>
    </row>
    <row r="88">
      <c r="A88" s="7"/>
      <c r="B88" s="7"/>
      <c r="C88" s="7"/>
      <c r="D88" s="7"/>
      <c r="E88" s="7"/>
      <c r="F88" s="7"/>
      <c r="G88" s="7"/>
      <c r="H88" s="7"/>
      <c r="I88" s="7"/>
      <c r="J88" s="7"/>
      <c r="K88" s="7"/>
      <c r="L88" s="7"/>
      <c r="M88" s="7"/>
      <c r="N88" s="7"/>
      <c r="O88" s="7"/>
      <c r="P88" s="7"/>
      <c r="Q88" s="7"/>
      <c r="R88" s="7"/>
      <c r="S88" s="7"/>
      <c r="T88" s="7"/>
      <c r="U88" s="7" t="str">
        <f>IFERROR(__xludf.DUMMYFUNCTION("""COMPUTED_VALUE"""),"Jalen Johnson")</f>
        <v>Jalen Johnson</v>
      </c>
      <c r="V88" s="7"/>
      <c r="W88" s="7" t="b">
        <f>IFERROR(__xludf.DUMMYFUNCTION("""COMPUTED_VALUE"""),TRUE)</f>
        <v>1</v>
      </c>
      <c r="X88" s="7"/>
      <c r="Y88" s="7"/>
      <c r="Z88" s="7"/>
      <c r="AA88" s="7"/>
      <c r="AB88" s="7"/>
      <c r="AC88" s="7"/>
      <c r="AD88" s="7"/>
      <c r="AE88" s="7"/>
      <c r="AF88" s="7"/>
      <c r="AG88" s="7"/>
      <c r="AH88" s="7"/>
      <c r="AI88" s="7"/>
      <c r="AJ88" s="7"/>
      <c r="AK88" s="7"/>
      <c r="AL88" s="7"/>
      <c r="AM88" s="7"/>
      <c r="AN88" s="7"/>
    </row>
    <row r="89">
      <c r="A89" s="7"/>
      <c r="B89" s="7"/>
      <c r="C89" s="7"/>
      <c r="D89" s="7"/>
      <c r="E89" s="7"/>
      <c r="F89" s="7"/>
      <c r="G89" s="7"/>
      <c r="H89" s="7"/>
      <c r="I89" s="7"/>
      <c r="J89" s="7"/>
      <c r="K89" s="7"/>
      <c r="L89" s="7"/>
      <c r="M89" s="7"/>
      <c r="N89" s="7"/>
      <c r="O89" s="7"/>
      <c r="P89" s="7"/>
      <c r="Q89" s="7"/>
      <c r="R89" s="7"/>
      <c r="S89" s="7"/>
      <c r="T89" s="7"/>
      <c r="U89" s="54" t="str">
        <f>IFERROR(__xludf.DUMMYFUNCTION("""COMPUTED_VALUE"""),"Franz Wagner")</f>
        <v>Franz Wagner</v>
      </c>
      <c r="V89" s="7"/>
      <c r="W89" s="7" t="b">
        <f>IFERROR(__xludf.DUMMYFUNCTION("""COMPUTED_VALUE"""),TRUE)</f>
        <v>1</v>
      </c>
      <c r="X89" s="7"/>
      <c r="Y89" s="7"/>
      <c r="Z89" s="7"/>
      <c r="AA89" s="7"/>
      <c r="AB89" s="7"/>
      <c r="AC89" s="7"/>
      <c r="AD89" s="7"/>
      <c r="AE89" s="7"/>
      <c r="AF89" s="7"/>
      <c r="AG89" s="7"/>
      <c r="AH89" s="7"/>
      <c r="AI89" s="7"/>
      <c r="AJ89" s="7"/>
      <c r="AK89" s="7"/>
      <c r="AL89" s="7"/>
      <c r="AM89" s="7"/>
      <c r="AN89" s="7"/>
    </row>
    <row r="90">
      <c r="A90" s="7"/>
      <c r="B90" s="7"/>
      <c r="C90" s="7"/>
      <c r="D90" s="7"/>
      <c r="E90" s="7"/>
      <c r="F90" s="7"/>
      <c r="G90" s="7"/>
      <c r="H90" s="7"/>
      <c r="I90" s="7"/>
      <c r="J90" s="7"/>
      <c r="K90" s="7"/>
      <c r="L90" s="7"/>
      <c r="M90" s="7"/>
      <c r="N90" s="7"/>
      <c r="O90" s="7"/>
      <c r="P90" s="7"/>
      <c r="Q90" s="7"/>
      <c r="R90" s="7"/>
      <c r="S90" s="7"/>
      <c r="T90" s="7"/>
      <c r="U90" s="54" t="str">
        <f>IFERROR(__xludf.DUMMYFUNCTION("""COMPUTED_VALUE"""),"Zion Williamson")</f>
        <v>Zion Williamson</v>
      </c>
      <c r="V90" s="7"/>
      <c r="W90" s="7" t="b">
        <f>IFERROR(__xludf.DUMMYFUNCTION("""COMPUTED_VALUE"""),TRUE)</f>
        <v>1</v>
      </c>
      <c r="X90" s="7"/>
      <c r="Y90" s="7"/>
      <c r="Z90" s="7"/>
      <c r="AA90" s="7"/>
      <c r="AB90" s="7"/>
      <c r="AC90" s="7"/>
      <c r="AD90" s="7"/>
      <c r="AE90" s="7"/>
      <c r="AF90" s="7"/>
      <c r="AG90" s="7"/>
      <c r="AH90" s="7"/>
      <c r="AI90" s="7"/>
      <c r="AJ90" s="7"/>
      <c r="AK90" s="7"/>
      <c r="AL90" s="7"/>
      <c r="AM90" s="7"/>
      <c r="AN90" s="7"/>
    </row>
    <row r="91">
      <c r="A91" s="7"/>
      <c r="B91" s="7"/>
      <c r="C91" s="7"/>
      <c r="D91" s="7"/>
      <c r="E91" s="7"/>
      <c r="F91" s="7"/>
      <c r="G91" s="7"/>
      <c r="H91" s="7"/>
      <c r="I91" s="7"/>
      <c r="J91" s="7"/>
      <c r="K91" s="7"/>
      <c r="L91" s="7"/>
      <c r="M91" s="7"/>
      <c r="N91" s="7"/>
      <c r="O91" s="7"/>
      <c r="P91" s="7"/>
      <c r="Q91" s="7"/>
      <c r="R91" s="7"/>
      <c r="S91" s="7"/>
      <c r="T91" s="7"/>
      <c r="U91" s="54" t="str">
        <f>IFERROR(__xludf.DUMMYFUNCTION("""COMPUTED_VALUE"""),"Ivica Zubac")</f>
        <v>Ivica Zubac</v>
      </c>
      <c r="V91" s="7"/>
      <c r="W91" s="7" t="b">
        <f>IFERROR(__xludf.DUMMYFUNCTION("""COMPUTED_VALUE"""),TRUE)</f>
        <v>1</v>
      </c>
      <c r="X91" s="7"/>
      <c r="Y91" s="7"/>
      <c r="Z91" s="7"/>
      <c r="AA91" s="7"/>
      <c r="AB91" s="7"/>
      <c r="AC91" s="7"/>
      <c r="AD91" s="7"/>
      <c r="AE91" s="7"/>
      <c r="AF91" s="7"/>
      <c r="AG91" s="7"/>
      <c r="AH91" s="7"/>
      <c r="AI91" s="7"/>
      <c r="AJ91" s="7"/>
      <c r="AK91" s="7"/>
      <c r="AL91" s="7"/>
      <c r="AM91" s="7"/>
      <c r="AN91" s="7"/>
    </row>
    <row r="92">
      <c r="A92" s="7"/>
      <c r="B92" s="7"/>
      <c r="C92" s="7"/>
      <c r="D92" s="7"/>
      <c r="E92" s="7"/>
      <c r="F92" s="7"/>
      <c r="G92" s="7"/>
      <c r="H92" s="7"/>
      <c r="I92" s="7"/>
      <c r="J92" s="7"/>
      <c r="K92" s="7"/>
      <c r="L92" s="7"/>
      <c r="M92" s="7"/>
      <c r="N92" s="7"/>
      <c r="O92" s="7"/>
      <c r="P92" s="7"/>
      <c r="Q92" s="7"/>
      <c r="R92" s="7"/>
      <c r="S92" s="7"/>
      <c r="T92" s="7"/>
      <c r="U92" s="54" t="str">
        <f>IFERROR(__xludf.DUMMYFUNCTION("""COMPUTED_VALUE"""),"Mark Williams")</f>
        <v>Mark Williams</v>
      </c>
      <c r="V92" s="7"/>
      <c r="W92" s="7" t="b">
        <f>IFERROR(__xludf.DUMMYFUNCTION("""COMPUTED_VALUE"""),TRUE)</f>
        <v>1</v>
      </c>
      <c r="X92" s="7"/>
      <c r="Y92" s="7"/>
      <c r="Z92" s="7"/>
      <c r="AA92" s="7"/>
      <c r="AB92" s="7"/>
      <c r="AC92" s="7"/>
      <c r="AD92" s="7"/>
      <c r="AE92" s="7"/>
      <c r="AF92" s="7"/>
      <c r="AG92" s="7"/>
      <c r="AH92" s="7"/>
      <c r="AI92" s="7"/>
      <c r="AJ92" s="7"/>
      <c r="AK92" s="7"/>
      <c r="AL92" s="7"/>
      <c r="AM92" s="7"/>
      <c r="AN92" s="7"/>
    </row>
    <row r="93">
      <c r="A93" s="7"/>
      <c r="B93" s="7"/>
      <c r="C93" s="7"/>
      <c r="D93" s="7"/>
      <c r="E93" s="7"/>
      <c r="F93" s="7"/>
      <c r="G93" s="7"/>
      <c r="H93" s="7"/>
      <c r="I93" s="7"/>
      <c r="J93" s="7"/>
      <c r="K93" s="7"/>
      <c r="L93" s="7"/>
      <c r="M93" s="7"/>
      <c r="N93" s="7"/>
      <c r="O93" s="7"/>
      <c r="P93" s="7"/>
      <c r="Q93" s="7"/>
      <c r="R93" s="7"/>
      <c r="S93" s="7"/>
      <c r="T93" s="7"/>
      <c r="U93" s="54" t="str">
        <f>IFERROR(__xludf.DUMMYFUNCTION("""COMPUTED_VALUE"""),"Onyeka Okongwu")</f>
        <v>Onyeka Okongwu</v>
      </c>
      <c r="V93" s="7"/>
      <c r="W93" s="7" t="b">
        <f>IFERROR(__xludf.DUMMYFUNCTION("""COMPUTED_VALUE"""),TRUE)</f>
        <v>1</v>
      </c>
      <c r="X93" s="7"/>
      <c r="Y93" s="7"/>
      <c r="Z93" s="7"/>
      <c r="AA93" s="7"/>
      <c r="AB93" s="7"/>
      <c r="AC93" s="7"/>
      <c r="AD93" s="7"/>
      <c r="AE93" s="7"/>
      <c r="AF93" s="7"/>
      <c r="AG93" s="7"/>
      <c r="AH93" s="7"/>
      <c r="AI93" s="7"/>
      <c r="AJ93" s="7"/>
      <c r="AK93" s="7"/>
      <c r="AL93" s="7"/>
      <c r="AM93" s="7"/>
      <c r="AN93" s="7"/>
    </row>
    <row r="94">
      <c r="A94" s="7"/>
      <c r="B94" s="7"/>
      <c r="C94" s="7"/>
      <c r="D94" s="7"/>
      <c r="E94" s="7"/>
      <c r="F94" s="7"/>
      <c r="G94" s="7"/>
      <c r="H94" s="7"/>
      <c r="I94" s="7"/>
      <c r="J94" s="7"/>
      <c r="K94" s="7"/>
      <c r="L94" s="7"/>
      <c r="M94" s="7"/>
      <c r="N94" s="7"/>
      <c r="O94" s="7"/>
      <c r="P94" s="7"/>
      <c r="Q94" s="7"/>
      <c r="R94" s="7"/>
      <c r="S94" s="7"/>
      <c r="T94" s="7"/>
      <c r="U94" s="54" t="str">
        <f>IFERROR(__xludf.DUMMYFUNCTION("""COMPUTED_VALUE"""),"C.J. McCollum")</f>
        <v>C.J. McCollum</v>
      </c>
      <c r="V94" s="7"/>
      <c r="W94" s="7" t="b">
        <f>IFERROR(__xludf.DUMMYFUNCTION("""COMPUTED_VALUE"""),TRUE)</f>
        <v>1</v>
      </c>
      <c r="X94" s="7"/>
      <c r="Y94" s="7"/>
      <c r="Z94" s="7"/>
      <c r="AA94" s="7"/>
      <c r="AB94" s="7"/>
      <c r="AC94" s="7"/>
      <c r="AD94" s="7"/>
      <c r="AE94" s="7"/>
      <c r="AF94" s="7"/>
      <c r="AG94" s="7"/>
      <c r="AH94" s="7"/>
      <c r="AI94" s="7"/>
      <c r="AJ94" s="7"/>
      <c r="AK94" s="7"/>
      <c r="AL94" s="7"/>
      <c r="AM94" s="7"/>
      <c r="AN94" s="7"/>
    </row>
    <row r="95">
      <c r="A95" s="7"/>
      <c r="B95" s="7"/>
      <c r="C95" s="7"/>
      <c r="D95" s="7"/>
      <c r="E95" s="7"/>
      <c r="F95" s="7"/>
      <c r="G95" s="7"/>
      <c r="H95" s="7"/>
      <c r="I95" s="7"/>
      <c r="J95" s="7"/>
      <c r="K95" s="7"/>
      <c r="L95" s="7"/>
      <c r="M95" s="7"/>
      <c r="N95" s="7"/>
      <c r="O95" s="7"/>
      <c r="P95" s="7"/>
      <c r="Q95" s="7"/>
      <c r="R95" s="7"/>
      <c r="S95" s="7"/>
      <c r="T95" s="7"/>
      <c r="U95" s="54" t="str">
        <f>IFERROR(__xludf.DUMMYFUNCTION("""COMPUTED_VALUE"""),"Keyonte George")</f>
        <v>Keyonte George</v>
      </c>
      <c r="V95" s="7"/>
      <c r="W95" s="7" t="b">
        <f>IFERROR(__xludf.DUMMYFUNCTION("""COMPUTED_VALUE"""),TRUE)</f>
        <v>1</v>
      </c>
      <c r="X95" s="7"/>
      <c r="Y95" s="7"/>
      <c r="Z95" s="7"/>
      <c r="AA95" s="7"/>
      <c r="AB95" s="7"/>
      <c r="AC95" s="7"/>
      <c r="AD95" s="7"/>
      <c r="AE95" s="7"/>
      <c r="AF95" s="7"/>
      <c r="AG95" s="7"/>
      <c r="AH95" s="7"/>
      <c r="AI95" s="7"/>
      <c r="AJ95" s="7"/>
      <c r="AK95" s="7"/>
      <c r="AL95" s="7"/>
      <c r="AM95" s="7"/>
      <c r="AN95" s="7"/>
    </row>
    <row r="96">
      <c r="A96" s="7"/>
      <c r="B96" s="7"/>
      <c r="C96" s="7"/>
      <c r="D96" s="7"/>
      <c r="E96" s="7"/>
      <c r="F96" s="7"/>
      <c r="G96" s="7"/>
      <c r="H96" s="7"/>
      <c r="I96" s="7"/>
      <c r="J96" s="7"/>
      <c r="K96" s="7"/>
      <c r="L96" s="7"/>
      <c r="M96" s="7"/>
      <c r="N96" s="7"/>
      <c r="O96" s="7"/>
      <c r="P96" s="7"/>
      <c r="Q96" s="7"/>
      <c r="R96" s="7"/>
      <c r="S96" s="7"/>
      <c r="T96" s="7"/>
      <c r="U96" s="54" t="str">
        <f>IFERROR(__xludf.DUMMYFUNCTION("""COMPUTED_VALUE"""),"D'Angelo Russell")</f>
        <v>D'Angelo Russell</v>
      </c>
      <c r="V96" s="7"/>
      <c r="W96" s="7" t="b">
        <f>IFERROR(__xludf.DUMMYFUNCTION("""COMPUTED_VALUE"""),TRUE)</f>
        <v>1</v>
      </c>
      <c r="X96" s="7"/>
      <c r="Y96" s="7"/>
      <c r="Z96" s="7"/>
      <c r="AA96" s="7"/>
      <c r="AB96" s="7"/>
      <c r="AC96" s="7"/>
      <c r="AD96" s="7"/>
      <c r="AE96" s="7"/>
      <c r="AF96" s="7"/>
      <c r="AG96" s="7"/>
      <c r="AH96" s="7"/>
      <c r="AI96" s="7"/>
      <c r="AJ96" s="7"/>
      <c r="AK96" s="7"/>
      <c r="AL96" s="7"/>
      <c r="AM96" s="7"/>
      <c r="AN96" s="7"/>
    </row>
    <row r="97">
      <c r="A97" s="7"/>
      <c r="B97" s="7"/>
      <c r="C97" s="7"/>
      <c r="D97" s="7"/>
      <c r="E97" s="7"/>
      <c r="F97" s="7"/>
      <c r="G97" s="7"/>
      <c r="H97" s="7"/>
      <c r="I97" s="7"/>
      <c r="J97" s="7"/>
      <c r="K97" s="7"/>
      <c r="L97" s="7"/>
      <c r="M97" s="7"/>
      <c r="N97" s="7"/>
      <c r="O97" s="7"/>
      <c r="P97" s="7"/>
      <c r="Q97" s="7"/>
      <c r="R97" s="7"/>
      <c r="S97" s="7"/>
      <c r="T97" s="7"/>
      <c r="U97" s="54" t="str">
        <f>IFERROR(__xludf.DUMMYFUNCTION("""COMPUTED_VALUE"""),"Isaiah Jackson")</f>
        <v>Isaiah Jackson</v>
      </c>
      <c r="V97" s="7"/>
      <c r="W97" s="7" t="b">
        <f>IFERROR(__xludf.DUMMYFUNCTION("""COMPUTED_VALUE"""),TRUE)</f>
        <v>1</v>
      </c>
      <c r="X97" s="7"/>
      <c r="Y97" s="7"/>
      <c r="Z97" s="7"/>
      <c r="AA97" s="7"/>
      <c r="AB97" s="7"/>
      <c r="AC97" s="7"/>
      <c r="AD97" s="7"/>
      <c r="AE97" s="7"/>
      <c r="AF97" s="7"/>
      <c r="AG97" s="7"/>
      <c r="AH97" s="7"/>
      <c r="AI97" s="7"/>
      <c r="AJ97" s="7"/>
      <c r="AK97" s="7"/>
      <c r="AL97" s="7"/>
      <c r="AM97" s="7"/>
      <c r="AN97" s="7"/>
    </row>
    <row r="98">
      <c r="A98" s="7"/>
      <c r="B98" s="7"/>
      <c r="C98" s="7"/>
      <c r="D98" s="7"/>
      <c r="E98" s="7"/>
      <c r="F98" s="7"/>
      <c r="G98" s="7"/>
      <c r="H98" s="7"/>
      <c r="I98" s="7"/>
      <c r="J98" s="7"/>
      <c r="K98" s="7"/>
      <c r="L98" s="7"/>
      <c r="M98" s="7"/>
      <c r="N98" s="7"/>
      <c r="O98" s="7"/>
      <c r="P98" s="7"/>
      <c r="Q98" s="7"/>
      <c r="R98" s="7"/>
      <c r="S98" s="7"/>
      <c r="T98" s="7"/>
      <c r="U98" s="54" t="str">
        <f>IFERROR(__xludf.DUMMYFUNCTION("""COMPUTED_VALUE"""),"Neemias Queta")</f>
        <v>Neemias Queta</v>
      </c>
      <c r="V98" s="7"/>
      <c r="W98" s="7" t="b">
        <f>IFERROR(__xludf.DUMMYFUNCTION("""COMPUTED_VALUE"""),TRUE)</f>
        <v>1</v>
      </c>
      <c r="X98" s="7"/>
      <c r="Y98" s="7"/>
      <c r="Z98" s="7"/>
      <c r="AA98" s="7"/>
      <c r="AB98" s="7"/>
      <c r="AC98" s="7"/>
      <c r="AD98" s="7"/>
      <c r="AE98" s="7"/>
      <c r="AF98" s="7"/>
      <c r="AG98" s="7"/>
      <c r="AH98" s="7"/>
      <c r="AI98" s="7"/>
      <c r="AJ98" s="7"/>
      <c r="AK98" s="7"/>
      <c r="AL98" s="7"/>
      <c r="AM98" s="7"/>
      <c r="AN98" s="7"/>
    </row>
    <row r="99">
      <c r="A99" s="7"/>
      <c r="B99" s="7"/>
      <c r="C99" s="7"/>
      <c r="D99" s="7"/>
      <c r="E99" s="7"/>
      <c r="F99" s="7"/>
      <c r="G99" s="7"/>
      <c r="H99" s="7"/>
      <c r="I99" s="7"/>
      <c r="J99" s="7"/>
      <c r="K99" s="7"/>
      <c r="L99" s="7"/>
      <c r="M99" s="7"/>
      <c r="N99" s="7"/>
      <c r="O99" s="7"/>
      <c r="P99" s="7"/>
      <c r="Q99" s="7"/>
      <c r="R99" s="7"/>
      <c r="S99" s="7"/>
      <c r="T99" s="7"/>
      <c r="U99" s="7" t="str">
        <f>IFERROR(__xludf.DUMMYFUNCTION("""COMPUTED_VALUE"""),"Devin Booker")</f>
        <v>Devin Booker</v>
      </c>
      <c r="V99" s="7"/>
      <c r="W99" s="7" t="b">
        <f>IFERROR(__xludf.DUMMYFUNCTION("""COMPUTED_VALUE"""),TRUE)</f>
        <v>1</v>
      </c>
      <c r="X99" s="7"/>
      <c r="Y99" s="7"/>
      <c r="Z99" s="7"/>
      <c r="AA99" s="7"/>
      <c r="AB99" s="7"/>
      <c r="AC99" s="7"/>
      <c r="AD99" s="7"/>
      <c r="AE99" s="7"/>
      <c r="AF99" s="7"/>
      <c r="AG99" s="7"/>
      <c r="AH99" s="7"/>
      <c r="AI99" s="7"/>
      <c r="AJ99" s="7"/>
      <c r="AK99" s="7"/>
      <c r="AL99" s="7"/>
      <c r="AM99" s="7"/>
      <c r="AN99" s="7"/>
    </row>
    <row r="100">
      <c r="A100" s="7"/>
      <c r="B100" s="7"/>
      <c r="C100" s="7"/>
      <c r="D100" s="7"/>
      <c r="E100" s="7"/>
      <c r="F100" s="7"/>
      <c r="G100" s="7"/>
      <c r="H100" s="7"/>
      <c r="I100" s="7"/>
      <c r="J100" s="7"/>
      <c r="K100" s="7"/>
      <c r="L100" s="7"/>
      <c r="M100" s="7"/>
      <c r="N100" s="7"/>
      <c r="O100" s="7"/>
      <c r="P100" s="7"/>
      <c r="Q100" s="7"/>
      <c r="R100" s="7"/>
      <c r="S100" s="7"/>
      <c r="T100" s="7"/>
      <c r="U100" s="7" t="str">
        <f>IFERROR(__xludf.DUMMYFUNCTION("""COMPUTED_VALUE"""),"Josh Giddey")</f>
        <v>Josh Giddey</v>
      </c>
      <c r="V100" s="7"/>
      <c r="W100" s="7" t="b">
        <f>IFERROR(__xludf.DUMMYFUNCTION("""COMPUTED_VALUE"""),TRUE)</f>
        <v>1</v>
      </c>
      <c r="X100" s="7"/>
      <c r="Y100" s="7"/>
      <c r="Z100" s="7"/>
      <c r="AA100" s="7"/>
      <c r="AB100" s="7"/>
      <c r="AC100" s="7"/>
      <c r="AD100" s="7"/>
      <c r="AE100" s="7"/>
      <c r="AF100" s="7"/>
      <c r="AG100" s="7"/>
      <c r="AH100" s="7"/>
      <c r="AI100" s="7"/>
      <c r="AJ100" s="7"/>
      <c r="AK100" s="7"/>
      <c r="AL100" s="7"/>
      <c r="AM100" s="7"/>
      <c r="AN100" s="7"/>
    </row>
    <row r="101">
      <c r="A101" s="7"/>
      <c r="B101" s="7"/>
      <c r="C101" s="7"/>
      <c r="D101" s="7"/>
      <c r="E101" s="7"/>
      <c r="F101" s="7"/>
      <c r="G101" s="7"/>
      <c r="H101" s="7"/>
      <c r="I101" s="7"/>
      <c r="J101" s="7"/>
      <c r="K101" s="7"/>
      <c r="L101" s="7"/>
      <c r="M101" s="7"/>
      <c r="N101" s="7"/>
      <c r="O101" s="7"/>
      <c r="P101" s="7"/>
      <c r="Q101" s="7"/>
      <c r="R101" s="7"/>
      <c r="S101" s="7"/>
      <c r="T101" s="7"/>
      <c r="U101" s="54" t="str">
        <f>IFERROR(__xludf.DUMMYFUNCTION("""COMPUTED_VALUE"""),"Jamal Murray")</f>
        <v>Jamal Murray</v>
      </c>
      <c r="V101" s="7"/>
      <c r="W101" s="7" t="b">
        <f>IFERROR(__xludf.DUMMYFUNCTION("""COMPUTED_VALUE"""),TRUE)</f>
        <v>1</v>
      </c>
      <c r="X101" s="7"/>
      <c r="Y101" s="7"/>
      <c r="Z101" s="7"/>
      <c r="AA101" s="7"/>
      <c r="AB101" s="7"/>
      <c r="AC101" s="7"/>
      <c r="AD101" s="7"/>
      <c r="AE101" s="7"/>
      <c r="AF101" s="7"/>
      <c r="AG101" s="7"/>
      <c r="AH101" s="7"/>
      <c r="AI101" s="7"/>
      <c r="AJ101" s="7"/>
      <c r="AK101" s="7"/>
      <c r="AL101" s="7"/>
      <c r="AM101" s="7"/>
      <c r="AN101" s="7"/>
    </row>
    <row r="102">
      <c r="A102" s="7"/>
      <c r="B102" s="7"/>
      <c r="C102" s="7"/>
      <c r="D102" s="7"/>
      <c r="E102" s="7"/>
      <c r="F102" s="7"/>
      <c r="G102" s="7"/>
      <c r="H102" s="7"/>
      <c r="I102" s="7"/>
      <c r="J102" s="7"/>
      <c r="K102" s="7"/>
      <c r="L102" s="7"/>
      <c r="M102" s="7"/>
      <c r="N102" s="7"/>
      <c r="O102" s="7"/>
      <c r="P102" s="7"/>
      <c r="Q102" s="7"/>
      <c r="R102" s="7"/>
      <c r="S102" s="7"/>
      <c r="T102" s="7"/>
      <c r="U102" s="54" t="str">
        <f>IFERROR(__xludf.DUMMYFUNCTION("""COMPUTED_VALUE"""),"Ja Morant")</f>
        <v>Ja Morant</v>
      </c>
      <c r="V102" s="7"/>
      <c r="W102" s="7" t="b">
        <f>IFERROR(__xludf.DUMMYFUNCTION("""COMPUTED_VALUE"""),TRUE)</f>
        <v>1</v>
      </c>
      <c r="X102" s="7"/>
      <c r="Y102" s="7"/>
      <c r="Z102" s="7"/>
      <c r="AA102" s="7"/>
      <c r="AB102" s="7"/>
      <c r="AC102" s="7"/>
      <c r="AD102" s="7"/>
      <c r="AE102" s="7"/>
      <c r="AF102" s="7"/>
      <c r="AG102" s="7"/>
      <c r="AH102" s="7"/>
      <c r="AI102" s="7"/>
      <c r="AJ102" s="7"/>
      <c r="AK102" s="7"/>
      <c r="AL102" s="7"/>
      <c r="AM102" s="7"/>
      <c r="AN102" s="7"/>
    </row>
    <row r="103">
      <c r="A103" s="7"/>
      <c r="B103" s="7"/>
      <c r="C103" s="7"/>
      <c r="D103" s="7"/>
      <c r="E103" s="7"/>
      <c r="F103" s="7"/>
      <c r="G103" s="7"/>
      <c r="H103" s="7"/>
      <c r="I103" s="7"/>
      <c r="J103" s="7"/>
      <c r="K103" s="7"/>
      <c r="L103" s="7"/>
      <c r="M103" s="7"/>
      <c r="N103" s="7"/>
      <c r="O103" s="7"/>
      <c r="P103" s="7"/>
      <c r="Q103" s="7"/>
      <c r="R103" s="7"/>
      <c r="S103" s="7"/>
      <c r="T103" s="7"/>
      <c r="U103" s="54" t="str">
        <f>IFERROR(__xludf.DUMMYFUNCTION("""COMPUTED_VALUE"""),"Jimmy Butler")</f>
        <v>Jimmy Butler</v>
      </c>
      <c r="V103" s="7"/>
      <c r="W103" s="7" t="b">
        <f>IFERROR(__xludf.DUMMYFUNCTION("""COMPUTED_VALUE"""),TRUE)</f>
        <v>1</v>
      </c>
      <c r="X103" s="7"/>
      <c r="Y103" s="7"/>
      <c r="Z103" s="7"/>
      <c r="AA103" s="7"/>
      <c r="AB103" s="7"/>
      <c r="AC103" s="7"/>
      <c r="AD103" s="7"/>
      <c r="AE103" s="7"/>
      <c r="AF103" s="7"/>
      <c r="AG103" s="7"/>
      <c r="AH103" s="7"/>
      <c r="AI103" s="7"/>
      <c r="AJ103" s="7"/>
      <c r="AK103" s="7"/>
      <c r="AL103" s="7"/>
      <c r="AM103" s="7"/>
      <c r="AN103" s="7"/>
    </row>
    <row r="104">
      <c r="A104" s="7"/>
      <c r="B104" s="7"/>
      <c r="C104" s="7"/>
      <c r="D104" s="7"/>
      <c r="E104" s="7"/>
      <c r="F104" s="7"/>
      <c r="G104" s="7"/>
      <c r="H104" s="7"/>
      <c r="I104" s="7"/>
      <c r="J104" s="7"/>
      <c r="K104" s="7"/>
      <c r="L104" s="7"/>
      <c r="M104" s="7"/>
      <c r="N104" s="7"/>
      <c r="O104" s="7"/>
      <c r="P104" s="7"/>
      <c r="Q104" s="7"/>
      <c r="R104" s="7"/>
      <c r="S104" s="7"/>
      <c r="T104" s="7"/>
      <c r="U104" s="54" t="str">
        <f>IFERROR(__xludf.DUMMYFUNCTION("""COMPUTED_VALUE"""),"Payton Pritchard")</f>
        <v>Payton Pritchard</v>
      </c>
      <c r="V104" s="7"/>
      <c r="W104" s="7" t="b">
        <f>IFERROR(__xludf.DUMMYFUNCTION("""COMPUTED_VALUE"""),TRUE)</f>
        <v>1</v>
      </c>
      <c r="X104" s="7"/>
      <c r="Y104" s="7"/>
      <c r="Z104" s="7"/>
      <c r="AA104" s="7"/>
      <c r="AB104" s="7"/>
      <c r="AC104" s="7"/>
      <c r="AD104" s="7"/>
      <c r="AE104" s="7"/>
      <c r="AF104" s="7"/>
      <c r="AG104" s="7"/>
      <c r="AH104" s="7"/>
      <c r="AI104" s="7"/>
      <c r="AJ104" s="7"/>
      <c r="AK104" s="7"/>
      <c r="AL104" s="7"/>
      <c r="AM104" s="7"/>
      <c r="AN104" s="7"/>
    </row>
    <row r="105">
      <c r="A105" s="7"/>
      <c r="B105" s="7"/>
      <c r="C105" s="7"/>
      <c r="D105" s="7"/>
      <c r="E105" s="7"/>
      <c r="F105" s="7"/>
      <c r="G105" s="7"/>
      <c r="H105" s="7"/>
      <c r="I105" s="7"/>
      <c r="J105" s="7"/>
      <c r="K105" s="7"/>
      <c r="L105" s="7"/>
      <c r="M105" s="7"/>
      <c r="N105" s="7"/>
      <c r="O105" s="7"/>
      <c r="P105" s="7"/>
      <c r="Q105" s="7"/>
      <c r="R105" s="7"/>
      <c r="S105" s="7"/>
      <c r="T105" s="7"/>
      <c r="U105" s="54" t="str">
        <f>IFERROR(__xludf.DUMMYFUNCTION("""COMPUTED_VALUE"""),"Toumani Camara")</f>
        <v>Toumani Camara</v>
      </c>
      <c r="V105" s="7"/>
      <c r="W105" s="7" t="b">
        <f>IFERROR(__xludf.DUMMYFUNCTION("""COMPUTED_VALUE"""),TRUE)</f>
        <v>1</v>
      </c>
      <c r="X105" s="7"/>
      <c r="Y105" s="7"/>
      <c r="Z105" s="7"/>
      <c r="AA105" s="7"/>
      <c r="AB105" s="7"/>
      <c r="AC105" s="7"/>
      <c r="AD105" s="7"/>
      <c r="AE105" s="7"/>
      <c r="AF105" s="7"/>
      <c r="AG105" s="7"/>
      <c r="AH105" s="7"/>
      <c r="AI105" s="7"/>
      <c r="AJ105" s="7"/>
      <c r="AK105" s="7"/>
      <c r="AL105" s="7"/>
      <c r="AM105" s="7"/>
      <c r="AN105" s="7"/>
    </row>
    <row r="106">
      <c r="A106" s="7"/>
      <c r="B106" s="7"/>
      <c r="C106" s="7"/>
      <c r="D106" s="7"/>
      <c r="E106" s="7"/>
      <c r="F106" s="7"/>
      <c r="G106" s="7"/>
      <c r="H106" s="7"/>
      <c r="I106" s="7"/>
      <c r="J106" s="7"/>
      <c r="K106" s="7"/>
      <c r="L106" s="7"/>
      <c r="M106" s="7"/>
      <c r="N106" s="7"/>
      <c r="O106" s="7"/>
      <c r="P106" s="7"/>
      <c r="Q106" s="7"/>
      <c r="R106" s="7"/>
      <c r="S106" s="7"/>
      <c r="T106" s="7"/>
      <c r="U106" s="54" t="str">
        <f>IFERROR(__xludf.DUMMYFUNCTION("""COMPUTED_VALUE"""),"Jalen Green")</f>
        <v>Jalen Green</v>
      </c>
      <c r="V106" s="7"/>
      <c r="W106" s="7" t="b">
        <f>IFERROR(__xludf.DUMMYFUNCTION("""COMPUTED_VALUE"""),TRUE)</f>
        <v>1</v>
      </c>
      <c r="X106" s="7"/>
      <c r="Y106" s="7"/>
      <c r="Z106" s="7"/>
      <c r="AA106" s="7"/>
      <c r="AB106" s="7"/>
      <c r="AC106" s="7"/>
      <c r="AD106" s="7"/>
      <c r="AE106" s="7"/>
      <c r="AF106" s="7"/>
      <c r="AG106" s="7"/>
      <c r="AH106" s="7"/>
      <c r="AI106" s="7"/>
      <c r="AJ106" s="7"/>
      <c r="AK106" s="7"/>
      <c r="AL106" s="7"/>
      <c r="AM106" s="7"/>
      <c r="AN106" s="7"/>
    </row>
    <row r="107">
      <c r="A107" s="7"/>
      <c r="B107" s="7"/>
      <c r="C107" s="7"/>
      <c r="D107" s="7"/>
      <c r="E107" s="7"/>
      <c r="F107" s="7"/>
      <c r="G107" s="7"/>
      <c r="H107" s="7"/>
      <c r="I107" s="7"/>
      <c r="J107" s="7"/>
      <c r="K107" s="7"/>
      <c r="L107" s="7"/>
      <c r="M107" s="7"/>
      <c r="N107" s="7"/>
      <c r="O107" s="7"/>
      <c r="P107" s="7"/>
      <c r="Q107" s="7"/>
      <c r="R107" s="7"/>
      <c r="S107" s="7"/>
      <c r="T107" s="7"/>
      <c r="U107" s="54" t="str">
        <f>IFERROR(__xludf.DUMMYFUNCTION("""COMPUTED_VALUE"""),"Nicolas Claxton")</f>
        <v>Nicolas Claxton</v>
      </c>
      <c r="V107" s="7"/>
      <c r="W107" s="7" t="b">
        <f>IFERROR(__xludf.DUMMYFUNCTION("""COMPUTED_VALUE"""),TRUE)</f>
        <v>1</v>
      </c>
      <c r="X107" s="7"/>
      <c r="Y107" s="7"/>
      <c r="Z107" s="7"/>
      <c r="AA107" s="7"/>
      <c r="AB107" s="7"/>
      <c r="AC107" s="7"/>
      <c r="AD107" s="7"/>
      <c r="AE107" s="7"/>
      <c r="AF107" s="7"/>
      <c r="AG107" s="7"/>
      <c r="AH107" s="7"/>
      <c r="AI107" s="7"/>
      <c r="AJ107" s="7"/>
      <c r="AK107" s="7"/>
      <c r="AL107" s="7"/>
      <c r="AM107" s="7"/>
      <c r="AN107" s="7"/>
    </row>
    <row r="108">
      <c r="A108" s="7"/>
      <c r="B108" s="7"/>
      <c r="C108" s="7"/>
      <c r="D108" s="7"/>
      <c r="E108" s="7"/>
      <c r="F108" s="7"/>
      <c r="G108" s="7"/>
      <c r="H108" s="7"/>
      <c r="I108" s="7"/>
      <c r="J108" s="7"/>
      <c r="K108" s="7"/>
      <c r="L108" s="7"/>
      <c r="M108" s="7"/>
      <c r="N108" s="7"/>
      <c r="O108" s="7"/>
      <c r="P108" s="7"/>
      <c r="Q108" s="7"/>
      <c r="R108" s="7"/>
      <c r="S108" s="7"/>
      <c r="T108" s="7"/>
      <c r="U108" s="54" t="str">
        <f>IFERROR(__xludf.DUMMYFUNCTION("""COMPUTED_VALUE"""),"Reed Sheppard")</f>
        <v>Reed Sheppard</v>
      </c>
      <c r="V108" s="7"/>
      <c r="W108" s="7" t="b">
        <f>IFERROR(__xludf.DUMMYFUNCTION("""COMPUTED_VALUE"""),TRUE)</f>
        <v>1</v>
      </c>
      <c r="X108" s="7"/>
      <c r="Y108" s="7"/>
      <c r="Z108" s="7"/>
      <c r="AA108" s="7"/>
      <c r="AB108" s="7"/>
      <c r="AC108" s="7"/>
      <c r="AD108" s="7"/>
      <c r="AE108" s="7"/>
      <c r="AF108" s="7"/>
      <c r="AG108" s="7"/>
      <c r="AH108" s="7"/>
      <c r="AI108" s="7"/>
      <c r="AJ108" s="7"/>
      <c r="AK108" s="7"/>
      <c r="AL108" s="7"/>
      <c r="AM108" s="7"/>
      <c r="AN108" s="7"/>
    </row>
    <row r="109">
      <c r="A109" s="7"/>
      <c r="B109" s="7"/>
      <c r="C109" s="7"/>
      <c r="D109" s="7"/>
      <c r="E109" s="7"/>
      <c r="F109" s="7"/>
      <c r="G109" s="7"/>
      <c r="H109" s="7"/>
      <c r="I109" s="7"/>
      <c r="J109" s="7"/>
      <c r="K109" s="7"/>
      <c r="L109" s="7"/>
      <c r="M109" s="7"/>
      <c r="N109" s="7"/>
      <c r="O109" s="7"/>
      <c r="P109" s="7"/>
      <c r="Q109" s="7"/>
      <c r="R109" s="7"/>
      <c r="S109" s="7"/>
      <c r="T109" s="7"/>
      <c r="U109" s="54" t="str">
        <f>IFERROR(__xludf.DUMMYFUNCTION("""COMPUTED_VALUE"""),"Davion Mitchell")</f>
        <v>Davion Mitchell</v>
      </c>
      <c r="V109" s="7"/>
      <c r="W109" s="7" t="b">
        <f>IFERROR(__xludf.DUMMYFUNCTION("""COMPUTED_VALUE"""),TRUE)</f>
        <v>1</v>
      </c>
      <c r="X109" s="7"/>
      <c r="Y109" s="7"/>
      <c r="Z109" s="7"/>
      <c r="AA109" s="7"/>
      <c r="AB109" s="7"/>
      <c r="AC109" s="7"/>
      <c r="AD109" s="7"/>
      <c r="AE109" s="7"/>
      <c r="AF109" s="7"/>
      <c r="AG109" s="7"/>
      <c r="AH109" s="7"/>
      <c r="AI109" s="7"/>
      <c r="AJ109" s="7"/>
      <c r="AK109" s="7"/>
      <c r="AL109" s="7"/>
      <c r="AM109" s="7"/>
      <c r="AN109" s="7"/>
    </row>
    <row r="110">
      <c r="A110" s="7"/>
      <c r="B110" s="7"/>
      <c r="C110" s="7"/>
      <c r="D110" s="7"/>
      <c r="E110" s="7"/>
      <c r="F110" s="7"/>
      <c r="G110" s="7"/>
      <c r="H110" s="7"/>
      <c r="I110" s="7"/>
      <c r="J110" s="7"/>
      <c r="K110" s="7"/>
      <c r="L110" s="7"/>
      <c r="M110" s="7"/>
      <c r="N110" s="7"/>
      <c r="O110" s="7"/>
      <c r="P110" s="7"/>
      <c r="Q110" s="7"/>
      <c r="R110" s="7"/>
      <c r="S110" s="7"/>
      <c r="T110" s="7"/>
      <c r="U110" s="54" t="str">
        <f>IFERROR(__xludf.DUMMYFUNCTION("""COMPUTED_VALUE"""),"Keegan Murray")</f>
        <v>Keegan Murray</v>
      </c>
      <c r="V110" s="7"/>
      <c r="W110" s="7" t="b">
        <f>IFERROR(__xludf.DUMMYFUNCTION("""COMPUTED_VALUE"""),TRUE)</f>
        <v>1</v>
      </c>
      <c r="X110" s="7"/>
      <c r="Y110" s="7"/>
      <c r="Z110" s="7"/>
      <c r="AA110" s="7"/>
      <c r="AB110" s="7"/>
      <c r="AC110" s="7"/>
      <c r="AD110" s="7"/>
      <c r="AE110" s="7"/>
      <c r="AF110" s="7"/>
      <c r="AG110" s="7"/>
      <c r="AH110" s="7"/>
      <c r="AI110" s="7"/>
      <c r="AJ110" s="7"/>
      <c r="AK110" s="7"/>
      <c r="AL110" s="7"/>
      <c r="AM110" s="7"/>
      <c r="AN110" s="7"/>
    </row>
    <row r="111">
      <c r="A111" s="7"/>
      <c r="B111" s="7"/>
      <c r="C111" s="7"/>
      <c r="D111" s="7"/>
      <c r="E111" s="7"/>
      <c r="F111" s="7"/>
      <c r="G111" s="7"/>
      <c r="H111" s="7"/>
      <c r="I111" s="7"/>
      <c r="J111" s="7"/>
      <c r="K111" s="7"/>
      <c r="L111" s="7"/>
      <c r="M111" s="7"/>
      <c r="N111" s="7"/>
      <c r="O111" s="7"/>
      <c r="P111" s="7"/>
      <c r="Q111" s="7"/>
      <c r="R111" s="7"/>
      <c r="S111" s="7"/>
      <c r="T111" s="7"/>
      <c r="U111" s="7" t="str">
        <f>IFERROR(__xludf.DUMMYFUNCTION("""COMPUTED_VALUE"""),"Domantas Sabonis")</f>
        <v>Domantas Sabonis</v>
      </c>
      <c r="V111" s="7"/>
      <c r="W111" s="7" t="b">
        <f>IFERROR(__xludf.DUMMYFUNCTION("""COMPUTED_VALUE"""),TRUE)</f>
        <v>1</v>
      </c>
      <c r="X111" s="7"/>
      <c r="Y111" s="7"/>
      <c r="Z111" s="7"/>
      <c r="AA111" s="7"/>
      <c r="AB111" s="7"/>
      <c r="AC111" s="7"/>
      <c r="AD111" s="7"/>
      <c r="AE111" s="7"/>
      <c r="AF111" s="7"/>
      <c r="AG111" s="7"/>
      <c r="AH111" s="7"/>
      <c r="AI111" s="7"/>
      <c r="AJ111" s="7"/>
      <c r="AK111" s="7"/>
      <c r="AL111" s="7"/>
      <c r="AM111" s="7"/>
      <c r="AN111" s="7"/>
    </row>
    <row r="112">
      <c r="A112" s="7"/>
      <c r="B112" s="7"/>
      <c r="C112" s="7"/>
      <c r="D112" s="7"/>
      <c r="E112" s="7"/>
      <c r="F112" s="7"/>
      <c r="G112" s="7"/>
      <c r="H112" s="7"/>
      <c r="I112" s="7"/>
      <c r="J112" s="7"/>
      <c r="K112" s="7"/>
      <c r="L112" s="7"/>
      <c r="M112" s="7"/>
      <c r="N112" s="7"/>
      <c r="O112" s="7"/>
      <c r="P112" s="7"/>
      <c r="Q112" s="7"/>
      <c r="R112" s="7"/>
      <c r="S112" s="7"/>
      <c r="T112" s="7"/>
      <c r="U112" s="7" t="str">
        <f>IFERROR(__xludf.DUMMYFUNCTION("""COMPUTED_VALUE"""),"Jalen Williams")</f>
        <v>Jalen Williams</v>
      </c>
      <c r="V112" s="7"/>
      <c r="W112" s="7" t="b">
        <f>IFERROR(__xludf.DUMMYFUNCTION("""COMPUTED_VALUE"""),TRUE)</f>
        <v>1</v>
      </c>
      <c r="X112" s="7"/>
      <c r="Y112" s="7"/>
      <c r="Z112" s="7"/>
      <c r="AA112" s="7"/>
      <c r="AB112" s="7"/>
      <c r="AC112" s="7"/>
      <c r="AD112" s="7"/>
      <c r="AE112" s="7"/>
      <c r="AF112" s="7"/>
      <c r="AG112" s="7"/>
      <c r="AH112" s="7"/>
      <c r="AI112" s="7"/>
      <c r="AJ112" s="7"/>
      <c r="AK112" s="7"/>
      <c r="AL112" s="7"/>
      <c r="AM112" s="7"/>
      <c r="AN112" s="7"/>
    </row>
    <row r="113">
      <c r="A113" s="7"/>
      <c r="B113" s="7"/>
      <c r="C113" s="7"/>
      <c r="D113" s="7"/>
      <c r="E113" s="7"/>
      <c r="F113" s="7"/>
      <c r="G113" s="7"/>
      <c r="H113" s="7"/>
      <c r="I113" s="7"/>
      <c r="J113" s="7"/>
      <c r="K113" s="7"/>
      <c r="L113" s="7"/>
      <c r="M113" s="7"/>
      <c r="N113" s="7"/>
      <c r="O113" s="7"/>
      <c r="P113" s="7"/>
      <c r="Q113" s="7"/>
      <c r="R113" s="7"/>
      <c r="S113" s="7"/>
      <c r="T113" s="7"/>
      <c r="U113" s="54" t="str">
        <f>IFERROR(__xludf.DUMMYFUNCTION("""COMPUTED_VALUE"""),"Paolo Banchero")</f>
        <v>Paolo Banchero</v>
      </c>
      <c r="V113" s="7"/>
      <c r="W113" s="7" t="b">
        <f>IFERROR(__xludf.DUMMYFUNCTION("""COMPUTED_VALUE"""),TRUE)</f>
        <v>1</v>
      </c>
      <c r="X113" s="7"/>
      <c r="Y113" s="7"/>
      <c r="Z113" s="7"/>
      <c r="AA113" s="7"/>
      <c r="AB113" s="7"/>
      <c r="AC113" s="7"/>
      <c r="AD113" s="7"/>
      <c r="AE113" s="7"/>
      <c r="AF113" s="7"/>
      <c r="AG113" s="7"/>
      <c r="AH113" s="7"/>
      <c r="AI113" s="7"/>
      <c r="AJ113" s="7"/>
      <c r="AK113" s="7"/>
      <c r="AL113" s="7"/>
      <c r="AM113" s="7"/>
      <c r="AN113" s="7"/>
    </row>
    <row r="114">
      <c r="A114" s="7"/>
      <c r="B114" s="7"/>
      <c r="C114" s="7"/>
      <c r="D114" s="7"/>
      <c r="E114" s="7"/>
      <c r="F114" s="7"/>
      <c r="G114" s="7"/>
      <c r="H114" s="7"/>
      <c r="I114" s="7"/>
      <c r="J114" s="7"/>
      <c r="K114" s="7"/>
      <c r="L114" s="7"/>
      <c r="M114" s="7"/>
      <c r="N114" s="7"/>
      <c r="O114" s="7"/>
      <c r="P114" s="7"/>
      <c r="Q114" s="7"/>
      <c r="R114" s="7"/>
      <c r="S114" s="7"/>
      <c r="T114" s="7"/>
      <c r="U114" s="54" t="str">
        <f>IFERROR(__xludf.DUMMYFUNCTION("""COMPUTED_VALUE"""),"Jaylen Brown")</f>
        <v>Jaylen Brown</v>
      </c>
      <c r="V114" s="7"/>
      <c r="W114" s="7" t="b">
        <f>IFERROR(__xludf.DUMMYFUNCTION("""COMPUTED_VALUE"""),TRUE)</f>
        <v>1</v>
      </c>
      <c r="X114" s="7"/>
      <c r="Y114" s="7"/>
      <c r="Z114" s="7"/>
      <c r="AA114" s="7"/>
      <c r="AB114" s="7"/>
      <c r="AC114" s="7"/>
      <c r="AD114" s="7"/>
      <c r="AE114" s="7"/>
      <c r="AF114" s="7"/>
      <c r="AG114" s="7"/>
      <c r="AH114" s="7"/>
      <c r="AI114" s="7"/>
      <c r="AJ114" s="7"/>
      <c r="AK114" s="7"/>
      <c r="AL114" s="7"/>
      <c r="AM114" s="7"/>
      <c r="AN114" s="7"/>
    </row>
    <row r="115">
      <c r="A115" s="7"/>
      <c r="B115" s="7"/>
      <c r="C115" s="7"/>
      <c r="D115" s="7"/>
      <c r="E115" s="7"/>
      <c r="F115" s="7"/>
      <c r="G115" s="7"/>
      <c r="H115" s="7"/>
      <c r="I115" s="7"/>
      <c r="J115" s="7"/>
      <c r="K115" s="7"/>
      <c r="L115" s="7"/>
      <c r="M115" s="7"/>
      <c r="N115" s="7"/>
      <c r="O115" s="7"/>
      <c r="P115" s="7"/>
      <c r="Q115" s="7"/>
      <c r="R115" s="7"/>
      <c r="S115" s="7"/>
      <c r="T115" s="7"/>
      <c r="U115" s="54" t="str">
        <f>IFERROR(__xludf.DUMMYFUNCTION("""COMPUTED_VALUE"""),"Desmond Bane")</f>
        <v>Desmond Bane</v>
      </c>
      <c r="V115" s="7"/>
      <c r="W115" s="7" t="b">
        <f>IFERROR(__xludf.DUMMYFUNCTION("""COMPUTED_VALUE"""),TRUE)</f>
        <v>1</v>
      </c>
      <c r="X115" s="7"/>
      <c r="Y115" s="7"/>
      <c r="Z115" s="7"/>
      <c r="AA115" s="7"/>
      <c r="AB115" s="7"/>
      <c r="AC115" s="7"/>
      <c r="AD115" s="7"/>
      <c r="AE115" s="7"/>
      <c r="AF115" s="7"/>
      <c r="AG115" s="7"/>
      <c r="AH115" s="7"/>
      <c r="AI115" s="7"/>
      <c r="AJ115" s="7"/>
      <c r="AK115" s="7"/>
      <c r="AL115" s="7"/>
      <c r="AM115" s="7"/>
      <c r="AN115" s="7"/>
    </row>
    <row r="116">
      <c r="A116" s="7"/>
      <c r="B116" s="7"/>
      <c r="C116" s="7"/>
      <c r="D116" s="7"/>
      <c r="E116" s="7"/>
      <c r="F116" s="7"/>
      <c r="G116" s="7"/>
      <c r="H116" s="7"/>
      <c r="I116" s="7"/>
      <c r="J116" s="7"/>
      <c r="K116" s="7"/>
      <c r="L116" s="7"/>
      <c r="M116" s="7"/>
      <c r="N116" s="7"/>
      <c r="O116" s="7"/>
      <c r="P116" s="7"/>
      <c r="Q116" s="7"/>
      <c r="R116" s="7"/>
      <c r="S116" s="7"/>
      <c r="T116" s="7"/>
      <c r="U116" s="54" t="str">
        <f>IFERROR(__xludf.DUMMYFUNCTION("""COMPUTED_VALUE"""),"Jarrett Allen")</f>
        <v>Jarrett Allen</v>
      </c>
      <c r="V116" s="7"/>
      <c r="W116" s="7" t="b">
        <f>IFERROR(__xludf.DUMMYFUNCTION("""COMPUTED_VALUE"""),TRUE)</f>
        <v>1</v>
      </c>
      <c r="X116" s="7"/>
      <c r="Y116" s="7"/>
      <c r="Z116" s="7"/>
      <c r="AA116" s="7"/>
      <c r="AB116" s="7"/>
      <c r="AC116" s="7"/>
      <c r="AD116" s="7"/>
      <c r="AE116" s="7"/>
      <c r="AF116" s="7"/>
      <c r="AG116" s="7"/>
      <c r="AH116" s="7"/>
      <c r="AI116" s="7"/>
      <c r="AJ116" s="7"/>
      <c r="AK116" s="7"/>
      <c r="AL116" s="7"/>
      <c r="AM116" s="7"/>
      <c r="AN116" s="7"/>
    </row>
    <row r="117">
      <c r="A117" s="7"/>
      <c r="B117" s="7"/>
      <c r="C117" s="7"/>
      <c r="D117" s="7"/>
      <c r="E117" s="7"/>
      <c r="F117" s="7"/>
      <c r="G117" s="7"/>
      <c r="H117" s="7"/>
      <c r="I117" s="7"/>
      <c r="J117" s="7"/>
      <c r="K117" s="7"/>
      <c r="L117" s="7"/>
      <c r="M117" s="7"/>
      <c r="N117" s="7"/>
      <c r="O117" s="7"/>
      <c r="P117" s="7"/>
      <c r="Q117" s="7"/>
      <c r="R117" s="7"/>
      <c r="S117" s="7"/>
      <c r="T117" s="7"/>
      <c r="U117" s="54" t="str">
        <f>IFERROR(__xludf.DUMMYFUNCTION("""COMPUTED_VALUE"""),"Brandon Ingram")</f>
        <v>Brandon Ingram</v>
      </c>
      <c r="V117" s="7"/>
      <c r="W117" s="7" t="b">
        <f>IFERROR(__xludf.DUMMYFUNCTION("""COMPUTED_VALUE"""),TRUE)</f>
        <v>1</v>
      </c>
      <c r="X117" s="7"/>
      <c r="Y117" s="7"/>
      <c r="Z117" s="7"/>
      <c r="AA117" s="7"/>
      <c r="AB117" s="7"/>
      <c r="AC117" s="7"/>
      <c r="AD117" s="7"/>
      <c r="AE117" s="7"/>
      <c r="AF117" s="7"/>
      <c r="AG117" s="7"/>
      <c r="AH117" s="7"/>
      <c r="AI117" s="7"/>
      <c r="AJ117" s="7"/>
      <c r="AK117" s="7"/>
      <c r="AL117" s="7"/>
      <c r="AM117" s="7"/>
      <c r="AN117" s="7"/>
    </row>
    <row r="118">
      <c r="A118" s="7"/>
      <c r="B118" s="7"/>
      <c r="C118" s="7"/>
      <c r="D118" s="7"/>
      <c r="E118" s="7"/>
      <c r="F118" s="7"/>
      <c r="G118" s="7"/>
      <c r="H118" s="7"/>
      <c r="I118" s="7"/>
      <c r="J118" s="7"/>
      <c r="K118" s="7"/>
      <c r="L118" s="7"/>
      <c r="M118" s="7"/>
      <c r="N118" s="7"/>
      <c r="O118" s="7"/>
      <c r="P118" s="7"/>
      <c r="Q118" s="7"/>
      <c r="R118" s="7"/>
      <c r="S118" s="7"/>
      <c r="T118" s="7"/>
      <c r="U118" s="54" t="str">
        <f>IFERROR(__xludf.DUMMYFUNCTION("""COMPUTED_VALUE"""),"Mikal Bridges")</f>
        <v>Mikal Bridges</v>
      </c>
      <c r="V118" s="7"/>
      <c r="W118" s="7" t="b">
        <f>IFERROR(__xludf.DUMMYFUNCTION("""COMPUTED_VALUE"""),TRUE)</f>
        <v>1</v>
      </c>
      <c r="X118" s="7"/>
      <c r="Y118" s="7"/>
      <c r="Z118" s="7"/>
      <c r="AA118" s="7"/>
      <c r="AB118" s="7"/>
      <c r="AC118" s="7"/>
      <c r="AD118" s="7"/>
      <c r="AE118" s="7"/>
      <c r="AF118" s="7"/>
      <c r="AG118" s="7"/>
      <c r="AH118" s="7"/>
      <c r="AI118" s="7"/>
      <c r="AJ118" s="7"/>
      <c r="AK118" s="7"/>
      <c r="AL118" s="7"/>
      <c r="AM118" s="7"/>
      <c r="AN118" s="7"/>
    </row>
    <row r="119">
      <c r="A119" s="7"/>
      <c r="B119" s="7"/>
      <c r="C119" s="7"/>
      <c r="D119" s="7"/>
      <c r="E119" s="7"/>
      <c r="F119" s="7"/>
      <c r="G119" s="7"/>
      <c r="H119" s="7"/>
      <c r="I119" s="7"/>
      <c r="J119" s="7"/>
      <c r="K119" s="7"/>
      <c r="L119" s="7"/>
      <c r="M119" s="7"/>
      <c r="N119" s="7"/>
      <c r="O119" s="7"/>
      <c r="P119" s="7"/>
      <c r="Q119" s="7"/>
      <c r="R119" s="7"/>
      <c r="S119" s="7"/>
      <c r="T119" s="7"/>
      <c r="U119" s="54" t="str">
        <f>IFERROR(__xludf.DUMMYFUNCTION("""COMPUTED_VALUE"""),"Aaron Gordon")</f>
        <v>Aaron Gordon</v>
      </c>
      <c r="V119" s="7"/>
      <c r="W119" s="7" t="b">
        <f>IFERROR(__xludf.DUMMYFUNCTION("""COMPUTED_VALUE"""),TRUE)</f>
        <v>1</v>
      </c>
      <c r="X119" s="7"/>
      <c r="Y119" s="7"/>
      <c r="Z119" s="7"/>
      <c r="AA119" s="7"/>
      <c r="AB119" s="7"/>
      <c r="AC119" s="7"/>
      <c r="AD119" s="7"/>
      <c r="AE119" s="7"/>
      <c r="AF119" s="7"/>
      <c r="AG119" s="7"/>
      <c r="AH119" s="7"/>
      <c r="AI119" s="7"/>
      <c r="AJ119" s="7"/>
      <c r="AK119" s="7"/>
      <c r="AL119" s="7"/>
      <c r="AM119" s="7"/>
      <c r="AN119" s="7"/>
    </row>
    <row r="120">
      <c r="A120" s="7"/>
      <c r="B120" s="7"/>
      <c r="C120" s="7"/>
      <c r="D120" s="7"/>
      <c r="E120" s="7"/>
      <c r="F120" s="7"/>
      <c r="G120" s="7"/>
      <c r="H120" s="7"/>
      <c r="I120" s="7"/>
      <c r="J120" s="7"/>
      <c r="K120" s="7"/>
      <c r="L120" s="7"/>
      <c r="M120" s="7"/>
      <c r="N120" s="7"/>
      <c r="O120" s="7"/>
      <c r="P120" s="7"/>
      <c r="Q120" s="7"/>
      <c r="R120" s="7"/>
      <c r="S120" s="7"/>
      <c r="T120" s="7"/>
      <c r="U120" s="54" t="str">
        <f>IFERROR(__xludf.DUMMYFUNCTION("""COMPUTED_VALUE"""),"Norman Powell")</f>
        <v>Norman Powell</v>
      </c>
      <c r="V120" s="7"/>
      <c r="W120" s="7" t="b">
        <f>IFERROR(__xludf.DUMMYFUNCTION("""COMPUTED_VALUE"""),TRUE)</f>
        <v>1</v>
      </c>
      <c r="X120" s="7"/>
      <c r="Y120" s="7"/>
      <c r="Z120" s="7"/>
      <c r="AA120" s="7"/>
      <c r="AB120" s="7"/>
      <c r="AC120" s="7"/>
      <c r="AD120" s="7"/>
      <c r="AE120" s="7"/>
      <c r="AF120" s="7"/>
      <c r="AG120" s="7"/>
      <c r="AH120" s="7"/>
      <c r="AI120" s="7"/>
      <c r="AJ120" s="7"/>
      <c r="AK120" s="7"/>
      <c r="AL120" s="7"/>
      <c r="AM120" s="7"/>
      <c r="AN120" s="7"/>
    </row>
    <row r="121">
      <c r="A121" s="7"/>
      <c r="B121" s="7"/>
      <c r="C121" s="7"/>
      <c r="D121" s="7"/>
      <c r="E121" s="7"/>
      <c r="F121" s="7"/>
      <c r="G121" s="7"/>
      <c r="H121" s="7"/>
      <c r="I121" s="7"/>
      <c r="J121" s="7"/>
      <c r="K121" s="7"/>
      <c r="L121" s="7"/>
      <c r="M121" s="7"/>
      <c r="N121" s="7"/>
      <c r="O121" s="7"/>
      <c r="P121" s="7"/>
      <c r="Q121" s="7"/>
      <c r="R121" s="7"/>
      <c r="S121" s="7"/>
      <c r="T121" s="7"/>
      <c r="U121" s="54" t="str">
        <f>IFERROR(__xludf.DUMMYFUNCTION("""COMPUTED_VALUE"""),"Kel'el Ware")</f>
        <v>Kel'el Ware</v>
      </c>
      <c r="V121" s="7"/>
      <c r="W121" s="7" t="b">
        <f>IFERROR(__xludf.DUMMYFUNCTION("""COMPUTED_VALUE"""),TRUE)</f>
        <v>1</v>
      </c>
      <c r="X121" s="7"/>
      <c r="Y121" s="7"/>
      <c r="Z121" s="7"/>
      <c r="AA121" s="7"/>
      <c r="AB121" s="7"/>
      <c r="AC121" s="7"/>
      <c r="AD121" s="7"/>
      <c r="AE121" s="7"/>
      <c r="AF121" s="7"/>
      <c r="AG121" s="7"/>
      <c r="AH121" s="7"/>
      <c r="AI121" s="7"/>
      <c r="AJ121" s="7"/>
      <c r="AK121" s="7"/>
      <c r="AL121" s="7"/>
      <c r="AM121" s="7"/>
      <c r="AN121" s="7"/>
    </row>
    <row r="122">
      <c r="A122" s="7"/>
      <c r="B122" s="7"/>
      <c r="C122" s="7"/>
      <c r="D122" s="7"/>
      <c r="E122" s="7"/>
      <c r="F122" s="7"/>
      <c r="G122" s="7"/>
      <c r="H122" s="7"/>
      <c r="I122" s="7"/>
      <c r="J122" s="7"/>
      <c r="K122" s="7"/>
      <c r="L122" s="7"/>
      <c r="M122" s="7"/>
      <c r="N122" s="7"/>
      <c r="O122" s="7"/>
      <c r="P122" s="7"/>
      <c r="Q122" s="7"/>
      <c r="R122" s="7"/>
      <c r="S122" s="7"/>
      <c r="T122" s="7"/>
      <c r="U122" s="54" t="str">
        <f>IFERROR(__xludf.DUMMYFUNCTION("""COMPUTED_VALUE"""),"De'Andre Hunter")</f>
        <v>De'Andre Hunter</v>
      </c>
      <c r="V122" s="7"/>
      <c r="W122" s="7" t="b">
        <f>IFERROR(__xludf.DUMMYFUNCTION("""COMPUTED_VALUE"""),TRUE)</f>
        <v>1</v>
      </c>
      <c r="X122" s="7"/>
      <c r="Y122" s="7"/>
      <c r="Z122" s="7"/>
      <c r="AA122" s="7"/>
      <c r="AB122" s="7"/>
      <c r="AC122" s="7"/>
      <c r="AD122" s="7"/>
      <c r="AE122" s="7"/>
      <c r="AF122" s="7"/>
      <c r="AG122" s="7"/>
      <c r="AH122" s="7"/>
      <c r="AI122" s="7"/>
      <c r="AJ122" s="7"/>
      <c r="AK122" s="7"/>
      <c r="AL122" s="7"/>
      <c r="AM122" s="7"/>
      <c r="AN122" s="7"/>
    </row>
    <row r="123">
      <c r="A123" s="7"/>
      <c r="B123" s="7"/>
      <c r="C123" s="7"/>
      <c r="D123" s="7"/>
      <c r="E123" s="7"/>
      <c r="F123" s="7"/>
      <c r="G123" s="7"/>
      <c r="H123" s="7"/>
      <c r="I123" s="7"/>
      <c r="J123" s="7"/>
      <c r="K123" s="7"/>
      <c r="L123" s="7"/>
      <c r="M123" s="7"/>
      <c r="N123" s="7"/>
      <c r="O123" s="7"/>
      <c r="P123" s="7"/>
      <c r="Q123" s="7"/>
      <c r="R123" s="7"/>
      <c r="S123" s="7"/>
      <c r="T123" s="7"/>
      <c r="U123" s="7" t="str">
        <f>IFERROR(__xludf.DUMMYFUNCTION("""COMPUTED_VALUE"""),"Trae Young")</f>
        <v>Trae Young</v>
      </c>
      <c r="V123" s="7"/>
      <c r="W123" s="7" t="b">
        <f>IFERROR(__xludf.DUMMYFUNCTION("""COMPUTED_VALUE"""),TRUE)</f>
        <v>1</v>
      </c>
      <c r="X123" s="7"/>
      <c r="Y123" s="7"/>
      <c r="Z123" s="7"/>
      <c r="AA123" s="7"/>
      <c r="AB123" s="7"/>
      <c r="AC123" s="7"/>
      <c r="AD123" s="7"/>
      <c r="AE123" s="7"/>
      <c r="AF123" s="7"/>
      <c r="AG123" s="7"/>
      <c r="AH123" s="7"/>
      <c r="AI123" s="7"/>
      <c r="AJ123" s="7"/>
      <c r="AK123" s="7"/>
      <c r="AL123" s="7"/>
      <c r="AM123" s="7"/>
      <c r="AN123" s="7"/>
    </row>
    <row r="124">
      <c r="A124" s="7"/>
      <c r="B124" s="7"/>
      <c r="C124" s="7"/>
      <c r="D124" s="7"/>
      <c r="E124" s="7"/>
      <c r="F124" s="7"/>
      <c r="G124" s="7"/>
      <c r="H124" s="7"/>
      <c r="I124" s="7"/>
      <c r="J124" s="7"/>
      <c r="K124" s="7"/>
      <c r="L124" s="7"/>
      <c r="M124" s="7"/>
      <c r="N124" s="7"/>
      <c r="O124" s="7"/>
      <c r="P124" s="7"/>
      <c r="Q124" s="7"/>
      <c r="R124" s="7"/>
      <c r="S124" s="7"/>
      <c r="T124" s="7"/>
      <c r="U124" s="7" t="str">
        <f>IFERROR(__xludf.DUMMYFUNCTION("""COMPUTED_VALUE"""),"Derrick White")</f>
        <v>Derrick White</v>
      </c>
      <c r="V124" s="7"/>
      <c r="W124" s="7" t="b">
        <f>IFERROR(__xludf.DUMMYFUNCTION("""COMPUTED_VALUE"""),TRUE)</f>
        <v>1</v>
      </c>
      <c r="X124" s="7"/>
      <c r="Y124" s="7"/>
      <c r="Z124" s="7"/>
      <c r="AA124" s="7"/>
      <c r="AB124" s="7"/>
      <c r="AC124" s="7"/>
      <c r="AD124" s="7"/>
      <c r="AE124" s="7"/>
      <c r="AF124" s="7"/>
      <c r="AG124" s="7"/>
      <c r="AH124" s="7"/>
      <c r="AI124" s="7"/>
      <c r="AJ124" s="7"/>
      <c r="AK124" s="7"/>
      <c r="AL124" s="7"/>
      <c r="AM124" s="7"/>
      <c r="AN124" s="7"/>
    </row>
    <row r="125">
      <c r="A125" s="7"/>
      <c r="B125" s="7"/>
      <c r="C125" s="7"/>
      <c r="D125" s="7"/>
      <c r="E125" s="7"/>
      <c r="F125" s="7"/>
      <c r="G125" s="7"/>
      <c r="H125" s="7"/>
      <c r="I125" s="7"/>
      <c r="J125" s="7"/>
      <c r="K125" s="7"/>
      <c r="L125" s="7"/>
      <c r="M125" s="7"/>
      <c r="N125" s="7"/>
      <c r="O125" s="7"/>
      <c r="P125" s="7"/>
      <c r="Q125" s="7"/>
      <c r="R125" s="7"/>
      <c r="S125" s="7"/>
      <c r="T125" s="7"/>
      <c r="U125" s="54" t="str">
        <f>IFERROR(__xludf.DUMMYFUNCTION("""COMPUTED_VALUE"""),"Chet Holmgren")</f>
        <v>Chet Holmgren</v>
      </c>
      <c r="V125" s="7"/>
      <c r="W125" s="7" t="b">
        <f>IFERROR(__xludf.DUMMYFUNCTION("""COMPUTED_VALUE"""),TRUE)</f>
        <v>1</v>
      </c>
      <c r="X125" s="7"/>
      <c r="Y125" s="7"/>
      <c r="Z125" s="7"/>
      <c r="AA125" s="7"/>
      <c r="AB125" s="7"/>
      <c r="AC125" s="7"/>
      <c r="AD125" s="7"/>
      <c r="AE125" s="7"/>
      <c r="AF125" s="7"/>
      <c r="AG125" s="7"/>
      <c r="AH125" s="7"/>
      <c r="AI125" s="7"/>
      <c r="AJ125" s="7"/>
      <c r="AK125" s="7"/>
      <c r="AL125" s="7"/>
      <c r="AM125" s="7"/>
      <c r="AN125" s="7"/>
    </row>
    <row r="126">
      <c r="A126" s="7"/>
      <c r="B126" s="7"/>
      <c r="C126" s="7"/>
      <c r="D126" s="7"/>
      <c r="E126" s="7"/>
      <c r="F126" s="7"/>
      <c r="G126" s="7"/>
      <c r="H126" s="7"/>
      <c r="I126" s="7"/>
      <c r="J126" s="7"/>
      <c r="K126" s="7"/>
      <c r="L126" s="7"/>
      <c r="M126" s="7"/>
      <c r="N126" s="7"/>
      <c r="O126" s="7"/>
      <c r="P126" s="7"/>
      <c r="Q126" s="7"/>
      <c r="R126" s="7"/>
      <c r="S126" s="7"/>
      <c r="T126" s="7"/>
      <c r="U126" s="54" t="str">
        <f>IFERROR(__xludf.DUMMYFUNCTION("""COMPUTED_VALUE"""),"Trey Murphy")</f>
        <v>Trey Murphy</v>
      </c>
      <c r="V126" s="7"/>
      <c r="W126" s="7" t="b">
        <f>IFERROR(__xludf.DUMMYFUNCTION("""COMPUTED_VALUE"""),TRUE)</f>
        <v>1</v>
      </c>
      <c r="X126" s="7"/>
      <c r="Y126" s="7"/>
      <c r="Z126" s="7"/>
      <c r="AA126" s="7"/>
      <c r="AB126" s="7"/>
      <c r="AC126" s="7"/>
      <c r="AD126" s="7"/>
      <c r="AE126" s="7"/>
      <c r="AF126" s="7"/>
      <c r="AG126" s="7"/>
      <c r="AH126" s="7"/>
      <c r="AI126" s="7"/>
      <c r="AJ126" s="7"/>
      <c r="AK126" s="7"/>
      <c r="AL126" s="7"/>
      <c r="AM126" s="7"/>
      <c r="AN126" s="7"/>
    </row>
    <row r="127">
      <c r="A127" s="7"/>
      <c r="B127" s="7"/>
      <c r="C127" s="7"/>
      <c r="D127" s="7"/>
      <c r="E127" s="7"/>
      <c r="F127" s="7"/>
      <c r="G127" s="7"/>
      <c r="H127" s="7"/>
      <c r="I127" s="7"/>
      <c r="J127" s="7"/>
      <c r="K127" s="7"/>
      <c r="L127" s="7"/>
      <c r="M127" s="7"/>
      <c r="N127" s="7"/>
      <c r="O127" s="7"/>
      <c r="P127" s="7"/>
      <c r="Q127" s="7"/>
      <c r="R127" s="7"/>
      <c r="S127" s="7"/>
      <c r="T127" s="7"/>
      <c r="U127" s="54" t="str">
        <f>IFERROR(__xludf.DUMMYFUNCTION("""COMPUTED_VALUE"""),"Zach LaVine")</f>
        <v>Zach LaVine</v>
      </c>
      <c r="V127" s="7"/>
      <c r="W127" s="7" t="b">
        <f>IFERROR(__xludf.DUMMYFUNCTION("""COMPUTED_VALUE"""),TRUE)</f>
        <v>1</v>
      </c>
      <c r="X127" s="7"/>
      <c r="Y127" s="7"/>
      <c r="Z127" s="7"/>
      <c r="AA127" s="7"/>
      <c r="AB127" s="7"/>
      <c r="AC127" s="7"/>
      <c r="AD127" s="7"/>
      <c r="AE127" s="7"/>
      <c r="AF127" s="7"/>
      <c r="AG127" s="7"/>
      <c r="AH127" s="7"/>
      <c r="AI127" s="7"/>
      <c r="AJ127" s="7"/>
      <c r="AK127" s="7"/>
      <c r="AL127" s="7"/>
      <c r="AM127" s="7"/>
      <c r="AN127" s="7"/>
    </row>
    <row r="128">
      <c r="A128" s="7"/>
      <c r="B128" s="7"/>
      <c r="C128" s="7"/>
      <c r="D128" s="7"/>
      <c r="E128" s="7"/>
      <c r="F128" s="7"/>
      <c r="G128" s="7"/>
      <c r="H128" s="7"/>
      <c r="I128" s="7"/>
      <c r="J128" s="7"/>
      <c r="K128" s="7"/>
      <c r="L128" s="7"/>
      <c r="M128" s="7"/>
      <c r="N128" s="7"/>
      <c r="O128" s="7"/>
      <c r="P128" s="7"/>
      <c r="Q128" s="7"/>
      <c r="R128" s="7"/>
      <c r="S128" s="7"/>
      <c r="T128" s="7"/>
      <c r="U128" s="54" t="str">
        <f>IFERROR(__xludf.DUMMYFUNCTION("""COMPUTED_VALUE"""),"Tyler Herro")</f>
        <v>Tyler Herro</v>
      </c>
      <c r="V128" s="7"/>
      <c r="W128" s="7" t="b">
        <f>IFERROR(__xludf.DUMMYFUNCTION("""COMPUTED_VALUE"""),TRUE)</f>
        <v>1</v>
      </c>
      <c r="X128" s="7"/>
      <c r="Y128" s="7"/>
      <c r="Z128" s="7"/>
      <c r="AA128" s="7"/>
      <c r="AB128" s="7"/>
      <c r="AC128" s="7"/>
      <c r="AD128" s="7"/>
      <c r="AE128" s="7"/>
      <c r="AF128" s="7"/>
      <c r="AG128" s="7"/>
      <c r="AH128" s="7"/>
      <c r="AI128" s="7"/>
      <c r="AJ128" s="7"/>
      <c r="AK128" s="7"/>
      <c r="AL128" s="7"/>
      <c r="AM128" s="7"/>
      <c r="AN128" s="7"/>
    </row>
    <row r="129">
      <c r="A129" s="7"/>
      <c r="B129" s="7"/>
      <c r="C129" s="7"/>
      <c r="D129" s="7"/>
      <c r="E129" s="7"/>
      <c r="F129" s="7"/>
      <c r="G129" s="7"/>
      <c r="H129" s="7"/>
      <c r="I129" s="7"/>
      <c r="J129" s="7"/>
      <c r="K129" s="7"/>
      <c r="L129" s="7"/>
      <c r="M129" s="7"/>
      <c r="N129" s="7"/>
      <c r="O129" s="7"/>
      <c r="P129" s="7"/>
      <c r="Q129" s="7"/>
      <c r="R129" s="7"/>
      <c r="S129" s="7"/>
      <c r="T129" s="7"/>
      <c r="U129" s="54" t="str">
        <f>IFERROR(__xludf.DUMMYFUNCTION("""COMPUTED_VALUE"""),"Josh Hart")</f>
        <v>Josh Hart</v>
      </c>
      <c r="V129" s="7"/>
      <c r="W129" s="7" t="b">
        <f>IFERROR(__xludf.DUMMYFUNCTION("""COMPUTED_VALUE"""),TRUE)</f>
        <v>1</v>
      </c>
      <c r="X129" s="7"/>
      <c r="Y129" s="7"/>
      <c r="Z129" s="7"/>
      <c r="AA129" s="7"/>
      <c r="AB129" s="7"/>
      <c r="AC129" s="7"/>
      <c r="AD129" s="7"/>
      <c r="AE129" s="7"/>
      <c r="AF129" s="7"/>
      <c r="AG129" s="7"/>
      <c r="AH129" s="7"/>
      <c r="AI129" s="7"/>
      <c r="AJ129" s="7"/>
      <c r="AK129" s="7"/>
      <c r="AL129" s="7"/>
      <c r="AM129" s="7"/>
      <c r="AN129" s="7"/>
    </row>
    <row r="130">
      <c r="A130" s="7"/>
      <c r="B130" s="7"/>
      <c r="C130" s="7"/>
      <c r="D130" s="7"/>
      <c r="E130" s="7"/>
      <c r="F130" s="7"/>
      <c r="G130" s="7"/>
      <c r="H130" s="7"/>
      <c r="I130" s="7"/>
      <c r="J130" s="7"/>
      <c r="K130" s="7"/>
      <c r="L130" s="7"/>
      <c r="M130" s="7"/>
      <c r="N130" s="7"/>
      <c r="O130" s="7"/>
      <c r="P130" s="7"/>
      <c r="Q130" s="7"/>
      <c r="R130" s="7"/>
      <c r="S130" s="7"/>
      <c r="T130" s="7"/>
      <c r="U130" s="54" t="str">
        <f>IFERROR(__xludf.DUMMYFUNCTION("""COMPUTED_VALUE"""),"James Harden")</f>
        <v>James Harden</v>
      </c>
      <c r="V130" s="7"/>
      <c r="W130" s="7" t="b">
        <f>IFERROR(__xludf.DUMMYFUNCTION("""COMPUTED_VALUE"""),TRUE)</f>
        <v>1</v>
      </c>
      <c r="X130" s="7"/>
      <c r="Y130" s="7"/>
      <c r="Z130" s="7"/>
      <c r="AA130" s="7"/>
      <c r="AB130" s="7"/>
      <c r="AC130" s="7"/>
      <c r="AD130" s="7"/>
      <c r="AE130" s="7"/>
      <c r="AF130" s="7"/>
      <c r="AG130" s="7"/>
      <c r="AH130" s="7"/>
      <c r="AI130" s="7"/>
      <c r="AJ130" s="7"/>
      <c r="AK130" s="7"/>
      <c r="AL130" s="7"/>
      <c r="AM130" s="7"/>
      <c r="AN130" s="7"/>
    </row>
    <row r="131">
      <c r="A131" s="7"/>
      <c r="B131" s="7"/>
      <c r="C131" s="7"/>
      <c r="D131" s="7"/>
      <c r="E131" s="7"/>
      <c r="F131" s="7"/>
      <c r="G131" s="7"/>
      <c r="H131" s="7"/>
      <c r="I131" s="7"/>
      <c r="J131" s="7"/>
      <c r="K131" s="7"/>
      <c r="L131" s="7"/>
      <c r="M131" s="7"/>
      <c r="N131" s="7"/>
      <c r="O131" s="7"/>
      <c r="P131" s="7"/>
      <c r="Q131" s="7"/>
      <c r="R131" s="7"/>
      <c r="S131" s="7"/>
      <c r="T131" s="7"/>
      <c r="U131" s="54" t="str">
        <f>IFERROR(__xludf.DUMMYFUNCTION("""COMPUTED_VALUE"""),"Chris Paul")</f>
        <v>Chris Paul</v>
      </c>
      <c r="V131" s="7"/>
      <c r="W131" s="7" t="b">
        <f>IFERROR(__xludf.DUMMYFUNCTION("""COMPUTED_VALUE"""),TRUE)</f>
        <v>1</v>
      </c>
      <c r="X131" s="7"/>
      <c r="Y131" s="7"/>
      <c r="Z131" s="7"/>
      <c r="AA131" s="7"/>
      <c r="AB131" s="7"/>
      <c r="AC131" s="7"/>
      <c r="AD131" s="7"/>
      <c r="AE131" s="7"/>
      <c r="AF131" s="7"/>
      <c r="AG131" s="7"/>
      <c r="AH131" s="7"/>
      <c r="AI131" s="7"/>
      <c r="AJ131" s="7"/>
      <c r="AK131" s="7"/>
      <c r="AL131" s="7"/>
      <c r="AM131" s="7"/>
      <c r="AN131" s="7"/>
    </row>
    <row r="132">
      <c r="A132" s="7"/>
      <c r="B132" s="7"/>
      <c r="C132" s="7"/>
      <c r="D132" s="7"/>
      <c r="E132" s="7"/>
      <c r="F132" s="7"/>
      <c r="G132" s="7"/>
      <c r="H132" s="7"/>
      <c r="I132" s="7"/>
      <c r="J132" s="7"/>
      <c r="K132" s="7"/>
      <c r="L132" s="7"/>
      <c r="M132" s="7"/>
      <c r="N132" s="7"/>
      <c r="O132" s="7"/>
      <c r="P132" s="7"/>
      <c r="Q132" s="7"/>
      <c r="R132" s="7"/>
      <c r="S132" s="7"/>
      <c r="T132" s="7"/>
      <c r="U132" s="54" t="str">
        <f>IFERROR(__xludf.DUMMYFUNCTION("""COMPUTED_VALUE"""),"Jalen Suggs")</f>
        <v>Jalen Suggs</v>
      </c>
      <c r="V132" s="7"/>
      <c r="W132" s="7" t="b">
        <f>IFERROR(__xludf.DUMMYFUNCTION("""COMPUTED_VALUE"""),TRUE)</f>
        <v>1</v>
      </c>
      <c r="X132" s="7"/>
      <c r="Y132" s="7"/>
      <c r="Z132" s="7"/>
      <c r="AA132" s="7"/>
      <c r="AB132" s="7"/>
      <c r="AC132" s="7"/>
      <c r="AD132" s="7"/>
      <c r="AE132" s="7"/>
      <c r="AF132" s="7"/>
      <c r="AG132" s="7"/>
      <c r="AH132" s="7"/>
      <c r="AI132" s="7"/>
      <c r="AJ132" s="7"/>
      <c r="AK132" s="7"/>
      <c r="AL132" s="7"/>
      <c r="AM132" s="7"/>
      <c r="AN132" s="7"/>
    </row>
    <row r="133">
      <c r="A133" s="7"/>
      <c r="B133" s="7"/>
      <c r="C133" s="7"/>
      <c r="D133" s="7"/>
      <c r="E133" s="7"/>
      <c r="F133" s="7"/>
      <c r="G133" s="7"/>
      <c r="H133" s="7"/>
      <c r="I133" s="7"/>
      <c r="J133" s="7"/>
      <c r="K133" s="7"/>
      <c r="L133" s="7"/>
      <c r="M133" s="7"/>
      <c r="N133" s="7"/>
      <c r="O133" s="7"/>
      <c r="P133" s="7"/>
      <c r="Q133" s="7"/>
      <c r="R133" s="7"/>
      <c r="S133" s="7"/>
      <c r="T133" s="7"/>
      <c r="U133" s="54" t="str">
        <f>IFERROR(__xludf.DUMMYFUNCTION("""COMPUTED_VALUE"""),"Brook Lopez")</f>
        <v>Brook Lopez</v>
      </c>
      <c r="V133" s="7"/>
      <c r="W133" s="7" t="b">
        <f>IFERROR(__xludf.DUMMYFUNCTION("""COMPUTED_VALUE"""),TRUE)</f>
        <v>1</v>
      </c>
      <c r="X133" s="7"/>
      <c r="Y133" s="7"/>
      <c r="Z133" s="7"/>
      <c r="AA133" s="7"/>
      <c r="AB133" s="7"/>
      <c r="AC133" s="7"/>
      <c r="AD133" s="7"/>
      <c r="AE133" s="7"/>
      <c r="AF133" s="7"/>
      <c r="AG133" s="7"/>
      <c r="AH133" s="7"/>
      <c r="AI133" s="7"/>
      <c r="AJ133" s="7"/>
      <c r="AK133" s="7"/>
      <c r="AL133" s="7"/>
      <c r="AM133" s="7"/>
      <c r="AN133" s="7"/>
    </row>
    <row r="134">
      <c r="A134" s="7"/>
      <c r="B134" s="7"/>
      <c r="C134" s="7"/>
      <c r="D134" s="7"/>
      <c r="E134" s="7"/>
      <c r="F134" s="7"/>
      <c r="G134" s="7"/>
      <c r="H134" s="7"/>
      <c r="I134" s="7"/>
      <c r="J134" s="7"/>
      <c r="K134" s="7"/>
      <c r="L134" s="7"/>
      <c r="M134" s="7"/>
      <c r="N134" s="7"/>
      <c r="O134" s="7"/>
      <c r="P134" s="7"/>
      <c r="Q134" s="7"/>
      <c r="R134" s="7"/>
      <c r="S134" s="7"/>
      <c r="T134" s="7"/>
      <c r="U134" s="54" t="str">
        <f>IFERROR(__xludf.DUMMYFUNCTION("""COMPUTED_VALUE"""),"Dereck Lively II")</f>
        <v>Dereck Lively II</v>
      </c>
      <c r="V134" s="7"/>
      <c r="W134" s="7" t="b">
        <f>IFERROR(__xludf.DUMMYFUNCTION("""COMPUTED_VALUE"""),TRUE)</f>
        <v>1</v>
      </c>
      <c r="X134" s="7"/>
      <c r="Y134" s="7"/>
      <c r="Z134" s="7"/>
      <c r="AA134" s="7"/>
      <c r="AB134" s="7"/>
      <c r="AC134" s="7"/>
      <c r="AD134" s="7"/>
      <c r="AE134" s="7"/>
      <c r="AF134" s="7"/>
      <c r="AG134" s="7"/>
      <c r="AH134" s="7"/>
      <c r="AI134" s="7"/>
      <c r="AJ134" s="7"/>
      <c r="AK134" s="7"/>
      <c r="AL134" s="7"/>
      <c r="AM134" s="7"/>
      <c r="AN134" s="7"/>
    </row>
    <row r="135">
      <c r="A135" s="7"/>
      <c r="B135" s="7"/>
      <c r="C135" s="7"/>
      <c r="D135" s="7"/>
      <c r="E135" s="7"/>
      <c r="F135" s="7"/>
      <c r="G135" s="7"/>
      <c r="H135" s="7"/>
      <c r="I135" s="7"/>
      <c r="J135" s="7"/>
      <c r="K135" s="7"/>
      <c r="L135" s="7"/>
      <c r="M135" s="7"/>
      <c r="N135" s="7"/>
      <c r="O135" s="7"/>
      <c r="P135" s="7"/>
      <c r="Q135" s="7"/>
      <c r="R135" s="7"/>
      <c r="S135" s="7"/>
      <c r="T135" s="7"/>
      <c r="U135" s="7" t="str">
        <f>IFERROR(__xludf.DUMMYFUNCTION("""COMPUTED_VALUE"""),"Anthony Davis")</f>
        <v>Anthony Davis</v>
      </c>
      <c r="V135" s="7"/>
      <c r="W135" s="7" t="b">
        <f>IFERROR(__xludf.DUMMYFUNCTION("""COMPUTED_VALUE"""),TRUE)</f>
        <v>1</v>
      </c>
      <c r="X135" s="7"/>
      <c r="Y135" s="7"/>
      <c r="Z135" s="7"/>
      <c r="AA135" s="7"/>
      <c r="AB135" s="7"/>
      <c r="AC135" s="7"/>
      <c r="AD135" s="7"/>
      <c r="AE135" s="7"/>
      <c r="AF135" s="7"/>
      <c r="AG135" s="7"/>
      <c r="AH135" s="7"/>
      <c r="AI135" s="7"/>
      <c r="AJ135" s="7"/>
      <c r="AK135" s="7"/>
      <c r="AL135" s="7"/>
      <c r="AM135" s="7"/>
      <c r="AN135" s="7"/>
    </row>
    <row r="136">
      <c r="A136" s="7"/>
      <c r="B136" s="7"/>
      <c r="C136" s="7"/>
      <c r="D136" s="7"/>
      <c r="E136" s="7"/>
      <c r="F136" s="7"/>
      <c r="G136" s="7"/>
      <c r="H136" s="7"/>
      <c r="I136" s="7"/>
      <c r="J136" s="7"/>
      <c r="K136" s="7"/>
      <c r="L136" s="7"/>
      <c r="M136" s="7"/>
      <c r="N136" s="7"/>
      <c r="O136" s="7"/>
      <c r="P136" s="7"/>
      <c r="Q136" s="7"/>
      <c r="R136" s="7"/>
      <c r="S136" s="7"/>
      <c r="T136" s="7"/>
      <c r="U136" s="7" t="str">
        <f>IFERROR(__xludf.DUMMYFUNCTION("""COMPUTED_VALUE"""),"LaMelo Ball")</f>
        <v>LaMelo Ball</v>
      </c>
      <c r="V136" s="7"/>
      <c r="W136" s="7" t="b">
        <f>IFERROR(__xludf.DUMMYFUNCTION("""COMPUTED_VALUE"""),TRUE)</f>
        <v>1</v>
      </c>
      <c r="X136" s="7"/>
      <c r="Y136" s="7"/>
      <c r="Z136" s="7"/>
      <c r="AA136" s="7"/>
      <c r="AB136" s="7"/>
      <c r="AC136" s="7"/>
      <c r="AD136" s="7"/>
      <c r="AE136" s="7"/>
      <c r="AF136" s="7"/>
      <c r="AG136" s="7"/>
      <c r="AH136" s="7"/>
      <c r="AI136" s="7"/>
      <c r="AJ136" s="7"/>
      <c r="AK136" s="7"/>
      <c r="AL136" s="7"/>
      <c r="AM136" s="7"/>
      <c r="AN136" s="7"/>
    </row>
    <row r="137">
      <c r="A137" s="7"/>
      <c r="B137" s="7"/>
      <c r="C137" s="7"/>
      <c r="D137" s="7"/>
      <c r="E137" s="7"/>
      <c r="F137" s="7"/>
      <c r="G137" s="7"/>
      <c r="H137" s="7"/>
      <c r="I137" s="7"/>
      <c r="J137" s="7"/>
      <c r="K137" s="7"/>
      <c r="L137" s="7"/>
      <c r="M137" s="7"/>
      <c r="N137" s="7"/>
      <c r="O137" s="7"/>
      <c r="P137" s="7"/>
      <c r="Q137" s="7"/>
      <c r="R137" s="7"/>
      <c r="S137" s="7"/>
      <c r="T137" s="7"/>
      <c r="U137" s="54" t="str">
        <f>IFERROR(__xludf.DUMMYFUNCTION("""COMPUTED_VALUE"""),"Amen Thompson")</f>
        <v>Amen Thompson</v>
      </c>
      <c r="V137" s="7"/>
      <c r="W137" s="7" t="b">
        <f>IFERROR(__xludf.DUMMYFUNCTION("""COMPUTED_VALUE"""),TRUE)</f>
        <v>1</v>
      </c>
      <c r="X137" s="7"/>
      <c r="Y137" s="7"/>
      <c r="Z137" s="7"/>
      <c r="AA137" s="7"/>
      <c r="AB137" s="7"/>
      <c r="AC137" s="7"/>
      <c r="AD137" s="7"/>
      <c r="AE137" s="7"/>
      <c r="AF137" s="7"/>
      <c r="AG137" s="7"/>
      <c r="AH137" s="7"/>
      <c r="AI137" s="7"/>
      <c r="AJ137" s="7"/>
      <c r="AK137" s="7"/>
      <c r="AL137" s="7"/>
      <c r="AM137" s="7"/>
      <c r="AN137" s="7"/>
    </row>
    <row r="138">
      <c r="A138" s="7"/>
      <c r="B138" s="7"/>
      <c r="C138" s="7"/>
      <c r="D138" s="7"/>
      <c r="E138" s="7"/>
      <c r="F138" s="7"/>
      <c r="G138" s="7"/>
      <c r="H138" s="7"/>
      <c r="I138" s="7"/>
      <c r="J138" s="7"/>
      <c r="K138" s="7"/>
      <c r="L138" s="7"/>
      <c r="M138" s="7"/>
      <c r="N138" s="7"/>
      <c r="O138" s="7"/>
      <c r="P138" s="7"/>
      <c r="Q138" s="7"/>
      <c r="R138" s="7"/>
      <c r="S138" s="7"/>
      <c r="T138" s="7"/>
      <c r="U138" s="54" t="str">
        <f>IFERROR(__xludf.DUMMYFUNCTION("""COMPUTED_VALUE"""),"De'Aaron Fox")</f>
        <v>De'Aaron Fox</v>
      </c>
      <c r="V138" s="7"/>
      <c r="W138" s="7" t="b">
        <f>IFERROR(__xludf.DUMMYFUNCTION("""COMPUTED_VALUE"""),TRUE)</f>
        <v>1</v>
      </c>
      <c r="X138" s="7"/>
      <c r="Y138" s="7"/>
      <c r="Z138" s="7"/>
      <c r="AA138" s="7"/>
      <c r="AB138" s="7"/>
      <c r="AC138" s="7"/>
      <c r="AD138" s="7"/>
      <c r="AE138" s="7"/>
      <c r="AF138" s="7"/>
      <c r="AG138" s="7"/>
      <c r="AH138" s="7"/>
      <c r="AI138" s="7"/>
      <c r="AJ138" s="7"/>
      <c r="AK138" s="7"/>
      <c r="AL138" s="7"/>
      <c r="AM138" s="7"/>
      <c r="AN138" s="7"/>
    </row>
    <row r="139">
      <c r="A139" s="7"/>
      <c r="B139" s="7"/>
      <c r="C139" s="7"/>
      <c r="D139" s="7"/>
      <c r="E139" s="7"/>
      <c r="F139" s="7"/>
      <c r="G139" s="7"/>
      <c r="H139" s="7"/>
      <c r="I139" s="7"/>
      <c r="J139" s="7"/>
      <c r="K139" s="7"/>
      <c r="L139" s="7"/>
      <c r="M139" s="7"/>
      <c r="N139" s="7"/>
      <c r="O139" s="7"/>
      <c r="P139" s="7"/>
      <c r="Q139" s="7"/>
      <c r="R139" s="7"/>
      <c r="S139" s="7"/>
      <c r="T139" s="7"/>
      <c r="U139" s="54" t="str">
        <f>IFERROR(__xludf.DUMMYFUNCTION("""COMPUTED_VALUE"""),"Deni Avdija")</f>
        <v>Deni Avdija</v>
      </c>
      <c r="V139" s="7"/>
      <c r="W139" s="7" t="b">
        <f>IFERROR(__xludf.DUMMYFUNCTION("""COMPUTED_VALUE"""),TRUE)</f>
        <v>1</v>
      </c>
      <c r="X139" s="7"/>
      <c r="Y139" s="7"/>
      <c r="Z139" s="7"/>
      <c r="AA139" s="7"/>
      <c r="AB139" s="7"/>
      <c r="AC139" s="7"/>
      <c r="AD139" s="7"/>
      <c r="AE139" s="7"/>
      <c r="AF139" s="7"/>
      <c r="AG139" s="7"/>
      <c r="AH139" s="7"/>
      <c r="AI139" s="7"/>
      <c r="AJ139" s="7"/>
      <c r="AK139" s="7"/>
      <c r="AL139" s="7"/>
      <c r="AM139" s="7"/>
      <c r="AN139" s="7"/>
    </row>
    <row r="140">
      <c r="A140" s="7"/>
      <c r="B140" s="7"/>
      <c r="C140" s="7"/>
      <c r="D140" s="7"/>
      <c r="E140" s="7"/>
      <c r="F140" s="7"/>
      <c r="G140" s="7"/>
      <c r="H140" s="7"/>
      <c r="I140" s="7"/>
      <c r="J140" s="7"/>
      <c r="K140" s="7"/>
      <c r="L140" s="7"/>
      <c r="M140" s="7"/>
      <c r="N140" s="7"/>
      <c r="O140" s="7"/>
      <c r="P140" s="7"/>
      <c r="Q140" s="7"/>
      <c r="R140" s="7"/>
      <c r="S140" s="7"/>
      <c r="T140" s="7"/>
      <c r="U140" s="54" t="str">
        <f>IFERROR(__xludf.DUMMYFUNCTION("""COMPUTED_VALUE"""),"DeMar DeRozan")</f>
        <v>DeMar DeRozan</v>
      </c>
      <c r="V140" s="7"/>
      <c r="W140" s="7" t="b">
        <f>IFERROR(__xludf.DUMMYFUNCTION("""COMPUTED_VALUE"""),TRUE)</f>
        <v>1</v>
      </c>
      <c r="X140" s="7"/>
      <c r="Y140" s="7"/>
      <c r="Z140" s="7"/>
      <c r="AA140" s="7"/>
      <c r="AB140" s="7"/>
      <c r="AC140" s="7"/>
      <c r="AD140" s="7"/>
      <c r="AE140" s="7"/>
      <c r="AF140" s="7"/>
      <c r="AG140" s="7"/>
      <c r="AH140" s="7"/>
      <c r="AI140" s="7"/>
      <c r="AJ140" s="7"/>
      <c r="AK140" s="7"/>
      <c r="AL140" s="7"/>
      <c r="AM140" s="7"/>
      <c r="AN140" s="7"/>
    </row>
    <row r="141">
      <c r="A141" s="7"/>
      <c r="B141" s="7"/>
      <c r="C141" s="7"/>
      <c r="D141" s="7"/>
      <c r="E141" s="7"/>
      <c r="F141" s="7"/>
      <c r="G141" s="7"/>
      <c r="H141" s="7"/>
      <c r="I141" s="7"/>
      <c r="J141" s="7"/>
      <c r="K141" s="7"/>
      <c r="L141" s="7"/>
      <c r="M141" s="7"/>
      <c r="N141" s="7"/>
      <c r="O141" s="7"/>
      <c r="P141" s="7"/>
      <c r="Q141" s="7"/>
      <c r="R141" s="7"/>
      <c r="S141" s="7"/>
      <c r="T141" s="7"/>
      <c r="U141" s="54" t="str">
        <f>IFERROR(__xludf.DUMMYFUNCTION("""COMPUTED_VALUE"""),"Darius Garland")</f>
        <v>Darius Garland</v>
      </c>
      <c r="V141" s="7"/>
      <c r="W141" s="7" t="b">
        <f>IFERROR(__xludf.DUMMYFUNCTION("""COMPUTED_VALUE"""),TRUE)</f>
        <v>1</v>
      </c>
      <c r="X141" s="7"/>
      <c r="Y141" s="7"/>
      <c r="Z141" s="7"/>
      <c r="AA141" s="7"/>
      <c r="AB141" s="7"/>
      <c r="AC141" s="7"/>
      <c r="AD141" s="7"/>
      <c r="AE141" s="7"/>
      <c r="AF141" s="7"/>
      <c r="AG141" s="7"/>
      <c r="AH141" s="7"/>
      <c r="AI141" s="7"/>
      <c r="AJ141" s="7"/>
      <c r="AK141" s="7"/>
      <c r="AL141" s="7"/>
      <c r="AM141" s="7"/>
      <c r="AN141" s="7"/>
    </row>
    <row r="142">
      <c r="A142" s="7"/>
      <c r="B142" s="7"/>
      <c r="C142" s="7"/>
      <c r="D142" s="7"/>
      <c r="E142" s="7"/>
      <c r="F142" s="7"/>
      <c r="G142" s="7"/>
      <c r="H142" s="7"/>
      <c r="I142" s="7"/>
      <c r="J142" s="7"/>
      <c r="K142" s="7"/>
      <c r="L142" s="7"/>
      <c r="M142" s="7"/>
      <c r="N142" s="7"/>
      <c r="O142" s="7"/>
      <c r="P142" s="7"/>
      <c r="Q142" s="7"/>
      <c r="R142" s="7"/>
      <c r="S142" s="7"/>
      <c r="T142" s="7"/>
      <c r="U142" s="54" t="str">
        <f>IFERROR(__xludf.DUMMYFUNCTION("""COMPUTED_VALUE"""),"Bradley Beal")</f>
        <v>Bradley Beal</v>
      </c>
      <c r="V142" s="7"/>
      <c r="W142" s="7" t="b">
        <f>IFERROR(__xludf.DUMMYFUNCTION("""COMPUTED_VALUE"""),TRUE)</f>
        <v>1</v>
      </c>
      <c r="X142" s="7"/>
      <c r="Y142" s="7"/>
      <c r="Z142" s="7"/>
      <c r="AA142" s="7"/>
      <c r="AB142" s="7"/>
      <c r="AC142" s="7"/>
      <c r="AD142" s="7"/>
      <c r="AE142" s="7"/>
      <c r="AF142" s="7"/>
      <c r="AG142" s="7"/>
      <c r="AH142" s="7"/>
      <c r="AI142" s="7"/>
      <c r="AJ142" s="7"/>
      <c r="AK142" s="7"/>
      <c r="AL142" s="7"/>
      <c r="AM142" s="7"/>
      <c r="AN142" s="7"/>
    </row>
    <row r="143">
      <c r="A143" s="7"/>
      <c r="B143" s="7"/>
      <c r="C143" s="7"/>
      <c r="D143" s="7"/>
      <c r="E143" s="7"/>
      <c r="F143" s="7"/>
      <c r="G143" s="7"/>
      <c r="H143" s="7"/>
      <c r="I143" s="7"/>
      <c r="J143" s="7"/>
      <c r="K143" s="7"/>
      <c r="L143" s="7"/>
      <c r="M143" s="7"/>
      <c r="N143" s="7"/>
      <c r="O143" s="7"/>
      <c r="P143" s="7"/>
      <c r="Q143" s="7"/>
      <c r="R143" s="7"/>
      <c r="S143" s="7"/>
      <c r="T143" s="7"/>
      <c r="U143" s="54" t="str">
        <f>IFERROR(__xludf.DUMMYFUNCTION("""COMPUTED_VALUE"""),"Zach Edey")</f>
        <v>Zach Edey</v>
      </c>
      <c r="V143" s="7"/>
      <c r="W143" s="7" t="b">
        <f>IFERROR(__xludf.DUMMYFUNCTION("""COMPUTED_VALUE"""),TRUE)</f>
        <v>1</v>
      </c>
      <c r="X143" s="7"/>
      <c r="Y143" s="7"/>
      <c r="Z143" s="7"/>
      <c r="AA143" s="7"/>
      <c r="AB143" s="7"/>
      <c r="AC143" s="7"/>
      <c r="AD143" s="7"/>
      <c r="AE143" s="7"/>
      <c r="AF143" s="7"/>
      <c r="AG143" s="7"/>
      <c r="AH143" s="7"/>
      <c r="AI143" s="7"/>
      <c r="AJ143" s="7"/>
      <c r="AK143" s="7"/>
      <c r="AL143" s="7"/>
      <c r="AM143" s="7"/>
      <c r="AN143" s="7"/>
    </row>
    <row r="144">
      <c r="A144" s="7"/>
      <c r="B144" s="7"/>
      <c r="C144" s="7"/>
      <c r="D144" s="7"/>
      <c r="E144" s="7"/>
      <c r="F144" s="7"/>
      <c r="G144" s="7"/>
      <c r="H144" s="7"/>
      <c r="I144" s="7"/>
      <c r="J144" s="7"/>
      <c r="K144" s="7"/>
      <c r="L144" s="7"/>
      <c r="M144" s="7"/>
      <c r="N144" s="7"/>
      <c r="O144" s="7"/>
      <c r="P144" s="7"/>
      <c r="Q144" s="7"/>
      <c r="R144" s="7"/>
      <c r="S144" s="7"/>
      <c r="T144" s="7"/>
      <c r="U144" s="54" t="str">
        <f>IFERROR(__xludf.DUMMYFUNCTION("""COMPUTED_VALUE"""),"Devin Vassell")</f>
        <v>Devin Vassell</v>
      </c>
      <c r="V144" s="7"/>
      <c r="W144" s="7" t="b">
        <f>IFERROR(__xludf.DUMMYFUNCTION("""COMPUTED_VALUE"""),TRUE)</f>
        <v>1</v>
      </c>
      <c r="X144" s="7"/>
      <c r="Y144" s="7"/>
      <c r="Z144" s="7"/>
      <c r="AA144" s="7"/>
      <c r="AB144" s="7"/>
      <c r="AC144" s="7"/>
      <c r="AD144" s="7"/>
      <c r="AE144" s="7"/>
      <c r="AF144" s="7"/>
      <c r="AG144" s="7"/>
      <c r="AH144" s="7"/>
      <c r="AI144" s="7"/>
      <c r="AJ144" s="7"/>
      <c r="AK144" s="7"/>
      <c r="AL144" s="7"/>
      <c r="AM144" s="7"/>
      <c r="AN144" s="7"/>
    </row>
    <row r="145">
      <c r="A145" s="7"/>
      <c r="B145" s="7"/>
      <c r="C145" s="7"/>
      <c r="D145" s="7"/>
      <c r="E145" s="7"/>
      <c r="F145" s="7"/>
      <c r="G145" s="7"/>
      <c r="H145" s="7"/>
      <c r="I145" s="7"/>
      <c r="J145" s="7"/>
      <c r="K145" s="7"/>
      <c r="L145" s="7"/>
      <c r="M145" s="7"/>
      <c r="N145" s="7"/>
      <c r="O145" s="7"/>
      <c r="P145" s="7"/>
      <c r="Q145" s="7"/>
      <c r="R145" s="7"/>
      <c r="S145" s="7"/>
      <c r="T145" s="7"/>
      <c r="U145" s="54" t="str">
        <f>IFERROR(__xludf.DUMMYFUNCTION("""COMPUTED_VALUE"""),"Herb Jones")</f>
        <v>Herb Jones</v>
      </c>
      <c r="V145" s="7"/>
      <c r="W145" s="7" t="b">
        <f>IFERROR(__xludf.DUMMYFUNCTION("""COMPUTED_VALUE"""),TRUE)</f>
        <v>1</v>
      </c>
      <c r="X145" s="7"/>
      <c r="Y145" s="7"/>
      <c r="Z145" s="7"/>
      <c r="AA145" s="7"/>
      <c r="AB145" s="7"/>
      <c r="AC145" s="7"/>
      <c r="AD145" s="7"/>
      <c r="AE145" s="7"/>
      <c r="AF145" s="7"/>
      <c r="AG145" s="7"/>
      <c r="AH145" s="7"/>
      <c r="AI145" s="7"/>
      <c r="AJ145" s="7"/>
      <c r="AK145" s="7"/>
      <c r="AL145" s="7"/>
      <c r="AM145" s="7"/>
      <c r="AN145" s="7"/>
    </row>
    <row r="146">
      <c r="A146" s="7"/>
      <c r="B146" s="7"/>
      <c r="C146" s="7"/>
      <c r="D146" s="7"/>
      <c r="E146" s="7"/>
      <c r="F146" s="7"/>
      <c r="G146" s="7"/>
      <c r="H146" s="7"/>
      <c r="I146" s="7"/>
      <c r="J146" s="7"/>
      <c r="K146" s="7"/>
      <c r="L146" s="7"/>
      <c r="M146" s="7"/>
      <c r="N146" s="7"/>
      <c r="O146" s="7"/>
      <c r="P146" s="7"/>
      <c r="Q146" s="7"/>
      <c r="R146" s="7"/>
      <c r="S146" s="7"/>
      <c r="T146" s="7"/>
      <c r="U146" s="54" t="str">
        <f>IFERROR(__xludf.DUMMYFUNCTION("""COMPUTED_VALUE"""),"Miles McBride")</f>
        <v>Miles McBride</v>
      </c>
      <c r="V146" s="7"/>
      <c r="W146" s="7" t="b">
        <f>IFERROR(__xludf.DUMMYFUNCTION("""COMPUTED_VALUE"""),TRUE)</f>
        <v>1</v>
      </c>
      <c r="X146" s="7"/>
      <c r="Y146" s="7"/>
      <c r="Z146" s="7"/>
      <c r="AA146" s="7"/>
      <c r="AB146" s="7"/>
      <c r="AC146" s="7"/>
      <c r="AD146" s="7"/>
      <c r="AE146" s="7"/>
      <c r="AF146" s="7"/>
      <c r="AG146" s="7"/>
      <c r="AH146" s="7"/>
      <c r="AI146" s="7"/>
      <c r="AJ146" s="7"/>
      <c r="AK146" s="7"/>
      <c r="AL146" s="7"/>
      <c r="AM146" s="7"/>
      <c r="AN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row>
  </sheetData>
  <conditionalFormatting sqref="H6">
    <cfRule type="expression" dxfId="0" priority="1">
      <formula>(A7=TRUE)</formula>
    </cfRule>
  </conditionalFormatting>
  <conditionalFormatting sqref="F6">
    <cfRule type="expression" dxfId="0" priority="2">
      <formula>(A7=TRUE)</formula>
    </cfRule>
  </conditionalFormatting>
  <conditionalFormatting sqref="G11">
    <cfRule type="expression" dxfId="0" priority="3">
      <formula>(A7=TRUE)</formula>
    </cfRule>
  </conditionalFormatting>
  <conditionalFormatting sqref="K11">
    <cfRule type="expression" dxfId="0" priority="4">
      <formula>(A7=TRUE)</formula>
    </cfRule>
  </conditionalFormatting>
  <conditionalFormatting sqref="L6">
    <cfRule type="expression" dxfId="0" priority="5">
      <formula>(A7=TRUE)</formula>
    </cfRule>
  </conditionalFormatting>
  <conditionalFormatting sqref="M11">
    <cfRule type="expression" dxfId="0" priority="6">
      <formula>(A7=TRUE)</formula>
    </cfRule>
  </conditionalFormatting>
  <conditionalFormatting sqref="I11">
    <cfRule type="expression" dxfId="0" priority="7">
      <formula>(A7=TRUE)</formula>
    </cfRule>
  </conditionalFormatting>
  <conditionalFormatting sqref="O11">
    <cfRule type="expression" dxfId="0" priority="8">
      <formula>(A7=TRUE)</formula>
    </cfRule>
  </conditionalFormatting>
  <conditionalFormatting sqref="N6">
    <cfRule type="expression" dxfId="0" priority="9">
      <formula>(A7=TRUE)</formula>
    </cfRule>
  </conditionalFormatting>
  <conditionalFormatting sqref="D3 D6 D9 D12">
    <cfRule type="expression" dxfId="0" priority="10">
      <formula>(A4=TRUE)</formula>
    </cfRule>
  </conditionalFormatting>
  <conditionalFormatting sqref="J6">
    <cfRule type="expression" dxfId="0" priority="11">
      <formula>(A7=TRUE)</formula>
    </cfRule>
  </conditionalFormatting>
  <conditionalFormatting sqref="E11">
    <cfRule type="expression" dxfId="0" priority="12">
      <formula>(A7=TRUE)</formula>
    </cfRule>
  </conditionalFormatting>
  <conditionalFormatting sqref="E14">
    <cfRule type="expression" dxfId="0" priority="13">
      <formula>(A4=TRUE)</formula>
    </cfRule>
  </conditionalFormatting>
  <conditionalFormatting sqref="D6">
    <cfRule type="expression" dxfId="0" priority="14">
      <formula>(A7=TRUE)</formula>
    </cfRule>
  </conditionalFormatting>
  <conditionalFormatting sqref="D16 D19 D22 D25">
    <cfRule type="expression" dxfId="0" priority="15">
      <formula>(A17=TRUE)</formula>
    </cfRule>
  </conditionalFormatting>
  <conditionalFormatting sqref="D19">
    <cfRule type="expression" dxfId="0" priority="16">
      <formula>(A20=TRUE)</formula>
    </cfRule>
  </conditionalFormatting>
  <conditionalFormatting sqref="E24">
    <cfRule type="expression" dxfId="0" priority="17">
      <formula>(A20=TRUE)</formula>
    </cfRule>
  </conditionalFormatting>
  <conditionalFormatting sqref="F19">
    <cfRule type="expression" dxfId="0" priority="18">
      <formula>(A20=TRUE)</formula>
    </cfRule>
  </conditionalFormatting>
  <conditionalFormatting sqref="P6 N19 P19">
    <cfRule type="expression" dxfId="0" priority="19">
      <formula>(C7=TRUE)</formula>
    </cfRule>
  </conditionalFormatting>
  <conditionalFormatting sqref="H19">
    <cfRule type="expression" dxfId="0" priority="20">
      <formula>(A20=TRUE)</formula>
    </cfRule>
  </conditionalFormatting>
  <conditionalFormatting sqref="J19">
    <cfRule type="expression" dxfId="0" priority="21">
      <formula>(A20=TRUE)</formula>
    </cfRule>
  </conditionalFormatting>
  <conditionalFormatting sqref="L19">
    <cfRule type="expression" dxfId="0" priority="22">
      <formula>(A20=TRUE)</formula>
    </cfRule>
  </conditionalFormatting>
  <conditionalFormatting sqref="G24">
    <cfRule type="expression" dxfId="0" priority="23">
      <formula>(A20=TRUE)</formula>
    </cfRule>
  </conditionalFormatting>
  <conditionalFormatting sqref="I24">
    <cfRule type="expression" dxfId="0" priority="24">
      <formula>(A20=TRUE)</formula>
    </cfRule>
  </conditionalFormatting>
  <conditionalFormatting sqref="K24">
    <cfRule type="expression" dxfId="0" priority="25">
      <formula>(A20=TRUE)</formula>
    </cfRule>
  </conditionalFormatting>
  <conditionalFormatting sqref="M24">
    <cfRule type="expression" dxfId="0" priority="26">
      <formula>(A20=TRUE)</formula>
    </cfRule>
  </conditionalFormatting>
  <conditionalFormatting sqref="Q11 O24 Q24">
    <cfRule type="expression" dxfId="0" priority="27">
      <formula>(C7=TRUE)</formula>
    </cfRule>
  </conditionalFormatting>
  <conditionalFormatting sqref="E27">
    <cfRule type="expression" dxfId="0" priority="28">
      <formula>(A17=TRUE)</formula>
    </cfRule>
  </conditionalFormatting>
  <conditionalFormatting sqref="F3 H3 P3 Q4 F5 H5 P5 Q6 F7 H7 P7 Q8 F9 H9 P9 Q10 F11 H11 P11 Q12 F13 H13 P13 G14 I14 Q14 J16 L16 N16 P16 Q17 P18 Q19 P20 Q21 P22 Q23 P24 Q25 P26 K27 M27 O27 Q27">
    <cfRule type="expression" dxfId="0" priority="29">
      <formula>($C$3=TRUE)</formula>
    </cfRule>
  </conditionalFormatting>
  <conditionalFormatting sqref="J3 L3 N3 J5 L5 N5 J7 L7 N7 J9 L9 N9 J11 L11 N11 J13 L13 N13 K14 M14 O14">
    <cfRule type="expression" dxfId="0" priority="30">
      <formula>($C$3=TRUE)</formula>
    </cfRule>
  </conditionalFormatting>
  <conditionalFormatting sqref="D2 F2 H2 J2 L2 N2 P2 Q3 D4:D5 F4:F15 H4:H15 J4:J15 L4:L15 N4 P4 B5 Q5 N6 P6 D7 Q7 B8 N8 P8 D9:D11 Q9 N10 P10 B11 Q11 N12 P12 D13 E13:E14 G13:G14 I13:I14 K13:K14 M13:M14 O13 Q13 B14:C14 N14:N15 P14:P15 D15 Q16 D17 F17 H17 J17 L17 N17 P17 Q18 P19 D20 Q20 P21 Q22 D23 P23 Q24 P25 D26:E26 G26 I26 K26 M26 O26 Q26 P27">
    <cfRule type="expression" dxfId="0" priority="31">
      <formula>($C$4=TRUE)</formula>
    </cfRule>
  </conditionalFormatting>
  <conditionalFormatting sqref="D5 F5 H5 J5 L5 N5 P5 D8 D11 E12 G12 I12 K12 M12 O12 Q12 D14 D18 F18 H18 J18 L18 N18 P18 D21 D24 E25 G25 I25 K25 M25 O25 Q25 D27">
    <cfRule type="expression" dxfId="1" priority="32">
      <formula>($E$4=TRUE)</formula>
    </cfRule>
  </conditionalFormatting>
  <conditionalFormatting sqref="D7 F7 H7 J7 L7 N7 P7 E10 G10 I10 K10 M10 O10 Q10 D20 F20 H20 J20 L20 N20 P20 E23 G23 I23 K23 M23 O23 Q23">
    <cfRule type="expression" dxfId="0" priority="33">
      <formula>($E$6=TRUE)</formula>
    </cfRule>
  </conditionalFormatting>
  <conditionalFormatting sqref="D8 F8 H8 J8 L8 N8 P8 E9 G9 I9 K9 M9 O9 Q9 D21 F21 H21 J21 L21 N21 P21 E22 G22 I22 K22 M22 O22 Q22">
    <cfRule type="expression" dxfId="0" priority="34">
      <formula>($E$7=TRUE)</formula>
    </cfRule>
  </conditionalFormatting>
  <conditionalFormatting sqref="E8 G8 I8 K8 M8 O8 Q8 D9 F9 H9 J9 L9 N9 P9 E21 G21 I21 K21 M21 O21 Q21 D22 F22 H22 J22 L22 N22 P22">
    <cfRule type="expression" dxfId="1" priority="35">
      <formula>($E$8=TRUE)</formula>
    </cfRule>
  </conditionalFormatting>
  <conditionalFormatting sqref="E7 G7 I7 K7 M7 O7 Q7 D10 F10 H10 J10 L10 N10 P10 E20 G20 I20 K20 M20 O20 Q20 D23 F23 H23 J23 L23 N23 P23">
    <cfRule type="expression" dxfId="0" priority="36">
      <formula>($E$9=TRUE)</formula>
    </cfRule>
  </conditionalFormatting>
  <conditionalFormatting sqref="E6 G6 I6 K6 M6 O6 Q6 D11 F11 H11 J11 L11 N11 P11 E19 G19 I19 K19 M19 O19 Q19 D24 F24 H24 J24 L24 N24 P24">
    <cfRule type="expression" dxfId="0" priority="37">
      <formula>($E$10=TRUE)</formula>
    </cfRule>
  </conditionalFormatting>
  <conditionalFormatting sqref="E5 G5 I5 K5 M5 O5 Q5 D12 F12 H12 J12 L12 N12 P12 F16 E18 G18 I18 K18 M18 O18 Q18 F19 F22 D25 F25 H25 J25 L25 N25 P25">
    <cfRule type="expression" dxfId="0" priority="38">
      <formula>($E$11=TRUE)</formula>
    </cfRule>
  </conditionalFormatting>
  <conditionalFormatting sqref="P3 E4 G4 I4 K4 M4 O4 Q4 C5 P5 E6 G6 I6 K6 M6 O6 Q6 C7 P7 E8 G8 I8 K8 M8 O8 Q8 C9 P9 E10 G10 I10 K10 M10 O10 Q10 C11 P11 E12 G12 I12 K12 M12 O12 Q12 C13:D13 F13 H13 J13 L13 N13 P13 E14 G14 I14 K14 M14 O14 Q14 H16:H27 J16:J27 L16:L27 N16 P16 E17:E28 F17 G17:G28 I17:I28 K17:K28 M17:M28 O17 Q17 C18:D18 N18 P18 F19:F21 O19 Q19 C20 N20 P20 D21 O21 Q21 C22 N22 P22 F23 O23 Q23 C24:D24 N24 P24 F25:F27 O25 Q25 C26 D26:D27 N26 P26 B27 O27 Q27 C28">
    <cfRule type="expression" dxfId="0" priority="39">
      <formula>($E$12=TRUE)</formula>
    </cfRule>
  </conditionalFormatting>
  <conditionalFormatting sqref="E3 G3 I3 K3 M3 O3 Q3 C4 P4 E5 G5 I5 K5 M5 O5 Q5 C6 P6 E7 G7 I7 K7 M7 O7 Q7 C8 P8 E9 G9 I9 K9 M9 O9 Q9 C10 P10 E11 G11 I11 K11 M11 O11 Q11 C12 P12 E13 G13 I13 K13 M13 O13 Q13 C14:D14 F14 H14 J14 L14 N14 P14 E16:E27 G16:G27 I16:I27 K16:K27 M16:M27 O16 Q16 C17 H17:H28 J17:J28 L17:L28 N17 P17 F18 O18 Q18 C19:D19 N19 P19 F20:F22 O20 Q20 C21 N21 P21 D22 O22 Q22 C23 N23 P23 F24 O24 Q24 C25:D25 N25 P25 F26:F28 O26 Q26 C27 D27:D28 N27 P27 B28">
    <cfRule type="expression" dxfId="0" priority="40">
      <formula>($E$13=TRUE)</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2"/>
      <c r="C4" s="426" t="s">
        <v>95</v>
      </c>
      <c r="D4" s="426" t="s">
        <v>13</v>
      </c>
      <c r="E4" s="440" t="s">
        <v>99</v>
      </c>
      <c r="F4" s="426" t="s">
        <v>101</v>
      </c>
      <c r="G4" s="426" t="s">
        <v>15</v>
      </c>
      <c r="H4" s="426" t="s">
        <v>16</v>
      </c>
      <c r="I4" s="426" t="s">
        <v>17</v>
      </c>
      <c r="J4" s="426" t="s">
        <v>9</v>
      </c>
      <c r="K4" s="426" t="s">
        <v>11</v>
      </c>
      <c r="L4" s="426" t="s">
        <v>18</v>
      </c>
      <c r="M4" s="426" t="s">
        <v>257</v>
      </c>
      <c r="N4" s="426"/>
      <c r="O4" s="426"/>
      <c r="P4" s="426"/>
      <c r="Q4" s="426"/>
      <c r="R4" s="426"/>
      <c r="S4" s="426"/>
      <c r="T4" s="426"/>
      <c r="U4" s="426"/>
      <c r="V4" s="426"/>
      <c r="W4" s="426"/>
      <c r="X4" s="426"/>
      <c r="Y4" s="426" t="s">
        <v>2633</v>
      </c>
      <c r="Z4" s="426" t="s">
        <v>109</v>
      </c>
    </row>
    <row r="5">
      <c r="B5" s="441" t="b">
        <f>Draft!C3</f>
        <v>0</v>
      </c>
      <c r="C5" s="427">
        <v>1.0</v>
      </c>
      <c r="D5" s="423" t="str">
        <f>((IF(ISBLANK(Draft!D3),0,VLOOKUP(Draft!D3, 'Final Update'!A4:L1000,2,FALSE)+(IF(ISBLANK(Draft!E14),0,VLOOKUP(Draft!E14, 'Final Update'!A4:L1000,2,FALSE)+(IF(ISBLANK(Draft!F3),0,VLOOKUP(Draft!F3, 'Final Update'!A4:L1000,2,FALSE)+(IF(ISBLANK(Draft!G14),0,VLOOKUP(Draft!G14, 'Final Update'!A4:L1000,2,FALSE)+(IF(ISBLANK(Draft!H3),0,VLOOKUP(Draft!H3, 'Final Update'!A4:L1000,2,FALSE)+(IF(ISBLANK(Draft!I14),0,VLOOKUP(Draft!I14, 'Final Update'!A4:L1000,2,FALSE)+(IF(ISBLANK(Draft!J3),0,VLOOKUP(Draft!J3, 'Final Update'!A4:L1000,2,FALSE)+(IF(ISBLANK(Draft!K14),0,VLOOKUP(Draft!K14, 'Final Update'!A4:L1000,2,FALSE)+(IF(ISBLANK(Draft!L3),0,VLOOKUP(Draft!L3, 'Final Update'!A4:L1000,2,FALSE)+(IF(ISBLANK(Draft!M14),0,VLOOKUP(Draft!M14, 'Final Update'!A4:L1000,2,FALSE)+IF(ISBLANK(Draft!N3),0,VLOOKUP(Draft!N3, 'Final Update'!A4:L1000,2,FALSE)+IF(ISBLANK(Draft!O14),0,VLOOKUP(Draft!O14, 'Final Update'!A4:L1000,2,FALSE))))))))))))))))))))))))</f>
        <v>#N/A</v>
      </c>
      <c r="E5" s="423" t="str">
        <f>((IF(ISBLANK(Draft!D3),0,VLOOKUP(Draft!D3, 'Final Update'!A4:L1000,3,FALSE)+(IF(ISBLANK(Draft!E14),0,VLOOKUP(Draft!E14, 'Final Update'!A4:L1000,3,FALSE)+(IF(ISBLANK(Draft!F3),0,VLOOKUP(Draft!F3, 'Final Update'!A4:L1000,3,FALSE)+(IF(ISBLANK(Draft!G14),0,VLOOKUP(Draft!G14, 'Final Update'!A4:L1000,3,FALSE)+(IF(ISBLANK(Draft!H3),0,VLOOKUP(Draft!H3, 'Final Update'!A4:L1000,3,FALSE)+(IF(ISBLANK(Draft!I14),0,VLOOKUP(Draft!I14, 'Final Update'!A4:L1000,3,FALSE)+(IF(ISBLANK(Draft!J3),0,VLOOKUP(Draft!J3, 'Final Update'!A4:L1000,3,FALSE)+(IF(ISBLANK(Draft!K14),0,VLOOKUP(Draft!K14, 'Final Update'!A4:L1000,3,FALSE)+(IF(ISBLANK(Draft!L3),0,VLOOKUP(Draft!L3, 'Final Update'!A4:L1000,3,FALSE)+(IF(ISBLANK(Draft!M14),0,VLOOKUP(Draft!M14, 'Final Update'!A4:L1000,3,FALSE)+IF(ISBLANK(Draft!N3),0,VLOOKUP(Draft!N3, 'Final Update'!A4:L1000,3,FALSE)+IF(ISBLANK(Draft!O14),0,VLOOKUP(Draft!O14, 'Final Update'!A4:L1000,3,FALSE))))))))))))))))))))))))</f>
        <v>#N/A</v>
      </c>
      <c r="F5" s="423" t="str">
        <f>((IF(ISBLANK(Draft!D3),0,VLOOKUP(Draft!D3, 'Final Update'!A4:L1000,4,FALSE)+(IF(ISBLANK(Draft!E14),0,VLOOKUP(Draft!E14, 'Final Update'!A4:L1000,4,FALSE)+(IF(ISBLANK(Draft!F3),0,VLOOKUP(Draft!F3, 'Final Update'!A4:L1000,4,FALSE)+(IF(ISBLANK(Draft!G14),0,VLOOKUP(Draft!G14, 'Final Update'!A4:L1000,4,FALSE)+(IF(ISBLANK(Draft!H3),0,VLOOKUP(Draft!H3, 'Final Update'!A4:L1000,4,FALSE)+(IF(ISBLANK(Draft!I14),0,VLOOKUP(Draft!I14, 'Final Update'!A4:L1000,4,FALSE)+(IF(ISBLANK(Draft!J3),0,VLOOKUP(Draft!J3, 'Final Update'!A4:L1000,4,FALSE)+(IF(ISBLANK(Draft!K14),0,VLOOKUP(Draft!K14, 'Final Update'!A4:L1000,4,FALSE)+(IF(ISBLANK(Draft!L3),0,VLOOKUP(Draft!L3, 'Final Update'!A4:L1000,4,FALSE)+(IF(ISBLANK(Draft!M14),0,VLOOKUP(Draft!M14, 'Final Update'!A4:L1000,4,FALSE)+IF(ISBLANK(Draft!N3),0,VLOOKUP(Draft!N3, 'Final Update'!A4:L1000,4,FALSE)+IF(ISBLANK(Draft!O14),0,VLOOKUP(Draft!O14, 'Final Update'!A4:L1000,4,FALSE))))))))))))))))))))))))</f>
        <v>#N/A</v>
      </c>
      <c r="G5" s="423" t="str">
        <f>((IF(ISBLANK(Draft!D3),0,VLOOKUP(Draft!D3, 'Final Update'!A4:L1000,5,FALSE)+(IF(ISBLANK(Draft!E14),0,VLOOKUP(Draft!E14, 'Final Update'!A4:L1000,5,FALSE)+(IF(ISBLANK(Draft!F3),0,VLOOKUP(Draft!F3, 'Final Update'!A4:L1000,5,FALSE)+(IF(ISBLANK(Draft!G14),0,VLOOKUP(Draft!G14, 'Final Update'!A4:L1000,5,FALSE)+(IF(ISBLANK(Draft!H3),0,VLOOKUP(Draft!H3, 'Final Update'!A4:L1000,5,FALSE)+(IF(ISBLANK(Draft!I14),0,VLOOKUP(Draft!I14, 'Final Update'!A4:L1000,5,FALSE)+(IF(ISBLANK(Draft!J3),0,VLOOKUP(Draft!J3, 'Final Update'!A4:L1000,5,FALSE)+(IF(ISBLANK(Draft!K14),0,VLOOKUP(Draft!K14, 'Final Update'!A4:L1000,5,FALSE)+(IF(ISBLANK(Draft!L3),0,VLOOKUP(Draft!L3, 'Final Update'!A4:L1000,5,FALSE)+(IF(ISBLANK(Draft!M14),0,VLOOKUP(Draft!M14, 'Final Update'!A4:L1000,5,FALSE)+IF(ISBLANK(Draft!N3),0,VLOOKUP(Draft!N3, 'Final Update'!A4:L1000,5,FALSE)+IF(ISBLANK(Draft!O14),0,VLOOKUP(Draft!O14, 'Final Update'!A4:L1000,5,FALSE))))))))))))))))))))))))</f>
        <v>#N/A</v>
      </c>
      <c r="H5" s="423" t="str">
        <f>((IF(ISBLANK(Draft!D3),0,VLOOKUP(Draft!D3, 'Final Update'!A4:L1000,6,FALSE)+(IF(ISBLANK(Draft!E14),0,VLOOKUP(Draft!E14, 'Final Update'!A4:L1000,6,FALSE)+(IF(ISBLANK(Draft!F3),0,VLOOKUP(Draft!F3, 'Final Update'!A4:L1000,6,FALSE)+(IF(ISBLANK(Draft!G14),0,VLOOKUP(Draft!G14, 'Final Update'!A4:L1000,6,FALSE)+(IF(ISBLANK(Draft!H3),0,VLOOKUP(Draft!H3, 'Final Update'!A4:L1000,6,FALSE)+(IF(ISBLANK(Draft!I14),0,VLOOKUP(Draft!I14, 'Final Update'!A4:L1000,6,FALSE)+(IF(ISBLANK(Draft!J3),0,VLOOKUP(Draft!J3, 'Final Update'!A4:L1000,6,FALSE)+(IF(ISBLANK(Draft!K14),0,VLOOKUP(Draft!K14, 'Final Update'!A4:L1000,6,FALSE)+(IF(ISBLANK(Draft!L3),0,VLOOKUP(Draft!L3, 'Final Update'!A4:L1000,6,FALSE)+(IF(ISBLANK(Draft!M14),0,VLOOKUP(Draft!M14, 'Final Update'!A4:L1000,6,FALSE)+IF(ISBLANK(Draft!N3),0,VLOOKUP(Draft!N3, 'Final Update'!A4:L1000,6,FALSE)+IF(ISBLANK(Draft!O14),0,VLOOKUP(Draft!O14, 'Final Update'!A4:L1000,6,FALSE))))))))))))))))))))))))</f>
        <v>#N/A</v>
      </c>
      <c r="I5" s="423" t="str">
        <f>((IF(ISBLANK(Draft!D3),0,VLOOKUP(Draft!D3, 'Final Update'!A4:L1000,7,FALSE)+(IF(ISBLANK(Draft!E14),0,VLOOKUP(Draft!E14, 'Final Update'!A4:L1000,7,FALSE)+(IF(ISBLANK(Draft!F3),0,VLOOKUP(Draft!F3, 'Final Update'!A4:L1000,7,FALSE)+(IF(ISBLANK(Draft!G14),0,VLOOKUP(Draft!G14, 'Final Update'!A4:L1000,7,FALSE)+(IF(ISBLANK(Draft!H3),0,VLOOKUP(Draft!H3, 'Final Update'!A4:L1000,7,FALSE)+(IF(ISBLANK(Draft!I14),0,VLOOKUP(Draft!I14, 'Final Update'!A4:L1000,7,FALSE)+(IF(ISBLANK(Draft!J3),0,VLOOKUP(Draft!J3, 'Final Update'!A4:L1000,7,FALSE)+(IF(ISBLANK(Draft!K14),0,VLOOKUP(Draft!K14, 'Final Update'!A4:L1000,7,FALSE)+(IF(ISBLANK(Draft!L3),0,VLOOKUP(Draft!L3, 'Final Update'!A4:L1000,7,FALSE)+(IF(ISBLANK(Draft!M14),0,VLOOKUP(Draft!M14, 'Final Update'!A4:L1000,7,FALSE)+IF(ISBLANK(Draft!N3),0,VLOOKUP(Draft!N3, 'Final Update'!A4:L1000,7,FALSE)+IF(ISBLANK(Draft!O14),0,VLOOKUP(Draft!O14, 'Final Update'!A4:L1000,7,FALSE))))))))))))))))))))))))</f>
        <v>#N/A</v>
      </c>
      <c r="J5" s="427" t="str">
        <f>((IF(ISBLANK(Draft!D3),0,VLOOKUP(Draft!D3, 'Final Update'!A4:L1000,8,FALSE)+(IF(ISBLANK(Draft!E14),0,VLOOKUP(Draft!E14, 'Final Update'!A4:L1000,8,FALSE)+(IF(ISBLANK(Draft!F3),0,VLOOKUP(Draft!F3, 'Final Update'!A4:L1000,8,FALSE)+(IF(ISBLANK(Draft!G14),0,VLOOKUP(Draft!G14, 'Final Update'!A4:L1000,8,FALSE)+(IF(ISBLANK(Draft!H3),0,VLOOKUP(Draft!H3, 'Final Update'!A4:L1000,8,FALSE)+(IF(ISBLANK(Draft!I14),0,VLOOKUP(Draft!I14, 'Final Update'!A4:L1000,8,FALSE)+(IF(ISBLANK(Draft!J3),0,VLOOKUP(Draft!J3, 'Final Update'!A4:L1000,8,FALSE)+(IF(ISBLANK(Draft!K14),0,VLOOKUP(Draft!K14, 'Final Update'!A4:L1000,8,FALSE)+(IF(ISBLANK(Draft!L3),0,VLOOKUP(Draft!L3, 'Final Update'!A4:L1000,8,FALSE)+(IF(ISBLANK(Draft!M14),0,VLOOKUP(Draft!M14, 'Final Update'!A4:L1000,8,FALSE)+IF(ISBLANK(Draft!N3),0,VLOOKUP(Draft!N3, 'Final Update'!A4:L1000,8,FALSE)+IF(ISBLANK(Draft!O14),0,VLOOKUP(Draft!O14, 'Final Update'!A4:L1000,8,FALSE))))))))))))))))))))))))</f>
        <v>#N/A</v>
      </c>
      <c r="K5" s="423" t="str">
        <f>((IF(ISBLANK(Draft!D3),0,VLOOKUP(Draft!D3, 'Final Update'!A4:L1000,10,FALSE)+(IF(ISBLANK(Draft!E14),0,VLOOKUP(Draft!E14, 'Final Update'!A4:L1000,10,FALSE)+(IF(ISBLANK(Draft!F3),0,VLOOKUP(Draft!F3, 'Final Update'!A4:L1000,10,FALSE)+(IF(ISBLANK(Draft!G14),0,VLOOKUP(Draft!G14, 'Final Update'!A4:L1000,10,FALSE)+(IF(ISBLANK(Draft!H3),0,VLOOKUP(Draft!H3, 'Final Update'!A4:L1000,10,FALSE)+(IF(ISBLANK(Draft!I14),0,VLOOKUP(Draft!I14, 'Final Update'!A4:L1000,10,FALSE)+(IF(ISBLANK(Draft!J3),0,VLOOKUP(Draft!J3, 'Final Update'!A4:L1000,10,FALSE)+(IF(ISBLANK(Draft!K14),0,VLOOKUP(Draft!K14, 'Final Update'!A4:L1000,10,FALSE)+(IF(ISBLANK(Draft!L3),0,VLOOKUP(Draft!L3, 'Final Update'!A4:L1000,10,FALSE)+(IF(ISBLANK(Draft!M14),0,VLOOKUP(Draft!M14, 'Final Update'!A4:L1000,10,FALSE)+IF(ISBLANK(Draft!N3),0,VLOOKUP(Draft!N3, 'Final Update'!A4:L1000,10,FALSE)+IF(ISBLANK(Draft!O14),0,VLOOKUP(Draft!O14, 'Final Update'!A4:L1000,10,FALSE))))))))))))))))))))))))</f>
        <v>#N/A</v>
      </c>
      <c r="L5" s="423" t="str">
        <f>((IF(ISBLANK(Draft!D3),0,VLOOKUP(Draft!D3, 'Final Update'!A4:L1000,12,FALSE)+(IF(ISBLANK(Draft!E14),0,VLOOKUP(Draft!E14, 'Final Update'!A4:L1000,12,FALSE)+(IF(ISBLANK(Draft!F3),0,VLOOKUP(Draft!F3, 'Final Update'!A4:L1000,12,FALSE)+(IF(ISBLANK(Draft!G14),0,VLOOKUP(Draft!G14, 'Final Update'!A4:L1000,12,FALSE)+(IF(ISBLANK(Draft!H3),0,VLOOKUP(Draft!H3, 'Final Update'!A4:L1000,12,FALSE)+(IF(ISBLANK(Draft!I14),0,VLOOKUP(Draft!I14, 'Final Update'!A4:L1000,12,FALSE)+(IF(ISBLANK(Draft!J3),0,VLOOKUP(Draft!J3, 'Final Update'!A4:L1000,12,FALSE)+(IF(ISBLANK(Draft!K14),0,VLOOKUP(Draft!K14, 'Final Update'!A4:L1000,12,FALSE)+(IF(ISBLANK(Draft!L3),0,VLOOKUP(Draft!L3, 'Final Update'!A4:L1000,12,FALSE)+(IF(ISBLANK(Draft!M14),0,VLOOKUP(Draft!M14, 'Final Update'!A4:L1000,12,FALSE)+IF(ISBLANK(Draft!N3),0,VLOOKUP(Draft!N3, 'Final Update'!A4:L1000,12,FALSE)+IF(ISBLANK(Draft!O14),0,VLOOKUP(Draft!O14, 'Final Update'!A4:L1000,12,FALSE))))))))))))))))))))))))</f>
        <v>#N/A</v>
      </c>
      <c r="M5" s="442">
        <f t="array" ref="M5">if(M$3=$C5,"-", countif(indirect(address(row($C$4)+ VLOOKUP(M$3,$C$5:$C$16,1),COLUMN($D$4))):indirect(address(row($C$4)+ VLOOKUP(M$3,$C$5:$C$16,1),COLUMN($L$4)))&gt;indirect(address(row($C5),COLUMN($D$4))):indirect(address(row($C5),COLUMN($L$4))),TRUE()))</f>
        <v>0</v>
      </c>
      <c r="N5" s="442">
        <f t="array" ref="N5">if(N$3=$C5,"-", countif(indirect(address(row($C$4)+ VLOOKUP(N$3,$C$5:$C$16,1),COLUMN($D$4))):indirect(address(row($C$4)+ VLOOKUP(N$3,$C$5:$C$16,1),COLUMN($L$4)))&gt;indirect(address(row($C5),COLUMN($D$4))):indirect(address(row($C5),COLUMN($L$4))),TRUE()))</f>
        <v>0</v>
      </c>
      <c r="O5" s="442">
        <f t="array" ref="O5">if(O$3=$C5,"-", countif(indirect(address(row($C$4)+ VLOOKUP(O$3,$C$5:$C$16,1),COLUMN($D$4))):indirect(address(row($C$4)+ VLOOKUP(O$3,$C$5:$C$16,1),COLUMN($L$4)))&gt;indirect(address(row($C5),COLUMN($D$4))):indirect(address(row($C5),COLUMN($L$4))),TRUE()))</f>
        <v>0</v>
      </c>
      <c r="P5" s="442">
        <f t="array" ref="P5">if(P$3=$C5,"-", countif(indirect(address(row($C$4)+ VLOOKUP(P$3,$C$5:$C$16,1),COLUMN($D$4))):indirect(address(row($C$4)+ VLOOKUP(P$3,$C$5:$C$16,1),COLUMN($L$4)))&gt;indirect(address(row($C5),COLUMN($D$4))):indirect(address(row($C5),COLUMN($L$4))),TRUE()))</f>
        <v>0</v>
      </c>
      <c r="Q5" s="442">
        <f t="array" ref="Q5">if(Q$3=$C5,"-", countif(indirect(address(row($C$4)+ VLOOKUP(Q$3,$C$5:$C$16,1),COLUMN($D$4))):indirect(address(row($C$4)+ VLOOKUP(Q$3,$C$5:$C$16,1),COLUMN($L$4)))&gt;indirect(address(row($C5),COLUMN($D$4))):indirect(address(row($C5),COLUMN($L$4))),TRUE()))</f>
        <v>0</v>
      </c>
      <c r="R5" s="442">
        <f t="array" ref="R5">if(R$3=$C5,"-", countif(indirect(address(row($C$4)+ VLOOKUP(R$3,$C$5:$C$16,1),COLUMN($D$4))):indirect(address(row($C$4)+ VLOOKUP(R$3,$C$5:$C$16,1),COLUMN($L$4)))&gt;indirect(address(row($C5),COLUMN($D$4))):indirect(address(row($C5),COLUMN($L$4))),TRUE()))</f>
        <v>0</v>
      </c>
      <c r="S5" s="442">
        <f t="array" ref="S5">if(S$3=$C5,"-", countif(indirect(address(row($C$4)+ VLOOKUP(S$3,$C$5:$C$16,1),COLUMN($D$4))):indirect(address(row($C$4)+ VLOOKUP(S$3,$C$5:$C$16,1),COLUMN($L$4)))&gt;indirect(address(row($C5),COLUMN($D$4))):indirect(address(row($C5),COLUMN($L$4))),TRUE()))</f>
        <v>0</v>
      </c>
      <c r="T5" s="442">
        <f t="array" ref="T5">if(T$3=$C5,"-", countif(indirect(address(row($C$4)+ VLOOKUP(T$3,$C$5:$C$16,1),COLUMN($D$4))):indirect(address(row($C$4)+ VLOOKUP(T$3,$C$5:$C$16,1),COLUMN($L$4)))&gt;indirect(address(row($C5),COLUMN($D$4))):indirect(address(row($C5),COLUMN($L$4))),TRUE()))</f>
        <v>0</v>
      </c>
      <c r="U5" s="442">
        <f t="array" ref="U5">if(U$3=$C5,"-", countif(indirect(address(row($C$4)+ VLOOKUP(U$3,$C$5:$C$16,1),COLUMN($D$4))):indirect(address(row($C$4)+ VLOOKUP(U$3,$C$5:$C$16,1),COLUMN($L$4)))&gt;indirect(address(row($C5),COLUMN($D$4))):indirect(address(row($C5),COLUMN($L$4))),TRUE()))</f>
        <v>0</v>
      </c>
      <c r="V5" s="442">
        <f t="array" ref="V5">if(V$3=$C5,"-", countif(indirect(address(row($C$4)+ VLOOKUP(V$3,$C$5:$C$16,1),COLUMN($D$4))):indirect(address(row($C$4)+ VLOOKUP(V$3,$C$5:$C$16,1),COLUMN($L$4)))&gt;indirect(address(row($C5),COLUMN($D$4))):indirect(address(row($C5),COLUMN($L$4))),TRUE()))</f>
        <v>0</v>
      </c>
      <c r="W5" s="442">
        <f t="array" ref="W5">if(W$3=$C5,"-", countif(indirect(address(row($C$4)+ VLOOKUP(W$3,$C$5:$C$16,1),COLUMN($D$4))):indirect(address(row($C$4)+ VLOOKUP(W$3,$C$5:$C$16,1),COLUMN($L$4)))&gt;indirect(address(row($C5),COLUMN($D$4))):indirect(address(row($C5),COLUMN($L$4))),TRUE()))</f>
        <v>0</v>
      </c>
      <c r="X5" s="442">
        <f t="array" ref="X5">if(X$3=$C5,"-", countif(indirect(address(row($C$4)+ VLOOKUP(X$3,$C$5:$C$16,1),COLUMN($D$4))):indirect(address(row($C$4)+ VLOOKUP(X$3,$C$5:$C$16,1),COLUMN($L$4)))&gt;indirect(address(row($C5),COLUMN($D$4))):indirect(address(row($C5),COLUMN($L$4))),TRUE()))</f>
        <v>0</v>
      </c>
      <c r="Y5" s="442">
        <f t="array" ref="Y5">if(D$1=$C5,"-", countif(indirect(address(row($C$4)+ VLOOKUP(D$1,$C$5:$C$16,1),COLUMN($D$4))):indirect(address(row($C$4)+ VLOOKUP(D$1,$C$5:$C$16,1),COLUMN($L$4)))&gt;indirect(address(row($C5),COLUMN($D$4))):indirect(address(row($C5),COLUMN($L$4))),TRUE()))</f>
        <v>0</v>
      </c>
      <c r="Z5" s="443">
        <f>SUM(M$5:M$16)/99</f>
        <v>0</v>
      </c>
    </row>
    <row r="6">
      <c r="B6" s="441" t="b">
        <f>Draft!C4</f>
        <v>0</v>
      </c>
      <c r="C6" s="427">
        <v>2.0</v>
      </c>
      <c r="D6" s="423" t="str">
        <f>((IF(ISBLANK(Draft!D4),0,VLOOKUP(Draft!D4, 'Final Update'!A4:L1000,2,FALSE)+(IF(ISBLANK(Draft!E13),0,VLOOKUP(Draft!E13, 'Final Update'!A4:L1000,2,FALSE)+(IF(ISBLANK(Draft!F4),0,VLOOKUP(Draft!F4, 'Final Update'!A4:L1000,2,FALSE)+(IF(ISBLANK(Draft!G13),0,VLOOKUP(Draft!G13, 'Final Update'!A4:L1000,2,FALSE)+(IF(ISBLANK(Draft!H4),0,VLOOKUP(Draft!H4, 'Final Update'!A4:L1000,2,FALSE)+(IF(ISBLANK(Draft!I13),0,VLOOKUP(Draft!I13, 'Final Update'!A4:L1000,2,FALSE)+(IF(ISBLANK(Draft!J4),0,VLOOKUP(Draft!J4, 'Final Update'!A4:L1000,2,FALSE)+(IF(ISBLANK(Draft!K13),0,VLOOKUP(Draft!K13, 'Final Update'!A4:L1000,2,FALSE)+(IF(ISBLANK(Draft!L4),0,VLOOKUP(Draft!L4, 'Final Update'!A4:L1000,2,FALSE)+(IF(ISBLANK(Draft!M13),0,VLOOKUP(Draft!M13, 'Final Update'!A4:L1000,2,FALSE)+IF(ISBLANK(Draft!N4),0,VLOOKUP(Draft!N4, 'Final Update'!A4:L1000,2,FALSE)+IF(ISBLANK(Draft!O13),0,VLOOKUP(Draft!O13, 'Final Update'!A4:L1000,2,FALSE))))))))))))))))))))))))</f>
        <v>#N/A</v>
      </c>
      <c r="E6" s="423" t="str">
        <f>((IF(ISBLANK(Draft!D4),0,VLOOKUP(Draft!D4, 'Final Update'!A4:L1000,3,FALSE)+(IF(ISBLANK(Draft!E13),0,VLOOKUP(Draft!E13, 'Final Update'!A4:L1000,3,FALSE)+(IF(ISBLANK(Draft!F4),0,VLOOKUP(Draft!F4, 'Final Update'!A4:L1000,3,FALSE)+(IF(ISBLANK(Draft!G13),0,VLOOKUP(Draft!G13, 'Final Update'!A4:L1000,3,FALSE)+(IF(ISBLANK(Draft!H4),0,VLOOKUP(Draft!H4, 'Final Update'!A4:L1000,3,FALSE)+(IF(ISBLANK(Draft!I13),0,VLOOKUP(Draft!I13, 'Final Update'!A4:L1000,3,FALSE)+(IF(ISBLANK(Draft!J4),0,VLOOKUP(Draft!J4, 'Final Update'!A4:L1000,3,FALSE)+(IF(ISBLANK(Draft!K13),0,VLOOKUP(Draft!K13, 'Final Update'!A4:L1000,3,FALSE)+(IF(ISBLANK(Draft!L4),0,VLOOKUP(Draft!L4, 'Final Update'!A4:L1000,3,FALSE)+(IF(ISBLANK(Draft!M13),0,VLOOKUP(Draft!M13, 'Final Update'!A4:L1000,3,FALSE)+IF(ISBLANK(Draft!N4),0,VLOOKUP(Draft!N4, 'Final Update'!A4:L1000,3,FALSE)+IF(ISBLANK(Draft!O13),0,VLOOKUP(Draft!O13, 'Final Update'!A4:L1000,3,FALSE))))))))))))))))))))))))</f>
        <v>#N/A</v>
      </c>
      <c r="F6" s="423" t="str">
        <f>((IF(ISBLANK(Draft!D4),0,VLOOKUP(Draft!D4, 'Final Update'!A4:L1000,4,FALSE)+(IF(ISBLANK(Draft!E13),0,VLOOKUP(Draft!E13, 'Final Update'!A4:L1000,4,FALSE)+(IF(ISBLANK(Draft!F4),0,VLOOKUP(Draft!F4, 'Final Update'!A4:L1000,4,FALSE)+(IF(ISBLANK(Draft!G13),0,VLOOKUP(Draft!G13, 'Final Update'!A4:L1000,4,FALSE)+(IF(ISBLANK(Draft!H4),0,VLOOKUP(Draft!H4, 'Final Update'!A4:L1000,4,FALSE)+(IF(ISBLANK(Draft!I13),0,VLOOKUP(Draft!I13, 'Final Update'!A4:L1000,4,FALSE)+(IF(ISBLANK(Draft!J4),0,VLOOKUP(Draft!J4, 'Final Update'!A4:L1000,4,FALSE)+(IF(ISBLANK(Draft!K13),0,VLOOKUP(Draft!K13, 'Final Update'!A4:L1000,4,FALSE)+(IF(ISBLANK(Draft!L4),0,VLOOKUP(Draft!L4, 'Final Update'!A4:L1000,4,FALSE)+(IF(ISBLANK(Draft!M13),0,VLOOKUP(Draft!M13, 'Final Update'!A4:L1000,4,FALSE)+IF(ISBLANK(Draft!N4),0,VLOOKUP(Draft!N4, 'Final Update'!A4:L1000,4,FALSE)+IF(ISBLANK(Draft!O13),0,VLOOKUP(Draft!O13, 'Final Update'!A4:L1000,4,FALSE))))))))))))))))))))))))</f>
        <v>#N/A</v>
      </c>
      <c r="G6" s="423" t="str">
        <f>((IF(ISBLANK(Draft!D4),0,VLOOKUP(Draft!D4, 'Final Update'!A4:L1000,5,FALSE)+(IF(ISBLANK(Draft!E13),0,VLOOKUP(Draft!E13, 'Final Update'!A4:L1000,5,FALSE)+(IF(ISBLANK(Draft!F4),0,VLOOKUP(Draft!F4, 'Final Update'!A4:L1000,5,FALSE)+(IF(ISBLANK(Draft!G13),0,VLOOKUP(Draft!G13, 'Final Update'!A4:L1000,5,FALSE)+(IF(ISBLANK(Draft!H4),0,VLOOKUP(Draft!H4, 'Final Update'!A4:L1000,5,FALSE)+(IF(ISBLANK(Draft!I13),0,VLOOKUP(Draft!I13, 'Final Update'!A4:L1000,5,FALSE)+(IF(ISBLANK(Draft!J4),0,VLOOKUP(Draft!J4, 'Final Update'!A4:L1000,5,FALSE)+(IF(ISBLANK(Draft!K13),0,VLOOKUP(Draft!K13, 'Final Update'!A4:L1000,5,FALSE)+(IF(ISBLANK(Draft!L4),0,VLOOKUP(Draft!L4, 'Final Update'!A4:L1000,5,FALSE)+(IF(ISBLANK(Draft!M13),0,VLOOKUP(Draft!M13, 'Final Update'!A4:L1000,5,FALSE)+IF(ISBLANK(Draft!N4),0,VLOOKUP(Draft!N4, 'Final Update'!A4:L1000,5,FALSE)+IF(ISBLANK(Draft!O13),0,VLOOKUP(Draft!O13, 'Final Update'!A4:L1000,5,FALSE))))))))))))))))))))))))</f>
        <v>#N/A</v>
      </c>
      <c r="H6" s="423" t="str">
        <f>((IF(ISBLANK(Draft!D4),0,VLOOKUP(Draft!D4, 'Final Update'!A4:L1000,6,FALSE)+(IF(ISBLANK(Draft!E13),0,VLOOKUP(Draft!E13, 'Final Update'!A4:L1000,6,FALSE)+(IF(ISBLANK(Draft!F4),0,VLOOKUP(Draft!F4, 'Final Update'!A4:L1000,6,FALSE)+(IF(ISBLANK(Draft!G13),0,VLOOKUP(Draft!G13, 'Final Update'!A4:L1000,6,FALSE)+(IF(ISBLANK(Draft!H4),0,VLOOKUP(Draft!H4, 'Final Update'!A4:L1000,6,FALSE)+(IF(ISBLANK(Draft!I13),0,VLOOKUP(Draft!I13, 'Final Update'!A4:L1000,6,FALSE)+(IF(ISBLANK(Draft!J4),0,VLOOKUP(Draft!J4, 'Final Update'!A4:L1000,6,FALSE)+(IF(ISBLANK(Draft!K13),0,VLOOKUP(Draft!K13, 'Final Update'!A4:L1000,6,FALSE)+(IF(ISBLANK(Draft!L4),0,VLOOKUP(Draft!L4, 'Final Update'!A4:L1000,6,FALSE)+(IF(ISBLANK(Draft!M13),0,VLOOKUP(Draft!M13, 'Final Update'!A4:L1000,6,FALSE)+IF(ISBLANK(Draft!N4),0,VLOOKUP(Draft!N4, 'Final Update'!A4:L1000,6,FALSE)+IF(ISBLANK(Draft!O13),0,VLOOKUP(Draft!O13, 'Final Update'!A4:L1000,6,FALSE))))))))))))))))))))))))</f>
        <v>#N/A</v>
      </c>
      <c r="I6" s="423" t="str">
        <f>((IF(ISBLANK(Draft!D4),0,VLOOKUP(Draft!D4, 'Final Update'!A4:L1000,7,FALSE)+(IF(ISBLANK(Draft!E13),0,VLOOKUP(Draft!E13, 'Final Update'!A4:L1000,7,FALSE)+(IF(ISBLANK(Draft!F4),0,VLOOKUP(Draft!F4, 'Final Update'!A4:L1000,7,FALSE)+(IF(ISBLANK(Draft!G13),0,VLOOKUP(Draft!G13, 'Final Update'!A4:L1000,7,FALSE)+(IF(ISBLANK(Draft!H4),0,VLOOKUP(Draft!H4, 'Final Update'!A4:L1000,7,FALSE)+(IF(ISBLANK(Draft!I13),0,VLOOKUP(Draft!I13, 'Final Update'!A4:L1000,7,FALSE)+(IF(ISBLANK(Draft!J4),0,VLOOKUP(Draft!J4, 'Final Update'!A4:L1000,7,FALSE)+(IF(ISBLANK(Draft!K13),0,VLOOKUP(Draft!K13, 'Final Update'!A4:L1000,7,FALSE)+(IF(ISBLANK(Draft!L4),0,VLOOKUP(Draft!L4, 'Final Update'!A4:L1000,7,FALSE)+(IF(ISBLANK(Draft!M13),0,VLOOKUP(Draft!M13, 'Final Update'!A4:L1000,7,FALSE)+IF(ISBLANK(Draft!N4),0,VLOOKUP(Draft!N4, 'Final Update'!A4:L1000,7,FALSE)+IF(ISBLANK(Draft!O13),0,VLOOKUP(Draft!O13, 'Final Update'!A4:L1000,7,FALSE))))))))))))))))))))))))</f>
        <v>#N/A</v>
      </c>
      <c r="J6" s="423" t="str">
        <f>((IF(ISBLANK(Draft!D4),0,VLOOKUP(Draft!D4, 'Final Update'!A4:L1000,8,FALSE)+(IF(ISBLANK(Draft!E13),0,VLOOKUP(Draft!E13, 'Final Update'!A4:L1000,8,FALSE)+(IF(ISBLANK(Draft!F4),0,VLOOKUP(Draft!F4, 'Final Update'!A4:L1000,8,FALSE)+(IF(ISBLANK(Draft!G13),0,VLOOKUP(Draft!G13, 'Final Update'!A4:L1000,8,FALSE)+(IF(ISBLANK(Draft!H4),0,VLOOKUP(Draft!H4, 'Final Update'!A4:L1000,8,FALSE)+(IF(ISBLANK(Draft!I13),0,VLOOKUP(Draft!I13, 'Final Update'!A4:L1000,8,FALSE)+(IF(ISBLANK(Draft!J4),0,VLOOKUP(Draft!J4, 'Final Update'!A4:L1000,8,FALSE)+(IF(ISBLANK(Draft!K13),0,VLOOKUP(Draft!K13, 'Final Update'!A4:L1000,8,FALSE)+(IF(ISBLANK(Draft!L4),0,VLOOKUP(Draft!L4, 'Final Update'!A4:L1000,8,FALSE)+(IF(ISBLANK(Draft!M13),0,VLOOKUP(Draft!M13, 'Final Update'!A4:L1000,8,FALSE)+IF(ISBLANK(Draft!N4),0,VLOOKUP(Draft!N4, 'Final Update'!A4:L1000,8,FALSE)+IF(ISBLANK(Draft!O13),0,VLOOKUP(Draft!O13, 'Final Update'!A4:L1000,8,FALSE))))))))))))))))))))))))</f>
        <v>#N/A</v>
      </c>
      <c r="K6" s="423" t="str">
        <f>((IF(ISBLANK(Draft!D4),0,VLOOKUP(Draft!D4, 'Final Update'!A4:L1000,10,FALSE)+(IF(ISBLANK(Draft!E13),0,VLOOKUP(Draft!E13, 'Final Update'!A4:L1000,10,FALSE)+(IF(ISBLANK(Draft!F4),0,VLOOKUP(Draft!F4, 'Final Update'!A4:L1000,10,FALSE)+(IF(ISBLANK(Draft!G13),0,VLOOKUP(Draft!G13, 'Final Update'!A4:L1000,10,FALSE)+(IF(ISBLANK(Draft!H4),0,VLOOKUP(Draft!H4, 'Final Update'!A4:L1000,10,FALSE)+(IF(ISBLANK(Draft!I13),0,VLOOKUP(Draft!I13, 'Final Update'!A4:L1000,10,FALSE)+(IF(ISBLANK(Draft!J4),0,VLOOKUP(Draft!J4, 'Final Update'!A4:L1000,10,FALSE)+(IF(ISBLANK(Draft!K13),0,VLOOKUP(Draft!K13, 'Final Update'!A4:L1000,10,FALSE)+(IF(ISBLANK(Draft!L4),0,VLOOKUP(Draft!L4, 'Final Update'!A4:L1000,10,FALSE)+(IF(ISBLANK(Draft!M13),0,VLOOKUP(Draft!M13, 'Final Update'!A4:L1000,10,FALSE)+IF(ISBLANK(Draft!N4),0,VLOOKUP(Draft!N4, 'Final Update'!A4:L1000,10,FALSE)+IF(ISBLANK(Draft!O13),0,VLOOKUP(Draft!O13, 'Final Update'!A4:L1000,10,FALSE))))))))))))))))))))))))</f>
        <v>#N/A</v>
      </c>
      <c r="L6" s="423" t="str">
        <f>((IF(ISBLANK(Draft!D4),0,VLOOKUP(Draft!D4, 'Final Update'!A4:L1000,12,FALSE)+(IF(ISBLANK(Draft!E13),0,VLOOKUP(Draft!E13, 'Final Update'!A4:L1000,12,FALSE)+(IF(ISBLANK(Draft!F4),0,VLOOKUP(Draft!F4, 'Final Update'!A4:L1000,12,FALSE)+(IF(ISBLANK(Draft!G13),0,VLOOKUP(Draft!G13, 'Final Update'!A4:L1000,12,FALSE)+(IF(ISBLANK(Draft!H4),0,VLOOKUP(Draft!H4, 'Final Update'!A4:L1000,12,FALSE)+(IF(ISBLANK(Draft!I13),0,VLOOKUP(Draft!I13, 'Final Update'!A4:L1000,12,FALSE)+(IF(ISBLANK(Draft!J4),0,VLOOKUP(Draft!J4, 'Final Update'!A4:L1000,12,FALSE)+(IF(ISBLANK(Draft!K13),0,VLOOKUP(Draft!K13, 'Final Update'!A4:L1000,12,FALSE)+(IF(ISBLANK(Draft!L4),0,VLOOKUP(Draft!L4, 'Final Update'!A4:L1000,12,FALSE)+(IF(ISBLANK(Draft!M13),0,VLOOKUP(Draft!M13, 'Final Update'!A4:L1000,12,FALSE)+IF(ISBLANK(Draft!N4),0,VLOOKUP(Draft!N4, 'Final Update'!A4:L1000,12,FALSE)+IF(ISBLANK(Draft!O13),0,VLOOKUP(Draft!O13, 'Final Update'!A4:L1000,12,FALSE))))))))))))))))))))))))</f>
        <v>#N/A</v>
      </c>
      <c r="M6" s="442">
        <f t="array" ref="M6">if(M$3=$C6,"-", countif(indirect(address(row($C$4)+ VLOOKUP(M$3,$C$5:$C$16,1),COLUMN($D$4))):indirect(address(row($C$4)+ VLOOKUP(M$3,$C$5:$C$16,1),COLUMN($L$4)))&gt;indirect(address(row($C6),COLUMN($D$4))):indirect(address(row($C6),COLUMN($L$4))),TRUE()))</f>
        <v>0</v>
      </c>
      <c r="N6" s="442">
        <f t="array" ref="N6">if(N$3=$C6,"-", countif(indirect(address(row($C$4)+ VLOOKUP(N$3,$C$5:$C$16,1),COLUMN($D$4))):indirect(address(row($C$4)+ VLOOKUP(N$3,$C$5:$C$16,1),COLUMN($L$4)))&gt;indirect(address(row($C6),COLUMN($D$4))):indirect(address(row($C6),COLUMN($L$4))),TRUE()))</f>
        <v>0</v>
      </c>
      <c r="O6" s="442">
        <f t="array" ref="O6">if(O$3=$C6,"-", countif(indirect(address(row($C$4)+ VLOOKUP(O$3,$C$5:$C$16,1),COLUMN($D$4))):indirect(address(row($C$4)+ VLOOKUP(O$3,$C$5:$C$16,1),COLUMN($L$4)))&gt;indirect(address(row($C6),COLUMN($D$4))):indirect(address(row($C6),COLUMN($L$4))),TRUE()))</f>
        <v>0</v>
      </c>
      <c r="P6" s="442">
        <f t="array" ref="P6">if(P$3=$C6,"-", countif(indirect(address(row($C$4)+ VLOOKUP(P$3,$C$5:$C$16,1),COLUMN($D$4))):indirect(address(row($C$4)+ VLOOKUP(P$3,$C$5:$C$16,1),COLUMN($L$4)))&gt;indirect(address(row($C6),COLUMN($D$4))):indirect(address(row($C6),COLUMN($L$4))),TRUE()))</f>
        <v>0</v>
      </c>
      <c r="Q6" s="442">
        <f t="array" ref="Q6">if(Q$3=$C6,"-", countif(indirect(address(row($C$4)+ VLOOKUP(Q$3,$C$5:$C$16,1),COLUMN($D$4))):indirect(address(row($C$4)+ VLOOKUP(Q$3,$C$5:$C$16,1),COLUMN($L$4)))&gt;indirect(address(row($C6),COLUMN($D$4))):indirect(address(row($C6),COLUMN($L$4))),TRUE()))</f>
        <v>0</v>
      </c>
      <c r="R6" s="442">
        <f t="array" ref="R6">if(R$3=$C6,"-", countif(indirect(address(row($C$4)+ VLOOKUP(R$3,$C$5:$C$16,1),COLUMN($D$4))):indirect(address(row($C$4)+ VLOOKUP(R$3,$C$5:$C$16,1),COLUMN($L$4)))&gt;indirect(address(row($C6),COLUMN($D$4))):indirect(address(row($C6),COLUMN($L$4))),TRUE()))</f>
        <v>0</v>
      </c>
      <c r="S6" s="442">
        <f t="array" ref="S6">if(S$3=$C6,"-", countif(indirect(address(row($C$4)+ VLOOKUP(S$3,$C$5:$C$16,1),COLUMN($D$4))):indirect(address(row($C$4)+ VLOOKUP(S$3,$C$5:$C$16,1),COLUMN($L$4)))&gt;indirect(address(row($C6),COLUMN($D$4))):indirect(address(row($C6),COLUMN($L$4))),TRUE()))</f>
        <v>0</v>
      </c>
      <c r="T6" s="442">
        <f t="array" ref="T6">if(T$3=$C6,"-", countif(indirect(address(row($C$4)+ VLOOKUP(T$3,$C$5:$C$16,1),COLUMN($D$4))):indirect(address(row($C$4)+ VLOOKUP(T$3,$C$5:$C$16,1),COLUMN($L$4)))&gt;indirect(address(row($C6),COLUMN($D$4))):indirect(address(row($C6),COLUMN($L$4))),TRUE()))</f>
        <v>0</v>
      </c>
      <c r="U6" s="442">
        <f t="array" ref="U6">if(U$3=$C6,"-", countif(indirect(address(row($C$4)+ VLOOKUP(U$3,$C$5:$C$16,1),COLUMN($D$4))):indirect(address(row($C$4)+ VLOOKUP(U$3,$C$5:$C$16,1),COLUMN($L$4)))&gt;indirect(address(row($C6),COLUMN($D$4))):indirect(address(row($C6),COLUMN($L$4))),TRUE()))</f>
        <v>0</v>
      </c>
      <c r="V6" s="442">
        <f t="array" ref="V6">if(V$3=$C6,"-", countif(indirect(address(row($C$4)+ VLOOKUP(V$3,$C$5:$C$16,1),COLUMN($D$4))):indirect(address(row($C$4)+ VLOOKUP(V$3,$C$5:$C$16,1),COLUMN($L$4)))&gt;indirect(address(row($C6),COLUMN($D$4))):indirect(address(row($C6),COLUMN($L$4))),TRUE()))</f>
        <v>0</v>
      </c>
      <c r="W6" s="442">
        <f t="array" ref="W6">if(W$3=$C6,"-", countif(indirect(address(row($C$4)+ VLOOKUP(W$3,$C$5:$C$16,1),COLUMN($D$4))):indirect(address(row($C$4)+ VLOOKUP(W$3,$C$5:$C$16,1),COLUMN($L$4)))&gt;indirect(address(row($C6),COLUMN($D$4))):indirect(address(row($C6),COLUMN($L$4))),TRUE()))</f>
        <v>0</v>
      </c>
      <c r="X6" s="442">
        <f t="array" ref="X6">if(X$3=$C6,"-", countif(indirect(address(row($C$4)+ VLOOKUP(X$3,$C$5:$C$16,1),COLUMN($D$4))):indirect(address(row($C$4)+ VLOOKUP(X$3,$C$5:$C$16,1),COLUMN($L$4)))&gt;indirect(address(row($C6),COLUMN($D$4))):indirect(address(row($C6),COLUMN($L$4))),TRUE()))</f>
        <v>0</v>
      </c>
      <c r="Y6" s="442">
        <f t="array" ref="Y6">if(D$1=$C6,"-", countif(indirect(address(row($C$4)+ VLOOKUP(D$1,$C$5:$C$16,1),COLUMN($D$4))):indirect(address(row($C$4)+ VLOOKUP(D$1,$C$5:$C$16,1),COLUMN($L$4)))&gt;indirect(address(row($C6),COLUMN($D$4))):indirect(address(row($C6),COLUMN($L$4))),TRUE()))</f>
        <v>0</v>
      </c>
      <c r="Z6" s="443">
        <f>SUM(N$5:N$16)/99</f>
        <v>0</v>
      </c>
    </row>
    <row r="7">
      <c r="B7" s="441" t="b">
        <f>Draft!C5</f>
        <v>0</v>
      </c>
      <c r="C7" s="427">
        <v>3.0</v>
      </c>
      <c r="D7" s="443">
        <f>((IF(ISBLANK(Draft!D5),0,VLOOKUP(Draft!D5, 'Final Update'!A4:L1000,2,FALSE)+(IF(ISBLANK(Draft!E12),0,VLOOKUP(Draft!E12, 'Final Update'!A4:L1000,2,FALSE)+(IF(ISBLANK(Draft!F5),0,VLOOKUP(Draft!F5, 'Final Update'!A4:L1000,2,FALSE)+(IF(ISBLANK(Draft!G12),0,VLOOKUP(Draft!G12, 'Final Update'!A4:L1000,2,FALSE)+(IF(ISBLANK(Draft!H5),0,VLOOKUP(Draft!H5, 'Final Update'!A4:L1000,2,FALSE)+(IF(ISBLANK(Draft!I12),0,VLOOKUP(Draft!I12, 'Final Update'!A4:L1000,2,FALSE)+(IF(ISBLANK(Draft!J5),0,VLOOKUP(Draft!J5, 'Final Update'!A4:L1000,2,FALSE)+(IF(ISBLANK(Draft!K12),0,VLOOKUP(Draft!K12, 'Final Update'!A4:L1000,2,FALSE)+(IF(ISBLANK(Draft!L5),0,VLOOKUP(Draft!L5, 'Final Update'!A4:L1000,2,FALSE)+(IF(ISBLANK(Draft!M12),0,VLOOKUP(Draft!M12, 'Final Update'!A4:L1000,2,FALSE)+IF(ISBLANK(Draft!N5),0,VLOOKUP(Draft!N5, 'Final Update'!A4:L1000,2,FALSE)+IF(ISBLANK(Draft!O12),0,VLOOKUP(Draft!O12, 'Final Update'!A4:L1000,2,FALSE))))))))))))))))))))))))</f>
        <v>3.178926608</v>
      </c>
      <c r="E7" s="443">
        <f>((IF(ISBLANK(Draft!D5),0,VLOOKUP(Draft!D5, 'Final Update'!A4:L1000,3,FALSE)+(IF(ISBLANK(Draft!E12),0,VLOOKUP(Draft!E12, 'Final Update'!A4:L1000,3,FALSE)+(IF(ISBLANK(Draft!F5),0,VLOOKUP(Draft!F5, 'Final Update'!A4:L1000,3,FALSE)+(IF(ISBLANK(Draft!G12),0,VLOOKUP(Draft!G12, 'Final Update'!A4:L1000,3,FALSE)+(IF(ISBLANK(Draft!H5),0,VLOOKUP(Draft!H5, 'Final Update'!A4:L1000,3,FALSE)+(IF(ISBLANK(Draft!I12),0,VLOOKUP(Draft!I12, 'Final Update'!A4:L1000,3,FALSE)+(IF(ISBLANK(Draft!J5),0,VLOOKUP(Draft!J5, 'Final Update'!A4:L1000,3,FALSE)+(IF(ISBLANK(Draft!K12),0,VLOOKUP(Draft!K12, 'Final Update'!A4:L1000,3,FALSE)+(IF(ISBLANK(Draft!L5),0,VLOOKUP(Draft!L5, 'Final Update'!A4:L1000,3,FALSE)+(IF(ISBLANK(Draft!M12),0,VLOOKUP(Draft!M12, 'Final Update'!A4:L1000,3,FALSE)+IF(ISBLANK(Draft!N5),0,VLOOKUP(Draft!N5, 'Final Update'!A4:L1000,3,FALSE)+IF(ISBLANK(Draft!O12),0,VLOOKUP(Draft!O12, 'Final Update'!A4:L1000,3,FALSE))))))))))))))))))))))))</f>
        <v>-1.381476363</v>
      </c>
      <c r="F7" s="443">
        <f>((IF(ISBLANK(Draft!D5),0,VLOOKUP(Draft!D5, 'Final Update'!A4:L1000,4,FALSE)+(IF(ISBLANK(Draft!E12),0,VLOOKUP(Draft!E12, 'Final Update'!A4:L1000,4,FALSE)+(IF(ISBLANK(Draft!F5),0,VLOOKUP(Draft!F5, 'Final Update'!A4:L1000,4,FALSE)+(IF(ISBLANK(Draft!G12),0,VLOOKUP(Draft!G12, 'Final Update'!A4:L1000,4,FALSE)+(IF(ISBLANK(Draft!H5),0,VLOOKUP(Draft!H5, 'Final Update'!A4:L1000,4,FALSE)+(IF(ISBLANK(Draft!I12),0,VLOOKUP(Draft!I12, 'Final Update'!A4:L1000,4,FALSE)+(IF(ISBLANK(Draft!J5),0,VLOOKUP(Draft!J5, 'Final Update'!A4:L1000,4,FALSE)+(IF(ISBLANK(Draft!K12),0,VLOOKUP(Draft!K12, 'Final Update'!A4:L1000,4,FALSE)+(IF(ISBLANK(Draft!L5),0,VLOOKUP(Draft!L5, 'Final Update'!A4:L1000,4,FALSE)+(IF(ISBLANK(Draft!M12),0,VLOOKUP(Draft!M12, 'Final Update'!A4:L1000,4,FALSE)+IF(ISBLANK(Draft!N5),0,VLOOKUP(Draft!N5, 'Final Update'!A4:L1000,4,FALSE)+IF(ISBLANK(Draft!O12),0,VLOOKUP(Draft!O12, 'Final Update'!A4:L1000,4,FALSE))))))))))))))))))))))))</f>
        <v>-1.304861339</v>
      </c>
      <c r="G7" s="443">
        <f>((IF(ISBLANK(Draft!D5),0,VLOOKUP(Draft!D5, 'Final Update'!A4:L1000,5,FALSE)+(IF(ISBLANK(Draft!E12),0,VLOOKUP(Draft!E12, 'Final Update'!A4:L1000,5,FALSE)+(IF(ISBLANK(Draft!F5),0,VLOOKUP(Draft!F5, 'Final Update'!A4:L1000,5,FALSE)+(IF(ISBLANK(Draft!G12),0,VLOOKUP(Draft!G12, 'Final Update'!A4:L1000,5,FALSE)+(IF(ISBLANK(Draft!H5),0,VLOOKUP(Draft!H5, 'Final Update'!A4:L1000,5,FALSE)+(IF(ISBLANK(Draft!I12),0,VLOOKUP(Draft!I12, 'Final Update'!A4:L1000,5,FALSE)+(IF(ISBLANK(Draft!J5),0,VLOOKUP(Draft!J5, 'Final Update'!A4:L1000,5,FALSE)+(IF(ISBLANK(Draft!K12),0,VLOOKUP(Draft!K12, 'Final Update'!A4:L1000,5,FALSE)+(IF(ISBLANK(Draft!L5),0,VLOOKUP(Draft!L5, 'Final Update'!A4:L1000,5,FALSE)+(IF(ISBLANK(Draft!M12),0,VLOOKUP(Draft!M12, 'Final Update'!A4:L1000,5,FALSE)+IF(ISBLANK(Draft!N5),0,VLOOKUP(Draft!N5, 'Final Update'!A4:L1000,5,FALSE)+IF(ISBLANK(Draft!O12),0,VLOOKUP(Draft!O12, 'Final Update'!A4:L1000,5,FALSE))))))))))))))))))))))))</f>
        <v>-4.022712075</v>
      </c>
      <c r="H7" s="443">
        <f>((IF(ISBLANK(Draft!D5),0,VLOOKUP(Draft!D5, 'Final Update'!A4:L1000,6,FALSE)+(IF(ISBLANK(Draft!E12),0,VLOOKUP(Draft!E12, 'Final Update'!A4:L1000,6,FALSE)+(IF(ISBLANK(Draft!F5),0,VLOOKUP(Draft!F5, 'Final Update'!A4:L1000,6,FALSE)+(IF(ISBLANK(Draft!G12),0,VLOOKUP(Draft!G12, 'Final Update'!A4:L1000,6,FALSE)+(IF(ISBLANK(Draft!H5),0,VLOOKUP(Draft!H5, 'Final Update'!A4:L1000,6,FALSE)+(IF(ISBLANK(Draft!I12),0,VLOOKUP(Draft!I12, 'Final Update'!A4:L1000,6,FALSE)+(IF(ISBLANK(Draft!J5),0,VLOOKUP(Draft!J5, 'Final Update'!A4:L1000,6,FALSE)+(IF(ISBLANK(Draft!K12),0,VLOOKUP(Draft!K12, 'Final Update'!A4:L1000,6,FALSE)+(IF(ISBLANK(Draft!L5),0,VLOOKUP(Draft!L5, 'Final Update'!A4:L1000,6,FALSE)+(IF(ISBLANK(Draft!M12),0,VLOOKUP(Draft!M12, 'Final Update'!A4:L1000,6,FALSE)+IF(ISBLANK(Draft!N5),0,VLOOKUP(Draft!N5, 'Final Update'!A4:L1000,6,FALSE)+IF(ISBLANK(Draft!O12),0,VLOOKUP(Draft!O12, 'Final Update'!A4:L1000,6,FALSE))))))))))))))))))))))))</f>
        <v>-0.04616282279</v>
      </c>
      <c r="I7" s="443">
        <f>((IF(ISBLANK(Draft!D5),0,VLOOKUP(Draft!D5, 'Final Update'!A4:L1000,7,FALSE)+(IF(ISBLANK(Draft!E12),0,VLOOKUP(Draft!E12, 'Final Update'!A4:L1000,7,FALSE)+(IF(ISBLANK(Draft!F5),0,VLOOKUP(Draft!F5, 'Final Update'!A4:L1000,7,FALSE)+(IF(ISBLANK(Draft!G12),0,VLOOKUP(Draft!G12, 'Final Update'!A4:L1000,7,FALSE)+(IF(ISBLANK(Draft!H5),0,VLOOKUP(Draft!H5, 'Final Update'!A4:L1000,7,FALSE)+(IF(ISBLANK(Draft!I12),0,VLOOKUP(Draft!I12, 'Final Update'!A4:L1000,7,FALSE)+(IF(ISBLANK(Draft!J5),0,VLOOKUP(Draft!J5, 'Final Update'!A4:L1000,7,FALSE)+(IF(ISBLANK(Draft!K12),0,VLOOKUP(Draft!K12, 'Final Update'!A4:L1000,7,FALSE)+(IF(ISBLANK(Draft!L5),0,VLOOKUP(Draft!L5, 'Final Update'!A4:L1000,7,FALSE)+(IF(ISBLANK(Draft!M12),0,VLOOKUP(Draft!M12, 'Final Update'!A4:L1000,7,FALSE)+IF(ISBLANK(Draft!N5),0,VLOOKUP(Draft!N5, 'Final Update'!A4:L1000,7,FALSE)+IF(ISBLANK(Draft!O12),0,VLOOKUP(Draft!O12, 'Final Update'!A4:L1000,7,FALSE))))))))))))))))))))))))</f>
        <v>-2.747971861</v>
      </c>
      <c r="J7" s="443">
        <f>((IF(ISBLANK(Draft!D5),0,VLOOKUP(Draft!D5, 'Final Update'!A4:L1000,8,FALSE)+(IF(ISBLANK(Draft!E12),0,VLOOKUP(Draft!E12, 'Final Update'!A4:L1000,8,FALSE)+(IF(ISBLANK(Draft!F5),0,VLOOKUP(Draft!F5, 'Final Update'!A4:L1000,8,FALSE)+(IF(ISBLANK(Draft!G12),0,VLOOKUP(Draft!G12, 'Final Update'!A4:L1000,8,FALSE)+(IF(ISBLANK(Draft!H5),0,VLOOKUP(Draft!H5, 'Final Update'!A4:L1000,8,FALSE)+(IF(ISBLANK(Draft!I12),0,VLOOKUP(Draft!I12, 'Final Update'!A4:L1000,8,FALSE)+(IF(ISBLANK(Draft!J5),0,VLOOKUP(Draft!J5, 'Final Update'!A4:L1000,8,FALSE)+(IF(ISBLANK(Draft!K12),0,VLOOKUP(Draft!K12, 'Final Update'!A4:L1000,8,FALSE)+(IF(ISBLANK(Draft!L5),0,VLOOKUP(Draft!L5, 'Final Update'!A4:L1000,8,FALSE)+(IF(ISBLANK(Draft!M12),0,VLOOKUP(Draft!M12, 'Final Update'!A4:L1000,8,FALSE)+IF(ISBLANK(Draft!N5),0,VLOOKUP(Draft!N5, 'Final Update'!A4:L1000,8,FALSE)+IF(ISBLANK(Draft!O12),0,VLOOKUP(Draft!O12, 'Final Update'!A4:L1000,8,FALSE))))))))))))))))))))))))</f>
        <v>2.17063728</v>
      </c>
      <c r="K7" s="443">
        <f>((IF(ISBLANK(Draft!D5),0,VLOOKUP(Draft!D5, 'Final Update'!A4:L1000,10,FALSE)+(IF(ISBLANK(Draft!E12),0,VLOOKUP(Draft!E12, 'Final Update'!A4:L1000,10,FALSE)+(IF(ISBLANK(Draft!F5),0,VLOOKUP(Draft!F5, 'Final Update'!A4:L1000,10,FALSE)+(IF(ISBLANK(Draft!G12),0,VLOOKUP(Draft!G12, 'Final Update'!A4:L1000,10,FALSE)+(IF(ISBLANK(Draft!H5),0,VLOOKUP(Draft!H5, 'Final Update'!A4:L1000,10,FALSE)+(IF(ISBLANK(Draft!I12),0,VLOOKUP(Draft!I12, 'Final Update'!A4:L1000,10,FALSE)+(IF(ISBLANK(Draft!J5),0,VLOOKUP(Draft!J5, 'Final Update'!A4:L1000,10,FALSE)+(IF(ISBLANK(Draft!K12),0,VLOOKUP(Draft!K12, 'Final Update'!A4:L1000,10,FALSE)+(IF(ISBLANK(Draft!L5),0,VLOOKUP(Draft!L5, 'Final Update'!A4:L1000,10,FALSE)+(IF(ISBLANK(Draft!M12),0,VLOOKUP(Draft!M12, 'Final Update'!A4:L1000,10,FALSE)+IF(ISBLANK(Draft!N5),0,VLOOKUP(Draft!N5, 'Final Update'!A4:L1000,10,FALSE)+IF(ISBLANK(Draft!O12),0,VLOOKUP(Draft!O12, 'Final Update'!A4:L1000,10,FALSE))))))))))))))))))))))))</f>
        <v>2.948704588</v>
      </c>
      <c r="L7" s="443">
        <f>((IF(ISBLANK(Draft!D5),0,VLOOKUP(Draft!D5, 'Final Update'!A4:L1000,12,FALSE)+(IF(ISBLANK(Draft!E12),0,VLOOKUP(Draft!E12, 'Final Update'!A4:L1000,12,FALSE)+(IF(ISBLANK(Draft!F5),0,VLOOKUP(Draft!F5, 'Final Update'!A4:L1000,12,FALSE)+(IF(ISBLANK(Draft!G12),0,VLOOKUP(Draft!G12, 'Final Update'!A4:L1000,12,FALSE)+(IF(ISBLANK(Draft!H5),0,VLOOKUP(Draft!H5, 'Final Update'!A4:L1000,12,FALSE)+(IF(ISBLANK(Draft!I12),0,VLOOKUP(Draft!I12, 'Final Update'!A4:L1000,12,FALSE)+(IF(ISBLANK(Draft!J5),0,VLOOKUP(Draft!J5, 'Final Update'!A4:L1000,12,FALSE)+(IF(ISBLANK(Draft!K12),0,VLOOKUP(Draft!K12, 'Final Update'!A4:L1000,12,FALSE)+(IF(ISBLANK(Draft!L5),0,VLOOKUP(Draft!L5, 'Final Update'!A4:L1000,12,FALSE)+(IF(ISBLANK(Draft!M12),0,VLOOKUP(Draft!M12, 'Final Update'!A4:L1000,12,FALSE)+IF(ISBLANK(Draft!N5),0,VLOOKUP(Draft!N5, 'Final Update'!A4:L1000,12,FALSE)+IF(ISBLANK(Draft!O12),0,VLOOKUP(Draft!O12, 'Final Update'!A4:L1000,12,FALSE))))))))))))))))))))))))</f>
        <v>-0.2817077051</v>
      </c>
      <c r="M7" s="442">
        <f t="array" ref="M7">if(M$3=$C7,"-", countif(indirect(address(row($C$4)+ VLOOKUP(M$3,$C$5:$C$16,1),COLUMN($D$4))):indirect(address(row($C$4)+ VLOOKUP(M$3,$C$5:$C$16,1),COLUMN($L$4)))&gt;indirect(address(row($C7),COLUMN($D$4))):indirect(address(row($C7),COLUMN($L$4))),TRUE()))</f>
        <v>0</v>
      </c>
      <c r="N7" s="442">
        <f t="array" ref="N7">if(N$3=$C7,"-", countif(indirect(address(row($C$4)+ VLOOKUP(N$3,$C$5:$C$16,1),COLUMN($D$4))):indirect(address(row($C$4)+ VLOOKUP(N$3,$C$5:$C$16,1),COLUMN($L$4)))&gt;indirect(address(row($C7),COLUMN($D$4))):indirect(address(row($C7),COLUMN($L$4))),TRUE()))</f>
        <v>0</v>
      </c>
      <c r="O7" s="442">
        <f t="array" ref="O7">if(O$3=$C7,"-", countif(indirect(address(row($C$4)+ VLOOKUP(O$3,$C$5:$C$16,1),COLUMN($D$4))):indirect(address(row($C$4)+ VLOOKUP(O$3,$C$5:$C$16,1),COLUMN($L$4)))&gt;indirect(address(row($C7),COLUMN($D$4))):indirect(address(row($C7),COLUMN($L$4))),TRUE()))</f>
        <v>0</v>
      </c>
      <c r="P7" s="442">
        <f t="array" ref="P7">if(P$3=$C7,"-", countif(indirect(address(row($C$4)+ VLOOKUP(P$3,$C$5:$C$16,1),COLUMN($D$4))):indirect(address(row($C$4)+ VLOOKUP(P$3,$C$5:$C$16,1),COLUMN($L$4)))&gt;indirect(address(row($C7),COLUMN($D$4))):indirect(address(row($C7),COLUMN($L$4))),TRUE()))</f>
        <v>0</v>
      </c>
      <c r="Q7" s="442">
        <f t="array" ref="Q7">if(Q$3=$C7,"-", countif(indirect(address(row($C$4)+ VLOOKUP(Q$3,$C$5:$C$16,1),COLUMN($D$4))):indirect(address(row($C$4)+ VLOOKUP(Q$3,$C$5:$C$16,1),COLUMN($L$4)))&gt;indirect(address(row($C7),COLUMN($D$4))):indirect(address(row($C7),COLUMN($L$4))),TRUE()))</f>
        <v>0</v>
      </c>
      <c r="R7" s="442">
        <f t="array" ref="R7">if(R$3=$C7,"-", countif(indirect(address(row($C$4)+ VLOOKUP(R$3,$C$5:$C$16,1),COLUMN($D$4))):indirect(address(row($C$4)+ VLOOKUP(R$3,$C$5:$C$16,1),COLUMN($L$4)))&gt;indirect(address(row($C7),COLUMN($D$4))):indirect(address(row($C7),COLUMN($L$4))),TRUE()))</f>
        <v>0</v>
      </c>
      <c r="S7" s="442">
        <f t="array" ref="S7">if(S$3=$C7,"-", countif(indirect(address(row($C$4)+ VLOOKUP(S$3,$C$5:$C$16,1),COLUMN($D$4))):indirect(address(row($C$4)+ VLOOKUP(S$3,$C$5:$C$16,1),COLUMN($L$4)))&gt;indirect(address(row($C7),COLUMN($D$4))):indirect(address(row($C7),COLUMN($L$4))),TRUE()))</f>
        <v>0</v>
      </c>
      <c r="T7" s="442">
        <f t="array" ref="T7">if(T$3=$C7,"-", countif(indirect(address(row($C$4)+ VLOOKUP(T$3,$C$5:$C$16,1),COLUMN($D$4))):indirect(address(row($C$4)+ VLOOKUP(T$3,$C$5:$C$16,1),COLUMN($L$4)))&gt;indirect(address(row($C7),COLUMN($D$4))):indirect(address(row($C7),COLUMN($L$4))),TRUE()))</f>
        <v>0</v>
      </c>
      <c r="U7" s="442">
        <f t="array" ref="U7">if(U$3=$C7,"-", countif(indirect(address(row($C$4)+ VLOOKUP(U$3,$C$5:$C$16,1),COLUMN($D$4))):indirect(address(row($C$4)+ VLOOKUP(U$3,$C$5:$C$16,1),COLUMN($L$4)))&gt;indirect(address(row($C7),COLUMN($D$4))):indirect(address(row($C7),COLUMN($L$4))),TRUE()))</f>
        <v>0</v>
      </c>
      <c r="V7" s="442">
        <f t="array" ref="V7">if(V$3=$C7,"-", countif(indirect(address(row($C$4)+ VLOOKUP(V$3,$C$5:$C$16,1),COLUMN($D$4))):indirect(address(row($C$4)+ VLOOKUP(V$3,$C$5:$C$16,1),COLUMN($L$4)))&gt;indirect(address(row($C7),COLUMN($D$4))):indirect(address(row($C7),COLUMN($L$4))),TRUE()))</f>
        <v>0</v>
      </c>
      <c r="W7" s="442">
        <f t="array" ref="W7">if(W$3=$C7,"-", countif(indirect(address(row($C$4)+ VLOOKUP(W$3,$C$5:$C$16,1),COLUMN($D$4))):indirect(address(row($C$4)+ VLOOKUP(W$3,$C$5:$C$16,1),COLUMN($L$4)))&gt;indirect(address(row($C7),COLUMN($D$4))):indirect(address(row($C7),COLUMN($L$4))),TRUE()))</f>
        <v>0</v>
      </c>
      <c r="X7" s="442">
        <f t="array" ref="X7">if(X$3=$C7,"-", countif(indirect(address(row($C$4)+ VLOOKUP(X$3,$C$5:$C$16,1),COLUMN($D$4))):indirect(address(row($C$4)+ VLOOKUP(X$3,$C$5:$C$16,1),COLUMN($L$4)))&gt;indirect(address(row($C7),COLUMN($D$4))):indirect(address(row($C7),COLUMN($L$4))),TRUE()))</f>
        <v>0</v>
      </c>
      <c r="Y7" s="442">
        <f t="array" ref="Y7">if(D$1=$C7,"-", countif(indirect(address(row($C$4)+ VLOOKUP(D$1,$C$5:$C$16,1),COLUMN($D$4))):indirect(address(row($C$4)+ VLOOKUP(D$1,$C$5:$C$16,1),COLUMN($L$4)))&gt;indirect(address(row($C7),COLUMN($D$4))):indirect(address(row($C7),COLUMN($L$4))),TRUE()))</f>
        <v>0</v>
      </c>
      <c r="Z7" s="443">
        <f>SUM(O$5:O$16)/99</f>
        <v>0</v>
      </c>
    </row>
    <row r="8">
      <c r="B8" s="441" t="b">
        <f>Draft!C6</f>
        <v>1</v>
      </c>
      <c r="C8" s="427">
        <v>4.0</v>
      </c>
      <c r="D8" s="443">
        <f>((IF(ISBLANK(Draft!D6),0,VLOOKUP(Draft!D6, 'Final Update'!A4:L1000,2,FALSE)+(IF(ISBLANK(Draft!E11),0,VLOOKUP(Draft!E11, 'Final Update'!A4:L1000,2,FALSE)+(IF(ISBLANK(Draft!F6),0,VLOOKUP(Draft!F6, 'Final Update'!A4:L1000,2,FALSE)+(IF(ISBLANK(Draft!G11),0,VLOOKUP(Draft!G11, 'Final Update'!A4:L1000,2,FALSE)+(IF(ISBLANK(Draft!H6),0,VLOOKUP(Draft!H6, 'Final Update'!A4:L1000,2,FALSE)+(IF(ISBLANK(Draft!I11),0,VLOOKUP(Draft!I11, 'Final Update'!A4:L1000,2,FALSE)+(IF(ISBLANK(Draft!J6),0,VLOOKUP(Draft!J6, 'Final Update'!A4:L1000,2,FALSE)+(IF(ISBLANK(Draft!K11),0,VLOOKUP(Draft!K11, 'Final Update'!A4:L1000,2,FALSE)+(IF(ISBLANK(Draft!L6),0,VLOOKUP(Draft!L6, 'Final Update'!A4:L1000,2,FALSE)+(IF(ISBLANK(Draft!M11),0,VLOOKUP(Draft!M11, 'Final Update'!A4:L1000,2,FALSE)+IF(ISBLANK(Draft!N6),0,VLOOKUP(Draft!N6, 'Final Update'!A4:L1000,2,FALSE)+IF(ISBLANK(Draft!O11),0,VLOOKUP(Draft!O11, 'Final Update'!A4:L1000,2,FALSE))))))))))))))))))))))))</f>
        <v>1.571159233</v>
      </c>
      <c r="E8" s="443">
        <f>((IF(ISBLANK(Draft!D6),0,VLOOKUP(Draft!D6, 'Final Update'!A4:L1000,3,FALSE)+(IF(ISBLANK(Draft!E11),0,VLOOKUP(Draft!E11, 'Final Update'!A4:L1000,3,FALSE)+(IF(ISBLANK(Draft!F6),0,VLOOKUP(Draft!F6, 'Final Update'!A4:L1000,3,FALSE)+(IF(ISBLANK(Draft!G11),0,VLOOKUP(Draft!G11, 'Final Update'!A4:L1000,3,FALSE)+(IF(ISBLANK(Draft!H6),0,VLOOKUP(Draft!H6, 'Final Update'!A4:L1000,3,FALSE)+(IF(ISBLANK(Draft!I11),0,VLOOKUP(Draft!I11, 'Final Update'!A4:L1000,3,FALSE)+(IF(ISBLANK(Draft!J6),0,VLOOKUP(Draft!J6, 'Final Update'!A4:L1000,3,FALSE)+(IF(ISBLANK(Draft!K11),0,VLOOKUP(Draft!K11, 'Final Update'!A4:L1000,3,FALSE)+(IF(ISBLANK(Draft!L6),0,VLOOKUP(Draft!L6, 'Final Update'!A4:L1000,3,FALSE)+(IF(ISBLANK(Draft!M11),0,VLOOKUP(Draft!M11, 'Final Update'!A4:L1000,3,FALSE)+IF(ISBLANK(Draft!N6),0,VLOOKUP(Draft!N6, 'Final Update'!A4:L1000,3,FALSE)+IF(ISBLANK(Draft!O11),0,VLOOKUP(Draft!O11, 'Final Update'!A4:L1000,3,FALSE))))))))))))))))))))))))</f>
        <v>0.808058216</v>
      </c>
      <c r="F8" s="443">
        <f>((IF(ISBLANK(Draft!D6),0,VLOOKUP(Draft!D6, 'Final Update'!A4:L1000,4,FALSE)+(IF(ISBLANK(Draft!E11),0,VLOOKUP(Draft!E11, 'Final Update'!A4:L1000,4,FALSE)+(IF(ISBLANK(Draft!F6),0,VLOOKUP(Draft!F6, 'Final Update'!A4:L1000,4,FALSE)+(IF(ISBLANK(Draft!G11),0,VLOOKUP(Draft!G11, 'Final Update'!A4:L1000,4,FALSE)+(IF(ISBLANK(Draft!H6),0,VLOOKUP(Draft!H6, 'Final Update'!A4:L1000,4,FALSE)+(IF(ISBLANK(Draft!I11),0,VLOOKUP(Draft!I11, 'Final Update'!A4:L1000,4,FALSE)+(IF(ISBLANK(Draft!J6),0,VLOOKUP(Draft!J6, 'Final Update'!A4:L1000,4,FALSE)+(IF(ISBLANK(Draft!K11),0,VLOOKUP(Draft!K11, 'Final Update'!A4:L1000,4,FALSE)+(IF(ISBLANK(Draft!L6),0,VLOOKUP(Draft!L6, 'Final Update'!A4:L1000,4,FALSE)+(IF(ISBLANK(Draft!M11),0,VLOOKUP(Draft!M11, 'Final Update'!A4:L1000,4,FALSE)+IF(ISBLANK(Draft!N6),0,VLOOKUP(Draft!N6, 'Final Update'!A4:L1000,4,FALSE)+IF(ISBLANK(Draft!O11),0,VLOOKUP(Draft!O11, 'Final Update'!A4:L1000,4,FALSE))))))))))))))))))))))))</f>
        <v>0.06806165056</v>
      </c>
      <c r="G8" s="443">
        <f>((IF(ISBLANK(Draft!D6),0,VLOOKUP(Draft!D6, 'Final Update'!A4:L1000,5,FALSE)+(IF(ISBLANK(Draft!E11),0,VLOOKUP(Draft!E11, 'Final Update'!A4:L1000,5,FALSE)+(IF(ISBLANK(Draft!F6),0,VLOOKUP(Draft!F6, 'Final Update'!A4:L1000,5,FALSE)+(IF(ISBLANK(Draft!G11),0,VLOOKUP(Draft!G11, 'Final Update'!A4:L1000,5,FALSE)+(IF(ISBLANK(Draft!H6),0,VLOOKUP(Draft!H6, 'Final Update'!A4:L1000,5,FALSE)+(IF(ISBLANK(Draft!I11),0,VLOOKUP(Draft!I11, 'Final Update'!A4:L1000,5,FALSE)+(IF(ISBLANK(Draft!J6),0,VLOOKUP(Draft!J6, 'Final Update'!A4:L1000,5,FALSE)+(IF(ISBLANK(Draft!K11),0,VLOOKUP(Draft!K11, 'Final Update'!A4:L1000,5,FALSE)+(IF(ISBLANK(Draft!L6),0,VLOOKUP(Draft!L6, 'Final Update'!A4:L1000,5,FALSE)+(IF(ISBLANK(Draft!M11),0,VLOOKUP(Draft!M11, 'Final Update'!A4:L1000,5,FALSE)+IF(ISBLANK(Draft!N6),0,VLOOKUP(Draft!N6, 'Final Update'!A4:L1000,5,FALSE)+IF(ISBLANK(Draft!O11),0,VLOOKUP(Draft!O11, 'Final Update'!A4:L1000,5,FALSE))))))))))))))))))))))))</f>
        <v>2.082565162</v>
      </c>
      <c r="H8" s="443">
        <f>((IF(ISBLANK(Draft!D6),0,VLOOKUP(Draft!D6, 'Final Update'!A4:L1000,6,FALSE)+(IF(ISBLANK(Draft!E11),0,VLOOKUP(Draft!E11, 'Final Update'!A4:L1000,6,FALSE)+(IF(ISBLANK(Draft!F6),0,VLOOKUP(Draft!F6, 'Final Update'!A4:L1000,6,FALSE)+(IF(ISBLANK(Draft!G11),0,VLOOKUP(Draft!G11, 'Final Update'!A4:L1000,6,FALSE)+(IF(ISBLANK(Draft!H6),0,VLOOKUP(Draft!H6, 'Final Update'!A4:L1000,6,FALSE)+(IF(ISBLANK(Draft!I11),0,VLOOKUP(Draft!I11, 'Final Update'!A4:L1000,6,FALSE)+(IF(ISBLANK(Draft!J6),0,VLOOKUP(Draft!J6, 'Final Update'!A4:L1000,6,FALSE)+(IF(ISBLANK(Draft!K11),0,VLOOKUP(Draft!K11, 'Final Update'!A4:L1000,6,FALSE)+(IF(ISBLANK(Draft!L6),0,VLOOKUP(Draft!L6, 'Final Update'!A4:L1000,6,FALSE)+(IF(ISBLANK(Draft!M11),0,VLOOKUP(Draft!M11, 'Final Update'!A4:L1000,6,FALSE)+IF(ISBLANK(Draft!N6),0,VLOOKUP(Draft!N6, 'Final Update'!A4:L1000,6,FALSE)+IF(ISBLANK(Draft!O11),0,VLOOKUP(Draft!O11, 'Final Update'!A4:L1000,6,FALSE))))))))))))))))))))))))</f>
        <v>-0.04616282279</v>
      </c>
      <c r="I8" s="443">
        <f>((IF(ISBLANK(Draft!D6),0,VLOOKUP(Draft!D6, 'Final Update'!A4:L1000,7,FALSE)+(IF(ISBLANK(Draft!E11),0,VLOOKUP(Draft!E11, 'Final Update'!A4:L1000,7,FALSE)+(IF(ISBLANK(Draft!F6),0,VLOOKUP(Draft!F6, 'Final Update'!A4:L1000,7,FALSE)+(IF(ISBLANK(Draft!G11),0,VLOOKUP(Draft!G11, 'Final Update'!A4:L1000,7,FALSE)+(IF(ISBLANK(Draft!H6),0,VLOOKUP(Draft!H6, 'Final Update'!A4:L1000,7,FALSE)+(IF(ISBLANK(Draft!I11),0,VLOOKUP(Draft!I11, 'Final Update'!A4:L1000,7,FALSE)+(IF(ISBLANK(Draft!J6),0,VLOOKUP(Draft!J6, 'Final Update'!A4:L1000,7,FALSE)+(IF(ISBLANK(Draft!K11),0,VLOOKUP(Draft!K11, 'Final Update'!A4:L1000,7,FALSE)+(IF(ISBLANK(Draft!L6),0,VLOOKUP(Draft!L6, 'Final Update'!A4:L1000,7,FALSE)+(IF(ISBLANK(Draft!M11),0,VLOOKUP(Draft!M11, 'Final Update'!A4:L1000,7,FALSE)+IF(ISBLANK(Draft!N6),0,VLOOKUP(Draft!N6, 'Final Update'!A4:L1000,7,FALSE)+IF(ISBLANK(Draft!O11),0,VLOOKUP(Draft!O11, 'Final Update'!A4:L1000,7,FALSE))))))))))))))))))))))))</f>
        <v>-4.353515179</v>
      </c>
      <c r="J8" s="443">
        <f>((IF(ISBLANK(Draft!D6),0,VLOOKUP(Draft!D6, 'Final Update'!A4:L1000,8,FALSE)+(IF(ISBLANK(Draft!E11),0,VLOOKUP(Draft!E11, 'Final Update'!A4:L1000,8,FALSE)+(IF(ISBLANK(Draft!F6),0,VLOOKUP(Draft!F6, 'Final Update'!A4:L1000,8,FALSE)+(IF(ISBLANK(Draft!G11),0,VLOOKUP(Draft!G11, 'Final Update'!A4:L1000,8,FALSE)+(IF(ISBLANK(Draft!H6),0,VLOOKUP(Draft!H6, 'Final Update'!A4:L1000,8,FALSE)+(IF(ISBLANK(Draft!I11),0,VLOOKUP(Draft!I11, 'Final Update'!A4:L1000,8,FALSE)+(IF(ISBLANK(Draft!J6),0,VLOOKUP(Draft!J6, 'Final Update'!A4:L1000,8,FALSE)+(IF(ISBLANK(Draft!K11),0,VLOOKUP(Draft!K11, 'Final Update'!A4:L1000,8,FALSE)+(IF(ISBLANK(Draft!L6),0,VLOOKUP(Draft!L6, 'Final Update'!A4:L1000,8,FALSE)+(IF(ISBLANK(Draft!M11),0,VLOOKUP(Draft!M11, 'Final Update'!A4:L1000,8,FALSE)+IF(ISBLANK(Draft!N6),0,VLOOKUP(Draft!N6, 'Final Update'!A4:L1000,8,FALSE)+IF(ISBLANK(Draft!O11),0,VLOOKUP(Draft!O11, 'Final Update'!A4:L1000,8,FALSE))))))))))))))))))))))))</f>
        <v>-3.94585387</v>
      </c>
      <c r="K8" s="443">
        <f>((IF(ISBLANK(Draft!D6),0,VLOOKUP(Draft!D6, 'Final Update'!A4:L1000,10,FALSE)+(IF(ISBLANK(Draft!E11),0,VLOOKUP(Draft!E11, 'Final Update'!A4:L1000,10,FALSE)+(IF(ISBLANK(Draft!F6),0,VLOOKUP(Draft!F6, 'Final Update'!A4:L1000,10,FALSE)+(IF(ISBLANK(Draft!G11),0,VLOOKUP(Draft!G11, 'Final Update'!A4:L1000,10,FALSE)+(IF(ISBLANK(Draft!H6),0,VLOOKUP(Draft!H6, 'Final Update'!A4:L1000,10,FALSE)+(IF(ISBLANK(Draft!I11),0,VLOOKUP(Draft!I11, 'Final Update'!A4:L1000,10,FALSE)+(IF(ISBLANK(Draft!J6),0,VLOOKUP(Draft!J6, 'Final Update'!A4:L1000,10,FALSE)+(IF(ISBLANK(Draft!K11),0,VLOOKUP(Draft!K11, 'Final Update'!A4:L1000,10,FALSE)+(IF(ISBLANK(Draft!L6),0,VLOOKUP(Draft!L6, 'Final Update'!A4:L1000,10,FALSE)+(IF(ISBLANK(Draft!M11),0,VLOOKUP(Draft!M11, 'Final Update'!A4:L1000,10,FALSE)+IF(ISBLANK(Draft!N6),0,VLOOKUP(Draft!N6, 'Final Update'!A4:L1000,10,FALSE)+IF(ISBLANK(Draft!O11),0,VLOOKUP(Draft!O11, 'Final Update'!A4:L1000,10,FALSE))))))))))))))))))))))))</f>
        <v>2.938673696</v>
      </c>
      <c r="L8" s="443">
        <f>((IF(ISBLANK(Draft!D6),0,VLOOKUP(Draft!D6, 'Final Update'!A4:L1000,12,FALSE)+(IF(ISBLANK(Draft!E11),0,VLOOKUP(Draft!E11, 'Final Update'!A4:L1000,12,FALSE)+(IF(ISBLANK(Draft!F6),0,VLOOKUP(Draft!F6, 'Final Update'!A4:L1000,12,FALSE)+(IF(ISBLANK(Draft!G11),0,VLOOKUP(Draft!G11, 'Final Update'!A4:L1000,12,FALSE)+(IF(ISBLANK(Draft!H6),0,VLOOKUP(Draft!H6, 'Final Update'!A4:L1000,12,FALSE)+(IF(ISBLANK(Draft!I11),0,VLOOKUP(Draft!I11, 'Final Update'!A4:L1000,12,FALSE)+(IF(ISBLANK(Draft!J6),0,VLOOKUP(Draft!J6, 'Final Update'!A4:L1000,12,FALSE)+(IF(ISBLANK(Draft!K11),0,VLOOKUP(Draft!K11, 'Final Update'!A4:L1000,12,FALSE)+(IF(ISBLANK(Draft!L6),0,VLOOKUP(Draft!L6, 'Final Update'!A4:L1000,12,FALSE)+(IF(ISBLANK(Draft!M11),0,VLOOKUP(Draft!M11, 'Final Update'!A4:L1000,12,FALSE)+IF(ISBLANK(Draft!N6),0,VLOOKUP(Draft!N6, 'Final Update'!A4:L1000,12,FALSE)+IF(ISBLANK(Draft!O11),0,VLOOKUP(Draft!O11, 'Final Update'!A4:L1000,12,FALSE))))))))))))))))))))))))</f>
        <v>4.082777867</v>
      </c>
      <c r="M8" s="442">
        <f t="array" ref="M8">if(M$3=$C8,"-", countif(indirect(address(row($C$4)+ VLOOKUP(M$3,$C$5:$C$16,1),COLUMN($D$4))):indirect(address(row($C$4)+ VLOOKUP(M$3,$C$5:$C$16,1),COLUMN($L$4)))&gt;indirect(address(row($C8),COLUMN($D$4))):indirect(address(row($C8),COLUMN($L$4))),TRUE()))</f>
        <v>0</v>
      </c>
      <c r="N8" s="442">
        <f t="array" ref="N8">if(N$3=$C8,"-", countif(indirect(address(row($C$4)+ VLOOKUP(N$3,$C$5:$C$16,1),COLUMN($D$4))):indirect(address(row($C$4)+ VLOOKUP(N$3,$C$5:$C$16,1),COLUMN($L$4)))&gt;indirect(address(row($C8),COLUMN($D$4))):indirect(address(row($C8),COLUMN($L$4))),TRUE()))</f>
        <v>0</v>
      </c>
      <c r="O8" s="442">
        <f t="array" ref="O8">if(O$3=$C8,"-", countif(indirect(address(row($C$4)+ VLOOKUP(O$3,$C$5:$C$16,1),COLUMN($D$4))):indirect(address(row($C$4)+ VLOOKUP(O$3,$C$5:$C$16,1),COLUMN($L$4)))&gt;indirect(address(row($C8),COLUMN($D$4))):indirect(address(row($C8),COLUMN($L$4))),TRUE()))</f>
        <v>0</v>
      </c>
      <c r="P8" s="442">
        <f t="array" ref="P8">if(P$3=$C8,"-", countif(indirect(address(row($C$4)+ VLOOKUP(P$3,$C$5:$C$16,1),COLUMN($D$4))):indirect(address(row($C$4)+ VLOOKUP(P$3,$C$5:$C$16,1),COLUMN($L$4)))&gt;indirect(address(row($C8),COLUMN($D$4))):indirect(address(row($C8),COLUMN($L$4))),TRUE()))</f>
        <v>0</v>
      </c>
      <c r="Q8" s="442">
        <f t="array" ref="Q8">if(Q$3=$C8,"-", countif(indirect(address(row($C$4)+ VLOOKUP(Q$3,$C$5:$C$16,1),COLUMN($D$4))):indirect(address(row($C$4)+ VLOOKUP(Q$3,$C$5:$C$16,1),COLUMN($L$4)))&gt;indirect(address(row($C8),COLUMN($D$4))):indirect(address(row($C8),COLUMN($L$4))),TRUE()))</f>
        <v>0</v>
      </c>
      <c r="R8" s="442">
        <f t="array" ref="R8">if(R$3=$C8,"-", countif(indirect(address(row($C$4)+ VLOOKUP(R$3,$C$5:$C$16,1),COLUMN($D$4))):indirect(address(row($C$4)+ VLOOKUP(R$3,$C$5:$C$16,1),COLUMN($L$4)))&gt;indirect(address(row($C8),COLUMN($D$4))):indirect(address(row($C8),COLUMN($L$4))),TRUE()))</f>
        <v>0</v>
      </c>
      <c r="S8" s="442">
        <f t="array" ref="S8">if(S$3=$C8,"-", countif(indirect(address(row($C$4)+ VLOOKUP(S$3,$C$5:$C$16,1),COLUMN($D$4))):indirect(address(row($C$4)+ VLOOKUP(S$3,$C$5:$C$16,1),COLUMN($L$4)))&gt;indirect(address(row($C8),COLUMN($D$4))):indirect(address(row($C8),COLUMN($L$4))),TRUE()))</f>
        <v>0</v>
      </c>
      <c r="T8" s="442">
        <f t="array" ref="T8">if(T$3=$C8,"-", countif(indirect(address(row($C$4)+ VLOOKUP(T$3,$C$5:$C$16,1),COLUMN($D$4))):indirect(address(row($C$4)+ VLOOKUP(T$3,$C$5:$C$16,1),COLUMN($L$4)))&gt;indirect(address(row($C8),COLUMN($D$4))):indirect(address(row($C8),COLUMN($L$4))),TRUE()))</f>
        <v>0</v>
      </c>
      <c r="U8" s="442">
        <f t="array" ref="U8">if(U$3=$C8,"-", countif(indirect(address(row($C$4)+ VLOOKUP(U$3,$C$5:$C$16,1),COLUMN($D$4))):indirect(address(row($C$4)+ VLOOKUP(U$3,$C$5:$C$16,1),COLUMN($L$4)))&gt;indirect(address(row($C8),COLUMN($D$4))):indirect(address(row($C8),COLUMN($L$4))),TRUE()))</f>
        <v>0</v>
      </c>
      <c r="V8" s="442">
        <f t="array" ref="V8">if(V$3=$C8,"-", countif(indirect(address(row($C$4)+ VLOOKUP(V$3,$C$5:$C$16,1),COLUMN($D$4))):indirect(address(row($C$4)+ VLOOKUP(V$3,$C$5:$C$16,1),COLUMN($L$4)))&gt;indirect(address(row($C8),COLUMN($D$4))):indirect(address(row($C8),COLUMN($L$4))),TRUE()))</f>
        <v>0</v>
      </c>
      <c r="W8" s="442">
        <f t="array" ref="W8">if(W$3=$C8,"-", countif(indirect(address(row($C$4)+ VLOOKUP(W$3,$C$5:$C$16,1),COLUMN($D$4))):indirect(address(row($C$4)+ VLOOKUP(W$3,$C$5:$C$16,1),COLUMN($L$4)))&gt;indirect(address(row($C8),COLUMN($D$4))):indirect(address(row($C8),COLUMN($L$4))),TRUE()))</f>
        <v>0</v>
      </c>
      <c r="X8" s="442">
        <f t="array" ref="X8">if(X$3=$C8,"-", countif(indirect(address(row($C$4)+ VLOOKUP(X$3,$C$5:$C$16,1),COLUMN($D$4))):indirect(address(row($C$4)+ VLOOKUP(X$3,$C$5:$C$16,1),COLUMN($L$4)))&gt;indirect(address(row($C8),COLUMN($D$4))):indirect(address(row($C8),COLUMN($L$4))),TRUE()))</f>
        <v>0</v>
      </c>
      <c r="Y8" s="442">
        <f t="array" ref="Y8">if(D$1=$C8,"-", countif(indirect(address(row($C$4)+ VLOOKUP(D$1,$C$5:$C$16,1),COLUMN($D$4))):indirect(address(row($C$4)+ VLOOKUP(D$1,$C$5:$C$16,1),COLUMN($L$4)))&gt;indirect(address(row($C8),COLUMN($D$4))):indirect(address(row($C8),COLUMN($L$4))),TRUE()))</f>
        <v>0</v>
      </c>
      <c r="Z8" s="443">
        <f>SUM(P$5:P$16)/99</f>
        <v>0</v>
      </c>
    </row>
    <row r="9">
      <c r="B9" s="441" t="b">
        <f>Draft!C7</f>
        <v>0</v>
      </c>
      <c r="C9" s="427">
        <v>5.0</v>
      </c>
      <c r="D9" s="423" t="str">
        <f>((IF(ISBLANK(Draft!D7),0,VLOOKUP(Draft!D7, 'Final Update'!A4:L1000,2,FALSE)+(IF(ISBLANK(Draft!E10),0,VLOOKUP(Draft!E10, 'Final Update'!A4:L1000,2,FALSE)+(IF(ISBLANK(Draft!F7),0,VLOOKUP(Draft!F7, 'Final Update'!A4:L1000,2,FALSE)+(IF(ISBLANK(Draft!G10),0,VLOOKUP(Draft!G10, 'Final Update'!A4:L1000,2,FALSE)+(IF(ISBLANK(Draft!H7),0,VLOOKUP(Draft!H7, 'Final Update'!A4:L1000,2,FALSE)+(IF(ISBLANK(Draft!I10),0,VLOOKUP(Draft!I10, 'Final Update'!A4:L1000,2,FALSE)+(IF(ISBLANK(Draft!J7),0,VLOOKUP(Draft!J7, 'Final Update'!A4:L1000,2,FALSE)+(IF(ISBLANK(Draft!K10),0,VLOOKUP(Draft!K10, 'Final Update'!A4:L1000,2,FALSE)+(IF(ISBLANK(Draft!L7),0,VLOOKUP(Draft!L7, 'Final Update'!A4:L1000,2,FALSE)+(IF(ISBLANK(Draft!M10),0,VLOOKUP(Draft!M10, 'Final Update'!A4:L1000,2,FALSE)+IF(ISBLANK(Draft!N7),0,VLOOKUP(Draft!N7, 'Final Update'!A4:L1000,2,FALSE)+IF(ISBLANK(Draft!O10),0,VLOOKUP(Draft!O10, 'Final Update'!A4:L1000,2,FALSE))))))))))))))))))))))))</f>
        <v>#N/A</v>
      </c>
      <c r="E9" s="423" t="str">
        <f>((IF(ISBLANK(Draft!D7),0,VLOOKUP(Draft!D7, 'Final Update'!A4:L1000,3,FALSE)+(IF(ISBLANK(Draft!E10),0,VLOOKUP(Draft!E10, 'Final Update'!A4:L1000,3,FALSE)+(IF(ISBLANK(Draft!F7),0,VLOOKUP(Draft!F7, 'Final Update'!A4:L1000,3,FALSE)+(IF(ISBLANK(Draft!G10),0,VLOOKUP(Draft!G10, 'Final Update'!A4:L1000,3,FALSE)+(IF(ISBLANK(Draft!H7),0,VLOOKUP(Draft!H7, 'Final Update'!A4:L1000,3,FALSE)+(IF(ISBLANK(Draft!I10),0,VLOOKUP(Draft!I10, 'Final Update'!A4:L1000,3,FALSE)+(IF(ISBLANK(Draft!J7),0,VLOOKUP(Draft!J7, 'Final Update'!A4:L1000,3,FALSE)+(IF(ISBLANK(Draft!K10),0,VLOOKUP(Draft!K10, 'Final Update'!A4:L1000,3,FALSE)+(IF(ISBLANK(Draft!L7),0,VLOOKUP(Draft!L7, 'Final Update'!A4:L1000,3,FALSE)+(IF(ISBLANK(Draft!M10),0,VLOOKUP(Draft!M10, 'Final Update'!A4:L1000,3,FALSE)+IF(ISBLANK(Draft!N7),0,VLOOKUP(Draft!N7, 'Final Update'!A4:L1000,3,FALSE)+IF(ISBLANK(Draft!O10),0,VLOOKUP(Draft!O10, 'Final Update'!A4:L1000,3,FALSE))))))))))))))))))))))))</f>
        <v>#N/A</v>
      </c>
      <c r="F9" s="423" t="str">
        <f>((IF(ISBLANK(Draft!D7),0,VLOOKUP(Draft!D7, 'Final Update'!A4:L1000,4,FALSE)+(IF(ISBLANK(Draft!E10),0,VLOOKUP(Draft!E10, 'Final Update'!A4:L1000,4,FALSE)+(IF(ISBLANK(Draft!F7),0,VLOOKUP(Draft!F7, 'Final Update'!A4:L1000,4,FALSE)+(IF(ISBLANK(Draft!G10),0,VLOOKUP(Draft!G10, 'Final Update'!A4:L1000,4,FALSE)+(IF(ISBLANK(Draft!H7),0,VLOOKUP(Draft!H7, 'Final Update'!A4:L1000,4,FALSE)+(IF(ISBLANK(Draft!I10),0,VLOOKUP(Draft!I10, 'Final Update'!A4:L1000,4,FALSE)+(IF(ISBLANK(Draft!J7),0,VLOOKUP(Draft!J7, 'Final Update'!A4:L1000,4,FALSE)+(IF(ISBLANK(Draft!K10),0,VLOOKUP(Draft!K10, 'Final Update'!A4:L1000,4,FALSE)+(IF(ISBLANK(Draft!L7),0,VLOOKUP(Draft!L7, 'Final Update'!A4:L1000,4,FALSE)+(IF(ISBLANK(Draft!M10),0,VLOOKUP(Draft!M10, 'Final Update'!A4:L1000,4,FALSE)+IF(ISBLANK(Draft!N7),0,VLOOKUP(Draft!N7, 'Final Update'!A4:L1000,4,FALSE)+IF(ISBLANK(Draft!O10),0,VLOOKUP(Draft!O10, 'Final Update'!A4:L1000,4,FALSE))))))))))))))))))))))))</f>
        <v>#N/A</v>
      </c>
      <c r="G9" s="423" t="str">
        <f>((IF(ISBLANK(Draft!D7),0,VLOOKUP(Draft!D7, 'Final Update'!A4:L1000,5,FALSE)+(IF(ISBLANK(Draft!E10),0,VLOOKUP(Draft!E10, 'Final Update'!A4:L1000,5,FALSE)+(IF(ISBLANK(Draft!F7),0,VLOOKUP(Draft!F7, 'Final Update'!A4:L1000,5,FALSE)+(IF(ISBLANK(Draft!G10),0,VLOOKUP(Draft!G10, 'Final Update'!A4:L1000,5,FALSE)+(IF(ISBLANK(Draft!H7),0,VLOOKUP(Draft!H7, 'Final Update'!A4:L1000,5,FALSE)+(IF(ISBLANK(Draft!I10),0,VLOOKUP(Draft!I10, 'Final Update'!A4:L1000,5,FALSE)+(IF(ISBLANK(Draft!J7),0,VLOOKUP(Draft!J7, 'Final Update'!A4:L1000,5,FALSE)+(IF(ISBLANK(Draft!K10),0,VLOOKUP(Draft!K10, 'Final Update'!A4:L1000,5,FALSE)+(IF(ISBLANK(Draft!L7),0,VLOOKUP(Draft!L7, 'Final Update'!A4:L1000,5,FALSE)+(IF(ISBLANK(Draft!M10),0,VLOOKUP(Draft!M10, 'Final Update'!A4:L1000,5,FALSE)+IF(ISBLANK(Draft!N7),0,VLOOKUP(Draft!N7, 'Final Update'!A4:L1000,5,FALSE)+IF(ISBLANK(Draft!O10),0,VLOOKUP(Draft!O10, 'Final Update'!A4:L1000,5,FALSE))))))))))))))))))))))))</f>
        <v>#N/A</v>
      </c>
      <c r="H9" s="423" t="str">
        <f>((IF(ISBLANK(Draft!D7),0,VLOOKUP(Draft!D7, 'Final Update'!A4:L1000,6,FALSE)+(IF(ISBLANK(Draft!E10),0,VLOOKUP(Draft!E10, 'Final Update'!A4:L1000,6,FALSE)+(IF(ISBLANK(Draft!F7),0,VLOOKUP(Draft!F7, 'Final Update'!A4:L1000,6,FALSE)+(IF(ISBLANK(Draft!G10),0,VLOOKUP(Draft!G10, 'Final Update'!A4:L1000,6,FALSE)+(IF(ISBLANK(Draft!H7),0,VLOOKUP(Draft!H7, 'Final Update'!A4:L1000,6,FALSE)+(IF(ISBLANK(Draft!I10),0,VLOOKUP(Draft!I10, 'Final Update'!A4:L1000,6,FALSE)+(IF(ISBLANK(Draft!J7),0,VLOOKUP(Draft!J7, 'Final Update'!A4:L1000,6,FALSE)+(IF(ISBLANK(Draft!K10),0,VLOOKUP(Draft!K10, 'Final Update'!A4:L1000,6,FALSE)+(IF(ISBLANK(Draft!L7),0,VLOOKUP(Draft!L7, 'Final Update'!A4:L1000,6,FALSE)+(IF(ISBLANK(Draft!M10),0,VLOOKUP(Draft!M10, 'Final Update'!A4:L1000,6,FALSE)+IF(ISBLANK(Draft!N7),0,VLOOKUP(Draft!N7, 'Final Update'!A4:L1000,6,FALSE)+IF(ISBLANK(Draft!O10),0,VLOOKUP(Draft!O10, 'Final Update'!A4:L1000,6,FALSE))))))))))))))))))))))))</f>
        <v>#N/A</v>
      </c>
      <c r="I9" s="423" t="str">
        <f>((IF(ISBLANK(Draft!D7),0,VLOOKUP(Draft!D7, 'Final Update'!A4:L1000,7,FALSE)+(IF(ISBLANK(Draft!E10),0,VLOOKUP(Draft!E10, 'Final Update'!A4:L1000,7,FALSE)+(IF(ISBLANK(Draft!F7),0,VLOOKUP(Draft!F7, 'Final Update'!A4:L1000,7,FALSE)+(IF(ISBLANK(Draft!G10),0,VLOOKUP(Draft!G10, 'Final Update'!A4:L1000,7,FALSE)+(IF(ISBLANK(Draft!H7),0,VLOOKUP(Draft!H7, 'Final Update'!A4:L1000,7,FALSE)+(IF(ISBLANK(Draft!I10),0,VLOOKUP(Draft!I10, 'Final Update'!A4:L1000,7,FALSE)+(IF(ISBLANK(Draft!J7),0,VLOOKUP(Draft!J7, 'Final Update'!A4:L1000,7,FALSE)+(IF(ISBLANK(Draft!K10),0,VLOOKUP(Draft!K10, 'Final Update'!A4:L1000,7,FALSE)+(IF(ISBLANK(Draft!L7),0,VLOOKUP(Draft!L7, 'Final Update'!A4:L1000,7,FALSE)+(IF(ISBLANK(Draft!M10),0,VLOOKUP(Draft!M10, 'Final Update'!A4:L1000,7,FALSE)+IF(ISBLANK(Draft!N7),0,VLOOKUP(Draft!N7, 'Final Update'!A4:L1000,7,FALSE)+IF(ISBLANK(Draft!O10),0,VLOOKUP(Draft!O10, 'Final Update'!A4:L1000,7,FALSE))))))))))))))))))))))))</f>
        <v>#N/A</v>
      </c>
      <c r="J9" s="423" t="str">
        <f>((IF(ISBLANK(Draft!D7),0,VLOOKUP(Draft!D7, 'Final Update'!A4:L1000,8,FALSE)+(IF(ISBLANK(Draft!E10),0,VLOOKUP(Draft!E10, 'Final Update'!A4:L1000,8,FALSE)+(IF(ISBLANK(Draft!F7),0,VLOOKUP(Draft!F7, 'Final Update'!A4:L1000,8,FALSE)+(IF(ISBLANK(Draft!G10),0,VLOOKUP(Draft!G10, 'Final Update'!A4:L1000,8,FALSE)+(IF(ISBLANK(Draft!H7),0,VLOOKUP(Draft!H7, 'Final Update'!A4:L1000,8,FALSE)+(IF(ISBLANK(Draft!I10),0,VLOOKUP(Draft!I10, 'Final Update'!A4:L1000,8,FALSE)+(IF(ISBLANK(Draft!J7),0,VLOOKUP(Draft!J7, 'Final Update'!A4:L1000,8,FALSE)+(IF(ISBLANK(Draft!K10),0,VLOOKUP(Draft!K10, 'Final Update'!A4:L1000,8,FALSE)+(IF(ISBLANK(Draft!L7),0,VLOOKUP(Draft!L7, 'Final Update'!A4:L1000,8,FALSE)+(IF(ISBLANK(Draft!M10),0,VLOOKUP(Draft!M10, 'Final Update'!A4:L1000,8,FALSE)+IF(ISBLANK(Draft!N7),0,VLOOKUP(Draft!N7, 'Final Update'!A4:L1000,8,FALSE)+IF(ISBLANK(Draft!O10),0,VLOOKUP(Draft!O10, 'Final Update'!A4:L1000,7,FALSE))))))))))))))))))))))))</f>
        <v>#N/A</v>
      </c>
      <c r="K9" s="423" t="str">
        <f>((IF(ISBLANK(Draft!D7),0,VLOOKUP(Draft!D7, 'Final Update'!A4:L1000,10,FALSE)+(IF(ISBLANK(Draft!E10),0,VLOOKUP(Draft!E10, 'Final Update'!A4:L1000,10,FALSE)+(IF(ISBLANK(Draft!F7),0,VLOOKUP(Draft!F7, 'Final Update'!A4:L1000,10,FALSE)+(IF(ISBLANK(Draft!G10),0,VLOOKUP(Draft!G10, 'Final Update'!A4:L1000,10,FALSE)+(IF(ISBLANK(Draft!H7),0,VLOOKUP(Draft!H7, 'Final Update'!A4:L1000,10,FALSE)+(IF(ISBLANK(Draft!I10),0,VLOOKUP(Draft!I10, 'Final Update'!A4:L1000,10,FALSE)+(IF(ISBLANK(Draft!J7),0,VLOOKUP(Draft!J7, 'Final Update'!A4:L1000,10,FALSE)+(IF(ISBLANK(Draft!K10),0,VLOOKUP(Draft!K10, 'Final Update'!A4:L1000,10,FALSE)+(IF(ISBLANK(Draft!L7),0,VLOOKUP(Draft!L7, 'Final Update'!A4:L1000,10,FALSE)+(IF(ISBLANK(Draft!M10),0,VLOOKUP(Draft!M10, 'Final Update'!A4:L1000,10,FALSE)+IF(ISBLANK(Draft!N7),0,VLOOKUP(Draft!N7, 'Final Update'!A4:L1000,10,FALSE)+IF(ISBLANK(Draft!O10),0,VLOOKUP(Draft!O10, 'Final Update'!A4:L1000,10,FALSE))))))))))))))))))))))))</f>
        <v>#N/A</v>
      </c>
      <c r="L9" s="423" t="str">
        <f>((IF(ISBLANK(Draft!D7),0,VLOOKUP(Draft!D7, 'Final Update'!A4:L1000,12,FALSE)+(IF(ISBLANK(Draft!E10),0,VLOOKUP(Draft!E10, 'Final Update'!A4:L1000,12,FALSE)+(IF(ISBLANK(Draft!F7),0,VLOOKUP(Draft!F7, 'Final Update'!A4:L1000,12,FALSE)+(IF(ISBLANK(Draft!G10),0,VLOOKUP(Draft!G10, 'Final Update'!A4:L1000,12,FALSE)+(IF(ISBLANK(Draft!H7),0,VLOOKUP(Draft!H7, 'Final Update'!A4:L1000,12,FALSE)+(IF(ISBLANK(Draft!I10),0,VLOOKUP(Draft!I10, 'Final Update'!A4:L1000,12,FALSE)+(IF(ISBLANK(Draft!J7),0,VLOOKUP(Draft!J7, 'Final Update'!A4:L1000,12,FALSE)+(IF(ISBLANK(Draft!K10),0,VLOOKUP(Draft!K10, 'Final Update'!A4:L1000,12,FALSE)+(IF(ISBLANK(Draft!L7),0,VLOOKUP(Draft!L7, 'Final Update'!A4:L1000,12,FALSE)+(IF(ISBLANK(Draft!M10),0,VLOOKUP(Draft!M10, 'Final Update'!A4:L1000,12,FALSE)+IF(ISBLANK(Draft!N7),0,VLOOKUP(Draft!N7, 'Final Update'!A4:L1000,12,FALSE)+IF(ISBLANK(Draft!O10),0,VLOOKUP(Draft!O10, 'Final Update'!A4:L1000,12,FALSE))))))))))))))))))))))))</f>
        <v>#N/A</v>
      </c>
      <c r="M9" s="442">
        <f t="array" ref="M9">if(M$3=$C9,"-", countif(indirect(address(row($C$4)+ VLOOKUP(M$3,$C$5:$C$16,1),COLUMN($D$4))):indirect(address(row($C$4)+ VLOOKUP(M$3,$C$5:$C$16,1),COLUMN($L$4)))&gt;indirect(address(row($C9),COLUMN($D$4))):indirect(address(row($C9),COLUMN($L$4))),TRUE()))</f>
        <v>0</v>
      </c>
      <c r="N9" s="442">
        <f t="array" ref="N9">if(N$3=$C9,"-", countif(indirect(address(row($C$4)+ VLOOKUP(N$3,$C$5:$C$16,1),COLUMN($D$4))):indirect(address(row($C$4)+ VLOOKUP(N$3,$C$5:$C$16,1),COLUMN($L$4)))&gt;indirect(address(row($C9),COLUMN($D$4))):indirect(address(row($C9),COLUMN($L$4))),TRUE()))</f>
        <v>0</v>
      </c>
      <c r="O9" s="442">
        <f t="array" ref="O9">if(O$3=$C9,"-", countif(indirect(address(row($C$4)+ VLOOKUP(O$3,$C$5:$C$16,1),COLUMN($D$4))):indirect(address(row($C$4)+ VLOOKUP(O$3,$C$5:$C$16,1),COLUMN($L$4)))&gt;indirect(address(row($C9),COLUMN($D$4))):indirect(address(row($C9),COLUMN($L$4))),TRUE()))</f>
        <v>0</v>
      </c>
      <c r="P9" s="442">
        <f t="array" ref="P9">if(P$3=$C9,"-", countif(indirect(address(row($C$4)+ VLOOKUP(P$3,$C$5:$C$16,1),COLUMN($D$4))):indirect(address(row($C$4)+ VLOOKUP(P$3,$C$5:$C$16,1),COLUMN($L$4)))&gt;indirect(address(row($C9),COLUMN($D$4))):indirect(address(row($C9),COLUMN($L$4))),TRUE()))</f>
        <v>0</v>
      </c>
      <c r="Q9" s="442">
        <f t="array" ref="Q9">if(Q$3=$C9,"-", countif(indirect(address(row($C$4)+ VLOOKUP(Q$3,$C$5:$C$16,1),COLUMN($D$4))):indirect(address(row($C$4)+ VLOOKUP(Q$3,$C$5:$C$16,1),COLUMN($L$4)))&gt;indirect(address(row($C9),COLUMN($D$4))):indirect(address(row($C9),COLUMN($L$4))),TRUE()))</f>
        <v>0</v>
      </c>
      <c r="R9" s="442">
        <f t="array" ref="R9">if(R$3=$C9,"-", countif(indirect(address(row($C$4)+ VLOOKUP(R$3,$C$5:$C$16,1),COLUMN($D$4))):indirect(address(row($C$4)+ VLOOKUP(R$3,$C$5:$C$16,1),COLUMN($L$4)))&gt;indirect(address(row($C9),COLUMN($D$4))):indirect(address(row($C9),COLUMN($L$4))),TRUE()))</f>
        <v>0</v>
      </c>
      <c r="S9" s="442">
        <f t="array" ref="S9">if(S$3=$C9,"-", countif(indirect(address(row($C$4)+ VLOOKUP(S$3,$C$5:$C$16,1),COLUMN($D$4))):indirect(address(row($C$4)+ VLOOKUP(S$3,$C$5:$C$16,1),COLUMN($L$4)))&gt;indirect(address(row($C9),COLUMN($D$4))):indirect(address(row($C9),COLUMN($L$4))),TRUE()))</f>
        <v>0</v>
      </c>
      <c r="T9" s="442">
        <f t="array" ref="T9">if(T$3=$C9,"-", countif(indirect(address(row($C$4)+ VLOOKUP(T$3,$C$5:$C$16,1),COLUMN($D$4))):indirect(address(row($C$4)+ VLOOKUP(T$3,$C$5:$C$16,1),COLUMN($L$4)))&gt;indirect(address(row($C9),COLUMN($D$4))):indirect(address(row($C9),COLUMN($L$4))),TRUE()))</f>
        <v>0</v>
      </c>
      <c r="U9" s="442">
        <f t="array" ref="U9">if(U$3=$C9,"-", countif(indirect(address(row($C$4)+ VLOOKUP(U$3,$C$5:$C$16,1),COLUMN($D$4))):indirect(address(row($C$4)+ VLOOKUP(U$3,$C$5:$C$16,1),COLUMN($L$4)))&gt;indirect(address(row($C9),COLUMN($D$4))):indirect(address(row($C9),COLUMN($L$4))),TRUE()))</f>
        <v>0</v>
      </c>
      <c r="V9" s="442">
        <f t="array" ref="V9">if(V$3=$C9,"-", countif(indirect(address(row($C$4)+ VLOOKUP(V$3,$C$5:$C$16,1),COLUMN($D$4))):indirect(address(row($C$4)+ VLOOKUP(V$3,$C$5:$C$16,1),COLUMN($L$4)))&gt;indirect(address(row($C9),COLUMN($D$4))):indirect(address(row($C9),COLUMN($L$4))),TRUE()))</f>
        <v>0</v>
      </c>
      <c r="W9" s="442">
        <f t="array" ref="W9">if(W$3=$C9,"-", countif(indirect(address(row($C$4)+ VLOOKUP(W$3,$C$5:$C$16,1),COLUMN($D$4))):indirect(address(row($C$4)+ VLOOKUP(W$3,$C$5:$C$16,1),COLUMN($L$4)))&gt;indirect(address(row($C9),COLUMN($D$4))):indirect(address(row($C9),COLUMN($L$4))),TRUE()))</f>
        <v>0</v>
      </c>
      <c r="X9" s="442">
        <f t="array" ref="X9">if(X$3=$C9,"-", countif(indirect(address(row($C$4)+ VLOOKUP(X$3,$C$5:$C$16,1),COLUMN($D$4))):indirect(address(row($C$4)+ VLOOKUP(X$3,$C$5:$C$16,1),COLUMN($L$4)))&gt;indirect(address(row($C9),COLUMN($D$4))):indirect(address(row($C9),COLUMN($L$4))),TRUE()))</f>
        <v>0</v>
      </c>
      <c r="Y9" s="442">
        <f t="array" ref="Y9">if(D$1=$C9,"-", countif(indirect(address(row($C$4)+ VLOOKUP(D$1,$C$5:$C$16,1),COLUMN($D$4))):indirect(address(row($C$4)+ VLOOKUP(D$1,$C$5:$C$16,1),COLUMN($L$4)))&gt;indirect(address(row($C9),COLUMN($D$4))):indirect(address(row($C9),COLUMN($L$4))),TRUE()))</f>
        <v>0</v>
      </c>
      <c r="Z9" s="443">
        <f>SUM(Q$5:Q$16)/99</f>
        <v>0</v>
      </c>
    </row>
    <row r="10">
      <c r="B10" s="441" t="b">
        <f>Draft!C8</f>
        <v>0</v>
      </c>
      <c r="C10" s="427">
        <v>6.0</v>
      </c>
      <c r="D10" s="444">
        <f>((IF(ISBLANK(Draft!D8),0,VLOOKUP(Draft!D8, 'Final Update'!A4:L1000,2,FALSE)+(IF(ISBLANK(Draft!E9),0,VLOOKUP(Draft!E9, 'Final Update'!A4:L1000,2,FALSE)+(IF(ISBLANK(Draft!F8),0,VLOOKUP(Draft!F8, 'Final Update'!A4:L1000,2,FALSE)+(IF(ISBLANK(Draft!G9),0,VLOOKUP(Draft!G9, 'Final Update'!A4:L1000,2,FALSE)+(IF(ISBLANK(Draft!H8),0,VLOOKUP(Draft!H8, 'Final Update'!A4:L1000,2,FALSE)+(IF(ISBLANK(Draft!I9),0,VLOOKUP(Draft!I9, 'Final Update'!A4:L1000,2,FALSE)+(IF(ISBLANK(Draft!J8),0,VLOOKUP(Draft!J8, 'Final Update'!A4:L1000,2,FALSE)+(IF(ISBLANK(Draft!K9),0,VLOOKUP(Draft!K9, 'Final Update'!A4:L1000,2,FALSE)+(IF(ISBLANK(Draft!L8),0,VLOOKUP(Draft!L8, 'Final Update'!A4:L1000,2,FALSE)+(IF(ISBLANK(Draft!M9),0,VLOOKUP(Draft!M9, 'Final Update'!A4:L1000,2,FALSE)+IF(ISBLANK(Draft!N8),0,VLOOKUP(Draft!N8, 'Final Update'!A4:L1000,2,FALSE)+IF(ISBLANK(Draft!O9),0,VLOOKUP(Draft!O9, 'Final Update'!A4:L1000,2,FALSE))))))))))))))))))))))))</f>
        <v>-0.3437097751</v>
      </c>
      <c r="E10" s="443">
        <f>((IF(ISBLANK(Draft!D8),0,VLOOKUP(Draft!D8, 'Final Update'!A4:L1000,3,FALSE)+(IF(ISBLANK(Draft!E9),0,VLOOKUP(Draft!E9, 'Final Update'!A4:L1000,3,FALSE)+(IF(ISBLANK(Draft!F8),0,VLOOKUP(Draft!F8, 'Final Update'!A4:L1000,3,FALSE)+(IF(ISBLANK(Draft!G9),0,VLOOKUP(Draft!G9, 'Final Update'!A4:L1000,3,FALSE)+(IF(ISBLANK(Draft!H8),0,VLOOKUP(Draft!H8, 'Final Update'!A4:L1000,3,FALSE)+(IF(ISBLANK(Draft!I9),0,VLOOKUP(Draft!I9, 'Final Update'!A4:L1000,3,FALSE)+(IF(ISBLANK(Draft!J8),0,VLOOKUP(Draft!J8, 'Final Update'!A4:L1000,3,FALSE)+(IF(ISBLANK(Draft!K9),0,VLOOKUP(Draft!K9, 'Final Update'!A4:L1000,3,FALSE)+(IF(ISBLANK(Draft!L8),0,VLOOKUP(Draft!L8, 'Final Update'!A4:L1000,3,FALSE)+(IF(ISBLANK(Draft!M9),0,VLOOKUP(Draft!M9, 'Final Update'!A4:L1000,3,FALSE)+IF(ISBLANK(Draft!N8),0,VLOOKUP(Draft!N8, 'Final Update'!A4:L1000,3,FALSE)+IF(ISBLANK(Draft!O9),0,VLOOKUP(Draft!O9, 'Final Update'!A4:L1000,3,FALSE))))))))))))))))))))))))</f>
        <v>-1.381476363</v>
      </c>
      <c r="F10" s="443">
        <f>((IF(ISBLANK(Draft!D8),0,VLOOKUP(Draft!D8, 'Final Update'!A4:L1000,4,FALSE)+(IF(ISBLANK(Draft!E9),0,VLOOKUP(Draft!E9, 'Final Update'!A4:L1000,4,FALSE)+(IF(ISBLANK(Draft!F8),0,VLOOKUP(Draft!F8, 'Final Update'!A4:L1000,4,FALSE)+(IF(ISBLANK(Draft!G9),0,VLOOKUP(Draft!G9, 'Final Update'!A4:L1000,4,FALSE)+(IF(ISBLANK(Draft!H8),0,VLOOKUP(Draft!H8, 'Final Update'!A4:L1000,4,FALSE)+(IF(ISBLANK(Draft!I9),0,VLOOKUP(Draft!I9, 'Final Update'!A4:L1000,4,FALSE)+(IF(ISBLANK(Draft!J8),0,VLOOKUP(Draft!J8, 'Final Update'!A4:L1000,4,FALSE)+(IF(ISBLANK(Draft!K9),0,VLOOKUP(Draft!K9, 'Final Update'!A4:L1000,4,FALSE)+(IF(ISBLANK(Draft!L8),0,VLOOKUP(Draft!L8, 'Final Update'!A4:L1000,4,FALSE)+(IF(ISBLANK(Draft!M9),0,VLOOKUP(Draft!M9, 'Final Update'!A4:L1000,4,FALSE)+IF(ISBLANK(Draft!N8),0,VLOOKUP(Draft!N8, 'Final Update'!A4:L1000,4,FALSE)+IF(ISBLANK(Draft!O9),0,VLOOKUP(Draft!O9, 'Final Update'!A4:L1000,4,FALSE))))))))))))))))))))))))</f>
        <v>-3.226953524</v>
      </c>
      <c r="G10" s="445">
        <f>((IF(ISBLANK(Draft!D8),0,VLOOKUP(Draft!D8, 'Final Update'!A4:L1000,5,FALSE)+(IF(ISBLANK(Draft!E9),0,VLOOKUP(Draft!E9, 'Final Update'!A4:L1000,5,FALSE)+(IF(ISBLANK(Draft!F8),0,VLOOKUP(Draft!F8, 'Final Update'!A4:L1000,5,FALSE)+(IF(ISBLANK(Draft!G9),0,VLOOKUP(Draft!G9, 'Final Update'!A4:L1000,5,FALSE)+(IF(ISBLANK(Draft!H8),0,VLOOKUP(Draft!H8, 'Final Update'!A4:L1000,5,FALSE)+(IF(ISBLANK(Draft!I9),0,VLOOKUP(Draft!I9, 'Final Update'!A4:L1000,5,FALSE)+(IF(ISBLANK(Draft!J8),0,VLOOKUP(Draft!J8, 'Final Update'!A4:L1000,5,FALSE)+(IF(ISBLANK(Draft!K9),0,VLOOKUP(Draft!K9, 'Final Update'!A4:L1000,5,FALSE)+(IF(ISBLANK(Draft!L8),0,VLOOKUP(Draft!L8, 'Final Update'!A4:L1000,5,FALSE)+(IF(ISBLANK(Draft!M9),0,VLOOKUP(Draft!M9, 'Final Update'!A4:L1000,5,FALSE)+IF(ISBLANK(Draft!N8),0,VLOOKUP(Draft!N8, 'Final Update'!A4:L1000,5,FALSE)+IF(ISBLANK(Draft!O9),0,VLOOKUP(Draft!O9, 'Final Update'!A4:L1000,5,FALSE))))))))))))))))))))))))</f>
        <v>-2.746982503</v>
      </c>
      <c r="H10" s="443">
        <f>((IF(ISBLANK(Draft!D8),0,VLOOKUP(Draft!D8, 'Final Update'!A4:L1000,6,FALSE)+(IF(ISBLANK(Draft!E9),0,VLOOKUP(Draft!E9, 'Final Update'!A4:L1000,6,FALSE)+(IF(ISBLANK(Draft!F8),0,VLOOKUP(Draft!F8, 'Final Update'!A4:L1000,6,FALSE)+(IF(ISBLANK(Draft!G9),0,VLOOKUP(Draft!G9, 'Final Update'!A4:L1000,6,FALSE)+(IF(ISBLANK(Draft!H8),0,VLOOKUP(Draft!H8, 'Final Update'!A4:L1000,6,FALSE)+(IF(ISBLANK(Draft!I9),0,VLOOKUP(Draft!I9, 'Final Update'!A4:L1000,6,FALSE)+(IF(ISBLANK(Draft!J8),0,VLOOKUP(Draft!J8, 'Final Update'!A4:L1000,6,FALSE)+(IF(ISBLANK(Draft!K9),0,VLOOKUP(Draft!K9, 'Final Update'!A4:L1000,6,FALSE)+(IF(ISBLANK(Draft!L8),0,VLOOKUP(Draft!L8, 'Final Update'!A4:L1000,6,FALSE)+(IF(ISBLANK(Draft!M9),0,VLOOKUP(Draft!M9, 'Final Update'!A4:L1000,6,FALSE)+IF(ISBLANK(Draft!N8),0,VLOOKUP(Draft!N8, 'Final Update'!A4:L1000,6,FALSE)+IF(ISBLANK(Draft!O9),0,VLOOKUP(Draft!O9, 'Final Update'!A4:L1000,6,FALSE))))))))))))))))))))))))</f>
        <v>-7.016749064</v>
      </c>
      <c r="I10" s="443">
        <f>((IF(ISBLANK(Draft!D8),0,VLOOKUP(Draft!D8, 'Final Update'!A4:L1000,7,FALSE)+(IF(ISBLANK(Draft!E9),0,VLOOKUP(Draft!E9, 'Final Update'!A4:L1000,7,FALSE)+(IF(ISBLANK(Draft!F8),0,VLOOKUP(Draft!F8, 'Final Update'!A4:L1000,7,FALSE)+(IF(ISBLANK(Draft!G9),0,VLOOKUP(Draft!G9, 'Final Update'!A4:L1000,7,FALSE)+(IF(ISBLANK(Draft!H8),0,VLOOKUP(Draft!H8, 'Final Update'!A4:L1000,7,FALSE)+(IF(ISBLANK(Draft!I9),0,VLOOKUP(Draft!I9, 'Final Update'!A4:L1000,7,FALSE)+(IF(ISBLANK(Draft!J8),0,VLOOKUP(Draft!J8, 'Final Update'!A4:L1000,7,FALSE)+(IF(ISBLANK(Draft!K9),0,VLOOKUP(Draft!K9, 'Final Update'!A4:L1000,7,FALSE)+(IF(ISBLANK(Draft!L8),0,VLOOKUP(Draft!L8, 'Final Update'!A4:L1000,7,FALSE)+(IF(ISBLANK(Draft!M9),0,VLOOKUP(Draft!M9, 'Final Update'!A4:L1000,7,FALSE)+IF(ISBLANK(Draft!N8),0,VLOOKUP(Draft!N8, 'Final Update'!A4:L1000,7,FALSE)+IF(ISBLANK(Draft!O9),0,VLOOKUP(Draft!O9, 'Final Update'!A4:L1000,7,FALSE))))))))))))))))))))))))</f>
        <v>2.068658095</v>
      </c>
      <c r="J10" s="443">
        <f>((IF(ISBLANK(Draft!D8),0,VLOOKUP(Draft!D8, 'Final Update'!A4:L1000,8,FALSE)+(IF(ISBLANK(Draft!E9),0,VLOOKUP(Draft!E9, 'Final Update'!A4:L1000,8,FALSE)+(IF(ISBLANK(Draft!F8),0,VLOOKUP(Draft!F8, 'Final Update'!A4:L1000,8,FALSE)+(IF(ISBLANK(Draft!G9),0,VLOOKUP(Draft!G9, 'Final Update'!A4:L1000,8,FALSE)+(IF(ISBLANK(Draft!H8),0,VLOOKUP(Draft!H8, 'Final Update'!A4:L1000,8,FALSE)+(IF(ISBLANK(Draft!I9),0,VLOOKUP(Draft!I9, 'Final Update'!A4:L1000,8,FALSE)+(IF(ISBLANK(Draft!J8),0,VLOOKUP(Draft!J8, 'Final Update'!A4:L1000,8,FALSE)+(IF(ISBLANK(Draft!K9),0,VLOOKUP(Draft!K9, 'Final Update'!A4:L1000,8,FALSE)+(IF(ISBLANK(Draft!L8),0,VLOOKUP(Draft!L8, 'Final Update'!A4:L1000,8,FALSE)+(IF(ISBLANK(Draft!M9),0,VLOOKUP(Draft!M9, 'Final Update'!A4:L1000,8,FALSE)+IF(ISBLANK(Draft!N8),0,VLOOKUP(Draft!N8, 'Final Update'!A4:L1000,8,FALSE)+IF(ISBLANK(Draft!O9),0,VLOOKUP(Draft!O9, 'Final Update'!A4:L1000,8,FALSE))))))))))))))))))))))))</f>
        <v>-4.37156729</v>
      </c>
      <c r="K10" s="443">
        <f>((IF(ISBLANK(Draft!D8),0,VLOOKUP(Draft!D8, 'Final Update'!A4:L1000,10,FALSE)+(IF(ISBLANK(Draft!E9),0,VLOOKUP(Draft!E9, 'Final Update'!A4:L1000,10,FALSE)+(IF(ISBLANK(Draft!F8),0,VLOOKUP(Draft!F8, 'Final Update'!A4:L1000,10,FALSE)+(IF(ISBLANK(Draft!G9),0,VLOOKUP(Draft!G9, 'Final Update'!A4:L1000,10,FALSE)+(IF(ISBLANK(Draft!H8),0,VLOOKUP(Draft!H8, 'Final Update'!A4:L1000,10,FALSE)+(IF(ISBLANK(Draft!I9),0,VLOOKUP(Draft!I9, 'Final Update'!A4:L1000,10,FALSE)+(IF(ISBLANK(Draft!J8),0,VLOOKUP(Draft!J8, 'Final Update'!A4:L1000,10,FALSE)+(IF(ISBLANK(Draft!K9),0,VLOOKUP(Draft!K9, 'Final Update'!A4:L1000,10,FALSE)+(IF(ISBLANK(Draft!L8),0,VLOOKUP(Draft!L8, 'Final Update'!A4:L1000,10,FALSE)+(IF(ISBLANK(Draft!M9),0,VLOOKUP(Draft!M9, 'Final Update'!A4:L1000,10,FALSE)+IF(ISBLANK(Draft!N8),0,VLOOKUP(Draft!N8, 'Final Update'!A4:L1000,10,FALSE)+IF(ISBLANK(Draft!O9),0,VLOOKUP(Draft!O9, 'Final Update'!A4:L1000,10,FALSE))))))))))))))))))))))))</f>
        <v>-1.12796053</v>
      </c>
      <c r="L10" s="445">
        <f>((IF(ISBLANK(Draft!D8),0,VLOOKUP(Draft!D8, 'Final Update'!A4:L1000,12,FALSE)+(IF(ISBLANK(Draft!E9),0,VLOOKUP(Draft!E9, 'Final Update'!A4:L1000,12,FALSE)+(IF(ISBLANK(Draft!F8),0,VLOOKUP(Draft!F8, 'Final Update'!A4:L1000,12,FALSE)+(IF(ISBLANK(Draft!G9),0,VLOOKUP(Draft!G9, 'Final Update'!A4:L1000,12,FALSE)+(IF(ISBLANK(Draft!H8),0,VLOOKUP(Draft!H8, 'Final Update'!A4:L1000,12,FALSE)+(IF(ISBLANK(Draft!I9),0,VLOOKUP(Draft!I9, 'Final Update'!A4:L1000,12,FALSE)+(IF(ISBLANK(Draft!J8),0,VLOOKUP(Draft!J8, 'Final Update'!A4:L1000,12,FALSE)+(IF(ISBLANK(Draft!K9),0,VLOOKUP(Draft!K9, 'Final Update'!A4:L1000,12,FALSE)+(IF(ISBLANK(Draft!L8),0,VLOOKUP(Draft!L8, 'Final Update'!A4:L1000,12,FALSE)+(IF(ISBLANK(Draft!M9),0,VLOOKUP(Draft!M9, 'Final Update'!A4:L1000,12,FALSE)+IF(ISBLANK(Draft!N8),0,VLOOKUP(Draft!N8, 'Final Update'!A4:L1000,12,FALSE)+IF(ISBLANK(Draft!O9),0,VLOOKUP(Draft!O9, 'Final Update'!A4:L1000,12,FALSE))))))))))))))))))))))))</f>
        <v>2.39649935</v>
      </c>
      <c r="M10" s="442">
        <f t="array" ref="M10">if(M$3=$C10,"-", countif(indirect(address(row($C$4)+ VLOOKUP(M$3,$C$5:$C$16,1),COLUMN($D$4))):indirect(address(row($C$4)+ VLOOKUP(M$3,$C$5:$C$16,1),COLUMN($L$4)))&gt;indirect(address(row($C10),COLUMN($D$4))):indirect(address(row($C10),COLUMN($L$4))),TRUE()))</f>
        <v>0</v>
      </c>
      <c r="N10" s="442">
        <f t="array" ref="N10">if(N$3=$C10,"-", countif(indirect(address(row($C$4)+ VLOOKUP(N$3,$C$5:$C$16,1),COLUMN($D$4))):indirect(address(row($C$4)+ VLOOKUP(N$3,$C$5:$C$16,1),COLUMN($L$4)))&gt;indirect(address(row($C10),COLUMN($D$4))):indirect(address(row($C10),COLUMN($L$4))),TRUE()))</f>
        <v>0</v>
      </c>
      <c r="O10" s="442">
        <f t="array" ref="O10">if(O$3=$C10,"-", countif(indirect(address(row($C$4)+ VLOOKUP(O$3,$C$5:$C$16,1),COLUMN($D$4))):indirect(address(row($C$4)+ VLOOKUP(O$3,$C$5:$C$16,1),COLUMN($L$4)))&gt;indirect(address(row($C10),COLUMN($D$4))):indirect(address(row($C10),COLUMN($L$4))),TRUE()))</f>
        <v>0</v>
      </c>
      <c r="P10" s="442">
        <f t="array" ref="P10">if(P$3=$C10,"-", countif(indirect(address(row($C$4)+ VLOOKUP(P$3,$C$5:$C$16,1),COLUMN($D$4))):indirect(address(row($C$4)+ VLOOKUP(P$3,$C$5:$C$16,1),COLUMN($L$4)))&gt;indirect(address(row($C10),COLUMN($D$4))):indirect(address(row($C10),COLUMN($L$4))),TRUE()))</f>
        <v>0</v>
      </c>
      <c r="Q10" s="442">
        <f t="array" ref="Q10">if(Q$3=$C10,"-", countif(indirect(address(row($C$4)+ VLOOKUP(Q$3,$C$5:$C$16,1),COLUMN($D$4))):indirect(address(row($C$4)+ VLOOKUP(Q$3,$C$5:$C$16,1),COLUMN($L$4)))&gt;indirect(address(row($C10),COLUMN($D$4))):indirect(address(row($C10),COLUMN($L$4))),TRUE()))</f>
        <v>0</v>
      </c>
      <c r="R10" s="442">
        <f t="array" ref="R10">if(R$3=$C10,"-", countif(indirect(address(row($C$4)+ VLOOKUP(R$3,$C$5:$C$16,1),COLUMN($D$4))):indirect(address(row($C$4)+ VLOOKUP(R$3,$C$5:$C$16,1),COLUMN($L$4)))&gt;indirect(address(row($C10),COLUMN($D$4))):indirect(address(row($C10),COLUMN($L$4))),TRUE()))</f>
        <v>0</v>
      </c>
      <c r="S10" s="442">
        <f t="array" ref="S10">if(S$3=$C10,"-", countif(indirect(address(row($C$4)+ VLOOKUP(S$3,$C$5:$C$16,1),COLUMN($D$4))):indirect(address(row($C$4)+ VLOOKUP(S$3,$C$5:$C$16,1),COLUMN($L$4)))&gt;indirect(address(row($C10),COLUMN($D$4))):indirect(address(row($C10),COLUMN($L$4))),TRUE()))</f>
        <v>0</v>
      </c>
      <c r="T10" s="442">
        <f t="array" ref="T10">if(T$3=$C10,"-", countif(indirect(address(row($C$4)+ VLOOKUP(T$3,$C$5:$C$16,1),COLUMN($D$4))):indirect(address(row($C$4)+ VLOOKUP(T$3,$C$5:$C$16,1),COLUMN($L$4)))&gt;indirect(address(row($C10),COLUMN($D$4))):indirect(address(row($C10),COLUMN($L$4))),TRUE()))</f>
        <v>0</v>
      </c>
      <c r="U10" s="442">
        <f t="array" ref="U10">if(U$3=$C10,"-", countif(indirect(address(row($C$4)+ VLOOKUP(U$3,$C$5:$C$16,1),COLUMN($D$4))):indirect(address(row($C$4)+ VLOOKUP(U$3,$C$5:$C$16,1),COLUMN($L$4)))&gt;indirect(address(row($C10),COLUMN($D$4))):indirect(address(row($C10),COLUMN($L$4))),TRUE()))</f>
        <v>0</v>
      </c>
      <c r="V10" s="442">
        <f t="array" ref="V10">if(V$3=$C10,"-", countif(indirect(address(row($C$4)+ VLOOKUP(V$3,$C$5:$C$16,1),COLUMN($D$4))):indirect(address(row($C$4)+ VLOOKUP(V$3,$C$5:$C$16,1),COLUMN($L$4)))&gt;indirect(address(row($C10),COLUMN($D$4))):indirect(address(row($C10),COLUMN($L$4))),TRUE()))</f>
        <v>0</v>
      </c>
      <c r="W10" s="442">
        <f t="array" ref="W10">if(W$3=$C10,"-", countif(indirect(address(row($C$4)+ VLOOKUP(W$3,$C$5:$C$16,1),COLUMN($D$4))):indirect(address(row($C$4)+ VLOOKUP(W$3,$C$5:$C$16,1),COLUMN($L$4)))&gt;indirect(address(row($C10),COLUMN($D$4))):indirect(address(row($C10),COLUMN($L$4))),TRUE()))</f>
        <v>0</v>
      </c>
      <c r="X10" s="442">
        <f t="array" ref="X10">if(X$3=$C10,"-", countif(indirect(address(row($C$4)+ VLOOKUP(X$3,$C$5:$C$16,1),COLUMN($D$4))):indirect(address(row($C$4)+ VLOOKUP(X$3,$C$5:$C$16,1),COLUMN($L$4)))&gt;indirect(address(row($C10),COLUMN($D$4))):indirect(address(row($C10),COLUMN($L$4))),TRUE()))</f>
        <v>0</v>
      </c>
      <c r="Y10" s="442">
        <f t="array" ref="Y10">if(D$1=$C10,"-", countif(indirect(address(row($C$4)+ VLOOKUP(D$1,$C$5:$C$16,1),COLUMN($D$4))):indirect(address(row($C$4)+ VLOOKUP(D$1,$C$5:$C$16,1),COLUMN($L$4)))&gt;indirect(address(row($C10),COLUMN($D$4))):indirect(address(row($C10),COLUMN($L$4))),TRUE()))</f>
        <v>0</v>
      </c>
      <c r="Z10" s="443">
        <f>SUM(R$5:R$16)/99</f>
        <v>0</v>
      </c>
    </row>
    <row r="11">
      <c r="B11" s="441" t="b">
        <f>Draft!C9</f>
        <v>0</v>
      </c>
      <c r="C11" s="427">
        <v>7.0</v>
      </c>
      <c r="D11" s="443">
        <f>((IF(ISBLANK(Draft!D9),0,VLOOKUP(Draft!D9, 'Final Update'!A4:L1000,2,FALSE)+(IF(ISBLANK(Draft!E8),0,VLOOKUP(Draft!E8, 'Final Update'!A4:L1000,2,FALSE)+(IF(ISBLANK(Draft!F9),0,VLOOKUP(Draft!F9, 'Final Update'!A4:L1000,2,FALSE)+(IF(ISBLANK(Draft!G8),0,VLOOKUP(Draft!G8, 'Final Update'!A4:L1000,2,FALSE)+(IF(ISBLANK(Draft!H9),0,VLOOKUP(Draft!H9, 'Final Update'!A4:L1000,2,FALSE)+(IF(ISBLANK(Draft!I8),0,VLOOKUP(Draft!I8, 'Final Update'!A4:L1000,2,FALSE)+(IF(ISBLANK(Draft!J9),0,VLOOKUP(Draft!J9, 'Final Update'!A4:L1000,2,FALSE)+(IF(ISBLANK(Draft!K8),0,VLOOKUP(Draft!K8, 'Final Update'!A4:L1000,2,FALSE)+(IF(ISBLANK(Draft!L9),0,VLOOKUP(Draft!L9, 'Final Update'!A4:L1000,2,FALSE)+(IF(ISBLANK(Draft!M8),0,VLOOKUP(Draft!M8, 'Final Update'!A4:L1000,2,FALSE)+IF(ISBLANK(Draft!N9),0,VLOOKUP(Draft!N9, 'Final Update'!A4:L1000,2,FALSE)+IF(ISBLANK(Draft!O8),0,VLOOKUP(Draft!O8, 'Final Update'!A4:L1000,2,FALSE))))))))))))))))))))))))</f>
        <v>-5.130882295</v>
      </c>
      <c r="E11" s="443">
        <f>((IF(ISBLANK(Draft!D9),0,VLOOKUP(Draft!D9, 'Final Update'!A4:L1000,3,FALSE)+(IF(ISBLANK(Draft!E8),0,VLOOKUP(Draft!E8, 'Final Update'!A4:L1000,3,FALSE)+(IF(ISBLANK(Draft!F9),0,VLOOKUP(Draft!F9, 'Final Update'!A4:L1000,3,FALSE)+(IF(ISBLANK(Draft!G8),0,VLOOKUP(Draft!G8, 'Final Update'!A4:L1000,3,FALSE)+(IF(ISBLANK(Draft!H9),0,VLOOKUP(Draft!H9, 'Final Update'!A4:L1000,3,FALSE)+(IF(ISBLANK(Draft!I8),0,VLOOKUP(Draft!I8, 'Final Update'!A4:L1000,3,FALSE)+(IF(ISBLANK(Draft!J9),0,VLOOKUP(Draft!J9, 'Final Update'!A4:L1000,3,FALSE)+(IF(ISBLANK(Draft!K8),0,VLOOKUP(Draft!K8, 'Final Update'!A4:L1000,3,FALSE)+(IF(ISBLANK(Draft!L9),0,VLOOKUP(Draft!L9, 'Final Update'!A4:L1000,3,FALSE)+(IF(ISBLANK(Draft!M8),0,VLOOKUP(Draft!M8, 'Final Update'!A4:L1000,3,FALSE)+IF(ISBLANK(Draft!N9),0,VLOOKUP(Draft!N9, 'Final Update'!A4:L1000,3,FALSE)+IF(ISBLANK(Draft!O8),0,VLOOKUP(Draft!O8, 'Final Update'!A4:L1000,3,FALSE))))))))))))))))))))))))</f>
        <v>0.6090096179</v>
      </c>
      <c r="F11" s="443">
        <f>((IF(ISBLANK(Draft!D9),0,VLOOKUP(Draft!D9, 'Final Update'!A4:L1000,4,FALSE)+(IF(ISBLANK(Draft!E8),0,VLOOKUP(Draft!E8, 'Final Update'!A4:L1000,4,FALSE)+(IF(ISBLANK(Draft!F9),0,VLOOKUP(Draft!F9, 'Final Update'!A4:L1000,4,FALSE)+(IF(ISBLANK(Draft!G8),0,VLOOKUP(Draft!G8, 'Final Update'!A4:L1000,4,FALSE)+(IF(ISBLANK(Draft!H9),0,VLOOKUP(Draft!H9, 'Final Update'!A4:L1000,4,FALSE)+(IF(ISBLANK(Draft!I8),0,VLOOKUP(Draft!I8, 'Final Update'!A4:L1000,4,FALSE)+(IF(ISBLANK(Draft!J9),0,VLOOKUP(Draft!J9, 'Final Update'!A4:L1000,4,FALSE)+(IF(ISBLANK(Draft!K8),0,VLOOKUP(Draft!K8, 'Final Update'!A4:L1000,4,FALSE)+(IF(ISBLANK(Draft!L9),0,VLOOKUP(Draft!L9, 'Final Update'!A4:L1000,4,FALSE)+(IF(ISBLANK(Draft!M8),0,VLOOKUP(Draft!M8, 'Final Update'!A4:L1000,4,FALSE)+IF(ISBLANK(Draft!N9),0,VLOOKUP(Draft!N9, 'Final Update'!A4:L1000,4,FALSE)+IF(ISBLANK(Draft!O8),0,VLOOKUP(Draft!O8, 'Final Update'!A4:L1000,4,FALSE))))))))))))))))))))))))</f>
        <v>-2.677784328</v>
      </c>
      <c r="G11" s="443">
        <f>((IF(ISBLANK(Draft!D9),0,VLOOKUP(Draft!D9, 'Final Update'!A4:L1000,5,FALSE)+(IF(ISBLANK(Draft!E8),0,VLOOKUP(Draft!E8, 'Final Update'!A4:L1000,5,FALSE)+(IF(ISBLANK(Draft!F9),0,VLOOKUP(Draft!F9, 'Final Update'!A4:L1000,5,FALSE)+(IF(ISBLANK(Draft!G8),0,VLOOKUP(Draft!G8, 'Final Update'!A4:L1000,5,FALSE)+(IF(ISBLANK(Draft!H9),0,VLOOKUP(Draft!H9, 'Final Update'!A4:L1000,5,FALSE)+(IF(ISBLANK(Draft!I8),0,VLOOKUP(Draft!I8, 'Final Update'!A4:L1000,5,FALSE)+(IF(ISBLANK(Draft!J9),0,VLOOKUP(Draft!J9, 'Final Update'!A4:L1000,5,FALSE)+(IF(ISBLANK(Draft!K8),0,VLOOKUP(Draft!K8, 'Final Update'!A4:L1000,5,FALSE)+(IF(ISBLANK(Draft!L9),0,VLOOKUP(Draft!L9, 'Final Update'!A4:L1000,5,FALSE)+(IF(ISBLANK(Draft!M8),0,VLOOKUP(Draft!M8, 'Final Update'!A4:L1000,5,FALSE)+IF(ISBLANK(Draft!N9),0,VLOOKUP(Draft!N9, 'Final Update'!A4:L1000,5,FALSE)+IF(ISBLANK(Draft!O8),0,VLOOKUP(Draft!O8, 'Final Update'!A4:L1000,5,FALSE))))))))))))))))))))))))</f>
        <v>-2.200241258</v>
      </c>
      <c r="H11" s="443">
        <f>((IF(ISBLANK(Draft!D9),0,VLOOKUP(Draft!D9, 'Final Update'!A4:L1000,6,FALSE)+(IF(ISBLANK(Draft!E8),0,VLOOKUP(Draft!E8, 'Final Update'!A4:L1000,6,FALSE)+(IF(ISBLANK(Draft!F9),0,VLOOKUP(Draft!F9, 'Final Update'!A4:L1000,6,FALSE)+(IF(ISBLANK(Draft!G8),0,VLOOKUP(Draft!G8, 'Final Update'!A4:L1000,6,FALSE)+(IF(ISBLANK(Draft!H9),0,VLOOKUP(Draft!H9, 'Final Update'!A4:L1000,6,FALSE)+(IF(ISBLANK(Draft!I8),0,VLOOKUP(Draft!I8, 'Final Update'!A4:L1000,6,FALSE)+(IF(ISBLANK(Draft!J9),0,VLOOKUP(Draft!J9, 'Final Update'!A4:L1000,6,FALSE)+(IF(ISBLANK(Draft!K8),0,VLOOKUP(Draft!K8, 'Final Update'!A4:L1000,6,FALSE)+(IF(ISBLANK(Draft!L9),0,VLOOKUP(Draft!L9, 'Final Update'!A4:L1000,6,FALSE)+(IF(ISBLANK(Draft!M8),0,VLOOKUP(Draft!M8, 'Final Update'!A4:L1000,6,FALSE)+IF(ISBLANK(Draft!N9),0,VLOOKUP(Draft!N9, 'Final Update'!A4:L1000,6,FALSE)+IF(ISBLANK(Draft!O8),0,VLOOKUP(Draft!O8, 'Final Update'!A4:L1000,6,FALSE))))))))))))))))))))))))</f>
        <v>5.928625384</v>
      </c>
      <c r="I11" s="443">
        <f>((IF(ISBLANK(Draft!D9),0,VLOOKUP(Draft!D9, 'Final Update'!A4:L1000,7,FALSE)+(IF(ISBLANK(Draft!E8),0,VLOOKUP(Draft!E8, 'Final Update'!A4:L1000,7,FALSE)+(IF(ISBLANK(Draft!F9),0,VLOOKUP(Draft!F9, 'Final Update'!A4:L1000,7,FALSE)+(IF(ISBLANK(Draft!G8),0,VLOOKUP(Draft!G8, 'Final Update'!A4:L1000,7,FALSE)+(IF(ISBLANK(Draft!H9),0,VLOOKUP(Draft!H9, 'Final Update'!A4:L1000,7,FALSE)+(IF(ISBLANK(Draft!I8),0,VLOOKUP(Draft!I8, 'Final Update'!A4:L1000,7,FALSE)+(IF(ISBLANK(Draft!J9),0,VLOOKUP(Draft!J9, 'Final Update'!A4:L1000,7,FALSE)+(IF(ISBLANK(Draft!K8),0,VLOOKUP(Draft!K8, 'Final Update'!A4:L1000,7,FALSE)+(IF(ISBLANK(Draft!L9),0,VLOOKUP(Draft!L9, 'Final Update'!A4:L1000,7,FALSE)+(IF(ISBLANK(Draft!M8),0,VLOOKUP(Draft!M8, 'Final Update'!A4:L1000,7,FALSE)+IF(ISBLANK(Draft!N9),0,VLOOKUP(Draft!N9, 'Final Update'!A4:L1000,7,FALSE)+IF(ISBLANK(Draft!O8),0,VLOOKUP(Draft!O8, 'Final Update'!A4:L1000,7,FALSE))))))))))))))))))))))))</f>
        <v>-1.85600335</v>
      </c>
      <c r="J11" s="445">
        <f>((IF(ISBLANK(Draft!D9),0,VLOOKUP(Draft!D9, 'Final Update'!A4:L1000,8,FALSE)+(IF(ISBLANK(Draft!E8),0,VLOOKUP(Draft!E8, 'Final Update'!A4:L1000,8,FALSE)+(IF(ISBLANK(Draft!F9),0,VLOOKUP(Draft!F9, 'Final Update'!A4:L1000,8,FALSE)+(IF(ISBLANK(Draft!G8),0,VLOOKUP(Draft!G8, 'Final Update'!A4:L1000,8,FALSE)+(IF(ISBLANK(Draft!H9),0,VLOOKUP(Draft!H9, 'Final Update'!A4:L1000,8,FALSE)+(IF(ISBLANK(Draft!I8),0,VLOOKUP(Draft!I8, 'Final Update'!A4:L1000,8,FALSE)+(IF(ISBLANK(Draft!J9),0,VLOOKUP(Draft!J9, 'Final Update'!A4:L1000,8,FALSE)+(IF(ISBLANK(Draft!K8),0,VLOOKUP(Draft!K8, 'Final Update'!A4:L1000,8,FALSE)+(IF(ISBLANK(Draft!L9),0,VLOOKUP(Draft!L9, 'Final Update'!A4:L1000,8,FALSE)+(IF(ISBLANK(Draft!M8),0,VLOOKUP(Draft!M8, 'Final Update'!A4:L1000,8,FALSE)+IF(ISBLANK(Draft!N9),0,VLOOKUP(Draft!N9, 'Final Update'!A4:L1000,8,FALSE)+IF(ISBLANK(Draft!O8),0,VLOOKUP(Draft!O8, 'Final Update'!A4:L1000,8,FALSE))))))))))))))))))))))))</f>
        <v>-5.07063867</v>
      </c>
      <c r="K11" s="443">
        <f>((IF(ISBLANK(Draft!D9),0,VLOOKUP(Draft!D9, 'Final Update'!A4:L1000,10,FALSE)+(IF(ISBLANK(Draft!E8),0,VLOOKUP(Draft!E8, 'Final Update'!A4:L1000,10,FALSE)+(IF(ISBLANK(Draft!F9),0,VLOOKUP(Draft!F9, 'Final Update'!A4:L1000,10,FALSE)+(IF(ISBLANK(Draft!G8),0,VLOOKUP(Draft!G8, 'Final Update'!A4:L1000,10,FALSE)+(IF(ISBLANK(Draft!H9),0,VLOOKUP(Draft!H9, 'Final Update'!A4:L1000,10,FALSE)+(IF(ISBLANK(Draft!I8),0,VLOOKUP(Draft!I8, 'Final Update'!A4:L1000,10,FALSE)+(IF(ISBLANK(Draft!J9),0,VLOOKUP(Draft!J9, 'Final Update'!A4:L1000,10,FALSE)+(IF(ISBLANK(Draft!K8),0,VLOOKUP(Draft!K8, 'Final Update'!A4:L1000,10,FALSE)+(IF(ISBLANK(Draft!L9),0,VLOOKUP(Draft!L9, 'Final Update'!A4:L1000,10,FALSE)+(IF(ISBLANK(Draft!M8),0,VLOOKUP(Draft!M8, 'Final Update'!A4:L1000,10,FALSE)+IF(ISBLANK(Draft!N9),0,VLOOKUP(Draft!N9, 'Final Update'!A4:L1000,10,FALSE)+IF(ISBLANK(Draft!O8),0,VLOOKUP(Draft!O8, 'Final Update'!A4:L1000,10,FALSE))))))))))))))))))))))))</f>
        <v>0.177917578</v>
      </c>
      <c r="L11" s="443">
        <f>((IF(ISBLANK(Draft!D9),0,VLOOKUP(Draft!D9, 'Final Update'!A4:L1000,12,FALSE)+(IF(ISBLANK(Draft!E8),0,VLOOKUP(Draft!E8, 'Final Update'!A4:L1000,12,FALSE)+(IF(ISBLANK(Draft!F9),0,VLOOKUP(Draft!F9, 'Final Update'!A4:L1000,12,FALSE)+(IF(ISBLANK(Draft!G8),0,VLOOKUP(Draft!G8, 'Final Update'!A4:L1000,12,FALSE)+(IF(ISBLANK(Draft!H9),0,VLOOKUP(Draft!H9, 'Final Update'!A4:L1000,12,FALSE)+(IF(ISBLANK(Draft!I8),0,VLOOKUP(Draft!I8, 'Final Update'!A4:L1000,12,FALSE)+(IF(ISBLANK(Draft!J9),0,VLOOKUP(Draft!J9, 'Final Update'!A4:L1000,12,FALSE)+(IF(ISBLANK(Draft!K8),0,VLOOKUP(Draft!K8, 'Final Update'!A4:L1000,12,FALSE)+(IF(ISBLANK(Draft!L9),0,VLOOKUP(Draft!L9, 'Final Update'!A4:L1000,12,FALSE)+(IF(ISBLANK(Draft!M8),0,VLOOKUP(Draft!M8, 'Final Update'!A4:L1000,12,FALSE)+IF(ISBLANK(Draft!N9),0,VLOOKUP(Draft!N9, 'Final Update'!A4:L1000,12,FALSE)+IF(ISBLANK(Draft!O8),0,VLOOKUP(Draft!O8, 'Final Update'!A4:L1000,12,FALSE))))))))))))))))))))))))</f>
        <v>0.9086065418</v>
      </c>
      <c r="M11" s="442">
        <f t="array" ref="M11">if(M$3=$C11,"-", countif(indirect(address(row($C$4)+ VLOOKUP(M$3,$C$5:$C$16,1),COLUMN($D$4))):indirect(address(row($C$4)+ VLOOKUP(M$3,$C$5:$C$16,1),COLUMN($L$4)))&gt;indirect(address(row($C11),COLUMN($D$4))):indirect(address(row($C11),COLUMN($L$4))),TRUE()))</f>
        <v>0</v>
      </c>
      <c r="N11" s="442">
        <f t="array" ref="N11">if(N$3=$C11,"-", countif(indirect(address(row($C$4)+ VLOOKUP(N$3,$C$5:$C$16,1),COLUMN($D$4))):indirect(address(row($C$4)+ VLOOKUP(N$3,$C$5:$C$16,1),COLUMN($L$4)))&gt;indirect(address(row($C11),COLUMN($D$4))):indirect(address(row($C11),COLUMN($L$4))),TRUE()))</f>
        <v>0</v>
      </c>
      <c r="O11" s="442">
        <f t="array" ref="O11">if(O$3=$C11,"-", countif(indirect(address(row($C$4)+ VLOOKUP(O$3,$C$5:$C$16,1),COLUMN($D$4))):indirect(address(row($C$4)+ VLOOKUP(O$3,$C$5:$C$16,1),COLUMN($L$4)))&gt;indirect(address(row($C11),COLUMN($D$4))):indirect(address(row($C11),COLUMN($L$4))),TRUE()))</f>
        <v>0</v>
      </c>
      <c r="P11" s="442">
        <f t="array" ref="P11">if(P$3=$C11,"-", countif(indirect(address(row($C$4)+ VLOOKUP(P$3,$C$5:$C$16,1),COLUMN($D$4))):indirect(address(row($C$4)+ VLOOKUP(P$3,$C$5:$C$16,1),COLUMN($L$4)))&gt;indirect(address(row($C11),COLUMN($D$4))):indirect(address(row($C11),COLUMN($L$4))),TRUE()))</f>
        <v>0</v>
      </c>
      <c r="Q11" s="442">
        <f t="array" ref="Q11">if(Q$3=$C11,"-", countif(indirect(address(row($C$4)+ VLOOKUP(Q$3,$C$5:$C$16,1),COLUMN($D$4))):indirect(address(row($C$4)+ VLOOKUP(Q$3,$C$5:$C$16,1),COLUMN($L$4)))&gt;indirect(address(row($C11),COLUMN($D$4))):indirect(address(row($C11),COLUMN($L$4))),TRUE()))</f>
        <v>0</v>
      </c>
      <c r="R11" s="442">
        <f t="array" ref="R11">if(R$3=$C11,"-", countif(indirect(address(row($C$4)+ VLOOKUP(R$3,$C$5:$C$16,1),COLUMN($D$4))):indirect(address(row($C$4)+ VLOOKUP(R$3,$C$5:$C$16,1),COLUMN($L$4)))&gt;indirect(address(row($C11),COLUMN($D$4))):indirect(address(row($C11),COLUMN($L$4))),TRUE()))</f>
        <v>0</v>
      </c>
      <c r="S11" s="442">
        <f t="array" ref="S11">if(S$3=$C11,"-", countif(indirect(address(row($C$4)+ VLOOKUP(S$3,$C$5:$C$16,1),COLUMN($D$4))):indirect(address(row($C$4)+ VLOOKUP(S$3,$C$5:$C$16,1),COLUMN($L$4)))&gt;indirect(address(row($C11),COLUMN($D$4))):indirect(address(row($C11),COLUMN($L$4))),TRUE()))</f>
        <v>0</v>
      </c>
      <c r="T11" s="442">
        <f t="array" ref="T11">if(T$3=$C11,"-", countif(indirect(address(row($C$4)+ VLOOKUP(T$3,$C$5:$C$16,1),COLUMN($D$4))):indirect(address(row($C$4)+ VLOOKUP(T$3,$C$5:$C$16,1),COLUMN($L$4)))&gt;indirect(address(row($C11),COLUMN($D$4))):indirect(address(row($C11),COLUMN($L$4))),TRUE()))</f>
        <v>0</v>
      </c>
      <c r="U11" s="442">
        <f t="array" ref="U11">if(U$3=$C11,"-", countif(indirect(address(row($C$4)+ VLOOKUP(U$3,$C$5:$C$16,1),COLUMN($D$4))):indirect(address(row($C$4)+ VLOOKUP(U$3,$C$5:$C$16,1),COLUMN($L$4)))&gt;indirect(address(row($C11),COLUMN($D$4))):indirect(address(row($C11),COLUMN($L$4))),TRUE()))</f>
        <v>0</v>
      </c>
      <c r="V11" s="442">
        <f t="array" ref="V11">if(V$3=$C11,"-", countif(indirect(address(row($C$4)+ VLOOKUP(V$3,$C$5:$C$16,1),COLUMN($D$4))):indirect(address(row($C$4)+ VLOOKUP(V$3,$C$5:$C$16,1),COLUMN($L$4)))&gt;indirect(address(row($C11),COLUMN($D$4))):indirect(address(row($C11),COLUMN($L$4))),TRUE()))</f>
        <v>0</v>
      </c>
      <c r="W11" s="442">
        <f t="array" ref="W11">if(W$3=$C11,"-", countif(indirect(address(row($C$4)+ VLOOKUP(W$3,$C$5:$C$16,1),COLUMN($D$4))):indirect(address(row($C$4)+ VLOOKUP(W$3,$C$5:$C$16,1),COLUMN($L$4)))&gt;indirect(address(row($C11),COLUMN($D$4))):indirect(address(row($C11),COLUMN($L$4))),TRUE()))</f>
        <v>0</v>
      </c>
      <c r="X11" s="442">
        <f t="array" ref="X11">if(X$3=$C11,"-", countif(indirect(address(row($C$4)+ VLOOKUP(X$3,$C$5:$C$16,1),COLUMN($D$4))):indirect(address(row($C$4)+ VLOOKUP(X$3,$C$5:$C$16,1),COLUMN($L$4)))&gt;indirect(address(row($C11),COLUMN($D$4))):indirect(address(row($C11),COLUMN($L$4))),TRUE()))</f>
        <v>0</v>
      </c>
      <c r="Y11" s="442">
        <f t="array" ref="Y11">if(D$1=$C11,"-", countif(indirect(address(row($C$4)+ VLOOKUP(D$1,$C$5:$C$16,1),COLUMN($D$4))):indirect(address(row($C$4)+ VLOOKUP(D$1,$C$5:$C$16,1),COLUMN($L$4)))&gt;indirect(address(row($C11),COLUMN($D$4))):indirect(address(row($C11),COLUMN($L$4))),TRUE()))</f>
        <v>0</v>
      </c>
      <c r="Z11" s="443">
        <f>SUM(S$5:S$16)/99</f>
        <v>0</v>
      </c>
    </row>
    <row r="12">
      <c r="B12" s="441" t="b">
        <f>Draft!C10</f>
        <v>0</v>
      </c>
      <c r="C12" s="427">
        <v>8.0</v>
      </c>
      <c r="D12" s="443">
        <f>((IF(ISBLANK(Draft!D10),0,VLOOKUP(Draft!D10, 'Final Update'!A4:L1000,2,FALSE)+(IF(ISBLANK(Draft!E7),0,VLOOKUP(Draft!E7, 'Final Update'!A4:L1000,2,FALSE)+(IF(ISBLANK(Draft!F10),0,VLOOKUP(Draft!F10, 'Final Update'!A4:L1000,2,FALSE)+(IF(ISBLANK(Draft!G7),0,VLOOKUP(Draft!G7, 'Final Update'!A4:L1000,2,FALSE)+(IF(ISBLANK(Draft!H10),0,VLOOKUP(Draft!H10, 'Final Update'!A4:L1000,2,FALSE)+(IF(ISBLANK(Draft!I7),0,VLOOKUP(Draft!I7, 'Final Update'!A4:L1000,2,FALSE)+(IF(ISBLANK(Draft!J10),0,VLOOKUP(Draft!J10, 'Final Update'!A4:L1000,2,FALSE)+(IF(ISBLANK(Draft!K7),0,VLOOKUP(Draft!K7, 'Final Update'!A4:L1000,2,FALSE)+(IF(ISBLANK(Draft!L10),0,VLOOKUP(Draft!L10, 'Final Update'!A4:L1000,2,FALSE)+(IF(ISBLANK(Draft!M7),0,VLOOKUP(Draft!M7, 'Final Update'!A4:L1000,2,FALSE)+IF(ISBLANK(Draft!N10),0,VLOOKUP(Draft!N10, 'Final Update'!A4:L1000,2,FALSE)+IF(ISBLANK(Draft!O7),0,VLOOKUP(Draft!O7, 'Final Update'!A4:L1000,2,FALSE))))))))))))))))))))))))</f>
        <v>-7.678019372</v>
      </c>
      <c r="E12" s="443">
        <f>((IF(ISBLANK(Draft!D10),0,VLOOKUP(Draft!D10, 'Final Update'!A4:L1000,3,FALSE)+(IF(ISBLANK(Draft!E7),0,VLOOKUP(Draft!E7, 'Final Update'!A4:L1000,3,FALSE)+(IF(ISBLANK(Draft!F10),0,VLOOKUP(Draft!F10, 'Final Update'!A4:L1000,3,FALSE)+(IF(ISBLANK(Draft!G7),0,VLOOKUP(Draft!G7, 'Final Update'!A4:L1000,3,FALSE)+(IF(ISBLANK(Draft!H10),0,VLOOKUP(Draft!H10, 'Final Update'!A4:L1000,3,FALSE)+(IF(ISBLANK(Draft!I7),0,VLOOKUP(Draft!I7, 'Final Update'!A4:L1000,3,FALSE)+(IF(ISBLANK(Draft!J10),0,VLOOKUP(Draft!J10, 'Final Update'!A4:L1000,3,FALSE)+(IF(ISBLANK(Draft!K7),0,VLOOKUP(Draft!K7, 'Final Update'!A4:L1000,3,FALSE)+(IF(ISBLANK(Draft!L10),0,VLOOKUP(Draft!L10, 'Final Update'!A4:L1000,3,FALSE)+(IF(ISBLANK(Draft!M7),0,VLOOKUP(Draft!M7, 'Final Update'!A4:L1000,3,FALSE)+IF(ISBLANK(Draft!N10),0,VLOOKUP(Draft!N10, 'Final Update'!A4:L1000,3,FALSE)+IF(ISBLANK(Draft!O7),0,VLOOKUP(Draft!O7, 'Final Update'!A4:L1000,3,FALSE))))))))))))))))))))))))</f>
        <v>-8.447701594</v>
      </c>
      <c r="F12" s="443">
        <f>((IF(ISBLANK(Draft!D10),0,VLOOKUP(Draft!D10, 'Final Update'!A4:L1000,4,FALSE)+(IF(ISBLANK(Draft!E7),0,VLOOKUP(Draft!E7, 'Final Update'!A4:L1000,4,FALSE)+(IF(ISBLANK(Draft!F10),0,VLOOKUP(Draft!F10, 'Final Update'!A4:L1000,4,FALSE)+(IF(ISBLANK(Draft!G7),0,VLOOKUP(Draft!G7, 'Final Update'!A4:L1000,4,FALSE)+(IF(ISBLANK(Draft!H10),0,VLOOKUP(Draft!H10, 'Final Update'!A4:L1000,4,FALSE)+(IF(ISBLANK(Draft!I7),0,VLOOKUP(Draft!I7, 'Final Update'!A4:L1000,4,FALSE)+(IF(ISBLANK(Draft!J10),0,VLOOKUP(Draft!J10, 'Final Update'!A4:L1000,4,FALSE)+(IF(ISBLANK(Draft!K7),0,VLOOKUP(Draft!K7, 'Final Update'!A4:L1000,4,FALSE)+(IF(ISBLANK(Draft!L10),0,VLOOKUP(Draft!L10, 'Final Update'!A4:L1000,4,FALSE)+(IF(ISBLANK(Draft!M7),0,VLOOKUP(Draft!M7, 'Final Update'!A4:L1000,4,FALSE)+IF(ISBLANK(Draft!N10),0,VLOOKUP(Draft!N10, 'Final Update'!A4:L1000,4,FALSE)+IF(ISBLANK(Draft!O7),0,VLOOKUP(Draft!O7, 'Final Update'!A4:L1000,4,FALSE))))))))))))))))))))))))</f>
        <v>2.029380207</v>
      </c>
      <c r="G12" s="445">
        <f>((IF(ISBLANK(Draft!D10),0,VLOOKUP(Draft!D10, 'Final Update'!A4:L1000,5,FALSE)+(IF(ISBLANK(Draft!E7),0,VLOOKUP(Draft!E7, 'Final Update'!A4:L1000,5,FALSE)+(IF(ISBLANK(Draft!F10),0,VLOOKUP(Draft!F10, 'Final Update'!A4:L1000,5,FALSE)+(IF(ISBLANK(Draft!G7),0,VLOOKUP(Draft!G7, 'Final Update'!A4:L1000,5,FALSE)+(IF(ISBLANK(Draft!H10),0,VLOOKUP(Draft!H10, 'Final Update'!A4:L1000,5,FALSE)+(IF(ISBLANK(Draft!I7),0,VLOOKUP(Draft!I7, 'Final Update'!A4:L1000,5,FALSE)+(IF(ISBLANK(Draft!J10),0,VLOOKUP(Draft!J10, 'Final Update'!A4:L1000,5,FALSE)+(IF(ISBLANK(Draft!K7),0,VLOOKUP(Draft!K7, 'Final Update'!A4:L1000,5,FALSE)+(IF(ISBLANK(Draft!L10),0,VLOOKUP(Draft!L10, 'Final Update'!A4:L1000,5,FALSE)+(IF(ISBLANK(Draft!M7),0,VLOOKUP(Draft!M7, 'Final Update'!A4:L1000,5,FALSE)+IF(ISBLANK(Draft!N10),0,VLOOKUP(Draft!N10, 'Final Update'!A4:L1000,5,FALSE)+IF(ISBLANK(Draft!O7),0,VLOOKUP(Draft!O7, 'Final Update'!A4:L1000,5,FALSE))))))))))))))))))))))))</f>
        <v>-7.895462561</v>
      </c>
      <c r="H12" s="443">
        <f>((IF(ISBLANK(Draft!D10),0,VLOOKUP(Draft!D10, 'Final Update'!A4:L1000,6,FALSE)+(IF(ISBLANK(Draft!E7),0,VLOOKUP(Draft!E7, 'Final Update'!A4:L1000,6,FALSE)+(IF(ISBLANK(Draft!F10),0,VLOOKUP(Draft!F10, 'Final Update'!A4:L1000,6,FALSE)+(IF(ISBLANK(Draft!G7),0,VLOOKUP(Draft!G7, 'Final Update'!A4:L1000,6,FALSE)+(IF(ISBLANK(Draft!H10),0,VLOOKUP(Draft!H10, 'Final Update'!A4:L1000,6,FALSE)+(IF(ISBLANK(Draft!I7),0,VLOOKUP(Draft!I7, 'Final Update'!A4:L1000,6,FALSE)+(IF(ISBLANK(Draft!J10),0,VLOOKUP(Draft!J10, 'Final Update'!A4:L1000,6,FALSE)+(IF(ISBLANK(Draft!K7),0,VLOOKUP(Draft!K7, 'Final Update'!A4:L1000,6,FALSE)+(IF(ISBLANK(Draft!L10),0,VLOOKUP(Draft!L10, 'Final Update'!A4:L1000,6,FALSE)+(IF(ISBLANK(Draft!M7),0,VLOOKUP(Draft!M7, 'Final Update'!A4:L1000,6,FALSE)+IF(ISBLANK(Draft!N10),0,VLOOKUP(Draft!N10, 'Final Update'!A4:L1000,6,FALSE)+IF(ISBLANK(Draft!O7),0,VLOOKUP(Draft!O7, 'Final Update'!A4:L1000,6,FALSE))))))))))))))))))))))))</f>
        <v>-8.012547099</v>
      </c>
      <c r="I12" s="443">
        <f>((IF(ISBLANK(Draft!D10),0,VLOOKUP(Draft!D10, 'Final Update'!A4:L1000,7,FALSE)+(IF(ISBLANK(Draft!E7),0,VLOOKUP(Draft!E7, 'Final Update'!A4:L1000,7,FALSE)+(IF(ISBLANK(Draft!F10),0,VLOOKUP(Draft!F10, 'Final Update'!A4:L1000,7,FALSE)+(IF(ISBLANK(Draft!G7),0,VLOOKUP(Draft!G7, 'Final Update'!A4:L1000,7,FALSE)+(IF(ISBLANK(Draft!H10),0,VLOOKUP(Draft!H10, 'Final Update'!A4:L1000,7,FALSE)+(IF(ISBLANK(Draft!I7),0,VLOOKUP(Draft!I7, 'Final Update'!A4:L1000,7,FALSE)+(IF(ISBLANK(Draft!J10),0,VLOOKUP(Draft!J10, 'Final Update'!A4:L1000,7,FALSE)+(IF(ISBLANK(Draft!K7),0,VLOOKUP(Draft!K7, 'Final Update'!A4:L1000,7,FALSE)+(IF(ISBLANK(Draft!L10),0,VLOOKUP(Draft!L10, 'Final Update'!A4:L1000,7,FALSE)+(IF(ISBLANK(Draft!M7),0,VLOOKUP(Draft!M7, 'Final Update'!A4:L1000,7,FALSE)+IF(ISBLANK(Draft!N10),0,VLOOKUP(Draft!N10, 'Final Update'!A4:L1000,7,FALSE)+IF(ISBLANK(Draft!O7),0,VLOOKUP(Draft!O7, 'Final Update'!A4:L1000,7,FALSE))))))))))))))))))))))))</f>
        <v>2.068658095</v>
      </c>
      <c r="J12" s="443">
        <f>((IF(ISBLANK(Draft!D10),0,VLOOKUP(Draft!D10, 'Final Update'!A4:L1000,8,FALSE)+(IF(ISBLANK(Draft!E7),0,VLOOKUP(Draft!E7, 'Final Update'!A4:L1000,8,FALSE)+(IF(ISBLANK(Draft!F10),0,VLOOKUP(Draft!F10, 'Final Update'!A4:L1000,8,FALSE)+(IF(ISBLANK(Draft!G7),0,VLOOKUP(Draft!G7, 'Final Update'!A4:L1000,8,FALSE)+(IF(ISBLANK(Draft!H10),0,VLOOKUP(Draft!H10, 'Final Update'!A4:L1000,8,FALSE)+(IF(ISBLANK(Draft!I7),0,VLOOKUP(Draft!I7, 'Final Update'!A4:L1000,8,FALSE)+(IF(ISBLANK(Draft!J10),0,VLOOKUP(Draft!J10, 'Final Update'!A4:L1000,8,FALSE)+(IF(ISBLANK(Draft!K7),0,VLOOKUP(Draft!K7, 'Final Update'!A4:L1000,8,FALSE)+(IF(ISBLANK(Draft!L10),0,VLOOKUP(Draft!L10, 'Final Update'!A4:L1000,8,FALSE)+(IF(ISBLANK(Draft!M7),0,VLOOKUP(Draft!M7, 'Final Update'!A4:L1000,8,FALSE)+IF(ISBLANK(Draft!N10),0,VLOOKUP(Draft!N10, 'Final Update'!A4:L1000,8,FALSE)+IF(ISBLANK(Draft!O7),0,VLOOKUP(Draft!O7, 'Final Update'!A4:L1000,8,FALSE))))))))))))))))))))))))</f>
        <v>2.340999643</v>
      </c>
      <c r="K12" s="443">
        <f>((IF(ISBLANK(Draft!D10),0,VLOOKUP(Draft!D10, 'Final Update'!A4:L1000,10,FALSE)+(IF(ISBLANK(Draft!E7),0,VLOOKUP(Draft!E7, 'Final Update'!A4:L1000,10,FALSE)+(IF(ISBLANK(Draft!F10),0,VLOOKUP(Draft!F10, 'Final Update'!A4:L1000,10,FALSE)+(IF(ISBLANK(Draft!G7),0,VLOOKUP(Draft!G7, 'Final Update'!A4:L1000,10,FALSE)+(IF(ISBLANK(Draft!H10),0,VLOOKUP(Draft!H10, 'Final Update'!A4:L1000,10,FALSE)+(IF(ISBLANK(Draft!I7),0,VLOOKUP(Draft!I7, 'Final Update'!A4:L1000,10,FALSE)+(IF(ISBLANK(Draft!J10),0,VLOOKUP(Draft!J10, 'Final Update'!A4:L1000,10,FALSE)+(IF(ISBLANK(Draft!K7),0,VLOOKUP(Draft!K7, 'Final Update'!A4:L1000,10,FALSE)+(IF(ISBLANK(Draft!L10),0,VLOOKUP(Draft!L10, 'Final Update'!A4:L1000,10,FALSE)+(IF(ISBLANK(Draft!M7),0,VLOOKUP(Draft!M7, 'Final Update'!A4:L1000,10,FALSE)+IF(ISBLANK(Draft!N10),0,VLOOKUP(Draft!N10, 'Final Update'!A4:L1000,10,FALSE)+IF(ISBLANK(Draft!O7),0,VLOOKUP(Draft!O7, 'Final Update'!A4:L1000,10,FALSE))))))))))))))))))))))))</f>
        <v>-0.9206186896</v>
      </c>
      <c r="L12" s="443">
        <f>((IF(ISBLANK(Draft!D10),0,VLOOKUP(Draft!D10, 'Final Update'!A4:L1000,12,FALSE)+(IF(ISBLANK(Draft!E7),0,VLOOKUP(Draft!E7, 'Final Update'!A4:L1000,12,FALSE)+(IF(ISBLANK(Draft!F10),0,VLOOKUP(Draft!F10, 'Final Update'!A4:L1000,12,FALSE)+(IF(ISBLANK(Draft!G7),0,VLOOKUP(Draft!G7, 'Final Update'!A4:L1000,12,FALSE)+(IF(ISBLANK(Draft!H10),0,VLOOKUP(Draft!H10, 'Final Update'!A4:L1000,12,FALSE)+(IF(ISBLANK(Draft!I7),0,VLOOKUP(Draft!I7, 'Final Update'!A4:L1000,12,FALSE)+(IF(ISBLANK(Draft!J10),0,VLOOKUP(Draft!J10, 'Final Update'!A4:L1000,12,FALSE)+(IF(ISBLANK(Draft!K7),0,VLOOKUP(Draft!K7, 'Final Update'!A4:L1000,12,FALSE)+(IF(ISBLANK(Draft!L10),0,VLOOKUP(Draft!L10, 'Final Update'!A4:L1000,12,FALSE)+(IF(ISBLANK(Draft!M7),0,VLOOKUP(Draft!M7, 'Final Update'!A4:L1000,12,FALSE)+IF(ISBLANK(Draft!N10),0,VLOOKUP(Draft!N10, 'Final Update'!A4:L1000,12,FALSE)+IF(ISBLANK(Draft!O7),0,VLOOKUP(Draft!O7, 'Final Update'!A4:L1000,12,FALSE))))))))))))))))))))))))</f>
        <v>-1.472021952</v>
      </c>
      <c r="M12" s="442">
        <f t="array" ref="M12">if(M$3=$C12,"-", countif(indirect(address(row($C$4)+ VLOOKUP(M$3,$C$5:$C$16,1),COLUMN($D$4))):indirect(address(row($C$4)+ VLOOKUP(M$3,$C$5:$C$16,1),COLUMN($L$4)))&gt;indirect(address(row($C12),COLUMN($D$4))):indirect(address(row($C12),COLUMN($L$4))),TRUE()))</f>
        <v>0</v>
      </c>
      <c r="N12" s="442">
        <f t="array" ref="N12">if(N$3=$C12,"-", countif(indirect(address(row($C$4)+ VLOOKUP(N$3,$C$5:$C$16,1),COLUMN($D$4))):indirect(address(row($C$4)+ VLOOKUP(N$3,$C$5:$C$16,1),COLUMN($L$4)))&gt;indirect(address(row($C12),COLUMN($D$4))):indirect(address(row($C12),COLUMN($L$4))),TRUE()))</f>
        <v>0</v>
      </c>
      <c r="O12" s="442">
        <f t="array" ref="O12">if(O$3=$C12,"-", countif(indirect(address(row($C$4)+ VLOOKUP(O$3,$C$5:$C$16,1),COLUMN($D$4))):indirect(address(row($C$4)+ VLOOKUP(O$3,$C$5:$C$16,1),COLUMN($L$4)))&gt;indirect(address(row($C12),COLUMN($D$4))):indirect(address(row($C12),COLUMN($L$4))),TRUE()))</f>
        <v>0</v>
      </c>
      <c r="P12" s="442">
        <f t="array" ref="P12">if(P$3=$C12,"-", countif(indirect(address(row($C$4)+ VLOOKUP(P$3,$C$5:$C$16,1),COLUMN($D$4))):indirect(address(row($C$4)+ VLOOKUP(P$3,$C$5:$C$16,1),COLUMN($L$4)))&gt;indirect(address(row($C12),COLUMN($D$4))):indirect(address(row($C12),COLUMN($L$4))),TRUE()))</f>
        <v>0</v>
      </c>
      <c r="Q12" s="442">
        <f t="array" ref="Q12">if(Q$3=$C12,"-", countif(indirect(address(row($C$4)+ VLOOKUP(Q$3,$C$5:$C$16,1),COLUMN($D$4))):indirect(address(row($C$4)+ VLOOKUP(Q$3,$C$5:$C$16,1),COLUMN($L$4)))&gt;indirect(address(row($C12),COLUMN($D$4))):indirect(address(row($C12),COLUMN($L$4))),TRUE()))</f>
        <v>0</v>
      </c>
      <c r="R12" s="442">
        <f t="array" ref="R12">if(R$3=$C12,"-", countif(indirect(address(row($C$4)+ VLOOKUP(R$3,$C$5:$C$16,1),COLUMN($D$4))):indirect(address(row($C$4)+ VLOOKUP(R$3,$C$5:$C$16,1),COLUMN($L$4)))&gt;indirect(address(row($C12),COLUMN($D$4))):indirect(address(row($C12),COLUMN($L$4))),TRUE()))</f>
        <v>0</v>
      </c>
      <c r="S12" s="442">
        <f t="array" ref="S12">if(S$3=$C12,"-", countif(indirect(address(row($C$4)+ VLOOKUP(S$3,$C$5:$C$16,1),COLUMN($D$4))):indirect(address(row($C$4)+ VLOOKUP(S$3,$C$5:$C$16,1),COLUMN($L$4)))&gt;indirect(address(row($C12),COLUMN($D$4))):indirect(address(row($C12),COLUMN($L$4))),TRUE()))</f>
        <v>0</v>
      </c>
      <c r="T12" s="442">
        <f t="array" ref="T12">if(T$3=$C12,"-", countif(indirect(address(row($C$4)+ VLOOKUP(T$3,$C$5:$C$16,1),COLUMN($D$4))):indirect(address(row($C$4)+ VLOOKUP(T$3,$C$5:$C$16,1),COLUMN($L$4)))&gt;indirect(address(row($C12),COLUMN($D$4))):indirect(address(row($C12),COLUMN($L$4))),TRUE()))</f>
        <v>0</v>
      </c>
      <c r="U12" s="442">
        <f t="array" ref="U12">if(U$3=$C12,"-", countif(indirect(address(row($C$4)+ VLOOKUP(U$3,$C$5:$C$16,1),COLUMN($D$4))):indirect(address(row($C$4)+ VLOOKUP(U$3,$C$5:$C$16,1),COLUMN($L$4)))&gt;indirect(address(row($C12),COLUMN($D$4))):indirect(address(row($C12),COLUMN($L$4))),TRUE()))</f>
        <v>0</v>
      </c>
      <c r="V12" s="442">
        <f t="array" ref="V12">if(V$3=$C12,"-", countif(indirect(address(row($C$4)+ VLOOKUP(V$3,$C$5:$C$16,1),COLUMN($D$4))):indirect(address(row($C$4)+ VLOOKUP(V$3,$C$5:$C$16,1),COLUMN($L$4)))&gt;indirect(address(row($C12),COLUMN($D$4))):indirect(address(row($C12),COLUMN($L$4))),TRUE()))</f>
        <v>0</v>
      </c>
      <c r="W12" s="442">
        <f t="array" ref="W12">if(W$3=$C12,"-", countif(indirect(address(row($C$4)+ VLOOKUP(W$3,$C$5:$C$16,1),COLUMN($D$4))):indirect(address(row($C$4)+ VLOOKUP(W$3,$C$5:$C$16,1),COLUMN($L$4)))&gt;indirect(address(row($C12),COLUMN($D$4))):indirect(address(row($C12),COLUMN($L$4))),TRUE()))</f>
        <v>0</v>
      </c>
      <c r="X12" s="442">
        <f t="array" ref="X12">if(X$3=$C12,"-", countif(indirect(address(row($C$4)+ VLOOKUP(X$3,$C$5:$C$16,1),COLUMN($D$4))):indirect(address(row($C$4)+ VLOOKUP(X$3,$C$5:$C$16,1),COLUMN($L$4)))&gt;indirect(address(row($C12),COLUMN($D$4))):indirect(address(row($C12),COLUMN($L$4))),TRUE()))</f>
        <v>0</v>
      </c>
      <c r="Y12" s="442">
        <f t="array" ref="Y12">if(D$1=$C12,"-", countif(indirect(address(row($C$4)+ VLOOKUP(D$1,$C$5:$C$16,1),COLUMN($D$4))):indirect(address(row($C$4)+ VLOOKUP(D$1,$C$5:$C$16,1),COLUMN($L$4)))&gt;indirect(address(row($C12),COLUMN($D$4))):indirect(address(row($C12),COLUMN($L$4))),TRUE()))</f>
        <v>0</v>
      </c>
      <c r="Z12" s="443">
        <f>SUM(T$5:T$16)/99</f>
        <v>0</v>
      </c>
    </row>
    <row r="13">
      <c r="B13" s="441" t="b">
        <f>Draft!C11</f>
        <v>0</v>
      </c>
      <c r="C13" s="427">
        <v>9.0</v>
      </c>
      <c r="D13" s="443">
        <f>((IF(ISBLANK(Draft!D11),0,VLOOKUP(Draft!D11, 'Final Update'!A4:L1000,2,FALSE)+(IF(ISBLANK(Draft!E6),0,VLOOKUP(Draft!E6, 'Final Update'!A4:L1000,2,FALSE)+(IF(ISBLANK(Draft!F11),0,VLOOKUP(Draft!F11, 'Final Update'!A4:L1000,2,FALSE)+(IF(ISBLANK(Draft!G6),0,VLOOKUP(Draft!G6, 'Final Update'!A4:L1000,2,FALSE)+(IF(ISBLANK(Draft!H11),0,VLOOKUP(Draft!H11, 'Final Update'!A4:L1000,2,FALSE)+(IF(ISBLANK(Draft!I6),0,VLOOKUP(Draft!I6, 'Final Update'!A4:L1000,2,FALSE)+(IF(ISBLANK(Draft!J11),0,VLOOKUP(Draft!J11, 'Final Update'!A4:L1000,2,FALSE)+(IF(ISBLANK(Draft!K6),0,VLOOKUP(Draft!K6, 'Final Update'!A4:L1000,2,FALSE)+(IF(ISBLANK(Draft!L11),0,VLOOKUP(Draft!L11, 'Final Update'!A4:L1000,2,FALSE)+(IF(ISBLANK(Draft!M6),0,VLOOKUP(Draft!M6, 'Final Update'!A4:L1000,2,FALSE)+IF(ISBLANK(Draft!N11),0,VLOOKUP(Draft!N11, 'Final Update'!A4:L1000,2,FALSE)+IF(ISBLANK(Draft!O6),0,VLOOKUP(Draft!O6, 'Final Update'!A4:L1000,2,FALSE))))))))))))))))))))))))</f>
        <v>-6.287029621</v>
      </c>
      <c r="E13" s="443">
        <f>((IF(ISBLANK(Draft!D11),0,VLOOKUP(Draft!D11, 'Final Update'!A4:L1000,3,FALSE)+(IF(ISBLANK(Draft!E6),0,VLOOKUP(Draft!E6, 'Final Update'!A4:L1000,3,FALSE)+(IF(ISBLANK(Draft!F11),0,VLOOKUP(Draft!F11, 'Final Update'!A4:L1000,3,FALSE)+(IF(ISBLANK(Draft!G6),0,VLOOKUP(Draft!G6, 'Final Update'!A4:L1000,3,FALSE)+(IF(ISBLANK(Draft!H11),0,VLOOKUP(Draft!H11, 'Final Update'!A4:L1000,3,FALSE)+(IF(ISBLANK(Draft!I6),0,VLOOKUP(Draft!I6, 'Final Update'!A4:L1000,3,FALSE)+(IF(ISBLANK(Draft!J11),0,VLOOKUP(Draft!J11, 'Final Update'!A4:L1000,3,FALSE)+(IF(ISBLANK(Draft!K6),0,VLOOKUP(Draft!K6, 'Final Update'!A4:L1000,3,FALSE)+(IF(ISBLANK(Draft!L11),0,VLOOKUP(Draft!L11, 'Final Update'!A4:L1000,3,FALSE)+(IF(ISBLANK(Draft!M6),0,VLOOKUP(Draft!M6, 'Final Update'!A4:L1000,3,FALSE)+IF(ISBLANK(Draft!N11),0,VLOOKUP(Draft!N11, 'Final Update'!A4:L1000,3,FALSE)+IF(ISBLANK(Draft!O6),0,VLOOKUP(Draft!O6, 'Final Update'!A4:L1000,3,FALSE))))))))))))))))))))))))</f>
        <v>-7.950080099</v>
      </c>
      <c r="F13" s="443">
        <f>((IF(ISBLANK(Draft!D11),0,VLOOKUP(Draft!D11, 'Final Update'!A4:L1000,4,FALSE)+(IF(ISBLANK(Draft!E6),0,VLOOKUP(Draft!E6, 'Final Update'!A4:L1000,4,FALSE)+(IF(ISBLANK(Draft!F11),0,VLOOKUP(Draft!F11, 'Final Update'!A4:L1000,4,FALSE)+(IF(ISBLANK(Draft!G6),0,VLOOKUP(Draft!G6, 'Final Update'!A4:L1000,4,FALSE)+(IF(ISBLANK(Draft!H11),0,VLOOKUP(Draft!H11, 'Final Update'!A4:L1000,4,FALSE)+(IF(ISBLANK(Draft!I6),0,VLOOKUP(Draft!I6, 'Final Update'!A4:L1000,4,FALSE)+(IF(ISBLANK(Draft!J11),0,VLOOKUP(Draft!J11, 'Final Update'!A4:L1000,4,FALSE)+(IF(ISBLANK(Draft!K6),0,VLOOKUP(Draft!K6, 'Final Update'!A4:L1000,4,FALSE)+(IF(ISBLANK(Draft!L11),0,VLOOKUP(Draft!L11, 'Final Update'!A4:L1000,4,FALSE)+(IF(ISBLANK(Draft!M6),0,VLOOKUP(Draft!M6, 'Final Update'!A4:L1000,4,FALSE)+IF(ISBLANK(Draft!N11),0,VLOOKUP(Draft!N11, 'Final Update'!A4:L1000,4,FALSE)+IF(ISBLANK(Draft!O6),0,VLOOKUP(Draft!O6, 'Final Update'!A4:L1000,4,FALSE))))))))))))))))))))))))</f>
        <v>-4.12916006</v>
      </c>
      <c r="G13" s="443">
        <f>((IF(ISBLANK(Draft!D11),0,VLOOKUP(Draft!D11, 'Final Update'!A4:L1000,5,FALSE)+(IF(ISBLANK(Draft!E6),0,VLOOKUP(Draft!E6, 'Final Update'!A4:L1000,5,FALSE)+(IF(ISBLANK(Draft!F11),0,VLOOKUP(Draft!F11, 'Final Update'!A4:L1000,5,FALSE)+(IF(ISBLANK(Draft!G6),0,VLOOKUP(Draft!G6, 'Final Update'!A4:L1000,5,FALSE)+(IF(ISBLANK(Draft!H11),0,VLOOKUP(Draft!H11, 'Final Update'!A4:L1000,5,FALSE)+(IF(ISBLANK(Draft!I6),0,VLOOKUP(Draft!I6, 'Final Update'!A4:L1000,5,FALSE)+(IF(ISBLANK(Draft!J11),0,VLOOKUP(Draft!J11, 'Final Update'!A4:L1000,5,FALSE)+(IF(ISBLANK(Draft!K6),0,VLOOKUP(Draft!K6, 'Final Update'!A4:L1000,5,FALSE)+(IF(ISBLANK(Draft!L11),0,VLOOKUP(Draft!L11, 'Final Update'!A4:L1000,5,FALSE)+(IF(ISBLANK(Draft!M6),0,VLOOKUP(Draft!M6, 'Final Update'!A4:L1000,5,FALSE)+IF(ISBLANK(Draft!N11),0,VLOOKUP(Draft!N11, 'Final Update'!A4:L1000,5,FALSE)+IF(ISBLANK(Draft!O6),0,VLOOKUP(Draft!O6, 'Final Update'!A4:L1000,5,FALSE))))))))))))))))))))))))</f>
        <v>-4.068273845</v>
      </c>
      <c r="H13" s="443">
        <f>((IF(ISBLANK(Draft!D11),0,VLOOKUP(Draft!D11, 'Final Update'!A4:L1000,6,FALSE)+(IF(ISBLANK(Draft!E6),0,VLOOKUP(Draft!E6, 'Final Update'!A4:L1000,6,FALSE)+(IF(ISBLANK(Draft!F11),0,VLOOKUP(Draft!F11, 'Final Update'!A4:L1000,6,FALSE)+(IF(ISBLANK(Draft!G6),0,VLOOKUP(Draft!G6, 'Final Update'!A4:L1000,6,FALSE)+(IF(ISBLANK(Draft!H11),0,VLOOKUP(Draft!H11, 'Final Update'!A4:L1000,6,FALSE)+(IF(ISBLANK(Draft!I6),0,VLOOKUP(Draft!I6, 'Final Update'!A4:L1000,6,FALSE)+(IF(ISBLANK(Draft!J11),0,VLOOKUP(Draft!J11, 'Final Update'!A4:L1000,6,FALSE)+(IF(ISBLANK(Draft!K6),0,VLOOKUP(Draft!K6, 'Final Update'!A4:L1000,6,FALSE)+(IF(ISBLANK(Draft!L11),0,VLOOKUP(Draft!L11, 'Final Update'!A4:L1000,6,FALSE)+(IF(ISBLANK(Draft!M6),0,VLOOKUP(Draft!M6, 'Final Update'!A4:L1000,6,FALSE)+IF(ISBLANK(Draft!N11),0,VLOOKUP(Draft!N11, 'Final Update'!A4:L1000,6,FALSE)+IF(ISBLANK(Draft!O6),0,VLOOKUP(Draft!O6, 'Final Update'!A4:L1000,6,FALSE))))))))))))))))))))))))</f>
        <v>-4.693220317</v>
      </c>
      <c r="I13" s="443">
        <f>((IF(ISBLANK(Draft!D11),0,VLOOKUP(Draft!D11, 'Final Update'!A4:L1000,7,FALSE)+(IF(ISBLANK(Draft!E6),0,VLOOKUP(Draft!E6, 'Final Update'!A4:L1000,7,FALSE)+(IF(ISBLANK(Draft!F11),0,VLOOKUP(Draft!F11, 'Final Update'!A4:L1000,7,FALSE)+(IF(ISBLANK(Draft!G6),0,VLOOKUP(Draft!G6, 'Final Update'!A4:L1000,7,FALSE)+(IF(ISBLANK(Draft!H11),0,VLOOKUP(Draft!H11, 'Final Update'!A4:L1000,7,FALSE)+(IF(ISBLANK(Draft!I6),0,VLOOKUP(Draft!I6, 'Final Update'!A4:L1000,7,FALSE)+(IF(ISBLANK(Draft!J11),0,VLOOKUP(Draft!J11, 'Final Update'!A4:L1000,7,FALSE)+(IF(ISBLANK(Draft!K6),0,VLOOKUP(Draft!K6, 'Final Update'!A4:L1000,7,FALSE)+(IF(ISBLANK(Draft!L11),0,VLOOKUP(Draft!L11, 'Final Update'!A4:L1000,7,FALSE)+(IF(ISBLANK(Draft!M6),0,VLOOKUP(Draft!M6, 'Final Update'!A4:L1000,7,FALSE)+IF(ISBLANK(Draft!N11),0,VLOOKUP(Draft!N11, 'Final Update'!A4:L1000,7,FALSE)+IF(ISBLANK(Draft!O6),0,VLOOKUP(Draft!O6, 'Final Update'!A4:L1000,7,FALSE))))))))))))))))))))))))</f>
        <v>2.782232903</v>
      </c>
      <c r="J13" s="443">
        <f>((IF(ISBLANK(Draft!D11),0,VLOOKUP(Draft!D11, 'Final Update'!A4:L1000,8,FALSE)+(IF(ISBLANK(Draft!E6),0,VLOOKUP(Draft!E6, 'Final Update'!A4:L1000,8,FALSE)+(IF(ISBLANK(Draft!F11),0,VLOOKUP(Draft!F11, 'Final Update'!A4:L1000,8,FALSE)+(IF(ISBLANK(Draft!G6),0,VLOOKUP(Draft!G6, 'Final Update'!A4:L1000,8,FALSE)+(IF(ISBLANK(Draft!H11),0,VLOOKUP(Draft!H11, 'Final Update'!A4:L1000,8,FALSE)+(IF(ISBLANK(Draft!I6),0,VLOOKUP(Draft!I6, 'Final Update'!A4:L1000,8,FALSE)+(IF(ISBLANK(Draft!J11),0,VLOOKUP(Draft!J11, 'Final Update'!A4:L1000,8,FALSE)+(IF(ISBLANK(Draft!K6),0,VLOOKUP(Draft!K6, 'Final Update'!A4:L1000,8,FALSE)+(IF(ISBLANK(Draft!L11),0,VLOOKUP(Draft!L11, 'Final Update'!A4:L1000,8,FALSE)+(IF(ISBLANK(Draft!M6),0,VLOOKUP(Draft!M6, 'Final Update'!A4:L1000,8,FALSE)+IF(ISBLANK(Draft!N11),0,VLOOKUP(Draft!N11, 'Final Update'!A4:L1000,8,FALSE)+IF(ISBLANK(Draft!O6),0,VLOOKUP(Draft!O6, 'Final Update'!A4:L1000,8,FALSE))))))))))))))))))))))))</f>
        <v>1.848500798</v>
      </c>
      <c r="K13" s="443">
        <f>((IF(ISBLANK(Draft!D11),0,VLOOKUP(Draft!D11, 'Final Update'!A4:L1000,10,FALSE)+(IF(ISBLANK(Draft!E6),0,VLOOKUP(Draft!E6, 'Final Update'!A4:L1000,10,FALSE)+(IF(ISBLANK(Draft!F11),0,VLOOKUP(Draft!F11, 'Final Update'!A4:L1000,10,FALSE)+(IF(ISBLANK(Draft!G6),0,VLOOKUP(Draft!G6, 'Final Update'!A4:L1000,10,FALSE)+(IF(ISBLANK(Draft!H11),0,VLOOKUP(Draft!H11, 'Final Update'!A4:L1000,10,FALSE)+(IF(ISBLANK(Draft!I6),0,VLOOKUP(Draft!I6, 'Final Update'!A4:L1000,10,FALSE)+(IF(ISBLANK(Draft!J11),0,VLOOKUP(Draft!J11, 'Final Update'!A4:L1000,10,FALSE)+(IF(ISBLANK(Draft!K6),0,VLOOKUP(Draft!K6, 'Final Update'!A4:L1000,10,FALSE)+(IF(ISBLANK(Draft!L11),0,VLOOKUP(Draft!L11, 'Final Update'!A4:L1000,10,FALSE)+(IF(ISBLANK(Draft!M6),0,VLOOKUP(Draft!M6, 'Final Update'!A4:L1000,10,FALSE)+IF(ISBLANK(Draft!N11),0,VLOOKUP(Draft!N11, 'Final Update'!A4:L1000,10,FALSE)+IF(ISBLANK(Draft!O6),0,VLOOKUP(Draft!O6, 'Final Update'!A4:L1000,10,FALSE))))))))))))))))))))))))</f>
        <v>-1.67718293</v>
      </c>
      <c r="L13" s="443">
        <f>((IF(ISBLANK(Draft!D11),0,VLOOKUP(Draft!D11, 'Final Update'!A4:L1000,12,FALSE)+(IF(ISBLANK(Draft!E6),0,VLOOKUP(Draft!E6, 'Final Update'!A4:L1000,12,FALSE)+(IF(ISBLANK(Draft!F11),0,VLOOKUP(Draft!F11, 'Final Update'!A4:L1000,12,FALSE)+(IF(ISBLANK(Draft!G6),0,VLOOKUP(Draft!G6, 'Final Update'!A4:L1000,12,FALSE)+(IF(ISBLANK(Draft!H11),0,VLOOKUP(Draft!H11, 'Final Update'!A4:L1000,12,FALSE)+(IF(ISBLANK(Draft!I6),0,VLOOKUP(Draft!I6, 'Final Update'!A4:L1000,12,FALSE)+(IF(ISBLANK(Draft!J11),0,VLOOKUP(Draft!J11, 'Final Update'!A4:L1000,12,FALSE)+(IF(ISBLANK(Draft!K6),0,VLOOKUP(Draft!K6, 'Final Update'!A4:L1000,12,FALSE)+(IF(ISBLANK(Draft!L11),0,VLOOKUP(Draft!L11, 'Final Update'!A4:L1000,12,FALSE)+(IF(ISBLANK(Draft!M6),0,VLOOKUP(Draft!M6, 'Final Update'!A4:L1000,12,FALSE)+IF(ISBLANK(Draft!N11),0,VLOOKUP(Draft!N11, 'Final Update'!A4:L1000,12,FALSE)+IF(ISBLANK(Draft!O6),0,VLOOKUP(Draft!O6, 'Final Update'!A4:L1000,12,FALSE))))))))))))))))))))))))</f>
        <v>-2.265564783</v>
      </c>
      <c r="M13" s="442">
        <f t="array" ref="M13">if(M$3=$C13,"-", countif(indirect(address(row($C$4)+ VLOOKUP(M$3,$C$5:$C$16,1),COLUMN($D$4))):indirect(address(row($C$4)+ VLOOKUP(M$3,$C$5:$C$16,1),COLUMN($L$4)))&gt;indirect(address(row($C13),COLUMN($D$4))):indirect(address(row($C13),COLUMN($L$4))),TRUE()))</f>
        <v>0</v>
      </c>
      <c r="N13" s="442">
        <f t="array" ref="N13">if(N$3=$C13,"-", countif(indirect(address(row($C$4)+ VLOOKUP(N$3,$C$5:$C$16,1),COLUMN($D$4))):indirect(address(row($C$4)+ VLOOKUP(N$3,$C$5:$C$16,1),COLUMN($L$4)))&gt;indirect(address(row($C13),COLUMN($D$4))):indirect(address(row($C13),COLUMN($L$4))),TRUE()))</f>
        <v>0</v>
      </c>
      <c r="O13" s="442">
        <f t="array" ref="O13">if(O$3=$C13,"-", countif(indirect(address(row($C$4)+ VLOOKUP(O$3,$C$5:$C$16,1),COLUMN($D$4))):indirect(address(row($C$4)+ VLOOKUP(O$3,$C$5:$C$16,1),COLUMN($L$4)))&gt;indirect(address(row($C13),COLUMN($D$4))):indirect(address(row($C13),COLUMN($L$4))),TRUE()))</f>
        <v>0</v>
      </c>
      <c r="P13" s="442">
        <f t="array" ref="P13">if(P$3=$C13,"-", countif(indirect(address(row($C$4)+ VLOOKUP(P$3,$C$5:$C$16,1),COLUMN($D$4))):indirect(address(row($C$4)+ VLOOKUP(P$3,$C$5:$C$16,1),COLUMN($L$4)))&gt;indirect(address(row($C13),COLUMN($D$4))):indirect(address(row($C13),COLUMN($L$4))),TRUE()))</f>
        <v>0</v>
      </c>
      <c r="Q13" s="442">
        <f t="array" ref="Q13">if(Q$3=$C13,"-", countif(indirect(address(row($C$4)+ VLOOKUP(Q$3,$C$5:$C$16,1),COLUMN($D$4))):indirect(address(row($C$4)+ VLOOKUP(Q$3,$C$5:$C$16,1),COLUMN($L$4)))&gt;indirect(address(row($C13),COLUMN($D$4))):indirect(address(row($C13),COLUMN($L$4))),TRUE()))</f>
        <v>0</v>
      </c>
      <c r="R13" s="442">
        <f t="array" ref="R13">if(R$3=$C13,"-", countif(indirect(address(row($C$4)+ VLOOKUP(R$3,$C$5:$C$16,1),COLUMN($D$4))):indirect(address(row($C$4)+ VLOOKUP(R$3,$C$5:$C$16,1),COLUMN($L$4)))&gt;indirect(address(row($C13),COLUMN($D$4))):indirect(address(row($C13),COLUMN($L$4))),TRUE()))</f>
        <v>0</v>
      </c>
      <c r="S13" s="442">
        <f t="array" ref="S13">if(S$3=$C13,"-", countif(indirect(address(row($C$4)+ VLOOKUP(S$3,$C$5:$C$16,1),COLUMN($D$4))):indirect(address(row($C$4)+ VLOOKUP(S$3,$C$5:$C$16,1),COLUMN($L$4)))&gt;indirect(address(row($C13),COLUMN($D$4))):indirect(address(row($C13),COLUMN($L$4))),TRUE()))</f>
        <v>0</v>
      </c>
      <c r="T13" s="442">
        <f t="array" ref="T13">if(T$3=$C13,"-", countif(indirect(address(row($C$4)+ VLOOKUP(T$3,$C$5:$C$16,1),COLUMN($D$4))):indirect(address(row($C$4)+ VLOOKUP(T$3,$C$5:$C$16,1),COLUMN($L$4)))&gt;indirect(address(row($C13),COLUMN($D$4))):indirect(address(row($C13),COLUMN($L$4))),TRUE()))</f>
        <v>0</v>
      </c>
      <c r="U13" s="442">
        <f t="array" ref="U13">if(U$3=$C13,"-", countif(indirect(address(row($C$4)+ VLOOKUP(U$3,$C$5:$C$16,1),COLUMN($D$4))):indirect(address(row($C$4)+ VLOOKUP(U$3,$C$5:$C$16,1),COLUMN($L$4)))&gt;indirect(address(row($C13),COLUMN($D$4))):indirect(address(row($C13),COLUMN($L$4))),TRUE()))</f>
        <v>0</v>
      </c>
      <c r="V13" s="442">
        <f t="array" ref="V13">if(V$3=$C13,"-", countif(indirect(address(row($C$4)+ VLOOKUP(V$3,$C$5:$C$16,1),COLUMN($D$4))):indirect(address(row($C$4)+ VLOOKUP(V$3,$C$5:$C$16,1),COLUMN($L$4)))&gt;indirect(address(row($C13),COLUMN($D$4))):indirect(address(row($C13),COLUMN($L$4))),TRUE()))</f>
        <v>0</v>
      </c>
      <c r="W13" s="442">
        <f t="array" ref="W13">if(W$3=$C13,"-", countif(indirect(address(row($C$4)+ VLOOKUP(W$3,$C$5:$C$16,1),COLUMN($D$4))):indirect(address(row($C$4)+ VLOOKUP(W$3,$C$5:$C$16,1),COLUMN($L$4)))&gt;indirect(address(row($C13),COLUMN($D$4))):indirect(address(row($C13),COLUMN($L$4))),TRUE()))</f>
        <v>0</v>
      </c>
      <c r="X13" s="442">
        <f t="array" ref="X13">if(X$3=$C13,"-", countif(indirect(address(row($C$4)+ VLOOKUP(X$3,$C$5:$C$16,1),COLUMN($D$4))):indirect(address(row($C$4)+ VLOOKUP(X$3,$C$5:$C$16,1),COLUMN($L$4)))&gt;indirect(address(row($C13),COLUMN($D$4))):indirect(address(row($C13),COLUMN($L$4))),TRUE()))</f>
        <v>0</v>
      </c>
      <c r="Y13" s="442">
        <f t="array" ref="Y13">if(D$1=$C13,"-", countif(indirect(address(row($C$4)+ VLOOKUP(D$1,$C$5:$C$16,1),COLUMN($D$4))):indirect(address(row($C$4)+ VLOOKUP(D$1,$C$5:$C$16,1),COLUMN($L$4)))&gt;indirect(address(row($C13),COLUMN($D$4))):indirect(address(row($C13),COLUMN($L$4))),TRUE()))</f>
        <v>0</v>
      </c>
      <c r="Z13" s="443">
        <f>SUM(U$5:U$16)/99</f>
        <v>0</v>
      </c>
    </row>
    <row r="14">
      <c r="B14" s="441" t="b">
        <f>Draft!C12</f>
        <v>0</v>
      </c>
      <c r="C14" s="427">
        <v>10.0</v>
      </c>
      <c r="D14" s="423" t="str">
        <f>((IF(ISBLANK(Draft!D12),0,VLOOKUP(Draft!D12, 'Final Update'!A4:L1000,2,FALSE)+(IF(ISBLANK(Draft!E5),0,VLOOKUP(Draft!E5, 'Final Update'!A4:L1000,2,FALSE)+(IF(ISBLANK(Draft!F12),0,VLOOKUP(Draft!F12, 'Final Update'!A4:L1000,2,FALSE)+(IF(ISBLANK(Draft!G5),0,VLOOKUP(Draft!G5, 'Final Update'!A4:L1000,2,FALSE)+(IF(ISBLANK(Draft!H12),0,VLOOKUP(Draft!H12, 'Final Update'!A4:L1000,2,FALSE)+(IF(ISBLANK(Draft!I5),0,VLOOKUP(Draft!I5, 'Final Update'!A4:L1000,2,FALSE)+(IF(ISBLANK(Draft!J12),0,VLOOKUP(Draft!J12, 'Final Update'!A4:L1000,2,FALSE)+(IF(ISBLANK(Draft!K5),0,VLOOKUP(Draft!K5, 'Final Update'!A4:L1000,2,FALSE)+(IF(ISBLANK(Draft!L12),0,VLOOKUP(Draft!L12, 'Final Update'!A4:L1000,2,FALSE)+(IF(ISBLANK(Draft!M5),0,VLOOKUP(Draft!M5, 'Final Update'!A4:L1000,2,FALSE)+IF(ISBLANK(Draft!N12),0,VLOOKUP(Draft!N12, 'Final Update'!A4:L1000,2,FALSE)+IF(ISBLANK(Draft!O5),0,VLOOKUP(Draft!O5, 'Final Update'!A4:L1000,2,FALSE))))))))))))))))))))))))</f>
        <v>#N/A</v>
      </c>
      <c r="E14" s="423" t="str">
        <f>((IF(ISBLANK(Draft!D12),0,VLOOKUP(Draft!D12, 'Final Update'!A4:L1000,3,FALSE)+(IF(ISBLANK(Draft!E5),0,VLOOKUP(Draft!E5, 'Final Update'!A4:L1000,3,FALSE)+(IF(ISBLANK(Draft!F12),0,VLOOKUP(Draft!F12, 'Final Update'!A4:L1000,3,FALSE)+(IF(ISBLANK(Draft!G5),0,VLOOKUP(Draft!G5, 'Final Update'!A4:L1000,3,FALSE)+(IF(ISBLANK(Draft!H12),0,VLOOKUP(Draft!H12, 'Final Update'!A4:L1000,3,FALSE)+(IF(ISBLANK(Draft!I5),0,VLOOKUP(Draft!I5, 'Final Update'!A4:L1000,3,FALSE)+(IF(ISBLANK(Draft!J12),0,VLOOKUP(Draft!J12, 'Final Update'!A4:L1000,3,FALSE)+(IF(ISBLANK(Draft!K5),0,VLOOKUP(Draft!K5, 'Final Update'!A4:L1000,3,FALSE)+(IF(ISBLANK(Draft!L12),0,VLOOKUP(Draft!L12, 'Final Update'!A4:L1000,3,FALSE)+(IF(ISBLANK(Draft!M5),0,VLOOKUP(Draft!M5, 'Final Update'!A4:L1000,3,FALSE)+IF(ISBLANK(Draft!N12),0,VLOOKUP(Draft!N12, 'Final Update'!A4:L1000,3,FALSE)+IF(ISBLANK(Draft!O5),0,VLOOKUP(Draft!O5, 'Final Update'!A4:L1000,3,FALSE))))))))))))))))))))))))</f>
        <v>#N/A</v>
      </c>
      <c r="F14" s="423" t="str">
        <f>((IF(ISBLANK(Draft!D12),0,VLOOKUP(Draft!D12, 'Final Update'!A4:L1000,4,FALSE)+(IF(ISBLANK(Draft!E5),0,VLOOKUP(Draft!E5, 'Final Update'!A4:L1000,4,FALSE)+(IF(ISBLANK(Draft!F12),0,VLOOKUP(Draft!F12, 'Final Update'!A4:L1000,4,FALSE)+(IF(ISBLANK(Draft!G5),0,VLOOKUP(Draft!G5, 'Final Update'!A4:L1000,4,FALSE)+(IF(ISBLANK(Draft!H12),0,VLOOKUP(Draft!H12, 'Final Update'!A4:L1000,4,FALSE)+(IF(ISBLANK(Draft!I5),0,VLOOKUP(Draft!I5, 'Final Update'!A4:L1000,4,FALSE)+(IF(ISBLANK(Draft!J12),0,VLOOKUP(Draft!J12, 'Final Update'!A4:L1000,4,FALSE)+(IF(ISBLANK(Draft!K5),0,VLOOKUP(Draft!K5, 'Final Update'!A4:L1000,4,FALSE)+(IF(ISBLANK(Draft!L12),0,VLOOKUP(Draft!L12, 'Final Update'!A4:L1000,4,FALSE)+(IF(ISBLANK(Draft!M5),0,VLOOKUP(Draft!M5, 'Final Update'!A4:L1000,4,FALSE)+IF(ISBLANK(Draft!N12),0,VLOOKUP(Draft!N12, 'Final Update'!A4:L1000,4,FALSE)+IF(ISBLANK(Draft!O5),0,VLOOKUP(Draft!O5, 'Final Update'!A4:L1000,4,FALSE))))))))))))))))))))))))</f>
        <v>#N/A</v>
      </c>
      <c r="G14" s="423" t="str">
        <f>((IF(ISBLANK(Draft!D12),0,VLOOKUP(Draft!D12, 'Final Update'!A4:L1000,5,FALSE)+(IF(ISBLANK(Draft!E5),0,VLOOKUP(Draft!E5, 'Final Update'!A4:L1000,5,FALSE)+(IF(ISBLANK(Draft!F12),0,VLOOKUP(Draft!F12, 'Final Update'!A4:L1000,5,FALSE)+(IF(ISBLANK(Draft!G5),0,VLOOKUP(Draft!G5, 'Final Update'!A4:L1000,5,FALSE)+(IF(ISBLANK(Draft!H12),0,VLOOKUP(Draft!H12, 'Final Update'!A4:L1000,5,FALSE)+(IF(ISBLANK(Draft!I5),0,VLOOKUP(Draft!I5, 'Final Update'!A4:L1000,5,FALSE)+(IF(ISBLANK(Draft!J12),0,VLOOKUP(Draft!J12, 'Final Update'!A4:L1000,5,FALSE)+(IF(ISBLANK(Draft!K5),0,VLOOKUP(Draft!K5, 'Final Update'!A4:L1000,5,FALSE)+(IF(ISBLANK(Draft!L12),0,VLOOKUP(Draft!L12, 'Final Update'!A4:L1000,5,FALSE)+(IF(ISBLANK(Draft!M5),0,VLOOKUP(Draft!M5, 'Final Update'!A4:L1000,5,FALSE)+IF(ISBLANK(Draft!N12),0,VLOOKUP(Draft!N12, 'Final Update'!A4:L1000,5,FALSE)+IF(ISBLANK(Draft!O5),0,VLOOKUP(Draft!O5, 'Final Update'!A4:L1000,5,FALSE))))))))))))))))))))))))</f>
        <v>#N/A</v>
      </c>
      <c r="H14" s="423" t="str">
        <f>((IF(ISBLANK(Draft!D12),0,VLOOKUP(Draft!D12, 'Final Update'!A4:L1000,6,FALSE)+(IF(ISBLANK(Draft!E5),0,VLOOKUP(Draft!E5, 'Final Update'!A4:L1000,6,FALSE)+(IF(ISBLANK(Draft!F12),0,VLOOKUP(Draft!F12, 'Final Update'!A4:L1000,6,FALSE)+(IF(ISBLANK(Draft!G5),0,VLOOKUP(Draft!G5, 'Final Update'!A4:L1000,6,FALSE)+(IF(ISBLANK(Draft!H12),0,VLOOKUP(Draft!H12, 'Final Update'!A4:L1000,6,FALSE)+(IF(ISBLANK(Draft!I5),0,VLOOKUP(Draft!I5, 'Final Update'!A4:L1000,6,FALSE)+(IF(ISBLANK(Draft!J12),0,VLOOKUP(Draft!J12, 'Final Update'!A4:L1000,6,FALSE)+(IF(ISBLANK(Draft!K5),0,VLOOKUP(Draft!K5, 'Final Update'!A4:L1000,6,FALSE)+(IF(ISBLANK(Draft!L12),0,VLOOKUP(Draft!L12, 'Final Update'!A4:L1000,6,FALSE)+(IF(ISBLANK(Draft!M5),0,VLOOKUP(Draft!M5, 'Final Update'!A4:L1000,6,FALSE)+IF(ISBLANK(Draft!N12),0,VLOOKUP(Draft!N12, 'Final Update'!A4:L1000,6,FALSE)+IF(ISBLANK(Draft!O5),0,VLOOKUP(Draft!O5, 'Final Update'!A4:L1000,6,FALSE))))))))))))))))))))))))</f>
        <v>#N/A</v>
      </c>
      <c r="I14" s="423" t="str">
        <f>((IF(ISBLANK(Draft!D12),0,VLOOKUP(Draft!D12, 'Final Update'!A4:L1000,7,FALSE)+(IF(ISBLANK(Draft!E5),0,VLOOKUP(Draft!E5, 'Final Update'!A4:L1000,7,FALSE)+(IF(ISBLANK(Draft!F12),0,VLOOKUP(Draft!F12, 'Final Update'!A4:L1000,7,FALSE)+(IF(ISBLANK(Draft!G5),0,VLOOKUP(Draft!G5, 'Final Update'!A4:L1000,7,FALSE)+(IF(ISBLANK(Draft!H12),0,VLOOKUP(Draft!H12, 'Final Update'!A4:L1000,7,FALSE)+(IF(ISBLANK(Draft!I5),0,VLOOKUP(Draft!I5, 'Final Update'!A4:L1000,7,FALSE)+(IF(ISBLANK(Draft!J12),0,VLOOKUP(Draft!J12, 'Final Update'!A4:L1000,7,FALSE)+(IF(ISBLANK(Draft!K5),0,VLOOKUP(Draft!K5, 'Final Update'!A4:L1000,7,FALSE)+(IF(ISBLANK(Draft!L12),0,VLOOKUP(Draft!L12, 'Final Update'!A4:L1000,7,FALSE)+(IF(ISBLANK(Draft!M5),0,VLOOKUP(Draft!M5, 'Final Update'!A4:L1000,7,FALSE)+IF(ISBLANK(Draft!N12),0,VLOOKUP(Draft!N12, 'Final Update'!A4:L1000,7,FALSE)+IF(ISBLANK(Draft!O5),0,VLOOKUP(Draft!O5, 'Final Update'!A4:L1000,7,FALSE))))))))))))))))))))))))</f>
        <v>#N/A</v>
      </c>
      <c r="J14" s="423" t="str">
        <f>((IF(ISBLANK(Draft!D12),0,VLOOKUP(Draft!D12, 'Final Update'!A4:L1000,8,FALSE)+(IF(ISBLANK(Draft!E5),0,VLOOKUP(Draft!E5, 'Final Update'!A4:L1000,8,FALSE)+(IF(ISBLANK(Draft!F12),0,VLOOKUP(Draft!F12, 'Final Update'!A4:L1000,8,FALSE)+(IF(ISBLANK(Draft!G5),0,VLOOKUP(Draft!G5, 'Final Update'!A4:L1000,8,FALSE)+(IF(ISBLANK(Draft!H12),0,VLOOKUP(Draft!H12, 'Final Update'!A4:L1000,8,FALSE)+(IF(ISBLANK(Draft!I5),0,VLOOKUP(Draft!I5, 'Final Update'!A4:L1000,8,FALSE)+(IF(ISBLANK(Draft!J12),0,VLOOKUP(Draft!J12, 'Final Update'!A4:L1000,8,FALSE)+(IF(ISBLANK(Draft!K5),0,VLOOKUP(Draft!K5, 'Final Update'!A4:L1000,8,FALSE)+(IF(ISBLANK(Draft!L12),0,VLOOKUP(Draft!L12, 'Final Update'!A4:L1000,8,FALSE)+(IF(ISBLANK(Draft!M5),0,VLOOKUP(Draft!M5, 'Final Update'!A4:L1000,8,FALSE)+IF(ISBLANK(Draft!N12),0,VLOOKUP(Draft!N12, 'Final Update'!A4:L1000,8,FALSE)+IF(ISBLANK(Draft!O5),0,VLOOKUP(Draft!O5, 'Final Update'!A4:L1000,8,FALSE))))))))))))))))))))))))</f>
        <v>#N/A</v>
      </c>
      <c r="K14" s="423" t="str">
        <f>((IF(ISBLANK(Draft!D12),0,VLOOKUP(Draft!D12, 'Final Update'!A4:L1000,10,FALSE)+(IF(ISBLANK(Draft!E5),0,VLOOKUP(Draft!E5, 'Final Update'!A4:L1000,10,FALSE)+(IF(ISBLANK(Draft!F12),0,VLOOKUP(Draft!F12, 'Final Update'!A4:L1000,10,FALSE)+(IF(ISBLANK(Draft!G5),0,VLOOKUP(Draft!G5, 'Final Update'!A4:L1000,10,FALSE)+(IF(ISBLANK(Draft!H12),0,VLOOKUP(Draft!H12, 'Final Update'!A4:L1000,10,FALSE)+(IF(ISBLANK(Draft!I5),0,VLOOKUP(Draft!I5, 'Final Update'!A4:L1000,10,FALSE)+(IF(ISBLANK(Draft!J12),0,VLOOKUP(Draft!J12, 'Final Update'!A4:L1000,10,FALSE)+(IF(ISBLANK(Draft!K5),0,VLOOKUP(Draft!K5, 'Final Update'!A4:L1000,10,FALSE)+(IF(ISBLANK(Draft!L12),0,VLOOKUP(Draft!L12, 'Final Update'!A4:L1000,10,FALSE)+(IF(ISBLANK(Draft!M5),0,VLOOKUP(Draft!M5, 'Final Update'!A4:L1000,10,FALSE)+IF(ISBLANK(Draft!N12),0,VLOOKUP(Draft!N12, 'Final Update'!A4:L1000,10,FALSE)+IF(ISBLANK(Draft!O5),0,VLOOKUP(Draft!O5, 'Final Update'!A4:L1000,7,FALSE))))))))))))))))))))))))</f>
        <v>#N/A</v>
      </c>
      <c r="L14" s="423" t="str">
        <f>((IF(ISBLANK(Draft!D12),0,VLOOKUP(Draft!D12, 'Final Update'!A4:L1000,12,FALSE)+(IF(ISBLANK(Draft!E5),0,VLOOKUP(Draft!E5, 'Final Update'!A4:L1000,12,FALSE)+(IF(ISBLANK(Draft!F12),0,VLOOKUP(Draft!F12, 'Final Update'!A4:L1000,12,FALSE)+(IF(ISBLANK(Draft!G5),0,VLOOKUP(Draft!G5, 'Final Update'!A4:L1000,12,FALSE)+(IF(ISBLANK(Draft!H12),0,VLOOKUP(Draft!H12, 'Final Update'!A4:L1000,12,FALSE)+(IF(ISBLANK(Draft!I5),0,VLOOKUP(Draft!I5, 'Final Update'!A4:L1000,12,FALSE)+(IF(ISBLANK(Draft!J12),0,VLOOKUP(Draft!J12, 'Final Update'!A4:L1000,12,FALSE)+(IF(ISBLANK(Draft!K5),0,VLOOKUP(Draft!K5, 'Final Update'!A4:L1000,12,FALSE)+(IF(ISBLANK(Draft!L12),0,VLOOKUP(Draft!L12, 'Final Update'!A4:L1000,12,FALSE)+(IF(ISBLANK(Draft!M5),0,VLOOKUP(Draft!M5, 'Final Update'!A4:L1000,12,FALSE)+IF(ISBLANK(Draft!N12),0,VLOOKUP(Draft!N12, 'Final Update'!A4:L1000,12,FALSE)+IF(ISBLANK(Draft!O5),0,VLOOKUP(Draft!O5, 'Final Update'!A4:L1000,12,FALSE))))))))))))))))))))))))</f>
        <v>#N/A</v>
      </c>
      <c r="M14" s="442">
        <f t="array" ref="M14">if(M$3=$C14,"-", countif(indirect(address(row($C$4)+ VLOOKUP(M$3,$C$5:$C$16,1),COLUMN($D$4))):indirect(address(row($C$4)+ VLOOKUP(M$3,$C$5:$C$16,1),COLUMN($L$4)))&gt;indirect(address(row($C14),COLUMN($D$4))):indirect(address(row($C14),COLUMN($L$4))),TRUE()))</f>
        <v>0</v>
      </c>
      <c r="N14" s="442">
        <f t="array" ref="N14">if(N$3=$C14,"-", countif(indirect(address(row($C$4)+ VLOOKUP(N$3,$C$5:$C$16,1),COLUMN($D$4))):indirect(address(row($C$4)+ VLOOKUP(N$3,$C$5:$C$16,1),COLUMN($L$4)))&gt;indirect(address(row($C14),COLUMN($D$4))):indirect(address(row($C14),COLUMN($L$4))),TRUE()))</f>
        <v>0</v>
      </c>
      <c r="O14" s="442">
        <f t="array" ref="O14">if(O$3=$C14,"-", countif(indirect(address(row($C$4)+ VLOOKUP(O$3,$C$5:$C$16,1),COLUMN($D$4))):indirect(address(row($C$4)+ VLOOKUP(O$3,$C$5:$C$16,1),COLUMN($L$4)))&gt;indirect(address(row($C14),COLUMN($D$4))):indirect(address(row($C14),COLUMN($L$4))),TRUE()))</f>
        <v>0</v>
      </c>
      <c r="P14" s="442">
        <f t="array" ref="P14">if(P$3=$C14,"-", countif(indirect(address(row($C$4)+ VLOOKUP(P$3,$C$5:$C$16,1),COLUMN($D$4))):indirect(address(row($C$4)+ VLOOKUP(P$3,$C$5:$C$16,1),COLUMN($L$4)))&gt;indirect(address(row($C14),COLUMN($D$4))):indirect(address(row($C14),COLUMN($L$4))),TRUE()))</f>
        <v>0</v>
      </c>
      <c r="Q14" s="442">
        <f t="array" ref="Q14">if(Q$3=$C14,"-", countif(indirect(address(row($C$4)+ VLOOKUP(Q$3,$C$5:$C$16,1),COLUMN($D$4))):indirect(address(row($C$4)+ VLOOKUP(Q$3,$C$5:$C$16,1),COLUMN($L$4)))&gt;indirect(address(row($C14),COLUMN($D$4))):indirect(address(row($C14),COLUMN($L$4))),TRUE()))</f>
        <v>0</v>
      </c>
      <c r="R14" s="442">
        <f t="array" ref="R14">if(R$3=$C14,"-", countif(indirect(address(row($C$4)+ VLOOKUP(R$3,$C$5:$C$16,1),COLUMN($D$4))):indirect(address(row($C$4)+ VLOOKUP(R$3,$C$5:$C$16,1),COLUMN($L$4)))&gt;indirect(address(row($C14),COLUMN($D$4))):indirect(address(row($C14),COLUMN($L$4))),TRUE()))</f>
        <v>0</v>
      </c>
      <c r="S14" s="442">
        <f t="array" ref="S14">if(S$3=$C14,"-", countif(indirect(address(row($C$4)+ VLOOKUP(S$3,$C$5:$C$16,1),COLUMN($D$4))):indirect(address(row($C$4)+ VLOOKUP(S$3,$C$5:$C$16,1),COLUMN($L$4)))&gt;indirect(address(row($C14),COLUMN($D$4))):indirect(address(row($C14),COLUMN($L$4))),TRUE()))</f>
        <v>0</v>
      </c>
      <c r="T14" s="442">
        <f t="array" ref="T14">if(T$3=$C14,"-", countif(indirect(address(row($C$4)+ VLOOKUP(T$3,$C$5:$C$16,1),COLUMN($D$4))):indirect(address(row($C$4)+ VLOOKUP(T$3,$C$5:$C$16,1),COLUMN($L$4)))&gt;indirect(address(row($C14),COLUMN($D$4))):indirect(address(row($C14),COLUMN($L$4))),TRUE()))</f>
        <v>0</v>
      </c>
      <c r="U14" s="442">
        <f t="array" ref="U14">if(U$3=$C14,"-", countif(indirect(address(row($C$4)+ VLOOKUP(U$3,$C$5:$C$16,1),COLUMN($D$4))):indirect(address(row($C$4)+ VLOOKUP(U$3,$C$5:$C$16,1),COLUMN($L$4)))&gt;indirect(address(row($C14),COLUMN($D$4))):indirect(address(row($C14),COLUMN($L$4))),TRUE()))</f>
        <v>0</v>
      </c>
      <c r="V14" s="442">
        <f t="array" ref="V14">if(V$3=$C14,"-", countif(indirect(address(row($C$4)+ VLOOKUP(V$3,$C$5:$C$16,1),COLUMN($D$4))):indirect(address(row($C$4)+ VLOOKUP(V$3,$C$5:$C$16,1),COLUMN($L$4)))&gt;indirect(address(row($C14),COLUMN($D$4))):indirect(address(row($C14),COLUMN($L$4))),TRUE()))</f>
        <v>0</v>
      </c>
      <c r="W14" s="442">
        <f t="array" ref="W14">if(W$3=$C14,"-", countif(indirect(address(row($C$4)+ VLOOKUP(W$3,$C$5:$C$16,1),COLUMN($D$4))):indirect(address(row($C$4)+ VLOOKUP(W$3,$C$5:$C$16,1),COLUMN($L$4)))&gt;indirect(address(row($C14),COLUMN($D$4))):indirect(address(row($C14),COLUMN($L$4))),TRUE()))</f>
        <v>0</v>
      </c>
      <c r="X14" s="442">
        <f t="array" ref="X14">if(X$3=$C14,"-", countif(indirect(address(row($C$4)+ VLOOKUP(X$3,$C$5:$C$16,1),COLUMN($D$4))):indirect(address(row($C$4)+ VLOOKUP(X$3,$C$5:$C$16,1),COLUMN($L$4)))&gt;indirect(address(row($C14),COLUMN($D$4))):indirect(address(row($C14),COLUMN($L$4))),TRUE()))</f>
        <v>0</v>
      </c>
      <c r="Y14" s="442">
        <f t="array" ref="Y14">if(D$1=$C14,"-", countif(indirect(address(row($C$4)+ VLOOKUP(D$1,$C$5:$C$16,1),COLUMN($D$4))):indirect(address(row($C$4)+ VLOOKUP(D$1,$C$5:$C$16,1),COLUMN($L$4)))&gt;indirect(address(row($C14),COLUMN($D$4))):indirect(address(row($C14),COLUMN($L$4))),TRUE()))</f>
        <v>0</v>
      </c>
      <c r="Z14" s="443">
        <f>SUM(V$5:V$16)/99</f>
        <v>0</v>
      </c>
    </row>
    <row r="15">
      <c r="B15" s="441" t="b">
        <f>Draft!C13</f>
        <v>0</v>
      </c>
      <c r="C15" s="427">
        <v>11.0</v>
      </c>
      <c r="D15" s="423" t="str">
        <f>((IF(ISBLANK(Draft!D13),0,VLOOKUP(Draft!D13, 'Final Update'!A4:L1000,2,FALSE)+(IF(ISBLANK(Draft!E4),0,VLOOKUP(Draft!E4, 'Final Update'!A4:L1000,2,FALSE)+(IF(ISBLANK(Draft!F13),0,VLOOKUP(Draft!F13, 'Final Update'!A4:L1000,2,FALSE)+(IF(ISBLANK(Draft!G4),0,VLOOKUP(Draft!G4, 'Final Update'!A4:L1000,2,FALSE)+(IF(ISBLANK(Draft!H13),0,VLOOKUP(Draft!H13, 'Final Update'!A4:L1000,2,FALSE)+(IF(ISBLANK(Draft!I4),0,VLOOKUP(Draft!I4, 'Final Update'!A4:L1000,2,FALSE)+(IF(ISBLANK(Draft!J13),0,VLOOKUP(Draft!J13, 'Final Update'!A4:L1000,2,FALSE)+(IF(ISBLANK(Draft!K4),0,VLOOKUP(Draft!K4, 'Final Update'!A4:L1000,2,FALSE)+(IF(ISBLANK(Draft!L13),0,VLOOKUP(Draft!L13, 'Final Update'!A4:L1000,2,FALSE)+(IF(ISBLANK(Draft!M4),0,VLOOKUP(Draft!M4, 'Final Update'!A4:L1000,2,FALSE)+IF(ISBLANK(Draft!N13),0,VLOOKUP(Draft!N13, 'Final Update'!A4:L1000,2,FALSE)+IF(ISBLANK(Draft!O4),0,VLOOKUP(Draft!O4, 'Final Update'!A4:L1000,2,FALSE))))))))))))))))))))))))</f>
        <v>#N/A</v>
      </c>
      <c r="E15" s="423" t="str">
        <f>((IF(ISBLANK(Draft!D13),0,VLOOKUP(Draft!D13, 'Final Update'!A4:L1000,3,FALSE)+(IF(ISBLANK(Draft!E4),0,VLOOKUP(Draft!E4, 'Final Update'!A4:L1000,3,FALSE)+(IF(ISBLANK(Draft!F13),0,VLOOKUP(Draft!F13, 'Final Update'!A4:L1000,3,FALSE)+(IF(ISBLANK(Draft!G4),0,VLOOKUP(Draft!G4, 'Final Update'!A4:L1000,3,FALSE)+(IF(ISBLANK(Draft!H13),0,VLOOKUP(Draft!H13, 'Final Update'!A4:L1000,3,FALSE)+(IF(ISBLANK(Draft!I4),0,VLOOKUP(Draft!I4, 'Final Update'!A4:L1000,3,FALSE)+(IF(ISBLANK(Draft!J13),0,VLOOKUP(Draft!J13, 'Final Update'!A4:L1000,3,FALSE)+(IF(ISBLANK(Draft!K4),0,VLOOKUP(Draft!K4, 'Final Update'!A4:L1000,3,FALSE)+(IF(ISBLANK(Draft!L13),0,VLOOKUP(Draft!L13, 'Final Update'!A4:L1000,3,FALSE)+(IF(ISBLANK(Draft!M4),0,VLOOKUP(Draft!M4, 'Final Update'!A4:L1000,3,FALSE)+IF(ISBLANK(Draft!N13),0,VLOOKUP(Draft!N13, 'Final Update'!A4:L1000,3,FALSE)+IF(ISBLANK(Draft!O4),0,VLOOKUP(Draft!O4, 'Final Update'!A4:L1000,3,FALSE))))))))))))))))))))))))</f>
        <v>#N/A</v>
      </c>
      <c r="F15" s="423" t="str">
        <f>((IF(ISBLANK(Draft!D13),0,VLOOKUP(Draft!D13, 'Final Update'!A4:L1000,4,FALSE)+(IF(ISBLANK(Draft!E4),0,VLOOKUP(Draft!E4, 'Final Update'!A4:L1000,4,FALSE)+(IF(ISBLANK(Draft!F13),0,VLOOKUP(Draft!F13, 'Final Update'!A4:L1000,4,FALSE)+(IF(ISBLANK(Draft!G4),0,VLOOKUP(Draft!G4, 'Final Update'!A4:L1000,4,FALSE)+(IF(ISBLANK(Draft!H13),0,VLOOKUP(Draft!H13, 'Final Update'!A4:L1000,4,FALSE)+(IF(ISBLANK(Draft!I4),0,VLOOKUP(Draft!I4, 'Final Update'!A4:L1000,4,FALSE)+(IF(ISBLANK(Draft!J13),0,VLOOKUP(Draft!J13, 'Final Update'!A4:L1000,4,FALSE)+(IF(ISBLANK(Draft!K4),0,VLOOKUP(Draft!K4, 'Final Update'!A4:L1000,4,FALSE)+(IF(ISBLANK(Draft!L13),0,VLOOKUP(Draft!L13, 'Final Update'!A4:L1000,4,FALSE)+(IF(ISBLANK(Draft!M4),0,VLOOKUP(Draft!M4, 'Final Update'!A4:L1000,4,FALSE)+IF(ISBLANK(Draft!N13),0,VLOOKUP(Draft!N13, 'Final Update'!A4:L1000,4,FALSE)+IF(ISBLANK(Draft!O4),0,VLOOKUP(Draft!O4, 'Final Update'!A4:L1000,4,FALSE))))))))))))))))))))))))</f>
        <v>#N/A</v>
      </c>
      <c r="G15" s="423" t="str">
        <f>((IF(ISBLANK(Draft!D13),0,VLOOKUP(Draft!D13, 'Final Update'!A4:L1000,5,FALSE)+(IF(ISBLANK(Draft!E4),0,VLOOKUP(Draft!E4, 'Final Update'!A4:L1000,5,FALSE)+(IF(ISBLANK(Draft!F13),0,VLOOKUP(Draft!F13, 'Final Update'!A4:L1000,5,FALSE)+(IF(ISBLANK(Draft!G4),0,VLOOKUP(Draft!G4, 'Final Update'!A4:L1000,5,FALSE)+(IF(ISBLANK(Draft!H13),0,VLOOKUP(Draft!H13, 'Final Update'!A4:L1000,5,FALSE)+(IF(ISBLANK(Draft!I4),0,VLOOKUP(Draft!I4, 'Final Update'!A4:L1000,5,FALSE)+(IF(ISBLANK(Draft!J13),0,VLOOKUP(Draft!J13, 'Final Update'!A4:L1000,5,FALSE)+(IF(ISBLANK(Draft!K4),0,VLOOKUP(Draft!K4, 'Final Update'!A4:L1000,5,FALSE)+(IF(ISBLANK(Draft!L13),0,VLOOKUP(Draft!L13, 'Final Update'!A4:L1000,5,FALSE)+(IF(ISBLANK(Draft!M4),0,VLOOKUP(Draft!M4, 'Final Update'!A4:L1000,5,FALSE)+IF(ISBLANK(Draft!N13),0,VLOOKUP(Draft!N13, 'Final Update'!A4:L1000,5,FALSE)+IF(ISBLANK(Draft!O4),0,VLOOKUP(Draft!O4, 'Final Update'!A4:L1000,5,FALSE))))))))))))))))))))))))</f>
        <v>#N/A</v>
      </c>
      <c r="H15" s="423" t="str">
        <f>((IF(ISBLANK(Draft!D13),0,VLOOKUP(Draft!D13, 'Final Update'!A4:L1000,6,FALSE)+(IF(ISBLANK(Draft!E4),0,VLOOKUP(Draft!E4, 'Final Update'!A4:L1000,6,FALSE)+(IF(ISBLANK(Draft!F13),0,VLOOKUP(Draft!F13, 'Final Update'!A4:L1000,6,FALSE)+(IF(ISBLANK(Draft!G4),0,VLOOKUP(Draft!G4, 'Final Update'!A4:L1000,6,FALSE)+(IF(ISBLANK(Draft!H13),0,VLOOKUP(Draft!H13, 'Final Update'!A4:L1000,6,FALSE)+(IF(ISBLANK(Draft!I4),0,VLOOKUP(Draft!I4, 'Final Update'!A4:L1000,6,FALSE)+(IF(ISBLANK(Draft!J13),0,VLOOKUP(Draft!J13, 'Final Update'!A4:L1000,6,FALSE)+(IF(ISBLANK(Draft!K4),0,VLOOKUP(Draft!K4, 'Final Update'!A4:L1000,6,FALSE)+(IF(ISBLANK(Draft!L13),0,VLOOKUP(Draft!L13, 'Final Update'!A4:L1000,6,FALSE)+(IF(ISBLANK(Draft!M4),0,VLOOKUP(Draft!M4, 'Final Update'!A4:L1000,6,FALSE)+IF(ISBLANK(Draft!N13),0,VLOOKUP(Draft!N13, 'Final Update'!A4:L1000,6,FALSE)+IF(ISBLANK(Draft!O4),0,VLOOKUP(Draft!O4, 'Final Update'!A4:L1000,6,FALSE))))))))))))))))))))))))</f>
        <v>#N/A</v>
      </c>
      <c r="I15" s="423" t="str">
        <f>((IF(ISBLANK(Draft!D13),0,VLOOKUP(Draft!D13, 'Final Update'!A4:L1000,7,FALSE)+(IF(ISBLANK(Draft!E4),0,VLOOKUP(Draft!E4, 'Final Update'!A4:L1000,7,FALSE)+(IF(ISBLANK(Draft!F13),0,VLOOKUP(Draft!F13, 'Final Update'!A4:L1000,7,FALSE)+(IF(ISBLANK(Draft!G4),0,VLOOKUP(Draft!G4, 'Final Update'!A4:L1000,7,FALSE)+(IF(ISBLANK(Draft!H13),0,VLOOKUP(Draft!H13, 'Final Update'!A4:L1000,7,FALSE)+(IF(ISBLANK(Draft!I4),0,VLOOKUP(Draft!I4, 'Final Update'!A4:L1000,7,FALSE)+(IF(ISBLANK(Draft!J13),0,VLOOKUP(Draft!J13, 'Final Update'!A4:L1000,7,FALSE)+(IF(ISBLANK(Draft!K4),0,VLOOKUP(Draft!K4, 'Final Update'!A4:L1000,7,FALSE)+(IF(ISBLANK(Draft!L13),0,VLOOKUP(Draft!L13, 'Final Update'!A4:L1000,7,FALSE)+(IF(ISBLANK(Draft!M4),0,VLOOKUP(Draft!M4, 'Final Update'!A4:L1000,7,FALSE)+IF(ISBLANK(Draft!N13),0,VLOOKUP(Draft!N13, 'Final Update'!A4:L1000,7,FALSE)+IF(ISBLANK(Draft!O4),0,VLOOKUP(Draft!O4, 'Final Update'!A4:L1000,7,FALSE))))))))))))))))))))))))</f>
        <v>#N/A</v>
      </c>
      <c r="J15" s="423" t="str">
        <f>((IF(ISBLANK(Draft!D13),0,VLOOKUP(Draft!D13, 'Final Update'!A4:L1000,8,FALSE)+(IF(ISBLANK(Draft!E4),0,VLOOKUP(Draft!E4, 'Final Update'!A4:L1000,8,FALSE)+(IF(ISBLANK(Draft!F13),0,VLOOKUP(Draft!F13, 'Final Update'!A4:L1000,8,FALSE)+(IF(ISBLANK(Draft!G4),0,VLOOKUP(Draft!G4, 'Final Update'!A4:L1000,8,FALSE)+(IF(ISBLANK(Draft!H13),0,VLOOKUP(Draft!H13, 'Final Update'!A4:L1000,8,FALSE)+(IF(ISBLANK(Draft!I4),0,VLOOKUP(Draft!I4, 'Final Update'!A4:L1000,8,FALSE)+(IF(ISBLANK(Draft!J13),0,VLOOKUP(Draft!J13, 'Final Update'!A4:L1000,8,FALSE)+(IF(ISBLANK(Draft!K4),0,VLOOKUP(Draft!K4, 'Final Update'!A4:L1000,8,FALSE)+(IF(ISBLANK(Draft!L13),0,VLOOKUP(Draft!L13, 'Final Update'!A4:L1000,8,FALSE)+(IF(ISBLANK(Draft!M4),0,VLOOKUP(Draft!M4, 'Final Update'!A4:L1000,8,FALSE)+IF(ISBLANK(Draft!N13),0,VLOOKUP(Draft!N13, 'Final Update'!A4:L1000,8,FALSE)+IF(ISBLANK(Draft!O4),0,VLOOKUP(Draft!O4, 'Final Update'!A4:L1000,8,FALSE))))))))))))))))))))))))</f>
        <v>#N/A</v>
      </c>
      <c r="K15" s="423" t="str">
        <f>((IF(ISBLANK(Draft!D13),0,VLOOKUP(Draft!D13, 'Final Update'!A4:L1000,10,FALSE)+(IF(ISBLANK(Draft!E4),0,VLOOKUP(Draft!E4, 'Final Update'!A4:L1000,10,FALSE)+(IF(ISBLANK(Draft!F13),0,VLOOKUP(Draft!F13, 'Final Update'!A4:L1000,10,FALSE)+(IF(ISBLANK(Draft!G4),0,VLOOKUP(Draft!G4, 'Final Update'!A4:L1000,10,FALSE)+(IF(ISBLANK(Draft!H13),0,VLOOKUP(Draft!H13, 'Final Update'!A4:L1000,10,FALSE)+(IF(ISBLANK(Draft!I4),0,VLOOKUP(Draft!I4, 'Final Update'!A4:L1000,10,FALSE)+(IF(ISBLANK(Draft!J13),0,VLOOKUP(Draft!J13, 'Final Update'!A4:L1000,10,FALSE)+(IF(ISBLANK(Draft!K4),0,VLOOKUP(Draft!K4, 'Final Update'!A4:L1000,10,FALSE)+(IF(ISBLANK(Draft!L13),0,VLOOKUP(Draft!L13, 'Final Update'!A4:L1000,10,FALSE)+(IF(ISBLANK(Draft!M4),0,VLOOKUP(Draft!M4, 'Final Update'!A4:L1000,10,FALSE)+IF(ISBLANK(Draft!N13),0,VLOOKUP(Draft!N13, 'Final Update'!A4:L1000,10,FALSE)+IF(ISBLANK(Draft!O4),0,VLOOKUP(Draft!O4, 'Final Update'!A4:L1000,10,FALSE))))))))))))))))))))))))</f>
        <v>#N/A</v>
      </c>
      <c r="L15" s="423" t="str">
        <f>((IF(ISBLANK(Draft!D13),0,VLOOKUP(Draft!D13, 'Final Update'!A4:L1000,12,FALSE)+(IF(ISBLANK(Draft!E4),0,VLOOKUP(Draft!E4, 'Final Update'!A4:L1000,12,FALSE)+(IF(ISBLANK(Draft!F13),0,VLOOKUP(Draft!F13, 'Final Update'!A4:L1000,12,FALSE)+(IF(ISBLANK(Draft!G4),0,VLOOKUP(Draft!G4, 'Final Update'!A4:L1000,12,FALSE)+(IF(ISBLANK(Draft!H13),0,VLOOKUP(Draft!H13, 'Final Update'!A4:L1000,12,FALSE)+(IF(ISBLANK(Draft!I4),0,VLOOKUP(Draft!I4, 'Final Update'!A4:L1000,12,FALSE)+(IF(ISBLANK(Draft!J13),0,VLOOKUP(Draft!J13, 'Final Update'!A4:L1000,12,FALSE)+(IF(ISBLANK(Draft!K4),0,VLOOKUP(Draft!K4, 'Final Update'!A4:L1000,12,FALSE)+(IF(ISBLANK(Draft!L13),0,VLOOKUP(Draft!L13, 'Final Update'!A4:L1000,12,FALSE)+(IF(ISBLANK(Draft!M4),0,VLOOKUP(Draft!M4, 'Final Update'!A4:L1000,12,FALSE)+IF(ISBLANK(Draft!N13),0,VLOOKUP(Draft!N13, 'Final Update'!A4:L1000,12,FALSE)+IF(ISBLANK(Draft!O4),0,VLOOKUP(Draft!O4, 'Final Update'!A4:L1000,12,FALSE))))))))))))))))))))))))</f>
        <v>#N/A</v>
      </c>
      <c r="M15" s="442">
        <f t="array" ref="M15">if(M$3=$C15,"-", countif(indirect(address(row($C$4)+ VLOOKUP(M$3,$C$5:$C$16,1),COLUMN($D$4))):indirect(address(row($C$4)+ VLOOKUP(M$3,$C$5:$C$16,1),COLUMN($L$4)))&gt;indirect(address(row($C15),COLUMN($D$4))):indirect(address(row($C15),COLUMN($L$4))),TRUE()))</f>
        <v>0</v>
      </c>
      <c r="N15" s="442">
        <f t="array" ref="N15">if(N$3=$C15,"-", countif(indirect(address(row($C$4)+ VLOOKUP(N$3,$C$5:$C$16,1),COLUMN($D$4))):indirect(address(row($C$4)+ VLOOKUP(N$3,$C$5:$C$16,1),COLUMN($L$4)))&gt;indirect(address(row($C15),COLUMN($D$4))):indirect(address(row($C15),COLUMN($L$4))),TRUE()))</f>
        <v>0</v>
      </c>
      <c r="O15" s="442">
        <f t="array" ref="O15">if(O$3=$C15,"-", countif(indirect(address(row($C$4)+ VLOOKUP(O$3,$C$5:$C$16,1),COLUMN($D$4))):indirect(address(row($C$4)+ VLOOKUP(O$3,$C$5:$C$16,1),COLUMN($L$4)))&gt;indirect(address(row($C15),COLUMN($D$4))):indirect(address(row($C15),COLUMN($L$4))),TRUE()))</f>
        <v>0</v>
      </c>
      <c r="P15" s="442">
        <f t="array" ref="P15">if(P$3=$C15,"-", countif(indirect(address(row($C$4)+ VLOOKUP(P$3,$C$5:$C$16,1),COLUMN($D$4))):indirect(address(row($C$4)+ VLOOKUP(P$3,$C$5:$C$16,1),COLUMN($L$4)))&gt;indirect(address(row($C15),COLUMN($D$4))):indirect(address(row($C15),COLUMN($L$4))),TRUE()))</f>
        <v>0</v>
      </c>
      <c r="Q15" s="442">
        <f t="array" ref="Q15">if(Q$3=$C15,"-", countif(indirect(address(row($C$4)+ VLOOKUP(Q$3,$C$5:$C$16,1),COLUMN($D$4))):indirect(address(row($C$4)+ VLOOKUP(Q$3,$C$5:$C$16,1),COLUMN($L$4)))&gt;indirect(address(row($C15),COLUMN($D$4))):indirect(address(row($C15),COLUMN($L$4))),TRUE()))</f>
        <v>0</v>
      </c>
      <c r="R15" s="442">
        <f t="array" ref="R15">if(R$3=$C15,"-", countif(indirect(address(row($C$4)+ VLOOKUP(R$3,$C$5:$C$16,1),COLUMN($D$4))):indirect(address(row($C$4)+ VLOOKUP(R$3,$C$5:$C$16,1),COLUMN($L$4)))&gt;indirect(address(row($C15),COLUMN($D$4))):indirect(address(row($C15),COLUMN($L$4))),TRUE()))</f>
        <v>0</v>
      </c>
      <c r="S15" s="442">
        <f t="array" ref="S15">if(S$3=$C15,"-", countif(indirect(address(row($C$4)+ VLOOKUP(S$3,$C$5:$C$16,1),COLUMN($D$4))):indirect(address(row($C$4)+ VLOOKUP(S$3,$C$5:$C$16,1),COLUMN($L$4)))&gt;indirect(address(row($C15),COLUMN($D$4))):indirect(address(row($C15),COLUMN($L$4))),TRUE()))</f>
        <v>0</v>
      </c>
      <c r="T15" s="442">
        <f t="array" ref="T15">if(T$3=$C15,"-", countif(indirect(address(row($C$4)+ VLOOKUP(T$3,$C$5:$C$16,1),COLUMN($D$4))):indirect(address(row($C$4)+ VLOOKUP(T$3,$C$5:$C$16,1),COLUMN($L$4)))&gt;indirect(address(row($C15),COLUMN($D$4))):indirect(address(row($C15),COLUMN($L$4))),TRUE()))</f>
        <v>0</v>
      </c>
      <c r="U15" s="442">
        <f t="array" ref="U15">if(U$3=$C15,"-", countif(indirect(address(row($C$4)+ VLOOKUP(U$3,$C$5:$C$16,1),COLUMN($D$4))):indirect(address(row($C$4)+ VLOOKUP(U$3,$C$5:$C$16,1),COLUMN($L$4)))&gt;indirect(address(row($C15),COLUMN($D$4))):indirect(address(row($C15),COLUMN($L$4))),TRUE()))</f>
        <v>0</v>
      </c>
      <c r="V15" s="442">
        <f t="array" ref="V15">if(V$3=$C15,"-", countif(indirect(address(row($C$4)+ VLOOKUP(V$3,$C$5:$C$16,1),COLUMN($D$4))):indirect(address(row($C$4)+ VLOOKUP(V$3,$C$5:$C$16,1),COLUMN($L$4)))&gt;indirect(address(row($C15),COLUMN($D$4))):indirect(address(row($C15),COLUMN($L$4))),TRUE()))</f>
        <v>0</v>
      </c>
      <c r="W15" s="442">
        <f t="array" ref="W15">if(W$3=$C15,"-", countif(indirect(address(row($C$4)+ VLOOKUP(W$3,$C$5:$C$16,1),COLUMN($D$4))):indirect(address(row($C$4)+ VLOOKUP(W$3,$C$5:$C$16,1),COLUMN($L$4)))&gt;indirect(address(row($C15),COLUMN($D$4))):indirect(address(row($C15),COLUMN($L$4))),TRUE()))</f>
        <v>0</v>
      </c>
      <c r="X15" s="442">
        <f t="array" ref="X15">if(X$3=$C15,"-", countif(indirect(address(row($C$4)+ VLOOKUP(X$3,$C$5:$C$16,1),COLUMN($D$4))):indirect(address(row($C$4)+ VLOOKUP(X$3,$C$5:$C$16,1),COLUMN($L$4)))&gt;indirect(address(row($C15),COLUMN($D$4))):indirect(address(row($C15),COLUMN($L$4))),TRUE()))</f>
        <v>0</v>
      </c>
      <c r="Y15" s="442">
        <f t="array" ref="Y15">if(D$1=$C15,"-", countif(indirect(address(row($C$4)+ VLOOKUP(D$1,$C$5:$C$16,1),COLUMN($D$4))):indirect(address(row($C$4)+ VLOOKUP(D$1,$C$5:$C$16,1),COLUMN($L$4)))&gt;indirect(address(row($C15),COLUMN($D$4))):indirect(address(row($C15),COLUMN($L$4))),TRUE()))</f>
        <v>0</v>
      </c>
      <c r="Z15" s="443">
        <f>SUM(W$5:W$16)/99</f>
        <v>0</v>
      </c>
    </row>
    <row r="16">
      <c r="B16" s="441" t="b">
        <f>Draft!C14</f>
        <v>0</v>
      </c>
      <c r="C16" s="427">
        <v>12.0</v>
      </c>
      <c r="D16" s="423" t="str">
        <f>((IF(ISBLANK(Draft!D14),0,VLOOKUP(Draft!D14, 'Final Update'!A4:L1000,2,FALSE)+(IF(ISBLANK(Draft!E3),0,VLOOKUP(Draft!E3, 'Final Update'!A4:L1000,2,FALSE)+(IF(ISBLANK(Draft!F14),0,VLOOKUP(Draft!F14, 'Final Update'!A4:L1000,2,FALSE)+(IF(ISBLANK(Draft!G3),0,VLOOKUP(Draft!G3, 'Final Update'!A4:L1000,2,FALSE)+(IF(ISBLANK(Draft!H14),0,VLOOKUP(Draft!H14, 'Final Update'!A4:L1000,2,FALSE)+(IF(ISBLANK(Draft!I3),0,VLOOKUP(Draft!I3, 'Final Update'!A4:L1000,2,FALSE)+(IF(ISBLANK(Draft!J14),0,VLOOKUP(Draft!J14, 'Final Update'!A4:L1000,2,FALSE)+(IF(ISBLANK(Draft!K3),0,VLOOKUP(Draft!K3, 'Final Update'!A4:L1000,2,FALSE)+(IF(ISBLANK(Draft!L14),0,VLOOKUP(Draft!L14, 'Final Update'!A4:L1000,2,FALSE)+(IF(ISBLANK(Draft!M3),0,VLOOKUP(Draft!M3, 'Final Update'!A4:L1000,2,FALSE)+IF(ISBLANK(Draft!N14),0,VLOOKUP(Draft!N14, 'Final Update'!A4:L1000,2,FALSE)+IF(ISBLANK(Draft!O3),0,VLOOKUP(Draft!O3, 'Final Update'!A4:L1000,2,FALSE))))))))))))))))))))))))</f>
        <v>#N/A</v>
      </c>
      <c r="E16" s="423" t="str">
        <f>((IF(ISBLANK(Draft!D14),0,VLOOKUP(Draft!D14, 'Final Update'!A4:L1000,3,FALSE)+(IF(ISBLANK(Draft!E3),0,VLOOKUP(Draft!E3, 'Final Update'!A4:L1000,3,FALSE)+(IF(ISBLANK(Draft!F14),0,VLOOKUP(Draft!F14, 'Final Update'!A4:L1000,3,FALSE)+(IF(ISBLANK(Draft!G3),0,VLOOKUP(Draft!G3, 'Final Update'!A4:L1000,3,FALSE)+(IF(ISBLANK(Draft!H14),0,VLOOKUP(Draft!H14, 'Final Update'!A4:L1000,3,FALSE)+(IF(ISBLANK(Draft!I3),0,VLOOKUP(Draft!I3, 'Final Update'!A4:L1000,3,FALSE)+(IF(ISBLANK(Draft!J14),0,VLOOKUP(Draft!J14, 'Final Update'!A4:L1000,3,FALSE)+(IF(ISBLANK(Draft!K3),0,VLOOKUP(Draft!K3, 'Final Update'!A4:L1000,3,FALSE)+(IF(ISBLANK(Draft!L14),0,VLOOKUP(Draft!L14, 'Final Update'!A4:L1000,3,FALSE)+(IF(ISBLANK(Draft!M3),0,VLOOKUP(Draft!M3, 'Final Update'!A4:L1000,3,FALSE)+IF(ISBLANK(Draft!N14),0,VLOOKUP(Draft!N14, 'Final Update'!A4:L1000,3,FALSE)+IF(ISBLANK(Draft!O3),0,VLOOKUP(Draft!O3, 'Final Update'!A4:L1000,3,FALSE))))))))))))))))))))))))</f>
        <v>#N/A</v>
      </c>
      <c r="F16" s="423" t="str">
        <f>((IF(ISBLANK(Draft!D14),0,VLOOKUP(Draft!D14, 'Final Update'!A4:L1000,4,FALSE)+(IF(ISBLANK(Draft!E3),0,VLOOKUP(Draft!E3, 'Final Update'!A4:L1000,4,FALSE)+(IF(ISBLANK(Draft!F14),0,VLOOKUP(Draft!F14, 'Final Update'!A4:L1000,4,FALSE)+(IF(ISBLANK(Draft!G3),0,VLOOKUP(Draft!G3, 'Final Update'!A4:L1000,4,FALSE)+(IF(ISBLANK(Draft!H14),0,VLOOKUP(Draft!H14, 'Final Update'!A4:L1000,4,FALSE)+(IF(ISBLANK(Draft!I3),0,VLOOKUP(Draft!I3, 'Final Update'!A4:L1000,4,FALSE)+(IF(ISBLANK(Draft!J14),0,VLOOKUP(Draft!J14, 'Final Update'!A4:L1000,4,FALSE)+(IF(ISBLANK(Draft!K3),0,VLOOKUP(Draft!K3, 'Final Update'!A4:L1000,4,FALSE)+(IF(ISBLANK(Draft!L14),0,VLOOKUP(Draft!L14, 'Final Update'!A4:L1000,4,FALSE)+(IF(ISBLANK(Draft!M3),0,VLOOKUP(Draft!M3, 'Final Update'!A4:L1000,4,FALSE)+IF(ISBLANK(Draft!N14),0,VLOOKUP(Draft!N14, 'Final Update'!A4:L1000,4,FALSE)+IF(ISBLANK(Draft!O3),0,VLOOKUP(Draft!O3, 'Final Update'!A4:L1000,4,FALSE))))))))))))))))))))))))</f>
        <v>#N/A</v>
      </c>
      <c r="G16" s="423" t="str">
        <f>((IF(ISBLANK(Draft!D14),0,VLOOKUP(Draft!D14, 'Final Update'!A4:L1000,5,FALSE)+(IF(ISBLANK(Draft!E3),0,VLOOKUP(Draft!E3, 'Final Update'!A4:L1000,5,FALSE)+(IF(ISBLANK(Draft!F14),0,VLOOKUP(Draft!F14, 'Final Update'!A4:L1000,5,FALSE)+(IF(ISBLANK(Draft!G3),0,VLOOKUP(Draft!G3, 'Final Update'!A4:L1000,5,FALSE)+(IF(ISBLANK(Draft!H14),0,VLOOKUP(Draft!H14, 'Final Update'!A4:L1000,5,FALSE)+(IF(ISBLANK(Draft!I3),0,VLOOKUP(Draft!I3, 'Final Update'!A4:L1000,5,FALSE)+(IF(ISBLANK(Draft!J14),0,VLOOKUP(Draft!J14, 'Final Update'!A4:L1000,5,FALSE)+(IF(ISBLANK(Draft!K3),0,VLOOKUP(Draft!K3, 'Final Update'!A4:L1000,5,FALSE)+(IF(ISBLANK(Draft!L14),0,VLOOKUP(Draft!L14, 'Final Update'!A4:L1000,5,FALSE)+(IF(ISBLANK(Draft!M3),0,VLOOKUP(Draft!M3, 'Final Update'!A4:L1000,5,FALSE)+IF(ISBLANK(Draft!N14),0,VLOOKUP(Draft!N14, 'Final Update'!A4:L1000,5,FALSE)+IF(ISBLANK(Draft!O3),0,VLOOKUP(Draft!O3, 'Final Update'!A4:L1000,5,FALSE))))))))))))))))))))))))</f>
        <v>#N/A</v>
      </c>
      <c r="H16" s="423" t="str">
        <f>((IF(ISBLANK(Draft!D14),0,VLOOKUP(Draft!D14, 'Final Update'!A4:L1000,6,FALSE)+(IF(ISBLANK(Draft!E3),0,VLOOKUP(Draft!E3, 'Final Update'!A4:L1000,6,FALSE)+(IF(ISBLANK(Draft!F14),0,VLOOKUP(Draft!F14, 'Final Update'!A4:L1000,6,FALSE)+(IF(ISBLANK(Draft!G3),0,VLOOKUP(Draft!G3, 'Final Update'!A4:L1000,6,FALSE)+(IF(ISBLANK(Draft!H14),0,VLOOKUP(Draft!H14, 'Final Update'!A4:L1000,6,FALSE)+(IF(ISBLANK(Draft!I3),0,VLOOKUP(Draft!I3, 'Final Update'!A4:L1000,6,FALSE)+(IF(ISBLANK(Draft!J14),0,VLOOKUP(Draft!J14, 'Final Update'!A4:L1000,6,FALSE)+(IF(ISBLANK(Draft!K3),0,VLOOKUP(Draft!K3, 'Final Update'!A4:L1000,6,FALSE)+(IF(ISBLANK(Draft!L14),0,VLOOKUP(Draft!L14, 'Final Update'!A4:L1000,6,FALSE)+(IF(ISBLANK(Draft!M3),0,VLOOKUP(Draft!M3, 'Final Update'!A4:L1000,6,FALSE)+IF(ISBLANK(Draft!N14),0,VLOOKUP(Draft!N14, 'Final Update'!A4:L1000,6,FALSE)+IF(ISBLANK(Draft!O3),0,VLOOKUP(Draft!O3, 'Final Update'!A4:L1000,6,FALSE))))))))))))))))))))))))</f>
        <v>#N/A</v>
      </c>
      <c r="I16" s="423" t="str">
        <f>((IF(ISBLANK(Draft!D14),0,VLOOKUP(Draft!D14, 'Final Update'!A4:L1000,7,FALSE)+(IF(ISBLANK(Draft!E3),0,VLOOKUP(Draft!E3, 'Final Update'!A4:L1000,7,FALSE)+(IF(ISBLANK(Draft!F14),0,VLOOKUP(Draft!F14, 'Final Update'!A4:L1000,7,FALSE)+(IF(ISBLANK(Draft!G3),0,VLOOKUP(Draft!G3, 'Final Update'!A4:L1000,7,FALSE)+(IF(ISBLANK(Draft!H14),0,VLOOKUP(Draft!H14, 'Final Update'!A4:L1000,7,FALSE)+(IF(ISBLANK(Draft!I3),0,VLOOKUP(Draft!I3, 'Final Update'!A4:L1000,7,FALSE)+(IF(ISBLANK(Draft!J14),0,VLOOKUP(Draft!J14, 'Final Update'!A4:L1000,7,FALSE)+(IF(ISBLANK(Draft!K3),0,VLOOKUP(Draft!K3, 'Final Update'!A4:L1000,7,FALSE)+(IF(ISBLANK(Draft!L14),0,VLOOKUP(Draft!L14, 'Final Update'!A4:L1000,7,FALSE)+(IF(ISBLANK(Draft!M3),0,VLOOKUP(Draft!M3, 'Final Update'!A4:L1000,7,FALSE)+IF(ISBLANK(Draft!N14),0,VLOOKUP(Draft!N14, 'Final Update'!A4:L1000,7,FALSE)+IF(ISBLANK(Draft!O3),0,VLOOKUP(Draft!O3, 'Final Update'!A4:L1000,7,FALSE))))))))))))))))))))))))</f>
        <v>#N/A</v>
      </c>
      <c r="J16" s="423" t="str">
        <f>((IF(ISBLANK(Draft!D14),0,VLOOKUP(Draft!D14, 'Final Update'!A4:L1000,8,FALSE)+(IF(ISBLANK(Draft!E3),0,VLOOKUP(Draft!E3, 'Final Update'!A4:L1000,8,FALSE)+(IF(ISBLANK(Draft!F14),0,VLOOKUP(Draft!F14, 'Final Update'!A4:L1000,8,FALSE)+(IF(ISBLANK(Draft!G3),0,VLOOKUP(Draft!G3, 'Final Update'!A4:L1000,8,FALSE)+(IF(ISBLANK(Draft!H14),0,VLOOKUP(Draft!H14, 'Final Update'!A4:L1000,8,FALSE)+(IF(ISBLANK(Draft!I3),0,VLOOKUP(Draft!I3, 'Final Update'!A4:L1000,8,FALSE)+(IF(ISBLANK(Draft!J14),0,VLOOKUP(Draft!J14, 'Final Update'!A4:L1000,8,FALSE)+(IF(ISBLANK(Draft!K3),0,VLOOKUP(Draft!K3, 'Final Update'!A4:L1000,8,FALSE)+(IF(ISBLANK(Draft!L14),0,VLOOKUP(Draft!L14, 'Final Update'!A4:L1000,8,FALSE)+(IF(ISBLANK(Draft!M3),0,VLOOKUP(Draft!M3, 'Final Update'!A4:L1000,8,FALSE)+IF(ISBLANK(Draft!N14),0,VLOOKUP(Draft!N14, 'Final Update'!A4:L1000,8,FALSE)+IF(ISBLANK(Draft!O3),0,VLOOKUP(Draft!O3, 'Final Update'!A4:L1000,8,FALSE))))))))))))))))))))))))</f>
        <v>#N/A</v>
      </c>
      <c r="K16" s="423" t="str">
        <f>((IF(ISBLANK(Draft!D14),0,VLOOKUP(Draft!D14, 'Final Update'!A4:L1000,10,FALSE)+(IF(ISBLANK(Draft!E3),0,VLOOKUP(Draft!E3, 'Final Update'!A4:L1000,10,FALSE)+(IF(ISBLANK(Draft!F14),0,VLOOKUP(Draft!F14, 'Final Update'!A4:L1000,10,FALSE)+(IF(ISBLANK(Draft!G3),0,VLOOKUP(Draft!G3, 'Final Update'!A4:L1000,10,FALSE)+(IF(ISBLANK(Draft!H14),0,VLOOKUP(Draft!H14, 'Final Update'!A4:L1000,10,FALSE)+(IF(ISBLANK(Draft!I3),0,VLOOKUP(Draft!I3, 'Final Update'!A4:L1000,10,FALSE)+(IF(ISBLANK(Draft!J14),0,VLOOKUP(Draft!J14, 'Final Update'!A4:L1000,10,FALSE)+(IF(ISBLANK(Draft!K3),0,VLOOKUP(Draft!K3, 'Final Update'!A4:L1000,10,FALSE)+(IF(ISBLANK(Draft!L14),0,VLOOKUP(Draft!L14, 'Final Update'!A4:L1000,10,FALSE)+(IF(ISBLANK(Draft!M3),0,VLOOKUP(Draft!M3, 'Final Update'!A4:L1000,10,FALSE)+IF(ISBLANK(Draft!N14),0,VLOOKUP(Draft!N14, 'Final Update'!A4:L1000,10,FALSE)+IF(ISBLANK(Draft!O3),0,VLOOKUP(Draft!O3, 'Final Update'!A4:L1000,10,FALSE))))))))))))))))))))))))</f>
        <v>#N/A</v>
      </c>
      <c r="L16" s="423" t="str">
        <f>((IF(ISBLANK(Draft!D14),0,VLOOKUP(Draft!D14, 'Final Update'!A4:L1000,12,FALSE)+(IF(ISBLANK(Draft!E3),0,VLOOKUP(Draft!E3, 'Final Update'!A4:L1000,12,FALSE)+(IF(ISBLANK(Draft!F14),0,VLOOKUP(Draft!F14, 'Final Update'!A4:L1000,12,FALSE)+(IF(ISBLANK(Draft!G3),0,VLOOKUP(Draft!G3, 'Final Update'!A4:L1000,12,FALSE)+(IF(ISBLANK(Draft!H14),0,VLOOKUP(Draft!H14, 'Final Update'!A4:L1000,12,FALSE)+(IF(ISBLANK(Draft!I3),0,VLOOKUP(Draft!I3, 'Final Update'!A4:L1000,12,FALSE)+(IF(ISBLANK(Draft!J14),0,VLOOKUP(Draft!J14, 'Final Update'!A4:L1000,12,FALSE)+(IF(ISBLANK(Draft!K3),0,VLOOKUP(Draft!K3, 'Final Update'!A4:L1000,12,FALSE)+(IF(ISBLANK(Draft!L14),0,VLOOKUP(Draft!L14, 'Final Update'!A4:L1000,12,FALSE)+(IF(ISBLANK(Draft!M3),0,VLOOKUP(Draft!M3, 'Final Update'!A4:L1000,12,FALSE)+IF(ISBLANK(Draft!N14),0,VLOOKUP(Draft!N14, 'Final Update'!A4:L1000,12,FALSE)+IF(ISBLANK(Draft!O3),0,VLOOKUP(Draft!O3, 'Final Update'!A4:L1000,12,FALSE))))))))))))))))))))))))</f>
        <v>#N/A</v>
      </c>
      <c r="M16" s="442">
        <f t="array" ref="M16">if(M$3=$C16,"-", countif(indirect(address(row($C$4)+ VLOOKUP(M$3,$C$5:$C$16,1),COLUMN($D$4))):indirect(address(row($C$4)+ VLOOKUP(M$3,$C$5:$C$16,1),COLUMN($L$4)))&gt;indirect(address(row($C16),COLUMN($D$4))):indirect(address(row($C16),COLUMN($L$4))),TRUE()))</f>
        <v>0</v>
      </c>
      <c r="N16" s="442">
        <f t="array" ref="N16">if(N$3=$C16,"-", countif(indirect(address(row($C$4)+ VLOOKUP(N$3,$C$5:$C$16,1),COLUMN($D$4))):indirect(address(row($C$4)+ VLOOKUP(N$3,$C$5:$C$16,1),COLUMN($L$4)))&gt;indirect(address(row($C16),COLUMN($D$4))):indirect(address(row($C16),COLUMN($L$4))),TRUE()))</f>
        <v>0</v>
      </c>
      <c r="O16" s="442">
        <f t="array" ref="O16">if(O$3=$C16,"-", countif(indirect(address(row($C$4)+ VLOOKUP(O$3,$C$5:$C$16,1),COLUMN($D$4))):indirect(address(row($C$4)+ VLOOKUP(O$3,$C$5:$C$16,1),COLUMN($L$4)))&gt;indirect(address(row($C16),COLUMN($D$4))):indirect(address(row($C16),COLUMN($L$4))),TRUE()))</f>
        <v>0</v>
      </c>
      <c r="P16" s="442">
        <f t="array" ref="P16">if(P$3=$C16,"-", countif(indirect(address(row($C$4)+ VLOOKUP(P$3,$C$5:$C$16,1),COLUMN($D$4))):indirect(address(row($C$4)+ VLOOKUP(P$3,$C$5:$C$16,1),COLUMN($L$4)))&gt;indirect(address(row($C16),COLUMN($D$4))):indirect(address(row($C16),COLUMN($L$4))),TRUE()))</f>
        <v>0</v>
      </c>
      <c r="Q16" s="442">
        <f t="array" ref="Q16">if(Q$3=$C16,"-", countif(indirect(address(row($C$4)+ VLOOKUP(Q$3,$C$5:$C$16,1),COLUMN($D$4))):indirect(address(row($C$4)+ VLOOKUP(Q$3,$C$5:$C$16,1),COLUMN($L$4)))&gt;indirect(address(row($C16),COLUMN($D$4))):indirect(address(row($C16),COLUMN($L$4))),TRUE()))</f>
        <v>0</v>
      </c>
      <c r="R16" s="442">
        <f t="array" ref="R16">if(R$3=$C16,"-", countif(indirect(address(row($C$4)+ VLOOKUP(R$3,$C$5:$C$16,1),COLUMN($D$4))):indirect(address(row($C$4)+ VLOOKUP(R$3,$C$5:$C$16,1),COLUMN($L$4)))&gt;indirect(address(row($C16),COLUMN($D$4))):indirect(address(row($C16),COLUMN($L$4))),TRUE()))</f>
        <v>0</v>
      </c>
      <c r="S16" s="442">
        <f t="array" ref="S16">if(S$3=$C16,"-", countif(indirect(address(row($C$4)+ VLOOKUP(S$3,$C$5:$C$16,1),COLUMN($D$4))):indirect(address(row($C$4)+ VLOOKUP(S$3,$C$5:$C$16,1),COLUMN($L$4)))&gt;indirect(address(row($C16),COLUMN($D$4))):indirect(address(row($C16),COLUMN($L$4))),TRUE()))</f>
        <v>0</v>
      </c>
      <c r="T16" s="442">
        <f t="array" ref="T16">if(T$3=$C16,"-", countif(indirect(address(row($C$4)+ VLOOKUP(T$3,$C$5:$C$16,1),COLUMN($D$4))):indirect(address(row($C$4)+ VLOOKUP(T$3,$C$5:$C$16,1),COLUMN($L$4)))&gt;indirect(address(row($C16),COLUMN($D$4))):indirect(address(row($C16),COLUMN($L$4))),TRUE()))</f>
        <v>0</v>
      </c>
      <c r="U16" s="442">
        <f t="array" ref="U16">if(U$3=$C16,"-", countif(indirect(address(row($C$4)+ VLOOKUP(U$3,$C$5:$C$16,1),COLUMN($D$4))):indirect(address(row($C$4)+ VLOOKUP(U$3,$C$5:$C$16,1),COLUMN($L$4)))&gt;indirect(address(row($C16),COLUMN($D$4))):indirect(address(row($C16),COLUMN($L$4))),TRUE()))</f>
        <v>0</v>
      </c>
      <c r="V16" s="442">
        <f t="array" ref="V16">if(V$3=$C16,"-", countif(indirect(address(row($C$4)+ VLOOKUP(V$3,$C$5:$C$16,1),COLUMN($D$4))):indirect(address(row($C$4)+ VLOOKUP(V$3,$C$5:$C$16,1),COLUMN($L$4)))&gt;indirect(address(row($C16),COLUMN($D$4))):indirect(address(row($C16),COLUMN($L$4))),TRUE()))</f>
        <v>0</v>
      </c>
      <c r="W16" s="442">
        <f t="array" ref="W16">if(W$3=$C16,"-", countif(indirect(address(row($C$4)+ VLOOKUP(W$3,$C$5:$C$16,1),COLUMN($D$4))):indirect(address(row($C$4)+ VLOOKUP(W$3,$C$5:$C$16,1),COLUMN($L$4)))&gt;indirect(address(row($C16),COLUMN($D$4))):indirect(address(row($C16),COLUMN($L$4))),TRUE()))</f>
        <v>0</v>
      </c>
      <c r="X16" s="442">
        <f t="array" ref="X16">if(X$3=$C16,"-", countif(indirect(address(row($C$4)+ VLOOKUP(X$3,$C$5:$C$16,1),COLUMN($D$4))):indirect(address(row($C$4)+ VLOOKUP(X$3,$C$5:$C$16,1),COLUMN($L$4)))&gt;indirect(address(row($C16),COLUMN($D$4))):indirect(address(row($C16),COLUMN($L$4))),TRUE()))</f>
        <v>0</v>
      </c>
      <c r="Y16" s="442">
        <f t="array" ref="Y16">if(D$1=$C16,"-", countif(indirect(address(row($C$4)+ VLOOKUP(D$1,$C$5:$C$16,1),COLUMN($D$4))):indirect(address(row($C$4)+ VLOOKUP(D$1,$C$5:$C$16,1),COLUMN($L$4)))&gt;indirect(address(row($C16),COLUMN($D$4))):indirect(address(row($C16),COLUMN($L$4))),TRUE()))</f>
        <v>0</v>
      </c>
      <c r="Z16" s="443">
        <f>SUM(X$5:X$16)/99</f>
        <v>0</v>
      </c>
    </row>
    <row r="19">
      <c r="D19" s="426" t="s">
        <v>13</v>
      </c>
      <c r="E19" s="440" t="s">
        <v>99</v>
      </c>
      <c r="F19" s="426" t="s">
        <v>101</v>
      </c>
      <c r="G19" s="426" t="s">
        <v>15</v>
      </c>
      <c r="H19" s="426" t="s">
        <v>16</v>
      </c>
      <c r="I19" s="426" t="s">
        <v>17</v>
      </c>
      <c r="J19" s="426" t="s">
        <v>9</v>
      </c>
      <c r="K19" s="426" t="s">
        <v>11</v>
      </c>
      <c r="L19" s="426" t="s">
        <v>18</v>
      </c>
    </row>
    <row r="20">
      <c r="C20" s="2" t="s">
        <v>2946</v>
      </c>
    </row>
    <row r="21">
      <c r="C21" s="2"/>
    </row>
    <row r="24">
      <c r="C24" s="2"/>
    </row>
    <row r="25">
      <c r="C25" s="2" t="s">
        <v>253</v>
      </c>
    </row>
    <row r="26">
      <c r="C26" s="2" t="s">
        <v>2947</v>
      </c>
    </row>
    <row r="31">
      <c r="C31" s="2" t="s">
        <v>253</v>
      </c>
    </row>
  </sheetData>
  <conditionalFormatting sqref="D5:L16">
    <cfRule type="cellIs" dxfId="3" priority="1" operator="equal">
      <formula>0</formula>
    </cfRule>
  </conditionalFormatting>
  <conditionalFormatting sqref="D5:L16">
    <cfRule type="colorScale" priority="2">
      <colorScale>
        <cfvo type="min"/>
        <cfvo type="formula" val="0"/>
        <cfvo type="max"/>
        <color rgb="FFFF0000"/>
        <color rgb="FFFFFFFF"/>
        <color rgb="FF00FF00"/>
      </colorScale>
    </cfRule>
  </conditionalFormatting>
  <conditionalFormatting sqref="Z5:Z16">
    <cfRule type="colorScale" priority="3">
      <colorScale>
        <cfvo type="min"/>
        <cfvo type="formula" val="0.5"/>
        <cfvo type="max"/>
        <color rgb="FFFF0000"/>
        <color rgb="FFFFFFFF"/>
        <color rgb="FF00FF00"/>
      </colorScale>
    </cfRule>
  </conditionalFormatting>
  <conditionalFormatting sqref="Y5:Y16">
    <cfRule type="colorScale" priority="4">
      <colorScale>
        <cfvo type="formula" val="2"/>
        <cfvo type="formula" val="4.5"/>
        <cfvo type="formula" val="8"/>
        <color rgb="FFFF0000"/>
        <color rgb="FFFFFFFF"/>
        <color rgb="FF00FF00"/>
      </colorScale>
    </cfRule>
  </conditionalFormatting>
  <dataValidations>
    <dataValidation type="list" allowBlank="1" sqref="C21:C24">
      <formula1>Trades!$C$6:$C$15</formula1>
    </dataValidation>
    <dataValidation type="list" allowBlank="1" sqref="C27:C30">
      <formula1>Trades!$C$7:$C$13</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6" t="s">
        <v>2634</v>
      </c>
      <c r="C1" s="446" t="s">
        <v>2635</v>
      </c>
      <c r="E1" s="447">
        <f>+2.4</f>
        <v>2.4</v>
      </c>
      <c r="F1" s="448">
        <v>99.6</v>
      </c>
      <c r="R1" s="2" t="s">
        <v>85</v>
      </c>
      <c r="S1" s="2" t="s">
        <v>88</v>
      </c>
      <c r="T1" s="2" t="s">
        <v>90</v>
      </c>
      <c r="U1" s="2" t="s">
        <v>92</v>
      </c>
      <c r="V1" s="2" t="s">
        <v>97</v>
      </c>
    </row>
    <row r="2">
      <c r="A2" s="449" t="s">
        <v>2636</v>
      </c>
      <c r="B2" s="450" t="s">
        <v>262</v>
      </c>
      <c r="C2" s="449" t="s">
        <v>2637</v>
      </c>
      <c r="D2" s="451" t="s">
        <v>2638</v>
      </c>
      <c r="E2" s="452">
        <v>68.6</v>
      </c>
      <c r="F2" s="453">
        <f>+3.3</f>
        <v>3.3</v>
      </c>
      <c r="G2" s="452">
        <v>99.6</v>
      </c>
      <c r="R2" t="str">
        <f t="array" ref="R2:R1000">IF(ISNUMBER(SEARCH("PG", B2:B1000)), "PG", "")</f>
        <v/>
      </c>
      <c r="S2" s="417" t="str">
        <f t="array" ref="S2:S1000">IF(ISNUMBER(SEARCH("SG", B2:B1000)), "SG", "")</f>
        <v/>
      </c>
      <c r="T2" t="str">
        <f t="array" ref="T2:T1000">IF(ISNUMBER(SEARCH("SF", B2:B1000)), "SF", "")</f>
        <v/>
      </c>
      <c r="U2" s="417" t="str">
        <f t="array" ref="U2:U1000">IF(ISNUMBER(SEARCH("PF", B2:B1000)), "PF", "")</f>
        <v/>
      </c>
      <c r="V2" t="str">
        <f t="array" ref="V2:V1000">IF(ISNUMBER(SEARCH("C", B2:B1000)), "C", "")</f>
        <v/>
      </c>
      <c r="W2" t="str">
        <f t="shared" ref="W2:W500" si="1">R2&amp;S2&amp;T2&amp;U2&amp;V2</f>
        <v/>
      </c>
    </row>
    <row r="3">
      <c r="A3" s="454">
        <v>1.0</v>
      </c>
      <c r="B3" s="455" t="s">
        <v>2639</v>
      </c>
      <c r="C3" s="456"/>
      <c r="D3" s="456"/>
      <c r="E3" s="448">
        <v>63.0</v>
      </c>
      <c r="F3" s="447">
        <f>+0.3</f>
        <v>0.3</v>
      </c>
      <c r="G3" s="448">
        <v>99.6</v>
      </c>
      <c r="O3" t="str">
        <f>IFERROR(__xludf.DUMMYFUNCTION("regexextract(B3,""[\w]* [\w]*"")"),"Nikola Jokic")</f>
        <v>Nikola Jokic</v>
      </c>
      <c r="P3" t="str">
        <f t="shared" ref="P3:P500" si="2">SUBSTITUTE(O3,"DTD","")</f>
        <v>Nikola Jokic</v>
      </c>
      <c r="Q3" t="str">
        <f t="shared" ref="Q3:Q500" si="3">IF(RIGHT(P3,1)="O", LEFT(P3, LEN(P3)-1),P3)</f>
        <v>Nikola Jokic</v>
      </c>
      <c r="R3" t="s">
        <v>2640</v>
      </c>
      <c r="S3" s="417" t="s">
        <v>2640</v>
      </c>
      <c r="T3" t="s">
        <v>2640</v>
      </c>
      <c r="U3" t="s">
        <v>2640</v>
      </c>
      <c r="V3" t="s">
        <v>97</v>
      </c>
      <c r="W3" t="str">
        <f t="shared" si="1"/>
        <v>C</v>
      </c>
    </row>
    <row r="4">
      <c r="A4" s="457">
        <v>2.0</v>
      </c>
      <c r="B4" s="458" t="s">
        <v>2641</v>
      </c>
      <c r="C4" s="459"/>
      <c r="D4" s="460"/>
      <c r="E4" s="452">
        <v>66.6</v>
      </c>
      <c r="F4" s="453">
        <f>+1.8</f>
        <v>1.8</v>
      </c>
      <c r="G4" s="452">
        <v>99.6</v>
      </c>
      <c r="O4" t="str">
        <f>IFERROR(__xludf.DUMMYFUNCTION("regexextract(B4,""[\w]* [\w]*"")"),"Giannis AntetokounmpoDTD")</f>
        <v>Giannis AntetokounmpoDTD</v>
      </c>
      <c r="P4" t="str">
        <f t="shared" si="2"/>
        <v>Giannis Antetokounmpo</v>
      </c>
      <c r="Q4" t="str">
        <f t="shared" si="3"/>
        <v>Giannis Antetokounmp</v>
      </c>
      <c r="R4" t="s">
        <v>2640</v>
      </c>
      <c r="S4" s="417" t="s">
        <v>2640</v>
      </c>
      <c r="T4" t="s">
        <v>2640</v>
      </c>
      <c r="U4" t="s">
        <v>92</v>
      </c>
      <c r="V4" t="s">
        <v>2640</v>
      </c>
      <c r="W4" t="str">
        <f t="shared" si="1"/>
        <v>PF</v>
      </c>
    </row>
    <row r="5">
      <c r="A5" s="454">
        <v>3.0</v>
      </c>
      <c r="B5" s="455" t="s">
        <v>2642</v>
      </c>
      <c r="C5" s="456"/>
      <c r="D5" s="456"/>
      <c r="E5" s="448">
        <v>62.3</v>
      </c>
      <c r="F5" s="447">
        <f>+0.2</f>
        <v>0.2</v>
      </c>
      <c r="G5" s="448">
        <v>99.6</v>
      </c>
      <c r="O5" t="str">
        <f>IFERROR(__xludf.DUMMYFUNCTION("regexextract(B5,""[\w]* [\w]*"")"),"Luka Doncic")</f>
        <v>Luka Doncic</v>
      </c>
      <c r="P5" t="str">
        <f t="shared" si="2"/>
        <v>Luka Doncic</v>
      </c>
      <c r="Q5" t="str">
        <f t="shared" si="3"/>
        <v>Luka Doncic</v>
      </c>
      <c r="R5" t="s">
        <v>85</v>
      </c>
      <c r="S5" s="417" t="s">
        <v>2640</v>
      </c>
      <c r="T5" t="s">
        <v>2640</v>
      </c>
      <c r="U5" t="s">
        <v>2640</v>
      </c>
      <c r="V5" t="s">
        <v>97</v>
      </c>
      <c r="W5" t="str">
        <f t="shared" si="1"/>
        <v>PGC</v>
      </c>
    </row>
    <row r="6">
      <c r="A6" s="457">
        <v>4.0</v>
      </c>
      <c r="B6" s="458" t="s">
        <v>2643</v>
      </c>
      <c r="C6" s="459"/>
      <c r="D6" s="459"/>
      <c r="E6" s="452">
        <v>61.8</v>
      </c>
      <c r="F6" s="453">
        <f>+0.3</f>
        <v>0.3</v>
      </c>
      <c r="G6" s="452">
        <v>99.6</v>
      </c>
      <c r="O6" t="str">
        <f>IFERROR(__xludf.DUMMYFUNCTION("regexextract(B6,""[\w]* [\w]*"")"),"James Harden")</f>
        <v>James Harden</v>
      </c>
      <c r="P6" t="str">
        <f t="shared" si="2"/>
        <v>James Harden</v>
      </c>
      <c r="Q6" t="str">
        <f t="shared" si="3"/>
        <v>James Harden</v>
      </c>
      <c r="R6" t="s">
        <v>85</v>
      </c>
      <c r="S6" s="417" t="s">
        <v>88</v>
      </c>
      <c r="T6" t="s">
        <v>2640</v>
      </c>
      <c r="U6" t="s">
        <v>2640</v>
      </c>
      <c r="V6" t="s">
        <v>2640</v>
      </c>
      <c r="W6" t="str">
        <f t="shared" si="1"/>
        <v>PGSG</v>
      </c>
    </row>
    <row r="7">
      <c r="A7" s="454">
        <v>5.0</v>
      </c>
      <c r="B7" s="455" t="s">
        <v>2644</v>
      </c>
      <c r="C7" s="456"/>
      <c r="D7" s="456"/>
      <c r="E7" s="448">
        <v>62.6</v>
      </c>
      <c r="F7" s="447">
        <f t="shared" ref="F7:F8" si="4">+0.8</f>
        <v>0.8</v>
      </c>
      <c r="G7" s="448">
        <v>99.5</v>
      </c>
      <c r="O7" t="str">
        <f>IFERROR(__xludf.DUMMYFUNCTION("regexextract(B7,""[\w]* [\w]*"")"),"Anthony Towns")</f>
        <v>Anthony Towns</v>
      </c>
      <c r="P7" t="str">
        <f t="shared" si="2"/>
        <v>Anthony Towns</v>
      </c>
      <c r="Q7" t="str">
        <f t="shared" si="3"/>
        <v>Anthony Towns</v>
      </c>
      <c r="R7" t="s">
        <v>2640</v>
      </c>
      <c r="S7" s="417" t="s">
        <v>2640</v>
      </c>
      <c r="T7" t="s">
        <v>2640</v>
      </c>
      <c r="U7" t="s">
        <v>2640</v>
      </c>
      <c r="V7" t="s">
        <v>97</v>
      </c>
      <c r="W7" t="str">
        <f t="shared" si="1"/>
        <v>C</v>
      </c>
    </row>
    <row r="8">
      <c r="A8" s="457">
        <v>6.0</v>
      </c>
      <c r="B8" s="458" t="s">
        <v>2645</v>
      </c>
      <c r="C8" s="459"/>
      <c r="D8" s="460"/>
      <c r="E8" s="452">
        <v>51.1</v>
      </c>
      <c r="F8" s="453">
        <f t="shared" si="4"/>
        <v>0.8</v>
      </c>
      <c r="G8" s="452">
        <v>99.5</v>
      </c>
      <c r="O8" t="str">
        <f>IFERROR(__xludf.DUMMYFUNCTION("regexextract(B8,""[\w]* [\w]*"")"),"Bradley Beal")</f>
        <v>Bradley Beal</v>
      </c>
      <c r="P8" t="str">
        <f t="shared" si="2"/>
        <v>Bradley Beal</v>
      </c>
      <c r="Q8" t="str">
        <f t="shared" si="3"/>
        <v>Bradley Beal</v>
      </c>
      <c r="R8" t="s">
        <v>2640</v>
      </c>
      <c r="S8" s="417" t="s">
        <v>88</v>
      </c>
      <c r="T8" t="s">
        <v>2640</v>
      </c>
      <c r="U8" t="s">
        <v>2640</v>
      </c>
      <c r="V8" t="s">
        <v>2640</v>
      </c>
      <c r="W8" t="str">
        <f t="shared" si="1"/>
        <v>SG</v>
      </c>
    </row>
    <row r="9">
      <c r="A9" s="454">
        <v>7.0</v>
      </c>
      <c r="B9" s="455" t="s">
        <v>2646</v>
      </c>
      <c r="C9" s="456"/>
      <c r="D9" s="456"/>
      <c r="E9" s="448">
        <v>49.3</v>
      </c>
      <c r="F9" s="447">
        <f>+0.1</f>
        <v>0.1</v>
      </c>
      <c r="G9" s="448">
        <v>99.2</v>
      </c>
      <c r="O9" t="str">
        <f>IFERROR(__xludf.DUMMYFUNCTION("regexextract(B9,""[\w]* [\w]*"")"),"Damian Lillard")</f>
        <v>Damian Lillard</v>
      </c>
      <c r="P9" t="str">
        <f t="shared" si="2"/>
        <v>Damian Lillard</v>
      </c>
      <c r="Q9" t="str">
        <f t="shared" si="3"/>
        <v>Damian Lillard</v>
      </c>
      <c r="R9" t="s">
        <v>85</v>
      </c>
      <c r="S9" s="417" t="s">
        <v>2640</v>
      </c>
      <c r="T9" t="s">
        <v>2640</v>
      </c>
      <c r="U9" t="s">
        <v>2640</v>
      </c>
      <c r="V9" t="s">
        <v>2640</v>
      </c>
      <c r="W9" t="str">
        <f t="shared" si="1"/>
        <v>PG</v>
      </c>
    </row>
    <row r="10">
      <c r="A10" s="457">
        <v>8.0</v>
      </c>
      <c r="B10" s="458" t="s">
        <v>2647</v>
      </c>
      <c r="C10" s="459"/>
      <c r="D10" s="460"/>
      <c r="E10" s="452">
        <v>48.7</v>
      </c>
      <c r="F10" s="453">
        <f t="shared" ref="F10:F11" si="5">+0.4</f>
        <v>0.4</v>
      </c>
      <c r="G10" s="452">
        <v>99.6</v>
      </c>
      <c r="O10" t="str">
        <f>IFERROR(__xludf.DUMMYFUNCTION("regexextract(B10,""[\w]* [\w]*"")"),"Paul George")</f>
        <v>Paul George</v>
      </c>
      <c r="P10" t="str">
        <f t="shared" si="2"/>
        <v>Paul George</v>
      </c>
      <c r="Q10" t="str">
        <f t="shared" si="3"/>
        <v>Paul George</v>
      </c>
      <c r="R10" t="s">
        <v>2640</v>
      </c>
      <c r="S10" s="417" t="s">
        <v>88</v>
      </c>
      <c r="T10" t="s">
        <v>90</v>
      </c>
      <c r="U10" t="s">
        <v>2640</v>
      </c>
      <c r="V10" t="s">
        <v>97</v>
      </c>
      <c r="W10" t="str">
        <f t="shared" si="1"/>
        <v>SGSFC</v>
      </c>
    </row>
    <row r="11">
      <c r="A11" s="454">
        <v>9.0</v>
      </c>
      <c r="B11" s="455" t="s">
        <v>2648</v>
      </c>
      <c r="C11" s="456"/>
      <c r="D11" s="461"/>
      <c r="E11" s="448">
        <v>47.4</v>
      </c>
      <c r="F11" s="447">
        <f t="shared" si="5"/>
        <v>0.4</v>
      </c>
      <c r="G11" s="448">
        <v>99.5</v>
      </c>
      <c r="O11" t="str">
        <f>IFERROR(__xludf.DUMMYFUNCTION("regexextract(B11,""[\w]* [\w]*"")"),"Stephen Curry")</f>
        <v>Stephen Curry</v>
      </c>
      <c r="P11" t="str">
        <f t="shared" si="2"/>
        <v>Stephen Curry</v>
      </c>
      <c r="Q11" t="str">
        <f t="shared" si="3"/>
        <v>Stephen Curry</v>
      </c>
      <c r="R11" t="s">
        <v>85</v>
      </c>
      <c r="S11" s="417" t="s">
        <v>2640</v>
      </c>
      <c r="T11" t="s">
        <v>2640</v>
      </c>
      <c r="U11" t="s">
        <v>2640</v>
      </c>
      <c r="V11" t="s">
        <v>97</v>
      </c>
      <c r="W11" t="str">
        <f t="shared" si="1"/>
        <v>PGC</v>
      </c>
    </row>
    <row r="12">
      <c r="A12" s="457">
        <v>10.0</v>
      </c>
      <c r="B12" s="458" t="s">
        <v>2649</v>
      </c>
      <c r="C12" s="459"/>
      <c r="D12" s="459"/>
      <c r="E12" s="452">
        <v>46.8</v>
      </c>
      <c r="F12" s="462">
        <v>-0.1</v>
      </c>
      <c r="G12" s="452">
        <v>99.0</v>
      </c>
      <c r="O12" t="str">
        <f>IFERROR(__xludf.DUMMYFUNCTION("regexextract(B12,""[\w]* [\w]*"")"),"Jayson Tatum")</f>
        <v>Jayson Tatum</v>
      </c>
      <c r="P12" t="str">
        <f t="shared" si="2"/>
        <v>Jayson Tatum</v>
      </c>
      <c r="Q12" t="str">
        <f t="shared" si="3"/>
        <v>Jayson Tatum</v>
      </c>
      <c r="R12" t="s">
        <v>2640</v>
      </c>
      <c r="S12" s="417" t="s">
        <v>2640</v>
      </c>
      <c r="T12" t="s">
        <v>90</v>
      </c>
      <c r="U12" t="s">
        <v>92</v>
      </c>
      <c r="V12" t="s">
        <v>2640</v>
      </c>
      <c r="W12" t="str">
        <f t="shared" si="1"/>
        <v>SFPF</v>
      </c>
    </row>
    <row r="13">
      <c r="A13" s="454">
        <v>11.0</v>
      </c>
      <c r="B13" s="455" t="s">
        <v>2650</v>
      </c>
      <c r="C13" s="456"/>
      <c r="D13" s="456"/>
      <c r="E13" s="448">
        <v>45.8</v>
      </c>
      <c r="F13" s="447">
        <f>+0.3</f>
        <v>0.3</v>
      </c>
      <c r="G13" s="448">
        <v>99.5</v>
      </c>
      <c r="O13" t="str">
        <f>IFERROR(__xludf.DUMMYFUNCTION("regexextract(B13,""[\w]* [\w]*"")"),"Kevin Durant")</f>
        <v>Kevin Durant</v>
      </c>
      <c r="P13" t="str">
        <f t="shared" si="2"/>
        <v>Kevin Durant</v>
      </c>
      <c r="Q13" t="str">
        <f t="shared" si="3"/>
        <v>Kevin Durant</v>
      </c>
      <c r="R13" t="s">
        <v>2640</v>
      </c>
      <c r="S13" s="417" t="s">
        <v>2640</v>
      </c>
      <c r="T13" t="s">
        <v>90</v>
      </c>
      <c r="U13" t="s">
        <v>92</v>
      </c>
      <c r="V13" t="s">
        <v>2640</v>
      </c>
      <c r="W13" t="str">
        <f t="shared" si="1"/>
        <v>SFPF</v>
      </c>
    </row>
    <row r="14">
      <c r="A14" s="457">
        <v>12.0</v>
      </c>
      <c r="B14" s="458" t="s">
        <v>2651</v>
      </c>
      <c r="C14" s="459"/>
      <c r="D14" s="459"/>
      <c r="E14" s="452">
        <v>45.9</v>
      </c>
      <c r="F14" s="453">
        <f>+0.5</f>
        <v>0.5</v>
      </c>
      <c r="G14" s="452">
        <v>99.5</v>
      </c>
      <c r="O14" t="str">
        <f>IFERROR(__xludf.DUMMYFUNCTION("regexextract(B14,""[\w]* [\w]*"")"),"Nikola Vucevic")</f>
        <v>Nikola Vucevic</v>
      </c>
      <c r="P14" t="str">
        <f t="shared" si="2"/>
        <v>Nikola Vucevic</v>
      </c>
      <c r="Q14" t="str">
        <f t="shared" si="3"/>
        <v>Nikola Vucevic</v>
      </c>
      <c r="R14" t="s">
        <v>2640</v>
      </c>
      <c r="S14" s="417" t="s">
        <v>2640</v>
      </c>
      <c r="T14" t="s">
        <v>2640</v>
      </c>
      <c r="U14" t="s">
        <v>2640</v>
      </c>
      <c r="V14" t="s">
        <v>97</v>
      </c>
      <c r="W14" t="str">
        <f t="shared" si="1"/>
        <v>C</v>
      </c>
    </row>
    <row r="15">
      <c r="A15" s="454">
        <v>13.0</v>
      </c>
      <c r="B15" s="455" t="s">
        <v>2652</v>
      </c>
      <c r="C15" s="456"/>
      <c r="D15" s="461"/>
      <c r="E15" s="448">
        <v>45.4</v>
      </c>
      <c r="F15" s="463">
        <v>-0.6</v>
      </c>
      <c r="G15" s="448">
        <v>99.2</v>
      </c>
      <c r="O15" t="str">
        <f>IFERROR(__xludf.DUMMYFUNCTION("regexextract(B15,""[\w]* [\w]*"")"),"Zion WilliamsonO")</f>
        <v>Zion WilliamsonO</v>
      </c>
      <c r="P15" t="str">
        <f t="shared" si="2"/>
        <v>Zion WilliamsonO</v>
      </c>
      <c r="Q15" t="str">
        <f t="shared" si="3"/>
        <v>Zion Williamson</v>
      </c>
      <c r="R15" t="s">
        <v>2640</v>
      </c>
      <c r="S15" s="417" t="s">
        <v>2640</v>
      </c>
      <c r="T15" t="s">
        <v>2640</v>
      </c>
      <c r="U15" t="s">
        <v>92</v>
      </c>
      <c r="V15" t="s">
        <v>2640</v>
      </c>
      <c r="W15" t="str">
        <f t="shared" si="1"/>
        <v>PF</v>
      </c>
    </row>
    <row r="16">
      <c r="A16" s="457">
        <v>14.0</v>
      </c>
      <c r="B16" s="458" t="s">
        <v>2653</v>
      </c>
      <c r="C16" s="459"/>
      <c r="D16" s="459"/>
      <c r="E16" s="452">
        <v>31.9</v>
      </c>
      <c r="F16" s="462">
        <v>-2.8</v>
      </c>
      <c r="G16" s="452">
        <v>99.5</v>
      </c>
      <c r="O16" t="str">
        <f>IFERROR(__xludf.DUMMYFUNCTION("regexextract(B16,""[\w]* [\w]*"")"),"Aaron Fox")</f>
        <v>Aaron Fox</v>
      </c>
      <c r="P16" t="str">
        <f t="shared" si="2"/>
        <v>Aaron Fox</v>
      </c>
      <c r="Q16" t="str">
        <f t="shared" si="3"/>
        <v>Aaron Fox</v>
      </c>
      <c r="R16" t="s">
        <v>85</v>
      </c>
      <c r="S16" s="417" t="s">
        <v>2640</v>
      </c>
      <c r="T16" t="s">
        <v>2640</v>
      </c>
      <c r="U16" t="s">
        <v>2640</v>
      </c>
      <c r="V16" t="s">
        <v>97</v>
      </c>
      <c r="W16" t="str">
        <f t="shared" si="1"/>
        <v>PGC</v>
      </c>
    </row>
    <row r="17">
      <c r="A17" s="454">
        <v>15.0</v>
      </c>
      <c r="B17" s="455" t="s">
        <v>2654</v>
      </c>
      <c r="C17" s="456"/>
      <c r="D17" s="461"/>
      <c r="E17" s="448">
        <v>39.1</v>
      </c>
      <c r="F17" s="447">
        <f>+0.4</f>
        <v>0.4</v>
      </c>
      <c r="G17" s="448">
        <v>99.4</v>
      </c>
      <c r="O17" t="str">
        <f>IFERROR(__xludf.DUMMYFUNCTION("regexextract(B17,""[\w]* [\w]*"")"),"Joel Embiid")</f>
        <v>Joel Embiid</v>
      </c>
      <c r="P17" t="str">
        <f t="shared" si="2"/>
        <v>Joel Embiid</v>
      </c>
      <c r="Q17" t="str">
        <f t="shared" si="3"/>
        <v>Joel Embiid</v>
      </c>
      <c r="R17" t="s">
        <v>2640</v>
      </c>
      <c r="S17" s="417" t="s">
        <v>2640</v>
      </c>
      <c r="T17" t="s">
        <v>2640</v>
      </c>
      <c r="U17" t="s">
        <v>2640</v>
      </c>
      <c r="V17" t="s">
        <v>97</v>
      </c>
      <c r="W17" t="str">
        <f t="shared" si="1"/>
        <v>C</v>
      </c>
    </row>
    <row r="18">
      <c r="A18" s="457">
        <v>16.0</v>
      </c>
      <c r="B18" s="458" t="s">
        <v>2655</v>
      </c>
      <c r="C18" s="459"/>
      <c r="D18" s="459"/>
      <c r="E18" s="452">
        <v>32.9</v>
      </c>
      <c r="F18" s="462">
        <v>-1.0</v>
      </c>
      <c r="G18" s="452">
        <v>99.4</v>
      </c>
      <c r="O18" t="str">
        <f>IFERROR(__xludf.DUMMYFUNCTION("regexextract(B18,""[\w]* [\w]*"")"),"LeBron JamesO")</f>
        <v>LeBron JamesO</v>
      </c>
      <c r="P18" t="str">
        <f t="shared" si="2"/>
        <v>LeBron JamesO</v>
      </c>
      <c r="Q18" t="str">
        <f t="shared" si="3"/>
        <v>LeBron James</v>
      </c>
      <c r="R18" t="s">
        <v>85</v>
      </c>
      <c r="S18" s="417" t="s">
        <v>2640</v>
      </c>
      <c r="T18" t="s">
        <v>90</v>
      </c>
      <c r="U18" t="s">
        <v>92</v>
      </c>
      <c r="V18" t="s">
        <v>2640</v>
      </c>
      <c r="W18" t="str">
        <f t="shared" si="1"/>
        <v>PGSFPF</v>
      </c>
    </row>
    <row r="19">
      <c r="A19" s="454">
        <v>17.0</v>
      </c>
      <c r="B19" s="455" t="s">
        <v>2656</v>
      </c>
      <c r="C19" s="456"/>
      <c r="D19" s="456"/>
      <c r="E19" s="448">
        <v>40.2</v>
      </c>
      <c r="F19" s="463">
        <v>-0.8</v>
      </c>
      <c r="G19" s="448">
        <v>98.9</v>
      </c>
      <c r="O19" t="str">
        <f>IFERROR(__xludf.DUMMYFUNCTION("regexextract(B19,""[\w]* [\w]*"")"),"Trae Young")</f>
        <v>Trae Young</v>
      </c>
      <c r="P19" t="str">
        <f t="shared" si="2"/>
        <v>Trae Young</v>
      </c>
      <c r="Q19" t="str">
        <f t="shared" si="3"/>
        <v>Trae Young</v>
      </c>
      <c r="R19" t="s">
        <v>85</v>
      </c>
      <c r="S19" s="417" t="s">
        <v>2640</v>
      </c>
      <c r="T19" t="s">
        <v>2640</v>
      </c>
      <c r="U19" t="s">
        <v>2640</v>
      </c>
      <c r="V19" t="s">
        <v>2640</v>
      </c>
      <c r="W19" t="str">
        <f t="shared" si="1"/>
        <v>PG</v>
      </c>
    </row>
    <row r="20">
      <c r="A20" s="457">
        <v>18.0</v>
      </c>
      <c r="B20" s="458" t="s">
        <v>2657</v>
      </c>
      <c r="C20" s="459"/>
      <c r="D20" s="460"/>
      <c r="E20" s="452">
        <v>30.4</v>
      </c>
      <c r="F20" s="462">
        <v>-0.1</v>
      </c>
      <c r="G20" s="452">
        <v>99.5</v>
      </c>
      <c r="O20" t="str">
        <f>IFERROR(__xludf.DUMMYFUNCTION("regexextract(B20,""[\w]* [\w]*"")"),"Fred VanVleet")</f>
        <v>Fred VanVleet</v>
      </c>
      <c r="P20" t="str">
        <f t="shared" si="2"/>
        <v>Fred VanVleet</v>
      </c>
      <c r="Q20" t="str">
        <f t="shared" si="3"/>
        <v>Fred VanVleet</v>
      </c>
      <c r="R20" t="s">
        <v>85</v>
      </c>
      <c r="S20" s="417" t="s">
        <v>88</v>
      </c>
      <c r="T20" t="s">
        <v>2640</v>
      </c>
      <c r="U20" t="s">
        <v>2640</v>
      </c>
      <c r="V20" t="s">
        <v>2640</v>
      </c>
      <c r="W20" t="str">
        <f t="shared" si="1"/>
        <v>PGSG</v>
      </c>
    </row>
    <row r="21">
      <c r="A21" s="454">
        <v>19.0</v>
      </c>
      <c r="B21" s="455" t="s">
        <v>2658</v>
      </c>
      <c r="C21" s="456"/>
      <c r="D21" s="461"/>
      <c r="E21" s="448">
        <v>33.7</v>
      </c>
      <c r="F21" s="447">
        <f>+0.3</f>
        <v>0.3</v>
      </c>
      <c r="G21" s="448">
        <v>98.2</v>
      </c>
      <c r="O21" t="str">
        <f>IFERROR(__xludf.DUMMYFUNCTION("regexextract(B21,""[\w]* [\w]*"")"),"Donovan Mitchell")</f>
        <v>Donovan Mitchell</v>
      </c>
      <c r="P21" t="str">
        <f t="shared" si="2"/>
        <v>Donovan Mitchell</v>
      </c>
      <c r="Q21" t="str">
        <f t="shared" si="3"/>
        <v>Donovan Mitchell</v>
      </c>
      <c r="R21" t="s">
        <v>85</v>
      </c>
      <c r="S21" s="417" t="s">
        <v>88</v>
      </c>
      <c r="T21" t="s">
        <v>2640</v>
      </c>
      <c r="U21" t="s">
        <v>2640</v>
      </c>
      <c r="V21" t="s">
        <v>97</v>
      </c>
      <c r="W21" t="str">
        <f t="shared" si="1"/>
        <v>PGSGC</v>
      </c>
    </row>
    <row r="22">
      <c r="A22" s="457">
        <v>20.0</v>
      </c>
      <c r="B22" s="458" t="s">
        <v>2659</v>
      </c>
      <c r="C22" s="459"/>
      <c r="D22" s="460"/>
      <c r="E22" s="452">
        <v>38.6</v>
      </c>
      <c r="F22" s="462">
        <v>-0.6</v>
      </c>
      <c r="G22" s="452">
        <v>97.8</v>
      </c>
      <c r="O22" t="str">
        <f>IFERROR(__xludf.DUMMYFUNCTION("regexextract(B22,""[\w]* [\w]*"")"),"Domantas Sabonis")</f>
        <v>Domantas Sabonis</v>
      </c>
      <c r="P22" t="str">
        <f t="shared" si="2"/>
        <v>Domantas Sabonis</v>
      </c>
      <c r="Q22" t="str">
        <f t="shared" si="3"/>
        <v>Domantas Sabonis</v>
      </c>
      <c r="R22" t="s">
        <v>2640</v>
      </c>
      <c r="S22" s="417" t="s">
        <v>2640</v>
      </c>
      <c r="T22" t="s">
        <v>2640</v>
      </c>
      <c r="U22" t="s">
        <v>92</v>
      </c>
      <c r="V22" t="s">
        <v>2640</v>
      </c>
      <c r="W22" t="str">
        <f t="shared" si="1"/>
        <v>PF</v>
      </c>
    </row>
    <row r="23">
      <c r="A23" s="454">
        <v>21.0</v>
      </c>
      <c r="B23" s="455" t="s">
        <v>2660</v>
      </c>
      <c r="C23" s="456"/>
      <c r="D23" s="461"/>
      <c r="E23" s="448">
        <v>27.8</v>
      </c>
      <c r="F23" s="463">
        <v>-0.5</v>
      </c>
      <c r="G23" s="448">
        <v>99.4</v>
      </c>
      <c r="O23" t="str">
        <f>IFERROR(__xludf.DUMMYFUNCTION("regexextract(B23,""[\w]* [\w]*"")"),"Anthony Davis")</f>
        <v>Anthony Davis</v>
      </c>
      <c r="P23" t="str">
        <f t="shared" si="2"/>
        <v>Anthony Davis</v>
      </c>
      <c r="Q23" t="str">
        <f t="shared" si="3"/>
        <v>Anthony Davis</v>
      </c>
      <c r="R23" t="s">
        <v>2640</v>
      </c>
      <c r="S23" s="417" t="s">
        <v>2640</v>
      </c>
      <c r="T23" t="s">
        <v>2640</v>
      </c>
      <c r="U23" t="s">
        <v>92</v>
      </c>
      <c r="V23" t="s">
        <v>2640</v>
      </c>
      <c r="W23" t="str">
        <f t="shared" si="1"/>
        <v>PF</v>
      </c>
    </row>
    <row r="24">
      <c r="A24" s="457">
        <v>22.0</v>
      </c>
      <c r="B24" s="458" t="s">
        <v>2661</v>
      </c>
      <c r="C24" s="459"/>
      <c r="D24" s="459"/>
      <c r="E24" s="452">
        <v>36.0</v>
      </c>
      <c r="F24" s="462">
        <v>-0.6</v>
      </c>
      <c r="G24" s="452">
        <v>98.2</v>
      </c>
      <c r="O24" t="str">
        <f>IFERROR(__xludf.DUMMYFUNCTION("regexextract(B24,""[\w]* [\w]*"")"),"Julius Randle")</f>
        <v>Julius Randle</v>
      </c>
      <c r="P24" t="str">
        <f t="shared" si="2"/>
        <v>Julius Randle</v>
      </c>
      <c r="Q24" t="str">
        <f t="shared" si="3"/>
        <v>Julius Randle</v>
      </c>
      <c r="R24" t="s">
        <v>2640</v>
      </c>
      <c r="S24" s="417" t="s">
        <v>2640</v>
      </c>
      <c r="T24" t="s">
        <v>2640</v>
      </c>
      <c r="U24" t="s">
        <v>92</v>
      </c>
      <c r="V24" t="s">
        <v>2640</v>
      </c>
      <c r="W24" t="str">
        <f t="shared" si="1"/>
        <v>PF</v>
      </c>
    </row>
    <row r="25">
      <c r="A25" s="454">
        <v>23.0</v>
      </c>
      <c r="B25" s="455" t="s">
        <v>2662</v>
      </c>
      <c r="C25" s="456"/>
      <c r="D25" s="456"/>
      <c r="E25" s="448">
        <v>33.8</v>
      </c>
      <c r="F25" s="463">
        <v>-0.4</v>
      </c>
      <c r="G25" s="448">
        <v>98.9</v>
      </c>
      <c r="O25" t="str">
        <f>IFERROR(__xludf.DUMMYFUNCTION("regexextract(B25,""[\w]* [\w]*"")"),"Rudy Gobert")</f>
        <v>Rudy Gobert</v>
      </c>
      <c r="P25" t="str">
        <f t="shared" si="2"/>
        <v>Rudy Gobert</v>
      </c>
      <c r="Q25" t="str">
        <f t="shared" si="3"/>
        <v>Rudy Gobert</v>
      </c>
      <c r="R25" t="s">
        <v>2640</v>
      </c>
      <c r="S25" s="417" t="s">
        <v>2640</v>
      </c>
      <c r="T25" t="s">
        <v>2640</v>
      </c>
      <c r="U25" t="s">
        <v>2640</v>
      </c>
      <c r="V25" t="s">
        <v>97</v>
      </c>
      <c r="W25" t="str">
        <f t="shared" si="1"/>
        <v>C</v>
      </c>
    </row>
    <row r="26">
      <c r="A26" s="457">
        <v>24.0</v>
      </c>
      <c r="B26" s="458" t="s">
        <v>2663</v>
      </c>
      <c r="C26" s="459"/>
      <c r="D26" s="459"/>
      <c r="E26" s="452">
        <v>25.6</v>
      </c>
      <c r="F26" s="462">
        <v>-0.8</v>
      </c>
      <c r="G26" s="452">
        <v>99.3</v>
      </c>
      <c r="O26" t="str">
        <f>IFERROR(__xludf.DUMMYFUNCTION("regexextract(B26,""[\w]* [\w]*"")"),"LaMelo Ball")</f>
        <v>LaMelo Ball</v>
      </c>
      <c r="P26" t="str">
        <f t="shared" si="2"/>
        <v>LaMelo Ball</v>
      </c>
      <c r="Q26" t="str">
        <f t="shared" si="3"/>
        <v>LaMelo Ball</v>
      </c>
      <c r="R26" t="s">
        <v>85</v>
      </c>
      <c r="S26" s="417" t="s">
        <v>2640</v>
      </c>
      <c r="T26" t="s">
        <v>2640</v>
      </c>
      <c r="U26" t="s">
        <v>2640</v>
      </c>
      <c r="V26" t="s">
        <v>97</v>
      </c>
      <c r="W26" t="str">
        <f t="shared" si="1"/>
        <v>PGC</v>
      </c>
    </row>
    <row r="27">
      <c r="A27" s="454">
        <v>25.0</v>
      </c>
      <c r="B27" s="455" t="s">
        <v>2664</v>
      </c>
      <c r="C27" s="456"/>
      <c r="D27" s="456"/>
      <c r="E27" s="448">
        <v>34.8</v>
      </c>
      <c r="F27" s="448">
        <v>0.0</v>
      </c>
      <c r="G27" s="448">
        <v>97.7</v>
      </c>
      <c r="O27" t="str">
        <f>IFERROR(__xludf.DUMMYFUNCTION("regexextract(B27,""[\w]* [\w]*"")"),"Jimmy Butler")</f>
        <v>Jimmy Butler</v>
      </c>
      <c r="P27" t="str">
        <f t="shared" si="2"/>
        <v>Jimmy Butler</v>
      </c>
      <c r="Q27" t="str">
        <f t="shared" si="3"/>
        <v>Jimmy Butler</v>
      </c>
      <c r="R27" t="s">
        <v>2640</v>
      </c>
      <c r="S27" s="417" t="s">
        <v>88</v>
      </c>
      <c r="T27" t="s">
        <v>90</v>
      </c>
      <c r="U27" t="s">
        <v>2640</v>
      </c>
      <c r="V27" t="s">
        <v>2640</v>
      </c>
      <c r="W27" t="str">
        <f t="shared" si="1"/>
        <v>SGSF</v>
      </c>
    </row>
    <row r="28">
      <c r="A28" s="457">
        <v>26.0</v>
      </c>
      <c r="B28" s="458" t="s">
        <v>2665</v>
      </c>
      <c r="C28" s="459"/>
      <c r="D28" s="460"/>
      <c r="E28" s="452">
        <v>28.0</v>
      </c>
      <c r="F28" s="462">
        <v>-0.1</v>
      </c>
      <c r="G28" s="452">
        <v>98.2</v>
      </c>
      <c r="O28" t="str">
        <f>IFERROR(__xludf.DUMMYFUNCTION("regexextract(B28,""[\w]* [\w]*"")"),"Shai Gilgeous")</f>
        <v>Shai Gilgeous</v>
      </c>
      <c r="P28" t="str">
        <f t="shared" si="2"/>
        <v>Shai Gilgeous</v>
      </c>
      <c r="Q28" t="str">
        <f t="shared" si="3"/>
        <v>Shai Gilgeous</v>
      </c>
      <c r="R28" t="s">
        <v>85</v>
      </c>
      <c r="S28" s="417" t="s">
        <v>88</v>
      </c>
      <c r="T28" t="s">
        <v>2640</v>
      </c>
      <c r="U28" t="s">
        <v>2640</v>
      </c>
      <c r="V28" t="s">
        <v>97</v>
      </c>
      <c r="W28" t="str">
        <f t="shared" si="1"/>
        <v>PGSGC</v>
      </c>
    </row>
    <row r="29">
      <c r="A29" s="454">
        <v>27.0</v>
      </c>
      <c r="B29" s="455" t="s">
        <v>2666</v>
      </c>
      <c r="C29" s="456"/>
      <c r="D29" s="456"/>
      <c r="E29" s="448">
        <v>18.9</v>
      </c>
      <c r="F29" s="447">
        <f>+0.7</f>
        <v>0.7</v>
      </c>
      <c r="G29" s="448">
        <v>97.9</v>
      </c>
      <c r="O29" t="str">
        <f>IFERROR(__xludf.DUMMYFUNCTION("regexextract(B29,""[\w]* [\w]*"")"),"Dejounte Murray")</f>
        <v>Dejounte Murray</v>
      </c>
      <c r="P29" t="str">
        <f t="shared" si="2"/>
        <v>Dejounte Murray</v>
      </c>
      <c r="Q29" t="str">
        <f t="shared" si="3"/>
        <v>Dejounte Murray</v>
      </c>
      <c r="R29" t="s">
        <v>85</v>
      </c>
      <c r="S29" s="417" t="s">
        <v>88</v>
      </c>
      <c r="T29" t="s">
        <v>2640</v>
      </c>
      <c r="U29" t="s">
        <v>2640</v>
      </c>
      <c r="V29" t="s">
        <v>2640</v>
      </c>
      <c r="W29" t="str">
        <f t="shared" si="1"/>
        <v>PGSG</v>
      </c>
    </row>
    <row r="30">
      <c r="A30" s="457">
        <v>28.0</v>
      </c>
      <c r="B30" s="458" t="s">
        <v>2667</v>
      </c>
      <c r="C30" s="459"/>
      <c r="D30" s="460"/>
      <c r="E30" s="452">
        <v>19.0</v>
      </c>
      <c r="F30" s="462">
        <v>-0.5</v>
      </c>
      <c r="G30" s="452">
        <v>99.2</v>
      </c>
      <c r="O30" t="str">
        <f>IFERROR(__xludf.DUMMYFUNCTION("regexextract(B30,""[\w]* [\w]*"")"),"Bam Adebayo")</f>
        <v>Bam Adebayo</v>
      </c>
      <c r="P30" t="str">
        <f t="shared" si="2"/>
        <v>Bam Adebayo</v>
      </c>
      <c r="Q30" t="str">
        <f t="shared" si="3"/>
        <v>Bam Adebay</v>
      </c>
      <c r="R30" t="s">
        <v>2640</v>
      </c>
      <c r="S30" s="417" t="s">
        <v>2640</v>
      </c>
      <c r="T30" t="s">
        <v>2640</v>
      </c>
      <c r="U30" t="s">
        <v>92</v>
      </c>
      <c r="V30" t="s">
        <v>97</v>
      </c>
      <c r="W30" t="str">
        <f t="shared" si="1"/>
        <v>PFC</v>
      </c>
    </row>
    <row r="31">
      <c r="A31" s="454">
        <v>29.0</v>
      </c>
      <c r="B31" s="455" t="s">
        <v>2668</v>
      </c>
      <c r="C31" s="456"/>
      <c r="D31" s="456"/>
      <c r="E31" s="448">
        <v>18.7</v>
      </c>
      <c r="F31" s="463">
        <v>-0.4</v>
      </c>
      <c r="G31" s="448">
        <v>98.5</v>
      </c>
      <c r="O31" t="str">
        <f>IFERROR(__xludf.DUMMYFUNCTION("regexextract(B31,""[\w]* [\w]*"")"),"Jrue Holiday")</f>
        <v>Jrue Holiday</v>
      </c>
      <c r="P31" t="str">
        <f t="shared" si="2"/>
        <v>Jrue Holiday</v>
      </c>
      <c r="Q31" t="str">
        <f t="shared" si="3"/>
        <v>Jrue Holiday</v>
      </c>
      <c r="R31" t="s">
        <v>85</v>
      </c>
      <c r="S31" s="417" t="s">
        <v>88</v>
      </c>
      <c r="T31" t="s">
        <v>2640</v>
      </c>
      <c r="U31" t="s">
        <v>2640</v>
      </c>
      <c r="V31" t="s">
        <v>2640</v>
      </c>
      <c r="W31" t="str">
        <f t="shared" si="1"/>
        <v>PGSG</v>
      </c>
    </row>
    <row r="32">
      <c r="A32" s="457">
        <v>30.0</v>
      </c>
      <c r="B32" s="458" t="s">
        <v>2669</v>
      </c>
      <c r="C32" s="459"/>
      <c r="D32" s="460"/>
      <c r="E32" s="452">
        <v>21.3</v>
      </c>
      <c r="F32" s="453">
        <f>+0.2</f>
        <v>0.2</v>
      </c>
      <c r="G32" s="452">
        <v>95.1</v>
      </c>
      <c r="O32" t="str">
        <f>IFERROR(__xludf.DUMMYFUNCTION("regexextract(B32,""[\w]* [\w]*"")"),"Ben Simmons")</f>
        <v>Ben Simmons</v>
      </c>
      <c r="P32" t="str">
        <f t="shared" si="2"/>
        <v>Ben Simmons</v>
      </c>
      <c r="Q32" t="str">
        <f t="shared" si="3"/>
        <v>Ben Simmons</v>
      </c>
      <c r="R32" t="s">
        <v>85</v>
      </c>
      <c r="S32" s="417" t="s">
        <v>2640</v>
      </c>
      <c r="T32" t="s">
        <v>2640</v>
      </c>
      <c r="U32" t="s">
        <v>2640</v>
      </c>
      <c r="V32" t="s">
        <v>2640</v>
      </c>
      <c r="W32" t="str">
        <f t="shared" si="1"/>
        <v>PG</v>
      </c>
    </row>
    <row r="33">
      <c r="A33" s="454">
        <v>31.0</v>
      </c>
      <c r="B33" s="455" t="s">
        <v>2670</v>
      </c>
      <c r="C33" s="456"/>
      <c r="D33" s="456"/>
      <c r="E33" s="448">
        <v>18.6</v>
      </c>
      <c r="F33" s="463">
        <v>-0.6</v>
      </c>
      <c r="G33" s="448">
        <v>99.0</v>
      </c>
      <c r="O33" t="str">
        <f>IFERROR(__xludf.DUMMYFUNCTION("regexextract(B33,""[\w]* [\w]*"")"),"Kyrie Irving")</f>
        <v>Kyrie Irving</v>
      </c>
      <c r="P33" t="str">
        <f t="shared" si="2"/>
        <v>Kyrie Irving</v>
      </c>
      <c r="Q33" t="str">
        <f t="shared" si="3"/>
        <v>Kyrie Irving</v>
      </c>
      <c r="R33" t="s">
        <v>85</v>
      </c>
      <c r="S33" s="417" t="s">
        <v>88</v>
      </c>
      <c r="T33" t="s">
        <v>2640</v>
      </c>
      <c r="U33" t="s">
        <v>2640</v>
      </c>
      <c r="V33" t="s">
        <v>2640</v>
      </c>
      <c r="W33" t="str">
        <f t="shared" si="1"/>
        <v>PGSG</v>
      </c>
    </row>
    <row r="34">
      <c r="A34" s="457">
        <v>32.0</v>
      </c>
      <c r="B34" s="458" t="s">
        <v>2671</v>
      </c>
      <c r="C34" s="459"/>
      <c r="D34" s="460"/>
      <c r="E34" s="452">
        <v>19.0</v>
      </c>
      <c r="F34" s="453">
        <f>+0.4</f>
        <v>0.4</v>
      </c>
      <c r="G34" s="452">
        <v>98.4</v>
      </c>
      <c r="O34" t="str">
        <f>IFERROR(__xludf.DUMMYFUNCTION("regexextract(B34,""[\w]* [\w]*"")"),"Michael Porter")</f>
        <v>Michael Porter</v>
      </c>
      <c r="P34" t="str">
        <f t="shared" si="2"/>
        <v>Michael Porter</v>
      </c>
      <c r="Q34" t="str">
        <f t="shared" si="3"/>
        <v>Michael Porter</v>
      </c>
      <c r="R34" t="s">
        <v>2640</v>
      </c>
      <c r="S34" s="417" t="s">
        <v>2640</v>
      </c>
      <c r="T34" t="s">
        <v>90</v>
      </c>
      <c r="U34" t="s">
        <v>92</v>
      </c>
      <c r="V34" t="s">
        <v>97</v>
      </c>
      <c r="W34" t="str">
        <f t="shared" si="1"/>
        <v>SFPFC</v>
      </c>
    </row>
    <row r="35">
      <c r="A35" s="454">
        <v>33.0</v>
      </c>
      <c r="B35" s="455" t="s">
        <v>2672</v>
      </c>
      <c r="C35" s="456"/>
      <c r="D35" s="461"/>
      <c r="E35" s="448">
        <v>21.6</v>
      </c>
      <c r="F35" s="447">
        <f>+0.1</f>
        <v>0.1</v>
      </c>
      <c r="G35" s="448">
        <v>96.7</v>
      </c>
      <c r="O35" t="str">
        <f>IFERROR(__xludf.DUMMYFUNCTION("regexextract(B35,""[\w]* [\w]*"")"),"Chris PaulDTD")</f>
        <v>Chris PaulDTD</v>
      </c>
      <c r="P35" t="str">
        <f t="shared" si="2"/>
        <v>Chris Paul</v>
      </c>
      <c r="Q35" t="str">
        <f t="shared" si="3"/>
        <v>Chris Paul</v>
      </c>
      <c r="R35" t="s">
        <v>85</v>
      </c>
      <c r="S35" s="417" t="s">
        <v>2640</v>
      </c>
      <c r="T35" t="s">
        <v>2640</v>
      </c>
      <c r="U35" t="s">
        <v>2640</v>
      </c>
      <c r="V35" t="s">
        <v>97</v>
      </c>
      <c r="W35" t="str">
        <f t="shared" si="1"/>
        <v>PGC</v>
      </c>
    </row>
    <row r="36">
      <c r="A36" s="457">
        <v>34.0</v>
      </c>
      <c r="B36" s="458" t="s">
        <v>2673</v>
      </c>
      <c r="C36" s="459"/>
      <c r="D36" s="460"/>
      <c r="E36" s="452">
        <v>21.1</v>
      </c>
      <c r="F36" s="453">
        <f>+0.5</f>
        <v>0.5</v>
      </c>
      <c r="G36" s="452">
        <v>98.5</v>
      </c>
      <c r="O36" t="str">
        <f>IFERROR(__xludf.DUMMYFUNCTION("regexextract(B36,""[\w]* [\w]*"")"),"Russell WestbrookO")</f>
        <v>Russell WestbrookO</v>
      </c>
      <c r="P36" t="str">
        <f t="shared" si="2"/>
        <v>Russell WestbrookO</v>
      </c>
      <c r="Q36" t="str">
        <f t="shared" si="3"/>
        <v>Russell Westbrook</v>
      </c>
      <c r="R36" t="s">
        <v>85</v>
      </c>
      <c r="S36" s="417" t="s">
        <v>2640</v>
      </c>
      <c r="T36" t="s">
        <v>2640</v>
      </c>
      <c r="U36" t="s">
        <v>2640</v>
      </c>
      <c r="V36" t="s">
        <v>2640</v>
      </c>
      <c r="W36" t="str">
        <f t="shared" si="1"/>
        <v>PG</v>
      </c>
    </row>
    <row r="37">
      <c r="A37" s="454">
        <v>35.0</v>
      </c>
      <c r="B37" s="455" t="s">
        <v>2674</v>
      </c>
      <c r="C37" s="456"/>
      <c r="D37" s="461"/>
      <c r="E37" s="448">
        <v>17.9</v>
      </c>
      <c r="F37" s="463">
        <v>-0.2</v>
      </c>
      <c r="G37" s="448">
        <v>96.5</v>
      </c>
      <c r="O37" t="str">
        <f>IFERROR(__xludf.DUMMYFUNCTION("regexextract(B37,""[\w]* [\w]*"")"),"Clint CapelaDTD")</f>
        <v>Clint CapelaDTD</v>
      </c>
      <c r="P37" t="str">
        <f t="shared" si="2"/>
        <v>Clint Capela</v>
      </c>
      <c r="Q37" t="str">
        <f t="shared" si="3"/>
        <v>Clint Capela</v>
      </c>
      <c r="R37" t="s">
        <v>2640</v>
      </c>
      <c r="S37" s="417" t="s">
        <v>2640</v>
      </c>
      <c r="T37" t="s">
        <v>2640</v>
      </c>
      <c r="U37" t="s">
        <v>2640</v>
      </c>
      <c r="V37" t="s">
        <v>97</v>
      </c>
      <c r="W37" t="str">
        <f t="shared" si="1"/>
        <v>C</v>
      </c>
    </row>
    <row r="38">
      <c r="A38" s="457">
        <v>36.0</v>
      </c>
      <c r="B38" s="458" t="s">
        <v>2675</v>
      </c>
      <c r="C38" s="459"/>
      <c r="D38" s="459"/>
      <c r="E38" s="452">
        <v>19.8</v>
      </c>
      <c r="F38" s="453">
        <f>+0.1</f>
        <v>0.1</v>
      </c>
      <c r="G38" s="452">
        <v>91.5</v>
      </c>
      <c r="O38" t="str">
        <f>IFERROR(__xludf.DUMMYFUNCTION("regexextract(B38,""[\w]* [\w]*"")"),"Deandre Ayton")</f>
        <v>Deandre Ayton</v>
      </c>
      <c r="P38" t="str">
        <f t="shared" si="2"/>
        <v>Deandre Ayton</v>
      </c>
      <c r="Q38" t="str">
        <f t="shared" si="3"/>
        <v>Deandre Ayton</v>
      </c>
      <c r="R38" t="s">
        <v>2640</v>
      </c>
      <c r="S38" s="417" t="s">
        <v>2640</v>
      </c>
      <c r="T38" t="s">
        <v>2640</v>
      </c>
      <c r="U38" t="s">
        <v>2640</v>
      </c>
      <c r="V38" t="s">
        <v>97</v>
      </c>
      <c r="W38" t="str">
        <f t="shared" si="1"/>
        <v>C</v>
      </c>
    </row>
    <row r="39">
      <c r="A39" s="454">
        <v>37.0</v>
      </c>
      <c r="B39" s="455" t="s">
        <v>2676</v>
      </c>
      <c r="C39" s="456"/>
      <c r="D39" s="456"/>
      <c r="E39" s="448">
        <v>23.0</v>
      </c>
      <c r="F39" s="463">
        <v>-0.6</v>
      </c>
      <c r="G39" s="448">
        <v>85.7</v>
      </c>
      <c r="O39" t="str">
        <f>IFERROR(__xludf.DUMMYFUNCTION("regexextract(B39,""[\w]* [\w]*"")"),"Tobias Harris")</f>
        <v>Tobias Harris</v>
      </c>
      <c r="P39" t="str">
        <f t="shared" si="2"/>
        <v>Tobias Harris</v>
      </c>
      <c r="Q39" t="str">
        <f t="shared" si="3"/>
        <v>Tobias Harris</v>
      </c>
      <c r="R39" t="s">
        <v>2640</v>
      </c>
      <c r="S39" s="417" t="s">
        <v>2640</v>
      </c>
      <c r="T39" t="s">
        <v>90</v>
      </c>
      <c r="U39" t="s">
        <v>92</v>
      </c>
      <c r="V39" t="s">
        <v>2640</v>
      </c>
      <c r="W39" t="str">
        <f t="shared" si="1"/>
        <v>SFPF</v>
      </c>
    </row>
    <row r="40">
      <c r="A40" s="457">
        <v>38.0</v>
      </c>
      <c r="B40" s="458" t="s">
        <v>2677</v>
      </c>
      <c r="C40" s="459"/>
      <c r="D40" s="459"/>
      <c r="E40" s="452">
        <v>14.4</v>
      </c>
      <c r="F40" s="462">
        <v>-0.5</v>
      </c>
      <c r="G40" s="452">
        <v>98.7</v>
      </c>
      <c r="O40" t="str">
        <f>IFERROR(__xludf.DUMMYFUNCTION("regexextract(B40,""[\w]* [\w]*"")"),"Devin Booker")</f>
        <v>Devin Booker</v>
      </c>
      <c r="P40" t="str">
        <f t="shared" si="2"/>
        <v>Devin Booker</v>
      </c>
      <c r="Q40" t="str">
        <f t="shared" si="3"/>
        <v>Devin Booker</v>
      </c>
      <c r="R40" t="s">
        <v>85</v>
      </c>
      <c r="S40" s="417" t="s">
        <v>88</v>
      </c>
      <c r="T40" t="s">
        <v>2640</v>
      </c>
      <c r="U40" t="s">
        <v>2640</v>
      </c>
      <c r="V40" t="s">
        <v>2640</v>
      </c>
      <c r="W40" t="str">
        <f t="shared" si="1"/>
        <v>PGSG</v>
      </c>
    </row>
    <row r="41">
      <c r="A41" s="454">
        <v>39.0</v>
      </c>
      <c r="B41" s="455" t="s">
        <v>2678</v>
      </c>
      <c r="C41" s="456"/>
      <c r="D41" s="461"/>
      <c r="E41" s="448">
        <v>16.3</v>
      </c>
      <c r="F41" s="463">
        <v>-0.4</v>
      </c>
      <c r="G41" s="448">
        <v>65.2</v>
      </c>
      <c r="O41" t="str">
        <f>IFERROR(__xludf.DUMMYFUNCTION("regexextract(B41,""[\w]* [\w]*"")"),"Khris Middleton")</f>
        <v>Khris Middleton</v>
      </c>
      <c r="P41" t="str">
        <f t="shared" si="2"/>
        <v>Khris Middleton</v>
      </c>
      <c r="Q41" t="str">
        <f t="shared" si="3"/>
        <v>Khris Middleton</v>
      </c>
      <c r="R41" t="s">
        <v>2640</v>
      </c>
      <c r="S41" s="417" t="s">
        <v>88</v>
      </c>
      <c r="T41" t="s">
        <v>90</v>
      </c>
      <c r="U41" t="s">
        <v>2640</v>
      </c>
      <c r="V41" t="s">
        <v>2640</v>
      </c>
      <c r="W41" t="str">
        <f t="shared" si="1"/>
        <v>SGSF</v>
      </c>
    </row>
    <row r="42">
      <c r="A42" s="457">
        <v>40.0</v>
      </c>
      <c r="B42" s="458" t="s">
        <v>2679</v>
      </c>
      <c r="C42" s="459"/>
      <c r="D42" s="460"/>
      <c r="E42" s="452">
        <v>12.6</v>
      </c>
      <c r="F42" s="453">
        <f t="shared" ref="F42:F43" si="6">+0.7</f>
        <v>0.7</v>
      </c>
      <c r="G42" s="452">
        <v>91.6</v>
      </c>
      <c r="O42" t="str">
        <f>IFERROR(__xludf.DUMMYFUNCTION("regexextract(B42,""[\w]* [\w]*"")"),"Christian Wood")</f>
        <v>Christian Wood</v>
      </c>
      <c r="P42" t="str">
        <f t="shared" si="2"/>
        <v>Christian Wood</v>
      </c>
      <c r="Q42" t="str">
        <f t="shared" si="3"/>
        <v>Christian Wood</v>
      </c>
      <c r="R42" t="s">
        <v>2640</v>
      </c>
      <c r="S42" s="417" t="s">
        <v>2640</v>
      </c>
      <c r="T42" t="s">
        <v>2640</v>
      </c>
      <c r="U42" t="s">
        <v>92</v>
      </c>
      <c r="V42" t="s">
        <v>97</v>
      </c>
      <c r="W42" t="str">
        <f t="shared" si="1"/>
        <v>PFC</v>
      </c>
    </row>
    <row r="43">
      <c r="A43" s="454">
        <v>41.0</v>
      </c>
      <c r="B43" s="455" t="s">
        <v>2680</v>
      </c>
      <c r="C43" s="456"/>
      <c r="D43" s="461"/>
      <c r="E43" s="448">
        <v>10.6</v>
      </c>
      <c r="F43" s="447">
        <f t="shared" si="6"/>
        <v>0.7</v>
      </c>
      <c r="G43" s="448">
        <v>96.1</v>
      </c>
      <c r="O43" t="str">
        <f>IFERROR(__xludf.DUMMYFUNCTION("regexextract(B43,""[\w]* [\w]*"")"),"Jaylen Brown")</f>
        <v>Jaylen Brown</v>
      </c>
      <c r="P43" t="str">
        <f t="shared" si="2"/>
        <v>Jaylen Brown</v>
      </c>
      <c r="Q43" t="str">
        <f t="shared" si="3"/>
        <v>Jaylen Brown</v>
      </c>
      <c r="R43" t="s">
        <v>2640</v>
      </c>
      <c r="S43" s="417" t="s">
        <v>88</v>
      </c>
      <c r="T43" t="s">
        <v>90</v>
      </c>
      <c r="U43" t="s">
        <v>2640</v>
      </c>
      <c r="V43" t="s">
        <v>2640</v>
      </c>
      <c r="W43" t="str">
        <f t="shared" si="1"/>
        <v>SGSF</v>
      </c>
    </row>
    <row r="44">
      <c r="A44" s="457">
        <v>42.0</v>
      </c>
      <c r="B44" s="458" t="s">
        <v>2681</v>
      </c>
      <c r="C44" s="459"/>
      <c r="D44" s="460"/>
      <c r="E44" s="452">
        <v>10.5</v>
      </c>
      <c r="F44" s="453">
        <f>+0.1</f>
        <v>0.1</v>
      </c>
      <c r="G44" s="452">
        <v>97.0</v>
      </c>
      <c r="O44" t="str">
        <f>IFERROR(__xludf.DUMMYFUNCTION("regexextract(B44,""[\w]* [\w]*"")"),"Lonzo Ball")</f>
        <v>Lonzo Ball</v>
      </c>
      <c r="P44" t="str">
        <f t="shared" si="2"/>
        <v>Lonzo Ball</v>
      </c>
      <c r="Q44" t="str">
        <f t="shared" si="3"/>
        <v>Lonzo Ball</v>
      </c>
      <c r="R44" t="s">
        <v>85</v>
      </c>
      <c r="S44" s="417" t="s">
        <v>2640</v>
      </c>
      <c r="T44" t="s">
        <v>2640</v>
      </c>
      <c r="U44" t="s">
        <v>2640</v>
      </c>
      <c r="V44" t="s">
        <v>97</v>
      </c>
      <c r="W44" t="str">
        <f t="shared" si="1"/>
        <v>PGC</v>
      </c>
    </row>
    <row r="45">
      <c r="A45" s="454">
        <v>43.0</v>
      </c>
      <c r="B45" s="455" t="s">
        <v>2682</v>
      </c>
      <c r="C45" s="456"/>
      <c r="D45" s="456"/>
      <c r="E45" s="448">
        <v>11.9</v>
      </c>
      <c r="F45" s="463">
        <v>-0.2</v>
      </c>
      <c r="G45" s="448">
        <v>94.2</v>
      </c>
      <c r="O45" t="str">
        <f>IFERROR(__xludf.DUMMYFUNCTION("regexextract(B45,""[\w]* [\w]*"")"),"Zach LaVine")</f>
        <v>Zach LaVine</v>
      </c>
      <c r="P45" t="str">
        <f t="shared" si="2"/>
        <v>Zach LaVine</v>
      </c>
      <c r="Q45" t="str">
        <f t="shared" si="3"/>
        <v>Zach LaVine</v>
      </c>
      <c r="R45" t="s">
        <v>2640</v>
      </c>
      <c r="S45" s="417" t="s">
        <v>88</v>
      </c>
      <c r="T45" t="s">
        <v>2640</v>
      </c>
      <c r="U45" t="s">
        <v>2640</v>
      </c>
      <c r="V45" t="s">
        <v>97</v>
      </c>
      <c r="W45" t="str">
        <f t="shared" si="1"/>
        <v>SGC</v>
      </c>
    </row>
    <row r="46">
      <c r="A46" s="457">
        <v>44.0</v>
      </c>
      <c r="B46" s="458" t="s">
        <v>2683</v>
      </c>
      <c r="C46" s="459"/>
      <c r="D46" s="460"/>
      <c r="E46" s="452">
        <v>9.7</v>
      </c>
      <c r="F46" s="462">
        <v>-0.2</v>
      </c>
      <c r="G46" s="452">
        <v>91.4</v>
      </c>
      <c r="O46" t="str">
        <f>IFERROR(__xludf.DUMMYFUNCTION("regexextract(B46,""[\w]* [\w]*"")"),"Ja Morant")</f>
        <v>Ja Morant</v>
      </c>
      <c r="P46" t="str">
        <f t="shared" si="2"/>
        <v>Ja Morant</v>
      </c>
      <c r="Q46" t="str">
        <f t="shared" si="3"/>
        <v>Ja Morant</v>
      </c>
      <c r="R46" t="s">
        <v>85</v>
      </c>
      <c r="S46" s="417" t="s">
        <v>2640</v>
      </c>
      <c r="T46" t="s">
        <v>2640</v>
      </c>
      <c r="U46" t="s">
        <v>2640</v>
      </c>
      <c r="V46" t="s">
        <v>2640</v>
      </c>
      <c r="W46" t="str">
        <f t="shared" si="1"/>
        <v>PG</v>
      </c>
    </row>
    <row r="47">
      <c r="A47" s="454">
        <v>45.0</v>
      </c>
      <c r="B47" s="455" t="s">
        <v>2684</v>
      </c>
      <c r="C47" s="456"/>
      <c r="D47" s="456"/>
      <c r="E47" s="448">
        <v>13.3</v>
      </c>
      <c r="F47" s="463">
        <v>-0.4</v>
      </c>
      <c r="G47" s="448">
        <v>93.0</v>
      </c>
      <c r="O47" t="str">
        <f>IFERROR(__xludf.DUMMYFUNCTION("regexextract(B47,""[\w]* [\w]*"")"),"Brandon Ingram")</f>
        <v>Brandon Ingram</v>
      </c>
      <c r="P47" t="str">
        <f t="shared" si="2"/>
        <v>Brandon Ingram</v>
      </c>
      <c r="Q47" t="str">
        <f t="shared" si="3"/>
        <v>Brandon Ingram</v>
      </c>
      <c r="R47" t="s">
        <v>2640</v>
      </c>
      <c r="S47" s="417" t="s">
        <v>2640</v>
      </c>
      <c r="T47" t="s">
        <v>90</v>
      </c>
      <c r="U47" t="s">
        <v>92</v>
      </c>
      <c r="V47" t="s">
        <v>2640</v>
      </c>
      <c r="W47" t="str">
        <f t="shared" si="1"/>
        <v>SFPF</v>
      </c>
    </row>
    <row r="48">
      <c r="A48" s="457">
        <v>46.0</v>
      </c>
      <c r="B48" s="458" t="s">
        <v>2685</v>
      </c>
      <c r="C48" s="459"/>
      <c r="D48" s="459"/>
      <c r="E48" s="452">
        <v>13.8</v>
      </c>
      <c r="F48" s="462">
        <v>-0.1</v>
      </c>
      <c r="G48" s="452">
        <v>85.0</v>
      </c>
      <c r="O48" t="str">
        <f>IFERROR(__xludf.DUMMYFUNCTION("regexextract(B48,""[\w]* [\w]*"")"),"Caris LeVertO")</f>
        <v>Caris LeVertO</v>
      </c>
      <c r="P48" t="str">
        <f t="shared" si="2"/>
        <v>Caris LeVertO</v>
      </c>
      <c r="Q48" t="str">
        <f t="shared" si="3"/>
        <v>Caris LeVert</v>
      </c>
      <c r="R48" t="s">
        <v>2640</v>
      </c>
      <c r="S48" s="417" t="s">
        <v>88</v>
      </c>
      <c r="T48" t="s">
        <v>90</v>
      </c>
      <c r="U48" t="s">
        <v>2640</v>
      </c>
      <c r="V48" t="s">
        <v>97</v>
      </c>
      <c r="W48" t="str">
        <f t="shared" si="1"/>
        <v>SGSFC</v>
      </c>
    </row>
    <row r="49">
      <c r="A49" s="454">
        <v>47.0</v>
      </c>
      <c r="B49" s="455" t="s">
        <v>2686</v>
      </c>
      <c r="C49" s="456"/>
      <c r="D49" s="461"/>
      <c r="E49" s="448">
        <v>9.1</v>
      </c>
      <c r="F49" s="447">
        <f>+0.3</f>
        <v>0.3</v>
      </c>
      <c r="G49" s="448">
        <v>93.2</v>
      </c>
      <c r="O49" t="str">
        <f>IFERROR(__xludf.DUMMYFUNCTION("regexextract(B49,""[\w]* [\w]*"")"),"CJ McCollum")</f>
        <v>CJ McCollum</v>
      </c>
      <c r="P49" t="str">
        <f t="shared" si="2"/>
        <v>CJ McCollum</v>
      </c>
      <c r="Q49" t="str">
        <f t="shared" si="3"/>
        <v>CJ McCollum</v>
      </c>
      <c r="R49" t="s">
        <v>2640</v>
      </c>
      <c r="S49" s="417" t="s">
        <v>88</v>
      </c>
      <c r="T49" t="s">
        <v>2640</v>
      </c>
      <c r="U49" t="s">
        <v>2640</v>
      </c>
      <c r="V49" t="s">
        <v>97</v>
      </c>
      <c r="W49" t="str">
        <f t="shared" si="1"/>
        <v>SGC</v>
      </c>
    </row>
    <row r="50">
      <c r="A50" s="457">
        <v>48.0</v>
      </c>
      <c r="B50" s="458" t="s">
        <v>2687</v>
      </c>
      <c r="C50" s="460"/>
      <c r="D50" s="460"/>
      <c r="O50" t="str">
        <f>IFERROR(__xludf.DUMMYFUNCTION("regexextract(B50,""[\w]* [\w]*"")"),"DeMar DeRozan")</f>
        <v>DeMar DeRozan</v>
      </c>
      <c r="P50" t="str">
        <f t="shared" si="2"/>
        <v>DeMar DeRozan</v>
      </c>
      <c r="Q50" t="str">
        <f t="shared" si="3"/>
        <v>DeMar DeRozan</v>
      </c>
      <c r="R50" t="s">
        <v>2640</v>
      </c>
      <c r="S50" s="417" t="s">
        <v>88</v>
      </c>
      <c r="T50" t="s">
        <v>90</v>
      </c>
      <c r="U50" t="s">
        <v>2640</v>
      </c>
      <c r="V50" t="s">
        <v>97</v>
      </c>
      <c r="W50" t="str">
        <f t="shared" si="1"/>
        <v>SGSFC</v>
      </c>
    </row>
    <row r="51">
      <c r="A51" s="454">
        <v>49.0</v>
      </c>
      <c r="B51" s="455" t="s">
        <v>2688</v>
      </c>
      <c r="C51" s="456"/>
      <c r="D51" s="461"/>
      <c r="E51" s="448">
        <v>10.0</v>
      </c>
      <c r="F51" s="447">
        <f>+0.1</f>
        <v>0.1</v>
      </c>
      <c r="G51" s="448">
        <v>91.7</v>
      </c>
      <c r="O51" t="str">
        <f>IFERROR(__xludf.DUMMYFUNCTION("regexextract(B51,""[\w]* [\w]*"")"),"Collin Sexton")</f>
        <v>Collin Sexton</v>
      </c>
      <c r="P51" t="str">
        <f t="shared" si="2"/>
        <v>Collin Sexton</v>
      </c>
      <c r="Q51" t="str">
        <f t="shared" si="3"/>
        <v>Collin Sexton</v>
      </c>
      <c r="R51" t="s">
        <v>85</v>
      </c>
      <c r="S51" s="417" t="s">
        <v>88</v>
      </c>
      <c r="T51" t="s">
        <v>2640</v>
      </c>
      <c r="U51" t="s">
        <v>2640</v>
      </c>
      <c r="V51" t="s">
        <v>97</v>
      </c>
      <c r="W51" t="str">
        <f t="shared" si="1"/>
        <v>PGSGC</v>
      </c>
    </row>
    <row r="52">
      <c r="A52" s="457">
        <v>50.0</v>
      </c>
      <c r="B52" s="458" t="s">
        <v>2689</v>
      </c>
      <c r="C52" s="459"/>
      <c r="D52" s="460"/>
      <c r="E52" s="452">
        <v>9.6</v>
      </c>
      <c r="F52" s="462">
        <v>-0.2</v>
      </c>
      <c r="G52" s="452">
        <v>93.6</v>
      </c>
      <c r="O52" t="str">
        <f>IFERROR(__xludf.DUMMYFUNCTION("regexextract(B52,""[\w]* [\w]*"")"),"Montrezl Harrell")</f>
        <v>Montrezl Harrell</v>
      </c>
      <c r="P52" t="str">
        <f t="shared" si="2"/>
        <v>Montrezl Harrell</v>
      </c>
      <c r="Q52" t="str">
        <f t="shared" si="3"/>
        <v>Montrezl Harrell</v>
      </c>
      <c r="R52" t="s">
        <v>2640</v>
      </c>
      <c r="S52" s="417" t="s">
        <v>2640</v>
      </c>
      <c r="T52" t="s">
        <v>2640</v>
      </c>
      <c r="U52" t="s">
        <v>92</v>
      </c>
      <c r="V52" t="s">
        <v>97</v>
      </c>
      <c r="W52" t="str">
        <f t="shared" si="1"/>
        <v>PFC</v>
      </c>
    </row>
    <row r="53">
      <c r="A53" s="446" t="s">
        <v>2634</v>
      </c>
      <c r="C53" s="446" t="s">
        <v>2635</v>
      </c>
      <c r="E53" s="464"/>
      <c r="F53" s="464"/>
      <c r="G53" s="464"/>
      <c r="H53" s="464"/>
      <c r="I53" s="464"/>
      <c r="J53" s="464"/>
      <c r="K53" s="464"/>
      <c r="L53" s="464"/>
      <c r="M53" s="464"/>
      <c r="N53" s="464"/>
      <c r="O53" t="str">
        <f>IFERROR(__xludf.DUMMYFUNCTION("regexextract(B53,""[\w]* [\w]*"")"),"#N/A")</f>
        <v>#N/A</v>
      </c>
      <c r="P53" t="str">
        <f t="shared" si="2"/>
        <v>#N/A</v>
      </c>
      <c r="Q53" t="str">
        <f t="shared" si="3"/>
        <v>#N/A</v>
      </c>
      <c r="R53" t="s">
        <v>2640</v>
      </c>
      <c r="S53" s="417" t="s">
        <v>2640</v>
      </c>
      <c r="T53" t="s">
        <v>2640</v>
      </c>
      <c r="U53" t="s">
        <v>2640</v>
      </c>
      <c r="V53" t="s">
        <v>2640</v>
      </c>
      <c r="W53" t="str">
        <f t="shared" si="1"/>
        <v/>
      </c>
    </row>
    <row r="54">
      <c r="A54" s="449" t="s">
        <v>2636</v>
      </c>
      <c r="B54" s="450" t="s">
        <v>262</v>
      </c>
      <c r="C54" s="449" t="s">
        <v>2637</v>
      </c>
      <c r="D54" s="451" t="s">
        <v>2638</v>
      </c>
      <c r="E54" s="465"/>
      <c r="F54" s="466"/>
      <c r="G54" s="465"/>
      <c r="H54" s="465"/>
      <c r="I54" s="465"/>
      <c r="J54" s="465"/>
      <c r="K54" s="465"/>
      <c r="L54" s="465"/>
      <c r="M54" s="465"/>
      <c r="N54" s="467"/>
      <c r="O54" t="str">
        <f>IFERROR(__xludf.DUMMYFUNCTION("regexextract(B54,""[\w]* [\w]*"")"),"#N/A")</f>
        <v>#N/A</v>
      </c>
      <c r="P54" t="str">
        <f t="shared" si="2"/>
        <v>#N/A</v>
      </c>
      <c r="Q54" t="str">
        <f t="shared" si="3"/>
        <v>#N/A</v>
      </c>
      <c r="R54" t="s">
        <v>2640</v>
      </c>
      <c r="S54" s="417" t="s">
        <v>2640</v>
      </c>
      <c r="T54" t="s">
        <v>2640</v>
      </c>
      <c r="U54" t="s">
        <v>2640</v>
      </c>
      <c r="V54" t="s">
        <v>2640</v>
      </c>
      <c r="W54" t="str">
        <f t="shared" si="1"/>
        <v/>
      </c>
    </row>
    <row r="55">
      <c r="A55" s="454">
        <v>51.0</v>
      </c>
      <c r="B55" s="455" t="s">
        <v>2690</v>
      </c>
      <c r="C55" s="456"/>
      <c r="D55" s="456"/>
      <c r="E55" s="468"/>
      <c r="F55" s="468"/>
      <c r="G55" s="468"/>
      <c r="H55" s="468"/>
      <c r="I55" s="468"/>
      <c r="J55" s="468"/>
      <c r="K55" s="468"/>
      <c r="L55" s="468"/>
      <c r="M55" s="468"/>
      <c r="N55" s="468"/>
      <c r="O55" t="str">
        <f>IFERROR(__xludf.DUMMYFUNCTION("regexextract(B55,""[\w]* [\w]*"")"),"Terry Rozier")</f>
        <v>Terry Rozier</v>
      </c>
      <c r="P55" t="str">
        <f t="shared" si="2"/>
        <v>Terry Rozier</v>
      </c>
      <c r="Q55" t="str">
        <f t="shared" si="3"/>
        <v>Terry Rozier</v>
      </c>
      <c r="R55" t="s">
        <v>85</v>
      </c>
      <c r="S55" s="417" t="s">
        <v>88</v>
      </c>
      <c r="T55" t="s">
        <v>2640</v>
      </c>
      <c r="U55" t="s">
        <v>2640</v>
      </c>
      <c r="V55" t="s">
        <v>97</v>
      </c>
      <c r="W55" t="str">
        <f t="shared" si="1"/>
        <v>PGSGC</v>
      </c>
    </row>
    <row r="56">
      <c r="A56" s="457">
        <v>52.0</v>
      </c>
      <c r="B56" s="458" t="s">
        <v>2691</v>
      </c>
      <c r="C56" s="459"/>
      <c r="D56" s="459"/>
      <c r="E56" s="469"/>
      <c r="F56" s="469"/>
      <c r="G56" s="469"/>
      <c r="H56" s="469"/>
      <c r="I56" s="469"/>
      <c r="J56" s="469"/>
      <c r="K56" s="469"/>
      <c r="L56" s="469"/>
      <c r="M56" s="469"/>
      <c r="N56" s="469"/>
      <c r="O56" t="str">
        <f>IFERROR(__xludf.DUMMYFUNCTION("regexextract(B56,""[\w]* [\w]*"")"),"Jusuf Nurkic")</f>
        <v>Jusuf Nurkic</v>
      </c>
      <c r="P56" t="str">
        <f t="shared" si="2"/>
        <v>Jusuf Nurkic</v>
      </c>
      <c r="Q56" t="str">
        <f t="shared" si="3"/>
        <v>Jusuf Nurkic</v>
      </c>
      <c r="R56" t="s">
        <v>2640</v>
      </c>
      <c r="S56" s="417" t="s">
        <v>2640</v>
      </c>
      <c r="T56" t="s">
        <v>2640</v>
      </c>
      <c r="U56" t="s">
        <v>2640</v>
      </c>
      <c r="V56" t="s">
        <v>97</v>
      </c>
      <c r="W56" t="str">
        <f t="shared" si="1"/>
        <v>C</v>
      </c>
    </row>
    <row r="57">
      <c r="A57" s="454">
        <v>53.0</v>
      </c>
      <c r="B57" s="455" t="s">
        <v>2692</v>
      </c>
      <c r="C57" s="456"/>
      <c r="D57" s="456"/>
      <c r="E57" s="468"/>
      <c r="F57" s="468"/>
      <c r="G57" s="468"/>
      <c r="H57" s="468"/>
      <c r="I57" s="468"/>
      <c r="J57" s="468"/>
      <c r="K57" s="468"/>
      <c r="L57" s="468"/>
      <c r="M57" s="468"/>
      <c r="N57" s="468"/>
      <c r="O57" t="str">
        <f>IFERROR(__xludf.DUMMYFUNCTION("regexextract(B57,""[\w]* [\w]*"")"),"Pascal SiakamO")</f>
        <v>Pascal SiakamO</v>
      </c>
      <c r="P57" t="str">
        <f t="shared" si="2"/>
        <v>Pascal SiakamO</v>
      </c>
      <c r="Q57" t="str">
        <f t="shared" si="3"/>
        <v>Pascal Siakam</v>
      </c>
      <c r="R57" t="s">
        <v>2640</v>
      </c>
      <c r="S57" s="417" t="s">
        <v>2640</v>
      </c>
      <c r="T57" t="s">
        <v>2640</v>
      </c>
      <c r="U57" t="s">
        <v>92</v>
      </c>
      <c r="V57" t="s">
        <v>97</v>
      </c>
      <c r="W57" t="str">
        <f t="shared" si="1"/>
        <v>PFC</v>
      </c>
    </row>
    <row r="58">
      <c r="A58" s="457">
        <v>54.0</v>
      </c>
      <c r="B58" s="458" t="s">
        <v>2693</v>
      </c>
      <c r="C58" s="459"/>
      <c r="D58" s="459"/>
      <c r="E58" s="469"/>
      <c r="F58" s="469"/>
      <c r="G58" s="469"/>
      <c r="H58" s="469"/>
      <c r="I58" s="469"/>
      <c r="J58" s="469"/>
      <c r="K58" s="469"/>
      <c r="L58" s="469"/>
      <c r="M58" s="469"/>
      <c r="N58" s="469"/>
      <c r="O58" t="str">
        <f>IFERROR(__xludf.DUMMYFUNCTION("regexextract(B58,""[\w]* [\w]*"")"),"Draymond Green")</f>
        <v>Draymond Green</v>
      </c>
      <c r="P58" t="str">
        <f t="shared" si="2"/>
        <v>Draymond Green</v>
      </c>
      <c r="Q58" t="str">
        <f t="shared" si="3"/>
        <v>Draymond Green</v>
      </c>
      <c r="R58" t="s">
        <v>2640</v>
      </c>
      <c r="S58" s="417" t="s">
        <v>2640</v>
      </c>
      <c r="T58" t="s">
        <v>2640</v>
      </c>
      <c r="U58" t="s">
        <v>92</v>
      </c>
      <c r="V58" t="s">
        <v>2640</v>
      </c>
      <c r="W58" t="str">
        <f t="shared" si="1"/>
        <v>PF</v>
      </c>
    </row>
    <row r="59">
      <c r="A59" s="454">
        <v>55.0</v>
      </c>
      <c r="B59" s="455" t="s">
        <v>2694</v>
      </c>
      <c r="C59" s="456"/>
      <c r="D59" s="456"/>
      <c r="E59" s="468"/>
      <c r="F59" s="468"/>
      <c r="G59" s="468"/>
      <c r="H59" s="468"/>
      <c r="I59" s="468"/>
      <c r="J59" s="468"/>
      <c r="K59" s="468"/>
      <c r="L59" s="468"/>
      <c r="M59" s="468"/>
      <c r="N59" s="468"/>
      <c r="O59" t="str">
        <f>IFERROR(__xludf.DUMMYFUNCTION("regexextract(B59,""[\w]* [\w]*"")"),"Jakob Poeltl")</f>
        <v>Jakob Poeltl</v>
      </c>
      <c r="P59" t="str">
        <f t="shared" si="2"/>
        <v>Jakob Poeltl</v>
      </c>
      <c r="Q59" t="str">
        <f t="shared" si="3"/>
        <v>Jakob Poeltl</v>
      </c>
      <c r="R59" t="s">
        <v>2640</v>
      </c>
      <c r="S59" s="417" t="s">
        <v>2640</v>
      </c>
      <c r="T59" t="s">
        <v>2640</v>
      </c>
      <c r="U59" t="s">
        <v>2640</v>
      </c>
      <c r="V59" t="s">
        <v>97</v>
      </c>
      <c r="W59" t="str">
        <f t="shared" si="1"/>
        <v>C</v>
      </c>
    </row>
    <row r="60">
      <c r="A60" s="457">
        <v>56.0</v>
      </c>
      <c r="B60" s="458" t="s">
        <v>2695</v>
      </c>
      <c r="C60" s="459"/>
      <c r="D60" s="459"/>
      <c r="E60" s="469"/>
      <c r="F60" s="469"/>
      <c r="G60" s="469"/>
      <c r="H60" s="469"/>
      <c r="I60" s="469"/>
      <c r="J60" s="469"/>
      <c r="K60" s="469"/>
      <c r="L60" s="469"/>
      <c r="M60" s="469"/>
      <c r="N60" s="469"/>
      <c r="O60" t="str">
        <f>IFERROR(__xludf.DUMMYFUNCTION("regexextract(B60,""[\w]* [\w]*"")"),"Anthony Edwards")</f>
        <v>Anthony Edwards</v>
      </c>
      <c r="P60" t="str">
        <f t="shared" si="2"/>
        <v>Anthony Edwards</v>
      </c>
      <c r="Q60" t="str">
        <f t="shared" si="3"/>
        <v>Anthony Edwards</v>
      </c>
      <c r="R60" t="s">
        <v>2640</v>
      </c>
      <c r="S60" s="417" t="s">
        <v>88</v>
      </c>
      <c r="T60" t="s">
        <v>90</v>
      </c>
      <c r="U60" t="s">
        <v>2640</v>
      </c>
      <c r="V60" t="s">
        <v>2640</v>
      </c>
      <c r="W60" t="str">
        <f t="shared" si="1"/>
        <v>SGSF</v>
      </c>
    </row>
    <row r="61">
      <c r="A61" s="454">
        <v>57.0</v>
      </c>
      <c r="B61" s="455" t="s">
        <v>2696</v>
      </c>
      <c r="C61" s="456"/>
      <c r="D61" s="456"/>
      <c r="E61" s="468"/>
      <c r="F61" s="468"/>
      <c r="G61" s="468"/>
      <c r="H61" s="468"/>
      <c r="I61" s="468"/>
      <c r="J61" s="468"/>
      <c r="K61" s="468"/>
      <c r="L61" s="468"/>
      <c r="M61" s="468"/>
      <c r="N61" s="468"/>
      <c r="O61" t="str">
        <f>IFERROR(__xludf.DUMMYFUNCTION("regexextract(B61,""[\w]* [\w]*"")"),"Robert Williams")</f>
        <v>Robert Williams</v>
      </c>
      <c r="P61" t="str">
        <f t="shared" si="2"/>
        <v>Robert Williams</v>
      </c>
      <c r="Q61" t="str">
        <f t="shared" si="3"/>
        <v>Robert Williams</v>
      </c>
      <c r="R61" t="s">
        <v>2640</v>
      </c>
      <c r="S61" s="417" t="s">
        <v>2640</v>
      </c>
      <c r="T61" t="s">
        <v>2640</v>
      </c>
      <c r="U61" t="s">
        <v>92</v>
      </c>
      <c r="V61" t="s">
        <v>97</v>
      </c>
      <c r="W61" t="str">
        <f t="shared" si="1"/>
        <v>PFC</v>
      </c>
    </row>
    <row r="62">
      <c r="A62" s="457">
        <v>58.0</v>
      </c>
      <c r="B62" s="458" t="s">
        <v>2697</v>
      </c>
      <c r="C62" s="459"/>
      <c r="D62" s="459"/>
      <c r="E62" s="469"/>
      <c r="F62" s="469"/>
      <c r="G62" s="469"/>
      <c r="H62" s="469"/>
      <c r="I62" s="469"/>
      <c r="J62" s="469"/>
      <c r="K62" s="469"/>
      <c r="L62" s="469"/>
      <c r="M62" s="469"/>
      <c r="N62" s="470"/>
      <c r="O62" t="str">
        <f>IFERROR(__xludf.DUMMYFUNCTION("regexextract(B62,""[\w]* [\w]*"")"),"Tyrese Haliburton")</f>
        <v>Tyrese Haliburton</v>
      </c>
      <c r="P62" t="str">
        <f t="shared" si="2"/>
        <v>Tyrese Haliburton</v>
      </c>
      <c r="Q62" t="str">
        <f t="shared" si="3"/>
        <v>Tyrese Haliburton</v>
      </c>
      <c r="R62" t="s">
        <v>85</v>
      </c>
      <c r="S62" s="417" t="s">
        <v>88</v>
      </c>
      <c r="T62" t="s">
        <v>2640</v>
      </c>
      <c r="U62" t="s">
        <v>2640</v>
      </c>
      <c r="V62" t="s">
        <v>97</v>
      </c>
      <c r="W62" t="str">
        <f t="shared" si="1"/>
        <v>PGSGC</v>
      </c>
    </row>
    <row r="63">
      <c r="A63" s="454">
        <v>59.0</v>
      </c>
      <c r="B63" s="455" t="s">
        <v>2698</v>
      </c>
      <c r="C63" s="456"/>
      <c r="D63" s="456"/>
      <c r="E63" s="468"/>
      <c r="F63" s="468"/>
      <c r="G63" s="468"/>
      <c r="H63" s="468"/>
      <c r="I63" s="468"/>
      <c r="J63" s="468"/>
      <c r="K63" s="468"/>
      <c r="L63" s="468"/>
      <c r="M63" s="468"/>
      <c r="N63" s="468"/>
      <c r="O63" t="str">
        <f>IFERROR(__xludf.DUMMYFUNCTION("regexextract(B63,""[\w]* [\w]*"")"),"Kyle Lowry")</f>
        <v>Kyle Lowry</v>
      </c>
      <c r="P63" t="str">
        <f t="shared" si="2"/>
        <v>Kyle Lowry</v>
      </c>
      <c r="Q63" t="str">
        <f t="shared" si="3"/>
        <v>Kyle Lowry</v>
      </c>
      <c r="R63" t="s">
        <v>85</v>
      </c>
      <c r="S63" s="417" t="s">
        <v>2640</v>
      </c>
      <c r="T63" t="s">
        <v>2640</v>
      </c>
      <c r="U63" t="s">
        <v>2640</v>
      </c>
      <c r="V63" t="s">
        <v>2640</v>
      </c>
      <c r="W63" t="str">
        <f t="shared" si="1"/>
        <v>PG</v>
      </c>
    </row>
    <row r="64">
      <c r="A64" s="457">
        <v>60.0</v>
      </c>
      <c r="B64" s="458" t="s">
        <v>2699</v>
      </c>
      <c r="C64" s="459"/>
      <c r="D64" s="459"/>
      <c r="E64" s="469"/>
      <c r="F64" s="469"/>
      <c r="G64" s="469"/>
      <c r="H64" s="469"/>
      <c r="I64" s="469"/>
      <c r="J64" s="469"/>
      <c r="K64" s="469"/>
      <c r="L64" s="469"/>
      <c r="M64" s="469"/>
      <c r="N64" s="469"/>
      <c r="O64" t="str">
        <f>IFERROR(__xludf.DUMMYFUNCTION("regexextract(B64,""[\w]* [\w]*"")"),"Jalen Suggs")</f>
        <v>Jalen Suggs</v>
      </c>
      <c r="P64" t="str">
        <f t="shared" si="2"/>
        <v>Jalen Suggs</v>
      </c>
      <c r="Q64" t="str">
        <f t="shared" si="3"/>
        <v>Jalen Suggs</v>
      </c>
      <c r="R64" t="s">
        <v>85</v>
      </c>
      <c r="S64" s="417" t="s">
        <v>88</v>
      </c>
      <c r="T64" t="s">
        <v>2640</v>
      </c>
      <c r="U64" t="s">
        <v>2640</v>
      </c>
      <c r="V64" t="s">
        <v>2640</v>
      </c>
      <c r="W64" t="str">
        <f t="shared" si="1"/>
        <v>PGSG</v>
      </c>
    </row>
    <row r="65">
      <c r="A65" s="454">
        <v>61.0</v>
      </c>
      <c r="B65" s="455" t="s">
        <v>2700</v>
      </c>
      <c r="C65" s="456"/>
      <c r="D65" s="456"/>
      <c r="E65" s="468"/>
      <c r="F65" s="468"/>
      <c r="G65" s="468"/>
      <c r="H65" s="468"/>
      <c r="I65" s="468"/>
      <c r="J65" s="468"/>
      <c r="K65" s="468"/>
      <c r="L65" s="468"/>
      <c r="M65" s="468"/>
      <c r="N65" s="468"/>
      <c r="O65" t="str">
        <f>IFERROR(__xludf.DUMMYFUNCTION("regexextract(B65,""[\w]* [\w]*"")"),"Derrick White")</f>
        <v>Derrick White</v>
      </c>
      <c r="P65" t="str">
        <f t="shared" si="2"/>
        <v>Derrick White</v>
      </c>
      <c r="Q65" t="str">
        <f t="shared" si="3"/>
        <v>Derrick White</v>
      </c>
      <c r="R65" t="s">
        <v>85</v>
      </c>
      <c r="S65" s="417" t="s">
        <v>88</v>
      </c>
      <c r="T65" t="s">
        <v>2640</v>
      </c>
      <c r="U65" t="s">
        <v>2640</v>
      </c>
      <c r="V65" t="s">
        <v>97</v>
      </c>
      <c r="W65" t="str">
        <f t="shared" si="1"/>
        <v>PGSGC</v>
      </c>
    </row>
    <row r="66">
      <c r="A66" s="457">
        <v>62.0</v>
      </c>
      <c r="B66" s="458" t="s">
        <v>2701</v>
      </c>
      <c r="C66" s="459"/>
      <c r="D66" s="459"/>
      <c r="E66" s="469"/>
      <c r="F66" s="469"/>
      <c r="G66" s="469"/>
      <c r="H66" s="469"/>
      <c r="I66" s="469"/>
      <c r="J66" s="469"/>
      <c r="K66" s="469"/>
      <c r="L66" s="469"/>
      <c r="M66" s="469"/>
      <c r="N66" s="470"/>
      <c r="O66" t="str">
        <f>IFERROR(__xludf.DUMMYFUNCTION("regexextract(B66,""[\w]* [\w]*"")"),"Cade CunninghamDTD")</f>
        <v>Cade CunninghamDTD</v>
      </c>
      <c r="P66" t="str">
        <f t="shared" si="2"/>
        <v>Cade Cunningham</v>
      </c>
      <c r="Q66" t="str">
        <f t="shared" si="3"/>
        <v>Cade Cunningham</v>
      </c>
      <c r="R66" t="s">
        <v>85</v>
      </c>
      <c r="S66" s="417" t="s">
        <v>2640</v>
      </c>
      <c r="T66" t="s">
        <v>2640</v>
      </c>
      <c r="U66" t="s">
        <v>2640</v>
      </c>
      <c r="V66" t="s">
        <v>97</v>
      </c>
      <c r="W66" t="str">
        <f t="shared" si="1"/>
        <v>PGC</v>
      </c>
    </row>
    <row r="67">
      <c r="A67" s="454">
        <v>63.0</v>
      </c>
      <c r="B67" s="455" t="s">
        <v>2702</v>
      </c>
      <c r="C67" s="456"/>
      <c r="D67" s="456"/>
      <c r="E67" s="468"/>
      <c r="F67" s="468"/>
      <c r="G67" s="468"/>
      <c r="H67" s="468"/>
      <c r="I67" s="468"/>
      <c r="J67" s="468"/>
      <c r="K67" s="468"/>
      <c r="L67" s="468"/>
      <c r="M67" s="468"/>
      <c r="N67" s="471"/>
      <c r="O67" t="str">
        <f>IFERROR(__xludf.DUMMYFUNCTION("regexextract(B67,""[\w]* [\w]*"")"),"Buddy Hield")</f>
        <v>Buddy Hield</v>
      </c>
      <c r="P67" t="str">
        <f t="shared" si="2"/>
        <v>Buddy Hield</v>
      </c>
      <c r="Q67" t="str">
        <f t="shared" si="3"/>
        <v>Buddy Hield</v>
      </c>
      <c r="R67" t="s">
        <v>2640</v>
      </c>
      <c r="S67" s="417" t="s">
        <v>88</v>
      </c>
      <c r="T67" t="s">
        <v>90</v>
      </c>
      <c r="U67" t="s">
        <v>2640</v>
      </c>
      <c r="V67" t="s">
        <v>97</v>
      </c>
      <c r="W67" t="str">
        <f t="shared" si="1"/>
        <v>SGSFC</v>
      </c>
    </row>
    <row r="68">
      <c r="A68" s="457">
        <v>64.0</v>
      </c>
      <c r="B68" s="458" t="s">
        <v>2703</v>
      </c>
      <c r="C68" s="459"/>
      <c r="D68" s="459"/>
      <c r="E68" s="469"/>
      <c r="F68" s="469"/>
      <c r="G68" s="469"/>
      <c r="H68" s="469"/>
      <c r="I68" s="469"/>
      <c r="J68" s="469"/>
      <c r="K68" s="469"/>
      <c r="L68" s="469"/>
      <c r="M68" s="469"/>
      <c r="N68" s="470"/>
      <c r="O68" t="str">
        <f>IFERROR(__xludf.DUMMYFUNCTION("regexextract(B68,""[\w]* [\w]*"")"),"Jarrett AllenDTD")</f>
        <v>Jarrett AllenDTD</v>
      </c>
      <c r="P68" t="str">
        <f t="shared" si="2"/>
        <v>Jarrett Allen</v>
      </c>
      <c r="Q68" t="str">
        <f t="shared" si="3"/>
        <v>Jarrett Allen</v>
      </c>
      <c r="R68" t="s">
        <v>2640</v>
      </c>
      <c r="S68" s="417" t="s">
        <v>2640</v>
      </c>
      <c r="T68" t="s">
        <v>2640</v>
      </c>
      <c r="U68" t="s">
        <v>2640</v>
      </c>
      <c r="V68" t="s">
        <v>97</v>
      </c>
      <c r="W68" t="str">
        <f t="shared" si="1"/>
        <v>C</v>
      </c>
    </row>
    <row r="69">
      <c r="A69" s="454">
        <v>65.0</v>
      </c>
      <c r="B69" s="455" t="s">
        <v>2704</v>
      </c>
      <c r="C69" s="456"/>
      <c r="D69" s="456"/>
      <c r="E69" s="468"/>
      <c r="F69" s="468"/>
      <c r="G69" s="468"/>
      <c r="H69" s="468"/>
      <c r="I69" s="468"/>
      <c r="J69" s="468"/>
      <c r="K69" s="468"/>
      <c r="L69" s="468"/>
      <c r="M69" s="468"/>
      <c r="N69" s="468"/>
      <c r="O69" t="str">
        <f>IFERROR(__xludf.DUMMYFUNCTION("regexextract(B69,""[\w]* [\w]*"")"),"Malcolm Brogdon")</f>
        <v>Malcolm Brogdon</v>
      </c>
      <c r="P69" t="str">
        <f t="shared" si="2"/>
        <v>Malcolm Brogdon</v>
      </c>
      <c r="Q69" t="str">
        <f t="shared" si="3"/>
        <v>Malcolm Brogdon</v>
      </c>
      <c r="R69" t="s">
        <v>85</v>
      </c>
      <c r="S69" s="417" t="s">
        <v>88</v>
      </c>
      <c r="T69" t="s">
        <v>2640</v>
      </c>
      <c r="U69" t="s">
        <v>2640</v>
      </c>
      <c r="V69" t="s">
        <v>97</v>
      </c>
      <c r="W69" t="str">
        <f t="shared" si="1"/>
        <v>PGSGC</v>
      </c>
    </row>
    <row r="70">
      <c r="A70" s="457">
        <v>66.0</v>
      </c>
      <c r="B70" s="458" t="s">
        <v>2705</v>
      </c>
      <c r="C70" s="459"/>
      <c r="D70" s="459"/>
      <c r="E70" s="469"/>
      <c r="F70" s="469"/>
      <c r="G70" s="469"/>
      <c r="H70" s="469"/>
      <c r="I70" s="469"/>
      <c r="J70" s="469"/>
      <c r="K70" s="469"/>
      <c r="L70" s="469"/>
      <c r="M70" s="469"/>
      <c r="N70" s="469"/>
      <c r="O70" t="str">
        <f>IFERROR(__xludf.DUMMYFUNCTION("regexextract(B70,""[\w]* [\w]*"")"),"Spencer Dinwiddie")</f>
        <v>Spencer Dinwiddie</v>
      </c>
      <c r="P70" t="str">
        <f t="shared" si="2"/>
        <v>Spencer Dinwiddie</v>
      </c>
      <c r="Q70" t="str">
        <f t="shared" si="3"/>
        <v>Spencer Dinwiddie</v>
      </c>
      <c r="R70" t="s">
        <v>85</v>
      </c>
      <c r="S70" s="417" t="s">
        <v>88</v>
      </c>
      <c r="T70" t="s">
        <v>2640</v>
      </c>
      <c r="U70" t="s">
        <v>2640</v>
      </c>
      <c r="V70" t="s">
        <v>97</v>
      </c>
      <c r="W70" t="str">
        <f t="shared" si="1"/>
        <v>PGSGC</v>
      </c>
    </row>
    <row r="71">
      <c r="A71" s="454">
        <v>67.0</v>
      </c>
      <c r="B71" s="455" t="s">
        <v>2706</v>
      </c>
      <c r="C71" s="456"/>
      <c r="D71" s="456"/>
      <c r="E71" s="468"/>
      <c r="F71" s="468"/>
      <c r="G71" s="468"/>
      <c r="H71" s="468"/>
      <c r="I71" s="468"/>
      <c r="J71" s="468"/>
      <c r="K71" s="468"/>
      <c r="L71" s="468"/>
      <c r="M71" s="468"/>
      <c r="N71" s="471"/>
      <c r="O71" t="str">
        <f>IFERROR(__xludf.DUMMYFUNCTION("regexextract(B71,""[\w]* [\w]*"")"),"Jonathan IsaacO")</f>
        <v>Jonathan IsaacO</v>
      </c>
      <c r="P71" t="str">
        <f t="shared" si="2"/>
        <v>Jonathan IsaacO</v>
      </c>
      <c r="Q71" t="str">
        <f t="shared" si="3"/>
        <v>Jonathan Isaac</v>
      </c>
      <c r="R71" t="s">
        <v>2640</v>
      </c>
      <c r="S71" s="417" t="s">
        <v>2640</v>
      </c>
      <c r="T71" t="s">
        <v>90</v>
      </c>
      <c r="U71" t="s">
        <v>92</v>
      </c>
      <c r="V71" t="s">
        <v>97</v>
      </c>
      <c r="W71" t="str">
        <f t="shared" si="1"/>
        <v>SFPFC</v>
      </c>
    </row>
    <row r="72">
      <c r="A72" s="457">
        <v>68.0</v>
      </c>
      <c r="B72" s="458" t="s">
        <v>2707</v>
      </c>
      <c r="C72" s="459"/>
      <c r="D72" s="459"/>
      <c r="E72" s="469"/>
      <c r="F72" s="469"/>
      <c r="G72" s="469"/>
      <c r="H72" s="469"/>
      <c r="I72" s="469"/>
      <c r="J72" s="469"/>
      <c r="K72" s="469"/>
      <c r="L72" s="469"/>
      <c r="M72" s="469"/>
      <c r="N72" s="470"/>
      <c r="O72" t="str">
        <f>IFERROR(__xludf.DUMMYFUNCTION("regexextract(B72,""[\w]* [\w]*"")"),"Angelo Russell")</f>
        <v>Angelo Russell</v>
      </c>
      <c r="P72" t="str">
        <f t="shared" si="2"/>
        <v>Angelo Russell</v>
      </c>
      <c r="Q72" t="str">
        <f t="shared" si="3"/>
        <v>Angelo Russell</v>
      </c>
      <c r="R72" t="s">
        <v>85</v>
      </c>
      <c r="S72" s="417" t="s">
        <v>88</v>
      </c>
      <c r="T72" t="s">
        <v>2640</v>
      </c>
      <c r="U72" t="s">
        <v>2640</v>
      </c>
      <c r="V72" t="s">
        <v>2640</v>
      </c>
      <c r="W72" t="str">
        <f t="shared" si="1"/>
        <v>PGSG</v>
      </c>
    </row>
    <row r="73">
      <c r="A73" s="454">
        <v>69.0</v>
      </c>
      <c r="B73" s="455" t="s">
        <v>2708</v>
      </c>
      <c r="C73" s="456"/>
      <c r="D73" s="456"/>
      <c r="E73" s="468"/>
      <c r="F73" s="468"/>
      <c r="G73" s="468"/>
      <c r="H73" s="468"/>
      <c r="I73" s="468"/>
      <c r="J73" s="468"/>
      <c r="K73" s="468"/>
      <c r="L73" s="468"/>
      <c r="M73" s="468"/>
      <c r="N73" s="471"/>
      <c r="O73" t="str">
        <f>IFERROR(__xludf.DUMMYFUNCTION("regexextract(B73,""[\w]* [\w]*"")"),"Kemba Walker")</f>
        <v>Kemba Walker</v>
      </c>
      <c r="P73" t="str">
        <f t="shared" si="2"/>
        <v>Kemba Walker</v>
      </c>
      <c r="Q73" t="str">
        <f t="shared" si="3"/>
        <v>Kemba Walker</v>
      </c>
      <c r="R73" t="s">
        <v>85</v>
      </c>
      <c r="S73" s="417" t="s">
        <v>2640</v>
      </c>
      <c r="T73" t="s">
        <v>2640</v>
      </c>
      <c r="U73" t="s">
        <v>2640</v>
      </c>
      <c r="V73" t="s">
        <v>2640</v>
      </c>
      <c r="W73" t="str">
        <f t="shared" si="1"/>
        <v>PG</v>
      </c>
    </row>
    <row r="74">
      <c r="A74" s="457">
        <v>70.0</v>
      </c>
      <c r="B74" s="458" t="s">
        <v>2709</v>
      </c>
      <c r="C74" s="459"/>
      <c r="D74" s="459"/>
      <c r="E74" s="469"/>
      <c r="F74" s="469"/>
      <c r="G74" s="469"/>
      <c r="H74" s="469"/>
      <c r="I74" s="469"/>
      <c r="J74" s="469"/>
      <c r="K74" s="469"/>
      <c r="L74" s="469"/>
      <c r="M74" s="469"/>
      <c r="N74" s="470"/>
      <c r="O74" t="str">
        <f>IFERROR(__xludf.DUMMYFUNCTION("regexextract(B74,""[\w]* [\w]*"")"),"Andrew Wiggins")</f>
        <v>Andrew Wiggins</v>
      </c>
      <c r="P74" t="str">
        <f t="shared" si="2"/>
        <v>Andrew Wiggins</v>
      </c>
      <c r="Q74" t="str">
        <f t="shared" si="3"/>
        <v>Andrew Wiggins</v>
      </c>
      <c r="R74" t="s">
        <v>2640</v>
      </c>
      <c r="S74" s="417" t="s">
        <v>88</v>
      </c>
      <c r="T74" t="s">
        <v>90</v>
      </c>
      <c r="U74" t="s">
        <v>2640</v>
      </c>
      <c r="V74" t="s">
        <v>2640</v>
      </c>
      <c r="W74" t="str">
        <f t="shared" si="1"/>
        <v>SGSF</v>
      </c>
    </row>
    <row r="75">
      <c r="A75" s="454">
        <v>71.0</v>
      </c>
      <c r="B75" s="455" t="s">
        <v>2710</v>
      </c>
      <c r="C75" s="456"/>
      <c r="D75" s="456"/>
      <c r="E75" s="468"/>
      <c r="F75" s="468"/>
      <c r="G75" s="468"/>
      <c r="H75" s="468"/>
      <c r="I75" s="468"/>
      <c r="J75" s="468"/>
      <c r="K75" s="468"/>
      <c r="L75" s="468"/>
      <c r="M75" s="468"/>
      <c r="N75" s="471"/>
      <c r="O75" t="str">
        <f>IFERROR(__xludf.DUMMYFUNCTION("regexextract(B75,""[\w]* [\w]*"")"),"OG Anunoby")</f>
        <v>OG Anunoby</v>
      </c>
      <c r="P75" t="str">
        <f t="shared" si="2"/>
        <v>OG Anunoby</v>
      </c>
      <c r="Q75" t="str">
        <f t="shared" si="3"/>
        <v>OG Anunoby</v>
      </c>
      <c r="R75" t="s">
        <v>2640</v>
      </c>
      <c r="S75" s="417" t="s">
        <v>2640</v>
      </c>
      <c r="T75" t="s">
        <v>90</v>
      </c>
      <c r="U75" t="s">
        <v>92</v>
      </c>
      <c r="V75" t="s">
        <v>2640</v>
      </c>
      <c r="W75" t="str">
        <f t="shared" si="1"/>
        <v>SFPF</v>
      </c>
    </row>
    <row r="76">
      <c r="A76" s="457">
        <v>72.0</v>
      </c>
      <c r="B76" s="458" t="s">
        <v>2711</v>
      </c>
      <c r="C76" s="459"/>
      <c r="D76" s="459"/>
      <c r="E76" s="469"/>
      <c r="F76" s="469"/>
      <c r="G76" s="469"/>
      <c r="H76" s="469"/>
      <c r="I76" s="469"/>
      <c r="J76" s="469"/>
      <c r="K76" s="469"/>
      <c r="L76" s="469"/>
      <c r="M76" s="469"/>
      <c r="N76" s="470"/>
      <c r="O76" t="str">
        <f>IFERROR(__xludf.DUMMYFUNCTION("regexextract(B76,""[\w]* [\w]*"")"),"John Collins")</f>
        <v>John Collins</v>
      </c>
      <c r="P76" t="str">
        <f t="shared" si="2"/>
        <v>John Collins</v>
      </c>
      <c r="Q76" t="str">
        <f t="shared" si="3"/>
        <v>John Collins</v>
      </c>
      <c r="R76" t="s">
        <v>2640</v>
      </c>
      <c r="S76" s="417" t="s">
        <v>2640</v>
      </c>
      <c r="T76" t="s">
        <v>2640</v>
      </c>
      <c r="U76" t="s">
        <v>92</v>
      </c>
      <c r="V76" t="s">
        <v>97</v>
      </c>
      <c r="W76" t="str">
        <f t="shared" si="1"/>
        <v>PFC</v>
      </c>
    </row>
    <row r="77">
      <c r="A77" s="454">
        <v>73.0</v>
      </c>
      <c r="B77" s="455" t="s">
        <v>2712</v>
      </c>
      <c r="C77" s="456"/>
      <c r="D77" s="456"/>
      <c r="E77" s="468"/>
      <c r="F77" s="468"/>
      <c r="G77" s="468"/>
      <c r="H77" s="468"/>
      <c r="I77" s="468"/>
      <c r="J77" s="468"/>
      <c r="K77" s="468"/>
      <c r="L77" s="468"/>
      <c r="M77" s="468"/>
      <c r="N77" s="471"/>
      <c r="O77" t="str">
        <f>IFERROR(__xludf.DUMMYFUNCTION("regexextract(B77,""[\w]* [\w]*"")"),"Kristaps Porzingis")</f>
        <v>Kristaps Porzingis</v>
      </c>
      <c r="P77" t="str">
        <f t="shared" si="2"/>
        <v>Kristaps Porzingis</v>
      </c>
      <c r="Q77" t="str">
        <f t="shared" si="3"/>
        <v>Kristaps Porzingis</v>
      </c>
      <c r="R77" t="s">
        <v>2640</v>
      </c>
      <c r="S77" s="417" t="s">
        <v>2640</v>
      </c>
      <c r="T77" t="s">
        <v>2640</v>
      </c>
      <c r="U77" t="s">
        <v>92</v>
      </c>
      <c r="V77" t="s">
        <v>97</v>
      </c>
      <c r="W77" t="str">
        <f t="shared" si="1"/>
        <v>PFC</v>
      </c>
    </row>
    <row r="78">
      <c r="A78" s="457">
        <v>74.0</v>
      </c>
      <c r="B78" s="458" t="s">
        <v>2713</v>
      </c>
      <c r="C78" s="459"/>
      <c r="D78" s="459"/>
      <c r="E78" s="469"/>
      <c r="F78" s="469"/>
      <c r="G78" s="469"/>
      <c r="H78" s="469"/>
      <c r="I78" s="469"/>
      <c r="J78" s="469"/>
      <c r="K78" s="469"/>
      <c r="L78" s="469"/>
      <c r="M78" s="469"/>
      <c r="N78" s="470"/>
      <c r="O78" t="str">
        <f>IFERROR(__xludf.DUMMYFUNCTION("regexextract(B78,""[\w]* [\w]*"")"),"Chris Boucher")</f>
        <v>Chris Boucher</v>
      </c>
      <c r="P78" t="str">
        <f t="shared" si="2"/>
        <v>Chris Boucher</v>
      </c>
      <c r="Q78" t="str">
        <f t="shared" si="3"/>
        <v>Chris Boucher</v>
      </c>
      <c r="R78" t="s">
        <v>2640</v>
      </c>
      <c r="S78" s="417" t="s">
        <v>2640</v>
      </c>
      <c r="T78" t="s">
        <v>2640</v>
      </c>
      <c r="U78" t="s">
        <v>92</v>
      </c>
      <c r="V78" t="s">
        <v>97</v>
      </c>
      <c r="W78" t="str">
        <f t="shared" si="1"/>
        <v>PFC</v>
      </c>
    </row>
    <row r="79">
      <c r="A79" s="454">
        <v>75.0</v>
      </c>
      <c r="B79" s="455" t="s">
        <v>2714</v>
      </c>
      <c r="C79" s="456"/>
      <c r="D79" s="456"/>
      <c r="E79" s="468"/>
      <c r="F79" s="468"/>
      <c r="G79" s="468"/>
      <c r="H79" s="468"/>
      <c r="I79" s="468"/>
      <c r="J79" s="468"/>
      <c r="K79" s="468"/>
      <c r="L79" s="468"/>
      <c r="M79" s="468"/>
      <c r="N79" s="468"/>
      <c r="O79" t="str">
        <f>IFERROR(__xludf.DUMMYFUNCTION("regexextract(B79,""[\w]* [\w]*"")"),"Jerami Grant")</f>
        <v>Jerami Grant</v>
      </c>
      <c r="P79" t="str">
        <f t="shared" si="2"/>
        <v>Jerami Grant</v>
      </c>
      <c r="Q79" t="str">
        <f t="shared" si="3"/>
        <v>Jerami Grant</v>
      </c>
      <c r="R79" t="s">
        <v>2640</v>
      </c>
      <c r="S79" s="417" t="s">
        <v>2640</v>
      </c>
      <c r="T79" t="s">
        <v>90</v>
      </c>
      <c r="U79" t="s">
        <v>92</v>
      </c>
      <c r="V79" t="s">
        <v>2640</v>
      </c>
      <c r="W79" t="str">
        <f t="shared" si="1"/>
        <v>SFPF</v>
      </c>
    </row>
    <row r="80">
      <c r="A80" s="457">
        <v>76.0</v>
      </c>
      <c r="B80" s="458" t="s">
        <v>2715</v>
      </c>
      <c r="C80" s="459"/>
      <c r="D80" s="459"/>
      <c r="E80" s="469"/>
      <c r="F80" s="469"/>
      <c r="G80" s="469"/>
      <c r="H80" s="469"/>
      <c r="I80" s="469"/>
      <c r="J80" s="469"/>
      <c r="K80" s="469"/>
      <c r="L80" s="469"/>
      <c r="M80" s="469"/>
      <c r="N80" s="470"/>
      <c r="O80" t="str">
        <f>IFERROR(__xludf.DUMMYFUNCTION("regexextract(B80,""[\w]* [\w]*"")"),"Isaiah StewartDTD")</f>
        <v>Isaiah StewartDTD</v>
      </c>
      <c r="P80" t="str">
        <f t="shared" si="2"/>
        <v>Isaiah Stewart</v>
      </c>
      <c r="Q80" t="str">
        <f t="shared" si="3"/>
        <v>Isaiah Stewart</v>
      </c>
      <c r="R80" t="s">
        <v>2640</v>
      </c>
      <c r="S80" s="417" t="s">
        <v>2640</v>
      </c>
      <c r="T80" t="s">
        <v>2640</v>
      </c>
      <c r="U80" t="s">
        <v>92</v>
      </c>
      <c r="V80" t="s">
        <v>97</v>
      </c>
      <c r="W80" t="str">
        <f t="shared" si="1"/>
        <v>PFC</v>
      </c>
    </row>
    <row r="81">
      <c r="A81" s="454">
        <v>77.0</v>
      </c>
      <c r="B81" s="455" t="s">
        <v>2716</v>
      </c>
      <c r="C81" s="456"/>
      <c r="D81" s="456"/>
      <c r="E81" s="468"/>
      <c r="F81" s="468"/>
      <c r="G81" s="468"/>
      <c r="H81" s="468"/>
      <c r="I81" s="468"/>
      <c r="J81" s="468"/>
      <c r="K81" s="468"/>
      <c r="L81" s="468"/>
      <c r="M81" s="468"/>
      <c r="N81" s="471"/>
      <c r="O81" t="str">
        <f>IFERROR(__xludf.DUMMYFUNCTION("regexextract(B81,""[\w]* [\w]*"")"),"Richaun Holmes")</f>
        <v>Richaun Holmes</v>
      </c>
      <c r="P81" t="str">
        <f t="shared" si="2"/>
        <v>Richaun Holmes</v>
      </c>
      <c r="Q81" t="str">
        <f t="shared" si="3"/>
        <v>Richaun Holmes</v>
      </c>
      <c r="R81" t="s">
        <v>2640</v>
      </c>
      <c r="S81" s="417" t="s">
        <v>2640</v>
      </c>
      <c r="T81" t="s">
        <v>2640</v>
      </c>
      <c r="U81" t="s">
        <v>92</v>
      </c>
      <c r="V81" t="s">
        <v>97</v>
      </c>
      <c r="W81" t="str">
        <f t="shared" si="1"/>
        <v>PFC</v>
      </c>
    </row>
    <row r="82">
      <c r="A82" s="457">
        <v>78.0</v>
      </c>
      <c r="B82" s="458" t="s">
        <v>2717</v>
      </c>
      <c r="C82" s="459"/>
      <c r="D82" s="459"/>
      <c r="E82" s="469"/>
      <c r="F82" s="469"/>
      <c r="G82" s="469"/>
      <c r="H82" s="469"/>
      <c r="I82" s="469"/>
      <c r="J82" s="469"/>
      <c r="K82" s="469"/>
      <c r="L82" s="469"/>
      <c r="M82" s="469"/>
      <c r="N82" s="469"/>
      <c r="O82" t="str">
        <f>IFERROR(__xludf.DUMMYFUNCTION("regexextract(B82,""[\w]* [\w]*"")"),"Darius Garland")</f>
        <v>Darius Garland</v>
      </c>
      <c r="P82" t="str">
        <f t="shared" si="2"/>
        <v>Darius Garland</v>
      </c>
      <c r="Q82" t="str">
        <f t="shared" si="3"/>
        <v>Darius Garland</v>
      </c>
      <c r="R82" t="s">
        <v>85</v>
      </c>
      <c r="S82" s="417" t="s">
        <v>88</v>
      </c>
      <c r="T82" t="s">
        <v>2640</v>
      </c>
      <c r="U82" t="s">
        <v>2640</v>
      </c>
      <c r="V82" t="s">
        <v>97</v>
      </c>
      <c r="W82" t="str">
        <f t="shared" si="1"/>
        <v>PGSGC</v>
      </c>
    </row>
    <row r="83">
      <c r="A83" s="454">
        <v>79.0</v>
      </c>
      <c r="B83" s="455" t="s">
        <v>2718</v>
      </c>
      <c r="C83" s="456"/>
      <c r="D83" s="456"/>
      <c r="E83" s="468"/>
      <c r="F83" s="468"/>
      <c r="G83" s="468"/>
      <c r="H83" s="468"/>
      <c r="I83" s="468"/>
      <c r="J83" s="468"/>
      <c r="K83" s="468"/>
      <c r="L83" s="468"/>
      <c r="M83" s="468"/>
      <c r="N83" s="471"/>
      <c r="O83" t="str">
        <f>IFERROR(__xludf.DUMMYFUNCTION("regexextract(B83,""[\w]* [\w]*"")"),"Myles Turner")</f>
        <v>Myles Turner</v>
      </c>
      <c r="P83" t="str">
        <f t="shared" si="2"/>
        <v>Myles Turner</v>
      </c>
      <c r="Q83" t="str">
        <f t="shared" si="3"/>
        <v>Myles Turner</v>
      </c>
      <c r="R83" t="s">
        <v>2640</v>
      </c>
      <c r="S83" s="417" t="s">
        <v>2640</v>
      </c>
      <c r="T83" t="s">
        <v>2640</v>
      </c>
      <c r="U83" t="s">
        <v>92</v>
      </c>
      <c r="V83" t="s">
        <v>97</v>
      </c>
      <c r="W83" t="str">
        <f t="shared" si="1"/>
        <v>PFC</v>
      </c>
    </row>
    <row r="84">
      <c r="A84" s="457">
        <v>80.0</v>
      </c>
      <c r="B84" s="458" t="s">
        <v>2719</v>
      </c>
      <c r="C84" s="459"/>
      <c r="D84" s="459"/>
      <c r="E84" s="469"/>
      <c r="F84" s="469"/>
      <c r="G84" s="469"/>
      <c r="H84" s="469"/>
      <c r="I84" s="469"/>
      <c r="J84" s="469"/>
      <c r="K84" s="469"/>
      <c r="L84" s="469"/>
      <c r="M84" s="469"/>
      <c r="N84" s="470"/>
      <c r="O84" t="str">
        <f>IFERROR(__xludf.DUMMYFUNCTION("regexextract(B84,""[\w]* [\w]*"")"),"Nickeil Alexander")</f>
        <v>Nickeil Alexander</v>
      </c>
      <c r="P84" t="str">
        <f t="shared" si="2"/>
        <v>Nickeil Alexander</v>
      </c>
      <c r="Q84" t="str">
        <f t="shared" si="3"/>
        <v>Nickeil Alexander</v>
      </c>
      <c r="R84" t="s">
        <v>2640</v>
      </c>
      <c r="S84" s="417" t="s">
        <v>88</v>
      </c>
      <c r="T84" t="s">
        <v>2640</v>
      </c>
      <c r="U84" t="s">
        <v>2640</v>
      </c>
      <c r="V84" t="s">
        <v>97</v>
      </c>
      <c r="W84" t="str">
        <f t="shared" si="1"/>
        <v>SGC</v>
      </c>
    </row>
    <row r="85">
      <c r="A85" s="454">
        <v>81.0</v>
      </c>
      <c r="B85" s="455" t="s">
        <v>2720</v>
      </c>
      <c r="C85" s="456"/>
      <c r="D85" s="456"/>
      <c r="E85" s="468"/>
      <c r="F85" s="468"/>
      <c r="G85" s="468"/>
      <c r="H85" s="468"/>
      <c r="I85" s="468"/>
      <c r="J85" s="468"/>
      <c r="K85" s="468"/>
      <c r="L85" s="468"/>
      <c r="M85" s="468"/>
      <c r="N85" s="472"/>
      <c r="O85" t="str">
        <f>IFERROR(__xludf.DUMMYFUNCTION("regexextract(B85,""[\w]* [\w]*"")"),"Jaren Jackson")</f>
        <v>Jaren Jackson</v>
      </c>
      <c r="P85" t="str">
        <f t="shared" si="2"/>
        <v>Jaren Jackson</v>
      </c>
      <c r="Q85" t="str">
        <f t="shared" si="3"/>
        <v>Jaren Jackson</v>
      </c>
      <c r="R85" t="s">
        <v>2640</v>
      </c>
      <c r="S85" s="417" t="s">
        <v>2640</v>
      </c>
      <c r="T85" t="s">
        <v>2640</v>
      </c>
      <c r="U85" t="s">
        <v>92</v>
      </c>
      <c r="V85" t="s">
        <v>97</v>
      </c>
      <c r="W85" t="str">
        <f t="shared" si="1"/>
        <v>PFC</v>
      </c>
    </row>
    <row r="86">
      <c r="A86" s="457">
        <v>82.0</v>
      </c>
      <c r="B86" s="458" t="s">
        <v>2721</v>
      </c>
      <c r="C86" s="459"/>
      <c r="D86" s="459"/>
      <c r="E86" s="469"/>
      <c r="F86" s="469"/>
      <c r="G86" s="469"/>
      <c r="H86" s="469"/>
      <c r="I86" s="469"/>
      <c r="J86" s="469"/>
      <c r="K86" s="469"/>
      <c r="L86" s="469"/>
      <c r="M86" s="469"/>
      <c r="N86" s="470"/>
      <c r="O86" t="str">
        <f>IFERROR(__xludf.DUMMYFUNCTION("regexextract(B86,""[\w]* [\w]*"")"),"RJ Barrett")</f>
        <v>RJ Barrett</v>
      </c>
      <c r="P86" t="str">
        <f t="shared" si="2"/>
        <v>RJ Barrett</v>
      </c>
      <c r="Q86" t="str">
        <f t="shared" si="3"/>
        <v>RJ Barrett</v>
      </c>
      <c r="R86" t="s">
        <v>2640</v>
      </c>
      <c r="S86" s="417" t="s">
        <v>88</v>
      </c>
      <c r="T86" t="s">
        <v>90</v>
      </c>
      <c r="U86" t="s">
        <v>2640</v>
      </c>
      <c r="V86" t="s">
        <v>2640</v>
      </c>
      <c r="W86" t="str">
        <f t="shared" si="1"/>
        <v>SGSF</v>
      </c>
    </row>
    <row r="87">
      <c r="A87" s="454">
        <v>83.0</v>
      </c>
      <c r="B87" s="455" t="s">
        <v>2722</v>
      </c>
      <c r="C87" s="456"/>
      <c r="D87" s="456"/>
      <c r="E87" s="468"/>
      <c r="F87" s="468"/>
      <c r="G87" s="468"/>
      <c r="H87" s="468"/>
      <c r="I87" s="468"/>
      <c r="J87" s="468"/>
      <c r="K87" s="468"/>
      <c r="L87" s="468"/>
      <c r="M87" s="468"/>
      <c r="N87" s="472"/>
      <c r="O87" t="str">
        <f>IFERROR(__xludf.DUMMYFUNCTION("regexextract(B87,""[\w]* [\w]*"")"),"Mike Conley")</f>
        <v>Mike Conley</v>
      </c>
      <c r="P87" t="str">
        <f t="shared" si="2"/>
        <v>Mike Conley</v>
      </c>
      <c r="Q87" t="str">
        <f t="shared" si="3"/>
        <v>Mike Conley</v>
      </c>
      <c r="R87" t="s">
        <v>85</v>
      </c>
      <c r="S87" s="417" t="s">
        <v>2640</v>
      </c>
      <c r="T87" t="s">
        <v>2640</v>
      </c>
      <c r="U87" t="s">
        <v>2640</v>
      </c>
      <c r="V87" t="s">
        <v>97</v>
      </c>
      <c r="W87" t="str">
        <f t="shared" si="1"/>
        <v>PGC</v>
      </c>
    </row>
    <row r="88">
      <c r="A88" s="457">
        <v>84.0</v>
      </c>
      <c r="B88" s="458" t="s">
        <v>2723</v>
      </c>
      <c r="C88" s="459"/>
      <c r="D88" s="459"/>
      <c r="E88" s="469"/>
      <c r="F88" s="469"/>
      <c r="G88" s="469"/>
      <c r="H88" s="469"/>
      <c r="I88" s="469"/>
      <c r="J88" s="469"/>
      <c r="K88" s="469"/>
      <c r="L88" s="469"/>
      <c r="M88" s="469"/>
      <c r="N88" s="469"/>
      <c r="O88" t="str">
        <f>IFERROR(__xludf.DUMMYFUNCTION("regexextract(B88,""[\w]* [\w]*"")")," Washington")</f>
        <v> Washington</v>
      </c>
      <c r="P88" t="str">
        <f t="shared" si="2"/>
        <v> Washington</v>
      </c>
      <c r="Q88" t="str">
        <f t="shared" si="3"/>
        <v> Washington</v>
      </c>
      <c r="R88" t="s">
        <v>2640</v>
      </c>
      <c r="S88" s="417" t="s">
        <v>2640</v>
      </c>
      <c r="T88" t="s">
        <v>2640</v>
      </c>
      <c r="U88" t="s">
        <v>92</v>
      </c>
      <c r="V88" t="s">
        <v>97</v>
      </c>
      <c r="W88" t="str">
        <f t="shared" si="1"/>
        <v>PFC</v>
      </c>
    </row>
    <row r="89">
      <c r="A89" s="454">
        <v>85.0</v>
      </c>
      <c r="B89" s="455" t="s">
        <v>2724</v>
      </c>
      <c r="C89" s="456"/>
      <c r="D89" s="456"/>
      <c r="E89" s="468"/>
      <c r="F89" s="468"/>
      <c r="G89" s="468"/>
      <c r="H89" s="468"/>
      <c r="I89" s="468"/>
      <c r="J89" s="468"/>
      <c r="K89" s="468"/>
      <c r="L89" s="468"/>
      <c r="M89" s="468"/>
      <c r="N89" s="471"/>
      <c r="O89" t="str">
        <f>IFERROR(__xludf.DUMMYFUNCTION("regexextract(B89,""[\w]* [\w]*"")"),"Jalen Green")</f>
        <v>Jalen Green</v>
      </c>
      <c r="P89" t="str">
        <f t="shared" si="2"/>
        <v>Jalen Green</v>
      </c>
      <c r="Q89" t="str">
        <f t="shared" si="3"/>
        <v>Jalen Green</v>
      </c>
      <c r="R89" t="s">
        <v>2640</v>
      </c>
      <c r="S89" s="417" t="s">
        <v>88</v>
      </c>
      <c r="T89" t="s">
        <v>2640</v>
      </c>
      <c r="U89" t="s">
        <v>2640</v>
      </c>
      <c r="V89" t="s">
        <v>2640</v>
      </c>
      <c r="W89" t="str">
        <f t="shared" si="1"/>
        <v>SG</v>
      </c>
    </row>
    <row r="90">
      <c r="A90" s="457">
        <v>86.0</v>
      </c>
      <c r="B90" s="458" t="s">
        <v>2725</v>
      </c>
      <c r="C90" s="459"/>
      <c r="D90" s="459"/>
      <c r="E90" s="469"/>
      <c r="F90" s="469"/>
      <c r="G90" s="469"/>
      <c r="H90" s="469"/>
      <c r="I90" s="469"/>
      <c r="J90" s="469"/>
      <c r="K90" s="469"/>
      <c r="L90" s="469"/>
      <c r="M90" s="469"/>
      <c r="N90" s="470"/>
      <c r="O90" t="str">
        <f>IFERROR(__xludf.DUMMYFUNCTION("regexextract(B90,""[\w]* [\w]*"")"),"Norman Powell")</f>
        <v>Norman Powell</v>
      </c>
      <c r="P90" t="str">
        <f t="shared" si="2"/>
        <v>Norman Powell</v>
      </c>
      <c r="Q90" t="str">
        <f t="shared" si="3"/>
        <v>Norman Powell</v>
      </c>
      <c r="R90" t="s">
        <v>2640</v>
      </c>
      <c r="S90" s="417" t="s">
        <v>88</v>
      </c>
      <c r="T90" t="s">
        <v>90</v>
      </c>
      <c r="U90" t="s">
        <v>2640</v>
      </c>
      <c r="V90" t="s">
        <v>2640</v>
      </c>
      <c r="W90" t="str">
        <f t="shared" si="1"/>
        <v>SGSF</v>
      </c>
    </row>
    <row r="91">
      <c r="A91" s="454">
        <v>87.0</v>
      </c>
      <c r="B91" s="455" t="s">
        <v>2726</v>
      </c>
      <c r="C91" s="456"/>
      <c r="D91" s="456"/>
      <c r="E91" s="468"/>
      <c r="F91" s="468"/>
      <c r="G91" s="468"/>
      <c r="H91" s="468"/>
      <c r="I91" s="468"/>
      <c r="J91" s="468"/>
      <c r="K91" s="468"/>
      <c r="L91" s="468"/>
      <c r="M91" s="468"/>
      <c r="N91" s="471"/>
      <c r="O91" t="str">
        <f>IFERROR(__xludf.DUMMYFUNCTION("regexextract(B91,""[\w]* [\w]*"")"),"Ivica ZubacDTD")</f>
        <v>Ivica ZubacDTD</v>
      </c>
      <c r="P91" t="str">
        <f t="shared" si="2"/>
        <v>Ivica Zubac</v>
      </c>
      <c r="Q91" t="str">
        <f t="shared" si="3"/>
        <v>Ivica Zubac</v>
      </c>
      <c r="R91" t="s">
        <v>2640</v>
      </c>
      <c r="S91" s="417" t="s">
        <v>2640</v>
      </c>
      <c r="T91" t="s">
        <v>2640</v>
      </c>
      <c r="U91" t="s">
        <v>2640</v>
      </c>
      <c r="V91" t="s">
        <v>97</v>
      </c>
      <c r="W91" t="str">
        <f t="shared" si="1"/>
        <v>C</v>
      </c>
    </row>
    <row r="92">
      <c r="A92" s="457">
        <v>88.0</v>
      </c>
      <c r="B92" s="458" t="s">
        <v>2727</v>
      </c>
      <c r="C92" s="459"/>
      <c r="D92" s="459"/>
      <c r="E92" s="469"/>
      <c r="F92" s="469"/>
      <c r="G92" s="469"/>
      <c r="H92" s="469"/>
      <c r="I92" s="469"/>
      <c r="J92" s="469"/>
      <c r="K92" s="469"/>
      <c r="L92" s="469"/>
      <c r="M92" s="469"/>
      <c r="N92" s="470"/>
      <c r="O92" t="str">
        <f>IFERROR(__xludf.DUMMYFUNCTION("regexextract(B92,""[\w]* [\w]*"")")," Graham")</f>
        <v> Graham</v>
      </c>
      <c r="P92" t="str">
        <f t="shared" si="2"/>
        <v> Graham</v>
      </c>
      <c r="Q92" t="str">
        <f t="shared" si="3"/>
        <v> Graham</v>
      </c>
      <c r="R92" t="s">
        <v>85</v>
      </c>
      <c r="S92" s="417" t="s">
        <v>88</v>
      </c>
      <c r="T92" t="s">
        <v>2640</v>
      </c>
      <c r="U92" t="s">
        <v>2640</v>
      </c>
      <c r="V92" t="s">
        <v>2640</v>
      </c>
      <c r="W92" t="str">
        <f t="shared" si="1"/>
        <v>PGSG</v>
      </c>
    </row>
    <row r="93">
      <c r="A93" s="454">
        <v>89.0</v>
      </c>
      <c r="B93" s="455" t="s">
        <v>2728</v>
      </c>
      <c r="C93" s="456"/>
      <c r="D93" s="456"/>
      <c r="E93" s="468"/>
      <c r="F93" s="468"/>
      <c r="G93" s="468"/>
      <c r="H93" s="468"/>
      <c r="I93" s="468"/>
      <c r="J93" s="468"/>
      <c r="K93" s="468"/>
      <c r="L93" s="468"/>
      <c r="M93" s="468"/>
      <c r="N93" s="471"/>
      <c r="O93" t="str">
        <f>IFERROR(__xludf.DUMMYFUNCTION("regexextract(B93,""[\w]* [\w]*"")"),"Eric Bledsoe")</f>
        <v>Eric Bledsoe</v>
      </c>
      <c r="P93" t="str">
        <f t="shared" si="2"/>
        <v>Eric Bledsoe</v>
      </c>
      <c r="Q93" t="str">
        <f t="shared" si="3"/>
        <v>Eric Bledsoe</v>
      </c>
      <c r="R93" t="s">
        <v>85</v>
      </c>
      <c r="S93" s="417" t="s">
        <v>88</v>
      </c>
      <c r="T93" t="s">
        <v>2640</v>
      </c>
      <c r="U93" t="s">
        <v>2640</v>
      </c>
      <c r="V93" t="s">
        <v>97</v>
      </c>
      <c r="W93" t="str">
        <f t="shared" si="1"/>
        <v>PGSGC</v>
      </c>
    </row>
    <row r="94">
      <c r="A94" s="457">
        <v>90.0</v>
      </c>
      <c r="B94" s="458" t="s">
        <v>2729</v>
      </c>
      <c r="C94" s="459"/>
      <c r="D94" s="459"/>
      <c r="E94" s="469"/>
      <c r="F94" s="469"/>
      <c r="G94" s="469"/>
      <c r="H94" s="469"/>
      <c r="I94" s="469"/>
      <c r="J94" s="469"/>
      <c r="K94" s="469"/>
      <c r="L94" s="469"/>
      <c r="M94" s="469"/>
      <c r="N94" s="470"/>
      <c r="O94" t="str">
        <f>IFERROR(__xludf.DUMMYFUNCTION("regexextract(B94,""[\w]* [\w]*"")"),"Mikal Bridges")</f>
        <v>Mikal Bridges</v>
      </c>
      <c r="P94" t="str">
        <f t="shared" si="2"/>
        <v>Mikal Bridges</v>
      </c>
      <c r="Q94" t="str">
        <f t="shared" si="3"/>
        <v>Mikal Bridges</v>
      </c>
      <c r="R94" t="s">
        <v>2640</v>
      </c>
      <c r="S94" s="417" t="s">
        <v>2640</v>
      </c>
      <c r="T94" t="s">
        <v>90</v>
      </c>
      <c r="U94" t="s">
        <v>2640</v>
      </c>
      <c r="V94" t="s">
        <v>2640</v>
      </c>
      <c r="W94" t="str">
        <f t="shared" si="1"/>
        <v>SF</v>
      </c>
    </row>
    <row r="95">
      <c r="A95" s="454">
        <v>91.0</v>
      </c>
      <c r="B95" s="455" t="s">
        <v>2730</v>
      </c>
      <c r="C95" s="456"/>
      <c r="D95" s="456"/>
      <c r="E95" s="468"/>
      <c r="F95" s="468"/>
      <c r="G95" s="468"/>
      <c r="H95" s="468"/>
      <c r="I95" s="468"/>
      <c r="J95" s="468"/>
      <c r="K95" s="468"/>
      <c r="L95" s="468"/>
      <c r="M95" s="468"/>
      <c r="N95" s="468"/>
      <c r="O95" t="str">
        <f>IFERROR(__xludf.DUMMYFUNCTION("regexextract(B95,""[\w]* [\w]*"")"),"Wendell Carter")</f>
        <v>Wendell Carter</v>
      </c>
      <c r="P95" t="str">
        <f t="shared" si="2"/>
        <v>Wendell Carter</v>
      </c>
      <c r="Q95" t="str">
        <f t="shared" si="3"/>
        <v>Wendell Carter</v>
      </c>
      <c r="R95" t="s">
        <v>2640</v>
      </c>
      <c r="S95" s="417" t="s">
        <v>2640</v>
      </c>
      <c r="T95" t="s">
        <v>2640</v>
      </c>
      <c r="U95" t="s">
        <v>2640</v>
      </c>
      <c r="V95" t="s">
        <v>97</v>
      </c>
      <c r="W95" t="str">
        <f t="shared" si="1"/>
        <v>C</v>
      </c>
    </row>
    <row r="96">
      <c r="A96" s="457">
        <v>92.0</v>
      </c>
      <c r="B96" s="458" t="s">
        <v>2731</v>
      </c>
      <c r="C96" s="459"/>
      <c r="D96" s="459"/>
      <c r="E96" s="469"/>
      <c r="F96" s="469"/>
      <c r="G96" s="469"/>
      <c r="H96" s="469"/>
      <c r="I96" s="469"/>
      <c r="J96" s="469"/>
      <c r="K96" s="469"/>
      <c r="L96" s="469"/>
      <c r="M96" s="469"/>
      <c r="N96" s="470"/>
      <c r="O96" t="str">
        <f>IFERROR(__xludf.DUMMYFUNCTION("regexextract(B96,""[\w]* [\w]*"")"),"Robert Covington")</f>
        <v>Robert Covington</v>
      </c>
      <c r="P96" t="str">
        <f t="shared" si="2"/>
        <v>Robert Covington</v>
      </c>
      <c r="Q96" t="str">
        <f t="shared" si="3"/>
        <v>Robert Covington</v>
      </c>
      <c r="R96" t="s">
        <v>2640</v>
      </c>
      <c r="S96" s="417" t="s">
        <v>2640</v>
      </c>
      <c r="T96" t="s">
        <v>90</v>
      </c>
      <c r="U96" t="s">
        <v>92</v>
      </c>
      <c r="V96" t="s">
        <v>97</v>
      </c>
      <c r="W96" t="str">
        <f t="shared" si="1"/>
        <v>SFPFC</v>
      </c>
    </row>
    <row r="97">
      <c r="A97" s="454">
        <v>93.0</v>
      </c>
      <c r="B97" s="455" t="s">
        <v>2732</v>
      </c>
      <c r="C97" s="456"/>
      <c r="D97" s="456"/>
      <c r="E97" s="468"/>
      <c r="F97" s="468"/>
      <c r="G97" s="468"/>
      <c r="H97" s="468"/>
      <c r="I97" s="468"/>
      <c r="J97" s="468"/>
      <c r="K97" s="468"/>
      <c r="L97" s="468"/>
      <c r="M97" s="468"/>
      <c r="N97" s="468"/>
      <c r="O97" t="str">
        <f>IFERROR(__xludf.DUMMYFUNCTION("regexextract(B97,""[\w]* [\w]*"")"),"Thaddeus Young")</f>
        <v>Thaddeus Young</v>
      </c>
      <c r="P97" t="str">
        <f t="shared" si="2"/>
        <v>Thaddeus Young</v>
      </c>
      <c r="Q97" t="str">
        <f t="shared" si="3"/>
        <v>Thaddeus Young</v>
      </c>
      <c r="R97" t="s">
        <v>2640</v>
      </c>
      <c r="S97" s="417" t="s">
        <v>2640</v>
      </c>
      <c r="T97" t="s">
        <v>90</v>
      </c>
      <c r="U97" t="s">
        <v>92</v>
      </c>
      <c r="V97" t="s">
        <v>97</v>
      </c>
      <c r="W97" t="str">
        <f t="shared" si="1"/>
        <v>SFPFC</v>
      </c>
    </row>
    <row r="98">
      <c r="A98" s="457">
        <v>94.0</v>
      </c>
      <c r="B98" s="458" t="s">
        <v>2733</v>
      </c>
      <c r="C98" s="459"/>
      <c r="D98" s="459"/>
      <c r="E98" s="469"/>
      <c r="F98" s="469"/>
      <c r="G98" s="469"/>
      <c r="H98" s="469"/>
      <c r="I98" s="469"/>
      <c r="J98" s="469"/>
      <c r="K98" s="469"/>
      <c r="L98" s="469"/>
      <c r="M98" s="469"/>
      <c r="N98" s="470"/>
      <c r="O98" t="str">
        <f>IFERROR(__xludf.DUMMYFUNCTION("regexextract(B98,""[\w]* [\w]*"")"),"Marcus Smart")</f>
        <v>Marcus Smart</v>
      </c>
      <c r="P98" t="str">
        <f t="shared" si="2"/>
        <v>Marcus Smart</v>
      </c>
      <c r="Q98" t="str">
        <f t="shared" si="3"/>
        <v>Marcus Smart</v>
      </c>
      <c r="R98" t="s">
        <v>85</v>
      </c>
      <c r="S98" s="417" t="s">
        <v>88</v>
      </c>
      <c r="T98" t="s">
        <v>2640</v>
      </c>
      <c r="U98" t="s">
        <v>2640</v>
      </c>
      <c r="V98" t="s">
        <v>97</v>
      </c>
      <c r="W98" t="str">
        <f t="shared" si="1"/>
        <v>PGSGC</v>
      </c>
    </row>
    <row r="99">
      <c r="A99" s="454">
        <v>95.0</v>
      </c>
      <c r="B99" s="455" t="s">
        <v>2734</v>
      </c>
      <c r="C99" s="456"/>
      <c r="D99" s="456"/>
      <c r="E99" s="468"/>
      <c r="F99" s="468"/>
      <c r="G99" s="468"/>
      <c r="H99" s="468"/>
      <c r="I99" s="468"/>
      <c r="J99" s="468"/>
      <c r="K99" s="468"/>
      <c r="L99" s="468"/>
      <c r="M99" s="468"/>
      <c r="N99" s="471"/>
      <c r="O99" t="str">
        <f>IFERROR(__xludf.DUMMYFUNCTION("regexextract(B99,""[\w]* [\w]*"")"),"Dennis Schroder")</f>
        <v>Dennis Schroder</v>
      </c>
      <c r="P99" t="str">
        <f t="shared" si="2"/>
        <v>Dennis Schroder</v>
      </c>
      <c r="Q99" t="str">
        <f t="shared" si="3"/>
        <v>Dennis Schroder</v>
      </c>
      <c r="R99" t="s">
        <v>85</v>
      </c>
      <c r="S99" s="417" t="s">
        <v>2640</v>
      </c>
      <c r="T99" t="s">
        <v>2640</v>
      </c>
      <c r="U99" t="s">
        <v>2640</v>
      </c>
      <c r="V99" t="s">
        <v>97</v>
      </c>
      <c r="W99" t="str">
        <f t="shared" si="1"/>
        <v>PGC</v>
      </c>
    </row>
    <row r="100">
      <c r="A100" s="457">
        <v>96.0</v>
      </c>
      <c r="B100" s="458" t="s">
        <v>2735</v>
      </c>
      <c r="C100" s="459"/>
      <c r="D100" s="459"/>
      <c r="E100" s="469"/>
      <c r="F100" s="469"/>
      <c r="G100" s="469"/>
      <c r="H100" s="469"/>
      <c r="I100" s="469"/>
      <c r="J100" s="469"/>
      <c r="K100" s="469"/>
      <c r="L100" s="469"/>
      <c r="M100" s="469"/>
      <c r="N100" s="470"/>
      <c r="O100" t="str">
        <f>IFERROR(__xludf.DUMMYFUNCTION("regexextract(B100,""[\w]* [\w]*"")"),"Bogdan Bogdanovic")</f>
        <v>Bogdan Bogdanovic</v>
      </c>
      <c r="P100" t="str">
        <f t="shared" si="2"/>
        <v>Bogdan Bogdanovic</v>
      </c>
      <c r="Q100" t="str">
        <f t="shared" si="3"/>
        <v>Bogdan Bogdanovic</v>
      </c>
      <c r="R100" t="s">
        <v>2640</v>
      </c>
      <c r="S100" s="417" t="s">
        <v>88</v>
      </c>
      <c r="T100" t="s">
        <v>90</v>
      </c>
      <c r="U100" t="s">
        <v>2640</v>
      </c>
      <c r="V100" t="s">
        <v>97</v>
      </c>
      <c r="W100" t="str">
        <f t="shared" si="1"/>
        <v>SGSFC</v>
      </c>
    </row>
    <row r="101">
      <c r="A101" s="454">
        <v>97.0</v>
      </c>
      <c r="B101" s="455" t="s">
        <v>2736</v>
      </c>
      <c r="C101" s="456"/>
      <c r="D101" s="456"/>
      <c r="E101" s="468"/>
      <c r="F101" s="468"/>
      <c r="G101" s="468"/>
      <c r="H101" s="468"/>
      <c r="I101" s="468"/>
      <c r="J101" s="468"/>
      <c r="K101" s="468"/>
      <c r="L101" s="468"/>
      <c r="M101" s="468"/>
      <c r="N101" s="468"/>
      <c r="O101" t="str">
        <f>IFERROR(__xludf.DUMMYFUNCTION("regexextract(B101,""[\w]* [\w]*"")"),"Harrison Barnes")</f>
        <v>Harrison Barnes</v>
      </c>
      <c r="P101" t="str">
        <f t="shared" si="2"/>
        <v>Harrison Barnes</v>
      </c>
      <c r="Q101" t="str">
        <f t="shared" si="3"/>
        <v>Harrison Barnes</v>
      </c>
      <c r="R101" t="s">
        <v>2640</v>
      </c>
      <c r="S101" s="417" t="s">
        <v>2640</v>
      </c>
      <c r="T101" t="s">
        <v>90</v>
      </c>
      <c r="U101" t="s">
        <v>92</v>
      </c>
      <c r="V101" t="s">
        <v>97</v>
      </c>
      <c r="W101" t="str">
        <f t="shared" si="1"/>
        <v>SFPFC</v>
      </c>
    </row>
    <row r="102">
      <c r="A102" s="457">
        <v>98.0</v>
      </c>
      <c r="B102" s="458" t="s">
        <v>2737</v>
      </c>
      <c r="C102" s="459"/>
      <c r="D102" s="459"/>
      <c r="E102" s="469"/>
      <c r="F102" s="469"/>
      <c r="G102" s="469"/>
      <c r="H102" s="469"/>
      <c r="I102" s="469"/>
      <c r="J102" s="469"/>
      <c r="K102" s="469"/>
      <c r="L102" s="469"/>
      <c r="M102" s="469"/>
      <c r="N102" s="470"/>
      <c r="O102" t="str">
        <f>IFERROR(__xludf.DUMMYFUNCTION("regexextract(B102,""[\w]* [\w]*"")"),"Reggie Jackson")</f>
        <v>Reggie Jackson</v>
      </c>
      <c r="P102" t="str">
        <f t="shared" si="2"/>
        <v>Reggie Jackson</v>
      </c>
      <c r="Q102" t="str">
        <f t="shared" si="3"/>
        <v>Reggie Jackson</v>
      </c>
      <c r="R102" t="s">
        <v>85</v>
      </c>
      <c r="S102" s="417" t="s">
        <v>2640</v>
      </c>
      <c r="T102" t="s">
        <v>2640</v>
      </c>
      <c r="U102" t="s">
        <v>2640</v>
      </c>
      <c r="V102" t="s">
        <v>97</v>
      </c>
      <c r="W102" t="str">
        <f t="shared" si="1"/>
        <v>PGC</v>
      </c>
    </row>
    <row r="103">
      <c r="A103" s="454">
        <v>99.0</v>
      </c>
      <c r="B103" s="455" t="s">
        <v>2738</v>
      </c>
      <c r="C103" s="456"/>
      <c r="D103" s="456"/>
      <c r="E103" s="468"/>
      <c r="F103" s="468"/>
      <c r="G103" s="468"/>
      <c r="H103" s="468"/>
      <c r="I103" s="468"/>
      <c r="J103" s="468"/>
      <c r="K103" s="468"/>
      <c r="L103" s="468"/>
      <c r="M103" s="468"/>
      <c r="N103" s="471"/>
      <c r="O103" t="str">
        <f>IFERROR(__xludf.DUMMYFUNCTION("regexextract(B103,""[\w]* [\w]*"")"),"Keldon Johnson")</f>
        <v>Keldon Johnson</v>
      </c>
      <c r="P103" t="str">
        <f t="shared" si="2"/>
        <v>Keldon Johnson</v>
      </c>
      <c r="Q103" t="str">
        <f t="shared" si="3"/>
        <v>Keldon Johnson</v>
      </c>
      <c r="R103" t="s">
        <v>2640</v>
      </c>
      <c r="S103" s="417" t="s">
        <v>2640</v>
      </c>
      <c r="T103" t="s">
        <v>90</v>
      </c>
      <c r="U103" t="s">
        <v>92</v>
      </c>
      <c r="V103" t="s">
        <v>2640</v>
      </c>
      <c r="W103" t="str">
        <f t="shared" si="1"/>
        <v>SFPF</v>
      </c>
    </row>
    <row r="104">
      <c r="A104" s="457">
        <v>100.0</v>
      </c>
      <c r="B104" s="458" t="s">
        <v>2739</v>
      </c>
      <c r="C104" s="459"/>
      <c r="D104" s="459"/>
      <c r="E104" s="469"/>
      <c r="F104" s="469"/>
      <c r="G104" s="469"/>
      <c r="H104" s="469"/>
      <c r="I104" s="469"/>
      <c r="J104" s="469"/>
      <c r="K104" s="469"/>
      <c r="L104" s="469"/>
      <c r="M104" s="469"/>
      <c r="N104" s="470"/>
      <c r="O104" t="str">
        <f>IFERROR(__xludf.DUMMYFUNCTION("regexextract(B104,""[\w]* [\w]*"")"),"Tim Hardaway")</f>
        <v>Tim Hardaway</v>
      </c>
      <c r="P104" t="str">
        <f t="shared" si="2"/>
        <v>Tim Hardaway</v>
      </c>
      <c r="Q104" t="str">
        <f t="shared" si="3"/>
        <v>Tim Hardaway</v>
      </c>
      <c r="R104" t="s">
        <v>2640</v>
      </c>
      <c r="S104" s="417" t="s">
        <v>88</v>
      </c>
      <c r="T104" t="s">
        <v>90</v>
      </c>
      <c r="U104" t="s">
        <v>2640</v>
      </c>
      <c r="V104" t="s">
        <v>2640</v>
      </c>
      <c r="W104" t="str">
        <f t="shared" si="1"/>
        <v>SGSF</v>
      </c>
    </row>
    <row r="105">
      <c r="A105" s="446" t="s">
        <v>2634</v>
      </c>
      <c r="C105" s="446" t="s">
        <v>2635</v>
      </c>
      <c r="E105" s="464"/>
      <c r="F105" s="464"/>
      <c r="G105" s="464"/>
      <c r="H105" s="464"/>
      <c r="I105" s="464"/>
      <c r="J105" s="464"/>
      <c r="K105" s="464"/>
      <c r="L105" s="464"/>
      <c r="M105" s="464" t="s">
        <v>2740</v>
      </c>
      <c r="N105" s="464"/>
      <c r="O105" t="str">
        <f>IFERROR(__xludf.DUMMYFUNCTION("regexextract(B105,""[\w]* [\w]*"")"),"#N/A")</f>
        <v>#N/A</v>
      </c>
      <c r="P105" t="str">
        <f t="shared" si="2"/>
        <v>#N/A</v>
      </c>
      <c r="Q105" t="str">
        <f t="shared" si="3"/>
        <v>#N/A</v>
      </c>
      <c r="R105" t="s">
        <v>2640</v>
      </c>
      <c r="S105" s="417" t="s">
        <v>2640</v>
      </c>
      <c r="T105" t="s">
        <v>2640</v>
      </c>
      <c r="U105" t="s">
        <v>2640</v>
      </c>
      <c r="V105" t="s">
        <v>2640</v>
      </c>
      <c r="W105" t="str">
        <f t="shared" si="1"/>
        <v/>
      </c>
    </row>
    <row r="106">
      <c r="A106" s="449" t="s">
        <v>2636</v>
      </c>
      <c r="B106" s="450" t="s">
        <v>262</v>
      </c>
      <c r="C106" s="449" t="s">
        <v>2637</v>
      </c>
      <c r="D106" s="451" t="s">
        <v>2638</v>
      </c>
      <c r="E106" s="465" t="s">
        <v>20</v>
      </c>
      <c r="F106" s="466">
        <v>0.625</v>
      </c>
      <c r="G106" s="465" t="s">
        <v>101</v>
      </c>
      <c r="H106" s="465" t="s">
        <v>15</v>
      </c>
      <c r="I106" s="465" t="s">
        <v>16</v>
      </c>
      <c r="J106" s="465" t="s">
        <v>17</v>
      </c>
      <c r="K106" s="465" t="s">
        <v>18</v>
      </c>
      <c r="L106" s="465" t="s">
        <v>13</v>
      </c>
      <c r="M106" s="465" t="s">
        <v>2741</v>
      </c>
      <c r="N106" s="467" t="str">
        <f>+/-</f>
        <v>#ERROR!</v>
      </c>
      <c r="O106" t="str">
        <f>IFERROR(__xludf.DUMMYFUNCTION("regexextract(B106,""[\w]* [\w]*"")"),"#N/A")</f>
        <v>#N/A</v>
      </c>
      <c r="P106" t="str">
        <f t="shared" si="2"/>
        <v>#N/A</v>
      </c>
      <c r="Q106" t="str">
        <f t="shared" si="3"/>
        <v>#N/A</v>
      </c>
      <c r="R106" t="s">
        <v>2640</v>
      </c>
      <c r="S106" s="417" t="s">
        <v>2640</v>
      </c>
      <c r="T106" t="s">
        <v>2640</v>
      </c>
      <c r="U106" t="s">
        <v>2640</v>
      </c>
      <c r="V106" t="s">
        <v>2640</v>
      </c>
      <c r="W106" t="str">
        <f t="shared" si="1"/>
        <v/>
      </c>
    </row>
    <row r="107">
      <c r="A107" s="454">
        <v>101.0</v>
      </c>
      <c r="B107" s="455" t="s">
        <v>2742</v>
      </c>
      <c r="C107" s="456"/>
      <c r="D107" s="456"/>
      <c r="E107" s="468">
        <v>2.9</v>
      </c>
      <c r="F107" s="468">
        <v>3.1</v>
      </c>
      <c r="G107" s="468">
        <v>4.4</v>
      </c>
      <c r="H107" s="468">
        <v>4.2</v>
      </c>
      <c r="I107" s="468">
        <v>1.2</v>
      </c>
      <c r="J107" s="468">
        <v>0.4</v>
      </c>
      <c r="K107" s="468">
        <v>1.9</v>
      </c>
      <c r="L107" s="468">
        <v>19.7</v>
      </c>
      <c r="M107" s="468">
        <v>92.9</v>
      </c>
      <c r="N107" s="468">
        <v>0.0</v>
      </c>
      <c r="O107" t="str">
        <f>IFERROR(__xludf.DUMMYFUNCTION("regexextract(B107,""[\w]* [\w]*"")"),"Scottie Barnes")</f>
        <v>Scottie Barnes</v>
      </c>
      <c r="P107" t="str">
        <f t="shared" si="2"/>
        <v>Scottie Barnes</v>
      </c>
      <c r="Q107" t="str">
        <f t="shared" si="3"/>
        <v>Scottie Barnes</v>
      </c>
      <c r="R107" t="s">
        <v>2640</v>
      </c>
      <c r="S107" s="417" t="s">
        <v>2640</v>
      </c>
      <c r="T107" t="s">
        <v>90</v>
      </c>
      <c r="U107" t="s">
        <v>92</v>
      </c>
      <c r="V107" t="s">
        <v>97</v>
      </c>
      <c r="W107" t="str">
        <f t="shared" si="1"/>
        <v>SFPFC</v>
      </c>
    </row>
    <row r="108">
      <c r="A108" s="457">
        <v>102.0</v>
      </c>
      <c r="B108" s="458" t="s">
        <v>2743</v>
      </c>
      <c r="C108" s="459"/>
      <c r="D108" s="459"/>
      <c r="E108" s="469">
        <v>4.7</v>
      </c>
      <c r="F108" s="469">
        <v>0.2</v>
      </c>
      <c r="G108" s="469">
        <v>11.3</v>
      </c>
      <c r="H108" s="469">
        <v>3.8</v>
      </c>
      <c r="I108" s="469">
        <v>1.2</v>
      </c>
      <c r="J108" s="469">
        <v>1.5</v>
      </c>
      <c r="K108" s="469">
        <v>2.5</v>
      </c>
      <c r="L108" s="469">
        <v>15.8</v>
      </c>
      <c r="M108" s="469">
        <v>81.4</v>
      </c>
      <c r="N108" s="470">
        <f>+3.9</f>
        <v>3.9</v>
      </c>
      <c r="O108" t="str">
        <f>IFERROR(__xludf.DUMMYFUNCTION("regexextract(B108,""[\w]* [\w]*"")"),"Donte DiVincenzoO")</f>
        <v>Donte DiVincenzoO</v>
      </c>
      <c r="P108" t="str">
        <f t="shared" si="2"/>
        <v>Donte DiVincenzoO</v>
      </c>
      <c r="Q108" t="str">
        <f t="shared" si="3"/>
        <v>Donte DiVincenzo</v>
      </c>
      <c r="R108" t="s">
        <v>85</v>
      </c>
      <c r="S108" s="417" t="s">
        <v>88</v>
      </c>
      <c r="T108" t="s">
        <v>2640</v>
      </c>
      <c r="U108" t="s">
        <v>2640</v>
      </c>
      <c r="V108" t="s">
        <v>97</v>
      </c>
      <c r="W108" t="str">
        <f t="shared" si="1"/>
        <v>PGSGC</v>
      </c>
    </row>
    <row r="109">
      <c r="A109" s="454">
        <v>103.0</v>
      </c>
      <c r="B109" s="455" t="s">
        <v>2744</v>
      </c>
      <c r="C109" s="456"/>
      <c r="D109" s="456"/>
      <c r="E109" s="468">
        <v>5.9</v>
      </c>
      <c r="F109" s="468">
        <v>1.9</v>
      </c>
      <c r="G109" s="468">
        <v>7.4</v>
      </c>
      <c r="H109" s="468">
        <v>4.1</v>
      </c>
      <c r="I109" s="468">
        <v>1.1</v>
      </c>
      <c r="J109" s="468">
        <v>0.8</v>
      </c>
      <c r="K109" s="468">
        <v>2.4</v>
      </c>
      <c r="L109" s="468">
        <v>24.4</v>
      </c>
      <c r="M109" s="468">
        <v>90.1</v>
      </c>
      <c r="N109" s="472">
        <v>-0.5</v>
      </c>
      <c r="O109" t="str">
        <f>IFERROR(__xludf.DUMMYFUNCTION("regexextract(B109,""[\w]* [\w]*"")"),"Saddiq Bey")</f>
        <v>Saddiq Bey</v>
      </c>
      <c r="P109" t="str">
        <f t="shared" si="2"/>
        <v>Saddiq Bey</v>
      </c>
      <c r="Q109" t="str">
        <f t="shared" si="3"/>
        <v>Saddiq Bey</v>
      </c>
      <c r="R109" t="s">
        <v>2640</v>
      </c>
      <c r="S109" s="417" t="s">
        <v>2640</v>
      </c>
      <c r="T109" t="s">
        <v>90</v>
      </c>
      <c r="U109" t="s">
        <v>2640</v>
      </c>
      <c r="V109" t="s">
        <v>2640</v>
      </c>
      <c r="W109" t="str">
        <f t="shared" si="1"/>
        <v>SF</v>
      </c>
    </row>
    <row r="110">
      <c r="A110" s="457">
        <v>104.0</v>
      </c>
      <c r="B110" s="458" t="s">
        <v>2745</v>
      </c>
      <c r="C110" s="459"/>
      <c r="D110" s="459"/>
      <c r="E110" s="469">
        <v>1.4</v>
      </c>
      <c r="F110" s="469">
        <v>0.7</v>
      </c>
      <c r="G110" s="469">
        <v>7.3</v>
      </c>
      <c r="H110" s="469">
        <v>8.8</v>
      </c>
      <c r="I110" s="469">
        <v>1.6</v>
      </c>
      <c r="J110" s="469">
        <v>1.0</v>
      </c>
      <c r="K110" s="469">
        <v>2.8</v>
      </c>
      <c r="L110" s="469">
        <v>7.5</v>
      </c>
      <c r="M110" s="469">
        <v>94.4</v>
      </c>
      <c r="N110" s="473">
        <v>-0.6</v>
      </c>
      <c r="O110" t="str">
        <f>IFERROR(__xludf.DUMMYFUNCTION("regexextract(B110,""[\w]* [\w]*"")"),"Joe Ingles")</f>
        <v>Joe Ingles</v>
      </c>
      <c r="P110" t="str">
        <f t="shared" si="2"/>
        <v>Joe Ingles</v>
      </c>
      <c r="Q110" t="str">
        <f t="shared" si="3"/>
        <v>Joe Ingles</v>
      </c>
      <c r="R110" t="s">
        <v>2640</v>
      </c>
      <c r="S110" s="417" t="s">
        <v>88</v>
      </c>
      <c r="T110" t="s">
        <v>90</v>
      </c>
      <c r="U110" t="s">
        <v>92</v>
      </c>
      <c r="V110" t="s">
        <v>2640</v>
      </c>
      <c r="W110" t="str">
        <f t="shared" si="1"/>
        <v>SGSFPF</v>
      </c>
    </row>
    <row r="111">
      <c r="A111" s="454">
        <v>105.0</v>
      </c>
      <c r="B111" s="455" t="s">
        <v>2746</v>
      </c>
      <c r="C111" s="456"/>
      <c r="D111" s="456"/>
      <c r="E111" s="468">
        <v>2.9</v>
      </c>
      <c r="F111" s="468">
        <v>0.0</v>
      </c>
      <c r="G111" s="468">
        <v>9.0</v>
      </c>
      <c r="H111" s="468">
        <v>2.3</v>
      </c>
      <c r="I111" s="468">
        <v>0.8</v>
      </c>
      <c r="J111" s="468">
        <v>2.0</v>
      </c>
      <c r="K111" s="468">
        <v>1.3</v>
      </c>
      <c r="L111" s="468">
        <v>12.4</v>
      </c>
      <c r="M111" s="468">
        <v>71.7</v>
      </c>
      <c r="N111" s="471">
        <f>+5.2</f>
        <v>5.2</v>
      </c>
      <c r="O111" t="str">
        <f>IFERROR(__xludf.DUMMYFUNCTION("regexextract(B111,""[\w]* [\w]*"")"),"Miles Bridges")</f>
        <v>Miles Bridges</v>
      </c>
      <c r="P111" t="str">
        <f t="shared" si="2"/>
        <v>Miles Bridges</v>
      </c>
      <c r="Q111" t="str">
        <f t="shared" si="3"/>
        <v>Miles Bridges</v>
      </c>
      <c r="R111" t="s">
        <v>2640</v>
      </c>
      <c r="S111" s="417" t="s">
        <v>2640</v>
      </c>
      <c r="T111" t="s">
        <v>90</v>
      </c>
      <c r="U111" t="s">
        <v>92</v>
      </c>
      <c r="V111" t="s">
        <v>97</v>
      </c>
      <c r="W111" t="str">
        <f t="shared" si="1"/>
        <v>SFPFC</v>
      </c>
    </row>
    <row r="112">
      <c r="A112" s="457">
        <v>106.0</v>
      </c>
      <c r="B112" s="458" t="s">
        <v>2747</v>
      </c>
      <c r="C112" s="459"/>
      <c r="D112" s="459"/>
      <c r="E112" s="469">
        <v>4.0</v>
      </c>
      <c r="F112" s="469">
        <v>2.6</v>
      </c>
      <c r="G112" s="469">
        <v>4.9</v>
      </c>
      <c r="H112" s="469">
        <v>3.1</v>
      </c>
      <c r="I112" s="469">
        <v>1.2</v>
      </c>
      <c r="J112" s="469">
        <v>0.5</v>
      </c>
      <c r="K112" s="469">
        <v>2.4</v>
      </c>
      <c r="L112" s="469">
        <v>21.2</v>
      </c>
      <c r="M112" s="469">
        <v>91.9</v>
      </c>
      <c r="N112" s="470">
        <f>+0.9</f>
        <v>0.9</v>
      </c>
      <c r="O112" t="str">
        <f>IFERROR(__xludf.DUMMYFUNCTION("regexextract(B112,""[\w]* [\w]*"")"),"Brook Lopez")</f>
        <v>Brook Lopez</v>
      </c>
      <c r="P112" t="str">
        <f t="shared" si="2"/>
        <v>Brook Lopez</v>
      </c>
      <c r="Q112" t="str">
        <f t="shared" si="3"/>
        <v>Brook Lopez</v>
      </c>
      <c r="R112" t="s">
        <v>2640</v>
      </c>
      <c r="S112" s="417" t="s">
        <v>2640</v>
      </c>
      <c r="T112" t="s">
        <v>2640</v>
      </c>
      <c r="U112" t="s">
        <v>2640</v>
      </c>
      <c r="V112" t="s">
        <v>97</v>
      </c>
      <c r="W112" t="str">
        <f t="shared" si="1"/>
        <v>C</v>
      </c>
    </row>
    <row r="113">
      <c r="A113" s="454">
        <v>107.0</v>
      </c>
      <c r="B113" s="455" t="s">
        <v>2748</v>
      </c>
      <c r="C113" s="456"/>
      <c r="D113" s="456"/>
      <c r="E113" s="468">
        <v>1.8</v>
      </c>
      <c r="F113" s="468">
        <v>0.0</v>
      </c>
      <c r="G113" s="468">
        <v>8.9</v>
      </c>
      <c r="H113" s="468">
        <v>2.3</v>
      </c>
      <c r="I113" s="468">
        <v>1.1</v>
      </c>
      <c r="J113" s="468">
        <v>2.3</v>
      </c>
      <c r="K113" s="468">
        <v>1.3</v>
      </c>
      <c r="L113" s="468">
        <v>10.3</v>
      </c>
      <c r="M113" s="468">
        <v>67.4</v>
      </c>
      <c r="N113" s="471">
        <f>+8.2</f>
        <v>8.2</v>
      </c>
      <c r="O113" t="str">
        <f>IFERROR(__xludf.DUMMYFUNCTION("regexextract(B113,""[\w]* [\w]*"")"),"Daniel Theis")</f>
        <v>Daniel Theis</v>
      </c>
      <c r="P113" t="str">
        <f t="shared" si="2"/>
        <v>Daniel Theis</v>
      </c>
      <c r="Q113" t="str">
        <f t="shared" si="3"/>
        <v>Daniel Theis</v>
      </c>
      <c r="R113" t="s">
        <v>2640</v>
      </c>
      <c r="S113" s="417" t="s">
        <v>2640</v>
      </c>
      <c r="T113" t="s">
        <v>2640</v>
      </c>
      <c r="U113" t="s">
        <v>92</v>
      </c>
      <c r="V113" t="s">
        <v>97</v>
      </c>
      <c r="W113" t="str">
        <f t="shared" si="1"/>
        <v>PFC</v>
      </c>
    </row>
    <row r="114">
      <c r="A114" s="457">
        <v>108.0</v>
      </c>
      <c r="B114" s="458" t="s">
        <v>2749</v>
      </c>
      <c r="C114" s="459"/>
      <c r="D114" s="459"/>
      <c r="E114" s="469">
        <v>1.0</v>
      </c>
      <c r="F114" s="469">
        <v>2.4</v>
      </c>
      <c r="G114" s="469">
        <v>3.2</v>
      </c>
      <c r="H114" s="469">
        <v>5.6</v>
      </c>
      <c r="I114" s="469">
        <v>1.4</v>
      </c>
      <c r="J114" s="469">
        <v>0.5</v>
      </c>
      <c r="K114" s="469">
        <v>1.7</v>
      </c>
      <c r="L114" s="469">
        <v>14.1</v>
      </c>
      <c r="M114" s="469">
        <v>80.1</v>
      </c>
      <c r="N114" s="470">
        <f>+2.5</f>
        <v>2.5</v>
      </c>
      <c r="O114" t="str">
        <f>IFERROR(__xludf.DUMMYFUNCTION("regexextract(B114,""[\w]* [\w]*"")"),"Mitchell RobinsonO")</f>
        <v>Mitchell RobinsonO</v>
      </c>
      <c r="P114" t="str">
        <f t="shared" si="2"/>
        <v>Mitchell RobinsonO</v>
      </c>
      <c r="Q114" t="str">
        <f t="shared" si="3"/>
        <v>Mitchell Robinson</v>
      </c>
      <c r="R114" t="s">
        <v>2640</v>
      </c>
      <c r="S114" s="417" t="s">
        <v>2640</v>
      </c>
      <c r="T114" t="s">
        <v>2640</v>
      </c>
      <c r="U114" t="s">
        <v>2640</v>
      </c>
      <c r="V114" t="s">
        <v>97</v>
      </c>
      <c r="W114" t="str">
        <f t="shared" si="1"/>
        <v>C</v>
      </c>
    </row>
    <row r="115">
      <c r="A115" s="454">
        <v>109.0</v>
      </c>
      <c r="B115" s="455" t="s">
        <v>2750</v>
      </c>
      <c r="C115" s="456"/>
      <c r="D115" s="456"/>
      <c r="E115" s="468">
        <v>3.8</v>
      </c>
      <c r="F115" s="468">
        <v>2.6</v>
      </c>
      <c r="G115" s="468">
        <v>4.8</v>
      </c>
      <c r="H115" s="468">
        <v>7.2</v>
      </c>
      <c r="I115" s="468">
        <v>1.1</v>
      </c>
      <c r="J115" s="468">
        <v>0.3</v>
      </c>
      <c r="K115" s="468">
        <v>2.6</v>
      </c>
      <c r="L115" s="468">
        <v>16.3</v>
      </c>
      <c r="M115" s="468">
        <v>88.2</v>
      </c>
      <c r="N115" s="471">
        <f>+0.9</f>
        <v>0.9</v>
      </c>
      <c r="O115" t="str">
        <f>IFERROR(__xludf.DUMMYFUNCTION("regexextract(B115,""[\w]* [\w]*"")"),"Jordan Clarkson")</f>
        <v>Jordan Clarkson</v>
      </c>
      <c r="P115" t="str">
        <f t="shared" si="2"/>
        <v>Jordan Clarkson</v>
      </c>
      <c r="Q115" t="str">
        <f t="shared" si="3"/>
        <v>Jordan Clarkson</v>
      </c>
      <c r="R115" t="s">
        <v>2640</v>
      </c>
      <c r="S115" s="417" t="s">
        <v>88</v>
      </c>
      <c r="T115" t="s">
        <v>2640</v>
      </c>
      <c r="U115" t="s">
        <v>2640</v>
      </c>
      <c r="V115" t="s">
        <v>97</v>
      </c>
      <c r="W115" t="str">
        <f t="shared" si="1"/>
        <v>SGC</v>
      </c>
    </row>
    <row r="116">
      <c r="A116" s="457">
        <v>110.0</v>
      </c>
      <c r="B116" s="458" t="s">
        <v>2751</v>
      </c>
      <c r="C116" s="459"/>
      <c r="D116" s="459"/>
      <c r="E116" s="469">
        <v>4.1</v>
      </c>
      <c r="F116" s="469">
        <v>1.3</v>
      </c>
      <c r="G116" s="469">
        <v>4.8</v>
      </c>
      <c r="H116" s="469">
        <v>5.1</v>
      </c>
      <c r="I116" s="469">
        <v>1.6</v>
      </c>
      <c r="J116" s="469">
        <v>0.8</v>
      </c>
      <c r="K116" s="469">
        <v>2.4</v>
      </c>
      <c r="L116" s="469">
        <v>15.7</v>
      </c>
      <c r="M116" s="469">
        <v>78.6</v>
      </c>
      <c r="N116" s="470">
        <f>+2.5</f>
        <v>2.5</v>
      </c>
      <c r="O116" t="str">
        <f>IFERROR(__xludf.DUMMYFUNCTION("regexextract(B116,""[\w]* [\w]*"")"),"Killian Hayes")</f>
        <v>Killian Hayes</v>
      </c>
      <c r="P116" t="str">
        <f t="shared" si="2"/>
        <v>Killian Hayes</v>
      </c>
      <c r="Q116" t="str">
        <f t="shared" si="3"/>
        <v>Killian Hayes</v>
      </c>
      <c r="R116" t="s">
        <v>85</v>
      </c>
      <c r="S116" s="417" t="s">
        <v>2640</v>
      </c>
      <c r="T116" t="s">
        <v>2640</v>
      </c>
      <c r="U116" t="s">
        <v>2640</v>
      </c>
      <c r="V116" t="s">
        <v>2640</v>
      </c>
      <c r="W116" t="str">
        <f t="shared" si="1"/>
        <v>PG</v>
      </c>
    </row>
    <row r="117">
      <c r="A117" s="454">
        <v>111.0</v>
      </c>
      <c r="B117" s="455" t="s">
        <v>2752</v>
      </c>
      <c r="C117" s="456"/>
      <c r="D117" s="456"/>
      <c r="E117" s="468">
        <v>4.3</v>
      </c>
      <c r="F117" s="468">
        <v>2.3</v>
      </c>
      <c r="G117" s="468">
        <v>3.9</v>
      </c>
      <c r="H117" s="468">
        <v>4.7</v>
      </c>
      <c r="I117" s="468">
        <v>0.9</v>
      </c>
      <c r="J117" s="468">
        <v>1.1</v>
      </c>
      <c r="K117" s="468">
        <v>1.6</v>
      </c>
      <c r="L117" s="468">
        <v>18.5</v>
      </c>
      <c r="M117" s="468">
        <v>75.5</v>
      </c>
      <c r="N117" s="471">
        <f>+3.3</f>
        <v>3.3</v>
      </c>
      <c r="O117" t="str">
        <f>IFERROR(__xludf.DUMMYFUNCTION("regexextract(B117,""[\w]* [\w]*"")"),"Marvin Bagley")</f>
        <v>Marvin Bagley</v>
      </c>
      <c r="P117" t="str">
        <f t="shared" si="2"/>
        <v>Marvin Bagley</v>
      </c>
      <c r="Q117" t="str">
        <f t="shared" si="3"/>
        <v>Marvin Bagley</v>
      </c>
      <c r="R117" t="s">
        <v>2640</v>
      </c>
      <c r="S117" s="417" t="s">
        <v>2640</v>
      </c>
      <c r="T117" t="s">
        <v>2640</v>
      </c>
      <c r="U117" t="s">
        <v>92</v>
      </c>
      <c r="V117" t="s">
        <v>97</v>
      </c>
      <c r="W117" t="str">
        <f t="shared" si="1"/>
        <v>PFC</v>
      </c>
    </row>
    <row r="118">
      <c r="A118" s="457">
        <v>112.0</v>
      </c>
      <c r="B118" s="458" t="s">
        <v>2753</v>
      </c>
      <c r="C118" s="459"/>
      <c r="D118" s="459"/>
      <c r="E118" s="469">
        <v>3.3</v>
      </c>
      <c r="F118" s="469">
        <v>1.5</v>
      </c>
      <c r="G118" s="469">
        <v>5.6</v>
      </c>
      <c r="H118" s="469">
        <v>4.4</v>
      </c>
      <c r="I118" s="469">
        <v>1.3</v>
      </c>
      <c r="J118" s="469">
        <v>0.9</v>
      </c>
      <c r="K118" s="469">
        <v>1.9</v>
      </c>
      <c r="L118" s="469">
        <v>15.0</v>
      </c>
      <c r="M118" s="469">
        <v>89.7</v>
      </c>
      <c r="N118" s="470">
        <f>+0.6</f>
        <v>0.6</v>
      </c>
      <c r="O118" t="str">
        <f>IFERROR(__xludf.DUMMYFUNCTION("regexextract(B118,""[\w]* [\w]*"")"),"Gordon Hayward")</f>
        <v>Gordon Hayward</v>
      </c>
      <c r="P118" t="str">
        <f t="shared" si="2"/>
        <v>Gordon Hayward</v>
      </c>
      <c r="Q118" t="str">
        <f t="shared" si="3"/>
        <v>Gordon Hayward</v>
      </c>
      <c r="R118" t="s">
        <v>2640</v>
      </c>
      <c r="S118" s="417" t="s">
        <v>2640</v>
      </c>
      <c r="T118" t="s">
        <v>90</v>
      </c>
      <c r="U118" t="s">
        <v>2640</v>
      </c>
      <c r="V118" t="s">
        <v>97</v>
      </c>
      <c r="W118" t="str">
        <f t="shared" si="1"/>
        <v>SFC</v>
      </c>
    </row>
    <row r="119">
      <c r="A119" s="454">
        <v>113.0</v>
      </c>
      <c r="B119" s="455" t="s">
        <v>2754</v>
      </c>
      <c r="C119" s="456"/>
      <c r="D119" s="456"/>
      <c r="E119" s="468">
        <v>1.8</v>
      </c>
      <c r="F119" s="468">
        <v>3.9</v>
      </c>
      <c r="G119" s="468">
        <v>4.9</v>
      </c>
      <c r="H119" s="468">
        <v>3.3</v>
      </c>
      <c r="I119" s="468">
        <v>0.9</v>
      </c>
      <c r="J119" s="468">
        <v>0.4</v>
      </c>
      <c r="K119" s="468">
        <v>2.0</v>
      </c>
      <c r="L119" s="468">
        <v>18.5</v>
      </c>
      <c r="M119" s="468">
        <v>85.6</v>
      </c>
      <c r="N119" s="471">
        <f>+1.4</f>
        <v>1.4</v>
      </c>
      <c r="O119" t="str">
        <f>IFERROR(__xludf.DUMMYFUNCTION("regexextract(B119,""[\w]* [\w]*"")"),"Evan Fournier")</f>
        <v>Evan Fournier</v>
      </c>
      <c r="P119" t="str">
        <f t="shared" si="2"/>
        <v>Evan Fournier</v>
      </c>
      <c r="Q119" t="str">
        <f t="shared" si="3"/>
        <v>Evan Fournier</v>
      </c>
      <c r="R119" t="s">
        <v>2640</v>
      </c>
      <c r="S119" s="417" t="s">
        <v>88</v>
      </c>
      <c r="T119" t="s">
        <v>90</v>
      </c>
      <c r="U119" t="s">
        <v>2640</v>
      </c>
      <c r="V119" t="s">
        <v>2640</v>
      </c>
      <c r="W119" t="str">
        <f t="shared" si="1"/>
        <v>SGSF</v>
      </c>
    </row>
    <row r="120">
      <c r="A120" s="457">
        <v>114.0</v>
      </c>
      <c r="B120" s="458" t="s">
        <v>2755</v>
      </c>
      <c r="C120" s="459"/>
      <c r="D120" s="459"/>
      <c r="E120" s="469">
        <v>4.8</v>
      </c>
      <c r="F120" s="469">
        <v>0.1</v>
      </c>
      <c r="G120" s="469">
        <v>10.6</v>
      </c>
      <c r="H120" s="469">
        <v>1.7</v>
      </c>
      <c r="I120" s="469">
        <v>0.6</v>
      </c>
      <c r="J120" s="469">
        <v>1.5</v>
      </c>
      <c r="K120" s="469">
        <v>1.6</v>
      </c>
      <c r="L120" s="469">
        <v>13.4</v>
      </c>
      <c r="M120" s="469">
        <v>82.5</v>
      </c>
      <c r="N120" s="470">
        <f>+2.2</f>
        <v>2.2</v>
      </c>
      <c r="O120" t="str">
        <f>IFERROR(__xludf.DUMMYFUNCTION("regexextract(B120,""[\w]* [\w]*"")"),"Brandon Clarke")</f>
        <v>Brandon Clarke</v>
      </c>
      <c r="P120" t="str">
        <f t="shared" si="2"/>
        <v>Brandon Clarke</v>
      </c>
      <c r="Q120" t="str">
        <f t="shared" si="3"/>
        <v>Brandon Clarke</v>
      </c>
      <c r="R120" t="s">
        <v>2640</v>
      </c>
      <c r="S120" s="417" t="s">
        <v>2640</v>
      </c>
      <c r="T120" t="s">
        <v>2640</v>
      </c>
      <c r="U120" t="s">
        <v>92</v>
      </c>
      <c r="V120" t="s">
        <v>97</v>
      </c>
      <c r="W120" t="str">
        <f t="shared" si="1"/>
        <v>PFC</v>
      </c>
    </row>
    <row r="121">
      <c r="A121" s="454">
        <v>115.0</v>
      </c>
      <c r="B121" s="455" t="s">
        <v>2756</v>
      </c>
      <c r="C121" s="456"/>
      <c r="D121" s="456"/>
      <c r="E121" s="468">
        <v>3.1</v>
      </c>
      <c r="F121" s="468">
        <v>2.1</v>
      </c>
      <c r="G121" s="468">
        <v>5.0</v>
      </c>
      <c r="H121" s="468">
        <v>5.8</v>
      </c>
      <c r="I121" s="468">
        <v>0.8</v>
      </c>
      <c r="J121" s="468">
        <v>0.2</v>
      </c>
      <c r="K121" s="468">
        <v>2.1</v>
      </c>
      <c r="L121" s="468">
        <v>19.1</v>
      </c>
      <c r="M121" s="468">
        <v>89.3</v>
      </c>
      <c r="N121" s="472">
        <v>-0.5</v>
      </c>
      <c r="O121" t="str">
        <f>IFERROR(__xludf.DUMMYFUNCTION("regexextract(B121,""[\w]* [\w]*"")"),"Jonas Valanciunas")</f>
        <v>Jonas Valanciunas</v>
      </c>
      <c r="P121" t="str">
        <f t="shared" si="2"/>
        <v>Jonas Valanciunas</v>
      </c>
      <c r="Q121" t="str">
        <f t="shared" si="3"/>
        <v>Jonas Valanciunas</v>
      </c>
      <c r="R121" t="s">
        <v>2640</v>
      </c>
      <c r="S121" s="417" t="s">
        <v>2640</v>
      </c>
      <c r="T121" t="s">
        <v>2640</v>
      </c>
      <c r="U121" t="s">
        <v>2640</v>
      </c>
      <c r="V121" t="s">
        <v>97</v>
      </c>
      <c r="W121" t="str">
        <f t="shared" si="1"/>
        <v>C</v>
      </c>
    </row>
    <row r="122">
      <c r="A122" s="457">
        <v>116.0</v>
      </c>
      <c r="B122" s="458" t="s">
        <v>2757</v>
      </c>
      <c r="C122" s="459"/>
      <c r="D122" s="459"/>
      <c r="E122" s="469">
        <v>7.1</v>
      </c>
      <c r="F122" s="469">
        <v>2.1</v>
      </c>
      <c r="G122" s="469">
        <v>3.7</v>
      </c>
      <c r="H122" s="469">
        <v>6.7</v>
      </c>
      <c r="I122" s="469">
        <v>0.7</v>
      </c>
      <c r="J122" s="469">
        <v>0.4</v>
      </c>
      <c r="K122" s="469">
        <v>2.9</v>
      </c>
      <c r="L122" s="469">
        <v>21.4</v>
      </c>
      <c r="M122" s="469">
        <v>86.9</v>
      </c>
      <c r="N122" s="473">
        <v>-0.1</v>
      </c>
      <c r="O122" t="str">
        <f>IFERROR(__xludf.DUMMYFUNCTION("regexextract(B122,""[\w]* [\w]*"")"),"Hassan Whiteside")</f>
        <v>Hassan Whiteside</v>
      </c>
      <c r="P122" t="str">
        <f t="shared" si="2"/>
        <v>Hassan Whiteside</v>
      </c>
      <c r="Q122" t="str">
        <f t="shared" si="3"/>
        <v>Hassan Whiteside</v>
      </c>
      <c r="R122" t="s">
        <v>2640</v>
      </c>
      <c r="S122" s="417" t="s">
        <v>2640</v>
      </c>
      <c r="T122" t="s">
        <v>2640</v>
      </c>
      <c r="U122" t="s">
        <v>2640</v>
      </c>
      <c r="V122" t="s">
        <v>97</v>
      </c>
      <c r="W122" t="str">
        <f t="shared" si="1"/>
        <v>C</v>
      </c>
    </row>
    <row r="123">
      <c r="A123" s="454">
        <v>117.0</v>
      </c>
      <c r="B123" s="455" t="s">
        <v>2758</v>
      </c>
      <c r="C123" s="456"/>
      <c r="D123" s="456"/>
      <c r="E123" s="468">
        <v>2.4</v>
      </c>
      <c r="F123" s="468">
        <v>1.1</v>
      </c>
      <c r="G123" s="468">
        <v>7.4</v>
      </c>
      <c r="H123" s="468">
        <v>1.5</v>
      </c>
      <c r="I123" s="468">
        <v>1.6</v>
      </c>
      <c r="J123" s="468">
        <v>2.5</v>
      </c>
      <c r="K123" s="468">
        <v>1.6</v>
      </c>
      <c r="L123" s="468">
        <v>13.3</v>
      </c>
      <c r="M123" s="468">
        <v>71.0</v>
      </c>
      <c r="N123" s="471">
        <f>+4.1</f>
        <v>4.1</v>
      </c>
      <c r="O123" t="str">
        <f>IFERROR(__xludf.DUMMYFUNCTION("regexextract(B123,""[\w]* [\w]*"")"),"Joe Harris")</f>
        <v>Joe Harris</v>
      </c>
      <c r="P123" t="str">
        <f t="shared" si="2"/>
        <v>Joe Harris</v>
      </c>
      <c r="Q123" t="str">
        <f t="shared" si="3"/>
        <v>Joe Harris</v>
      </c>
      <c r="R123" t="s">
        <v>2640</v>
      </c>
      <c r="S123" s="417" t="s">
        <v>88</v>
      </c>
      <c r="T123" t="s">
        <v>90</v>
      </c>
      <c r="U123" t="s">
        <v>2640</v>
      </c>
      <c r="V123" t="s">
        <v>2640</v>
      </c>
      <c r="W123" t="str">
        <f t="shared" si="1"/>
        <v>SGSF</v>
      </c>
    </row>
    <row r="124">
      <c r="A124" s="457">
        <v>118.0</v>
      </c>
      <c r="B124" s="458" t="s">
        <v>2759</v>
      </c>
      <c r="C124" s="459"/>
      <c r="D124" s="459"/>
      <c r="E124" s="469">
        <v>3.0</v>
      </c>
      <c r="F124" s="469">
        <v>3.4</v>
      </c>
      <c r="G124" s="469">
        <v>3.5</v>
      </c>
      <c r="H124" s="469">
        <v>7.2</v>
      </c>
      <c r="I124" s="469">
        <v>1.1</v>
      </c>
      <c r="J124" s="469">
        <v>0.3</v>
      </c>
      <c r="K124" s="469">
        <v>3.0</v>
      </c>
      <c r="L124" s="469">
        <v>18.5</v>
      </c>
      <c r="M124" s="469">
        <v>85.8</v>
      </c>
      <c r="N124" s="470">
        <f>+1.1</f>
        <v>1.1</v>
      </c>
      <c r="O124" t="str">
        <f>IFERROR(__xludf.DUMMYFUNCTION("regexextract(B124,""[\w]* [\w]*"")"),"Malik Beasley")</f>
        <v>Malik Beasley</v>
      </c>
      <c r="P124" t="str">
        <f t="shared" si="2"/>
        <v>Malik Beasley</v>
      </c>
      <c r="Q124" t="str">
        <f t="shared" si="3"/>
        <v>Malik Beasley</v>
      </c>
      <c r="R124" t="s">
        <v>2640</v>
      </c>
      <c r="S124" s="417" t="s">
        <v>88</v>
      </c>
      <c r="T124" t="s">
        <v>90</v>
      </c>
      <c r="U124" t="s">
        <v>2640</v>
      </c>
      <c r="V124" t="s">
        <v>2640</v>
      </c>
      <c r="W124" t="str">
        <f t="shared" si="1"/>
        <v>SGSF</v>
      </c>
    </row>
    <row r="125">
      <c r="A125" s="454">
        <v>119.0</v>
      </c>
      <c r="B125" s="455" t="s">
        <v>2760</v>
      </c>
      <c r="C125" s="456"/>
      <c r="D125" s="456"/>
      <c r="E125" s="468">
        <v>4.1</v>
      </c>
      <c r="F125" s="468">
        <v>3.0</v>
      </c>
      <c r="G125" s="468">
        <v>3.9</v>
      </c>
      <c r="H125" s="468">
        <v>5.0</v>
      </c>
      <c r="I125" s="468">
        <v>1.1</v>
      </c>
      <c r="J125" s="468">
        <v>0.4</v>
      </c>
      <c r="K125" s="468">
        <v>2.1</v>
      </c>
      <c r="L125" s="468">
        <v>20.5</v>
      </c>
      <c r="M125" s="468">
        <v>93.4</v>
      </c>
      <c r="N125" s="472">
        <v>-1.7</v>
      </c>
      <c r="O125" t="str">
        <f>IFERROR(__xludf.DUMMYFUNCTION("regexextract(B125,""[\w]* [\w]*"")"),"Kyle Kuzma")</f>
        <v>Kyle Kuzma</v>
      </c>
      <c r="P125" t="str">
        <f t="shared" si="2"/>
        <v>Kyle Kuzma</v>
      </c>
      <c r="Q125" t="str">
        <f t="shared" si="3"/>
        <v>Kyle Kuzma</v>
      </c>
      <c r="R125" t="s">
        <v>2640</v>
      </c>
      <c r="S125" s="417" t="s">
        <v>2640</v>
      </c>
      <c r="T125" t="s">
        <v>90</v>
      </c>
      <c r="U125" t="s">
        <v>92</v>
      </c>
      <c r="V125" t="s">
        <v>2640</v>
      </c>
      <c r="W125" t="str">
        <f t="shared" si="1"/>
        <v>SFPF</v>
      </c>
    </row>
    <row r="126">
      <c r="A126" s="457">
        <v>120.0</v>
      </c>
      <c r="B126" s="458" t="s">
        <v>2761</v>
      </c>
      <c r="C126" s="459"/>
      <c r="D126" s="459"/>
      <c r="E126" s="469">
        <v>3.6</v>
      </c>
      <c r="F126" s="469">
        <v>2.0</v>
      </c>
      <c r="G126" s="469">
        <v>4.9</v>
      </c>
      <c r="H126" s="469">
        <v>2.5</v>
      </c>
      <c r="I126" s="469">
        <v>0.9</v>
      </c>
      <c r="J126" s="469">
        <v>1.0</v>
      </c>
      <c r="K126" s="469">
        <v>1.9</v>
      </c>
      <c r="L126" s="469">
        <v>19.0</v>
      </c>
      <c r="M126" s="469">
        <v>86.0</v>
      </c>
      <c r="N126" s="470">
        <f>+0.5</f>
        <v>0.5</v>
      </c>
      <c r="O126" t="str">
        <f>IFERROR(__xludf.DUMMYFUNCTION("regexextract(B126,""[\w]* [\w]*"")")," McConnell")</f>
        <v> McConnell</v>
      </c>
      <c r="P126" t="str">
        <f t="shared" si="2"/>
        <v> McConnell</v>
      </c>
      <c r="Q126" t="str">
        <f t="shared" si="3"/>
        <v> McConnell</v>
      </c>
      <c r="R126" t="s">
        <v>85</v>
      </c>
      <c r="S126" s="417" t="s">
        <v>2640</v>
      </c>
      <c r="T126" t="s">
        <v>2640</v>
      </c>
      <c r="U126" t="s">
        <v>2640</v>
      </c>
      <c r="V126" t="s">
        <v>97</v>
      </c>
      <c r="W126" t="str">
        <f t="shared" si="1"/>
        <v>PGC</v>
      </c>
    </row>
    <row r="127">
      <c r="A127" s="454">
        <v>121.0</v>
      </c>
      <c r="B127" s="455" t="s">
        <v>2762</v>
      </c>
      <c r="C127" s="456"/>
      <c r="D127" s="456"/>
      <c r="E127" s="468">
        <v>2.9</v>
      </c>
      <c r="F127" s="468">
        <v>2.6</v>
      </c>
      <c r="G127" s="468">
        <v>5.5</v>
      </c>
      <c r="H127" s="468">
        <v>2.1</v>
      </c>
      <c r="I127" s="468">
        <v>1.5</v>
      </c>
      <c r="J127" s="468">
        <v>0.7</v>
      </c>
      <c r="K127" s="468">
        <v>1.7</v>
      </c>
      <c r="L127" s="468">
        <v>17.4</v>
      </c>
      <c r="M127" s="468">
        <v>88.2</v>
      </c>
      <c r="N127" s="472">
        <v>-0.7</v>
      </c>
      <c r="O127" t="str">
        <f>IFERROR(__xludf.DUMMYFUNCTION("regexextract(B127,""[\w]* [\w]*"")"),"Lauri Markkanen")</f>
        <v>Lauri Markkanen</v>
      </c>
      <c r="P127" t="str">
        <f t="shared" si="2"/>
        <v>Lauri Markkanen</v>
      </c>
      <c r="Q127" t="str">
        <f t="shared" si="3"/>
        <v>Lauri Markkanen</v>
      </c>
      <c r="R127" t="s">
        <v>2640</v>
      </c>
      <c r="S127" s="417" t="s">
        <v>2640</v>
      </c>
      <c r="T127" t="s">
        <v>2640</v>
      </c>
      <c r="U127" t="s">
        <v>92</v>
      </c>
      <c r="V127" t="s">
        <v>97</v>
      </c>
      <c r="W127" t="str">
        <f t="shared" si="1"/>
        <v>PFC</v>
      </c>
    </row>
    <row r="128">
      <c r="A128" s="457">
        <v>122.0</v>
      </c>
      <c r="B128" s="458" t="s">
        <v>2763</v>
      </c>
      <c r="C128" s="459"/>
      <c r="D128" s="459"/>
      <c r="E128" s="469">
        <v>3.3</v>
      </c>
      <c r="F128" s="469">
        <v>1.3</v>
      </c>
      <c r="G128" s="469">
        <v>7.9</v>
      </c>
      <c r="H128" s="469">
        <v>1.3</v>
      </c>
      <c r="I128" s="469">
        <v>0.6</v>
      </c>
      <c r="J128" s="469">
        <v>1.1</v>
      </c>
      <c r="K128" s="469">
        <v>1.4</v>
      </c>
      <c r="L128" s="469">
        <v>18.3</v>
      </c>
      <c r="M128" s="469">
        <v>84.3</v>
      </c>
      <c r="N128" s="470">
        <f>+2</f>
        <v>2</v>
      </c>
      <c r="O128" t="str">
        <f>IFERROR(__xludf.DUMMYFUNCTION("regexextract(B128,""[\w]* [\w]*"")"),"Thomas BryantO")</f>
        <v>Thomas BryantO</v>
      </c>
      <c r="P128" t="str">
        <f t="shared" si="2"/>
        <v>Thomas BryantO</v>
      </c>
      <c r="Q128" t="str">
        <f t="shared" si="3"/>
        <v>Thomas Bryant</v>
      </c>
      <c r="R128" t="s">
        <v>2640</v>
      </c>
      <c r="S128" s="417" t="s">
        <v>2640</v>
      </c>
      <c r="T128" t="s">
        <v>2640</v>
      </c>
      <c r="U128" t="s">
        <v>2640</v>
      </c>
      <c r="V128" t="s">
        <v>97</v>
      </c>
      <c r="W128" t="str">
        <f t="shared" si="1"/>
        <v>C</v>
      </c>
    </row>
    <row r="129">
      <c r="A129" s="454">
        <v>123.0</v>
      </c>
      <c r="B129" s="455" t="s">
        <v>2764</v>
      </c>
      <c r="C129" s="456"/>
      <c r="D129" s="456"/>
      <c r="E129" s="468">
        <v>3.5</v>
      </c>
      <c r="F129" s="468">
        <v>2.3</v>
      </c>
      <c r="G129" s="468">
        <v>9.0</v>
      </c>
      <c r="H129" s="468">
        <v>1.6</v>
      </c>
      <c r="I129" s="468">
        <v>0.5</v>
      </c>
      <c r="J129" s="468">
        <v>1.5</v>
      </c>
      <c r="K129" s="468">
        <v>1.3</v>
      </c>
      <c r="L129" s="468">
        <v>20.0</v>
      </c>
      <c r="M129" s="468">
        <v>90.0</v>
      </c>
      <c r="N129" s="471">
        <f>+0.5</f>
        <v>0.5</v>
      </c>
      <c r="O129" t="str">
        <f>IFERROR(__xludf.DUMMYFUNCTION("regexextract(B129,""[\w]* [\w]*"")")," WarrenO")</f>
        <v> WarrenO</v>
      </c>
      <c r="P129" t="str">
        <f t="shared" si="2"/>
        <v> WarrenO</v>
      </c>
      <c r="Q129" t="str">
        <f t="shared" si="3"/>
        <v> Warren</v>
      </c>
      <c r="R129" t="s">
        <v>2640</v>
      </c>
      <c r="S129" s="417" t="s">
        <v>2640</v>
      </c>
      <c r="T129" t="s">
        <v>90</v>
      </c>
      <c r="U129" t="s">
        <v>2640</v>
      </c>
      <c r="V129" t="s">
        <v>2640</v>
      </c>
      <c r="W129" t="str">
        <f t="shared" si="1"/>
        <v>SF</v>
      </c>
    </row>
    <row r="130">
      <c r="A130" s="457">
        <v>124.0</v>
      </c>
      <c r="B130" s="458" t="s">
        <v>2765</v>
      </c>
      <c r="C130" s="459"/>
      <c r="D130" s="459"/>
      <c r="E130" s="469">
        <v>3.4</v>
      </c>
      <c r="F130" s="469">
        <v>1.6</v>
      </c>
      <c r="G130" s="469">
        <v>7.2</v>
      </c>
      <c r="H130" s="469">
        <v>1.1</v>
      </c>
      <c r="I130" s="469">
        <v>0.6</v>
      </c>
      <c r="J130" s="469">
        <v>2.0</v>
      </c>
      <c r="K130" s="469">
        <v>0.8</v>
      </c>
      <c r="L130" s="469">
        <v>14.5</v>
      </c>
      <c r="M130" s="469">
        <v>81.2</v>
      </c>
      <c r="N130" s="470">
        <f>+0.9</f>
        <v>0.9</v>
      </c>
      <c r="O130" t="str">
        <f>IFERROR(__xludf.DUMMYFUNCTION("regexextract(B130,""[\w]* [\w]*"")"),"Bojan BogdanovicDTD")</f>
        <v>Bojan BogdanovicDTD</v>
      </c>
      <c r="P130" t="str">
        <f t="shared" si="2"/>
        <v>Bojan Bogdanovic</v>
      </c>
      <c r="Q130" t="str">
        <f t="shared" si="3"/>
        <v>Bojan Bogdanovic</v>
      </c>
      <c r="R130" t="s">
        <v>2640</v>
      </c>
      <c r="S130" s="417" t="s">
        <v>2640</v>
      </c>
      <c r="T130" t="s">
        <v>90</v>
      </c>
      <c r="U130" t="s">
        <v>92</v>
      </c>
      <c r="V130" t="s">
        <v>97</v>
      </c>
      <c r="W130" t="str">
        <f t="shared" si="1"/>
        <v>SFPFC</v>
      </c>
    </row>
    <row r="131">
      <c r="A131" s="454">
        <v>125.0</v>
      </c>
      <c r="B131" s="455" t="s">
        <v>2766</v>
      </c>
      <c r="C131" s="456"/>
      <c r="D131" s="456"/>
      <c r="E131" s="468">
        <v>5.9</v>
      </c>
      <c r="F131" s="468">
        <v>2.0</v>
      </c>
      <c r="G131" s="468">
        <v>4.6</v>
      </c>
      <c r="H131" s="468">
        <v>2.6</v>
      </c>
      <c r="I131" s="468">
        <v>0.7</v>
      </c>
      <c r="J131" s="468">
        <v>1.1</v>
      </c>
      <c r="K131" s="468">
        <v>1.9</v>
      </c>
      <c r="L131" s="468">
        <v>21.2</v>
      </c>
      <c r="M131" s="468">
        <v>83.6</v>
      </c>
      <c r="N131" s="471">
        <f>+1.7</f>
        <v>1.7</v>
      </c>
      <c r="O131" t="str">
        <f>IFERROR(__xludf.DUMMYFUNCTION("regexextract(B131,""[\w]* [\w]*"")"),"Steven Adams")</f>
        <v>Steven Adams</v>
      </c>
      <c r="P131" t="str">
        <f t="shared" si="2"/>
        <v>Steven Adams</v>
      </c>
      <c r="Q131" t="str">
        <f t="shared" si="3"/>
        <v>Steven Adams</v>
      </c>
      <c r="R131" t="s">
        <v>2640</v>
      </c>
      <c r="S131" s="417" t="s">
        <v>2640</v>
      </c>
      <c r="T131" t="s">
        <v>2640</v>
      </c>
      <c r="U131" t="s">
        <v>2640</v>
      </c>
      <c r="V131" t="s">
        <v>97</v>
      </c>
      <c r="W131" t="str">
        <f t="shared" si="1"/>
        <v>C</v>
      </c>
    </row>
    <row r="132">
      <c r="A132" s="457">
        <v>126.0</v>
      </c>
      <c r="B132" s="458" t="s">
        <v>2767</v>
      </c>
      <c r="C132" s="459"/>
      <c r="D132" s="459"/>
      <c r="E132" s="469">
        <v>2.3</v>
      </c>
      <c r="F132" s="469">
        <v>0.5</v>
      </c>
      <c r="G132" s="469">
        <v>8.8</v>
      </c>
      <c r="H132" s="469">
        <v>1.1</v>
      </c>
      <c r="I132" s="469">
        <v>0.8</v>
      </c>
      <c r="J132" s="469">
        <v>1.8</v>
      </c>
      <c r="K132" s="469">
        <v>1.3</v>
      </c>
      <c r="L132" s="469">
        <v>11.6</v>
      </c>
      <c r="M132" s="469">
        <v>47.5</v>
      </c>
      <c r="N132" s="470">
        <f>+11.5</f>
        <v>11.5</v>
      </c>
      <c r="O132" t="str">
        <f>IFERROR(__xludf.DUMMYFUNCTION("regexextract(B132,""[\w]* [\w]*"")"),"Bobby Portis")</f>
        <v>Bobby Portis</v>
      </c>
      <c r="P132" t="str">
        <f t="shared" si="2"/>
        <v>Bobby Portis</v>
      </c>
      <c r="Q132" t="str">
        <f t="shared" si="3"/>
        <v>Bobby Portis</v>
      </c>
      <c r="R132" t="s">
        <v>2640</v>
      </c>
      <c r="S132" s="417" t="s">
        <v>2640</v>
      </c>
      <c r="T132" t="s">
        <v>2640</v>
      </c>
      <c r="U132" t="s">
        <v>92</v>
      </c>
      <c r="V132" t="s">
        <v>2640</v>
      </c>
      <c r="W132" t="str">
        <f t="shared" si="1"/>
        <v>PF</v>
      </c>
    </row>
    <row r="133">
      <c r="A133" s="454">
        <v>127.0</v>
      </c>
      <c r="B133" s="455" t="s">
        <v>2768</v>
      </c>
      <c r="C133" s="456"/>
      <c r="D133" s="456"/>
      <c r="E133" s="468">
        <v>2.8</v>
      </c>
      <c r="F133" s="468">
        <v>0.0</v>
      </c>
      <c r="G133" s="468">
        <v>7.9</v>
      </c>
      <c r="H133" s="468">
        <v>1.4</v>
      </c>
      <c r="I133" s="468">
        <v>0.7</v>
      </c>
      <c r="J133" s="468">
        <v>1.5</v>
      </c>
      <c r="K133" s="468">
        <v>1.2</v>
      </c>
      <c r="L133" s="468">
        <v>13.3</v>
      </c>
      <c r="M133" s="468">
        <v>79.6</v>
      </c>
      <c r="N133" s="471">
        <f>+1.2</f>
        <v>1.2</v>
      </c>
      <c r="O133" t="str">
        <f>IFERROR(__xludf.DUMMYFUNCTION("regexextract(B133,""[\w]* [\w]*"")"),"Mason Plumlee")</f>
        <v>Mason Plumlee</v>
      </c>
      <c r="P133" t="str">
        <f t="shared" si="2"/>
        <v>Mason Plumlee</v>
      </c>
      <c r="Q133" t="str">
        <f t="shared" si="3"/>
        <v>Mason Plumlee</v>
      </c>
      <c r="R133" t="s">
        <v>2640</v>
      </c>
      <c r="S133" s="417" t="s">
        <v>2640</v>
      </c>
      <c r="T133" t="s">
        <v>2640</v>
      </c>
      <c r="U133" t="s">
        <v>2640</v>
      </c>
      <c r="V133" t="s">
        <v>97</v>
      </c>
      <c r="W133" t="str">
        <f t="shared" si="1"/>
        <v>C</v>
      </c>
    </row>
    <row r="134">
      <c r="A134" s="457">
        <v>128.0</v>
      </c>
      <c r="B134" s="458" t="s">
        <v>2769</v>
      </c>
      <c r="C134" s="459"/>
      <c r="D134" s="459"/>
      <c r="E134" s="469">
        <v>2.7</v>
      </c>
      <c r="F134" s="469">
        <v>2.1</v>
      </c>
      <c r="G134" s="469">
        <v>2.4</v>
      </c>
      <c r="H134" s="469">
        <v>6.0</v>
      </c>
      <c r="I134" s="469">
        <v>1.2</v>
      </c>
      <c r="J134" s="469">
        <v>0.1</v>
      </c>
      <c r="K134" s="469">
        <v>3.1</v>
      </c>
      <c r="L134" s="469">
        <v>18.4</v>
      </c>
      <c r="M134" s="469">
        <v>81.4</v>
      </c>
      <c r="N134" s="470">
        <f>+0.3</f>
        <v>0.3</v>
      </c>
      <c r="O134" t="str">
        <f>IFERROR(__xludf.DUMMYFUNCTION("regexextract(B134,""[\w]* [\w]*"")"),"Ricky Rubio")</f>
        <v>Ricky Rubio</v>
      </c>
      <c r="P134" t="str">
        <f t="shared" si="2"/>
        <v>Ricky Rubio</v>
      </c>
      <c r="Q134" t="str">
        <f t="shared" si="3"/>
        <v>Ricky Rubi</v>
      </c>
      <c r="R134" t="s">
        <v>85</v>
      </c>
      <c r="S134" s="417" t="s">
        <v>2640</v>
      </c>
      <c r="T134" t="s">
        <v>2640</v>
      </c>
      <c r="U134" t="s">
        <v>2640</v>
      </c>
      <c r="V134" t="s">
        <v>97</v>
      </c>
      <c r="W134" t="str">
        <f t="shared" si="1"/>
        <v>PGC</v>
      </c>
    </row>
    <row r="135">
      <c r="A135" s="454">
        <v>129.0</v>
      </c>
      <c r="B135" s="455" t="s">
        <v>2770</v>
      </c>
      <c r="C135" s="456"/>
      <c r="D135" s="456"/>
      <c r="E135" s="468">
        <v>2.8</v>
      </c>
      <c r="F135" s="468">
        <v>1.4</v>
      </c>
      <c r="G135" s="468">
        <v>6.6</v>
      </c>
      <c r="H135" s="468">
        <v>1.2</v>
      </c>
      <c r="I135" s="468">
        <v>0.8</v>
      </c>
      <c r="J135" s="468">
        <v>2.9</v>
      </c>
      <c r="K135" s="468">
        <v>1.3</v>
      </c>
      <c r="L135" s="468">
        <v>12.4</v>
      </c>
      <c r="M135" s="468">
        <v>56.4</v>
      </c>
      <c r="N135" s="471">
        <f>+9.7</f>
        <v>9.7</v>
      </c>
      <c r="O135" t="str">
        <f>IFERROR(__xludf.DUMMYFUNCTION("regexextract(B135,""[\w]* [\w]*"")"),"Klay ThompsonO")</f>
        <v>Klay ThompsonO</v>
      </c>
      <c r="P135" t="str">
        <f t="shared" si="2"/>
        <v>Klay ThompsonO</v>
      </c>
      <c r="Q135" t="str">
        <f t="shared" si="3"/>
        <v>Klay Thompson</v>
      </c>
      <c r="R135" t="s">
        <v>2640</v>
      </c>
      <c r="S135" s="417" t="s">
        <v>88</v>
      </c>
      <c r="T135" t="s">
        <v>2640</v>
      </c>
      <c r="U135" t="s">
        <v>2640</v>
      </c>
      <c r="V135" t="s">
        <v>2640</v>
      </c>
      <c r="W135" t="str">
        <f t="shared" si="1"/>
        <v>SG</v>
      </c>
    </row>
    <row r="136">
      <c r="A136" s="457">
        <v>130.0</v>
      </c>
      <c r="B136" s="458" t="s">
        <v>2771</v>
      </c>
      <c r="C136" s="459"/>
      <c r="D136" s="459"/>
      <c r="E136" s="469">
        <v>2.0</v>
      </c>
      <c r="F136" s="469">
        <v>2.6</v>
      </c>
      <c r="G136" s="469">
        <v>4.4</v>
      </c>
      <c r="H136" s="469">
        <v>3.2</v>
      </c>
      <c r="I136" s="469">
        <v>1.4</v>
      </c>
      <c r="J136" s="469">
        <v>0.7</v>
      </c>
      <c r="K136" s="469">
        <v>2.1</v>
      </c>
      <c r="L136" s="469">
        <v>16.4</v>
      </c>
      <c r="M136" s="469">
        <v>73.5</v>
      </c>
      <c r="N136" s="470">
        <f>+1.7</f>
        <v>1.7</v>
      </c>
      <c r="O136" t="str">
        <f>IFERROR(__xludf.DUMMYFUNCTION("regexextract(B136,""[\w]* [\w]*"")"),"Kelly Olynyk")</f>
        <v>Kelly Olynyk</v>
      </c>
      <c r="P136" t="str">
        <f t="shared" si="2"/>
        <v>Kelly Olynyk</v>
      </c>
      <c r="Q136" t="str">
        <f t="shared" si="3"/>
        <v>Kelly Olynyk</v>
      </c>
      <c r="R136" t="s">
        <v>2640</v>
      </c>
      <c r="S136" s="417" t="s">
        <v>2640</v>
      </c>
      <c r="T136" t="s">
        <v>2640</v>
      </c>
      <c r="U136" t="s">
        <v>92</v>
      </c>
      <c r="V136" t="s">
        <v>97</v>
      </c>
      <c r="W136" t="str">
        <f t="shared" si="1"/>
        <v>PFC</v>
      </c>
    </row>
    <row r="137">
      <c r="A137" s="454">
        <v>131.0</v>
      </c>
      <c r="B137" s="455" t="s">
        <v>2772</v>
      </c>
      <c r="C137" s="456"/>
      <c r="D137" s="456"/>
      <c r="E137" s="468">
        <v>3.8</v>
      </c>
      <c r="F137" s="468">
        <v>2.1</v>
      </c>
      <c r="G137" s="468">
        <v>5.6</v>
      </c>
      <c r="H137" s="468">
        <v>1.5</v>
      </c>
      <c r="I137" s="468">
        <v>0.9</v>
      </c>
      <c r="J137" s="468">
        <v>1.8</v>
      </c>
      <c r="K137" s="468">
        <v>1.9</v>
      </c>
      <c r="L137" s="468">
        <v>17.9</v>
      </c>
      <c r="M137" s="468">
        <v>79.1</v>
      </c>
      <c r="N137" s="471">
        <f t="shared" ref="N137:N138" si="7">+1.8</f>
        <v>1.8</v>
      </c>
      <c r="O137" t="str">
        <f>IFERROR(__xludf.DUMMYFUNCTION("regexextract(B137,""[\w]* [\w]*"")"),"Monte Morris")</f>
        <v>Monte Morris</v>
      </c>
      <c r="P137" t="str">
        <f t="shared" si="2"/>
        <v>Monte Morris</v>
      </c>
      <c r="Q137" t="str">
        <f t="shared" si="3"/>
        <v>Monte Morris</v>
      </c>
      <c r="R137" t="s">
        <v>85</v>
      </c>
      <c r="S137" s="417" t="s">
        <v>2640</v>
      </c>
      <c r="T137" t="s">
        <v>2640</v>
      </c>
      <c r="U137" t="s">
        <v>2640</v>
      </c>
      <c r="V137" t="s">
        <v>2640</v>
      </c>
      <c r="W137" t="str">
        <f t="shared" si="1"/>
        <v>PG</v>
      </c>
    </row>
    <row r="138">
      <c r="A138" s="457">
        <v>132.0</v>
      </c>
      <c r="B138" s="458" t="s">
        <v>2773</v>
      </c>
      <c r="C138" s="459"/>
      <c r="D138" s="459"/>
      <c r="E138" s="469">
        <v>4.4</v>
      </c>
      <c r="F138" s="469">
        <v>1.9</v>
      </c>
      <c r="G138" s="469">
        <v>5.7</v>
      </c>
      <c r="H138" s="469">
        <v>3.0</v>
      </c>
      <c r="I138" s="469">
        <v>0.7</v>
      </c>
      <c r="J138" s="469">
        <v>0.3</v>
      </c>
      <c r="K138" s="469">
        <v>1.9</v>
      </c>
      <c r="L138" s="469">
        <v>18.7</v>
      </c>
      <c r="M138" s="469">
        <v>80.5</v>
      </c>
      <c r="N138" s="470">
        <f t="shared" si="7"/>
        <v>1.8</v>
      </c>
      <c r="O138" t="str">
        <f>IFERROR(__xludf.DUMMYFUNCTION("regexextract(B138,""[\w]* [\w]*"")"),"John WallO")</f>
        <v>John WallO</v>
      </c>
      <c r="P138" t="str">
        <f t="shared" si="2"/>
        <v>John WallO</v>
      </c>
      <c r="Q138" t="str">
        <f t="shared" si="3"/>
        <v>John Wall</v>
      </c>
      <c r="R138" t="s">
        <v>85</v>
      </c>
      <c r="S138" s="417" t="s">
        <v>2640</v>
      </c>
      <c r="T138" t="s">
        <v>2640</v>
      </c>
      <c r="U138" t="s">
        <v>2640</v>
      </c>
      <c r="V138" t="s">
        <v>2640</v>
      </c>
      <c r="W138" t="str">
        <f t="shared" si="1"/>
        <v>PG</v>
      </c>
    </row>
    <row r="139">
      <c r="A139" s="454">
        <v>133.0</v>
      </c>
      <c r="B139" s="455" t="s">
        <v>2774</v>
      </c>
      <c r="C139" s="456"/>
      <c r="D139" s="456"/>
      <c r="E139" s="468">
        <v>3.5</v>
      </c>
      <c r="F139" s="468">
        <v>2.4</v>
      </c>
      <c r="G139" s="468">
        <v>3.4</v>
      </c>
      <c r="H139" s="468">
        <v>5.7</v>
      </c>
      <c r="I139" s="468">
        <v>1.2</v>
      </c>
      <c r="J139" s="468">
        <v>0.2</v>
      </c>
      <c r="K139" s="468">
        <v>1.9</v>
      </c>
      <c r="L139" s="468">
        <v>16.9</v>
      </c>
      <c r="M139" s="468">
        <v>80.7</v>
      </c>
      <c r="N139" s="471">
        <f>+0.2</f>
        <v>0.2</v>
      </c>
      <c r="O139" t="str">
        <f>IFERROR(__xludf.DUMMYFUNCTION("regexextract(B139,""[\w]* [\w]*"")"),"Kyle Anderson")</f>
        <v>Kyle Anderson</v>
      </c>
      <c r="P139" t="str">
        <f t="shared" si="2"/>
        <v>Kyle Anderson</v>
      </c>
      <c r="Q139" t="str">
        <f t="shared" si="3"/>
        <v>Kyle Anderson</v>
      </c>
      <c r="R139" t="s">
        <v>2640</v>
      </c>
      <c r="S139" s="417" t="s">
        <v>2640</v>
      </c>
      <c r="T139" t="s">
        <v>90</v>
      </c>
      <c r="U139" t="s">
        <v>92</v>
      </c>
      <c r="V139" t="s">
        <v>2640</v>
      </c>
      <c r="W139" t="str">
        <f t="shared" si="1"/>
        <v>SFPF</v>
      </c>
    </row>
    <row r="140">
      <c r="A140" s="457">
        <v>134.0</v>
      </c>
      <c r="B140" s="458" t="s">
        <v>2775</v>
      </c>
      <c r="C140" s="459"/>
      <c r="D140" s="459"/>
      <c r="E140" s="469">
        <v>2.3</v>
      </c>
      <c r="F140" s="469">
        <v>1.7</v>
      </c>
      <c r="G140" s="469">
        <v>6.5</v>
      </c>
      <c r="H140" s="469">
        <v>2.5</v>
      </c>
      <c r="I140" s="469">
        <v>1.1</v>
      </c>
      <c r="J140" s="469">
        <v>1.2</v>
      </c>
      <c r="K140" s="469">
        <v>2.0</v>
      </c>
      <c r="L140" s="469">
        <v>13.3</v>
      </c>
      <c r="M140" s="469">
        <v>77.5</v>
      </c>
      <c r="N140" s="470">
        <f>+0.7</f>
        <v>0.7</v>
      </c>
      <c r="O140" t="str">
        <f>IFERROR(__xludf.DUMMYFUNCTION("regexextract(B140,""[\w]* [\w]*"")"),"Kevin Porter")</f>
        <v>Kevin Porter</v>
      </c>
      <c r="P140" t="str">
        <f t="shared" si="2"/>
        <v>Kevin Porter</v>
      </c>
      <c r="Q140" t="str">
        <f t="shared" si="3"/>
        <v>Kevin Porter</v>
      </c>
      <c r="R140" t="s">
        <v>85</v>
      </c>
      <c r="S140" s="417" t="s">
        <v>88</v>
      </c>
      <c r="T140" t="s">
        <v>2640</v>
      </c>
      <c r="U140" t="s">
        <v>2640</v>
      </c>
      <c r="V140" t="s">
        <v>2640</v>
      </c>
      <c r="W140" t="str">
        <f t="shared" si="1"/>
        <v>PGSG</v>
      </c>
    </row>
    <row r="141">
      <c r="A141" s="454">
        <v>135.0</v>
      </c>
      <c r="B141" s="455" t="s">
        <v>2776</v>
      </c>
      <c r="C141" s="456"/>
      <c r="D141" s="456"/>
      <c r="E141" s="468">
        <v>4.8</v>
      </c>
      <c r="F141" s="468">
        <v>2.1</v>
      </c>
      <c r="G141" s="468">
        <v>4.3</v>
      </c>
      <c r="H141" s="468">
        <v>2.4</v>
      </c>
      <c r="I141" s="468">
        <v>0.9</v>
      </c>
      <c r="J141" s="468">
        <v>0.5</v>
      </c>
      <c r="K141" s="468">
        <v>1.8</v>
      </c>
      <c r="L141" s="468">
        <v>19.2</v>
      </c>
      <c r="M141" s="468">
        <v>83.8</v>
      </c>
      <c r="N141" s="471">
        <f>+0.9</f>
        <v>0.9</v>
      </c>
      <c r="O141" t="str">
        <f>IFERROR(__xludf.DUMMYFUNCTION("regexextract(B141,""[\w]* [\w]*"")"),"Alperen Sengun")</f>
        <v>Alperen Sengun</v>
      </c>
      <c r="P141" t="str">
        <f t="shared" si="2"/>
        <v>Alperen Sengun</v>
      </c>
      <c r="Q141" t="str">
        <f t="shared" si="3"/>
        <v>Alperen Sengun</v>
      </c>
      <c r="R141" t="s">
        <v>2640</v>
      </c>
      <c r="S141" s="417" t="s">
        <v>2640</v>
      </c>
      <c r="T141" t="s">
        <v>2640</v>
      </c>
      <c r="U141" t="s">
        <v>2640</v>
      </c>
      <c r="V141" t="s">
        <v>97</v>
      </c>
      <c r="W141" t="str">
        <f t="shared" si="1"/>
        <v>C</v>
      </c>
    </row>
    <row r="142">
      <c r="A142" s="457">
        <v>136.0</v>
      </c>
      <c r="B142" s="458" t="s">
        <v>2777</v>
      </c>
      <c r="C142" s="459"/>
      <c r="D142" s="459"/>
      <c r="E142" s="469">
        <v>3.7</v>
      </c>
      <c r="F142" s="469">
        <v>2.4</v>
      </c>
      <c r="G142" s="469">
        <v>3.5</v>
      </c>
      <c r="H142" s="469">
        <v>2.0</v>
      </c>
      <c r="I142" s="469">
        <v>1.2</v>
      </c>
      <c r="J142" s="469">
        <v>0.3</v>
      </c>
      <c r="K142" s="469">
        <v>1.8</v>
      </c>
      <c r="L142" s="469">
        <v>18.5</v>
      </c>
      <c r="M142" s="469">
        <v>72.9</v>
      </c>
      <c r="N142" s="470">
        <f>+2.8</f>
        <v>2.8</v>
      </c>
      <c r="O142" t="str">
        <f>IFERROR(__xludf.DUMMYFUNCTION("regexextract(B142,""[\w]* [\w]*"")"),"Tyler Herro")</f>
        <v>Tyler Herro</v>
      </c>
      <c r="P142" t="str">
        <f t="shared" si="2"/>
        <v>Tyler Herro</v>
      </c>
      <c r="Q142" t="str">
        <f t="shared" si="3"/>
        <v>Tyler Herr</v>
      </c>
      <c r="R142" t="s">
        <v>85</v>
      </c>
      <c r="S142" s="417" t="s">
        <v>88</v>
      </c>
      <c r="T142" t="s">
        <v>2640</v>
      </c>
      <c r="U142" t="s">
        <v>2640</v>
      </c>
      <c r="V142" t="s">
        <v>2640</v>
      </c>
      <c r="W142" t="str">
        <f t="shared" si="1"/>
        <v>PGSG</v>
      </c>
    </row>
    <row r="143">
      <c r="A143" s="454">
        <v>137.0</v>
      </c>
      <c r="B143" s="455" t="s">
        <v>2778</v>
      </c>
      <c r="C143" s="456"/>
      <c r="D143" s="456"/>
      <c r="E143" s="468">
        <v>3.1</v>
      </c>
      <c r="F143" s="468">
        <v>0.0</v>
      </c>
      <c r="G143" s="468">
        <v>9.5</v>
      </c>
      <c r="H143" s="468">
        <v>1.6</v>
      </c>
      <c r="I143" s="468">
        <v>0.4</v>
      </c>
      <c r="J143" s="468">
        <v>1.2</v>
      </c>
      <c r="K143" s="468">
        <v>1.4</v>
      </c>
      <c r="L143" s="468">
        <v>11.8</v>
      </c>
      <c r="M143" s="468">
        <v>20.0</v>
      </c>
      <c r="N143" s="471">
        <f>+18.1</f>
        <v>18.1</v>
      </c>
      <c r="O143" t="str">
        <f>IFERROR(__xludf.DUMMYFUNCTION("regexextract(B143,""[\w]* [\w]*"")"),"Isaiah Roby")</f>
        <v>Isaiah Roby</v>
      </c>
      <c r="P143" t="str">
        <f t="shared" si="2"/>
        <v>Isaiah Roby</v>
      </c>
      <c r="Q143" t="str">
        <f t="shared" si="3"/>
        <v>Isaiah Roby</v>
      </c>
      <c r="R143" t="s">
        <v>2640</v>
      </c>
      <c r="S143" s="417" t="s">
        <v>2640</v>
      </c>
      <c r="T143" t="s">
        <v>2640</v>
      </c>
      <c r="U143" t="s">
        <v>92</v>
      </c>
      <c r="V143" t="s">
        <v>97</v>
      </c>
      <c r="W143" t="str">
        <f t="shared" si="1"/>
        <v>PFC</v>
      </c>
    </row>
    <row r="144">
      <c r="A144" s="457">
        <v>138.0</v>
      </c>
      <c r="B144" s="458" t="s">
        <v>2779</v>
      </c>
      <c r="C144" s="459"/>
      <c r="D144" s="459"/>
      <c r="E144" s="469">
        <v>3.2</v>
      </c>
      <c r="F144" s="469">
        <v>3.5</v>
      </c>
      <c r="G144" s="469">
        <v>2.9</v>
      </c>
      <c r="H144" s="469">
        <v>5.6</v>
      </c>
      <c r="I144" s="469">
        <v>0.9</v>
      </c>
      <c r="J144" s="469">
        <v>0.2</v>
      </c>
      <c r="K144" s="469">
        <v>2.1</v>
      </c>
      <c r="L144" s="469">
        <v>16.1</v>
      </c>
      <c r="M144" s="469">
        <v>83.1</v>
      </c>
      <c r="N144" s="473">
        <v>-1.6</v>
      </c>
      <c r="O144" t="str">
        <f>IFERROR(__xludf.DUMMYFUNCTION("regexextract(B144,""[\w]* [\w]*"")"),"Andre Drummond")</f>
        <v>Andre Drummond</v>
      </c>
      <c r="P144" t="str">
        <f t="shared" si="2"/>
        <v>Andre Drummond</v>
      </c>
      <c r="Q144" t="str">
        <f t="shared" si="3"/>
        <v>Andre Drummond</v>
      </c>
      <c r="R144" t="s">
        <v>2640</v>
      </c>
      <c r="S144" s="417" t="s">
        <v>2640</v>
      </c>
      <c r="T144" t="s">
        <v>2640</v>
      </c>
      <c r="U144" t="s">
        <v>2640</v>
      </c>
      <c r="V144" t="s">
        <v>97</v>
      </c>
      <c r="W144" t="str">
        <f t="shared" si="1"/>
        <v>C</v>
      </c>
    </row>
    <row r="145">
      <c r="A145" s="454">
        <v>139.0</v>
      </c>
      <c r="B145" s="455" t="s">
        <v>2780</v>
      </c>
      <c r="C145" s="456"/>
      <c r="D145" s="456"/>
      <c r="E145" s="468">
        <v>3.1</v>
      </c>
      <c r="F145" s="468">
        <v>1.7</v>
      </c>
      <c r="G145" s="468">
        <v>4.2</v>
      </c>
      <c r="H145" s="468">
        <v>4.7</v>
      </c>
      <c r="I145" s="468">
        <v>1.0</v>
      </c>
      <c r="J145" s="468">
        <v>0.4</v>
      </c>
      <c r="K145" s="468">
        <v>2.0</v>
      </c>
      <c r="L145" s="468">
        <v>14.5</v>
      </c>
      <c r="M145" s="468">
        <v>30.0</v>
      </c>
      <c r="N145" s="471">
        <f>+17.1</f>
        <v>17.1</v>
      </c>
      <c r="O145" t="str">
        <f>IFERROR(__xludf.DUMMYFUNCTION("regexextract(B145,""[\w]* [\w]*"")"),"Isaac OkoroDTD")</f>
        <v>Isaac OkoroDTD</v>
      </c>
      <c r="P145" t="str">
        <f t="shared" si="2"/>
        <v>Isaac Okoro</v>
      </c>
      <c r="Q145" t="str">
        <f t="shared" si="3"/>
        <v>Isaac Okor</v>
      </c>
      <c r="R145" t="s">
        <v>2640</v>
      </c>
      <c r="S145" s="417" t="s">
        <v>2640</v>
      </c>
      <c r="T145" t="s">
        <v>90</v>
      </c>
      <c r="U145" t="s">
        <v>2640</v>
      </c>
      <c r="V145" t="s">
        <v>97</v>
      </c>
      <c r="W145" t="str">
        <f t="shared" si="1"/>
        <v>SFC</v>
      </c>
    </row>
    <row r="146">
      <c r="A146" s="457">
        <v>140.0</v>
      </c>
      <c r="B146" s="458" t="s">
        <v>2781</v>
      </c>
      <c r="C146" s="459"/>
      <c r="D146" s="459"/>
      <c r="E146" s="469">
        <v>1.8</v>
      </c>
      <c r="F146" s="469">
        <v>1.5</v>
      </c>
      <c r="G146" s="469">
        <v>4.2</v>
      </c>
      <c r="H146" s="469">
        <v>2.1</v>
      </c>
      <c r="I146" s="469">
        <v>1.3</v>
      </c>
      <c r="J146" s="469">
        <v>0.8</v>
      </c>
      <c r="K146" s="469">
        <v>0.9</v>
      </c>
      <c r="L146" s="469">
        <v>11.7</v>
      </c>
      <c r="M146" s="469">
        <v>61.2</v>
      </c>
      <c r="N146" s="470">
        <f>+8.8</f>
        <v>8.8</v>
      </c>
      <c r="O146" t="str">
        <f>IFERROR(__xludf.DUMMYFUNCTION("regexextract(B146,""[\w]* [\w]*"")"),"Derrick Rose")</f>
        <v>Derrick Rose</v>
      </c>
      <c r="P146" t="str">
        <f t="shared" si="2"/>
        <v>Derrick Rose</v>
      </c>
      <c r="Q146" t="str">
        <f t="shared" si="3"/>
        <v>Derrick Rose</v>
      </c>
      <c r="R146" t="s">
        <v>85</v>
      </c>
      <c r="S146" s="417" t="s">
        <v>2640</v>
      </c>
      <c r="T146" t="s">
        <v>2640</v>
      </c>
      <c r="U146" t="s">
        <v>2640</v>
      </c>
      <c r="V146" t="s">
        <v>97</v>
      </c>
      <c r="W146" t="str">
        <f t="shared" si="1"/>
        <v>PGC</v>
      </c>
    </row>
    <row r="147">
      <c r="A147" s="454">
        <v>141.0</v>
      </c>
      <c r="B147" s="455" t="s">
        <v>2782</v>
      </c>
      <c r="C147" s="456"/>
      <c r="D147" s="456"/>
      <c r="E147" s="468">
        <v>4.0</v>
      </c>
      <c r="F147" s="468">
        <v>0.3</v>
      </c>
      <c r="G147" s="468">
        <v>9.9</v>
      </c>
      <c r="H147" s="468">
        <v>2.3</v>
      </c>
      <c r="I147" s="468">
        <v>0.8</v>
      </c>
      <c r="J147" s="468">
        <v>0.9</v>
      </c>
      <c r="K147" s="468">
        <v>1.7</v>
      </c>
      <c r="L147" s="468">
        <v>13.5</v>
      </c>
      <c r="M147" s="468">
        <v>26.8</v>
      </c>
      <c r="N147" s="471">
        <f>+18</f>
        <v>18</v>
      </c>
      <c r="O147" t="str">
        <f>IFERROR(__xludf.DUMMYFUNCTION("regexextract(B147,""[\w]* [\w]*"")"),"Aaron Gordon")</f>
        <v>Aaron Gordon</v>
      </c>
      <c r="P147" t="str">
        <f t="shared" si="2"/>
        <v>Aaron Gordon</v>
      </c>
      <c r="Q147" t="str">
        <f t="shared" si="3"/>
        <v>Aaron Gordon</v>
      </c>
      <c r="R147" t="s">
        <v>2640</v>
      </c>
      <c r="S147" s="417" t="s">
        <v>2640</v>
      </c>
      <c r="T147" t="s">
        <v>2640</v>
      </c>
      <c r="U147" t="s">
        <v>92</v>
      </c>
      <c r="V147" t="s">
        <v>2640</v>
      </c>
      <c r="W147" t="str">
        <f t="shared" si="1"/>
        <v>PF</v>
      </c>
    </row>
    <row r="148">
      <c r="A148" s="457">
        <v>142.0</v>
      </c>
      <c r="B148" s="458" t="s">
        <v>2783</v>
      </c>
      <c r="C148" s="459"/>
      <c r="D148" s="459"/>
      <c r="E148" s="469">
        <v>1.3</v>
      </c>
      <c r="F148" s="469">
        <v>2.1</v>
      </c>
      <c r="G148" s="469">
        <v>6.5</v>
      </c>
      <c r="H148" s="469">
        <v>1.5</v>
      </c>
      <c r="I148" s="469">
        <v>1.5</v>
      </c>
      <c r="J148" s="469">
        <v>1.2</v>
      </c>
      <c r="K148" s="469">
        <v>1.1</v>
      </c>
      <c r="L148" s="469">
        <v>10.2</v>
      </c>
      <c r="M148" s="469">
        <v>37.8</v>
      </c>
      <c r="N148" s="470">
        <f>+13.7</f>
        <v>13.7</v>
      </c>
      <c r="O148" t="str">
        <f>IFERROR(__xludf.DUMMYFUNCTION("regexextract(B148,""[\w]* [\w]*"")"),"Patrick WilliamsO")</f>
        <v>Patrick WilliamsO</v>
      </c>
      <c r="P148" t="str">
        <f t="shared" si="2"/>
        <v>Patrick WilliamsO</v>
      </c>
      <c r="Q148" t="str">
        <f t="shared" si="3"/>
        <v>Patrick Williams</v>
      </c>
      <c r="R148" t="s">
        <v>2640</v>
      </c>
      <c r="S148" s="417" t="s">
        <v>2640</v>
      </c>
      <c r="T148" t="s">
        <v>90</v>
      </c>
      <c r="U148" t="s">
        <v>92</v>
      </c>
      <c r="V148" t="s">
        <v>97</v>
      </c>
      <c r="W148" t="str">
        <f t="shared" si="1"/>
        <v>SFPFC</v>
      </c>
    </row>
    <row r="149">
      <c r="A149" s="454">
        <v>143.0</v>
      </c>
      <c r="B149" s="455" t="s">
        <v>2784</v>
      </c>
      <c r="C149" s="456"/>
      <c r="D149" s="456"/>
      <c r="E149" s="468">
        <v>1.5</v>
      </c>
      <c r="F149" s="468">
        <v>0.5</v>
      </c>
      <c r="G149" s="468">
        <v>5.9</v>
      </c>
      <c r="H149" s="468">
        <v>3.3</v>
      </c>
      <c r="I149" s="468">
        <v>1.3</v>
      </c>
      <c r="J149" s="468">
        <v>0.5</v>
      </c>
      <c r="K149" s="468">
        <v>1.8</v>
      </c>
      <c r="L149" s="468">
        <v>11.7</v>
      </c>
      <c r="M149" s="468">
        <v>52.5</v>
      </c>
      <c r="N149" s="471">
        <f>+10.2</f>
        <v>10.2</v>
      </c>
      <c r="O149" t="str">
        <f>IFERROR(__xludf.DUMMYFUNCTION("regexextract(B149,""[\w]* [\w]*"")"),"Markelle FultzO")</f>
        <v>Markelle FultzO</v>
      </c>
      <c r="P149" t="str">
        <f t="shared" si="2"/>
        <v>Markelle FultzO</v>
      </c>
      <c r="Q149" t="str">
        <f t="shared" si="3"/>
        <v>Markelle Fultz</v>
      </c>
      <c r="R149" t="s">
        <v>85</v>
      </c>
      <c r="S149" s="417" t="s">
        <v>2640</v>
      </c>
      <c r="T149" t="s">
        <v>2640</v>
      </c>
      <c r="U149" t="s">
        <v>2640</v>
      </c>
      <c r="V149" t="s">
        <v>2640</v>
      </c>
      <c r="W149" t="str">
        <f t="shared" si="1"/>
        <v>PG</v>
      </c>
    </row>
    <row r="150">
      <c r="A150" s="457">
        <v>144.0</v>
      </c>
      <c r="B150" s="458" t="s">
        <v>2785</v>
      </c>
      <c r="C150" s="459"/>
      <c r="D150" s="459"/>
      <c r="E150" s="469">
        <v>3.1</v>
      </c>
      <c r="F150" s="469">
        <v>2.0</v>
      </c>
      <c r="G150" s="469">
        <v>3.5</v>
      </c>
      <c r="H150" s="469">
        <v>5.5</v>
      </c>
      <c r="I150" s="469">
        <v>1.5</v>
      </c>
      <c r="J150" s="469">
        <v>0.5</v>
      </c>
      <c r="K150" s="469">
        <v>1.9</v>
      </c>
      <c r="L150" s="469">
        <v>12.8</v>
      </c>
      <c r="M150" s="469">
        <v>77.0</v>
      </c>
      <c r="N150" s="470">
        <f>+0.6</f>
        <v>0.6</v>
      </c>
      <c r="O150" t="str">
        <f>IFERROR(__xludf.DUMMYFUNCTION("regexextract(B150,""[\w]* [\w]*"")"),"Darius Bazley")</f>
        <v>Darius Bazley</v>
      </c>
      <c r="P150" t="str">
        <f t="shared" si="2"/>
        <v>Darius Bazley</v>
      </c>
      <c r="Q150" t="str">
        <f t="shared" si="3"/>
        <v>Darius Bazley</v>
      </c>
      <c r="R150" t="s">
        <v>2640</v>
      </c>
      <c r="S150" s="417" t="s">
        <v>2640</v>
      </c>
      <c r="T150" t="s">
        <v>90</v>
      </c>
      <c r="U150" t="s">
        <v>92</v>
      </c>
      <c r="V150" t="s">
        <v>97</v>
      </c>
      <c r="W150" t="str">
        <f t="shared" si="1"/>
        <v>SFPFC</v>
      </c>
    </row>
    <row r="151">
      <c r="A151" s="454">
        <v>145.0</v>
      </c>
      <c r="B151" s="455" t="s">
        <v>2786</v>
      </c>
      <c r="C151" s="456"/>
      <c r="D151" s="456"/>
      <c r="E151" s="468">
        <v>3.8</v>
      </c>
      <c r="F151" s="468">
        <v>1.4</v>
      </c>
      <c r="G151" s="468">
        <v>3.6</v>
      </c>
      <c r="H151" s="468">
        <v>5.3</v>
      </c>
      <c r="I151" s="468">
        <v>1.0</v>
      </c>
      <c r="J151" s="468">
        <v>0.2</v>
      </c>
      <c r="K151" s="468">
        <v>2.6</v>
      </c>
      <c r="L151" s="468">
        <v>16.3</v>
      </c>
      <c r="M151" s="468">
        <v>78.9</v>
      </c>
      <c r="N151" s="472">
        <v>-0.8</v>
      </c>
      <c r="O151" t="str">
        <f>IFERROR(__xludf.DUMMYFUNCTION("regexextract(B151,""[\w]* [\w]*"")"),"Otto Porter")</f>
        <v>Otto Porter</v>
      </c>
      <c r="P151" t="str">
        <f t="shared" si="2"/>
        <v>Otto Porter</v>
      </c>
      <c r="Q151" t="str">
        <f t="shared" si="3"/>
        <v>Otto Porter</v>
      </c>
      <c r="R151" t="s">
        <v>2640</v>
      </c>
      <c r="S151" s="417" t="s">
        <v>2640</v>
      </c>
      <c r="T151" t="s">
        <v>90</v>
      </c>
      <c r="U151" t="s">
        <v>2640</v>
      </c>
      <c r="V151" t="s">
        <v>2640</v>
      </c>
      <c r="W151" t="str">
        <f t="shared" si="1"/>
        <v>SF</v>
      </c>
    </row>
    <row r="152">
      <c r="A152" s="457">
        <v>146.0</v>
      </c>
      <c r="B152" s="458" t="s">
        <v>2787</v>
      </c>
      <c r="C152" s="459"/>
      <c r="D152" s="459"/>
      <c r="E152" s="469">
        <v>1.3</v>
      </c>
      <c r="F152" s="469">
        <v>3.1</v>
      </c>
      <c r="G152" s="469">
        <v>3.5</v>
      </c>
      <c r="H152" s="469">
        <v>3.3</v>
      </c>
      <c r="I152" s="469">
        <v>1.1</v>
      </c>
      <c r="J152" s="469">
        <v>0.3</v>
      </c>
      <c r="K152" s="469">
        <v>1.3</v>
      </c>
      <c r="L152" s="469">
        <v>15.8</v>
      </c>
      <c r="M152" s="469">
        <v>82.2</v>
      </c>
      <c r="N152" s="473">
        <v>-0.8</v>
      </c>
      <c r="O152" t="str">
        <f>IFERROR(__xludf.DUMMYFUNCTION("regexextract(B152,""[\w]* [\w]*"")"),"Serge IbakaDTD")</f>
        <v>Serge IbakaDTD</v>
      </c>
      <c r="P152" t="str">
        <f t="shared" si="2"/>
        <v>Serge Ibaka</v>
      </c>
      <c r="Q152" t="str">
        <f t="shared" si="3"/>
        <v>Serge Ibaka</v>
      </c>
      <c r="R152" t="s">
        <v>2640</v>
      </c>
      <c r="S152" s="417" t="s">
        <v>2640</v>
      </c>
      <c r="T152" t="s">
        <v>2640</v>
      </c>
      <c r="U152" t="s">
        <v>92</v>
      </c>
      <c r="V152" t="s">
        <v>97</v>
      </c>
      <c r="W152" t="str">
        <f t="shared" si="1"/>
        <v>PFC</v>
      </c>
    </row>
    <row r="153">
      <c r="A153" s="454">
        <v>147.0</v>
      </c>
      <c r="B153" s="455" t="s">
        <v>2788</v>
      </c>
      <c r="C153" s="456"/>
      <c r="D153" s="456"/>
      <c r="E153" s="468">
        <v>3.9</v>
      </c>
      <c r="F153" s="468">
        <v>1.7</v>
      </c>
      <c r="G153" s="468">
        <v>5.8</v>
      </c>
      <c r="H153" s="468">
        <v>2.8</v>
      </c>
      <c r="I153" s="468">
        <v>0.7</v>
      </c>
      <c r="J153" s="468">
        <v>0.2</v>
      </c>
      <c r="K153" s="468">
        <v>1.5</v>
      </c>
      <c r="L153" s="468">
        <v>15.8</v>
      </c>
      <c r="M153" s="468">
        <v>78.4</v>
      </c>
      <c r="N153" s="472">
        <v>-0.9</v>
      </c>
      <c r="O153" t="str">
        <f>IFERROR(__xludf.DUMMYFUNCTION("regexextract(B153,""[\w]* [\w]*"")"),"Al Horford")</f>
        <v>Al Horford</v>
      </c>
      <c r="P153" t="str">
        <f t="shared" si="2"/>
        <v>Al Horford</v>
      </c>
      <c r="Q153" t="str">
        <f t="shared" si="3"/>
        <v>Al Horford</v>
      </c>
      <c r="R153" t="s">
        <v>2640</v>
      </c>
      <c r="S153" s="417" t="s">
        <v>2640</v>
      </c>
      <c r="T153" t="s">
        <v>2640</v>
      </c>
      <c r="U153" t="s">
        <v>92</v>
      </c>
      <c r="V153" t="s">
        <v>97</v>
      </c>
      <c r="W153" t="str">
        <f t="shared" si="1"/>
        <v>PFC</v>
      </c>
    </row>
    <row r="154">
      <c r="A154" s="457">
        <v>148.0</v>
      </c>
      <c r="B154" s="458" t="s">
        <v>2789</v>
      </c>
      <c r="C154" s="459"/>
      <c r="D154" s="459"/>
      <c r="E154" s="469">
        <v>2.2</v>
      </c>
      <c r="F154" s="469">
        <v>2.5</v>
      </c>
      <c r="G154" s="469">
        <v>3.7</v>
      </c>
      <c r="H154" s="469">
        <v>4.5</v>
      </c>
      <c r="I154" s="469">
        <v>0.8</v>
      </c>
      <c r="J154" s="469">
        <v>0.1</v>
      </c>
      <c r="K154" s="469">
        <v>1.7</v>
      </c>
      <c r="L154" s="469">
        <v>15.5</v>
      </c>
      <c r="M154" s="469">
        <v>32.0</v>
      </c>
      <c r="N154" s="470">
        <f>+15.1</f>
        <v>15.1</v>
      </c>
      <c r="O154" t="str">
        <f>IFERROR(__xludf.DUMMYFUNCTION("regexextract(B154,""[\w]* [\w]*"")"),"Kelly Oubre")</f>
        <v>Kelly Oubre</v>
      </c>
      <c r="P154" t="str">
        <f t="shared" si="2"/>
        <v>Kelly Oubre</v>
      </c>
      <c r="Q154" t="str">
        <f t="shared" si="3"/>
        <v>Kelly Oubre</v>
      </c>
      <c r="R154" t="s">
        <v>2640</v>
      </c>
      <c r="S154" s="417" t="s">
        <v>2640</v>
      </c>
      <c r="T154" t="s">
        <v>90</v>
      </c>
      <c r="U154" t="s">
        <v>92</v>
      </c>
      <c r="V154" t="s">
        <v>97</v>
      </c>
      <c r="W154" t="str">
        <f t="shared" si="1"/>
        <v>SFPFC</v>
      </c>
    </row>
    <row r="155">
      <c r="A155" s="454">
        <v>149.0</v>
      </c>
      <c r="B155" s="455" t="s">
        <v>2790</v>
      </c>
      <c r="C155" s="456"/>
      <c r="D155" s="456"/>
      <c r="E155" s="468">
        <v>4.1</v>
      </c>
      <c r="F155" s="468">
        <v>1.3</v>
      </c>
      <c r="G155" s="468">
        <v>6.8</v>
      </c>
      <c r="H155" s="468">
        <v>2.0</v>
      </c>
      <c r="I155" s="468">
        <v>0.7</v>
      </c>
      <c r="J155" s="468">
        <v>0.4</v>
      </c>
      <c r="K155" s="468">
        <v>1.3</v>
      </c>
      <c r="L155" s="468">
        <v>16.9</v>
      </c>
      <c r="M155" s="468">
        <v>29.4</v>
      </c>
      <c r="N155" s="471">
        <f>+17.4</f>
        <v>17.4</v>
      </c>
      <c r="O155" t="str">
        <f>IFERROR(__xludf.DUMMYFUNCTION("regexextract(B155,""[\w]* [\w]*"")"),"Dillon Brooks")</f>
        <v>Dillon Brooks</v>
      </c>
      <c r="P155" t="str">
        <f t="shared" si="2"/>
        <v>Dillon Brooks</v>
      </c>
      <c r="Q155" t="str">
        <f t="shared" si="3"/>
        <v>Dillon Brooks</v>
      </c>
      <c r="R155" t="s">
        <v>2640</v>
      </c>
      <c r="S155" s="417" t="s">
        <v>88</v>
      </c>
      <c r="T155" t="s">
        <v>90</v>
      </c>
      <c r="U155" t="s">
        <v>2640</v>
      </c>
      <c r="V155" t="s">
        <v>2640</v>
      </c>
      <c r="W155" t="str">
        <f t="shared" si="1"/>
        <v>SGSF</v>
      </c>
    </row>
    <row r="156">
      <c r="A156" s="457">
        <v>150.0</v>
      </c>
      <c r="B156" s="458" t="s">
        <v>2791</v>
      </c>
      <c r="C156" s="459"/>
      <c r="D156" s="459"/>
      <c r="E156" s="469">
        <v>2.8</v>
      </c>
      <c r="F156" s="469">
        <v>3.2</v>
      </c>
      <c r="G156" s="469">
        <v>3.6</v>
      </c>
      <c r="H156" s="469">
        <v>2.0</v>
      </c>
      <c r="I156" s="469">
        <v>0.5</v>
      </c>
      <c r="J156" s="469">
        <v>0.2</v>
      </c>
      <c r="K156" s="469">
        <v>1.0</v>
      </c>
      <c r="L156" s="469">
        <v>18.1</v>
      </c>
      <c r="M156" s="469">
        <v>39.4</v>
      </c>
      <c r="N156" s="470">
        <f>+13.5</f>
        <v>13.5</v>
      </c>
      <c r="O156" t="str">
        <f>IFERROR(__xludf.DUMMYFUNCTION("regexextract(B156,""[\w]* [\w]*"")"),"Rui HachimuraDTD")</f>
        <v>Rui HachimuraDTD</v>
      </c>
      <c r="P156" t="str">
        <f t="shared" si="2"/>
        <v>Rui Hachimura</v>
      </c>
      <c r="Q156" t="str">
        <f t="shared" si="3"/>
        <v>Rui Hachimura</v>
      </c>
      <c r="R156" t="s">
        <v>2640</v>
      </c>
      <c r="S156" s="417" t="s">
        <v>2640</v>
      </c>
      <c r="T156" t="s">
        <v>90</v>
      </c>
      <c r="U156" t="s">
        <v>92</v>
      </c>
      <c r="V156" t="s">
        <v>97</v>
      </c>
      <c r="W156" t="str">
        <f t="shared" si="1"/>
        <v>SFPFC</v>
      </c>
    </row>
    <row r="157">
      <c r="A157" s="446" t="s">
        <v>2634</v>
      </c>
      <c r="C157" s="446" t="s">
        <v>2635</v>
      </c>
      <c r="E157" s="464"/>
      <c r="F157" s="464"/>
      <c r="G157" s="464"/>
      <c r="H157" s="464"/>
      <c r="I157" s="464"/>
      <c r="J157" s="464"/>
      <c r="K157" s="464"/>
      <c r="L157" s="464"/>
      <c r="M157" s="464" t="s">
        <v>2740</v>
      </c>
      <c r="N157" s="464"/>
      <c r="O157" t="str">
        <f>IFERROR(__xludf.DUMMYFUNCTION("regexextract(B157,""[\w]* [\w]*"")"),"#N/A")</f>
        <v>#N/A</v>
      </c>
      <c r="P157" t="str">
        <f t="shared" si="2"/>
        <v>#N/A</v>
      </c>
      <c r="Q157" t="str">
        <f t="shared" si="3"/>
        <v>#N/A</v>
      </c>
      <c r="R157" t="s">
        <v>2640</v>
      </c>
      <c r="S157" s="417" t="s">
        <v>2640</v>
      </c>
      <c r="T157" t="s">
        <v>2640</v>
      </c>
      <c r="U157" t="s">
        <v>2640</v>
      </c>
      <c r="V157" t="s">
        <v>2640</v>
      </c>
      <c r="W157" t="str">
        <f t="shared" si="1"/>
        <v/>
      </c>
    </row>
    <row r="158">
      <c r="A158" s="449" t="s">
        <v>2636</v>
      </c>
      <c r="B158" s="450" t="s">
        <v>262</v>
      </c>
      <c r="C158" s="449" t="s">
        <v>2637</v>
      </c>
      <c r="D158" s="451" t="s">
        <v>2638</v>
      </c>
      <c r="E158" s="465" t="s">
        <v>20</v>
      </c>
      <c r="F158" s="466">
        <v>0.625</v>
      </c>
      <c r="G158" s="465" t="s">
        <v>101</v>
      </c>
      <c r="H158" s="465" t="s">
        <v>15</v>
      </c>
      <c r="I158" s="465" t="s">
        <v>16</v>
      </c>
      <c r="J158" s="465" t="s">
        <v>17</v>
      </c>
      <c r="K158" s="465" t="s">
        <v>18</v>
      </c>
      <c r="L158" s="465" t="s">
        <v>13</v>
      </c>
      <c r="M158" s="465" t="s">
        <v>2741</v>
      </c>
      <c r="N158" s="467" t="str">
        <f>+/-</f>
        <v>#ERROR!</v>
      </c>
      <c r="O158" t="str">
        <f>IFERROR(__xludf.DUMMYFUNCTION("regexextract(B158,""[\w]* [\w]*"")"),"#N/A")</f>
        <v>#N/A</v>
      </c>
      <c r="P158" t="str">
        <f t="shared" si="2"/>
        <v>#N/A</v>
      </c>
      <c r="Q158" t="str">
        <f t="shared" si="3"/>
        <v>#N/A</v>
      </c>
      <c r="R158" t="s">
        <v>2640</v>
      </c>
      <c r="S158" s="417" t="s">
        <v>2640</v>
      </c>
      <c r="T158" t="s">
        <v>2640</v>
      </c>
      <c r="U158" t="s">
        <v>2640</v>
      </c>
      <c r="V158" t="s">
        <v>2640</v>
      </c>
      <c r="W158" t="str">
        <f t="shared" si="1"/>
        <v/>
      </c>
    </row>
    <row r="159">
      <c r="A159" s="454">
        <v>151.0</v>
      </c>
      <c r="B159" s="455" t="s">
        <v>2792</v>
      </c>
      <c r="C159" s="456"/>
      <c r="D159" s="456"/>
      <c r="E159" s="468">
        <v>2.5</v>
      </c>
      <c r="F159" s="468">
        <v>1.4</v>
      </c>
      <c r="G159" s="468">
        <v>5.3</v>
      </c>
      <c r="H159" s="468">
        <v>3.9</v>
      </c>
      <c r="I159" s="468">
        <v>1.2</v>
      </c>
      <c r="J159" s="468">
        <v>0.9</v>
      </c>
      <c r="K159" s="468">
        <v>2.1</v>
      </c>
      <c r="L159" s="468">
        <v>10.5</v>
      </c>
      <c r="M159" s="468">
        <v>31.5</v>
      </c>
      <c r="N159" s="471">
        <f>+15.1</f>
        <v>15.1</v>
      </c>
      <c r="O159" t="str">
        <f>IFERROR(__xludf.DUMMYFUNCTION("regexextract(B159,""[\w]* [\w]*"")"),"Seth Curry")</f>
        <v>Seth Curry</v>
      </c>
      <c r="P159" t="str">
        <f t="shared" si="2"/>
        <v>Seth Curry</v>
      </c>
      <c r="Q159" t="str">
        <f t="shared" si="3"/>
        <v>Seth Curry</v>
      </c>
      <c r="R159" t="s">
        <v>85</v>
      </c>
      <c r="S159" s="417" t="s">
        <v>88</v>
      </c>
      <c r="T159" t="s">
        <v>2640</v>
      </c>
      <c r="U159" t="s">
        <v>2640</v>
      </c>
      <c r="V159" t="s">
        <v>97</v>
      </c>
      <c r="W159" t="str">
        <f t="shared" si="1"/>
        <v>PGSGC</v>
      </c>
    </row>
    <row r="160">
      <c r="A160" s="457">
        <v>152.0</v>
      </c>
      <c r="B160" s="458" t="s">
        <v>2793</v>
      </c>
      <c r="C160" s="459"/>
      <c r="D160" s="459"/>
      <c r="E160" s="469">
        <v>1.3</v>
      </c>
      <c r="F160" s="469">
        <v>2.0</v>
      </c>
      <c r="G160" s="469">
        <v>6.3</v>
      </c>
      <c r="H160" s="469">
        <v>3.3</v>
      </c>
      <c r="I160" s="469">
        <v>1.4</v>
      </c>
      <c r="J160" s="469">
        <v>0.3</v>
      </c>
      <c r="K160" s="469">
        <v>1.6</v>
      </c>
      <c r="L160" s="469">
        <v>11.7</v>
      </c>
      <c r="M160" s="469">
        <v>19.1</v>
      </c>
      <c r="N160" s="470">
        <f>+16.2</f>
        <v>16.2</v>
      </c>
      <c r="O160" t="str">
        <f>IFERROR(__xludf.DUMMYFUNCTION("regexextract(B160,""[\w]* [\w]*"")"),"Marcus Morris")</f>
        <v>Marcus Morris</v>
      </c>
      <c r="P160" t="str">
        <f t="shared" si="2"/>
        <v>Marcus Morris</v>
      </c>
      <c r="Q160" t="str">
        <f t="shared" si="3"/>
        <v>Marcus Morris</v>
      </c>
      <c r="R160" t="s">
        <v>2640</v>
      </c>
      <c r="S160" s="417" t="s">
        <v>2640</v>
      </c>
      <c r="T160" t="s">
        <v>90</v>
      </c>
      <c r="U160" t="s">
        <v>92</v>
      </c>
      <c r="V160" t="s">
        <v>97</v>
      </c>
      <c r="W160" t="str">
        <f t="shared" si="1"/>
        <v>SFPFC</v>
      </c>
    </row>
    <row r="161">
      <c r="A161" s="454">
        <v>153.0</v>
      </c>
      <c r="B161" s="455" t="s">
        <v>2794</v>
      </c>
      <c r="C161" s="456"/>
      <c r="D161" s="456"/>
      <c r="E161" s="468">
        <v>3.1</v>
      </c>
      <c r="F161" s="468">
        <v>3.2</v>
      </c>
      <c r="G161" s="468">
        <v>5.1</v>
      </c>
      <c r="H161" s="468">
        <v>1.5</v>
      </c>
      <c r="I161" s="468">
        <v>0.8</v>
      </c>
      <c r="J161" s="468">
        <v>0.2</v>
      </c>
      <c r="K161" s="468">
        <v>1.0</v>
      </c>
      <c r="L161" s="468">
        <v>15.9</v>
      </c>
      <c r="M161" s="468">
        <v>24.2</v>
      </c>
      <c r="N161" s="471">
        <f>+15.5</f>
        <v>15.5</v>
      </c>
      <c r="O161" t="str">
        <f>IFERROR(__xludf.DUMMYFUNCTION("regexextract(B161,""[\w]* [\w]*"")"),"Doug McDermott")</f>
        <v>Doug McDermott</v>
      </c>
      <c r="P161" t="str">
        <f t="shared" si="2"/>
        <v>Doug McDermott</v>
      </c>
      <c r="Q161" t="str">
        <f t="shared" si="3"/>
        <v>Doug McDermott</v>
      </c>
      <c r="R161" t="s">
        <v>2640</v>
      </c>
      <c r="S161" s="417" t="s">
        <v>2640</v>
      </c>
      <c r="T161" t="s">
        <v>90</v>
      </c>
      <c r="U161" t="s">
        <v>92</v>
      </c>
      <c r="V161" t="s">
        <v>97</v>
      </c>
      <c r="W161" t="str">
        <f t="shared" si="1"/>
        <v>SFPFC</v>
      </c>
    </row>
    <row r="162">
      <c r="A162" s="457">
        <v>154.0</v>
      </c>
      <c r="B162" s="458" t="s">
        <v>2795</v>
      </c>
      <c r="C162" s="459"/>
      <c r="D162" s="459"/>
      <c r="E162" s="469">
        <v>1.4</v>
      </c>
      <c r="F162" s="469">
        <v>2.4</v>
      </c>
      <c r="G162" s="469">
        <v>3.8</v>
      </c>
      <c r="H162" s="469">
        <v>5.0</v>
      </c>
      <c r="I162" s="469">
        <v>0.8</v>
      </c>
      <c r="J162" s="469">
        <v>0.2</v>
      </c>
      <c r="K162" s="469">
        <v>1.9</v>
      </c>
      <c r="L162" s="469">
        <v>11.4</v>
      </c>
      <c r="M162" s="469">
        <v>69.3</v>
      </c>
      <c r="N162" s="470">
        <f>+1.5</f>
        <v>1.5</v>
      </c>
      <c r="O162" t="str">
        <f>IFERROR(__xludf.DUMMYFUNCTION("regexextract(B162,""[\w]* [\w]*"")"),"Nerlens Noel")</f>
        <v>Nerlens Noel</v>
      </c>
      <c r="P162" t="str">
        <f t="shared" si="2"/>
        <v>Nerlens Noel</v>
      </c>
      <c r="Q162" t="str">
        <f t="shared" si="3"/>
        <v>Nerlens Noel</v>
      </c>
      <c r="R162" t="s">
        <v>2640</v>
      </c>
      <c r="S162" s="417" t="s">
        <v>2640</v>
      </c>
      <c r="T162" t="s">
        <v>2640</v>
      </c>
      <c r="U162" t="s">
        <v>2640</v>
      </c>
      <c r="V162" t="s">
        <v>97</v>
      </c>
      <c r="W162" t="str">
        <f t="shared" si="1"/>
        <v>C</v>
      </c>
    </row>
    <row r="163">
      <c r="A163" s="454">
        <v>155.0</v>
      </c>
      <c r="B163" s="455" t="s">
        <v>2796</v>
      </c>
      <c r="C163" s="456"/>
      <c r="D163" s="456"/>
      <c r="E163" s="468">
        <v>1.7</v>
      </c>
      <c r="F163" s="468">
        <v>1.7</v>
      </c>
      <c r="G163" s="468">
        <v>6.1</v>
      </c>
      <c r="H163" s="468">
        <v>2.2</v>
      </c>
      <c r="I163" s="468">
        <v>0.7</v>
      </c>
      <c r="J163" s="468">
        <v>0.8</v>
      </c>
      <c r="K163" s="468">
        <v>1.6</v>
      </c>
      <c r="L163" s="468">
        <v>12.6</v>
      </c>
      <c r="M163" s="468">
        <v>81.6</v>
      </c>
      <c r="N163" s="472">
        <v>-1.7</v>
      </c>
      <c r="O163" t="str">
        <f>IFERROR(__xludf.DUMMYFUNCTION("regexextract(B163,""[\w]* [\w]*"")"),"LaMarcus Aldridge")</f>
        <v>LaMarcus Aldridge</v>
      </c>
      <c r="P163" t="str">
        <f t="shared" si="2"/>
        <v>LaMarcus Aldridge</v>
      </c>
      <c r="Q163" t="str">
        <f t="shared" si="3"/>
        <v>LaMarcus Aldridge</v>
      </c>
      <c r="R163" t="s">
        <v>2640</v>
      </c>
      <c r="S163" s="417" t="s">
        <v>2640</v>
      </c>
      <c r="T163" t="s">
        <v>2640</v>
      </c>
      <c r="U163" t="s">
        <v>92</v>
      </c>
      <c r="V163" t="s">
        <v>97</v>
      </c>
      <c r="W163" t="str">
        <f t="shared" si="1"/>
        <v>PFC</v>
      </c>
    </row>
    <row r="164">
      <c r="A164" s="457">
        <v>156.0</v>
      </c>
      <c r="B164" s="458" t="s">
        <v>2797</v>
      </c>
      <c r="C164" s="459"/>
      <c r="D164" s="459"/>
      <c r="E164" s="469">
        <v>1.9</v>
      </c>
      <c r="F164" s="469">
        <v>1.5</v>
      </c>
      <c r="G164" s="469">
        <v>4.7</v>
      </c>
      <c r="H164" s="469">
        <v>1.0</v>
      </c>
      <c r="I164" s="469">
        <v>0.6</v>
      </c>
      <c r="J164" s="469">
        <v>1.8</v>
      </c>
      <c r="K164" s="469">
        <v>0.9</v>
      </c>
      <c r="L164" s="469">
        <v>11.7</v>
      </c>
      <c r="M164" s="469">
        <v>48.8</v>
      </c>
      <c r="N164" s="470">
        <f>+8.8</f>
        <v>8.8</v>
      </c>
      <c r="O164" t="str">
        <f>IFERROR(__xludf.DUMMYFUNCTION("regexextract(B164,""[\w]* [\w]*"")"),"Moses Brown")</f>
        <v>Moses Brown</v>
      </c>
      <c r="P164" t="str">
        <f t="shared" si="2"/>
        <v>Moses Brown</v>
      </c>
      <c r="Q164" t="str">
        <f t="shared" si="3"/>
        <v>Moses Brown</v>
      </c>
      <c r="R164" t="s">
        <v>2640</v>
      </c>
      <c r="S164" s="417" t="s">
        <v>2640</v>
      </c>
      <c r="T164" t="s">
        <v>2640</v>
      </c>
      <c r="U164" t="s">
        <v>2640</v>
      </c>
      <c r="V164" t="s">
        <v>97</v>
      </c>
      <c r="W164" t="str">
        <f t="shared" si="1"/>
        <v>C</v>
      </c>
    </row>
    <row r="165">
      <c r="A165" s="454">
        <v>157.0</v>
      </c>
      <c r="B165" s="455" t="s">
        <v>2798</v>
      </c>
      <c r="C165" s="456"/>
      <c r="D165" s="456"/>
      <c r="E165" s="468">
        <v>2.0</v>
      </c>
      <c r="F165" s="468">
        <v>0.7</v>
      </c>
      <c r="G165" s="468">
        <v>6.6</v>
      </c>
      <c r="H165" s="468">
        <v>1.9</v>
      </c>
      <c r="I165" s="468">
        <v>0.7</v>
      </c>
      <c r="J165" s="468">
        <v>1.2</v>
      </c>
      <c r="K165" s="468">
        <v>1.1</v>
      </c>
      <c r="L165" s="468">
        <v>10.8</v>
      </c>
      <c r="M165" s="468">
        <v>55.0</v>
      </c>
      <c r="N165" s="471">
        <f>+2.1</f>
        <v>2.1</v>
      </c>
      <c r="O165" t="str">
        <f>IFERROR(__xludf.DUMMYFUNCTION("regexextract(B165,""[\w]* [\w]*"")"),"Cole Anthony")</f>
        <v>Cole Anthony</v>
      </c>
      <c r="P165" t="str">
        <f t="shared" si="2"/>
        <v>Cole Anthony</v>
      </c>
      <c r="Q165" t="str">
        <f t="shared" si="3"/>
        <v>Cole Anthony</v>
      </c>
      <c r="R165" t="s">
        <v>85</v>
      </c>
      <c r="S165" s="417" t="s">
        <v>2640</v>
      </c>
      <c r="T165" t="s">
        <v>2640</v>
      </c>
      <c r="U165" t="s">
        <v>2640</v>
      </c>
      <c r="V165" t="s">
        <v>97</v>
      </c>
      <c r="W165" t="str">
        <f t="shared" si="1"/>
        <v>PGC</v>
      </c>
    </row>
    <row r="166">
      <c r="A166" s="457">
        <v>158.0</v>
      </c>
      <c r="B166" s="458" t="s">
        <v>2799</v>
      </c>
      <c r="C166" s="459"/>
      <c r="D166" s="459"/>
      <c r="E166" s="469">
        <v>2.3</v>
      </c>
      <c r="F166" s="469">
        <v>0.0</v>
      </c>
      <c r="G166" s="469">
        <v>8.3</v>
      </c>
      <c r="H166" s="469">
        <v>0.6</v>
      </c>
      <c r="I166" s="469">
        <v>1.1</v>
      </c>
      <c r="J166" s="469">
        <v>2.1</v>
      </c>
      <c r="K166" s="469">
        <v>0.8</v>
      </c>
      <c r="L166" s="469">
        <v>9.6</v>
      </c>
      <c r="M166" s="469">
        <v>65.4</v>
      </c>
      <c r="N166" s="473">
        <v>-1.3</v>
      </c>
      <c r="O166" t="str">
        <f>IFERROR(__xludf.DUMMYFUNCTION("regexextract(B166,""[\w]* [\w]*"")"),"Duncan Robinson")</f>
        <v>Duncan Robinson</v>
      </c>
      <c r="P166" t="str">
        <f t="shared" si="2"/>
        <v>Duncan Robinson</v>
      </c>
      <c r="Q166" t="str">
        <f t="shared" si="3"/>
        <v>Duncan Robinson</v>
      </c>
      <c r="R166" t="s">
        <v>2640</v>
      </c>
      <c r="S166" s="417" t="s">
        <v>88</v>
      </c>
      <c r="T166" t="s">
        <v>90</v>
      </c>
      <c r="U166" t="s">
        <v>2640</v>
      </c>
      <c r="V166" t="s">
        <v>97</v>
      </c>
      <c r="W166" t="str">
        <f t="shared" si="1"/>
        <v>SGSFC</v>
      </c>
    </row>
    <row r="167">
      <c r="A167" s="454">
        <v>159.0</v>
      </c>
      <c r="B167" s="455" t="s">
        <v>2800</v>
      </c>
      <c r="C167" s="456"/>
      <c r="D167" s="456"/>
      <c r="E167" s="468">
        <v>2.2</v>
      </c>
      <c r="F167" s="468">
        <v>2.5</v>
      </c>
      <c r="G167" s="468">
        <v>3.5</v>
      </c>
      <c r="H167" s="468">
        <v>2.3</v>
      </c>
      <c r="I167" s="468">
        <v>0.8</v>
      </c>
      <c r="J167" s="468">
        <v>0.2</v>
      </c>
      <c r="K167" s="468">
        <v>1.6</v>
      </c>
      <c r="L167" s="468">
        <v>17.3</v>
      </c>
      <c r="M167" s="468">
        <v>74.2</v>
      </c>
      <c r="N167" s="471">
        <f>+1.1</f>
        <v>1.1</v>
      </c>
      <c r="O167" t="str">
        <f>IFERROR(__xludf.DUMMYFUNCTION("regexextract(B167,""[\w]* [\w]*"")"),"Enes Kanter")</f>
        <v>Enes Kanter</v>
      </c>
      <c r="P167" t="str">
        <f t="shared" si="2"/>
        <v>Enes Kanter</v>
      </c>
      <c r="Q167" t="str">
        <f t="shared" si="3"/>
        <v>Enes Kanter</v>
      </c>
      <c r="R167" t="s">
        <v>2640</v>
      </c>
      <c r="S167" s="417" t="s">
        <v>2640</v>
      </c>
      <c r="T167" t="s">
        <v>2640</v>
      </c>
      <c r="U167" t="s">
        <v>2640</v>
      </c>
      <c r="V167" t="s">
        <v>97</v>
      </c>
      <c r="W167" t="str">
        <f t="shared" si="1"/>
        <v>C</v>
      </c>
    </row>
    <row r="168">
      <c r="A168" s="457">
        <v>160.0</v>
      </c>
      <c r="B168" s="458" t="s">
        <v>2801</v>
      </c>
      <c r="C168" s="459"/>
      <c r="D168" s="459"/>
      <c r="E168" s="469">
        <v>2.2</v>
      </c>
      <c r="F168" s="469">
        <v>1.5</v>
      </c>
      <c r="G168" s="469">
        <v>3.2</v>
      </c>
      <c r="H168" s="469">
        <v>6.5</v>
      </c>
      <c r="I168" s="469">
        <v>1.3</v>
      </c>
      <c r="J168" s="469">
        <v>0.5</v>
      </c>
      <c r="K168" s="469">
        <v>3.9</v>
      </c>
      <c r="L168" s="469">
        <v>14.2</v>
      </c>
      <c r="M168" s="469">
        <v>17.5</v>
      </c>
      <c r="N168" s="470">
        <f>+15.6</f>
        <v>15.6</v>
      </c>
      <c r="O168" t="str">
        <f>IFERROR(__xludf.DUMMYFUNCTION("regexextract(B168,""[\w]* [\w]*"")"),"Talen Horton")</f>
        <v>Talen Horton</v>
      </c>
      <c r="P168" t="str">
        <f t="shared" si="2"/>
        <v>Talen Horton</v>
      </c>
      <c r="Q168" t="str">
        <f t="shared" si="3"/>
        <v>Talen Horton</v>
      </c>
      <c r="R168" t="s">
        <v>2640</v>
      </c>
      <c r="S168" s="417" t="s">
        <v>88</v>
      </c>
      <c r="T168" t="s">
        <v>90</v>
      </c>
      <c r="U168" t="s">
        <v>2640</v>
      </c>
      <c r="V168" t="s">
        <v>97</v>
      </c>
      <c r="W168" t="str">
        <f t="shared" si="1"/>
        <v>SGSFC</v>
      </c>
    </row>
    <row r="169">
      <c r="A169" s="454">
        <v>161.0</v>
      </c>
      <c r="B169" s="455" t="s">
        <v>2802</v>
      </c>
      <c r="C169" s="456"/>
      <c r="D169" s="456"/>
      <c r="E169" s="468">
        <v>4.0</v>
      </c>
      <c r="F169" s="468">
        <v>0.8</v>
      </c>
      <c r="G169" s="468">
        <v>8.9</v>
      </c>
      <c r="H169" s="468">
        <v>1.2</v>
      </c>
      <c r="I169" s="468">
        <v>0.6</v>
      </c>
      <c r="J169" s="468">
        <v>0.8</v>
      </c>
      <c r="K169" s="468">
        <v>1.7</v>
      </c>
      <c r="L169" s="468">
        <v>17.3</v>
      </c>
      <c r="M169" s="468">
        <v>70.3</v>
      </c>
      <c r="N169" s="472">
        <v>-0.3</v>
      </c>
      <c r="O169" t="str">
        <f>IFERROR(__xludf.DUMMYFUNCTION("regexextract(B169,""[\w]* [\w]*"")"),"Jalen Brunson")</f>
        <v>Jalen Brunson</v>
      </c>
      <c r="P169" t="str">
        <f t="shared" si="2"/>
        <v>Jalen Brunson</v>
      </c>
      <c r="Q169" t="str">
        <f t="shared" si="3"/>
        <v>Jalen Brunson</v>
      </c>
      <c r="R169" t="s">
        <v>85</v>
      </c>
      <c r="S169" s="417" t="s">
        <v>2640</v>
      </c>
      <c r="T169" t="s">
        <v>2640</v>
      </c>
      <c r="U169" t="s">
        <v>2640</v>
      </c>
      <c r="V169" t="s">
        <v>2640</v>
      </c>
      <c r="W169" t="str">
        <f t="shared" si="1"/>
        <v>PG</v>
      </c>
    </row>
    <row r="170">
      <c r="A170" s="457">
        <v>162.0</v>
      </c>
      <c r="B170" s="458" t="s">
        <v>2803</v>
      </c>
      <c r="C170" s="459"/>
      <c r="D170" s="459"/>
      <c r="E170" s="469">
        <v>3.7</v>
      </c>
      <c r="F170" s="469">
        <v>1.7</v>
      </c>
      <c r="G170" s="469">
        <v>5.3</v>
      </c>
      <c r="H170" s="469">
        <v>3.7</v>
      </c>
      <c r="I170" s="469">
        <v>1.0</v>
      </c>
      <c r="J170" s="469">
        <v>0.3</v>
      </c>
      <c r="K170" s="469">
        <v>1.8</v>
      </c>
      <c r="L170" s="469">
        <v>17.3</v>
      </c>
      <c r="M170" s="469">
        <v>83.5</v>
      </c>
      <c r="N170" s="473">
        <v>-2.9</v>
      </c>
      <c r="O170" t="str">
        <f>IFERROR(__xludf.DUMMYFUNCTION("regexextract(B170,""[\w]* [\w]*"")"),"Jae Crowder")</f>
        <v>Jae Crowder</v>
      </c>
      <c r="P170" t="str">
        <f t="shared" si="2"/>
        <v>Jae Crowder</v>
      </c>
      <c r="Q170" t="str">
        <f t="shared" si="3"/>
        <v>Jae Crowder</v>
      </c>
      <c r="R170" t="s">
        <v>2640</v>
      </c>
      <c r="S170" s="417" t="s">
        <v>2640</v>
      </c>
      <c r="T170" t="s">
        <v>90</v>
      </c>
      <c r="U170" t="s">
        <v>92</v>
      </c>
      <c r="V170" t="s">
        <v>97</v>
      </c>
      <c r="W170" t="str">
        <f t="shared" si="1"/>
        <v>SFPFC</v>
      </c>
    </row>
    <row r="171">
      <c r="A171" s="454">
        <v>163.0</v>
      </c>
      <c r="B171" s="455" t="s">
        <v>2804</v>
      </c>
      <c r="C171" s="456"/>
      <c r="D171" s="456"/>
      <c r="E171" s="468">
        <v>2.1</v>
      </c>
      <c r="F171" s="468">
        <v>2.7</v>
      </c>
      <c r="G171" s="468">
        <v>2.9</v>
      </c>
      <c r="H171" s="468">
        <v>3.4</v>
      </c>
      <c r="I171" s="468">
        <v>1.1</v>
      </c>
      <c r="J171" s="468">
        <v>0.3</v>
      </c>
      <c r="K171" s="468">
        <v>1.9</v>
      </c>
      <c r="L171" s="468">
        <v>14.8</v>
      </c>
      <c r="M171" s="468">
        <v>67.8</v>
      </c>
      <c r="N171" s="472">
        <v>-0.2</v>
      </c>
      <c r="O171" t="str">
        <f>IFERROR(__xludf.DUMMYFUNCTION("regexextract(B171,""[\w]* [\w]*"")"),"Danny Green")</f>
        <v>Danny Green</v>
      </c>
      <c r="P171" t="str">
        <f t="shared" si="2"/>
        <v>Danny Green</v>
      </c>
      <c r="Q171" t="str">
        <f t="shared" si="3"/>
        <v>Danny Green</v>
      </c>
      <c r="R171" t="s">
        <v>2640</v>
      </c>
      <c r="S171" s="417" t="s">
        <v>88</v>
      </c>
      <c r="T171" t="s">
        <v>90</v>
      </c>
      <c r="U171" t="s">
        <v>2640</v>
      </c>
      <c r="V171" t="s">
        <v>2640</v>
      </c>
      <c r="W171" t="str">
        <f t="shared" si="1"/>
        <v>SGSF</v>
      </c>
    </row>
    <row r="172">
      <c r="A172" s="457">
        <v>164.0</v>
      </c>
      <c r="B172" s="458" t="s">
        <v>2805</v>
      </c>
      <c r="C172" s="459"/>
      <c r="D172" s="459"/>
      <c r="E172" s="469">
        <v>2.1</v>
      </c>
      <c r="F172" s="469">
        <v>0.4</v>
      </c>
      <c r="G172" s="469">
        <v>6.2</v>
      </c>
      <c r="H172" s="469">
        <v>1.7</v>
      </c>
      <c r="I172" s="469">
        <v>1.0</v>
      </c>
      <c r="J172" s="469">
        <v>0.9</v>
      </c>
      <c r="K172" s="469">
        <v>0.7</v>
      </c>
      <c r="L172" s="469">
        <v>11.9</v>
      </c>
      <c r="M172" s="469">
        <v>18.6</v>
      </c>
      <c r="N172" s="470">
        <f>+14</f>
        <v>14</v>
      </c>
      <c r="O172" t="str">
        <f>IFERROR(__xludf.DUMMYFUNCTION("regexextract(B172,""[\w]* [\w]*"")"),"Terrence Ross")</f>
        <v>Terrence Ross</v>
      </c>
      <c r="P172" t="str">
        <f t="shared" si="2"/>
        <v>Terrence Ross</v>
      </c>
      <c r="Q172" t="str">
        <f t="shared" si="3"/>
        <v>Terrence Ross</v>
      </c>
      <c r="R172" t="s">
        <v>2640</v>
      </c>
      <c r="S172" s="417" t="s">
        <v>88</v>
      </c>
      <c r="T172" t="s">
        <v>90</v>
      </c>
      <c r="U172" t="s">
        <v>2640</v>
      </c>
      <c r="V172" t="s">
        <v>97</v>
      </c>
      <c r="W172" t="str">
        <f t="shared" si="1"/>
        <v>SGSFC</v>
      </c>
    </row>
    <row r="173">
      <c r="A173" s="454">
        <v>165.0</v>
      </c>
      <c r="B173" s="455" t="s">
        <v>2806</v>
      </c>
      <c r="C173" s="456"/>
      <c r="D173" s="456"/>
      <c r="E173" s="468">
        <v>2.1</v>
      </c>
      <c r="F173" s="468">
        <v>0.4</v>
      </c>
      <c r="G173" s="468">
        <v>11.9</v>
      </c>
      <c r="H173" s="468">
        <v>1.8</v>
      </c>
      <c r="I173" s="468">
        <v>0.5</v>
      </c>
      <c r="J173" s="468">
        <v>1.0</v>
      </c>
      <c r="K173" s="468">
        <v>1.6</v>
      </c>
      <c r="L173" s="468">
        <v>13.0</v>
      </c>
      <c r="M173" s="468">
        <v>85.9</v>
      </c>
      <c r="N173" s="472">
        <v>-1.6</v>
      </c>
      <c r="O173" t="str">
        <f>IFERROR(__xludf.DUMMYFUNCTION("regexextract(B173,""[\w]* [\w]*"")"),"James WisemanO")</f>
        <v>James WisemanO</v>
      </c>
      <c r="P173" t="str">
        <f t="shared" si="2"/>
        <v>James WisemanO</v>
      </c>
      <c r="Q173" t="str">
        <f t="shared" si="3"/>
        <v>James Wiseman</v>
      </c>
      <c r="R173" t="s">
        <v>2640</v>
      </c>
      <c r="S173" s="417" t="s">
        <v>2640</v>
      </c>
      <c r="T173" t="s">
        <v>2640</v>
      </c>
      <c r="U173" t="s">
        <v>2640</v>
      </c>
      <c r="V173" t="s">
        <v>97</v>
      </c>
      <c r="W173" t="str">
        <f t="shared" si="1"/>
        <v>C</v>
      </c>
    </row>
    <row r="174">
      <c r="A174" s="457">
        <v>166.0</v>
      </c>
      <c r="B174" s="458" t="s">
        <v>2807</v>
      </c>
      <c r="C174" s="459"/>
      <c r="D174" s="459"/>
      <c r="E174" s="469">
        <v>3.0</v>
      </c>
      <c r="F174" s="469">
        <v>0.0</v>
      </c>
      <c r="G174" s="469">
        <v>10.2</v>
      </c>
      <c r="H174" s="469">
        <v>0.8</v>
      </c>
      <c r="I174" s="469">
        <v>0.4</v>
      </c>
      <c r="J174" s="469">
        <v>2.1</v>
      </c>
      <c r="K174" s="469">
        <v>1.5</v>
      </c>
      <c r="L174" s="469">
        <v>12.0</v>
      </c>
      <c r="M174" s="469">
        <v>15.7</v>
      </c>
      <c r="N174" s="470">
        <f>+14.2</f>
        <v>14.2</v>
      </c>
      <c r="O174" t="str">
        <f>IFERROR(__xludf.DUMMYFUNCTION("regexextract(B174,""[\w]* [\w]*"")"),"Daniel Gafford")</f>
        <v>Daniel Gafford</v>
      </c>
      <c r="P174" t="str">
        <f t="shared" si="2"/>
        <v>Daniel Gafford</v>
      </c>
      <c r="Q174" t="str">
        <f t="shared" si="3"/>
        <v>Daniel Gafford</v>
      </c>
      <c r="R174" t="s">
        <v>2640</v>
      </c>
      <c r="S174" s="417" t="s">
        <v>2640</v>
      </c>
      <c r="T174" t="s">
        <v>2640</v>
      </c>
      <c r="U174" t="s">
        <v>92</v>
      </c>
      <c r="V174" t="s">
        <v>97</v>
      </c>
      <c r="W174" t="str">
        <f t="shared" si="1"/>
        <v>PFC</v>
      </c>
    </row>
    <row r="175">
      <c r="A175" s="454">
        <v>167.0</v>
      </c>
      <c r="B175" s="455" t="s">
        <v>2808</v>
      </c>
      <c r="C175" s="456"/>
      <c r="D175" s="456"/>
      <c r="E175" s="468">
        <v>1.0</v>
      </c>
      <c r="F175" s="468">
        <v>3.0</v>
      </c>
      <c r="G175" s="468">
        <v>3.7</v>
      </c>
      <c r="H175" s="468">
        <v>1.9</v>
      </c>
      <c r="I175" s="468">
        <v>0.7</v>
      </c>
      <c r="J175" s="468">
        <v>0.2</v>
      </c>
      <c r="K175" s="468">
        <v>1.0</v>
      </c>
      <c r="L175" s="468">
        <v>14.1</v>
      </c>
      <c r="M175" s="468">
        <v>50.2</v>
      </c>
      <c r="N175" s="471">
        <f>+4.4</f>
        <v>4.4</v>
      </c>
      <c r="O175" t="str">
        <f>IFERROR(__xludf.DUMMYFUNCTION("regexextract(B175,""[\w]* [\w]*"")"),"Goran Dragic")</f>
        <v>Goran Dragic</v>
      </c>
      <c r="P175" t="str">
        <f t="shared" si="2"/>
        <v>Goran Dragic</v>
      </c>
      <c r="Q175" t="str">
        <f t="shared" si="3"/>
        <v>Goran Dragic</v>
      </c>
      <c r="R175" t="s">
        <v>85</v>
      </c>
      <c r="S175" s="417" t="s">
        <v>2640</v>
      </c>
      <c r="T175" t="s">
        <v>2640</v>
      </c>
      <c r="U175" t="s">
        <v>2640</v>
      </c>
      <c r="V175" t="s">
        <v>97</v>
      </c>
      <c r="W175" t="str">
        <f t="shared" si="1"/>
        <v>PGC</v>
      </c>
    </row>
    <row r="176">
      <c r="A176" s="457">
        <v>168.0</v>
      </c>
      <c r="B176" s="458" t="s">
        <v>2809</v>
      </c>
      <c r="C176" s="459"/>
      <c r="D176" s="459"/>
      <c r="E176" s="469">
        <v>1.9</v>
      </c>
      <c r="F176" s="469">
        <v>3.0</v>
      </c>
      <c r="G176" s="469">
        <v>3.9</v>
      </c>
      <c r="H176" s="469">
        <v>2.1</v>
      </c>
      <c r="I176" s="469">
        <v>0.8</v>
      </c>
      <c r="J176" s="469">
        <v>0.2</v>
      </c>
      <c r="K176" s="469">
        <v>1.5</v>
      </c>
      <c r="L176" s="469">
        <v>17.2</v>
      </c>
      <c r="M176" s="469">
        <v>69.7</v>
      </c>
      <c r="N176" s="473">
        <v>-2.6</v>
      </c>
      <c r="O176" t="str">
        <f>IFERROR(__xludf.DUMMYFUNCTION("regexextract(B176,""[\w]* [\w]*"")"),"Kevin Huerter")</f>
        <v>Kevin Huerter</v>
      </c>
      <c r="P176" t="str">
        <f t="shared" si="2"/>
        <v>Kevin Huerter</v>
      </c>
      <c r="Q176" t="str">
        <f t="shared" si="3"/>
        <v>Kevin Huerter</v>
      </c>
      <c r="R176" t="s">
        <v>2640</v>
      </c>
      <c r="S176" s="417" t="s">
        <v>88</v>
      </c>
      <c r="T176" t="s">
        <v>90</v>
      </c>
      <c r="U176" t="s">
        <v>2640</v>
      </c>
      <c r="V176" t="s">
        <v>2640</v>
      </c>
      <c r="W176" t="str">
        <f t="shared" si="1"/>
        <v>SGSF</v>
      </c>
    </row>
    <row r="177">
      <c r="A177" s="454">
        <v>169.0</v>
      </c>
      <c r="B177" s="455" t="s">
        <v>2810</v>
      </c>
      <c r="C177" s="456"/>
      <c r="D177" s="456"/>
      <c r="E177" s="468">
        <v>2.2</v>
      </c>
      <c r="F177" s="468">
        <v>2.0</v>
      </c>
      <c r="G177" s="468">
        <v>6.1</v>
      </c>
      <c r="H177" s="468">
        <v>2.0</v>
      </c>
      <c r="I177" s="468">
        <v>0.5</v>
      </c>
      <c r="J177" s="468">
        <v>0.6</v>
      </c>
      <c r="K177" s="468">
        <v>1.8</v>
      </c>
      <c r="L177" s="468">
        <v>15.0</v>
      </c>
      <c r="M177" s="468">
        <v>74.3</v>
      </c>
      <c r="N177" s="472">
        <v>-1.8</v>
      </c>
      <c r="O177" t="str">
        <f>IFERROR(__xludf.DUMMYFUNCTION("regexextract(B177,""[\w]* [\w]*"")"),"Alec Burks")</f>
        <v>Alec Burks</v>
      </c>
      <c r="P177" t="str">
        <f t="shared" si="2"/>
        <v>Alec Burks</v>
      </c>
      <c r="Q177" t="str">
        <f t="shared" si="3"/>
        <v>Alec Burks</v>
      </c>
      <c r="R177" t="s">
        <v>2640</v>
      </c>
      <c r="S177" s="417" t="s">
        <v>88</v>
      </c>
      <c r="T177" t="s">
        <v>2640</v>
      </c>
      <c r="U177" t="s">
        <v>2640</v>
      </c>
      <c r="V177" t="s">
        <v>97</v>
      </c>
      <c r="W177" t="str">
        <f t="shared" si="1"/>
        <v>SGC</v>
      </c>
    </row>
    <row r="178">
      <c r="A178" s="457">
        <v>170.0</v>
      </c>
      <c r="B178" s="458" t="s">
        <v>2811</v>
      </c>
      <c r="C178" s="459"/>
      <c r="D178" s="459"/>
      <c r="E178" s="469">
        <v>0.6</v>
      </c>
      <c r="F178" s="469">
        <v>0.2</v>
      </c>
      <c r="G178" s="469">
        <v>3.1</v>
      </c>
      <c r="H178" s="469">
        <v>5.5</v>
      </c>
      <c r="I178" s="469">
        <v>1.4</v>
      </c>
      <c r="J178" s="469">
        <v>0.3</v>
      </c>
      <c r="K178" s="469">
        <v>1.6</v>
      </c>
      <c r="L178" s="469">
        <v>7.5</v>
      </c>
      <c r="M178" s="469">
        <v>65.3</v>
      </c>
      <c r="N178" s="473">
        <v>-5.6</v>
      </c>
      <c r="O178" t="str">
        <f>IFERROR(__xludf.DUMMYFUNCTION("regexextract(B178,""[\w]* [\w]*"")"),"Aleksej Pokusevski")</f>
        <v>Aleksej Pokusevski</v>
      </c>
      <c r="P178" t="str">
        <f t="shared" si="2"/>
        <v>Aleksej Pokusevski</v>
      </c>
      <c r="Q178" t="str">
        <f t="shared" si="3"/>
        <v>Aleksej Pokusevski</v>
      </c>
      <c r="R178" t="s">
        <v>2640</v>
      </c>
      <c r="S178" s="417" t="s">
        <v>2640</v>
      </c>
      <c r="T178" t="s">
        <v>2640</v>
      </c>
      <c r="U178" t="s">
        <v>92</v>
      </c>
      <c r="V178" t="s">
        <v>97</v>
      </c>
      <c r="W178" t="str">
        <f t="shared" si="1"/>
        <v>PFC</v>
      </c>
    </row>
    <row r="179">
      <c r="A179" s="454">
        <v>171.0</v>
      </c>
      <c r="B179" s="455" t="s">
        <v>2812</v>
      </c>
      <c r="C179" s="456"/>
      <c r="D179" s="456"/>
      <c r="E179" s="468">
        <v>3.1</v>
      </c>
      <c r="F179" s="468">
        <v>2.8</v>
      </c>
      <c r="G179" s="468">
        <v>6.5</v>
      </c>
      <c r="H179" s="468">
        <v>1.2</v>
      </c>
      <c r="I179" s="468">
        <v>0.7</v>
      </c>
      <c r="J179" s="468">
        <v>0.4</v>
      </c>
      <c r="K179" s="468">
        <v>1.4</v>
      </c>
      <c r="L179" s="468">
        <v>17.8</v>
      </c>
      <c r="M179" s="468">
        <v>23.9</v>
      </c>
      <c r="N179" s="471">
        <f>+11.6</f>
        <v>11.6</v>
      </c>
      <c r="O179" t="str">
        <f>IFERROR(__xludf.DUMMYFUNCTION("regexextract(B179,""[\w]* [\w]*"")"),"Evan Mobley")</f>
        <v>Evan Mobley</v>
      </c>
      <c r="P179" t="str">
        <f t="shared" si="2"/>
        <v>Evan Mobley</v>
      </c>
      <c r="Q179" t="str">
        <f t="shared" si="3"/>
        <v>Evan Mobley</v>
      </c>
      <c r="R179" t="s">
        <v>2640</v>
      </c>
      <c r="S179" s="417" t="s">
        <v>2640</v>
      </c>
      <c r="T179" t="s">
        <v>2640</v>
      </c>
      <c r="U179" t="s">
        <v>92</v>
      </c>
      <c r="V179" t="s">
        <v>97</v>
      </c>
      <c r="W179" t="str">
        <f t="shared" si="1"/>
        <v>PFC</v>
      </c>
    </row>
    <row r="180">
      <c r="A180" s="457">
        <v>172.0</v>
      </c>
      <c r="B180" s="458" t="s">
        <v>2813</v>
      </c>
      <c r="C180" s="459"/>
      <c r="D180" s="459"/>
      <c r="E180" s="469">
        <v>2.8</v>
      </c>
      <c r="F180" s="469">
        <v>0.7</v>
      </c>
      <c r="G180" s="469">
        <v>8.0</v>
      </c>
      <c r="H180" s="469">
        <v>1.9</v>
      </c>
      <c r="I180" s="469">
        <v>0.4</v>
      </c>
      <c r="J180" s="469">
        <v>1.1</v>
      </c>
      <c r="K180" s="469">
        <v>1.3</v>
      </c>
      <c r="L180" s="469">
        <v>14.9</v>
      </c>
      <c r="M180" s="469">
        <v>49.2</v>
      </c>
      <c r="N180" s="473">
        <v>-7.5</v>
      </c>
      <c r="O180" t="str">
        <f>IFERROR(__xludf.DUMMYFUNCTION("regexextract(B180,""[\w]* [\w]*"")"),"Dorian Finney")</f>
        <v>Dorian Finney</v>
      </c>
      <c r="P180" t="str">
        <f t="shared" si="2"/>
        <v>Dorian Finney</v>
      </c>
      <c r="Q180" t="str">
        <f t="shared" si="3"/>
        <v>Dorian Finney</v>
      </c>
      <c r="R180" t="s">
        <v>2640</v>
      </c>
      <c r="S180" s="417" t="s">
        <v>2640</v>
      </c>
      <c r="T180" t="s">
        <v>90</v>
      </c>
      <c r="U180" t="s">
        <v>92</v>
      </c>
      <c r="V180" t="s">
        <v>2640</v>
      </c>
      <c r="W180" t="str">
        <f t="shared" si="1"/>
        <v>SFPF</v>
      </c>
    </row>
    <row r="181">
      <c r="A181" s="454">
        <v>173.0</v>
      </c>
      <c r="B181" s="455" t="s">
        <v>2814</v>
      </c>
      <c r="C181" s="456"/>
      <c r="D181" s="456"/>
      <c r="E181" s="468">
        <v>2.9</v>
      </c>
      <c r="F181" s="468">
        <v>1.2</v>
      </c>
      <c r="G181" s="468">
        <v>3.8</v>
      </c>
      <c r="H181" s="468">
        <v>1.4</v>
      </c>
      <c r="I181" s="468">
        <v>1.1</v>
      </c>
      <c r="J181" s="468">
        <v>0.5</v>
      </c>
      <c r="K181" s="468">
        <v>1.2</v>
      </c>
      <c r="L181" s="468">
        <v>17.6</v>
      </c>
      <c r="M181" s="468">
        <v>50.9</v>
      </c>
      <c r="N181" s="472">
        <v>-7.1</v>
      </c>
      <c r="O181" t="str">
        <f>IFERROR(__xludf.DUMMYFUNCTION("regexextract(B181,""[\w]* [\w]*"")"),"Chuma OkekeDTD")</f>
        <v>Chuma OkekeDTD</v>
      </c>
      <c r="P181" t="str">
        <f t="shared" si="2"/>
        <v>Chuma Okeke</v>
      </c>
      <c r="Q181" t="str">
        <f t="shared" si="3"/>
        <v>Chuma Okeke</v>
      </c>
      <c r="R181" t="s">
        <v>2640</v>
      </c>
      <c r="S181" s="417" t="s">
        <v>2640</v>
      </c>
      <c r="T181" t="s">
        <v>2640</v>
      </c>
      <c r="U181" t="s">
        <v>92</v>
      </c>
      <c r="V181" t="s">
        <v>97</v>
      </c>
      <c r="W181" t="str">
        <f t="shared" si="1"/>
        <v>PFC</v>
      </c>
    </row>
    <row r="182">
      <c r="A182" s="457">
        <v>174.0</v>
      </c>
      <c r="B182" s="458" t="s">
        <v>2815</v>
      </c>
      <c r="C182" s="459"/>
      <c r="D182" s="459"/>
      <c r="E182" s="469">
        <v>3.9</v>
      </c>
      <c r="F182" s="469">
        <v>2.6</v>
      </c>
      <c r="G182" s="469">
        <v>4.0</v>
      </c>
      <c r="H182" s="469">
        <v>2.0</v>
      </c>
      <c r="I182" s="469">
        <v>0.6</v>
      </c>
      <c r="J182" s="469">
        <v>0.1</v>
      </c>
      <c r="K182" s="469">
        <v>2.0</v>
      </c>
      <c r="L182" s="469">
        <v>18.1</v>
      </c>
      <c r="M182" s="469">
        <v>55.7</v>
      </c>
      <c r="N182" s="473">
        <v>-0.2</v>
      </c>
      <c r="O182" t="str">
        <f>IFERROR(__xludf.DUMMYFUNCTION("regexextract(B182,""[\w]* [\w]*"")"),"Khem Birch")</f>
        <v>Khem Birch</v>
      </c>
      <c r="P182" t="str">
        <f t="shared" si="2"/>
        <v>Khem Birch</v>
      </c>
      <c r="Q182" t="str">
        <f t="shared" si="3"/>
        <v>Khem Birch</v>
      </c>
      <c r="R182" t="s">
        <v>2640</v>
      </c>
      <c r="S182" s="417" t="s">
        <v>2640</v>
      </c>
      <c r="T182" t="s">
        <v>2640</v>
      </c>
      <c r="U182" t="s">
        <v>2640</v>
      </c>
      <c r="V182" t="s">
        <v>97</v>
      </c>
      <c r="W182" t="str">
        <f t="shared" si="1"/>
        <v>C</v>
      </c>
    </row>
    <row r="183">
      <c r="A183" s="454">
        <v>175.0</v>
      </c>
      <c r="B183" s="455" t="s">
        <v>2816</v>
      </c>
      <c r="C183" s="456"/>
      <c r="D183" s="456"/>
      <c r="E183" s="468">
        <v>2.8</v>
      </c>
      <c r="F183" s="468">
        <v>0.0</v>
      </c>
      <c r="G183" s="468">
        <v>9.1</v>
      </c>
      <c r="H183" s="468">
        <v>2.0</v>
      </c>
      <c r="I183" s="468">
        <v>1.0</v>
      </c>
      <c r="J183" s="468">
        <v>0.8</v>
      </c>
      <c r="K183" s="468">
        <v>1.5</v>
      </c>
      <c r="L183" s="468">
        <v>9.7</v>
      </c>
      <c r="M183" s="468">
        <v>17.5</v>
      </c>
      <c r="N183" s="471">
        <f>+7.4</f>
        <v>7.4</v>
      </c>
      <c r="O183" t="str">
        <f>IFERROR(__xludf.DUMMYFUNCTION("regexextract(B183,""[\w]* [\w]*"")"),"Terance Mann")</f>
        <v>Terance Mann</v>
      </c>
      <c r="P183" t="str">
        <f t="shared" si="2"/>
        <v>Terance Mann</v>
      </c>
      <c r="Q183" t="str">
        <f t="shared" si="3"/>
        <v>Terance Mann</v>
      </c>
      <c r="R183" t="s">
        <v>2640</v>
      </c>
      <c r="S183" s="417" t="s">
        <v>2640</v>
      </c>
      <c r="T183" t="s">
        <v>90</v>
      </c>
      <c r="U183" t="s">
        <v>2640</v>
      </c>
      <c r="V183" t="s">
        <v>97</v>
      </c>
      <c r="W183" t="str">
        <f t="shared" si="1"/>
        <v>SFC</v>
      </c>
    </row>
    <row r="184">
      <c r="A184" s="457">
        <v>176.0</v>
      </c>
      <c r="B184" s="458" t="s">
        <v>2817</v>
      </c>
      <c r="C184" s="459"/>
      <c r="D184" s="459"/>
      <c r="E184" s="469">
        <v>1.5</v>
      </c>
      <c r="F184" s="469">
        <v>1.3</v>
      </c>
      <c r="G184" s="469">
        <v>7.6</v>
      </c>
      <c r="H184" s="469">
        <v>1.4</v>
      </c>
      <c r="I184" s="469">
        <v>0.8</v>
      </c>
      <c r="J184" s="469">
        <v>0.4</v>
      </c>
      <c r="K184" s="469">
        <v>1.2</v>
      </c>
      <c r="L184" s="469">
        <v>13.0</v>
      </c>
      <c r="M184" s="469">
        <v>13.8</v>
      </c>
      <c r="N184" s="470">
        <f>+4.6</f>
        <v>4.6</v>
      </c>
      <c r="O184" t="str">
        <f>IFERROR(__xludf.DUMMYFUNCTION("regexextract(B184,""[\w]* [\w]*"")"),"Larry Nance")</f>
        <v>Larry Nance</v>
      </c>
      <c r="P184" t="str">
        <f t="shared" si="2"/>
        <v>Larry Nance</v>
      </c>
      <c r="Q184" t="str">
        <f t="shared" si="3"/>
        <v>Larry Nance</v>
      </c>
      <c r="R184" t="s">
        <v>2640</v>
      </c>
      <c r="S184" s="417" t="s">
        <v>2640</v>
      </c>
      <c r="T184" t="s">
        <v>2640</v>
      </c>
      <c r="U184" t="s">
        <v>92</v>
      </c>
      <c r="V184" t="s">
        <v>97</v>
      </c>
      <c r="W184" t="str">
        <f t="shared" si="1"/>
        <v>PFC</v>
      </c>
    </row>
    <row r="185">
      <c r="A185" s="454">
        <v>177.0</v>
      </c>
      <c r="B185" s="455" t="s">
        <v>2818</v>
      </c>
      <c r="C185" s="456"/>
      <c r="D185" s="456"/>
      <c r="E185" s="468">
        <v>2.8</v>
      </c>
      <c r="F185" s="468">
        <v>0.0</v>
      </c>
      <c r="G185" s="468">
        <v>8.4</v>
      </c>
      <c r="H185" s="468">
        <v>3.3</v>
      </c>
      <c r="I185" s="468">
        <v>0.7</v>
      </c>
      <c r="J185" s="468">
        <v>0.8</v>
      </c>
      <c r="K185" s="468">
        <v>1.7</v>
      </c>
      <c r="L185" s="468">
        <v>9.6</v>
      </c>
      <c r="M185" s="468">
        <v>59.5</v>
      </c>
      <c r="N185" s="472">
        <v>-13.6</v>
      </c>
      <c r="O185" t="str">
        <f>IFERROR(__xludf.DUMMYFUNCTION("regexextract(B185,""[\w]* [\w]*"")"),"Franz Wagner")</f>
        <v>Franz Wagner</v>
      </c>
      <c r="P185" t="str">
        <f t="shared" si="2"/>
        <v>Franz Wagner</v>
      </c>
      <c r="Q185" t="str">
        <f t="shared" si="3"/>
        <v>Franz Wagner</v>
      </c>
      <c r="R185" t="s">
        <v>2640</v>
      </c>
      <c r="S185" s="417" t="s">
        <v>2640</v>
      </c>
      <c r="T185" t="s">
        <v>90</v>
      </c>
      <c r="U185" t="s">
        <v>2640</v>
      </c>
      <c r="V185" t="s">
        <v>2640</v>
      </c>
      <c r="W185" t="str">
        <f t="shared" si="1"/>
        <v>SF</v>
      </c>
    </row>
    <row r="186">
      <c r="A186" s="457">
        <v>178.0</v>
      </c>
      <c r="B186" s="458" t="s">
        <v>2819</v>
      </c>
      <c r="C186" s="459"/>
      <c r="D186" s="459"/>
      <c r="E186" s="469">
        <v>2.5</v>
      </c>
      <c r="F186" s="469">
        <v>1.0</v>
      </c>
      <c r="G186" s="469">
        <v>3.4</v>
      </c>
      <c r="H186" s="469">
        <v>6.4</v>
      </c>
      <c r="I186" s="469">
        <v>1.3</v>
      </c>
      <c r="J186" s="469">
        <v>0.1</v>
      </c>
      <c r="K186" s="469">
        <v>1.9</v>
      </c>
      <c r="L186" s="469">
        <v>9.5</v>
      </c>
      <c r="M186" s="469">
        <v>8.7</v>
      </c>
      <c r="N186" s="470">
        <f>+2.9</f>
        <v>2.9</v>
      </c>
      <c r="O186" t="str">
        <f>IFERROR(__xludf.DUMMYFUNCTION("regexextract(B186,""[\w]* [\w]*"")"),"Coby WhiteO")</f>
        <v>Coby WhiteO</v>
      </c>
      <c r="P186" t="str">
        <f t="shared" si="2"/>
        <v>Coby WhiteO</v>
      </c>
      <c r="Q186" t="str">
        <f t="shared" si="3"/>
        <v>Coby White</v>
      </c>
      <c r="R186" t="s">
        <v>85</v>
      </c>
      <c r="S186" s="417" t="s">
        <v>2640</v>
      </c>
      <c r="T186" t="s">
        <v>2640</v>
      </c>
      <c r="U186" t="s">
        <v>2640</v>
      </c>
      <c r="V186" t="s">
        <v>97</v>
      </c>
      <c r="W186" t="str">
        <f t="shared" si="1"/>
        <v>PGC</v>
      </c>
    </row>
    <row r="187">
      <c r="A187" s="454">
        <v>179.0</v>
      </c>
      <c r="B187" s="455" t="s">
        <v>2820</v>
      </c>
      <c r="C187" s="456"/>
      <c r="D187" s="456"/>
      <c r="E187" s="468">
        <v>1.8</v>
      </c>
      <c r="F187" s="468">
        <v>2.7</v>
      </c>
      <c r="G187" s="468">
        <v>3.4</v>
      </c>
      <c r="H187" s="468">
        <v>2.1</v>
      </c>
      <c r="I187" s="468">
        <v>1.0</v>
      </c>
      <c r="J187" s="468">
        <v>0.5</v>
      </c>
      <c r="K187" s="468">
        <v>1.3</v>
      </c>
      <c r="L187" s="468">
        <v>18.8</v>
      </c>
      <c r="M187" s="468">
        <v>88.5</v>
      </c>
      <c r="N187" s="472">
        <v>-2.1</v>
      </c>
      <c r="O187" t="str">
        <f>IFERROR(__xludf.DUMMYFUNCTION("regexextract(B187,""[\w]* [\w]*"")"),"Blake Griffin")</f>
        <v>Blake Griffin</v>
      </c>
      <c r="P187" t="str">
        <f t="shared" si="2"/>
        <v>Blake Griffin</v>
      </c>
      <c r="Q187" t="str">
        <f t="shared" si="3"/>
        <v>Blake Griffin</v>
      </c>
      <c r="R187" t="s">
        <v>2640</v>
      </c>
      <c r="S187" s="417" t="s">
        <v>2640</v>
      </c>
      <c r="T187" t="s">
        <v>2640</v>
      </c>
      <c r="U187" t="s">
        <v>92</v>
      </c>
      <c r="V187" t="s">
        <v>2640</v>
      </c>
      <c r="W187" t="str">
        <f t="shared" si="1"/>
        <v>PF</v>
      </c>
    </row>
    <row r="188">
      <c r="A188" s="457">
        <v>180.0</v>
      </c>
      <c r="B188" s="458" t="s">
        <v>2821</v>
      </c>
      <c r="C188" s="459"/>
      <c r="D188" s="459"/>
      <c r="E188" s="469">
        <v>2.2</v>
      </c>
      <c r="F188" s="469">
        <v>1.6</v>
      </c>
      <c r="G188" s="469">
        <v>5.9</v>
      </c>
      <c r="H188" s="469">
        <v>2.4</v>
      </c>
      <c r="I188" s="469">
        <v>0.9</v>
      </c>
      <c r="J188" s="469">
        <v>0.5</v>
      </c>
      <c r="K188" s="469">
        <v>1.5</v>
      </c>
      <c r="L188" s="469">
        <v>11.4</v>
      </c>
      <c r="M188" s="469">
        <v>62.7</v>
      </c>
      <c r="N188" s="473">
        <v>-10.5</v>
      </c>
      <c r="O188" t="str">
        <f>IFERROR(__xludf.DUMMYFUNCTION("regexextract(B188,""[\w]* [\w]*"")"),"Rudy GayO")</f>
        <v>Rudy GayO</v>
      </c>
      <c r="P188" t="str">
        <f t="shared" si="2"/>
        <v>Rudy GayO</v>
      </c>
      <c r="Q188" t="str">
        <f t="shared" si="3"/>
        <v>Rudy Gay</v>
      </c>
      <c r="R188" t="s">
        <v>2640</v>
      </c>
      <c r="S188" s="417" t="s">
        <v>2640</v>
      </c>
      <c r="T188" t="s">
        <v>2640</v>
      </c>
      <c r="U188" t="s">
        <v>92</v>
      </c>
      <c r="V188" t="s">
        <v>2640</v>
      </c>
      <c r="W188" t="str">
        <f t="shared" si="1"/>
        <v>PF</v>
      </c>
    </row>
    <row r="189">
      <c r="A189" s="454">
        <v>181.0</v>
      </c>
      <c r="B189" s="455" t="s">
        <v>2822</v>
      </c>
      <c r="C189" s="456"/>
      <c r="D189" s="456"/>
      <c r="E189" s="468">
        <v>1.8</v>
      </c>
      <c r="F189" s="468">
        <v>1.3</v>
      </c>
      <c r="G189" s="468">
        <v>2.6</v>
      </c>
      <c r="H189" s="468">
        <v>4.1</v>
      </c>
      <c r="I189" s="468">
        <v>0.9</v>
      </c>
      <c r="J189" s="468">
        <v>0.3</v>
      </c>
      <c r="K189" s="468">
        <v>0.9</v>
      </c>
      <c r="L189" s="468">
        <v>12.6</v>
      </c>
      <c r="M189" s="468">
        <v>3.9</v>
      </c>
      <c r="N189" s="471">
        <f>+2</f>
        <v>2</v>
      </c>
      <c r="O189" t="str">
        <f>IFERROR(__xludf.DUMMYFUNCTION("regexextract(B189,""[\w]* [\w]*"")"),"Josh Hart")</f>
        <v>Josh Hart</v>
      </c>
      <c r="P189" t="str">
        <f t="shared" si="2"/>
        <v>Josh Hart</v>
      </c>
      <c r="Q189" t="str">
        <f t="shared" si="3"/>
        <v>Josh Hart</v>
      </c>
      <c r="R189" t="s">
        <v>2640</v>
      </c>
      <c r="S189" s="417" t="s">
        <v>88</v>
      </c>
      <c r="T189" t="s">
        <v>90</v>
      </c>
      <c r="U189" t="s">
        <v>2640</v>
      </c>
      <c r="V189" t="s">
        <v>2640</v>
      </c>
      <c r="W189" t="str">
        <f t="shared" si="1"/>
        <v>SGSF</v>
      </c>
    </row>
    <row r="190">
      <c r="A190" s="457">
        <v>182.0</v>
      </c>
      <c r="B190" s="458" t="s">
        <v>2823</v>
      </c>
      <c r="C190" s="459"/>
      <c r="D190" s="459"/>
      <c r="E190" s="469">
        <v>4.9</v>
      </c>
      <c r="F190" s="469">
        <v>1.7</v>
      </c>
      <c r="G190" s="469">
        <v>3.1</v>
      </c>
      <c r="H190" s="469">
        <v>6.8</v>
      </c>
      <c r="I190" s="469">
        <v>1.1</v>
      </c>
      <c r="J190" s="469">
        <v>0.7</v>
      </c>
      <c r="K190" s="469">
        <v>3.3</v>
      </c>
      <c r="L190" s="469">
        <v>18.8</v>
      </c>
      <c r="M190" s="469">
        <v>63.9</v>
      </c>
      <c r="N190" s="473">
        <v>-11.4</v>
      </c>
      <c r="O190" t="str">
        <f>IFERROR(__xludf.DUMMYFUNCTION("regexextract(B190,""[\w]* [\w]*"")"),"Kenrich Williams")</f>
        <v>Kenrich Williams</v>
      </c>
      <c r="P190" t="str">
        <f t="shared" si="2"/>
        <v>Kenrich Williams</v>
      </c>
      <c r="Q190" t="str">
        <f t="shared" si="3"/>
        <v>Kenrich Williams</v>
      </c>
      <c r="R190" t="s">
        <v>2640</v>
      </c>
      <c r="S190" s="417" t="s">
        <v>2640</v>
      </c>
      <c r="T190" t="s">
        <v>90</v>
      </c>
      <c r="U190" t="s">
        <v>2640</v>
      </c>
      <c r="V190" t="s">
        <v>97</v>
      </c>
      <c r="W190" t="str">
        <f t="shared" si="1"/>
        <v>SFC</v>
      </c>
    </row>
    <row r="191">
      <c r="A191" s="454">
        <v>183.0</v>
      </c>
      <c r="B191" s="455" t="s">
        <v>2824</v>
      </c>
      <c r="C191" s="456"/>
      <c r="D191" s="456"/>
      <c r="E191" s="468">
        <v>2.1</v>
      </c>
      <c r="F191" s="468">
        <v>0.9</v>
      </c>
      <c r="G191" s="468">
        <v>5.4</v>
      </c>
      <c r="H191" s="468">
        <v>3.2</v>
      </c>
      <c r="I191" s="468">
        <v>1.1</v>
      </c>
      <c r="J191" s="468">
        <v>0.7</v>
      </c>
      <c r="K191" s="468">
        <v>1.2</v>
      </c>
      <c r="L191" s="468">
        <v>10.1</v>
      </c>
      <c r="M191" s="468">
        <v>63.1</v>
      </c>
      <c r="N191" s="472">
        <v>-12.7</v>
      </c>
      <c r="O191" t="str">
        <f>IFERROR(__xludf.DUMMYFUNCTION("regexextract(B191,""[\w]* [\w]*"")"),"Terence Davis")</f>
        <v>Terence Davis</v>
      </c>
      <c r="P191" t="str">
        <f t="shared" si="2"/>
        <v>Terence Davis</v>
      </c>
      <c r="Q191" t="str">
        <f t="shared" si="3"/>
        <v>Terence Davis</v>
      </c>
      <c r="R191" t="s">
        <v>2640</v>
      </c>
      <c r="S191" s="417" t="s">
        <v>88</v>
      </c>
      <c r="T191" t="s">
        <v>2640</v>
      </c>
      <c r="U191" t="s">
        <v>2640</v>
      </c>
      <c r="V191" t="s">
        <v>97</v>
      </c>
      <c r="W191" t="str">
        <f t="shared" si="1"/>
        <v>SGC</v>
      </c>
    </row>
    <row r="192">
      <c r="A192" s="457">
        <v>184.0</v>
      </c>
      <c r="B192" s="458" t="s">
        <v>2825</v>
      </c>
      <c r="C192" s="459"/>
      <c r="D192" s="459"/>
      <c r="E192" s="469">
        <v>3.5</v>
      </c>
      <c r="F192" s="469">
        <v>1.8</v>
      </c>
      <c r="G192" s="469">
        <v>3.9</v>
      </c>
      <c r="H192" s="469">
        <v>5.1</v>
      </c>
      <c r="I192" s="469">
        <v>0.8</v>
      </c>
      <c r="J192" s="469">
        <v>0.3</v>
      </c>
      <c r="K192" s="469">
        <v>3.3</v>
      </c>
      <c r="L192" s="469">
        <v>16.1</v>
      </c>
      <c r="M192" s="469">
        <v>70.7</v>
      </c>
      <c r="N192" s="473">
        <v>-3.2</v>
      </c>
      <c r="O192" t="str">
        <f>IFERROR(__xludf.DUMMYFUNCTION("regexextract(B192,""[\w]* [\w]*"")"),"Tomas Satoransky")</f>
        <v>Tomas Satoransky</v>
      </c>
      <c r="P192" t="str">
        <f t="shared" si="2"/>
        <v>Tomas Satoransky</v>
      </c>
      <c r="Q192" t="str">
        <f t="shared" si="3"/>
        <v>Tomas Satoransky</v>
      </c>
      <c r="R192" t="s">
        <v>85</v>
      </c>
      <c r="S192" s="417" t="s">
        <v>88</v>
      </c>
      <c r="T192" t="s">
        <v>2640</v>
      </c>
      <c r="U192" t="s">
        <v>2640</v>
      </c>
      <c r="V192" t="s">
        <v>2640</v>
      </c>
      <c r="W192" t="str">
        <f t="shared" si="1"/>
        <v>PGSG</v>
      </c>
    </row>
    <row r="193">
      <c r="A193" s="454">
        <v>185.0</v>
      </c>
      <c r="B193" s="455" t="s">
        <v>2826</v>
      </c>
      <c r="C193" s="456"/>
      <c r="D193" s="456"/>
      <c r="E193" s="468">
        <v>2.4</v>
      </c>
      <c r="F193" s="468">
        <v>0.6</v>
      </c>
      <c r="G193" s="468">
        <v>6.3</v>
      </c>
      <c r="H193" s="468">
        <v>2.7</v>
      </c>
      <c r="I193" s="468">
        <v>0.6</v>
      </c>
      <c r="J193" s="468">
        <v>1.2</v>
      </c>
      <c r="K193" s="468">
        <v>1.6</v>
      </c>
      <c r="L193" s="468">
        <v>9.7</v>
      </c>
      <c r="M193" s="468">
        <v>7.2</v>
      </c>
      <c r="N193" s="471">
        <f>+1</f>
        <v>1</v>
      </c>
      <c r="O193" t="str">
        <f>IFERROR(__xludf.DUMMYFUNCTION("regexextract(B193,""[\w]* [\w]*"")"),"Kendrick Nunn")</f>
        <v>Kendrick Nunn</v>
      </c>
      <c r="P193" t="str">
        <f t="shared" si="2"/>
        <v>Kendrick Nunn</v>
      </c>
      <c r="Q193" t="str">
        <f t="shared" si="3"/>
        <v>Kendrick Nunn</v>
      </c>
      <c r="R193" t="s">
        <v>2640</v>
      </c>
      <c r="S193" s="417" t="s">
        <v>88</v>
      </c>
      <c r="T193" t="s">
        <v>2640</v>
      </c>
      <c r="U193" t="s">
        <v>2640</v>
      </c>
      <c r="V193" t="s">
        <v>97</v>
      </c>
      <c r="W193" t="str">
        <f t="shared" si="1"/>
        <v>SGC</v>
      </c>
    </row>
    <row r="194">
      <c r="A194" s="457">
        <v>186.0</v>
      </c>
      <c r="B194" s="458" t="s">
        <v>2827</v>
      </c>
      <c r="C194" s="459"/>
      <c r="D194" s="459"/>
      <c r="E194" s="469">
        <v>2.1</v>
      </c>
      <c r="F194" s="469">
        <v>2.1</v>
      </c>
      <c r="G194" s="469">
        <v>4.8</v>
      </c>
      <c r="H194" s="469">
        <v>3.0</v>
      </c>
      <c r="I194" s="469">
        <v>0.7</v>
      </c>
      <c r="J194" s="469">
        <v>0.3</v>
      </c>
      <c r="K194" s="469">
        <v>1.8</v>
      </c>
      <c r="L194" s="469">
        <v>14.8</v>
      </c>
      <c r="M194" s="469">
        <v>44.5</v>
      </c>
      <c r="N194" s="470">
        <f>+0.7</f>
        <v>0.7</v>
      </c>
      <c r="O194" t="str">
        <f>IFERROR(__xludf.DUMMYFUNCTION("regexextract(B194,""[\w]* [\w]*"")"),"Luguentz Dort")</f>
        <v>Luguentz Dort</v>
      </c>
      <c r="P194" t="str">
        <f t="shared" si="2"/>
        <v>Luguentz Dort</v>
      </c>
      <c r="Q194" t="str">
        <f t="shared" si="3"/>
        <v>Luguentz Dort</v>
      </c>
      <c r="R194" t="s">
        <v>2640</v>
      </c>
      <c r="S194" s="417" t="s">
        <v>88</v>
      </c>
      <c r="T194" t="s">
        <v>90</v>
      </c>
      <c r="U194" t="s">
        <v>2640</v>
      </c>
      <c r="V194" t="s">
        <v>97</v>
      </c>
      <c r="W194" t="str">
        <f t="shared" si="1"/>
        <v>SGSFC</v>
      </c>
    </row>
    <row r="195">
      <c r="A195" s="454">
        <v>187.0</v>
      </c>
      <c r="B195" s="455" t="s">
        <v>2828</v>
      </c>
      <c r="C195" s="456"/>
      <c r="D195" s="456"/>
      <c r="E195" s="468">
        <v>2.5</v>
      </c>
      <c r="F195" s="468">
        <v>0.7</v>
      </c>
      <c r="G195" s="468">
        <v>7.3</v>
      </c>
      <c r="H195" s="468">
        <v>2.3</v>
      </c>
      <c r="I195" s="468">
        <v>1.1</v>
      </c>
      <c r="J195" s="468">
        <v>0.8</v>
      </c>
      <c r="K195" s="468">
        <v>2.4</v>
      </c>
      <c r="L195" s="468">
        <v>11.6</v>
      </c>
      <c r="M195" s="468">
        <v>2.8</v>
      </c>
      <c r="N195" s="471">
        <f>+1.3</f>
        <v>1.3</v>
      </c>
      <c r="O195" t="str">
        <f>IFERROR(__xludf.DUMMYFUNCTION("regexextract(B195,""[\w]* [\w]*"")"),"Shake Milton")</f>
        <v>Shake Milton</v>
      </c>
      <c r="P195" t="str">
        <f t="shared" si="2"/>
        <v>Shake Milton</v>
      </c>
      <c r="Q195" t="str">
        <f t="shared" si="3"/>
        <v>Shake Milton</v>
      </c>
      <c r="R195" t="s">
        <v>85</v>
      </c>
      <c r="S195" s="417" t="s">
        <v>88</v>
      </c>
      <c r="T195" t="s">
        <v>2640</v>
      </c>
      <c r="U195" t="s">
        <v>2640</v>
      </c>
      <c r="V195" t="s">
        <v>2640</v>
      </c>
      <c r="W195" t="str">
        <f t="shared" si="1"/>
        <v>PGSG</v>
      </c>
    </row>
    <row r="196">
      <c r="A196" s="457">
        <v>188.0</v>
      </c>
      <c r="B196" s="458" t="s">
        <v>2829</v>
      </c>
      <c r="C196" s="459"/>
      <c r="D196" s="459"/>
      <c r="E196" s="469">
        <v>2.7</v>
      </c>
      <c r="F196" s="469">
        <v>0.0</v>
      </c>
      <c r="G196" s="469">
        <v>9.4</v>
      </c>
      <c r="H196" s="469">
        <v>1.4</v>
      </c>
      <c r="I196" s="469">
        <v>1.1</v>
      </c>
      <c r="J196" s="469">
        <v>0.9</v>
      </c>
      <c r="K196" s="469">
        <v>1.9</v>
      </c>
      <c r="L196" s="469">
        <v>9.9</v>
      </c>
      <c r="M196" s="469">
        <v>52.2</v>
      </c>
      <c r="N196" s="473">
        <v>-6.2</v>
      </c>
      <c r="O196" t="str">
        <f>IFERROR(__xludf.DUMMYFUNCTION("regexextract(B196,""[\w]* [\w]*"")"),"Nicolas Batum")</f>
        <v>Nicolas Batum</v>
      </c>
      <c r="P196" t="str">
        <f t="shared" si="2"/>
        <v>Nicolas Batum</v>
      </c>
      <c r="Q196" t="str">
        <f t="shared" si="3"/>
        <v>Nicolas Batum</v>
      </c>
      <c r="R196" t="s">
        <v>2640</v>
      </c>
      <c r="S196" s="417" t="s">
        <v>88</v>
      </c>
      <c r="T196" t="s">
        <v>90</v>
      </c>
      <c r="U196" t="s">
        <v>2640</v>
      </c>
      <c r="V196" t="s">
        <v>97</v>
      </c>
      <c r="W196" t="str">
        <f t="shared" si="1"/>
        <v>SGSFC</v>
      </c>
    </row>
    <row r="197">
      <c r="A197" s="454">
        <v>189.0</v>
      </c>
      <c r="B197" s="455" t="s">
        <v>2830</v>
      </c>
      <c r="C197" s="456"/>
      <c r="D197" s="456"/>
      <c r="E197" s="468">
        <v>3.1</v>
      </c>
      <c r="F197" s="468">
        <v>1.3</v>
      </c>
      <c r="G197" s="468">
        <v>4.4</v>
      </c>
      <c r="H197" s="468">
        <v>2.2</v>
      </c>
      <c r="I197" s="468">
        <v>1.1</v>
      </c>
      <c r="J197" s="468">
        <v>0.6</v>
      </c>
      <c r="K197" s="468">
        <v>1.4</v>
      </c>
      <c r="L197" s="468">
        <v>12.3</v>
      </c>
      <c r="M197" s="468">
        <v>3.3</v>
      </c>
      <c r="N197" s="471">
        <f>+1.5</f>
        <v>1.5</v>
      </c>
      <c r="O197" t="str">
        <f>IFERROR(__xludf.DUMMYFUNCTION("regexextract(B197,""[\w]* [\w]*"")"),"Jaxson Hayes")</f>
        <v>Jaxson Hayes</v>
      </c>
      <c r="P197" t="str">
        <f t="shared" si="2"/>
        <v>Jaxson Hayes</v>
      </c>
      <c r="Q197" t="str">
        <f t="shared" si="3"/>
        <v>Jaxson Hayes</v>
      </c>
      <c r="R197" t="s">
        <v>2640</v>
      </c>
      <c r="S197" s="417" t="s">
        <v>2640</v>
      </c>
      <c r="T197" t="s">
        <v>2640</v>
      </c>
      <c r="U197" t="s">
        <v>2640</v>
      </c>
      <c r="V197" t="s">
        <v>97</v>
      </c>
      <c r="W197" t="str">
        <f t="shared" si="1"/>
        <v>C</v>
      </c>
    </row>
    <row r="198">
      <c r="A198" s="457">
        <v>190.0</v>
      </c>
      <c r="B198" s="458" t="s">
        <v>2831</v>
      </c>
      <c r="C198" s="459"/>
      <c r="D198" s="459"/>
      <c r="E198" s="469">
        <v>2.6</v>
      </c>
      <c r="F198" s="469">
        <v>1.0</v>
      </c>
      <c r="G198" s="469">
        <v>2.6</v>
      </c>
      <c r="H198" s="469">
        <v>4.4</v>
      </c>
      <c r="I198" s="469">
        <v>0.9</v>
      </c>
      <c r="J198" s="469">
        <v>0.4</v>
      </c>
      <c r="K198" s="469">
        <v>1.7</v>
      </c>
      <c r="L198" s="469">
        <v>15.3</v>
      </c>
      <c r="M198" s="469">
        <v>67.5</v>
      </c>
      <c r="N198" s="473">
        <v>-9.7</v>
      </c>
      <c r="O198" t="str">
        <f>IFERROR(__xludf.DUMMYFUNCTION("regexextract(B198,""[\w]* [\w]*"")"),"Matisse Thybulle")</f>
        <v>Matisse Thybulle</v>
      </c>
      <c r="P198" t="str">
        <f t="shared" si="2"/>
        <v>Matisse Thybulle</v>
      </c>
      <c r="Q198" t="str">
        <f t="shared" si="3"/>
        <v>Matisse Thybulle</v>
      </c>
      <c r="R198" t="s">
        <v>2640</v>
      </c>
      <c r="S198" s="417" t="s">
        <v>88</v>
      </c>
      <c r="T198" t="s">
        <v>90</v>
      </c>
      <c r="U198" t="s">
        <v>2640</v>
      </c>
      <c r="V198" t="s">
        <v>2640</v>
      </c>
      <c r="W198" t="str">
        <f t="shared" si="1"/>
        <v>SGSF</v>
      </c>
    </row>
    <row r="199">
      <c r="A199" s="454">
        <v>191.0</v>
      </c>
      <c r="B199" s="455" t="s">
        <v>2832</v>
      </c>
      <c r="C199" s="456"/>
      <c r="D199" s="456"/>
      <c r="E199" s="468">
        <v>3.0</v>
      </c>
      <c r="F199" s="468">
        <v>1.2</v>
      </c>
      <c r="G199" s="468">
        <v>5.9</v>
      </c>
      <c r="H199" s="468">
        <v>3.3</v>
      </c>
      <c r="I199" s="468">
        <v>0.7</v>
      </c>
      <c r="J199" s="468">
        <v>0.7</v>
      </c>
      <c r="K199" s="468">
        <v>1.9</v>
      </c>
      <c r="L199" s="468">
        <v>12.6</v>
      </c>
      <c r="M199" s="468">
        <v>18.9</v>
      </c>
      <c r="N199" s="471">
        <f>+2.5</f>
        <v>2.5</v>
      </c>
      <c r="O199" t="str">
        <f>IFERROR(__xludf.DUMMYFUNCTION("regexextract(B199,""[\w]* [\w]*"")"),"Royce O")</f>
        <v>Royce O</v>
      </c>
      <c r="P199" t="str">
        <f t="shared" si="2"/>
        <v>Royce O</v>
      </c>
      <c r="Q199" t="str">
        <f t="shared" si="3"/>
        <v>Royce </v>
      </c>
      <c r="R199" t="s">
        <v>2640</v>
      </c>
      <c r="S199" s="417" t="s">
        <v>2640</v>
      </c>
      <c r="T199" t="s">
        <v>90</v>
      </c>
      <c r="U199" t="s">
        <v>92</v>
      </c>
      <c r="V199" t="s">
        <v>97</v>
      </c>
      <c r="W199" t="str">
        <f t="shared" si="1"/>
        <v>SFPFC</v>
      </c>
    </row>
    <row r="200">
      <c r="A200" s="457">
        <v>192.0</v>
      </c>
      <c r="B200" s="458" t="s">
        <v>2833</v>
      </c>
      <c r="C200" s="459"/>
      <c r="D200" s="459"/>
      <c r="E200" s="469">
        <v>2.0</v>
      </c>
      <c r="F200" s="469">
        <v>1.5</v>
      </c>
      <c r="G200" s="469">
        <v>5.1</v>
      </c>
      <c r="H200" s="469">
        <v>1.6</v>
      </c>
      <c r="I200" s="469">
        <v>1.0</v>
      </c>
      <c r="J200" s="469">
        <v>0.7</v>
      </c>
      <c r="K200" s="469">
        <v>1.5</v>
      </c>
      <c r="L200" s="469">
        <v>10.9</v>
      </c>
      <c r="M200" s="469">
        <v>5.8</v>
      </c>
      <c r="N200" s="470">
        <f>+1.5</f>
        <v>1.5</v>
      </c>
      <c r="O200" t="str">
        <f>IFERROR(__xludf.DUMMYFUNCTION("regexextract(B200,""[\w]* [\w]*"")"),"Devin Vassell")</f>
        <v>Devin Vassell</v>
      </c>
      <c r="P200" t="str">
        <f t="shared" si="2"/>
        <v>Devin Vassell</v>
      </c>
      <c r="Q200" t="str">
        <f t="shared" si="3"/>
        <v>Devin Vassell</v>
      </c>
      <c r="R200" t="s">
        <v>2640</v>
      </c>
      <c r="S200" s="417" t="s">
        <v>88</v>
      </c>
      <c r="T200" t="s">
        <v>90</v>
      </c>
      <c r="U200" t="s">
        <v>2640</v>
      </c>
      <c r="V200" t="s">
        <v>2640</v>
      </c>
      <c r="W200" t="str">
        <f t="shared" si="1"/>
        <v>SGSF</v>
      </c>
    </row>
    <row r="201">
      <c r="A201" s="454">
        <v>193.0</v>
      </c>
      <c r="B201" s="455" t="s">
        <v>2834</v>
      </c>
      <c r="C201" s="456"/>
      <c r="D201" s="456"/>
      <c r="E201" s="468">
        <v>2.4</v>
      </c>
      <c r="F201" s="468">
        <v>0.6</v>
      </c>
      <c r="G201" s="468">
        <v>3.5</v>
      </c>
      <c r="H201" s="468">
        <v>5.5</v>
      </c>
      <c r="I201" s="468">
        <v>1.2</v>
      </c>
      <c r="J201" s="468">
        <v>0.2</v>
      </c>
      <c r="K201" s="468">
        <v>2.3</v>
      </c>
      <c r="L201" s="468">
        <v>13.7</v>
      </c>
      <c r="M201" s="468">
        <v>39.4</v>
      </c>
      <c r="N201" s="472">
        <v>-12.1</v>
      </c>
      <c r="O201" t="str">
        <f>IFERROR(__xludf.DUMMYFUNCTION("regexextract(B201,""[\w]* [\w]*"")"),"Victor OladipoO")</f>
        <v>Victor OladipoO</v>
      </c>
      <c r="P201" t="str">
        <f t="shared" si="2"/>
        <v>Victor OladipoO</v>
      </c>
      <c r="Q201" t="str">
        <f t="shared" si="3"/>
        <v>Victor Oladipo</v>
      </c>
      <c r="R201" t="s">
        <v>2640</v>
      </c>
      <c r="S201" s="417" t="s">
        <v>88</v>
      </c>
      <c r="T201" t="s">
        <v>2640</v>
      </c>
      <c r="U201" t="s">
        <v>2640</v>
      </c>
      <c r="V201" t="s">
        <v>97</v>
      </c>
      <c r="W201" t="str">
        <f t="shared" si="1"/>
        <v>SGC</v>
      </c>
    </row>
    <row r="202">
      <c r="A202" s="457">
        <v>194.0</v>
      </c>
      <c r="B202" s="458" t="s">
        <v>2835</v>
      </c>
      <c r="C202" s="459"/>
      <c r="D202" s="459"/>
      <c r="E202" s="469">
        <v>3.3</v>
      </c>
      <c r="F202" s="469">
        <v>1.7</v>
      </c>
      <c r="G202" s="469">
        <v>7.5</v>
      </c>
      <c r="H202" s="469">
        <v>1.8</v>
      </c>
      <c r="I202" s="469">
        <v>0.6</v>
      </c>
      <c r="J202" s="469">
        <v>0.5</v>
      </c>
      <c r="K202" s="469">
        <v>2.3</v>
      </c>
      <c r="L202" s="469">
        <v>14.9</v>
      </c>
      <c r="M202" s="469">
        <v>5.8</v>
      </c>
      <c r="N202" s="470">
        <f t="shared" ref="N202:N203" si="8">+1.4</f>
        <v>1.4</v>
      </c>
      <c r="O202" t="str">
        <f>IFERROR(__xludf.DUMMYFUNCTION("regexextract(B202,""[\w]* [\w]*"")"),"Davis Bertans")</f>
        <v>Davis Bertans</v>
      </c>
      <c r="P202" t="str">
        <f t="shared" si="2"/>
        <v>Davis Bertans</v>
      </c>
      <c r="Q202" t="str">
        <f t="shared" si="3"/>
        <v>Davis Bertans</v>
      </c>
      <c r="R202" t="s">
        <v>2640</v>
      </c>
      <c r="S202" s="417" t="s">
        <v>2640</v>
      </c>
      <c r="T202" t="s">
        <v>2640</v>
      </c>
      <c r="U202" t="s">
        <v>92</v>
      </c>
      <c r="V202" t="s">
        <v>2640</v>
      </c>
      <c r="W202" t="str">
        <f t="shared" si="1"/>
        <v>PF</v>
      </c>
    </row>
    <row r="203">
      <c r="A203" s="454">
        <v>195.0</v>
      </c>
      <c r="B203" s="455" t="s">
        <v>2836</v>
      </c>
      <c r="C203" s="456"/>
      <c r="D203" s="456"/>
      <c r="E203" s="468">
        <v>1.9</v>
      </c>
      <c r="F203" s="468">
        <v>1.8</v>
      </c>
      <c r="G203" s="468">
        <v>6.0</v>
      </c>
      <c r="H203" s="468">
        <v>2.3</v>
      </c>
      <c r="I203" s="468">
        <v>1.0</v>
      </c>
      <c r="J203" s="468">
        <v>0.4</v>
      </c>
      <c r="K203" s="468">
        <v>1.1</v>
      </c>
      <c r="L203" s="468">
        <v>13.0</v>
      </c>
      <c r="M203" s="468">
        <v>2.9</v>
      </c>
      <c r="N203" s="471">
        <f t="shared" si="8"/>
        <v>1.4</v>
      </c>
      <c r="O203" t="str">
        <f>IFERROR(__xludf.DUMMYFUNCTION("regexextract(B203,""[\w]* [\w]*"")"),"Kevin Love")</f>
        <v>Kevin Love</v>
      </c>
      <c r="P203" t="str">
        <f t="shared" si="2"/>
        <v>Kevin Love</v>
      </c>
      <c r="Q203" t="str">
        <f t="shared" si="3"/>
        <v>Kevin Love</v>
      </c>
      <c r="R203" t="s">
        <v>2640</v>
      </c>
      <c r="S203" s="417" t="s">
        <v>2640</v>
      </c>
      <c r="T203" t="s">
        <v>2640</v>
      </c>
      <c r="U203" t="s">
        <v>92</v>
      </c>
      <c r="V203" t="s">
        <v>97</v>
      </c>
      <c r="W203" t="str">
        <f t="shared" si="1"/>
        <v>PFC</v>
      </c>
    </row>
    <row r="204">
      <c r="A204" s="457">
        <v>196.0</v>
      </c>
      <c r="B204" s="458" t="s">
        <v>2837</v>
      </c>
      <c r="C204" s="459"/>
      <c r="D204" s="459"/>
      <c r="E204" s="469">
        <v>1.9</v>
      </c>
      <c r="F204" s="469">
        <v>1.0</v>
      </c>
      <c r="G204" s="469">
        <v>7.5</v>
      </c>
      <c r="H204" s="469">
        <v>1.6</v>
      </c>
      <c r="I204" s="469">
        <v>0.3</v>
      </c>
      <c r="J204" s="469">
        <v>1.1</v>
      </c>
      <c r="K204" s="469">
        <v>1.4</v>
      </c>
      <c r="L204" s="469">
        <v>13.4</v>
      </c>
      <c r="M204" s="469">
        <v>7.3</v>
      </c>
      <c r="N204" s="470">
        <f>+0.2</f>
        <v>0.2</v>
      </c>
      <c r="O204" t="str">
        <f>IFERROR(__xludf.DUMMYFUNCTION("regexextract(B204,""[\w]* [\w]*"")"),"Jeremy Lamb")</f>
        <v>Jeremy Lamb</v>
      </c>
      <c r="P204" t="str">
        <f t="shared" si="2"/>
        <v>Jeremy Lamb</v>
      </c>
      <c r="Q204" t="str">
        <f t="shared" si="3"/>
        <v>Jeremy Lamb</v>
      </c>
      <c r="R204" t="s">
        <v>2640</v>
      </c>
      <c r="S204" s="417" t="s">
        <v>88</v>
      </c>
      <c r="T204" t="s">
        <v>90</v>
      </c>
      <c r="U204" t="s">
        <v>2640</v>
      </c>
      <c r="V204" t="s">
        <v>2640</v>
      </c>
      <c r="W204" t="str">
        <f t="shared" si="1"/>
        <v>SGSF</v>
      </c>
    </row>
    <row r="205">
      <c r="A205" s="454">
        <v>197.0</v>
      </c>
      <c r="B205" s="455" t="s">
        <v>2838</v>
      </c>
      <c r="C205" s="456"/>
      <c r="D205" s="456"/>
      <c r="E205" s="468">
        <v>0.8</v>
      </c>
      <c r="F205" s="468">
        <v>1.5</v>
      </c>
      <c r="G205" s="468">
        <v>5.5</v>
      </c>
      <c r="H205" s="468">
        <v>2.9</v>
      </c>
      <c r="I205" s="468">
        <v>0.7</v>
      </c>
      <c r="J205" s="468">
        <v>0.8</v>
      </c>
      <c r="K205" s="468">
        <v>0.9</v>
      </c>
      <c r="L205" s="468">
        <v>11.3</v>
      </c>
      <c r="M205" s="468">
        <v>57.1</v>
      </c>
      <c r="N205" s="472">
        <v>-14.7</v>
      </c>
      <c r="O205" t="str">
        <f>IFERROR(__xludf.DUMMYFUNCTION("regexextract(B205,""[\w]* [\w]*"")"),"Bruce Brown")</f>
        <v>Bruce Brown</v>
      </c>
      <c r="P205" t="str">
        <f t="shared" si="2"/>
        <v>Bruce Brown</v>
      </c>
      <c r="Q205" t="str">
        <f t="shared" si="3"/>
        <v>Bruce Brown</v>
      </c>
      <c r="R205" t="s">
        <v>2640</v>
      </c>
      <c r="S205" s="417" t="s">
        <v>88</v>
      </c>
      <c r="T205" t="s">
        <v>2640</v>
      </c>
      <c r="U205" t="s">
        <v>2640</v>
      </c>
      <c r="V205" t="s">
        <v>97</v>
      </c>
      <c r="W205" t="str">
        <f t="shared" si="1"/>
        <v>SGC</v>
      </c>
    </row>
    <row r="206">
      <c r="A206" s="457">
        <v>198.0</v>
      </c>
      <c r="B206" s="458" t="s">
        <v>2839</v>
      </c>
      <c r="C206" s="459"/>
      <c r="D206" s="459"/>
      <c r="E206" s="469">
        <v>3.1</v>
      </c>
      <c r="F206" s="469">
        <v>1.5</v>
      </c>
      <c r="G206" s="469">
        <v>5.1</v>
      </c>
      <c r="H206" s="469">
        <v>1.2</v>
      </c>
      <c r="I206" s="469">
        <v>1.0</v>
      </c>
      <c r="J206" s="469">
        <v>0.7</v>
      </c>
      <c r="K206" s="469">
        <v>1.2</v>
      </c>
      <c r="L206" s="469">
        <v>14.1</v>
      </c>
      <c r="M206" s="469">
        <v>46.8</v>
      </c>
      <c r="N206" s="473">
        <v>-7.8</v>
      </c>
      <c r="O206" t="str">
        <f>IFERROR(__xludf.DUMMYFUNCTION("regexextract(B206,""[\w]* [\w]*"")"),"Derrick Favors")</f>
        <v>Derrick Favors</v>
      </c>
      <c r="P206" t="str">
        <f t="shared" si="2"/>
        <v>Derrick Favors</v>
      </c>
      <c r="Q206" t="str">
        <f t="shared" si="3"/>
        <v>Derrick Favors</v>
      </c>
      <c r="R206" t="s">
        <v>2640</v>
      </c>
      <c r="S206" s="417" t="s">
        <v>2640</v>
      </c>
      <c r="T206" t="s">
        <v>2640</v>
      </c>
      <c r="U206" t="s">
        <v>92</v>
      </c>
      <c r="V206" t="s">
        <v>97</v>
      </c>
      <c r="W206" t="str">
        <f t="shared" si="1"/>
        <v>PFC</v>
      </c>
    </row>
    <row r="207">
      <c r="A207" s="454">
        <v>199.0</v>
      </c>
      <c r="B207" s="455" t="s">
        <v>2840</v>
      </c>
      <c r="C207" s="456"/>
      <c r="D207" s="456"/>
      <c r="E207" s="468">
        <v>3.0</v>
      </c>
      <c r="F207" s="468">
        <v>2.0</v>
      </c>
      <c r="G207" s="468">
        <v>3.2</v>
      </c>
      <c r="H207" s="468">
        <v>2.3</v>
      </c>
      <c r="I207" s="468">
        <v>1.1</v>
      </c>
      <c r="J207" s="468">
        <v>0.4</v>
      </c>
      <c r="K207" s="468">
        <v>1.8</v>
      </c>
      <c r="L207" s="468">
        <v>17.4</v>
      </c>
      <c r="M207" s="468">
        <v>44.4</v>
      </c>
      <c r="N207" s="472">
        <v>-7.4</v>
      </c>
      <c r="O207" t="str">
        <f>IFERROR(__xludf.DUMMYFUNCTION("regexextract(B207,""[\w]* [\w]*"")"),"Ish Smith")</f>
        <v>Ish Smith</v>
      </c>
      <c r="P207" t="str">
        <f t="shared" si="2"/>
        <v>Ish Smith</v>
      </c>
      <c r="Q207" t="str">
        <f t="shared" si="3"/>
        <v>Ish Smith</v>
      </c>
      <c r="R207" t="s">
        <v>85</v>
      </c>
      <c r="S207" s="417" t="s">
        <v>2640</v>
      </c>
      <c r="T207" t="s">
        <v>2640</v>
      </c>
      <c r="U207" t="s">
        <v>2640</v>
      </c>
      <c r="V207" t="s">
        <v>97</v>
      </c>
      <c r="W207" t="str">
        <f t="shared" si="1"/>
        <v>PGC</v>
      </c>
    </row>
    <row r="208">
      <c r="A208" s="457">
        <v>200.0</v>
      </c>
      <c r="B208" s="458" t="s">
        <v>2841</v>
      </c>
      <c r="C208" s="459"/>
      <c r="D208" s="459"/>
      <c r="E208" s="469">
        <v>3.0</v>
      </c>
      <c r="F208" s="469">
        <v>0.8</v>
      </c>
      <c r="G208" s="469">
        <v>6.1</v>
      </c>
      <c r="H208" s="469">
        <v>1.6</v>
      </c>
      <c r="I208" s="469">
        <v>0.9</v>
      </c>
      <c r="J208" s="469">
        <v>0.1</v>
      </c>
      <c r="K208" s="469">
        <v>1.2</v>
      </c>
      <c r="L208" s="469">
        <v>14.9</v>
      </c>
      <c r="M208" s="469">
        <v>10.2</v>
      </c>
      <c r="N208" s="470">
        <f>+1</f>
        <v>1</v>
      </c>
      <c r="O208" t="str">
        <f>IFERROR(__xludf.DUMMYFUNCTION("regexextract(B208,""[\w]* [\w]*"")"),"Cedi Osman")</f>
        <v>Cedi Osman</v>
      </c>
      <c r="P208" t="str">
        <f t="shared" si="2"/>
        <v>Cedi Osman</v>
      </c>
      <c r="Q208" t="str">
        <f t="shared" si="3"/>
        <v>Cedi Osman</v>
      </c>
      <c r="R208" t="s">
        <v>2640</v>
      </c>
      <c r="S208" s="417" t="s">
        <v>2640</v>
      </c>
      <c r="T208" t="s">
        <v>90</v>
      </c>
      <c r="U208" t="s">
        <v>2640</v>
      </c>
      <c r="V208" t="s">
        <v>97</v>
      </c>
      <c r="W208" t="str">
        <f t="shared" si="1"/>
        <v>SFC</v>
      </c>
    </row>
    <row r="209">
      <c r="A209" s="446" t="s">
        <v>2634</v>
      </c>
      <c r="C209" s="446" t="s">
        <v>2635</v>
      </c>
      <c r="E209" s="464"/>
      <c r="F209" s="464"/>
      <c r="G209" s="464"/>
      <c r="H209" s="464"/>
      <c r="I209" s="464"/>
      <c r="J209" s="464"/>
      <c r="K209" s="464"/>
      <c r="L209" s="464"/>
      <c r="M209" s="464" t="s">
        <v>2740</v>
      </c>
      <c r="N209" s="464"/>
      <c r="O209" t="str">
        <f>IFERROR(__xludf.DUMMYFUNCTION("regexextract(B209,""[\w]* [\w]*"")"),"#N/A")</f>
        <v>#N/A</v>
      </c>
      <c r="P209" t="str">
        <f t="shared" si="2"/>
        <v>#N/A</v>
      </c>
      <c r="Q209" t="str">
        <f t="shared" si="3"/>
        <v>#N/A</v>
      </c>
      <c r="R209" t="s">
        <v>2640</v>
      </c>
      <c r="S209" s="417" t="s">
        <v>2640</v>
      </c>
      <c r="T209" t="s">
        <v>2640</v>
      </c>
      <c r="U209" t="s">
        <v>2640</v>
      </c>
      <c r="V209" t="s">
        <v>2640</v>
      </c>
      <c r="W209" t="str">
        <f t="shared" si="1"/>
        <v/>
      </c>
    </row>
    <row r="210">
      <c r="A210" s="449" t="s">
        <v>2636</v>
      </c>
      <c r="B210" s="450" t="s">
        <v>262</v>
      </c>
      <c r="C210" s="449" t="s">
        <v>2637</v>
      </c>
      <c r="D210" s="451" t="s">
        <v>2638</v>
      </c>
      <c r="E210" s="465" t="s">
        <v>20</v>
      </c>
      <c r="F210" s="466">
        <v>0.625</v>
      </c>
      <c r="G210" s="465" t="s">
        <v>101</v>
      </c>
      <c r="H210" s="465" t="s">
        <v>15</v>
      </c>
      <c r="I210" s="465" t="s">
        <v>16</v>
      </c>
      <c r="J210" s="465" t="s">
        <v>17</v>
      </c>
      <c r="K210" s="465" t="s">
        <v>18</v>
      </c>
      <c r="L210" s="465" t="s">
        <v>13</v>
      </c>
      <c r="M210" s="465" t="s">
        <v>2741</v>
      </c>
      <c r="N210" s="467" t="str">
        <f>+/-</f>
        <v>#ERROR!</v>
      </c>
      <c r="O210" t="str">
        <f>IFERROR(__xludf.DUMMYFUNCTION("regexextract(B210,""[\w]* [\w]*"")"),"#N/A")</f>
        <v>#N/A</v>
      </c>
      <c r="P210" t="str">
        <f t="shared" si="2"/>
        <v>#N/A</v>
      </c>
      <c r="Q210" t="str">
        <f t="shared" si="3"/>
        <v>#N/A</v>
      </c>
      <c r="R210" t="s">
        <v>2640</v>
      </c>
      <c r="S210" s="417" t="s">
        <v>2640</v>
      </c>
      <c r="T210" t="s">
        <v>2640</v>
      </c>
      <c r="U210" t="s">
        <v>2640</v>
      </c>
      <c r="V210" t="s">
        <v>2640</v>
      </c>
      <c r="W210" t="str">
        <f t="shared" si="1"/>
        <v/>
      </c>
    </row>
    <row r="211">
      <c r="A211" s="454">
        <v>201.0</v>
      </c>
      <c r="B211" s="455" t="s">
        <v>2842</v>
      </c>
      <c r="C211" s="456"/>
      <c r="D211" s="456"/>
      <c r="E211" s="468">
        <v>1.4</v>
      </c>
      <c r="F211" s="468">
        <v>2.3</v>
      </c>
      <c r="G211" s="468">
        <v>2.5</v>
      </c>
      <c r="H211" s="468">
        <v>2.8</v>
      </c>
      <c r="I211" s="468">
        <v>0.8</v>
      </c>
      <c r="J211" s="468">
        <v>0.2</v>
      </c>
      <c r="K211" s="468">
        <v>1.2</v>
      </c>
      <c r="L211" s="468">
        <v>13.1</v>
      </c>
      <c r="M211" s="468">
        <v>33.4</v>
      </c>
      <c r="N211" s="472">
        <v>-1.1</v>
      </c>
      <c r="O211" t="str">
        <f>IFERROR(__xludf.DUMMYFUNCTION("regexextract(B211,""[\w]* [\w]*"")"),"Cameron Johnson")</f>
        <v>Cameron Johnson</v>
      </c>
      <c r="P211" t="str">
        <f t="shared" si="2"/>
        <v>Cameron Johnson</v>
      </c>
      <c r="Q211" t="str">
        <f t="shared" si="3"/>
        <v>Cameron Johnson</v>
      </c>
      <c r="R211" t="s">
        <v>2640</v>
      </c>
      <c r="S211" s="417" t="s">
        <v>2640</v>
      </c>
      <c r="T211" t="s">
        <v>90</v>
      </c>
      <c r="U211" t="s">
        <v>2640</v>
      </c>
      <c r="V211" t="s">
        <v>97</v>
      </c>
      <c r="W211" t="str">
        <f t="shared" si="1"/>
        <v>SFC</v>
      </c>
    </row>
    <row r="212">
      <c r="A212" s="457">
        <v>202.0</v>
      </c>
      <c r="B212" s="458" t="s">
        <v>2843</v>
      </c>
      <c r="C212" s="459"/>
      <c r="D212" s="459"/>
      <c r="E212" s="469">
        <v>2.3</v>
      </c>
      <c r="F212" s="469">
        <v>2.3</v>
      </c>
      <c r="G212" s="469">
        <v>4.8</v>
      </c>
      <c r="H212" s="469">
        <v>1.2</v>
      </c>
      <c r="I212" s="469">
        <v>0.6</v>
      </c>
      <c r="J212" s="469">
        <v>0.3</v>
      </c>
      <c r="K212" s="469">
        <v>1.2</v>
      </c>
      <c r="L212" s="469">
        <v>14.6</v>
      </c>
      <c r="M212" s="469">
        <v>18.9</v>
      </c>
      <c r="N212" s="473">
        <v>-3.9</v>
      </c>
      <c r="O212" t="str">
        <f>IFERROR(__xludf.DUMMYFUNCTION("regexextract(B212,""[\w]* [\w]*"")"),"Tyus Jones")</f>
        <v>Tyus Jones</v>
      </c>
      <c r="P212" t="str">
        <f t="shared" si="2"/>
        <v>Tyus Jones</v>
      </c>
      <c r="Q212" t="str">
        <f t="shared" si="3"/>
        <v>Tyus Jones</v>
      </c>
      <c r="R212" t="s">
        <v>85</v>
      </c>
      <c r="S212" s="417" t="s">
        <v>2640</v>
      </c>
      <c r="T212" t="s">
        <v>2640</v>
      </c>
      <c r="U212" t="s">
        <v>2640</v>
      </c>
      <c r="V212" t="s">
        <v>2640</v>
      </c>
      <c r="W212" t="str">
        <f t="shared" si="1"/>
        <v>PG</v>
      </c>
    </row>
    <row r="213">
      <c r="A213" s="454">
        <v>203.0</v>
      </c>
      <c r="B213" s="455" t="s">
        <v>2844</v>
      </c>
      <c r="C213" s="456"/>
      <c r="D213" s="456"/>
      <c r="E213" s="468">
        <v>1.6</v>
      </c>
      <c r="F213" s="468">
        <v>2.1</v>
      </c>
      <c r="G213" s="468">
        <v>3.5</v>
      </c>
      <c r="H213" s="468">
        <v>1.5</v>
      </c>
      <c r="I213" s="468">
        <v>0.3</v>
      </c>
      <c r="J213" s="468">
        <v>0.1</v>
      </c>
      <c r="K213" s="468">
        <v>0.9</v>
      </c>
      <c r="L213" s="468">
        <v>14.9</v>
      </c>
      <c r="M213" s="468">
        <v>5.2</v>
      </c>
      <c r="N213" s="468">
        <v>0.0</v>
      </c>
      <c r="O213" t="str">
        <f>IFERROR(__xludf.DUMMYFUNCTION("regexextract(B213,""[\w]* [\w]*"")"),"Gary Trent")</f>
        <v>Gary Trent</v>
      </c>
      <c r="P213" t="str">
        <f t="shared" si="2"/>
        <v>Gary Trent</v>
      </c>
      <c r="Q213" t="str">
        <f t="shared" si="3"/>
        <v>Gary Trent</v>
      </c>
      <c r="R213" t="s">
        <v>2640</v>
      </c>
      <c r="S213" s="417" t="s">
        <v>88</v>
      </c>
      <c r="T213" t="s">
        <v>90</v>
      </c>
      <c r="U213" t="s">
        <v>2640</v>
      </c>
      <c r="V213" t="s">
        <v>2640</v>
      </c>
      <c r="W213" t="str">
        <f t="shared" si="1"/>
        <v>SGSF</v>
      </c>
    </row>
    <row r="214">
      <c r="A214" s="457">
        <v>204.0</v>
      </c>
      <c r="B214" s="458" t="s">
        <v>2845</v>
      </c>
      <c r="C214" s="459"/>
      <c r="D214" s="459"/>
      <c r="E214" s="469">
        <v>1.2</v>
      </c>
      <c r="F214" s="469">
        <v>0.0</v>
      </c>
      <c r="G214" s="469">
        <v>6.1</v>
      </c>
      <c r="H214" s="469">
        <v>0.7</v>
      </c>
      <c r="I214" s="469">
        <v>1.1</v>
      </c>
      <c r="J214" s="469">
        <v>2.1</v>
      </c>
      <c r="K214" s="469">
        <v>1.0</v>
      </c>
      <c r="L214" s="469">
        <v>5.4</v>
      </c>
      <c r="M214" s="469">
        <v>4.0</v>
      </c>
      <c r="N214" s="470">
        <f>+1.6</f>
        <v>1.6</v>
      </c>
      <c r="O214" t="str">
        <f>IFERROR(__xludf.DUMMYFUNCTION("regexextract(B214,""[\w]* [\w]*"")"),"Reggie BullockO")</f>
        <v>Reggie BullockO</v>
      </c>
      <c r="P214" t="str">
        <f t="shared" si="2"/>
        <v>Reggie BullockO</v>
      </c>
      <c r="Q214" t="str">
        <f t="shared" si="3"/>
        <v>Reggie Bullock</v>
      </c>
      <c r="R214" t="s">
        <v>2640</v>
      </c>
      <c r="S214" s="417" t="s">
        <v>88</v>
      </c>
      <c r="T214" t="s">
        <v>90</v>
      </c>
      <c r="U214" t="s">
        <v>2640</v>
      </c>
      <c r="V214" t="s">
        <v>97</v>
      </c>
      <c r="W214" t="str">
        <f t="shared" si="1"/>
        <v>SGSFC</v>
      </c>
    </row>
    <row r="215">
      <c r="A215" s="454">
        <v>205.0</v>
      </c>
      <c r="B215" s="455" t="s">
        <v>2846</v>
      </c>
      <c r="C215" s="456"/>
      <c r="D215" s="456"/>
      <c r="E215" s="468">
        <v>2.2</v>
      </c>
      <c r="F215" s="468">
        <v>0.9</v>
      </c>
      <c r="G215" s="468">
        <v>5.0</v>
      </c>
      <c r="H215" s="468">
        <v>1.8</v>
      </c>
      <c r="I215" s="468">
        <v>0.4</v>
      </c>
      <c r="J215" s="468">
        <v>1.1</v>
      </c>
      <c r="K215" s="468">
        <v>1.1</v>
      </c>
      <c r="L215" s="468">
        <v>13.6</v>
      </c>
      <c r="M215" s="468">
        <v>4.3</v>
      </c>
      <c r="N215" s="471">
        <f>+1.8</f>
        <v>1.8</v>
      </c>
      <c r="O215" t="str">
        <f>IFERROR(__xludf.DUMMYFUNCTION("regexextract(B215,""[\w]* [\w]*"")"),"Willie Cauley")</f>
        <v>Willie Cauley</v>
      </c>
      <c r="P215" t="str">
        <f t="shared" si="2"/>
        <v>Willie Cauley</v>
      </c>
      <c r="Q215" t="str">
        <f t="shared" si="3"/>
        <v>Willie Cauley</v>
      </c>
      <c r="R215" t="s">
        <v>2640</v>
      </c>
      <c r="S215" s="417" t="s">
        <v>2640</v>
      </c>
      <c r="T215" t="s">
        <v>2640</v>
      </c>
      <c r="U215" t="s">
        <v>2640</v>
      </c>
      <c r="V215" t="s">
        <v>97</v>
      </c>
      <c r="W215" t="str">
        <f t="shared" si="1"/>
        <v>C</v>
      </c>
    </row>
    <row r="216">
      <c r="A216" s="457">
        <v>206.0</v>
      </c>
      <c r="B216" s="458" t="s">
        <v>2847</v>
      </c>
      <c r="C216" s="459"/>
      <c r="D216" s="459"/>
      <c r="E216" s="469">
        <v>3.1</v>
      </c>
      <c r="F216" s="469">
        <v>0.0</v>
      </c>
      <c r="G216" s="469">
        <v>9.4</v>
      </c>
      <c r="H216" s="469">
        <v>0.2</v>
      </c>
      <c r="I216" s="469">
        <v>0.8</v>
      </c>
      <c r="J216" s="469">
        <v>1.2</v>
      </c>
      <c r="K216" s="469">
        <v>1.1</v>
      </c>
      <c r="L216" s="469">
        <v>9.1</v>
      </c>
      <c r="M216" s="469">
        <v>3.3</v>
      </c>
      <c r="N216" s="470">
        <f>+1.1</f>
        <v>1.1</v>
      </c>
      <c r="O216" t="str">
        <f>IFERROR(__xludf.DUMMYFUNCTION("regexextract(B216,""[\w]* [\w]*"")"),"Hamidou Diallo")</f>
        <v>Hamidou Diallo</v>
      </c>
      <c r="P216" t="str">
        <f t="shared" si="2"/>
        <v>Hamidou Diallo</v>
      </c>
      <c r="Q216" t="str">
        <f t="shared" si="3"/>
        <v>Hamidou Diall</v>
      </c>
      <c r="R216" t="s">
        <v>2640</v>
      </c>
      <c r="S216" s="417" t="s">
        <v>88</v>
      </c>
      <c r="T216" t="s">
        <v>2640</v>
      </c>
      <c r="U216" t="s">
        <v>2640</v>
      </c>
      <c r="V216" t="s">
        <v>2640</v>
      </c>
      <c r="W216" t="str">
        <f t="shared" si="1"/>
        <v>SG</v>
      </c>
    </row>
    <row r="217">
      <c r="A217" s="454">
        <v>207.0</v>
      </c>
      <c r="B217" s="455" t="s">
        <v>2848</v>
      </c>
      <c r="C217" s="456"/>
      <c r="D217" s="456"/>
      <c r="E217" s="468">
        <v>2.8</v>
      </c>
      <c r="F217" s="468">
        <v>1.3</v>
      </c>
      <c r="G217" s="468">
        <v>4.6</v>
      </c>
      <c r="H217" s="468">
        <v>4.0</v>
      </c>
      <c r="I217" s="468">
        <v>0.6</v>
      </c>
      <c r="J217" s="468">
        <v>0.4</v>
      </c>
      <c r="K217" s="468">
        <v>2.2</v>
      </c>
      <c r="L217" s="468">
        <v>13.3</v>
      </c>
      <c r="M217" s="468">
        <v>15.7</v>
      </c>
      <c r="N217" s="472">
        <v>-2.0</v>
      </c>
      <c r="O217" t="str">
        <f>IFERROR(__xludf.DUMMYFUNCTION("regexextract(B217,""[\w]* [\w]*"")"),"Carmelo AnthonyO")</f>
        <v>Carmelo AnthonyO</v>
      </c>
      <c r="P217" t="str">
        <f t="shared" si="2"/>
        <v>Carmelo AnthonyO</v>
      </c>
      <c r="Q217" t="str">
        <f t="shared" si="3"/>
        <v>Carmelo Anthony</v>
      </c>
      <c r="R217" t="s">
        <v>2640</v>
      </c>
      <c r="S217" s="417" t="s">
        <v>2640</v>
      </c>
      <c r="T217" t="s">
        <v>90</v>
      </c>
      <c r="U217" t="s">
        <v>92</v>
      </c>
      <c r="V217" t="s">
        <v>97</v>
      </c>
      <c r="W217" t="str">
        <f t="shared" si="1"/>
        <v>SFPFC</v>
      </c>
    </row>
    <row r="218">
      <c r="A218" s="457">
        <v>208.0</v>
      </c>
      <c r="B218" s="458" t="s">
        <v>2849</v>
      </c>
      <c r="C218" s="459"/>
      <c r="D218" s="459"/>
      <c r="E218" s="469">
        <v>1.0</v>
      </c>
      <c r="F218" s="469">
        <v>3.6</v>
      </c>
      <c r="G218" s="469">
        <v>3.4</v>
      </c>
      <c r="H218" s="469">
        <v>1.6</v>
      </c>
      <c r="I218" s="469">
        <v>0.6</v>
      </c>
      <c r="J218" s="469">
        <v>0.3</v>
      </c>
      <c r="K218" s="469">
        <v>1.1</v>
      </c>
      <c r="L218" s="469">
        <v>13.2</v>
      </c>
      <c r="M218" s="469">
        <v>13.9</v>
      </c>
      <c r="N218" s="470">
        <f>+0.3</f>
        <v>0.3</v>
      </c>
      <c r="O218" t="str">
        <f>IFERROR(__xludf.DUMMYFUNCTION("regexextract(B218,""[\w]* [\w]*"")"),"Naz Reid")</f>
        <v>Naz Reid</v>
      </c>
      <c r="P218" t="str">
        <f t="shared" si="2"/>
        <v>Naz Reid</v>
      </c>
      <c r="Q218" t="str">
        <f t="shared" si="3"/>
        <v>Naz Reid</v>
      </c>
      <c r="R218" t="s">
        <v>2640</v>
      </c>
      <c r="S218" s="417" t="s">
        <v>2640</v>
      </c>
      <c r="T218" t="s">
        <v>2640</v>
      </c>
      <c r="U218" t="s">
        <v>2640</v>
      </c>
      <c r="V218" t="s">
        <v>97</v>
      </c>
      <c r="W218" t="str">
        <f t="shared" si="1"/>
        <v>C</v>
      </c>
    </row>
    <row r="219">
      <c r="A219" s="454">
        <v>209.0</v>
      </c>
      <c r="B219" s="455" t="s">
        <v>2850</v>
      </c>
      <c r="C219" s="456"/>
      <c r="D219" s="456"/>
      <c r="E219" s="468">
        <v>2.0</v>
      </c>
      <c r="F219" s="468">
        <v>0.0</v>
      </c>
      <c r="G219" s="468">
        <v>9.4</v>
      </c>
      <c r="H219" s="468">
        <v>1.1</v>
      </c>
      <c r="I219" s="468">
        <v>0.4</v>
      </c>
      <c r="J219" s="468">
        <v>0.6</v>
      </c>
      <c r="K219" s="468">
        <v>1.0</v>
      </c>
      <c r="L219" s="468">
        <v>9.7</v>
      </c>
      <c r="M219" s="468">
        <v>12.9</v>
      </c>
      <c r="N219" s="472">
        <v>-1.7</v>
      </c>
      <c r="O219" t="str">
        <f>IFERROR(__xludf.DUMMYFUNCTION("regexextract(B219,""[\w]* [\w]*"")"),"Anthony Melton")</f>
        <v>Anthony Melton</v>
      </c>
      <c r="P219" t="str">
        <f t="shared" si="2"/>
        <v>Anthony Melton</v>
      </c>
      <c r="Q219" t="str">
        <f t="shared" si="3"/>
        <v>Anthony Melton</v>
      </c>
      <c r="R219" t="s">
        <v>85</v>
      </c>
      <c r="S219" s="417" t="s">
        <v>2640</v>
      </c>
      <c r="T219" t="s">
        <v>2640</v>
      </c>
      <c r="U219" t="s">
        <v>2640</v>
      </c>
      <c r="V219" t="s">
        <v>2640</v>
      </c>
      <c r="W219" t="str">
        <f t="shared" si="1"/>
        <v>PG</v>
      </c>
    </row>
    <row r="220">
      <c r="A220" s="457">
        <v>210.0</v>
      </c>
      <c r="B220" s="458" t="s">
        <v>2851</v>
      </c>
      <c r="C220" s="459"/>
      <c r="D220" s="459"/>
      <c r="E220" s="469">
        <v>2.5</v>
      </c>
      <c r="F220" s="469">
        <v>0.7</v>
      </c>
      <c r="G220" s="469">
        <v>3.2</v>
      </c>
      <c r="H220" s="469">
        <v>3.5</v>
      </c>
      <c r="I220" s="469">
        <v>1.2</v>
      </c>
      <c r="J220" s="469">
        <v>0.4</v>
      </c>
      <c r="K220" s="469">
        <v>2.0</v>
      </c>
      <c r="L220" s="469">
        <v>11.2</v>
      </c>
      <c r="M220" s="469">
        <v>4.0</v>
      </c>
      <c r="N220" s="470">
        <f>+1.3</f>
        <v>1.3</v>
      </c>
      <c r="O220" t="str">
        <f>IFERROR(__xludf.DUMMYFUNCTION("regexextract(B220,""[\w]* [\w]*"")"),"Nicolas Claxton")</f>
        <v>Nicolas Claxton</v>
      </c>
      <c r="P220" t="str">
        <f t="shared" si="2"/>
        <v>Nicolas Claxton</v>
      </c>
      <c r="Q220" t="str">
        <f t="shared" si="3"/>
        <v>Nicolas Claxton</v>
      </c>
      <c r="R220" t="s">
        <v>2640</v>
      </c>
      <c r="S220" s="417" t="s">
        <v>2640</v>
      </c>
      <c r="T220" t="s">
        <v>2640</v>
      </c>
      <c r="U220" t="s">
        <v>92</v>
      </c>
      <c r="V220" t="s">
        <v>97</v>
      </c>
      <c r="W220" t="str">
        <f t="shared" si="1"/>
        <v>PFC</v>
      </c>
    </row>
    <row r="221">
      <c r="A221" s="454">
        <v>211.0</v>
      </c>
      <c r="B221" s="455" t="s">
        <v>2852</v>
      </c>
      <c r="C221" s="456"/>
      <c r="D221" s="456"/>
      <c r="E221" s="468">
        <v>2.0</v>
      </c>
      <c r="F221" s="468">
        <v>1.1</v>
      </c>
      <c r="G221" s="468">
        <v>3.1</v>
      </c>
      <c r="H221" s="468">
        <v>3.3</v>
      </c>
      <c r="I221" s="468">
        <v>0.5</v>
      </c>
      <c r="J221" s="468">
        <v>0.0</v>
      </c>
      <c r="K221" s="468">
        <v>1.1</v>
      </c>
      <c r="L221" s="468">
        <v>11.5</v>
      </c>
      <c r="M221" s="468">
        <v>2.6</v>
      </c>
      <c r="N221" s="471">
        <f>+0.3</f>
        <v>0.3</v>
      </c>
      <c r="O221" t="str">
        <f>IFERROR(__xludf.DUMMYFUNCTION("regexextract(B221,""[\w]* [\w]*"")"),"Andre Hunter")</f>
        <v>Andre Hunter</v>
      </c>
      <c r="P221" t="str">
        <f t="shared" si="2"/>
        <v>Andre Hunter</v>
      </c>
      <c r="Q221" t="str">
        <f t="shared" si="3"/>
        <v>Andre Hunter</v>
      </c>
      <c r="R221" t="s">
        <v>2640</v>
      </c>
      <c r="S221" s="417" t="s">
        <v>2640</v>
      </c>
      <c r="T221" t="s">
        <v>90</v>
      </c>
      <c r="U221" t="s">
        <v>92</v>
      </c>
      <c r="V221" t="s">
        <v>2640</v>
      </c>
      <c r="W221" t="str">
        <f t="shared" si="1"/>
        <v>SFPF</v>
      </c>
    </row>
    <row r="222">
      <c r="A222" s="457">
        <v>212.0</v>
      </c>
      <c r="B222" s="458" t="s">
        <v>2853</v>
      </c>
      <c r="C222" s="459"/>
      <c r="D222" s="459"/>
      <c r="E222" s="469">
        <v>1.7</v>
      </c>
      <c r="F222" s="469">
        <v>2.2</v>
      </c>
      <c r="G222" s="469">
        <v>4.9</v>
      </c>
      <c r="H222" s="469">
        <v>2.1</v>
      </c>
      <c r="I222" s="469">
        <v>0.9</v>
      </c>
      <c r="J222" s="469">
        <v>0.4</v>
      </c>
      <c r="K222" s="469">
        <v>1.0</v>
      </c>
      <c r="L222" s="469">
        <v>10.2</v>
      </c>
      <c r="M222" s="469">
        <v>6.1</v>
      </c>
      <c r="N222" s="470">
        <f>+1.2</f>
        <v>1.2</v>
      </c>
      <c r="O222" t="str">
        <f>IFERROR(__xludf.DUMMYFUNCTION("regexextract(B222,""[\w]* [\w]*"")"),"Josh Jackson")</f>
        <v>Josh Jackson</v>
      </c>
      <c r="P222" t="str">
        <f t="shared" si="2"/>
        <v>Josh Jackson</v>
      </c>
      <c r="Q222" t="str">
        <f t="shared" si="3"/>
        <v>Josh Jackson</v>
      </c>
      <c r="R222" t="s">
        <v>2640</v>
      </c>
      <c r="S222" s="417" t="s">
        <v>88</v>
      </c>
      <c r="T222" t="s">
        <v>90</v>
      </c>
      <c r="U222" t="s">
        <v>2640</v>
      </c>
      <c r="V222" t="s">
        <v>97</v>
      </c>
      <c r="W222" t="str">
        <f t="shared" si="1"/>
        <v>SGSFC</v>
      </c>
    </row>
    <row r="223">
      <c r="A223" s="454">
        <v>213.0</v>
      </c>
      <c r="B223" s="455" t="s">
        <v>2854</v>
      </c>
      <c r="C223" s="456"/>
      <c r="D223" s="456"/>
      <c r="E223" s="468">
        <v>0.6</v>
      </c>
      <c r="F223" s="468">
        <v>2.4</v>
      </c>
      <c r="G223" s="468">
        <v>3.7</v>
      </c>
      <c r="H223" s="468">
        <v>1.6</v>
      </c>
      <c r="I223" s="468">
        <v>1.2</v>
      </c>
      <c r="J223" s="468">
        <v>0.7</v>
      </c>
      <c r="K223" s="468">
        <v>0.9</v>
      </c>
      <c r="L223" s="468">
        <v>9.3</v>
      </c>
      <c r="M223" s="468">
        <v>15.5</v>
      </c>
      <c r="N223" s="472">
        <v>-3.3</v>
      </c>
      <c r="O223" t="str">
        <f>IFERROR(__xludf.DUMMYFUNCTION("regexextract(B223,""[\w]* [\w]*"")"),"Marc Gasol")</f>
        <v>Marc Gasol</v>
      </c>
      <c r="P223" t="str">
        <f t="shared" si="2"/>
        <v>Marc Gasol</v>
      </c>
      <c r="Q223" t="str">
        <f t="shared" si="3"/>
        <v>Marc Gasol</v>
      </c>
      <c r="R223" t="s">
        <v>2640</v>
      </c>
      <c r="S223" s="417" t="s">
        <v>2640</v>
      </c>
      <c r="T223" t="s">
        <v>2640</v>
      </c>
      <c r="U223" t="s">
        <v>2640</v>
      </c>
      <c r="V223" t="s">
        <v>97</v>
      </c>
      <c r="W223" t="str">
        <f t="shared" si="1"/>
        <v>C</v>
      </c>
    </row>
    <row r="224">
      <c r="A224" s="457">
        <v>214.0</v>
      </c>
      <c r="B224" s="458" t="s">
        <v>2855</v>
      </c>
      <c r="C224" s="459"/>
      <c r="D224" s="459"/>
      <c r="E224" s="469">
        <v>2.7</v>
      </c>
      <c r="F224" s="469">
        <v>1.9</v>
      </c>
      <c r="G224" s="469">
        <v>3.2</v>
      </c>
      <c r="H224" s="469">
        <v>2.0</v>
      </c>
      <c r="I224" s="469">
        <v>1.0</v>
      </c>
      <c r="J224" s="469">
        <v>0.4</v>
      </c>
      <c r="K224" s="469">
        <v>1.4</v>
      </c>
      <c r="L224" s="469">
        <v>14.4</v>
      </c>
      <c r="M224" s="469">
        <v>3.1</v>
      </c>
      <c r="N224" s="470">
        <f>+0.5</f>
        <v>0.5</v>
      </c>
      <c r="O224" t="str">
        <f>IFERROR(__xludf.DUMMYFUNCTION("regexextract(B224,""[\w]* [\w]*"")"),"Bryn Forbes")</f>
        <v>Bryn Forbes</v>
      </c>
      <c r="P224" t="str">
        <f t="shared" si="2"/>
        <v>Bryn Forbes</v>
      </c>
      <c r="Q224" t="str">
        <f t="shared" si="3"/>
        <v>Bryn Forbes</v>
      </c>
      <c r="R224" t="s">
        <v>85</v>
      </c>
      <c r="S224" s="417" t="s">
        <v>88</v>
      </c>
      <c r="T224" t="s">
        <v>2640</v>
      </c>
      <c r="U224" t="s">
        <v>2640</v>
      </c>
      <c r="V224" t="s">
        <v>2640</v>
      </c>
      <c r="W224" t="str">
        <f t="shared" si="1"/>
        <v>PGSG</v>
      </c>
    </row>
    <row r="225">
      <c r="A225" s="454">
        <v>215.0</v>
      </c>
      <c r="B225" s="455" t="s">
        <v>2856</v>
      </c>
      <c r="C225" s="456"/>
      <c r="D225" s="456"/>
      <c r="E225" s="468">
        <v>2.3</v>
      </c>
      <c r="F225" s="468">
        <v>0.4</v>
      </c>
      <c r="G225" s="468">
        <v>7.0</v>
      </c>
      <c r="H225" s="468">
        <v>0.9</v>
      </c>
      <c r="I225" s="468">
        <v>0.4</v>
      </c>
      <c r="J225" s="468">
        <v>1.2</v>
      </c>
      <c r="K225" s="468">
        <v>1.8</v>
      </c>
      <c r="L225" s="468">
        <v>12.6</v>
      </c>
      <c r="M225" s="468">
        <v>15.8</v>
      </c>
      <c r="N225" s="472">
        <v>-1.1</v>
      </c>
      <c r="O225" t="str">
        <f>IFERROR(__xludf.DUMMYFUNCTION("regexextract(B225,""[\w]* [\w]*"")"),"Lou Williams")</f>
        <v>Lou Williams</v>
      </c>
      <c r="P225" t="str">
        <f t="shared" si="2"/>
        <v>Lou Williams</v>
      </c>
      <c r="Q225" t="str">
        <f t="shared" si="3"/>
        <v>Lou Williams</v>
      </c>
      <c r="R225" t="s">
        <v>2640</v>
      </c>
      <c r="S225" s="417" t="s">
        <v>88</v>
      </c>
      <c r="T225" t="s">
        <v>2640</v>
      </c>
      <c r="U225" t="s">
        <v>2640</v>
      </c>
      <c r="V225" t="s">
        <v>2640</v>
      </c>
      <c r="W225" t="str">
        <f t="shared" si="1"/>
        <v>SG</v>
      </c>
    </row>
    <row r="226">
      <c r="A226" s="457">
        <v>216.0</v>
      </c>
      <c r="B226" s="458" t="s">
        <v>2857</v>
      </c>
      <c r="C226" s="459"/>
      <c r="D226" s="459"/>
      <c r="E226" s="469">
        <v>2.4</v>
      </c>
      <c r="F226" s="469">
        <v>0.0</v>
      </c>
      <c r="G226" s="469">
        <v>4.9</v>
      </c>
      <c r="H226" s="469">
        <v>0.7</v>
      </c>
      <c r="I226" s="469">
        <v>0.6</v>
      </c>
      <c r="J226" s="469">
        <v>1.8</v>
      </c>
      <c r="K226" s="469">
        <v>0.9</v>
      </c>
      <c r="L226" s="469">
        <v>8.4</v>
      </c>
      <c r="M226" s="469">
        <v>4.6</v>
      </c>
      <c r="N226" s="470">
        <f>+0.6</f>
        <v>0.6</v>
      </c>
      <c r="O226" t="str">
        <f>IFERROR(__xludf.DUMMYFUNCTION("regexextract(B226,""[\w]* [\w]*"")"),"Josh Richardson")</f>
        <v>Josh Richardson</v>
      </c>
      <c r="P226" t="str">
        <f t="shared" si="2"/>
        <v>Josh Richardson</v>
      </c>
      <c r="Q226" t="str">
        <f t="shared" si="3"/>
        <v>Josh Richardson</v>
      </c>
      <c r="R226" t="s">
        <v>2640</v>
      </c>
      <c r="S226" s="417" t="s">
        <v>88</v>
      </c>
      <c r="T226" t="s">
        <v>90</v>
      </c>
      <c r="U226" t="s">
        <v>2640</v>
      </c>
      <c r="V226" t="s">
        <v>97</v>
      </c>
      <c r="W226" t="str">
        <f t="shared" si="1"/>
        <v>SGSFC</v>
      </c>
    </row>
    <row r="227">
      <c r="A227" s="454">
        <v>217.0</v>
      </c>
      <c r="B227" s="455" t="s">
        <v>2858</v>
      </c>
      <c r="C227" s="456"/>
      <c r="D227" s="456"/>
      <c r="E227" s="468">
        <v>3.0</v>
      </c>
      <c r="F227" s="468">
        <v>2.2</v>
      </c>
      <c r="G227" s="468">
        <v>3.2</v>
      </c>
      <c r="H227" s="468">
        <v>4.3</v>
      </c>
      <c r="I227" s="468">
        <v>0.6</v>
      </c>
      <c r="J227" s="468">
        <v>0.1</v>
      </c>
      <c r="K227" s="468">
        <v>2.3</v>
      </c>
      <c r="L227" s="468">
        <v>14.7</v>
      </c>
      <c r="M227" s="468">
        <v>11.6</v>
      </c>
      <c r="N227" s="472">
        <v>-2.1</v>
      </c>
      <c r="O227" t="str">
        <f>IFERROR(__xludf.DUMMYFUNCTION("regexextract(B227,""[\w]* [\w]*"")"),"Paul Millsap")</f>
        <v>Paul Millsap</v>
      </c>
      <c r="P227" t="str">
        <f t="shared" si="2"/>
        <v>Paul Millsap</v>
      </c>
      <c r="Q227" t="str">
        <f t="shared" si="3"/>
        <v>Paul Millsap</v>
      </c>
      <c r="R227" t="s">
        <v>2640</v>
      </c>
      <c r="S227" s="417" t="s">
        <v>2640</v>
      </c>
      <c r="T227" t="s">
        <v>2640</v>
      </c>
      <c r="U227" t="s">
        <v>92</v>
      </c>
      <c r="V227" t="s">
        <v>2640</v>
      </c>
      <c r="W227" t="str">
        <f t="shared" si="1"/>
        <v>PF</v>
      </c>
    </row>
    <row r="228">
      <c r="A228" s="457">
        <v>218.0</v>
      </c>
      <c r="B228" s="458" t="s">
        <v>2859</v>
      </c>
      <c r="C228" s="459"/>
      <c r="D228" s="459"/>
      <c r="E228" s="469">
        <v>0.9</v>
      </c>
      <c r="F228" s="469">
        <v>1.9</v>
      </c>
      <c r="G228" s="469">
        <v>3.2</v>
      </c>
      <c r="H228" s="469">
        <v>3.1</v>
      </c>
      <c r="I228" s="469">
        <v>1.0</v>
      </c>
      <c r="J228" s="469">
        <v>0.3</v>
      </c>
      <c r="K228" s="469">
        <v>1.2</v>
      </c>
      <c r="L228" s="469">
        <v>10.6</v>
      </c>
      <c r="M228" s="469">
        <v>41.0</v>
      </c>
      <c r="N228" s="473">
        <v>-12.2</v>
      </c>
      <c r="O228" t="str">
        <f>IFERROR(__xludf.DUMMYFUNCTION("regexextract(B228,""[\w]* [\w]*"")"),"Maxi Kleber")</f>
        <v>Maxi Kleber</v>
      </c>
      <c r="P228" t="str">
        <f t="shared" si="2"/>
        <v>Maxi Kleber</v>
      </c>
      <c r="Q228" t="str">
        <f t="shared" si="3"/>
        <v>Maxi Kleber</v>
      </c>
      <c r="R228" t="s">
        <v>2640</v>
      </c>
      <c r="S228" s="417" t="s">
        <v>2640</v>
      </c>
      <c r="T228" t="s">
        <v>2640</v>
      </c>
      <c r="U228" t="s">
        <v>92</v>
      </c>
      <c r="V228" t="s">
        <v>2640</v>
      </c>
      <c r="W228" t="str">
        <f t="shared" si="1"/>
        <v>PF</v>
      </c>
    </row>
    <row r="229">
      <c r="A229" s="454">
        <v>219.0</v>
      </c>
      <c r="B229" s="455" t="s">
        <v>2860</v>
      </c>
      <c r="C229" s="456"/>
      <c r="D229" s="456"/>
      <c r="E229" s="468">
        <v>2.9</v>
      </c>
      <c r="F229" s="468">
        <v>1.7</v>
      </c>
      <c r="G229" s="468">
        <v>4.3</v>
      </c>
      <c r="H229" s="468">
        <v>2.3</v>
      </c>
      <c r="I229" s="468">
        <v>0.7</v>
      </c>
      <c r="J229" s="468">
        <v>0.3</v>
      </c>
      <c r="K229" s="468">
        <v>1.1</v>
      </c>
      <c r="L229" s="468">
        <v>12.4</v>
      </c>
      <c r="M229" s="468">
        <v>1.2</v>
      </c>
      <c r="N229" s="471">
        <f>+0.5</f>
        <v>0.5</v>
      </c>
      <c r="O229" t="str">
        <f>IFERROR(__xludf.DUMMYFUNCTION("regexextract(B229,""[\w]* [\w]*"")"),"Danilo Gallinari")</f>
        <v>Danilo Gallinari</v>
      </c>
      <c r="P229" t="str">
        <f t="shared" si="2"/>
        <v>Danilo Gallinari</v>
      </c>
      <c r="Q229" t="str">
        <f t="shared" si="3"/>
        <v>Danilo Gallinari</v>
      </c>
      <c r="R229" t="s">
        <v>2640</v>
      </c>
      <c r="S229" s="417" t="s">
        <v>2640</v>
      </c>
      <c r="T229" t="s">
        <v>90</v>
      </c>
      <c r="U229" t="s">
        <v>92</v>
      </c>
      <c r="V229" t="s">
        <v>2640</v>
      </c>
      <c r="W229" t="str">
        <f t="shared" si="1"/>
        <v>SFPF</v>
      </c>
    </row>
    <row r="230">
      <c r="A230" s="457">
        <v>220.0</v>
      </c>
      <c r="B230" s="458" t="s">
        <v>2861</v>
      </c>
      <c r="C230" s="459"/>
      <c r="D230" s="459"/>
      <c r="E230" s="469">
        <v>1.1</v>
      </c>
      <c r="F230" s="469">
        <v>1.8</v>
      </c>
      <c r="G230" s="469">
        <v>5.7</v>
      </c>
      <c r="H230" s="469">
        <v>2.6</v>
      </c>
      <c r="I230" s="469">
        <v>0.5</v>
      </c>
      <c r="J230" s="469">
        <v>1.1</v>
      </c>
      <c r="K230" s="469">
        <v>2.7</v>
      </c>
      <c r="L230" s="469">
        <v>11.7</v>
      </c>
      <c r="M230" s="469">
        <v>3.0</v>
      </c>
      <c r="N230" s="470">
        <f>+0.7</f>
        <v>0.7</v>
      </c>
      <c r="O230" t="str">
        <f>IFERROR(__xludf.DUMMYFUNCTION("regexextract(B230,""[\w]* [\w]*"")"),"Dwight Howard")</f>
        <v>Dwight Howard</v>
      </c>
      <c r="P230" t="str">
        <f t="shared" si="2"/>
        <v>Dwight Howard</v>
      </c>
      <c r="Q230" t="str">
        <f t="shared" si="3"/>
        <v>Dwight Howard</v>
      </c>
      <c r="R230" t="s">
        <v>2640</v>
      </c>
      <c r="S230" s="417" t="s">
        <v>2640</v>
      </c>
      <c r="T230" t="s">
        <v>2640</v>
      </c>
      <c r="U230" t="s">
        <v>2640</v>
      </c>
      <c r="V230" t="s">
        <v>97</v>
      </c>
      <c r="W230" t="str">
        <f t="shared" si="1"/>
        <v>C</v>
      </c>
    </row>
    <row r="231">
      <c r="A231" s="454">
        <v>221.0</v>
      </c>
      <c r="B231" s="455" t="s">
        <v>2862</v>
      </c>
      <c r="C231" s="456"/>
      <c r="D231" s="456"/>
      <c r="E231" s="468">
        <v>3.1</v>
      </c>
      <c r="F231" s="468">
        <v>0.9</v>
      </c>
      <c r="G231" s="468">
        <v>5.9</v>
      </c>
      <c r="H231" s="468">
        <v>0.9</v>
      </c>
      <c r="I231" s="468">
        <v>0.6</v>
      </c>
      <c r="J231" s="468">
        <v>1.2</v>
      </c>
      <c r="K231" s="468">
        <v>1.1</v>
      </c>
      <c r="L231" s="468">
        <v>10.8</v>
      </c>
      <c r="M231" s="468">
        <v>61.5</v>
      </c>
      <c r="N231" s="472">
        <v>-12.0</v>
      </c>
      <c r="O231" t="str">
        <f>IFERROR(__xludf.DUMMYFUNCTION("regexextract(B231,""[\w]* [\w]*"")"),"Kentavious Caldwell")</f>
        <v>Kentavious Caldwell</v>
      </c>
      <c r="P231" t="str">
        <f t="shared" si="2"/>
        <v>Kentavious Caldwell</v>
      </c>
      <c r="Q231" t="str">
        <f t="shared" si="3"/>
        <v>Kentavious Caldwell</v>
      </c>
      <c r="R231" t="s">
        <v>2640</v>
      </c>
      <c r="S231" s="417" t="s">
        <v>88</v>
      </c>
      <c r="T231" t="s">
        <v>90</v>
      </c>
      <c r="U231" t="s">
        <v>2640</v>
      </c>
      <c r="V231" t="s">
        <v>97</v>
      </c>
      <c r="W231" t="str">
        <f t="shared" si="1"/>
        <v>SGSFC</v>
      </c>
    </row>
    <row r="232">
      <c r="A232" s="457">
        <v>222.0</v>
      </c>
      <c r="B232" s="458" t="s">
        <v>2863</v>
      </c>
      <c r="C232" s="459"/>
      <c r="D232" s="459"/>
      <c r="E232" s="469">
        <v>1.0</v>
      </c>
      <c r="F232" s="469">
        <v>1.7</v>
      </c>
      <c r="G232" s="469">
        <v>5.3</v>
      </c>
      <c r="H232" s="469">
        <v>1.6</v>
      </c>
      <c r="I232" s="469">
        <v>0.8</v>
      </c>
      <c r="J232" s="469">
        <v>0.5</v>
      </c>
      <c r="K232" s="469">
        <v>0.9</v>
      </c>
      <c r="L232" s="469">
        <v>9.1</v>
      </c>
      <c r="M232" s="469">
        <v>28.5</v>
      </c>
      <c r="N232" s="473">
        <v>-9.3</v>
      </c>
      <c r="O232" t="str">
        <f>IFERROR(__xludf.DUMMYFUNCTION("regexextract(B232,""[\w]* [\w]*"")"),"Dwight Powell")</f>
        <v>Dwight Powell</v>
      </c>
      <c r="P232" t="str">
        <f t="shared" si="2"/>
        <v>Dwight Powell</v>
      </c>
      <c r="Q232" t="str">
        <f t="shared" si="3"/>
        <v>Dwight Powell</v>
      </c>
      <c r="R232" t="s">
        <v>2640</v>
      </c>
      <c r="S232" s="417" t="s">
        <v>2640</v>
      </c>
      <c r="T232" t="s">
        <v>2640</v>
      </c>
      <c r="U232" t="s">
        <v>2640</v>
      </c>
      <c r="V232" t="s">
        <v>97</v>
      </c>
      <c r="W232" t="str">
        <f t="shared" si="1"/>
        <v>C</v>
      </c>
    </row>
    <row r="233">
      <c r="A233" s="454">
        <v>223.0</v>
      </c>
      <c r="B233" s="455" t="s">
        <v>2864</v>
      </c>
      <c r="C233" s="456"/>
      <c r="D233" s="456"/>
      <c r="E233" s="468">
        <v>0.9</v>
      </c>
      <c r="F233" s="468">
        <v>1.2</v>
      </c>
      <c r="G233" s="468">
        <v>4.3</v>
      </c>
      <c r="H233" s="468">
        <v>2.4</v>
      </c>
      <c r="I233" s="468">
        <v>1.1</v>
      </c>
      <c r="J233" s="468">
        <v>0.5</v>
      </c>
      <c r="K233" s="468">
        <v>0.9</v>
      </c>
      <c r="L233" s="468">
        <v>8.8</v>
      </c>
      <c r="M233" s="468">
        <v>1.1</v>
      </c>
      <c r="N233" s="471">
        <f>+0.5</f>
        <v>0.5</v>
      </c>
      <c r="O233" t="str">
        <f>IFERROR(__xludf.DUMMYFUNCTION("regexextract(B233,""[\w]* [\w]*"")"),"Onyeka OkongwuO")</f>
        <v>Onyeka OkongwuO</v>
      </c>
      <c r="P233" t="str">
        <f t="shared" si="2"/>
        <v>Onyeka OkongwuO</v>
      </c>
      <c r="Q233" t="str">
        <f t="shared" si="3"/>
        <v>Onyeka Okongwu</v>
      </c>
      <c r="R233" t="s">
        <v>2640</v>
      </c>
      <c r="S233" s="417" t="s">
        <v>2640</v>
      </c>
      <c r="T233" t="s">
        <v>2640</v>
      </c>
      <c r="U233" t="s">
        <v>2640</v>
      </c>
      <c r="V233" t="s">
        <v>97</v>
      </c>
      <c r="W233" t="str">
        <f t="shared" si="1"/>
        <v>C</v>
      </c>
    </row>
    <row r="234">
      <c r="A234" s="457">
        <v>224.0</v>
      </c>
      <c r="B234" s="458" t="s">
        <v>2865</v>
      </c>
      <c r="C234" s="459"/>
      <c r="D234" s="459"/>
      <c r="E234" s="469">
        <v>2.1</v>
      </c>
      <c r="F234" s="469">
        <v>0.2</v>
      </c>
      <c r="G234" s="469">
        <v>6.3</v>
      </c>
      <c r="H234" s="469">
        <v>1.4</v>
      </c>
      <c r="I234" s="469">
        <v>0.8</v>
      </c>
      <c r="J234" s="469">
        <v>0.8</v>
      </c>
      <c r="K234" s="469">
        <v>0.7</v>
      </c>
      <c r="L234" s="469">
        <v>7.7</v>
      </c>
      <c r="M234" s="469">
        <v>3.2</v>
      </c>
      <c r="N234" s="469">
        <v>0.0</v>
      </c>
      <c r="O234" t="str">
        <f>IFERROR(__xludf.DUMMYFUNCTION("regexextract(B234,""[\w]* [\w]*"")"),"Justin Holiday")</f>
        <v>Justin Holiday</v>
      </c>
      <c r="P234" t="str">
        <f t="shared" si="2"/>
        <v>Justin Holiday</v>
      </c>
      <c r="Q234" t="str">
        <f t="shared" si="3"/>
        <v>Justin Holiday</v>
      </c>
      <c r="R234" t="s">
        <v>2640</v>
      </c>
      <c r="S234" s="417" t="s">
        <v>88</v>
      </c>
      <c r="T234" t="s">
        <v>90</v>
      </c>
      <c r="U234" t="s">
        <v>2640</v>
      </c>
      <c r="V234" t="s">
        <v>2640</v>
      </c>
      <c r="W234" t="str">
        <f t="shared" si="1"/>
        <v>SGSF</v>
      </c>
    </row>
    <row r="235">
      <c r="A235" s="454">
        <v>225.0</v>
      </c>
      <c r="B235" s="455" t="s">
        <v>2866</v>
      </c>
      <c r="C235" s="456"/>
      <c r="D235" s="456"/>
      <c r="E235" s="468">
        <v>1.8</v>
      </c>
      <c r="F235" s="468">
        <v>1.7</v>
      </c>
      <c r="G235" s="468">
        <v>4.7</v>
      </c>
      <c r="H235" s="468">
        <v>2.3</v>
      </c>
      <c r="I235" s="468">
        <v>0.6</v>
      </c>
      <c r="J235" s="468">
        <v>0.3</v>
      </c>
      <c r="K235" s="468">
        <v>0.9</v>
      </c>
      <c r="L235" s="468">
        <v>10.1</v>
      </c>
      <c r="M235" s="468">
        <v>2.7</v>
      </c>
      <c r="N235" s="471">
        <f>+0.7</f>
        <v>0.7</v>
      </c>
      <c r="O235" t="str">
        <f>IFERROR(__xludf.DUMMYFUNCTION("regexextract(B235,""[\w]* [\w]*"")"),"Taurean PrinceO")</f>
        <v>Taurean PrinceO</v>
      </c>
      <c r="P235" t="str">
        <f t="shared" si="2"/>
        <v>Taurean PrinceO</v>
      </c>
      <c r="Q235" t="str">
        <f t="shared" si="3"/>
        <v>Taurean Prince</v>
      </c>
      <c r="R235" t="s">
        <v>2640</v>
      </c>
      <c r="S235" s="417" t="s">
        <v>2640</v>
      </c>
      <c r="T235" t="s">
        <v>90</v>
      </c>
      <c r="U235" t="s">
        <v>92</v>
      </c>
      <c r="V235" t="s">
        <v>97</v>
      </c>
      <c r="W235" t="str">
        <f t="shared" si="1"/>
        <v>SFPFC</v>
      </c>
    </row>
    <row r="236">
      <c r="A236" s="457">
        <v>226.0</v>
      </c>
      <c r="B236" s="458" t="s">
        <v>2867</v>
      </c>
      <c r="C236" s="459"/>
      <c r="D236" s="459"/>
      <c r="E236" s="469">
        <v>1.4</v>
      </c>
      <c r="F236" s="469">
        <v>0.9</v>
      </c>
      <c r="G236" s="469">
        <v>6.8</v>
      </c>
      <c r="H236" s="469">
        <v>2.6</v>
      </c>
      <c r="I236" s="469">
        <v>1.3</v>
      </c>
      <c r="J236" s="469">
        <v>0.4</v>
      </c>
      <c r="K236" s="469">
        <v>1.3</v>
      </c>
      <c r="L236" s="469">
        <v>8.9</v>
      </c>
      <c r="M236" s="469">
        <v>4.2</v>
      </c>
      <c r="N236" s="470">
        <f>+0.1</f>
        <v>0.1</v>
      </c>
      <c r="O236" t="str">
        <f>IFERROR(__xludf.DUMMYFUNCTION("regexextract(B236,""[\w]* [\w]*"")"),"Patrick BeverleyO")</f>
        <v>Patrick BeverleyO</v>
      </c>
      <c r="P236" t="str">
        <f t="shared" si="2"/>
        <v>Patrick BeverleyO</v>
      </c>
      <c r="Q236" t="str">
        <f t="shared" si="3"/>
        <v>Patrick Beverley</v>
      </c>
      <c r="R236" t="s">
        <v>85</v>
      </c>
      <c r="S236" s="417" t="s">
        <v>2640</v>
      </c>
      <c r="T236" t="s">
        <v>2640</v>
      </c>
      <c r="U236" t="s">
        <v>2640</v>
      </c>
      <c r="V236" t="s">
        <v>97</v>
      </c>
      <c r="W236" t="str">
        <f t="shared" si="1"/>
        <v>PGC</v>
      </c>
    </row>
    <row r="237">
      <c r="A237" s="454">
        <v>227.0</v>
      </c>
      <c r="B237" s="455" t="s">
        <v>2868</v>
      </c>
      <c r="C237" s="456"/>
      <c r="D237" s="456"/>
      <c r="E237" s="468">
        <v>1.9</v>
      </c>
      <c r="F237" s="468">
        <v>0.9</v>
      </c>
      <c r="G237" s="468">
        <v>4.8</v>
      </c>
      <c r="H237" s="468">
        <v>2.4</v>
      </c>
      <c r="I237" s="468">
        <v>1.1</v>
      </c>
      <c r="J237" s="468">
        <v>0.9</v>
      </c>
      <c r="K237" s="468">
        <v>1.8</v>
      </c>
      <c r="L237" s="468">
        <v>8.6</v>
      </c>
      <c r="M237" s="468">
        <v>2.6</v>
      </c>
      <c r="N237" s="472">
        <v>-0.1</v>
      </c>
      <c r="O237" t="str">
        <f>IFERROR(__xludf.DUMMYFUNCTION("regexextract(B237,""[\w]* [\w]*"")"),"Rajon Rondo")</f>
        <v>Rajon Rondo</v>
      </c>
      <c r="P237" t="str">
        <f t="shared" si="2"/>
        <v>Rajon Rondo</v>
      </c>
      <c r="Q237" t="str">
        <f t="shared" si="3"/>
        <v>Rajon Rond</v>
      </c>
      <c r="R237" t="s">
        <v>85</v>
      </c>
      <c r="S237" s="417" t="s">
        <v>2640</v>
      </c>
      <c r="T237" t="s">
        <v>2640</v>
      </c>
      <c r="U237" t="s">
        <v>2640</v>
      </c>
      <c r="V237" t="s">
        <v>2640</v>
      </c>
      <c r="W237" t="str">
        <f t="shared" si="1"/>
        <v>PG</v>
      </c>
    </row>
    <row r="238">
      <c r="A238" s="457">
        <v>228.0</v>
      </c>
      <c r="B238" s="458" t="s">
        <v>2869</v>
      </c>
      <c r="C238" s="459"/>
      <c r="D238" s="459"/>
      <c r="E238" s="469">
        <v>1.8</v>
      </c>
      <c r="F238" s="469">
        <v>2.0</v>
      </c>
      <c r="G238" s="469">
        <v>3.5</v>
      </c>
      <c r="H238" s="469">
        <v>3.7</v>
      </c>
      <c r="I238" s="469">
        <v>0.6</v>
      </c>
      <c r="J238" s="469">
        <v>0.2</v>
      </c>
      <c r="K238" s="469">
        <v>1.8</v>
      </c>
      <c r="L238" s="469">
        <v>13.1</v>
      </c>
      <c r="M238" s="469">
        <v>46.6</v>
      </c>
      <c r="N238" s="473">
        <v>-15.7</v>
      </c>
      <c r="O238" t="str">
        <f>IFERROR(__xludf.DUMMYFUNCTION("regexextract(B238,""[\w]* [\w]*"")"),"Tristan Thompson")</f>
        <v>Tristan Thompson</v>
      </c>
      <c r="P238" t="str">
        <f t="shared" si="2"/>
        <v>Tristan Thompson</v>
      </c>
      <c r="Q238" t="str">
        <f t="shared" si="3"/>
        <v>Tristan Thompson</v>
      </c>
      <c r="R238" t="s">
        <v>2640</v>
      </c>
      <c r="S238" s="417" t="s">
        <v>2640</v>
      </c>
      <c r="T238" t="s">
        <v>2640</v>
      </c>
      <c r="U238" t="s">
        <v>92</v>
      </c>
      <c r="V238" t="s">
        <v>97</v>
      </c>
      <c r="W238" t="str">
        <f t="shared" si="1"/>
        <v>PFC</v>
      </c>
    </row>
    <row r="239">
      <c r="A239" s="454">
        <v>229.0</v>
      </c>
      <c r="B239" s="455" t="s">
        <v>2870</v>
      </c>
      <c r="C239" s="456"/>
      <c r="D239" s="456"/>
      <c r="E239" s="468">
        <v>2.9</v>
      </c>
      <c r="F239" s="468">
        <v>1.6</v>
      </c>
      <c r="G239" s="468">
        <v>5.0</v>
      </c>
      <c r="H239" s="468">
        <v>3.2</v>
      </c>
      <c r="I239" s="468">
        <v>0.7</v>
      </c>
      <c r="J239" s="468">
        <v>0.3</v>
      </c>
      <c r="K239" s="468">
        <v>1.5</v>
      </c>
      <c r="L239" s="468">
        <v>11.8</v>
      </c>
      <c r="M239" s="468">
        <v>18.4</v>
      </c>
      <c r="N239" s="472">
        <v>-1.4</v>
      </c>
      <c r="O239" t="str">
        <f>IFERROR(__xludf.DUMMYFUNCTION("regexextract(B239,""[\w]* [\w]*"")"),"Jeff Green")</f>
        <v>Jeff Green</v>
      </c>
      <c r="P239" t="str">
        <f t="shared" si="2"/>
        <v>Jeff Green</v>
      </c>
      <c r="Q239" t="str">
        <f t="shared" si="3"/>
        <v>Jeff Green</v>
      </c>
      <c r="R239" t="s">
        <v>2640</v>
      </c>
      <c r="S239" s="417" t="s">
        <v>2640</v>
      </c>
      <c r="T239" t="s">
        <v>2640</v>
      </c>
      <c r="U239" t="s">
        <v>92</v>
      </c>
      <c r="V239" t="s">
        <v>2640</v>
      </c>
      <c r="W239" t="str">
        <f t="shared" si="1"/>
        <v>PF</v>
      </c>
    </row>
    <row r="240">
      <c r="A240" s="457">
        <v>230.0</v>
      </c>
      <c r="B240" s="458" t="s">
        <v>2871</v>
      </c>
      <c r="C240" s="459"/>
      <c r="D240" s="459"/>
      <c r="E240" s="469">
        <v>1.8</v>
      </c>
      <c r="F240" s="469">
        <v>1.4</v>
      </c>
      <c r="G240" s="469">
        <v>5.3</v>
      </c>
      <c r="H240" s="469">
        <v>1.7</v>
      </c>
      <c r="I240" s="469">
        <v>0.6</v>
      </c>
      <c r="J240" s="469">
        <v>0.6</v>
      </c>
      <c r="K240" s="469">
        <v>1.2</v>
      </c>
      <c r="L240" s="469">
        <v>11.4</v>
      </c>
      <c r="M240" s="469">
        <v>3.4</v>
      </c>
      <c r="N240" s="469">
        <v>0.0</v>
      </c>
      <c r="O240" t="str">
        <f>IFERROR(__xludf.DUMMYFUNCTION("regexextract(B240,""[\w]* [\w]*"")"),"Cory Joseph")</f>
        <v>Cory Joseph</v>
      </c>
      <c r="P240" t="str">
        <f t="shared" si="2"/>
        <v>Cory Joseph</v>
      </c>
      <c r="Q240" t="str">
        <f t="shared" si="3"/>
        <v>Cory Joseph</v>
      </c>
      <c r="R240" t="s">
        <v>85</v>
      </c>
      <c r="S240" s="417" t="s">
        <v>2640</v>
      </c>
      <c r="T240" t="s">
        <v>2640</v>
      </c>
      <c r="U240" t="s">
        <v>2640</v>
      </c>
      <c r="V240" t="s">
        <v>97</v>
      </c>
      <c r="W240" t="str">
        <f t="shared" si="1"/>
        <v>PGC</v>
      </c>
    </row>
    <row r="241">
      <c r="A241" s="454">
        <v>231.0</v>
      </c>
      <c r="B241" s="455" t="s">
        <v>2872</v>
      </c>
      <c r="C241" s="456"/>
      <c r="D241" s="456"/>
      <c r="E241" s="468">
        <v>1.6</v>
      </c>
      <c r="F241" s="468">
        <v>1.5</v>
      </c>
      <c r="G241" s="468">
        <v>6.5</v>
      </c>
      <c r="H241" s="468">
        <v>1.9</v>
      </c>
      <c r="I241" s="468">
        <v>0.9</v>
      </c>
      <c r="J241" s="468">
        <v>0.3</v>
      </c>
      <c r="K241" s="468">
        <v>1.0</v>
      </c>
      <c r="L241" s="468">
        <v>8.9</v>
      </c>
      <c r="M241" s="468">
        <v>3.2</v>
      </c>
      <c r="N241" s="472">
        <v>-0.1</v>
      </c>
      <c r="O241" t="str">
        <f>IFERROR(__xludf.DUMMYFUNCTION("regexextract(B241,""[\w]* [\w]*"")"),"Patty Mills")</f>
        <v>Patty Mills</v>
      </c>
      <c r="P241" t="str">
        <f t="shared" si="2"/>
        <v>Patty Mills</v>
      </c>
      <c r="Q241" t="str">
        <f t="shared" si="3"/>
        <v>Patty Mills</v>
      </c>
      <c r="R241" t="s">
        <v>85</v>
      </c>
      <c r="S241" s="417" t="s">
        <v>2640</v>
      </c>
      <c r="T241" t="s">
        <v>2640</v>
      </c>
      <c r="U241" t="s">
        <v>2640</v>
      </c>
      <c r="V241" t="s">
        <v>2640</v>
      </c>
      <c r="W241" t="str">
        <f t="shared" si="1"/>
        <v>PG</v>
      </c>
    </row>
    <row r="242">
      <c r="A242" s="457">
        <v>232.0</v>
      </c>
      <c r="B242" s="458" t="s">
        <v>2873</v>
      </c>
      <c r="C242" s="459"/>
      <c r="D242" s="459"/>
      <c r="E242" s="469">
        <v>1.1</v>
      </c>
      <c r="F242" s="469">
        <v>0.9</v>
      </c>
      <c r="G242" s="469">
        <v>4.9</v>
      </c>
      <c r="H242" s="469">
        <v>2.6</v>
      </c>
      <c r="I242" s="469">
        <v>1.0</v>
      </c>
      <c r="J242" s="469">
        <v>0.3</v>
      </c>
      <c r="K242" s="469">
        <v>1.3</v>
      </c>
      <c r="L242" s="469">
        <v>8.9</v>
      </c>
      <c r="M242" s="469">
        <v>0.8</v>
      </c>
      <c r="N242" s="470">
        <f>+0.1</f>
        <v>0.1</v>
      </c>
      <c r="O242" t="str">
        <f>IFERROR(__xludf.DUMMYFUNCTION("regexextract(B242,""[\w]* [\w]*"")"),"Kira Lewis")</f>
        <v>Kira Lewis</v>
      </c>
      <c r="P242" t="str">
        <f t="shared" si="2"/>
        <v>Kira Lewis</v>
      </c>
      <c r="Q242" t="str">
        <f t="shared" si="3"/>
        <v>Kira Lewis</v>
      </c>
      <c r="R242" t="s">
        <v>85</v>
      </c>
      <c r="S242" s="417" t="s">
        <v>2640</v>
      </c>
      <c r="T242" t="s">
        <v>2640</v>
      </c>
      <c r="U242" t="s">
        <v>2640</v>
      </c>
      <c r="V242" t="s">
        <v>2640</v>
      </c>
      <c r="W242" t="str">
        <f t="shared" si="1"/>
        <v>PG</v>
      </c>
    </row>
    <row r="243">
      <c r="A243" s="454">
        <v>233.0</v>
      </c>
      <c r="B243" s="455" t="s">
        <v>2874</v>
      </c>
      <c r="C243" s="456"/>
      <c r="D243" s="456"/>
      <c r="E243" s="468">
        <v>1.2</v>
      </c>
      <c r="F243" s="468">
        <v>2.0</v>
      </c>
      <c r="G243" s="468">
        <v>3.8</v>
      </c>
      <c r="H243" s="468">
        <v>2.0</v>
      </c>
      <c r="I243" s="468">
        <v>0.9</v>
      </c>
      <c r="J243" s="468">
        <v>0.3</v>
      </c>
      <c r="K243" s="468">
        <v>1.4</v>
      </c>
      <c r="L243" s="468">
        <v>11.3</v>
      </c>
      <c r="M243" s="468">
        <v>0.6</v>
      </c>
      <c r="N243" s="471">
        <f>+0.3</f>
        <v>0.3</v>
      </c>
      <c r="O243" t="str">
        <f>IFERROR(__xludf.DUMMYFUNCTION("regexextract(B243,""[\w]* [\w]*"")"),"James Bouknight")</f>
        <v>James Bouknight</v>
      </c>
      <c r="P243" t="str">
        <f t="shared" si="2"/>
        <v>James Bouknight</v>
      </c>
      <c r="Q243" t="str">
        <f t="shared" si="3"/>
        <v>James Bouknight</v>
      </c>
      <c r="R243" t="s">
        <v>2640</v>
      </c>
      <c r="S243" s="417" t="s">
        <v>88</v>
      </c>
      <c r="T243" t="s">
        <v>2640</v>
      </c>
      <c r="U243" t="s">
        <v>2640</v>
      </c>
      <c r="V243" t="s">
        <v>97</v>
      </c>
      <c r="W243" t="str">
        <f t="shared" si="1"/>
        <v>SGC</v>
      </c>
    </row>
    <row r="244">
      <c r="A244" s="457">
        <v>234.0</v>
      </c>
      <c r="B244" s="458" t="s">
        <v>2875</v>
      </c>
      <c r="C244" s="459"/>
      <c r="D244" s="459"/>
      <c r="E244" s="469">
        <v>1.5</v>
      </c>
      <c r="F244" s="469">
        <v>0.8</v>
      </c>
      <c r="G244" s="469">
        <v>2.8</v>
      </c>
      <c r="H244" s="469">
        <v>4.6</v>
      </c>
      <c r="I244" s="469">
        <v>0.8</v>
      </c>
      <c r="J244" s="469">
        <v>0.2</v>
      </c>
      <c r="K244" s="469">
        <v>1.6</v>
      </c>
      <c r="L244" s="469">
        <v>8.0</v>
      </c>
      <c r="M244" s="469">
        <v>0.9</v>
      </c>
      <c r="N244" s="470">
        <f>+0.2</f>
        <v>0.2</v>
      </c>
      <c r="O244" t="str">
        <f>IFERROR(__xludf.DUMMYFUNCTION("regexextract(B244,""[\w]* [\w]*"")"),"Saben Lee")</f>
        <v>Saben Lee</v>
      </c>
      <c r="P244" t="str">
        <f t="shared" si="2"/>
        <v>Saben Lee</v>
      </c>
      <c r="Q244" t="str">
        <f t="shared" si="3"/>
        <v>Saben Lee</v>
      </c>
      <c r="R244" t="s">
        <v>85</v>
      </c>
      <c r="S244" s="417" t="s">
        <v>2640</v>
      </c>
      <c r="T244" t="s">
        <v>2640</v>
      </c>
      <c r="U244" t="s">
        <v>2640</v>
      </c>
      <c r="V244" t="s">
        <v>2640</v>
      </c>
      <c r="W244" t="str">
        <f t="shared" si="1"/>
        <v>PG</v>
      </c>
    </row>
    <row r="245">
      <c r="A245" s="454">
        <v>235.0</v>
      </c>
      <c r="B245" s="455" t="s">
        <v>2876</v>
      </c>
      <c r="C245" s="456"/>
      <c r="D245" s="456"/>
      <c r="E245" s="468">
        <v>1.0</v>
      </c>
      <c r="F245" s="468">
        <v>1.8</v>
      </c>
      <c r="G245" s="468">
        <v>2.5</v>
      </c>
      <c r="H245" s="468">
        <v>2.5</v>
      </c>
      <c r="I245" s="468">
        <v>0.8</v>
      </c>
      <c r="J245" s="468">
        <v>0.2</v>
      </c>
      <c r="K245" s="468">
        <v>1.3</v>
      </c>
      <c r="L245" s="468">
        <v>12.5</v>
      </c>
      <c r="M245" s="468">
        <v>7.7</v>
      </c>
      <c r="N245" s="472">
        <v>-1.6</v>
      </c>
      <c r="O245" t="str">
        <f>IFERROR(__xludf.DUMMYFUNCTION("regexextract(B245,""[\w]* [\w]*"")"),"Delon Wright")</f>
        <v>Delon Wright</v>
      </c>
      <c r="P245" t="str">
        <f t="shared" si="2"/>
        <v>Delon Wright</v>
      </c>
      <c r="Q245" t="str">
        <f t="shared" si="3"/>
        <v>Delon Wright</v>
      </c>
      <c r="R245" t="s">
        <v>85</v>
      </c>
      <c r="S245" s="417" t="s">
        <v>88</v>
      </c>
      <c r="T245" t="s">
        <v>2640</v>
      </c>
      <c r="U245" t="s">
        <v>2640</v>
      </c>
      <c r="V245" t="s">
        <v>2640</v>
      </c>
      <c r="W245" t="str">
        <f t="shared" si="1"/>
        <v>PGSG</v>
      </c>
    </row>
    <row r="246">
      <c r="A246" s="457">
        <v>236.0</v>
      </c>
      <c r="B246" s="458" t="s">
        <v>2877</v>
      </c>
      <c r="C246" s="459"/>
      <c r="D246" s="459"/>
      <c r="E246" s="469">
        <v>3.2</v>
      </c>
      <c r="F246" s="469">
        <v>2.2</v>
      </c>
      <c r="G246" s="469">
        <v>3.7</v>
      </c>
      <c r="H246" s="469">
        <v>1.7</v>
      </c>
      <c r="I246" s="469">
        <v>0.9</v>
      </c>
      <c r="J246" s="469">
        <v>0.4</v>
      </c>
      <c r="K246" s="469">
        <v>1.5</v>
      </c>
      <c r="L246" s="469">
        <v>14.3</v>
      </c>
      <c r="M246" s="469">
        <v>6.7</v>
      </c>
      <c r="N246" s="473">
        <v>-0.1</v>
      </c>
      <c r="O246" t="str">
        <f>IFERROR(__xludf.DUMMYFUNCTION("regexextract(B246,""[\w]* [\w]*"")"),"Pat Connaughton")</f>
        <v>Pat Connaughton</v>
      </c>
      <c r="P246" t="str">
        <f t="shared" si="2"/>
        <v>Pat Connaughton</v>
      </c>
      <c r="Q246" t="str">
        <f t="shared" si="3"/>
        <v>Pat Connaughton</v>
      </c>
      <c r="R246" t="s">
        <v>2640</v>
      </c>
      <c r="S246" s="417" t="s">
        <v>88</v>
      </c>
      <c r="T246" t="s">
        <v>90</v>
      </c>
      <c r="U246" t="s">
        <v>2640</v>
      </c>
      <c r="V246" t="s">
        <v>97</v>
      </c>
      <c r="W246" t="str">
        <f t="shared" si="1"/>
        <v>SGSFC</v>
      </c>
    </row>
    <row r="247">
      <c r="A247" s="454">
        <v>237.0</v>
      </c>
      <c r="B247" s="455" t="s">
        <v>2878</v>
      </c>
      <c r="C247" s="456"/>
      <c r="D247" s="456"/>
      <c r="E247" s="468">
        <v>2.6</v>
      </c>
      <c r="F247" s="468">
        <v>1.3</v>
      </c>
      <c r="G247" s="468">
        <v>2.5</v>
      </c>
      <c r="H247" s="468">
        <v>3.0</v>
      </c>
      <c r="I247" s="468">
        <v>0.7</v>
      </c>
      <c r="J247" s="468">
        <v>0.3</v>
      </c>
      <c r="K247" s="468">
        <v>1.6</v>
      </c>
      <c r="L247" s="468">
        <v>12.9</v>
      </c>
      <c r="M247" s="468">
        <v>2.3</v>
      </c>
      <c r="N247" s="471">
        <f t="shared" ref="N247:N248" si="9">+0.1</f>
        <v>0.1</v>
      </c>
      <c r="O247" t="str">
        <f>IFERROR(__xludf.DUMMYFUNCTION("regexextract(B247,""[\w]* [\w]*"")"),"Anfernee Simons")</f>
        <v>Anfernee Simons</v>
      </c>
      <c r="P247" t="str">
        <f t="shared" si="2"/>
        <v>Anfernee Simons</v>
      </c>
      <c r="Q247" t="str">
        <f t="shared" si="3"/>
        <v>Anfernee Simons</v>
      </c>
      <c r="R247" t="s">
        <v>85</v>
      </c>
      <c r="S247" s="417" t="s">
        <v>88</v>
      </c>
      <c r="T247" t="s">
        <v>2640</v>
      </c>
      <c r="U247" t="s">
        <v>2640</v>
      </c>
      <c r="V247" t="s">
        <v>2640</v>
      </c>
      <c r="W247" t="str">
        <f t="shared" si="1"/>
        <v>PGSG</v>
      </c>
    </row>
    <row r="248">
      <c r="A248" s="457">
        <v>238.0</v>
      </c>
      <c r="B248" s="458" t="s">
        <v>2879</v>
      </c>
      <c r="C248" s="459"/>
      <c r="D248" s="459"/>
      <c r="E248" s="469">
        <v>0.9</v>
      </c>
      <c r="F248" s="469">
        <v>1.5</v>
      </c>
      <c r="G248" s="469">
        <v>4.8</v>
      </c>
      <c r="H248" s="469">
        <v>2.5</v>
      </c>
      <c r="I248" s="469">
        <v>1.0</v>
      </c>
      <c r="J248" s="469">
        <v>0.5</v>
      </c>
      <c r="K248" s="469">
        <v>1.0</v>
      </c>
      <c r="L248" s="469">
        <v>7.8</v>
      </c>
      <c r="M248" s="469">
        <v>2.0</v>
      </c>
      <c r="N248" s="470">
        <f t="shared" si="9"/>
        <v>0.1</v>
      </c>
      <c r="O248" t="str">
        <f>IFERROR(__xludf.DUMMYFUNCTION("regexextract(B248,""[\w]* [\w]*"")"),"George Hill")</f>
        <v>George Hill</v>
      </c>
      <c r="P248" t="str">
        <f t="shared" si="2"/>
        <v>George Hill</v>
      </c>
      <c r="Q248" t="str">
        <f t="shared" si="3"/>
        <v>George Hill</v>
      </c>
      <c r="R248" t="s">
        <v>85</v>
      </c>
      <c r="S248" s="417" t="s">
        <v>88</v>
      </c>
      <c r="T248" t="s">
        <v>2640</v>
      </c>
      <c r="U248" t="s">
        <v>2640</v>
      </c>
      <c r="V248" t="s">
        <v>2640</v>
      </c>
      <c r="W248" t="str">
        <f t="shared" si="1"/>
        <v>PGSG</v>
      </c>
    </row>
    <row r="249">
      <c r="A249" s="454">
        <v>239.0</v>
      </c>
      <c r="B249" s="455" t="s">
        <v>2880</v>
      </c>
      <c r="C249" s="456"/>
      <c r="D249" s="456"/>
      <c r="E249" s="468">
        <v>3.1</v>
      </c>
      <c r="F249" s="468">
        <v>0.1</v>
      </c>
      <c r="G249" s="468">
        <v>5.5</v>
      </c>
      <c r="H249" s="468">
        <v>0.9</v>
      </c>
      <c r="I249" s="468">
        <v>0.5</v>
      </c>
      <c r="J249" s="468">
        <v>1.0</v>
      </c>
      <c r="K249" s="468">
        <v>0.9</v>
      </c>
      <c r="L249" s="468">
        <v>9.8</v>
      </c>
      <c r="M249" s="468">
        <v>1.0</v>
      </c>
      <c r="N249" s="471">
        <f>+0.3</f>
        <v>0.3</v>
      </c>
      <c r="O249" t="str">
        <f>IFERROR(__xludf.DUMMYFUNCTION("regexextract(B249,""[\w]* [\w]*"")"),"Lonnie Walker")</f>
        <v>Lonnie Walker</v>
      </c>
      <c r="P249" t="str">
        <f t="shared" si="2"/>
        <v>Lonnie Walker</v>
      </c>
      <c r="Q249" t="str">
        <f t="shared" si="3"/>
        <v>Lonnie Walker</v>
      </c>
      <c r="R249" t="s">
        <v>2640</v>
      </c>
      <c r="S249" s="417" t="s">
        <v>88</v>
      </c>
      <c r="T249" t="s">
        <v>90</v>
      </c>
      <c r="U249" t="s">
        <v>2640</v>
      </c>
      <c r="V249" t="s">
        <v>2640</v>
      </c>
      <c r="W249" t="str">
        <f t="shared" si="1"/>
        <v>SGSF</v>
      </c>
    </row>
    <row r="250">
      <c r="A250" s="457">
        <v>240.0</v>
      </c>
      <c r="B250" s="458" t="s">
        <v>2881</v>
      </c>
      <c r="C250" s="459"/>
      <c r="D250" s="459"/>
      <c r="E250" s="469">
        <v>0.5</v>
      </c>
      <c r="F250" s="469">
        <v>0.9</v>
      </c>
      <c r="G250" s="469">
        <v>2.2</v>
      </c>
      <c r="H250" s="469">
        <v>1.3</v>
      </c>
      <c r="I250" s="469">
        <v>1.9</v>
      </c>
      <c r="J250" s="469">
        <v>1.2</v>
      </c>
      <c r="K250" s="469">
        <v>0.7</v>
      </c>
      <c r="L250" s="469">
        <v>5.0</v>
      </c>
      <c r="M250" s="469">
        <v>4.5</v>
      </c>
      <c r="N250" s="470">
        <f>+0.2</f>
        <v>0.2</v>
      </c>
      <c r="O250" t="str">
        <f>IFERROR(__xludf.DUMMYFUNCTION("regexextract(B250,""[\w]* [\w]*"")")," Augustin")</f>
        <v> Augustin</v>
      </c>
      <c r="P250" t="str">
        <f t="shared" si="2"/>
        <v> Augustin</v>
      </c>
      <c r="Q250" t="str">
        <f t="shared" si="3"/>
        <v> Augustin</v>
      </c>
      <c r="R250" t="s">
        <v>85</v>
      </c>
      <c r="S250" s="417" t="s">
        <v>2640</v>
      </c>
      <c r="T250" t="s">
        <v>2640</v>
      </c>
      <c r="U250" t="s">
        <v>2640</v>
      </c>
      <c r="V250" t="s">
        <v>2640</v>
      </c>
      <c r="W250" t="str">
        <f t="shared" si="1"/>
        <v>PG</v>
      </c>
    </row>
    <row r="251">
      <c r="A251" s="454">
        <v>241.0</v>
      </c>
      <c r="B251" s="455" t="s">
        <v>2882</v>
      </c>
      <c r="C251" s="456"/>
      <c r="D251" s="456"/>
      <c r="E251" s="468">
        <v>0.6</v>
      </c>
      <c r="F251" s="468">
        <v>1.3</v>
      </c>
      <c r="G251" s="468">
        <v>5.8</v>
      </c>
      <c r="H251" s="468">
        <v>2.4</v>
      </c>
      <c r="I251" s="468">
        <v>0.8</v>
      </c>
      <c r="J251" s="468">
        <v>0.4</v>
      </c>
      <c r="K251" s="468">
        <v>1.0</v>
      </c>
      <c r="L251" s="468">
        <v>6.3</v>
      </c>
      <c r="M251" s="468">
        <v>2.8</v>
      </c>
      <c r="N251" s="472">
        <v>-0.5</v>
      </c>
      <c r="O251" t="str">
        <f>IFERROR(__xludf.DUMMYFUNCTION("regexextract(B251,""[\w]* [\w]*"")"),"Mo Bamba")</f>
        <v>Mo Bamba</v>
      </c>
      <c r="P251" t="str">
        <f t="shared" si="2"/>
        <v>Mo Bamba</v>
      </c>
      <c r="Q251" t="str">
        <f t="shared" si="3"/>
        <v>Mo Bamba</v>
      </c>
      <c r="R251" t="s">
        <v>2640</v>
      </c>
      <c r="S251" s="417" t="s">
        <v>2640</v>
      </c>
      <c r="T251" t="s">
        <v>2640</v>
      </c>
      <c r="U251" t="s">
        <v>2640</v>
      </c>
      <c r="V251" t="s">
        <v>97</v>
      </c>
      <c r="W251" t="str">
        <f t="shared" si="1"/>
        <v>C</v>
      </c>
    </row>
    <row r="252">
      <c r="A252" s="457">
        <v>242.0</v>
      </c>
      <c r="B252" s="458" t="s">
        <v>2883</v>
      </c>
      <c r="C252" s="459"/>
      <c r="D252" s="459"/>
      <c r="E252" s="469">
        <v>1.6</v>
      </c>
      <c r="F252" s="469">
        <v>1.5</v>
      </c>
      <c r="G252" s="469">
        <v>4.0</v>
      </c>
      <c r="H252" s="469">
        <v>1.3</v>
      </c>
      <c r="I252" s="469">
        <v>1.0</v>
      </c>
      <c r="J252" s="469">
        <v>0.4</v>
      </c>
      <c r="K252" s="469">
        <v>0.5</v>
      </c>
      <c r="L252" s="469">
        <v>10.2</v>
      </c>
      <c r="M252" s="469">
        <v>0.8</v>
      </c>
      <c r="N252" s="470">
        <f>+0.2</f>
        <v>0.2</v>
      </c>
      <c r="O252" t="str">
        <f>IFERROR(__xludf.DUMMYFUNCTION("regexextract(B252,""[\w]* [\w]*"")"),"JaMychal Green")</f>
        <v>JaMychal Green</v>
      </c>
      <c r="P252" t="str">
        <f t="shared" si="2"/>
        <v>JaMychal Green</v>
      </c>
      <c r="Q252" t="str">
        <f t="shared" si="3"/>
        <v>JaMychal Green</v>
      </c>
      <c r="R252" t="s">
        <v>2640</v>
      </c>
      <c r="S252" s="417" t="s">
        <v>2640</v>
      </c>
      <c r="T252" t="s">
        <v>2640</v>
      </c>
      <c r="U252" t="s">
        <v>92</v>
      </c>
      <c r="V252" t="s">
        <v>97</v>
      </c>
      <c r="W252" t="str">
        <f t="shared" si="1"/>
        <v>PFC</v>
      </c>
    </row>
    <row r="253">
      <c r="A253" s="454">
        <v>243.0</v>
      </c>
      <c r="B253" s="455" t="s">
        <v>2884</v>
      </c>
      <c r="C253" s="456"/>
      <c r="D253" s="456"/>
      <c r="E253" s="468">
        <v>3.7</v>
      </c>
      <c r="F253" s="468">
        <v>2.0</v>
      </c>
      <c r="G253" s="468">
        <v>4.5</v>
      </c>
      <c r="H253" s="468">
        <v>4.2</v>
      </c>
      <c r="I253" s="468">
        <v>1.3</v>
      </c>
      <c r="J253" s="468">
        <v>0.3</v>
      </c>
      <c r="K253" s="468">
        <v>2.3</v>
      </c>
      <c r="L253" s="468">
        <v>17.4</v>
      </c>
      <c r="M253" s="468">
        <v>22.9</v>
      </c>
      <c r="N253" s="472">
        <v>-4.2</v>
      </c>
      <c r="O253" t="str">
        <f>IFERROR(__xludf.DUMMYFUNCTION("regexextract(B253,""[\w]* [\w]*"")"),"Danuel House")</f>
        <v>Danuel House</v>
      </c>
      <c r="P253" t="str">
        <f t="shared" si="2"/>
        <v>Danuel House</v>
      </c>
      <c r="Q253" t="str">
        <f t="shared" si="3"/>
        <v>Danuel House</v>
      </c>
      <c r="R253" t="s">
        <v>2640</v>
      </c>
      <c r="S253" s="417" t="s">
        <v>88</v>
      </c>
      <c r="T253" t="s">
        <v>90</v>
      </c>
      <c r="U253" t="s">
        <v>2640</v>
      </c>
      <c r="V253" t="s">
        <v>2640</v>
      </c>
      <c r="W253" t="str">
        <f t="shared" si="1"/>
        <v>SGSF</v>
      </c>
    </row>
    <row r="254">
      <c r="A254" s="457">
        <v>244.0</v>
      </c>
      <c r="B254" s="458" t="s">
        <v>2885</v>
      </c>
      <c r="C254" s="459"/>
      <c r="D254" s="459"/>
      <c r="E254" s="469">
        <v>1.8</v>
      </c>
      <c r="F254" s="469">
        <v>2.9</v>
      </c>
      <c r="G254" s="469">
        <v>3.5</v>
      </c>
      <c r="H254" s="469">
        <v>1.2</v>
      </c>
      <c r="I254" s="469">
        <v>0.6</v>
      </c>
      <c r="J254" s="469">
        <v>0.4</v>
      </c>
      <c r="K254" s="469">
        <v>0.7</v>
      </c>
      <c r="L254" s="469">
        <v>11.8</v>
      </c>
      <c r="M254" s="469">
        <v>1.0</v>
      </c>
      <c r="N254" s="470">
        <f>+0.2</f>
        <v>0.2</v>
      </c>
      <c r="O254" t="str">
        <f>IFERROR(__xludf.DUMMYFUNCTION("regexextract(B254,""[\w]* [\w]*"")"),"Cam Reddish")</f>
        <v>Cam Reddish</v>
      </c>
      <c r="P254" t="str">
        <f t="shared" si="2"/>
        <v>Cam Reddish</v>
      </c>
      <c r="Q254" t="str">
        <f t="shared" si="3"/>
        <v>Cam Reddish</v>
      </c>
      <c r="R254" t="s">
        <v>2640</v>
      </c>
      <c r="S254" s="417" t="s">
        <v>88</v>
      </c>
      <c r="T254" t="s">
        <v>90</v>
      </c>
      <c r="U254" t="s">
        <v>2640</v>
      </c>
      <c r="V254" t="s">
        <v>97</v>
      </c>
      <c r="W254" t="str">
        <f t="shared" si="1"/>
        <v>SGSFC</v>
      </c>
    </row>
    <row r="255">
      <c r="A255" s="454">
        <v>245.0</v>
      </c>
      <c r="B255" s="455" t="s">
        <v>2886</v>
      </c>
      <c r="C255" s="456"/>
      <c r="D255" s="456"/>
      <c r="E255" s="468">
        <v>2.8</v>
      </c>
      <c r="F255" s="468">
        <v>2.2</v>
      </c>
      <c r="G255" s="468">
        <v>7.8</v>
      </c>
      <c r="H255" s="468">
        <v>2.4</v>
      </c>
      <c r="I255" s="468">
        <v>0.5</v>
      </c>
      <c r="J255" s="468">
        <v>0.2</v>
      </c>
      <c r="K255" s="468">
        <v>1.8</v>
      </c>
      <c r="L255" s="468">
        <v>13.4</v>
      </c>
      <c r="M255" s="468">
        <v>8.2</v>
      </c>
      <c r="N255" s="472">
        <v>-0.9</v>
      </c>
      <c r="O255" t="str">
        <f>IFERROR(__xludf.DUMMYFUNCTION("regexextract(B255,""[\w]* [\w]*"")"),"Landry Shamet")</f>
        <v>Landry Shamet</v>
      </c>
      <c r="P255" t="str">
        <f t="shared" si="2"/>
        <v>Landry Shamet</v>
      </c>
      <c r="Q255" t="str">
        <f t="shared" si="3"/>
        <v>Landry Shamet</v>
      </c>
      <c r="R255" t="s">
        <v>2640</v>
      </c>
      <c r="S255" s="417" t="s">
        <v>88</v>
      </c>
      <c r="T255" t="s">
        <v>2640</v>
      </c>
      <c r="U255" t="s">
        <v>2640</v>
      </c>
      <c r="V255" t="s">
        <v>2640</v>
      </c>
      <c r="W255" t="str">
        <f t="shared" si="1"/>
        <v>SG</v>
      </c>
    </row>
    <row r="256">
      <c r="A256" s="457">
        <v>246.0</v>
      </c>
      <c r="B256" s="458" t="s">
        <v>2887</v>
      </c>
      <c r="C256" s="459"/>
      <c r="D256" s="459"/>
      <c r="E256" s="469">
        <v>2.2</v>
      </c>
      <c r="F256" s="469">
        <v>1.2</v>
      </c>
      <c r="G256" s="469">
        <v>3.8</v>
      </c>
      <c r="H256" s="469">
        <v>1.6</v>
      </c>
      <c r="I256" s="469">
        <v>0.9</v>
      </c>
      <c r="J256" s="469">
        <v>0.5</v>
      </c>
      <c r="K256" s="469">
        <v>0.7</v>
      </c>
      <c r="L256" s="469">
        <v>10.7</v>
      </c>
      <c r="M256" s="469">
        <v>2.7</v>
      </c>
      <c r="N256" s="473">
        <v>-0.5</v>
      </c>
      <c r="O256" t="str">
        <f>IFERROR(__xludf.DUMMYFUNCTION("regexextract(B256,""[\w]* [\w]*"")"),"Deni AvdijaDTD")</f>
        <v>Deni AvdijaDTD</v>
      </c>
      <c r="P256" t="str">
        <f t="shared" si="2"/>
        <v>Deni Avdija</v>
      </c>
      <c r="Q256" t="str">
        <f t="shared" si="3"/>
        <v>Deni Avdija</v>
      </c>
      <c r="R256" t="s">
        <v>2640</v>
      </c>
      <c r="S256" s="417" t="s">
        <v>2640</v>
      </c>
      <c r="T256" t="s">
        <v>90</v>
      </c>
      <c r="U256" t="s">
        <v>2640</v>
      </c>
      <c r="V256" t="s">
        <v>2640</v>
      </c>
      <c r="W256" t="str">
        <f t="shared" si="1"/>
        <v>SF</v>
      </c>
    </row>
    <row r="257">
      <c r="A257" s="454">
        <v>247.0</v>
      </c>
      <c r="B257" s="455" t="s">
        <v>2888</v>
      </c>
      <c r="C257" s="456"/>
      <c r="D257" s="456"/>
      <c r="E257" s="468">
        <v>1.8</v>
      </c>
      <c r="F257" s="468">
        <v>0.3</v>
      </c>
      <c r="G257" s="468">
        <v>5.1</v>
      </c>
      <c r="H257" s="468">
        <v>1.8</v>
      </c>
      <c r="I257" s="468">
        <v>0.9</v>
      </c>
      <c r="J257" s="468">
        <v>0.4</v>
      </c>
      <c r="K257" s="468">
        <v>0.9</v>
      </c>
      <c r="L257" s="468">
        <v>8.3</v>
      </c>
      <c r="M257" s="468">
        <v>1.3</v>
      </c>
      <c r="N257" s="468">
        <v>0.0</v>
      </c>
      <c r="O257" t="str">
        <f>IFERROR(__xludf.DUMMYFUNCTION("regexextract(B257,""[\w]* [\w]*"")"),"Willy Hernangomez")</f>
        <v>Willy Hernangomez</v>
      </c>
      <c r="P257" t="str">
        <f t="shared" si="2"/>
        <v>Willy Hernangomez</v>
      </c>
      <c r="Q257" t="str">
        <f t="shared" si="3"/>
        <v>Willy Hernangomez</v>
      </c>
      <c r="R257" t="s">
        <v>2640</v>
      </c>
      <c r="S257" s="417" t="s">
        <v>2640</v>
      </c>
      <c r="T257" t="s">
        <v>2640</v>
      </c>
      <c r="U257" t="s">
        <v>2640</v>
      </c>
      <c r="V257" t="s">
        <v>97</v>
      </c>
      <c r="W257" t="str">
        <f t="shared" si="1"/>
        <v>C</v>
      </c>
    </row>
    <row r="258">
      <c r="A258" s="457">
        <v>248.0</v>
      </c>
      <c r="B258" s="458" t="s">
        <v>2889</v>
      </c>
      <c r="C258" s="459"/>
      <c r="D258" s="459"/>
      <c r="E258" s="469">
        <v>1.5</v>
      </c>
      <c r="F258" s="469">
        <v>0.0</v>
      </c>
      <c r="G258" s="469">
        <v>6.8</v>
      </c>
      <c r="H258" s="469">
        <v>1.0</v>
      </c>
      <c r="I258" s="469">
        <v>0.5</v>
      </c>
      <c r="J258" s="469">
        <v>1.1</v>
      </c>
      <c r="K258" s="469">
        <v>0.8</v>
      </c>
      <c r="L258" s="469">
        <v>7.4</v>
      </c>
      <c r="M258" s="469">
        <v>1.1</v>
      </c>
      <c r="N258" s="470">
        <f>+0.2</f>
        <v>0.2</v>
      </c>
      <c r="O258" t="str">
        <f>IFERROR(__xludf.DUMMYFUNCTION("regexextract(B258,""[\w]* [\w]*"")"),"Gorgui Dieng")</f>
        <v>Gorgui Dieng</v>
      </c>
      <c r="P258" t="str">
        <f t="shared" si="2"/>
        <v>Gorgui Dieng</v>
      </c>
      <c r="Q258" t="str">
        <f t="shared" si="3"/>
        <v>Gorgui Dieng</v>
      </c>
      <c r="R258" t="s">
        <v>2640</v>
      </c>
      <c r="S258" s="417" t="s">
        <v>2640</v>
      </c>
      <c r="T258" t="s">
        <v>2640</v>
      </c>
      <c r="U258" t="s">
        <v>92</v>
      </c>
      <c r="V258" t="s">
        <v>97</v>
      </c>
      <c r="W258" t="str">
        <f t="shared" si="1"/>
        <v>PFC</v>
      </c>
    </row>
    <row r="259">
      <c r="A259" s="454">
        <v>249.0</v>
      </c>
      <c r="B259" s="455" t="s">
        <v>2890</v>
      </c>
      <c r="C259" s="456"/>
      <c r="D259" s="456"/>
      <c r="E259" s="468">
        <v>1.0</v>
      </c>
      <c r="F259" s="468">
        <v>0.6</v>
      </c>
      <c r="G259" s="468">
        <v>3.2</v>
      </c>
      <c r="H259" s="468">
        <v>4.2</v>
      </c>
      <c r="I259" s="468">
        <v>0.7</v>
      </c>
      <c r="J259" s="468">
        <v>0.3</v>
      </c>
      <c r="K259" s="468">
        <v>1.1</v>
      </c>
      <c r="L259" s="468">
        <v>8.4</v>
      </c>
      <c r="M259" s="468">
        <v>0.5</v>
      </c>
      <c r="N259" s="471">
        <f>+0.1</f>
        <v>0.1</v>
      </c>
      <c r="O259" t="str">
        <f>IFERROR(__xludf.DUMMYFUNCTION("regexextract(B259,""[\w]* [\w]*"")"),"Garrett Temple")</f>
        <v>Garrett Temple</v>
      </c>
      <c r="P259" t="str">
        <f t="shared" si="2"/>
        <v>Garrett Temple</v>
      </c>
      <c r="Q259" t="str">
        <f t="shared" si="3"/>
        <v>Garrett Temple</v>
      </c>
      <c r="R259" t="s">
        <v>2640</v>
      </c>
      <c r="S259" s="417" t="s">
        <v>88</v>
      </c>
      <c r="T259" t="s">
        <v>90</v>
      </c>
      <c r="U259" t="s">
        <v>2640</v>
      </c>
      <c r="V259" t="s">
        <v>2640</v>
      </c>
      <c r="W259" t="str">
        <f t="shared" si="1"/>
        <v>SGSF</v>
      </c>
    </row>
    <row r="260">
      <c r="A260" s="457">
        <v>250.0</v>
      </c>
      <c r="B260" s="458" t="s">
        <v>2891</v>
      </c>
      <c r="C260" s="459"/>
      <c r="D260" s="459"/>
      <c r="E260" s="469">
        <v>1.6</v>
      </c>
      <c r="F260" s="469">
        <v>1.7</v>
      </c>
      <c r="G260" s="469">
        <v>3.5</v>
      </c>
      <c r="H260" s="469">
        <v>2.6</v>
      </c>
      <c r="I260" s="469">
        <v>0.8</v>
      </c>
      <c r="J260" s="469">
        <v>0.2</v>
      </c>
      <c r="K260" s="469">
        <v>1.3</v>
      </c>
      <c r="L260" s="469">
        <v>10.6</v>
      </c>
      <c r="M260" s="469">
        <v>1.3</v>
      </c>
      <c r="N260" s="473">
        <v>-0.1</v>
      </c>
      <c r="O260" t="str">
        <f>IFERROR(__xludf.DUMMYFUNCTION("regexextract(B260,""[\w]* [\w]*"")"),"Eric Gordon")</f>
        <v>Eric Gordon</v>
      </c>
      <c r="P260" t="str">
        <f t="shared" si="2"/>
        <v>Eric Gordon</v>
      </c>
      <c r="Q260" t="str">
        <f t="shared" si="3"/>
        <v>Eric Gordon</v>
      </c>
      <c r="R260" t="s">
        <v>2640</v>
      </c>
      <c r="S260" s="417" t="s">
        <v>88</v>
      </c>
      <c r="T260" t="s">
        <v>2640</v>
      </c>
      <c r="U260" t="s">
        <v>2640</v>
      </c>
      <c r="V260" t="s">
        <v>97</v>
      </c>
      <c r="W260" t="str">
        <f t="shared" si="1"/>
        <v>SGC</v>
      </c>
    </row>
    <row r="261">
      <c r="A261" s="446" t="s">
        <v>2634</v>
      </c>
      <c r="C261" s="446" t="s">
        <v>2635</v>
      </c>
      <c r="E261" s="464"/>
      <c r="F261" s="464"/>
      <c r="G261" s="464"/>
      <c r="H261" s="464"/>
      <c r="I261" s="464"/>
      <c r="J261" s="464"/>
      <c r="K261" s="464"/>
      <c r="L261" s="464"/>
      <c r="M261" s="464" t="s">
        <v>2740</v>
      </c>
      <c r="N261" s="464"/>
      <c r="O261" t="str">
        <f>IFERROR(__xludf.DUMMYFUNCTION("regexextract(B261,""[\w]* [\w]*"")"),"#N/A")</f>
        <v>#N/A</v>
      </c>
      <c r="P261" t="str">
        <f t="shared" si="2"/>
        <v>#N/A</v>
      </c>
      <c r="Q261" t="str">
        <f t="shared" si="3"/>
        <v>#N/A</v>
      </c>
      <c r="R261" t="s">
        <v>2640</v>
      </c>
      <c r="S261" s="417" t="s">
        <v>2640</v>
      </c>
      <c r="T261" t="s">
        <v>2640</v>
      </c>
      <c r="U261" t="s">
        <v>2640</v>
      </c>
      <c r="V261" t="s">
        <v>2640</v>
      </c>
      <c r="W261" t="str">
        <f t="shared" si="1"/>
        <v/>
      </c>
    </row>
    <row r="262">
      <c r="A262" s="449" t="s">
        <v>2636</v>
      </c>
      <c r="B262" s="450" t="s">
        <v>262</v>
      </c>
      <c r="C262" s="449" t="s">
        <v>2637</v>
      </c>
      <c r="D262" s="451" t="s">
        <v>2638</v>
      </c>
      <c r="E262" s="465" t="s">
        <v>20</v>
      </c>
      <c r="F262" s="466">
        <v>0.625</v>
      </c>
      <c r="G262" s="465" t="s">
        <v>101</v>
      </c>
      <c r="H262" s="465" t="s">
        <v>15</v>
      </c>
      <c r="I262" s="465" t="s">
        <v>16</v>
      </c>
      <c r="J262" s="465" t="s">
        <v>17</v>
      </c>
      <c r="K262" s="465" t="s">
        <v>18</v>
      </c>
      <c r="L262" s="465" t="s">
        <v>13</v>
      </c>
      <c r="M262" s="465" t="s">
        <v>2741</v>
      </c>
      <c r="N262" s="467" t="str">
        <f>+/-</f>
        <v>#ERROR!</v>
      </c>
      <c r="O262" t="str">
        <f>IFERROR(__xludf.DUMMYFUNCTION("regexextract(B262,""[\w]* [\w]*"")"),"#N/A")</f>
        <v>#N/A</v>
      </c>
      <c r="P262" t="str">
        <f t="shared" si="2"/>
        <v>#N/A</v>
      </c>
      <c r="Q262" t="str">
        <f t="shared" si="3"/>
        <v>#N/A</v>
      </c>
      <c r="R262" t="s">
        <v>2640</v>
      </c>
      <c r="S262" s="417" t="s">
        <v>2640</v>
      </c>
      <c r="T262" t="s">
        <v>2640</v>
      </c>
      <c r="U262" t="s">
        <v>2640</v>
      </c>
      <c r="V262" t="s">
        <v>2640</v>
      </c>
      <c r="W262" t="str">
        <f t="shared" si="1"/>
        <v/>
      </c>
    </row>
    <row r="263">
      <c r="A263" s="454">
        <v>251.0</v>
      </c>
      <c r="B263" s="455" t="s">
        <v>2892</v>
      </c>
      <c r="C263" s="456"/>
      <c r="D263" s="456"/>
      <c r="E263" s="468">
        <v>1.1</v>
      </c>
      <c r="F263" s="468">
        <v>2.2</v>
      </c>
      <c r="G263" s="468">
        <v>3.7</v>
      </c>
      <c r="H263" s="468">
        <v>1.5</v>
      </c>
      <c r="I263" s="468">
        <v>0.7</v>
      </c>
      <c r="J263" s="468">
        <v>0.3</v>
      </c>
      <c r="K263" s="468">
        <v>0.8</v>
      </c>
      <c r="L263" s="468">
        <v>10.6</v>
      </c>
      <c r="M263" s="468">
        <v>1.5</v>
      </c>
      <c r="N263" s="471">
        <f>+0.2</f>
        <v>0.2</v>
      </c>
      <c r="O263" t="str">
        <f>IFERROR(__xludf.DUMMYFUNCTION("regexextract(B263,""[\w]* [\w]*"")"),"Kent Bazemore")</f>
        <v>Kent Bazemore</v>
      </c>
      <c r="P263" t="str">
        <f t="shared" si="2"/>
        <v>Kent Bazemore</v>
      </c>
      <c r="Q263" t="str">
        <f t="shared" si="3"/>
        <v>Kent Bazemore</v>
      </c>
      <c r="R263" t="s">
        <v>2640</v>
      </c>
      <c r="S263" s="417" t="s">
        <v>88</v>
      </c>
      <c r="T263" t="s">
        <v>90</v>
      </c>
      <c r="U263" t="s">
        <v>2640</v>
      </c>
      <c r="V263" t="s">
        <v>2640</v>
      </c>
      <c r="W263" t="str">
        <f t="shared" si="1"/>
        <v>SGSF</v>
      </c>
    </row>
    <row r="264">
      <c r="A264" s="457">
        <v>252.0</v>
      </c>
      <c r="B264" s="458" t="s">
        <v>2893</v>
      </c>
      <c r="C264" s="459"/>
      <c r="D264" s="459"/>
      <c r="E264" s="469">
        <v>0.8</v>
      </c>
      <c r="F264" s="469">
        <v>0.6</v>
      </c>
      <c r="G264" s="469">
        <v>1.9</v>
      </c>
      <c r="H264" s="469">
        <v>4.1</v>
      </c>
      <c r="I264" s="469">
        <v>0.9</v>
      </c>
      <c r="J264" s="469">
        <v>0.1</v>
      </c>
      <c r="K264" s="469">
        <v>0.7</v>
      </c>
      <c r="L264" s="469">
        <v>6.8</v>
      </c>
      <c r="M264" s="469">
        <v>0.4</v>
      </c>
      <c r="N264" s="470">
        <f>+0.1</f>
        <v>0.1</v>
      </c>
      <c r="O264" t="str">
        <f>IFERROR(__xludf.DUMMYFUNCTION("regexextract(B264,""[\w]* [\w]*"")"),"Alex Caruso")</f>
        <v>Alex Caruso</v>
      </c>
      <c r="P264" t="str">
        <f t="shared" si="2"/>
        <v>Alex Caruso</v>
      </c>
      <c r="Q264" t="str">
        <f t="shared" si="3"/>
        <v>Alex Carus</v>
      </c>
      <c r="R264" t="s">
        <v>85</v>
      </c>
      <c r="S264" s="417" t="s">
        <v>88</v>
      </c>
      <c r="T264" t="s">
        <v>2640</v>
      </c>
      <c r="U264" t="s">
        <v>2640</v>
      </c>
      <c r="V264" t="s">
        <v>97</v>
      </c>
      <c r="W264" t="str">
        <f t="shared" si="1"/>
        <v>PGSGC</v>
      </c>
    </row>
    <row r="265">
      <c r="A265" s="454">
        <v>253.0</v>
      </c>
      <c r="B265" s="455" t="s">
        <v>2894</v>
      </c>
      <c r="C265" s="456"/>
      <c r="D265" s="456"/>
      <c r="E265" s="468">
        <v>1.5</v>
      </c>
      <c r="F265" s="468">
        <v>2.4</v>
      </c>
      <c r="G265" s="468">
        <v>2.3</v>
      </c>
      <c r="H265" s="468">
        <v>1.2</v>
      </c>
      <c r="I265" s="468">
        <v>0.9</v>
      </c>
      <c r="J265" s="468">
        <v>0.2</v>
      </c>
      <c r="K265" s="468">
        <v>0.6</v>
      </c>
      <c r="L265" s="468">
        <v>12.8</v>
      </c>
      <c r="M265" s="468">
        <v>11.6</v>
      </c>
      <c r="N265" s="472">
        <v>-0.8</v>
      </c>
      <c r="O265" t="str">
        <f>IFERROR(__xludf.DUMMYFUNCTION("regexextract(B265,""[\w]* [\w]*"")"),"Grayson Allen")</f>
        <v>Grayson Allen</v>
      </c>
      <c r="P265" t="str">
        <f t="shared" si="2"/>
        <v>Grayson Allen</v>
      </c>
      <c r="Q265" t="str">
        <f t="shared" si="3"/>
        <v>Grayson Allen</v>
      </c>
      <c r="R265" t="s">
        <v>2640</v>
      </c>
      <c r="S265" s="417" t="s">
        <v>88</v>
      </c>
      <c r="T265" t="s">
        <v>2640</v>
      </c>
      <c r="U265" t="s">
        <v>2640</v>
      </c>
      <c r="V265" t="s">
        <v>2640</v>
      </c>
      <c r="W265" t="str">
        <f t="shared" si="1"/>
        <v>SG</v>
      </c>
    </row>
    <row r="266">
      <c r="A266" s="457">
        <v>254.0</v>
      </c>
      <c r="B266" s="458" t="s">
        <v>2895</v>
      </c>
      <c r="C266" s="459"/>
      <c r="D266" s="459"/>
      <c r="E266" s="469">
        <v>0.9</v>
      </c>
      <c r="F266" s="469">
        <v>2.3</v>
      </c>
      <c r="G266" s="469">
        <v>3.1</v>
      </c>
      <c r="H266" s="469">
        <v>1.6</v>
      </c>
      <c r="I266" s="469">
        <v>0.8</v>
      </c>
      <c r="J266" s="469">
        <v>0.2</v>
      </c>
      <c r="K266" s="469">
        <v>0.7</v>
      </c>
      <c r="L266" s="469">
        <v>10.5</v>
      </c>
      <c r="M266" s="469">
        <v>2.1</v>
      </c>
      <c r="N266" s="473">
        <v>-0.4</v>
      </c>
      <c r="O266" t="str">
        <f>IFERROR(__xludf.DUMMYFUNCTION("regexextract(B266,""[\w]* [\w]*"")"),"Elfrid Payton")</f>
        <v>Elfrid Payton</v>
      </c>
      <c r="P266" t="str">
        <f t="shared" si="2"/>
        <v>Elfrid Payton</v>
      </c>
      <c r="Q266" t="str">
        <f t="shared" si="3"/>
        <v>Elfrid Payton</v>
      </c>
      <c r="R266" t="s">
        <v>85</v>
      </c>
      <c r="S266" s="417" t="s">
        <v>2640</v>
      </c>
      <c r="T266" t="s">
        <v>2640</v>
      </c>
      <c r="U266" t="s">
        <v>2640</v>
      </c>
      <c r="V266" t="s">
        <v>2640</v>
      </c>
      <c r="W266" t="str">
        <f t="shared" si="1"/>
        <v>PG</v>
      </c>
    </row>
    <row r="267">
      <c r="A267" s="454">
        <v>255.0</v>
      </c>
      <c r="B267" s="455" t="s">
        <v>2896</v>
      </c>
      <c r="C267" s="456"/>
      <c r="D267" s="456"/>
      <c r="E267" s="468">
        <v>1.8</v>
      </c>
      <c r="F267" s="468">
        <v>0.0</v>
      </c>
      <c r="G267" s="468">
        <v>5.7</v>
      </c>
      <c r="H267" s="468">
        <v>1.2</v>
      </c>
      <c r="I267" s="468">
        <v>0.7</v>
      </c>
      <c r="J267" s="468">
        <v>0.9</v>
      </c>
      <c r="K267" s="468">
        <v>0.7</v>
      </c>
      <c r="L267" s="468">
        <v>7.3</v>
      </c>
      <c r="M267" s="468">
        <v>0.4</v>
      </c>
      <c r="N267" s="471">
        <f>+0.2</f>
        <v>0.2</v>
      </c>
      <c r="O267" t="str">
        <f>IFERROR(__xludf.DUMMYFUNCTION("regexextract(B267,""[\w]* [\w]*"")"),"Frank Kaminsky")</f>
        <v>Frank Kaminsky</v>
      </c>
      <c r="P267" t="str">
        <f t="shared" si="2"/>
        <v>Frank Kaminsky</v>
      </c>
      <c r="Q267" t="str">
        <f t="shared" si="3"/>
        <v>Frank Kaminsky</v>
      </c>
      <c r="R267" t="s">
        <v>2640</v>
      </c>
      <c r="S267" s="417" t="s">
        <v>2640</v>
      </c>
      <c r="T267" t="s">
        <v>2640</v>
      </c>
      <c r="U267" t="s">
        <v>92</v>
      </c>
      <c r="V267" t="s">
        <v>97</v>
      </c>
      <c r="W267" t="str">
        <f t="shared" si="1"/>
        <v>PFC</v>
      </c>
    </row>
    <row r="268">
      <c r="A268" s="457">
        <v>256.0</v>
      </c>
      <c r="B268" s="458" t="s">
        <v>2897</v>
      </c>
      <c r="C268" s="459"/>
      <c r="D268" s="459"/>
      <c r="E268" s="469">
        <v>3.7</v>
      </c>
      <c r="F268" s="469">
        <v>0.5</v>
      </c>
      <c r="G268" s="469">
        <v>5.1</v>
      </c>
      <c r="H268" s="469">
        <v>1.9</v>
      </c>
      <c r="I268" s="469">
        <v>0.8</v>
      </c>
      <c r="J268" s="469">
        <v>0.4</v>
      </c>
      <c r="K268" s="469">
        <v>1.4</v>
      </c>
      <c r="L268" s="469">
        <v>11.2</v>
      </c>
      <c r="M268" s="469">
        <v>0.9</v>
      </c>
      <c r="N268" s="469">
        <v>0.0</v>
      </c>
      <c r="O268" t="str">
        <f>IFERROR(__xludf.DUMMYFUNCTION("regexextract(B268,""[\w]* [\w]*"")"),"Gary Harris")</f>
        <v>Gary Harris</v>
      </c>
      <c r="P268" t="str">
        <f t="shared" si="2"/>
        <v>Gary Harris</v>
      </c>
      <c r="Q268" t="str">
        <f t="shared" si="3"/>
        <v>Gary Harris</v>
      </c>
      <c r="R268" t="s">
        <v>2640</v>
      </c>
      <c r="S268" s="417" t="s">
        <v>88</v>
      </c>
      <c r="T268" t="s">
        <v>2640</v>
      </c>
      <c r="U268" t="s">
        <v>2640</v>
      </c>
      <c r="V268" t="s">
        <v>2640</v>
      </c>
      <c r="W268" t="str">
        <f t="shared" si="1"/>
        <v>SG</v>
      </c>
    </row>
    <row r="269">
      <c r="A269" s="454">
        <v>257.0</v>
      </c>
      <c r="B269" s="455" t="s">
        <v>2898</v>
      </c>
      <c r="C269" s="456"/>
      <c r="D269" s="456"/>
      <c r="E269" s="468">
        <v>2.1</v>
      </c>
      <c r="F269" s="468">
        <v>1.6</v>
      </c>
      <c r="G269" s="468">
        <v>3.6</v>
      </c>
      <c r="H269" s="468">
        <v>1.3</v>
      </c>
      <c r="I269" s="468">
        <v>0.6</v>
      </c>
      <c r="J269" s="468">
        <v>0.5</v>
      </c>
      <c r="K269" s="468">
        <v>1.0</v>
      </c>
      <c r="L269" s="468">
        <v>12.3</v>
      </c>
      <c r="M269" s="468">
        <v>31.3</v>
      </c>
      <c r="N269" s="472">
        <v>-2.4</v>
      </c>
      <c r="O269" t="str">
        <f>IFERROR(__xludf.DUMMYFUNCTION("regexextract(B269,""[\w]* [\w]*"")"),"Furkan Korkmaz")</f>
        <v>Furkan Korkmaz</v>
      </c>
      <c r="P269" t="str">
        <f t="shared" si="2"/>
        <v>Furkan Korkmaz</v>
      </c>
      <c r="Q269" t="str">
        <f t="shared" si="3"/>
        <v>Furkan Korkmaz</v>
      </c>
      <c r="R269" t="s">
        <v>2640</v>
      </c>
      <c r="S269" s="417" t="s">
        <v>88</v>
      </c>
      <c r="T269" t="s">
        <v>2640</v>
      </c>
      <c r="U269" t="s">
        <v>2640</v>
      </c>
      <c r="V269" t="s">
        <v>2640</v>
      </c>
      <c r="W269" t="str">
        <f t="shared" si="1"/>
        <v>SG</v>
      </c>
    </row>
    <row r="270">
      <c r="A270" s="457">
        <v>258.0</v>
      </c>
      <c r="B270" s="458" t="s">
        <v>2899</v>
      </c>
      <c r="C270" s="459"/>
      <c r="D270" s="459"/>
      <c r="E270" s="469">
        <v>2.1</v>
      </c>
      <c r="F270" s="469">
        <v>0.8</v>
      </c>
      <c r="G270" s="469">
        <v>4.2</v>
      </c>
      <c r="H270" s="469">
        <v>1.0</v>
      </c>
      <c r="I270" s="469">
        <v>0.5</v>
      </c>
      <c r="J270" s="469">
        <v>0.9</v>
      </c>
      <c r="K270" s="469">
        <v>0.9</v>
      </c>
      <c r="L270" s="469">
        <v>9.9</v>
      </c>
      <c r="M270" s="469">
        <v>1.7</v>
      </c>
      <c r="N270" s="473">
        <v>-0.2</v>
      </c>
      <c r="O270" t="str">
        <f>IFERROR(__xludf.DUMMYFUNCTION("regexextract(B270,""[\w]* [\w]*"")"),"Austin Rivers")</f>
        <v>Austin Rivers</v>
      </c>
      <c r="P270" t="str">
        <f t="shared" si="2"/>
        <v>Austin Rivers</v>
      </c>
      <c r="Q270" t="str">
        <f t="shared" si="3"/>
        <v>Austin Rivers</v>
      </c>
      <c r="R270" t="s">
        <v>2640</v>
      </c>
      <c r="S270" s="417" t="s">
        <v>88</v>
      </c>
      <c r="T270" t="s">
        <v>2640</v>
      </c>
      <c r="U270" t="s">
        <v>2640</v>
      </c>
      <c r="V270" t="s">
        <v>2640</v>
      </c>
      <c r="W270" t="str">
        <f t="shared" si="1"/>
        <v>SG</v>
      </c>
    </row>
    <row r="271">
      <c r="A271" s="454">
        <v>259.0</v>
      </c>
      <c r="B271" s="455" t="s">
        <v>2900</v>
      </c>
      <c r="C271" s="456"/>
      <c r="D271" s="456"/>
      <c r="E271" s="468">
        <v>1.2</v>
      </c>
      <c r="F271" s="468">
        <v>1.2</v>
      </c>
      <c r="G271" s="468">
        <v>3.2</v>
      </c>
      <c r="H271" s="468">
        <v>2.8</v>
      </c>
      <c r="I271" s="468">
        <v>1.2</v>
      </c>
      <c r="J271" s="468">
        <v>0.5</v>
      </c>
      <c r="K271" s="468">
        <v>1.4</v>
      </c>
      <c r="L271" s="468">
        <v>8.2</v>
      </c>
      <c r="M271" s="468">
        <v>1.2</v>
      </c>
      <c r="N271" s="468">
        <v>0.0</v>
      </c>
      <c r="O271" t="str">
        <f>IFERROR(__xludf.DUMMYFUNCTION("regexextract(B271,""[\w]* [\w]*"")"),"Jamal MurrayO")</f>
        <v>Jamal MurrayO</v>
      </c>
      <c r="P271" t="str">
        <f t="shared" si="2"/>
        <v>Jamal MurrayO</v>
      </c>
      <c r="Q271" t="str">
        <f t="shared" si="3"/>
        <v>Jamal Murray</v>
      </c>
      <c r="R271" t="s">
        <v>85</v>
      </c>
      <c r="S271" s="417" t="s">
        <v>88</v>
      </c>
      <c r="T271" t="s">
        <v>2640</v>
      </c>
      <c r="U271" t="s">
        <v>2640</v>
      </c>
      <c r="V271" t="s">
        <v>2640</v>
      </c>
      <c r="W271" t="str">
        <f t="shared" si="1"/>
        <v>PGSG</v>
      </c>
    </row>
    <row r="272">
      <c r="A272" s="457">
        <v>260.0</v>
      </c>
      <c r="B272" s="458" t="s">
        <v>2901</v>
      </c>
      <c r="C272" s="459"/>
      <c r="D272" s="459"/>
      <c r="E272" s="469">
        <v>2.1</v>
      </c>
      <c r="F272" s="469">
        <v>0.0</v>
      </c>
      <c r="G272" s="469">
        <v>5.3</v>
      </c>
      <c r="H272" s="469">
        <v>1.0</v>
      </c>
      <c r="I272" s="469">
        <v>0.7</v>
      </c>
      <c r="J272" s="469">
        <v>1.2</v>
      </c>
      <c r="K272" s="469">
        <v>0.6</v>
      </c>
      <c r="L272" s="469">
        <v>6.9</v>
      </c>
      <c r="M272" s="469">
        <v>1.7</v>
      </c>
      <c r="N272" s="470">
        <f>+0.2</f>
        <v>0.2</v>
      </c>
      <c r="O272" t="str">
        <f>IFERROR(__xludf.DUMMYFUNCTION("regexextract(B272,""[\w]* [\w]*"")"),"Trevor ArizaO")</f>
        <v>Trevor ArizaO</v>
      </c>
      <c r="P272" t="str">
        <f t="shared" si="2"/>
        <v>Trevor ArizaO</v>
      </c>
      <c r="Q272" t="str">
        <f t="shared" si="3"/>
        <v>Trevor Ariza</v>
      </c>
      <c r="R272" t="s">
        <v>2640</v>
      </c>
      <c r="S272" s="417" t="s">
        <v>2640</v>
      </c>
      <c r="T272" t="s">
        <v>90</v>
      </c>
      <c r="U272" t="s">
        <v>2640</v>
      </c>
      <c r="V272" t="s">
        <v>2640</v>
      </c>
      <c r="W272" t="str">
        <f t="shared" si="1"/>
        <v>SF</v>
      </c>
    </row>
    <row r="273">
      <c r="A273" s="454">
        <v>261.0</v>
      </c>
      <c r="B273" s="455" t="s">
        <v>2902</v>
      </c>
      <c r="C273" s="456"/>
      <c r="D273" s="456"/>
      <c r="E273" s="468">
        <v>2.8</v>
      </c>
      <c r="F273" s="468">
        <v>1.5</v>
      </c>
      <c r="G273" s="468">
        <v>4.5</v>
      </c>
      <c r="H273" s="468">
        <v>1.8</v>
      </c>
      <c r="I273" s="468">
        <v>0.8</v>
      </c>
      <c r="J273" s="468">
        <v>0.4</v>
      </c>
      <c r="K273" s="468">
        <v>1.5</v>
      </c>
      <c r="L273" s="468">
        <v>13.2</v>
      </c>
      <c r="M273" s="468">
        <v>42.9</v>
      </c>
      <c r="N273" s="472">
        <v>-13.0</v>
      </c>
      <c r="O273" t="str">
        <f>IFERROR(__xludf.DUMMYFUNCTION("regexextract(B273,""[\w]* [\w]*"")"),"Luke Kennard")</f>
        <v>Luke Kennard</v>
      </c>
      <c r="P273" t="str">
        <f t="shared" si="2"/>
        <v>Luke Kennard</v>
      </c>
      <c r="Q273" t="str">
        <f t="shared" si="3"/>
        <v>Luke Kennard</v>
      </c>
      <c r="R273" t="s">
        <v>2640</v>
      </c>
      <c r="S273" s="417" t="s">
        <v>88</v>
      </c>
      <c r="T273" t="s">
        <v>2640</v>
      </c>
      <c r="U273" t="s">
        <v>2640</v>
      </c>
      <c r="V273" t="s">
        <v>97</v>
      </c>
      <c r="W273" t="str">
        <f t="shared" si="1"/>
        <v>SGC</v>
      </c>
    </row>
    <row r="274">
      <c r="A274" s="457">
        <v>262.0</v>
      </c>
      <c r="B274" s="458" t="s">
        <v>2903</v>
      </c>
      <c r="C274" s="459"/>
      <c r="D274" s="459"/>
      <c r="E274" s="469">
        <v>3.3</v>
      </c>
      <c r="F274" s="469">
        <v>1.2</v>
      </c>
      <c r="G274" s="469">
        <v>3.9</v>
      </c>
      <c r="H274" s="469">
        <v>2.2</v>
      </c>
      <c r="I274" s="469">
        <v>0.8</v>
      </c>
      <c r="J274" s="469">
        <v>0.7</v>
      </c>
      <c r="K274" s="469">
        <v>2.1</v>
      </c>
      <c r="L274" s="469">
        <v>12.5</v>
      </c>
      <c r="M274" s="469">
        <v>1.7</v>
      </c>
      <c r="N274" s="473">
        <v>-0.2</v>
      </c>
      <c r="O274" t="str">
        <f>IFERROR(__xludf.DUMMYFUNCTION("regexextract(B274,""[\w]* [\w]*"")"),"Wayne Ellington")</f>
        <v>Wayne Ellington</v>
      </c>
      <c r="P274" t="str">
        <f t="shared" si="2"/>
        <v>Wayne Ellington</v>
      </c>
      <c r="Q274" t="str">
        <f t="shared" si="3"/>
        <v>Wayne Ellington</v>
      </c>
      <c r="R274" t="s">
        <v>2640</v>
      </c>
      <c r="S274" s="417" t="s">
        <v>88</v>
      </c>
      <c r="T274" t="s">
        <v>2640</v>
      </c>
      <c r="U274" t="s">
        <v>2640</v>
      </c>
      <c r="V274" t="s">
        <v>2640</v>
      </c>
      <c r="W274" t="str">
        <f t="shared" si="1"/>
        <v>SG</v>
      </c>
    </row>
    <row r="275">
      <c r="A275" s="454">
        <v>263.0</v>
      </c>
      <c r="B275" s="455" t="s">
        <v>2904</v>
      </c>
      <c r="C275" s="456"/>
      <c r="D275" s="456"/>
      <c r="E275" s="468">
        <v>1.3</v>
      </c>
      <c r="F275" s="468">
        <v>1.0</v>
      </c>
      <c r="G275" s="468">
        <v>4.8</v>
      </c>
      <c r="H275" s="468">
        <v>2.6</v>
      </c>
      <c r="I275" s="468">
        <v>0.6</v>
      </c>
      <c r="J275" s="468">
        <v>0.9</v>
      </c>
      <c r="K275" s="468">
        <v>1.1</v>
      </c>
      <c r="L275" s="468">
        <v>6.6</v>
      </c>
      <c r="M275" s="468">
        <v>1.5</v>
      </c>
      <c r="N275" s="468">
        <v>0.0</v>
      </c>
      <c r="O275" t="str">
        <f>IFERROR(__xludf.DUMMYFUNCTION("regexextract(B275,""[\w]* [\w]*"")"),"Kenyon Martin")</f>
        <v>Kenyon Martin</v>
      </c>
      <c r="P275" t="str">
        <f t="shared" si="2"/>
        <v>Kenyon Martin</v>
      </c>
      <c r="Q275" t="str">
        <f t="shared" si="3"/>
        <v>Kenyon Martin</v>
      </c>
      <c r="R275" t="s">
        <v>2640</v>
      </c>
      <c r="S275" s="417" t="s">
        <v>2640</v>
      </c>
      <c r="T275" t="s">
        <v>90</v>
      </c>
      <c r="U275" t="s">
        <v>2640</v>
      </c>
      <c r="V275" t="s">
        <v>2640</v>
      </c>
      <c r="W275" t="str">
        <f t="shared" si="1"/>
        <v>SF</v>
      </c>
    </row>
    <row r="276">
      <c r="A276" s="457">
        <v>264.0</v>
      </c>
      <c r="B276" s="458" t="s">
        <v>2905</v>
      </c>
      <c r="C276" s="459"/>
      <c r="D276" s="459"/>
      <c r="E276" s="469">
        <v>1.2</v>
      </c>
      <c r="F276" s="469">
        <v>2.5</v>
      </c>
      <c r="G276" s="469">
        <v>2.2</v>
      </c>
      <c r="H276" s="469">
        <v>1.4</v>
      </c>
      <c r="I276" s="469">
        <v>0.5</v>
      </c>
      <c r="J276" s="469">
        <v>0.0</v>
      </c>
      <c r="K276" s="469">
        <v>0.9</v>
      </c>
      <c r="L276" s="469">
        <v>12.2</v>
      </c>
      <c r="M276" s="469">
        <v>0.6</v>
      </c>
      <c r="N276" s="470">
        <f t="shared" ref="N276:N277" si="10">+0.1</f>
        <v>0.1</v>
      </c>
      <c r="O276" t="str">
        <f>IFERROR(__xludf.DUMMYFUNCTION("regexextract(B276,""[\w]* [\w]*"")"),"Justise Winslow")</f>
        <v>Justise Winslow</v>
      </c>
      <c r="P276" t="str">
        <f t="shared" si="2"/>
        <v>Justise Winslow</v>
      </c>
      <c r="Q276" t="str">
        <f t="shared" si="3"/>
        <v>Justise Winslow</v>
      </c>
      <c r="R276" t="s">
        <v>2640</v>
      </c>
      <c r="S276" s="417" t="s">
        <v>2640</v>
      </c>
      <c r="T276" t="s">
        <v>90</v>
      </c>
      <c r="U276" t="s">
        <v>2640</v>
      </c>
      <c r="V276" t="s">
        <v>97</v>
      </c>
      <c r="W276" t="str">
        <f t="shared" si="1"/>
        <v>SFC</v>
      </c>
    </row>
    <row r="277">
      <c r="A277" s="454">
        <v>265.0</v>
      </c>
      <c r="B277" s="455" t="s">
        <v>2906</v>
      </c>
      <c r="C277" s="456"/>
      <c r="D277" s="456"/>
      <c r="E277" s="468">
        <v>2.9</v>
      </c>
      <c r="F277" s="468">
        <v>1.1</v>
      </c>
      <c r="G277" s="468">
        <v>2.1</v>
      </c>
      <c r="H277" s="468">
        <v>3.5</v>
      </c>
      <c r="I277" s="468">
        <v>0.7</v>
      </c>
      <c r="J277" s="468">
        <v>0.1</v>
      </c>
      <c r="K277" s="468">
        <v>1.7</v>
      </c>
      <c r="L277" s="468">
        <v>11.8</v>
      </c>
      <c r="M277" s="468">
        <v>1.8</v>
      </c>
      <c r="N277" s="471">
        <f t="shared" si="10"/>
        <v>0.1</v>
      </c>
      <c r="O277" t="str">
        <f>IFERROR(__xludf.DUMMYFUNCTION("regexextract(B277,""[\w]* [\w]*"")"),"JaVale McGee")</f>
        <v>JaVale McGee</v>
      </c>
      <c r="P277" t="str">
        <f t="shared" si="2"/>
        <v>JaVale McGee</v>
      </c>
      <c r="Q277" t="str">
        <f t="shared" si="3"/>
        <v>JaVale McGee</v>
      </c>
      <c r="R277" t="s">
        <v>2640</v>
      </c>
      <c r="S277" s="417" t="s">
        <v>2640</v>
      </c>
      <c r="T277" t="s">
        <v>2640</v>
      </c>
      <c r="U277" t="s">
        <v>2640</v>
      </c>
      <c r="V277" t="s">
        <v>97</v>
      </c>
      <c r="W277" t="str">
        <f t="shared" si="1"/>
        <v>C</v>
      </c>
    </row>
    <row r="278">
      <c r="A278" s="457">
        <v>266.0</v>
      </c>
      <c r="B278" s="458" t="s">
        <v>2907</v>
      </c>
      <c r="C278" s="459"/>
      <c r="D278" s="459"/>
      <c r="E278" s="469">
        <v>1.7</v>
      </c>
      <c r="F278" s="469">
        <v>1.3</v>
      </c>
      <c r="G278" s="469">
        <v>2.9</v>
      </c>
      <c r="H278" s="469">
        <v>2.4</v>
      </c>
      <c r="I278" s="469">
        <v>0.9</v>
      </c>
      <c r="J278" s="469">
        <v>0.4</v>
      </c>
      <c r="K278" s="469">
        <v>1.2</v>
      </c>
      <c r="L278" s="469">
        <v>10.9</v>
      </c>
      <c r="M278" s="469">
        <v>2.1</v>
      </c>
      <c r="N278" s="473">
        <v>-0.2</v>
      </c>
      <c r="O278" t="str">
        <f>IFERROR(__xludf.DUMMYFUNCTION("regexextract(B278,""[\w]* [\w]*"")"),"Jordan Poole")</f>
        <v>Jordan Poole</v>
      </c>
      <c r="P278" t="str">
        <f t="shared" si="2"/>
        <v>Jordan Poole</v>
      </c>
      <c r="Q278" t="str">
        <f t="shared" si="3"/>
        <v>Jordan Poole</v>
      </c>
      <c r="R278" t="s">
        <v>85</v>
      </c>
      <c r="S278" s="417" t="s">
        <v>88</v>
      </c>
      <c r="T278" t="s">
        <v>2640</v>
      </c>
      <c r="U278" t="s">
        <v>2640</v>
      </c>
      <c r="V278" t="s">
        <v>2640</v>
      </c>
      <c r="W278" t="str">
        <f t="shared" si="1"/>
        <v>PGSG</v>
      </c>
    </row>
    <row r="279">
      <c r="A279" s="454">
        <v>267.0</v>
      </c>
      <c r="B279" s="455" t="s">
        <v>2908</v>
      </c>
      <c r="C279" s="456"/>
      <c r="D279" s="456"/>
      <c r="E279" s="468">
        <v>2.0</v>
      </c>
      <c r="F279" s="468">
        <v>0.7</v>
      </c>
      <c r="G279" s="468">
        <v>4.5</v>
      </c>
      <c r="H279" s="468">
        <v>1.5</v>
      </c>
      <c r="I279" s="468">
        <v>0.8</v>
      </c>
      <c r="J279" s="468">
        <v>0.6</v>
      </c>
      <c r="K279" s="468">
        <v>0.9</v>
      </c>
      <c r="L279" s="468">
        <v>8.6</v>
      </c>
      <c r="M279" s="468">
        <v>1.5</v>
      </c>
      <c r="N279" s="472">
        <v>-0.1</v>
      </c>
      <c r="O279" t="str">
        <f>IFERROR(__xludf.DUMMYFUNCTION("regexextract(B279,""[\w]* [\w]*"")"),"Juancho HernangomezDTD")</f>
        <v>Juancho HernangomezDTD</v>
      </c>
      <c r="P279" t="str">
        <f t="shared" si="2"/>
        <v>Juancho Hernangomez</v>
      </c>
      <c r="Q279" t="str">
        <f t="shared" si="3"/>
        <v>Juancho Hernangomez</v>
      </c>
      <c r="R279" t="s">
        <v>2640</v>
      </c>
      <c r="S279" s="417" t="s">
        <v>2640</v>
      </c>
      <c r="T279" t="s">
        <v>90</v>
      </c>
      <c r="U279" t="s">
        <v>92</v>
      </c>
      <c r="V279" t="s">
        <v>97</v>
      </c>
      <c r="W279" t="str">
        <f t="shared" si="1"/>
        <v>SFPFC</v>
      </c>
    </row>
    <row r="280">
      <c r="A280" s="457">
        <v>268.0</v>
      </c>
      <c r="B280" s="458" t="s">
        <v>2909</v>
      </c>
      <c r="C280" s="459"/>
      <c r="D280" s="459"/>
      <c r="E280" s="469">
        <v>1.0</v>
      </c>
      <c r="F280" s="469">
        <v>1.6</v>
      </c>
      <c r="G280" s="469">
        <v>5.2</v>
      </c>
      <c r="H280" s="469">
        <v>1.2</v>
      </c>
      <c r="I280" s="469">
        <v>0.4</v>
      </c>
      <c r="J280" s="469">
        <v>0.9</v>
      </c>
      <c r="K280" s="469">
        <v>0.7</v>
      </c>
      <c r="L280" s="469">
        <v>7.7</v>
      </c>
      <c r="M280" s="469">
        <v>0.6</v>
      </c>
      <c r="N280" s="470">
        <f>+0.1</f>
        <v>0.1</v>
      </c>
      <c r="O280" t="str">
        <f>IFERROR(__xludf.DUMMYFUNCTION("regexextract(B280,""[\w]* [\w]*"")"),"PJ Dozier")</f>
        <v>PJ Dozier</v>
      </c>
      <c r="P280" t="str">
        <f t="shared" si="2"/>
        <v>PJ Dozier</v>
      </c>
      <c r="Q280" t="str">
        <f t="shared" si="3"/>
        <v>PJ Dozier</v>
      </c>
      <c r="R280" t="s">
        <v>85</v>
      </c>
      <c r="S280" s="417" t="s">
        <v>2640</v>
      </c>
      <c r="T280" t="s">
        <v>2640</v>
      </c>
      <c r="U280" t="s">
        <v>2640</v>
      </c>
      <c r="V280" t="s">
        <v>2640</v>
      </c>
      <c r="W280" t="str">
        <f t="shared" si="1"/>
        <v>PG</v>
      </c>
    </row>
    <row r="281">
      <c r="A281" s="454">
        <v>269.0</v>
      </c>
      <c r="B281" s="455" t="s">
        <v>2910</v>
      </c>
      <c r="C281" s="456"/>
      <c r="D281" s="456"/>
      <c r="E281" s="468">
        <v>3.6</v>
      </c>
      <c r="F281" s="468">
        <v>2.0</v>
      </c>
      <c r="G281" s="468">
        <v>4.2</v>
      </c>
      <c r="H281" s="468">
        <v>1.6</v>
      </c>
      <c r="I281" s="468">
        <v>0.6</v>
      </c>
      <c r="J281" s="468">
        <v>0.2</v>
      </c>
      <c r="K281" s="468">
        <v>0.9</v>
      </c>
      <c r="L281" s="468">
        <v>13.7</v>
      </c>
      <c r="M281" s="468">
        <v>4.9</v>
      </c>
      <c r="N281" s="472">
        <v>-0.6</v>
      </c>
      <c r="O281" t="str">
        <f>IFERROR(__xludf.DUMMYFUNCTION("regexextract(B281,""[\w]* [\w]*"")"),"Torrey Craig")</f>
        <v>Torrey Craig</v>
      </c>
      <c r="P281" t="str">
        <f t="shared" si="2"/>
        <v>Torrey Craig</v>
      </c>
      <c r="Q281" t="str">
        <f t="shared" si="3"/>
        <v>Torrey Craig</v>
      </c>
      <c r="R281" t="s">
        <v>2640</v>
      </c>
      <c r="S281" s="417" t="s">
        <v>2640</v>
      </c>
      <c r="T281" t="s">
        <v>90</v>
      </c>
      <c r="U281" t="s">
        <v>2640</v>
      </c>
      <c r="V281" t="s">
        <v>97</v>
      </c>
      <c r="W281" t="str">
        <f t="shared" si="1"/>
        <v>SFC</v>
      </c>
    </row>
    <row r="282">
      <c r="A282" s="457">
        <v>270.0</v>
      </c>
      <c r="B282" s="458" t="s">
        <v>2911</v>
      </c>
      <c r="C282" s="459"/>
      <c r="D282" s="459"/>
      <c r="E282" s="469">
        <v>2.9</v>
      </c>
      <c r="F282" s="469">
        <v>0.1</v>
      </c>
      <c r="G282" s="469">
        <v>7.7</v>
      </c>
      <c r="H282" s="469">
        <v>0.8</v>
      </c>
      <c r="I282" s="469">
        <v>0.4</v>
      </c>
      <c r="J282" s="469">
        <v>0.9</v>
      </c>
      <c r="K282" s="469">
        <v>1.4</v>
      </c>
      <c r="L282" s="469">
        <v>7.0</v>
      </c>
      <c r="M282" s="469">
        <v>10.4</v>
      </c>
      <c r="N282" s="473">
        <v>-0.4</v>
      </c>
      <c r="O282" t="str">
        <f>IFERROR(__xludf.DUMMYFUNCTION("regexextract(B282,""[\w]* [\w]*"")"),"DeAndre Jordan")</f>
        <v>DeAndre Jordan</v>
      </c>
      <c r="P282" t="str">
        <f t="shared" si="2"/>
        <v>DeAndre Jordan</v>
      </c>
      <c r="Q282" t="str">
        <f t="shared" si="3"/>
        <v>DeAndre Jordan</v>
      </c>
      <c r="R282" t="s">
        <v>2640</v>
      </c>
      <c r="S282" s="417" t="s">
        <v>2640</v>
      </c>
      <c r="T282" t="s">
        <v>2640</v>
      </c>
      <c r="U282" t="s">
        <v>2640</v>
      </c>
      <c r="V282" t="s">
        <v>97</v>
      </c>
      <c r="W282" t="str">
        <f t="shared" si="1"/>
        <v>C</v>
      </c>
    </row>
    <row r="283">
      <c r="A283" s="454">
        <v>271.0</v>
      </c>
      <c r="B283" s="455" t="s">
        <v>2912</v>
      </c>
      <c r="C283" s="456"/>
      <c r="D283" s="456"/>
      <c r="E283" s="468">
        <v>1.6</v>
      </c>
      <c r="F283" s="468">
        <v>1.6</v>
      </c>
      <c r="G283" s="468">
        <v>2.4</v>
      </c>
      <c r="H283" s="468">
        <v>1.6</v>
      </c>
      <c r="I283" s="468">
        <v>0.8</v>
      </c>
      <c r="J283" s="468">
        <v>0.3</v>
      </c>
      <c r="K283" s="468">
        <v>0.9</v>
      </c>
      <c r="L283" s="468">
        <v>9.4</v>
      </c>
      <c r="M283" s="468">
        <v>3.5</v>
      </c>
      <c r="N283" s="472">
        <v>-0.6</v>
      </c>
      <c r="O283" t="str">
        <f>IFERROR(__xludf.DUMMYFUNCTION("regexextract(B283,""[\w]* [\w]*"")"),"Eric Paschall")</f>
        <v>Eric Paschall</v>
      </c>
      <c r="P283" t="str">
        <f t="shared" si="2"/>
        <v>Eric Paschall</v>
      </c>
      <c r="Q283" t="str">
        <f t="shared" si="3"/>
        <v>Eric Paschall</v>
      </c>
      <c r="R283" t="s">
        <v>2640</v>
      </c>
      <c r="S283" s="417" t="s">
        <v>2640</v>
      </c>
      <c r="T283" t="s">
        <v>2640</v>
      </c>
      <c r="U283" t="s">
        <v>92</v>
      </c>
      <c r="V283" t="s">
        <v>97</v>
      </c>
      <c r="W283" t="str">
        <f t="shared" si="1"/>
        <v>PFC</v>
      </c>
    </row>
    <row r="284">
      <c r="A284" s="457">
        <v>272.0</v>
      </c>
      <c r="B284" s="458" t="s">
        <v>2913</v>
      </c>
      <c r="C284" s="459"/>
      <c r="D284" s="459"/>
      <c r="E284" s="469">
        <v>2.5</v>
      </c>
      <c r="F284" s="469">
        <v>0.2</v>
      </c>
      <c r="G284" s="469">
        <v>4.7</v>
      </c>
      <c r="H284" s="469">
        <v>1.2</v>
      </c>
      <c r="I284" s="469">
        <v>0.7</v>
      </c>
      <c r="J284" s="469">
        <v>0.6</v>
      </c>
      <c r="K284" s="469">
        <v>0.8</v>
      </c>
      <c r="L284" s="469">
        <v>7.7</v>
      </c>
      <c r="M284" s="469">
        <v>0.4</v>
      </c>
      <c r="N284" s="470">
        <f>+0.1</f>
        <v>0.1</v>
      </c>
      <c r="O284" t="str">
        <f>IFERROR(__xludf.DUMMYFUNCTION("regexextract(B284,""[\w]* [\w]*"")"),"Aaron Holiday")</f>
        <v>Aaron Holiday</v>
      </c>
      <c r="P284" t="str">
        <f t="shared" si="2"/>
        <v>Aaron Holiday</v>
      </c>
      <c r="Q284" t="str">
        <f t="shared" si="3"/>
        <v>Aaron Holiday</v>
      </c>
      <c r="R284" t="s">
        <v>85</v>
      </c>
      <c r="S284" s="417" t="s">
        <v>88</v>
      </c>
      <c r="T284" t="s">
        <v>2640</v>
      </c>
      <c r="U284" t="s">
        <v>2640</v>
      </c>
      <c r="V284" t="s">
        <v>2640</v>
      </c>
      <c r="W284" t="str">
        <f t="shared" si="1"/>
        <v>PGSG</v>
      </c>
    </row>
    <row r="285">
      <c r="A285" s="454">
        <v>273.0</v>
      </c>
      <c r="B285" s="455" t="s">
        <v>2914</v>
      </c>
      <c r="C285" s="456"/>
      <c r="D285" s="456"/>
      <c r="E285" s="468">
        <v>1.8</v>
      </c>
      <c r="F285" s="468">
        <v>0.0</v>
      </c>
      <c r="G285" s="468">
        <v>5.2</v>
      </c>
      <c r="H285" s="468">
        <v>0.6</v>
      </c>
      <c r="I285" s="468">
        <v>0.7</v>
      </c>
      <c r="J285" s="468">
        <v>1.1</v>
      </c>
      <c r="K285" s="468">
        <v>0.9</v>
      </c>
      <c r="L285" s="468">
        <v>7.1</v>
      </c>
      <c r="M285" s="468">
        <v>0.7</v>
      </c>
      <c r="N285" s="468">
        <v>0.0</v>
      </c>
      <c r="O285" t="str">
        <f>IFERROR(__xludf.DUMMYFUNCTION("regexextract(B285,""[\w]* [\w]*"")"),"Raul Neto")</f>
        <v>Raul Neto</v>
      </c>
      <c r="P285" t="str">
        <f t="shared" si="2"/>
        <v>Raul Neto</v>
      </c>
      <c r="Q285" t="str">
        <f t="shared" si="3"/>
        <v>Raul Net</v>
      </c>
      <c r="R285" t="s">
        <v>85</v>
      </c>
      <c r="S285" s="417" t="s">
        <v>2640</v>
      </c>
      <c r="T285" t="s">
        <v>2640</v>
      </c>
      <c r="U285" t="s">
        <v>2640</v>
      </c>
      <c r="V285" t="s">
        <v>2640</v>
      </c>
      <c r="W285" t="str">
        <f t="shared" si="1"/>
        <v>PG</v>
      </c>
    </row>
    <row r="286">
      <c r="A286" s="457">
        <v>274.0</v>
      </c>
      <c r="B286" s="458" t="s">
        <v>2915</v>
      </c>
      <c r="C286" s="459"/>
      <c r="D286" s="459"/>
      <c r="E286" s="469">
        <v>0.9</v>
      </c>
      <c r="F286" s="469">
        <v>1.8</v>
      </c>
      <c r="G286" s="469">
        <v>2.9</v>
      </c>
      <c r="H286" s="469">
        <v>1.3</v>
      </c>
      <c r="I286" s="469">
        <v>0.9</v>
      </c>
      <c r="J286" s="469">
        <v>0.5</v>
      </c>
      <c r="K286" s="469">
        <v>0.7</v>
      </c>
      <c r="L286" s="469">
        <v>8.1</v>
      </c>
      <c r="M286" s="469">
        <v>3.0</v>
      </c>
      <c r="N286" s="473">
        <v>-0.4</v>
      </c>
      <c r="O286" t="str">
        <f>IFERROR(__xludf.DUMMYFUNCTION("regexextract(B286,""[\w]* [\w]*"")"),"Sterling Brown")</f>
        <v>Sterling Brown</v>
      </c>
      <c r="P286" t="str">
        <f t="shared" si="2"/>
        <v>Sterling Brown</v>
      </c>
      <c r="Q286" t="str">
        <f t="shared" si="3"/>
        <v>Sterling Brown</v>
      </c>
      <c r="R286" t="s">
        <v>2640</v>
      </c>
      <c r="S286" s="417" t="s">
        <v>88</v>
      </c>
      <c r="T286" t="s">
        <v>90</v>
      </c>
      <c r="U286" t="s">
        <v>2640</v>
      </c>
      <c r="V286" t="s">
        <v>2640</v>
      </c>
      <c r="W286" t="str">
        <f t="shared" si="1"/>
        <v>SGSF</v>
      </c>
    </row>
    <row r="287">
      <c r="A287" s="454">
        <v>275.0</v>
      </c>
      <c r="B287" s="455" t="s">
        <v>2916</v>
      </c>
      <c r="C287" s="456"/>
      <c r="D287" s="456"/>
      <c r="E287" s="468">
        <v>1.5</v>
      </c>
      <c r="F287" s="468">
        <v>1.7</v>
      </c>
      <c r="G287" s="468">
        <v>3.9</v>
      </c>
      <c r="H287" s="468">
        <v>1.7</v>
      </c>
      <c r="I287" s="468">
        <v>0.7</v>
      </c>
      <c r="J287" s="468">
        <v>0.4</v>
      </c>
      <c r="K287" s="468">
        <v>1.4</v>
      </c>
      <c r="L287" s="468">
        <v>9.9</v>
      </c>
      <c r="M287" s="468">
        <v>0.4</v>
      </c>
      <c r="N287" s="468">
        <v>0.0</v>
      </c>
      <c r="O287" t="str">
        <f>IFERROR(__xludf.DUMMYFUNCTION("regexextract(B287,""[\w]* [\w]*"")"),"Moritz Wagner")</f>
        <v>Moritz Wagner</v>
      </c>
      <c r="P287" t="str">
        <f t="shared" si="2"/>
        <v>Moritz Wagner</v>
      </c>
      <c r="Q287" t="str">
        <f t="shared" si="3"/>
        <v>Moritz Wagner</v>
      </c>
      <c r="R287" t="s">
        <v>2640</v>
      </c>
      <c r="S287" s="417" t="s">
        <v>2640</v>
      </c>
      <c r="T287" t="s">
        <v>2640</v>
      </c>
      <c r="U287" t="s">
        <v>92</v>
      </c>
      <c r="V287" t="s">
        <v>97</v>
      </c>
      <c r="W287" t="str">
        <f t="shared" si="1"/>
        <v>PFC</v>
      </c>
    </row>
    <row r="288">
      <c r="A288" s="457">
        <v>276.0</v>
      </c>
      <c r="B288" s="458" t="s">
        <v>2917</v>
      </c>
      <c r="C288" s="459"/>
      <c r="D288" s="459"/>
      <c r="E288" s="469">
        <v>1.1</v>
      </c>
      <c r="F288" s="469">
        <v>1.4</v>
      </c>
      <c r="G288" s="469">
        <v>4.1</v>
      </c>
      <c r="H288" s="469">
        <v>2.8</v>
      </c>
      <c r="I288" s="469">
        <v>0.8</v>
      </c>
      <c r="J288" s="469">
        <v>0.6</v>
      </c>
      <c r="K288" s="469">
        <v>1.0</v>
      </c>
      <c r="L288" s="469">
        <v>7.1</v>
      </c>
      <c r="M288" s="469">
        <v>1.5</v>
      </c>
      <c r="N288" s="473">
        <v>-0.2</v>
      </c>
      <c r="O288" t="str">
        <f>IFERROR(__xludf.DUMMYFUNCTION("regexextract(B288,""[\w]* [\w]*"")"),"Jalen McDaniels")</f>
        <v>Jalen McDaniels</v>
      </c>
      <c r="P288" t="str">
        <f t="shared" si="2"/>
        <v>Jalen McDaniels</v>
      </c>
      <c r="Q288" t="str">
        <f t="shared" si="3"/>
        <v>Jalen McDaniels</v>
      </c>
      <c r="R288" t="s">
        <v>2640</v>
      </c>
      <c r="S288" s="417" t="s">
        <v>2640</v>
      </c>
      <c r="T288" t="s">
        <v>2640</v>
      </c>
      <c r="U288" t="s">
        <v>92</v>
      </c>
      <c r="V288" t="s">
        <v>97</v>
      </c>
      <c r="W288" t="str">
        <f t="shared" si="1"/>
        <v>PFC</v>
      </c>
    </row>
    <row r="289">
      <c r="A289" s="454">
        <v>277.0</v>
      </c>
      <c r="B289" s="455" t="s">
        <v>2918</v>
      </c>
      <c r="C289" s="456"/>
      <c r="D289" s="456"/>
      <c r="E289" s="468">
        <v>0.6</v>
      </c>
      <c r="F289" s="468">
        <v>0.8</v>
      </c>
      <c r="G289" s="468">
        <v>3.0</v>
      </c>
      <c r="H289" s="468">
        <v>5.2</v>
      </c>
      <c r="I289" s="468">
        <v>0.9</v>
      </c>
      <c r="J289" s="468">
        <v>0.1</v>
      </c>
      <c r="K289" s="468">
        <v>2.0</v>
      </c>
      <c r="L289" s="468">
        <v>6.5</v>
      </c>
      <c r="M289" s="468">
        <v>3.1</v>
      </c>
      <c r="N289" s="471">
        <f>+0.3</f>
        <v>0.3</v>
      </c>
      <c r="O289" t="str">
        <f>IFERROR(__xludf.DUMMYFUNCTION("regexextract(B289,""[\w]* [\w]*"")"),"Dwayne Bacon")</f>
        <v>Dwayne Bacon</v>
      </c>
      <c r="P289" t="str">
        <f t="shared" si="2"/>
        <v>Dwayne Bacon</v>
      </c>
      <c r="Q289" t="str">
        <f t="shared" si="3"/>
        <v>Dwayne Bacon</v>
      </c>
      <c r="R289" t="s">
        <v>2640</v>
      </c>
      <c r="S289" s="417" t="s">
        <v>88</v>
      </c>
      <c r="T289" t="s">
        <v>2640</v>
      </c>
      <c r="U289" t="s">
        <v>2640</v>
      </c>
      <c r="V289" t="s">
        <v>97</v>
      </c>
      <c r="W289" t="str">
        <f t="shared" si="1"/>
        <v>SGC</v>
      </c>
    </row>
    <row r="290">
      <c r="A290" s="457">
        <v>278.0</v>
      </c>
      <c r="B290" s="458" t="s">
        <v>2919</v>
      </c>
      <c r="C290" s="459"/>
      <c r="D290" s="459"/>
      <c r="E290" s="469">
        <v>2.1</v>
      </c>
      <c r="F290" s="469">
        <v>0.0</v>
      </c>
      <c r="G290" s="469">
        <v>7.6</v>
      </c>
      <c r="H290" s="469">
        <v>1.4</v>
      </c>
      <c r="I290" s="469">
        <v>0.4</v>
      </c>
      <c r="J290" s="469">
        <v>0.6</v>
      </c>
      <c r="K290" s="469">
        <v>1.2</v>
      </c>
      <c r="L290" s="469">
        <v>7.9</v>
      </c>
      <c r="M290" s="469">
        <v>1.5</v>
      </c>
      <c r="N290" s="473">
        <v>-0.1</v>
      </c>
      <c r="O290" t="str">
        <f>IFERROR(__xludf.DUMMYFUNCTION("regexextract(B290,""[\w]* [\w]*"")"),"Damion Lee")</f>
        <v>Damion Lee</v>
      </c>
      <c r="P290" t="str">
        <f t="shared" si="2"/>
        <v>Damion Lee</v>
      </c>
      <c r="Q290" t="str">
        <f t="shared" si="3"/>
        <v>Damion Lee</v>
      </c>
      <c r="R290" t="s">
        <v>2640</v>
      </c>
      <c r="S290" s="417" t="s">
        <v>88</v>
      </c>
      <c r="T290" t="s">
        <v>90</v>
      </c>
      <c r="U290" t="s">
        <v>2640</v>
      </c>
      <c r="V290" t="s">
        <v>2640</v>
      </c>
      <c r="W290" t="str">
        <f t="shared" si="1"/>
        <v>SGSF</v>
      </c>
    </row>
    <row r="291">
      <c r="A291" s="454">
        <v>279.0</v>
      </c>
      <c r="B291" s="455" t="s">
        <v>2920</v>
      </c>
      <c r="C291" s="456"/>
      <c r="D291" s="456"/>
      <c r="E291" s="468">
        <v>2.1</v>
      </c>
      <c r="F291" s="468">
        <v>1.3</v>
      </c>
      <c r="G291" s="468">
        <v>3.3</v>
      </c>
      <c r="H291" s="468">
        <v>1.3</v>
      </c>
      <c r="I291" s="468">
        <v>0.5</v>
      </c>
      <c r="J291" s="468">
        <v>0.4</v>
      </c>
      <c r="K291" s="468">
        <v>0.8</v>
      </c>
      <c r="L291" s="468">
        <v>9.6</v>
      </c>
      <c r="M291" s="468">
        <v>1.8</v>
      </c>
      <c r="N291" s="472">
        <v>-0.4</v>
      </c>
      <c r="O291" t="str">
        <f>IFERROR(__xludf.DUMMYFUNCTION("regexextract(B291,""[\w]* [\w]*"")"),"Aaron Nesmith")</f>
        <v>Aaron Nesmith</v>
      </c>
      <c r="P291" t="str">
        <f t="shared" si="2"/>
        <v>Aaron Nesmith</v>
      </c>
      <c r="Q291" t="str">
        <f t="shared" si="3"/>
        <v>Aaron Nesmith</v>
      </c>
      <c r="R291" t="s">
        <v>2640</v>
      </c>
      <c r="S291" s="417" t="s">
        <v>2640</v>
      </c>
      <c r="T291" t="s">
        <v>90</v>
      </c>
      <c r="U291" t="s">
        <v>2640</v>
      </c>
      <c r="V291" t="s">
        <v>2640</v>
      </c>
      <c r="W291" t="str">
        <f t="shared" si="1"/>
        <v>SF</v>
      </c>
    </row>
    <row r="292">
      <c r="A292" s="457">
        <v>280.0</v>
      </c>
      <c r="B292" s="458" t="s">
        <v>2921</v>
      </c>
      <c r="C292" s="459"/>
      <c r="D292" s="459"/>
      <c r="E292" s="469">
        <v>1.0</v>
      </c>
      <c r="F292" s="469">
        <v>0.6</v>
      </c>
      <c r="G292" s="469">
        <v>2.5</v>
      </c>
      <c r="H292" s="469">
        <v>3.2</v>
      </c>
      <c r="I292" s="469">
        <v>0.8</v>
      </c>
      <c r="J292" s="469">
        <v>0.3</v>
      </c>
      <c r="K292" s="469">
        <v>1.0</v>
      </c>
      <c r="L292" s="469">
        <v>6.7</v>
      </c>
      <c r="M292" s="469">
        <v>2.1</v>
      </c>
      <c r="N292" s="473">
        <v>-0.7</v>
      </c>
      <c r="O292" t="str">
        <f>IFERROR(__xludf.DUMMYFUNCTION("regexextract(B292,""[\w]* [\w]*"")"),"Juan Toscano")</f>
        <v>Juan Toscano</v>
      </c>
      <c r="P292" t="str">
        <f t="shared" si="2"/>
        <v>Juan Toscano</v>
      </c>
      <c r="Q292" t="str">
        <f t="shared" si="3"/>
        <v>Juan Toscan</v>
      </c>
      <c r="R292" t="s">
        <v>2640</v>
      </c>
      <c r="S292" s="417" t="s">
        <v>2640</v>
      </c>
      <c r="T292" t="s">
        <v>90</v>
      </c>
      <c r="U292" t="s">
        <v>92</v>
      </c>
      <c r="V292" t="s">
        <v>97</v>
      </c>
      <c r="W292" t="str">
        <f t="shared" si="1"/>
        <v>SFPFC</v>
      </c>
    </row>
    <row r="293">
      <c r="A293" s="454">
        <v>281.0</v>
      </c>
      <c r="B293" s="455" t="s">
        <v>2922</v>
      </c>
      <c r="C293" s="456"/>
      <c r="D293" s="456"/>
      <c r="E293" s="468">
        <v>1.2</v>
      </c>
      <c r="F293" s="468">
        <v>2.1</v>
      </c>
      <c r="G293" s="468">
        <v>1.6</v>
      </c>
      <c r="H293" s="468">
        <v>2.1</v>
      </c>
      <c r="I293" s="468">
        <v>0.6</v>
      </c>
      <c r="J293" s="468">
        <v>0.1</v>
      </c>
      <c r="K293" s="468">
        <v>0.9</v>
      </c>
      <c r="L293" s="468">
        <v>9.8</v>
      </c>
      <c r="M293" s="468">
        <v>3.2</v>
      </c>
      <c r="N293" s="468">
        <v>0.0</v>
      </c>
      <c r="O293" t="str">
        <f>IFERROR(__xludf.DUMMYFUNCTION("regexextract(B293,""[\w]* [\w]*"")"),"Josh Okogie")</f>
        <v>Josh Okogie</v>
      </c>
      <c r="P293" t="str">
        <f t="shared" si="2"/>
        <v>Josh Okogie</v>
      </c>
      <c r="Q293" t="str">
        <f t="shared" si="3"/>
        <v>Josh Okogie</v>
      </c>
      <c r="R293" t="s">
        <v>2640</v>
      </c>
      <c r="S293" s="417" t="s">
        <v>88</v>
      </c>
      <c r="T293" t="s">
        <v>90</v>
      </c>
      <c r="U293" t="s">
        <v>2640</v>
      </c>
      <c r="V293" t="s">
        <v>2640</v>
      </c>
      <c r="W293" t="str">
        <f t="shared" si="1"/>
        <v>SGSF</v>
      </c>
    </row>
    <row r="294">
      <c r="A294" s="457">
        <v>282.0</v>
      </c>
      <c r="B294" s="458" t="s">
        <v>2923</v>
      </c>
      <c r="C294" s="459"/>
      <c r="D294" s="459"/>
      <c r="E294" s="469">
        <v>1.2</v>
      </c>
      <c r="F294" s="469">
        <v>1.0</v>
      </c>
      <c r="G294" s="469">
        <v>1.7</v>
      </c>
      <c r="H294" s="469">
        <v>3.0</v>
      </c>
      <c r="I294" s="469">
        <v>0.9</v>
      </c>
      <c r="J294" s="469">
        <v>0.2</v>
      </c>
      <c r="K294" s="469">
        <v>0.8</v>
      </c>
      <c r="L294" s="469">
        <v>8.5</v>
      </c>
      <c r="M294" s="469">
        <v>0.9</v>
      </c>
      <c r="N294" s="473">
        <v>-0.1</v>
      </c>
      <c r="O294" t="str">
        <f>IFERROR(__xludf.DUMMYFUNCTION("regexextract(B294,""[\w]* [\w]*"")"),"Andre Iguodala")</f>
        <v>Andre Iguodala</v>
      </c>
      <c r="P294" t="str">
        <f t="shared" si="2"/>
        <v>Andre Iguodala</v>
      </c>
      <c r="Q294" t="str">
        <f t="shared" si="3"/>
        <v>Andre Iguodala</v>
      </c>
      <c r="R294" t="s">
        <v>2640</v>
      </c>
      <c r="S294" s="417" t="s">
        <v>88</v>
      </c>
      <c r="T294" t="s">
        <v>90</v>
      </c>
      <c r="U294" t="s">
        <v>2640</v>
      </c>
      <c r="V294" t="s">
        <v>2640</v>
      </c>
      <c r="W294" t="str">
        <f t="shared" si="1"/>
        <v>SGSF</v>
      </c>
    </row>
    <row r="295">
      <c r="A295" s="454">
        <v>283.0</v>
      </c>
      <c r="B295" s="455" t="s">
        <v>2924</v>
      </c>
      <c r="C295" s="456"/>
      <c r="D295" s="456"/>
      <c r="E295" s="468">
        <v>1.9</v>
      </c>
      <c r="F295" s="468">
        <v>1.4</v>
      </c>
      <c r="G295" s="468">
        <v>2.3</v>
      </c>
      <c r="H295" s="468">
        <v>2.1</v>
      </c>
      <c r="I295" s="468">
        <v>0.9</v>
      </c>
      <c r="J295" s="468">
        <v>0.3</v>
      </c>
      <c r="K295" s="468">
        <v>1.7</v>
      </c>
      <c r="L295" s="468">
        <v>9.7</v>
      </c>
      <c r="M295" s="468">
        <v>3.2</v>
      </c>
      <c r="N295" s="472">
        <v>-0.5</v>
      </c>
      <c r="O295" t="str">
        <f>IFERROR(__xludf.DUMMYFUNCTION("regexextract(B295,""[\w]* [\w]*"")"),"Kevon Looney")</f>
        <v>Kevon Looney</v>
      </c>
      <c r="P295" t="str">
        <f t="shared" si="2"/>
        <v>Kevon Looney</v>
      </c>
      <c r="Q295" t="str">
        <f t="shared" si="3"/>
        <v>Kevon Looney</v>
      </c>
      <c r="R295" t="s">
        <v>2640</v>
      </c>
      <c r="S295" s="417" t="s">
        <v>2640</v>
      </c>
      <c r="T295" t="s">
        <v>2640</v>
      </c>
      <c r="U295" t="s">
        <v>92</v>
      </c>
      <c r="V295" t="s">
        <v>2640</v>
      </c>
      <c r="W295" t="str">
        <f t="shared" si="1"/>
        <v>PF</v>
      </c>
    </row>
    <row r="296">
      <c r="A296" s="457">
        <v>284.0</v>
      </c>
      <c r="B296" s="458" t="s">
        <v>2925</v>
      </c>
      <c r="C296" s="459"/>
      <c r="D296" s="459"/>
      <c r="E296" s="469">
        <v>2.2</v>
      </c>
      <c r="F296" s="469">
        <v>0.2</v>
      </c>
      <c r="G296" s="469">
        <v>2.4</v>
      </c>
      <c r="H296" s="469">
        <v>4.2</v>
      </c>
      <c r="I296" s="469">
        <v>0.8</v>
      </c>
      <c r="J296" s="469">
        <v>0.3</v>
      </c>
      <c r="K296" s="469">
        <v>1.3</v>
      </c>
      <c r="L296" s="469">
        <v>6.5</v>
      </c>
      <c r="M296" s="469">
        <v>0.2</v>
      </c>
      <c r="N296" s="470">
        <f>+0.1</f>
        <v>0.1</v>
      </c>
      <c r="O296" t="str">
        <f>IFERROR(__xludf.DUMMYFUNCTION("regexextract(B296,""[\w]* [\w]*"")"),"Mike Muscala")</f>
        <v>Mike Muscala</v>
      </c>
      <c r="P296" t="str">
        <f t="shared" si="2"/>
        <v>Mike Muscala</v>
      </c>
      <c r="Q296" t="str">
        <f t="shared" si="3"/>
        <v>Mike Muscala</v>
      </c>
      <c r="R296" t="s">
        <v>2640</v>
      </c>
      <c r="S296" s="417" t="s">
        <v>2640</v>
      </c>
      <c r="T296" t="s">
        <v>2640</v>
      </c>
      <c r="U296" t="s">
        <v>92</v>
      </c>
      <c r="V296" t="s">
        <v>97</v>
      </c>
      <c r="W296" t="str">
        <f t="shared" si="1"/>
        <v>PFC</v>
      </c>
    </row>
    <row r="297">
      <c r="A297" s="454">
        <v>285.0</v>
      </c>
      <c r="B297" s="455" t="s">
        <v>2926</v>
      </c>
      <c r="C297" s="456"/>
      <c r="D297" s="456"/>
      <c r="E297" s="468">
        <v>1.3</v>
      </c>
      <c r="F297" s="468">
        <v>0.6</v>
      </c>
      <c r="G297" s="468">
        <v>2.8</v>
      </c>
      <c r="H297" s="468">
        <v>2.7</v>
      </c>
      <c r="I297" s="468">
        <v>1.0</v>
      </c>
      <c r="J297" s="468">
        <v>0.3</v>
      </c>
      <c r="K297" s="468">
        <v>0.8</v>
      </c>
      <c r="L297" s="468">
        <v>6.3</v>
      </c>
      <c r="M297" s="468">
        <v>50.4</v>
      </c>
      <c r="N297" s="472">
        <v>-17.3</v>
      </c>
      <c r="O297" t="str">
        <f>IFERROR(__xludf.DUMMYFUNCTION("regexextract(B297,""[\w]* [\w]*"")"),"DeMarcus Cousins")</f>
        <v>DeMarcus Cousins</v>
      </c>
      <c r="P297" t="str">
        <f t="shared" si="2"/>
        <v>DeMarcus Cousins</v>
      </c>
      <c r="Q297" t="str">
        <f t="shared" si="3"/>
        <v>DeMarcus Cousins</v>
      </c>
      <c r="R297" t="s">
        <v>2640</v>
      </c>
      <c r="S297" s="417" t="s">
        <v>2640</v>
      </c>
      <c r="T297" t="s">
        <v>2640</v>
      </c>
      <c r="U297" t="s">
        <v>2640</v>
      </c>
      <c r="V297" t="s">
        <v>97</v>
      </c>
      <c r="W297" t="str">
        <f t="shared" si="1"/>
        <v>C</v>
      </c>
    </row>
    <row r="298">
      <c r="A298" s="457">
        <v>286.0</v>
      </c>
      <c r="B298" s="458" t="s">
        <v>2927</v>
      </c>
      <c r="C298" s="459"/>
      <c r="D298" s="459"/>
      <c r="E298" s="469">
        <v>0.6</v>
      </c>
      <c r="F298" s="469">
        <v>1.2</v>
      </c>
      <c r="G298" s="469">
        <v>4.6</v>
      </c>
      <c r="H298" s="469">
        <v>1.4</v>
      </c>
      <c r="I298" s="469">
        <v>0.6</v>
      </c>
      <c r="J298" s="469">
        <v>0.4</v>
      </c>
      <c r="K298" s="469">
        <v>0.6</v>
      </c>
      <c r="L298" s="469">
        <v>6.4</v>
      </c>
      <c r="M298" s="469">
        <v>0.8</v>
      </c>
      <c r="N298" s="469">
        <v>0.0</v>
      </c>
      <c r="O298" t="str">
        <f>IFERROR(__xludf.DUMMYFUNCTION("regexextract(B298,""[\w]* [\w]*"")"),"Jarrett CulverDTD")</f>
        <v>Jarrett CulverDTD</v>
      </c>
      <c r="P298" t="str">
        <f t="shared" si="2"/>
        <v>Jarrett Culver</v>
      </c>
      <c r="Q298" t="str">
        <f t="shared" si="3"/>
        <v>Jarrett Culver</v>
      </c>
      <c r="R298" t="s">
        <v>2640</v>
      </c>
      <c r="S298" s="417" t="s">
        <v>88</v>
      </c>
      <c r="T298" t="s">
        <v>90</v>
      </c>
      <c r="U298" t="s">
        <v>2640</v>
      </c>
      <c r="V298" t="s">
        <v>97</v>
      </c>
      <c r="W298" t="str">
        <f t="shared" si="1"/>
        <v>SGSFC</v>
      </c>
    </row>
    <row r="299">
      <c r="A299" s="454">
        <v>287.0</v>
      </c>
      <c r="B299" s="455" t="s">
        <v>2928</v>
      </c>
      <c r="C299" s="456"/>
      <c r="D299" s="456"/>
      <c r="E299" s="468">
        <v>1.4</v>
      </c>
      <c r="F299" s="468">
        <v>2.0</v>
      </c>
      <c r="G299" s="468">
        <v>2.8</v>
      </c>
      <c r="H299" s="468">
        <v>1.8</v>
      </c>
      <c r="I299" s="468">
        <v>0.4</v>
      </c>
      <c r="J299" s="468">
        <v>0.2</v>
      </c>
      <c r="K299" s="468">
        <v>1.0</v>
      </c>
      <c r="L299" s="468">
        <v>10.2</v>
      </c>
      <c r="M299" s="468">
        <v>0.6</v>
      </c>
      <c r="N299" s="468">
        <v>0.0</v>
      </c>
      <c r="O299" t="str">
        <f>IFERROR(__xludf.DUMMYFUNCTION("regexextract(B299,""[\w]* [\w]*"")"),"Bismack Biyombo")</f>
        <v>Bismack Biyombo</v>
      </c>
      <c r="P299" t="str">
        <f t="shared" si="2"/>
        <v>Bismack Biyombo</v>
      </c>
      <c r="Q299" t="str">
        <f t="shared" si="3"/>
        <v>Bismack Biyomb</v>
      </c>
      <c r="R299" t="s">
        <v>2640</v>
      </c>
      <c r="S299" s="417" t="s">
        <v>2640</v>
      </c>
      <c r="T299" t="s">
        <v>2640</v>
      </c>
      <c r="U299" t="s">
        <v>2640</v>
      </c>
      <c r="V299" t="s">
        <v>97</v>
      </c>
      <c r="W299" t="str">
        <f t="shared" si="1"/>
        <v>C</v>
      </c>
    </row>
    <row r="300">
      <c r="A300" s="457">
        <v>288.0</v>
      </c>
      <c r="B300" s="458" t="s">
        <v>2929</v>
      </c>
      <c r="C300" s="459"/>
      <c r="D300" s="459"/>
      <c r="E300" s="469">
        <v>1.6</v>
      </c>
      <c r="F300" s="469">
        <v>1.1</v>
      </c>
      <c r="G300" s="469">
        <v>2.5</v>
      </c>
      <c r="H300" s="469">
        <v>2.6</v>
      </c>
      <c r="I300" s="469">
        <v>0.8</v>
      </c>
      <c r="J300" s="469">
        <v>0.1</v>
      </c>
      <c r="K300" s="469">
        <v>1.0</v>
      </c>
      <c r="L300" s="469">
        <v>8.8</v>
      </c>
      <c r="M300" s="469">
        <v>0.4</v>
      </c>
      <c r="N300" s="470">
        <f t="shared" ref="N300:N301" si="11">+0.1</f>
        <v>0.1</v>
      </c>
      <c r="O300" t="str">
        <f>IFERROR(__xludf.DUMMYFUNCTION("regexextract(B300,""[\w]* [\w]*"")"),"Maurice Harkless")</f>
        <v>Maurice Harkless</v>
      </c>
      <c r="P300" t="str">
        <f t="shared" si="2"/>
        <v>Maurice Harkless</v>
      </c>
      <c r="Q300" t="str">
        <f t="shared" si="3"/>
        <v>Maurice Harkless</v>
      </c>
      <c r="R300" t="s">
        <v>2640</v>
      </c>
      <c r="S300" s="417" t="s">
        <v>2640</v>
      </c>
      <c r="T300" t="s">
        <v>90</v>
      </c>
      <c r="U300" t="s">
        <v>2640</v>
      </c>
      <c r="V300" t="s">
        <v>97</v>
      </c>
      <c r="W300" t="str">
        <f t="shared" si="1"/>
        <v>SFC</v>
      </c>
    </row>
    <row r="301">
      <c r="A301" s="454">
        <v>289.0</v>
      </c>
      <c r="B301" s="455" t="s">
        <v>2930</v>
      </c>
      <c r="C301" s="456"/>
      <c r="D301" s="456"/>
      <c r="E301" s="468">
        <v>1.3</v>
      </c>
      <c r="F301" s="468">
        <v>1.5</v>
      </c>
      <c r="G301" s="468">
        <v>2.8</v>
      </c>
      <c r="H301" s="468">
        <v>1.6</v>
      </c>
      <c r="I301" s="468">
        <v>0.6</v>
      </c>
      <c r="J301" s="468">
        <v>0.3</v>
      </c>
      <c r="K301" s="468">
        <v>1.0</v>
      </c>
      <c r="L301" s="468">
        <v>10.5</v>
      </c>
      <c r="M301" s="468">
        <v>1.1</v>
      </c>
      <c r="N301" s="471">
        <f t="shared" si="11"/>
        <v>0.1</v>
      </c>
      <c r="O301" t="str">
        <f>IFERROR(__xludf.DUMMYFUNCTION("regexextract(B301,""[\w]* [\w]*"")"),"James Johnson")</f>
        <v>James Johnson</v>
      </c>
      <c r="P301" t="str">
        <f t="shared" si="2"/>
        <v>James Johnson</v>
      </c>
      <c r="Q301" t="str">
        <f t="shared" si="3"/>
        <v>James Johnson</v>
      </c>
      <c r="R301" t="s">
        <v>2640</v>
      </c>
      <c r="S301" s="417" t="s">
        <v>2640</v>
      </c>
      <c r="T301" t="s">
        <v>90</v>
      </c>
      <c r="U301" t="s">
        <v>92</v>
      </c>
      <c r="V301" t="s">
        <v>2640</v>
      </c>
      <c r="W301" t="str">
        <f t="shared" si="1"/>
        <v>SFPF</v>
      </c>
    </row>
    <row r="302">
      <c r="A302" s="457">
        <v>290.0</v>
      </c>
      <c r="B302" s="458" t="s">
        <v>2931</v>
      </c>
      <c r="C302" s="459"/>
      <c r="D302" s="459"/>
      <c r="E302" s="469">
        <v>2.0</v>
      </c>
      <c r="F302" s="469">
        <v>1.3</v>
      </c>
      <c r="G302" s="469">
        <v>1.8</v>
      </c>
      <c r="H302" s="469">
        <v>3.7</v>
      </c>
      <c r="I302" s="469">
        <v>0.5</v>
      </c>
      <c r="J302" s="469">
        <v>0.0</v>
      </c>
      <c r="K302" s="469">
        <v>1.2</v>
      </c>
      <c r="L302" s="469">
        <v>8.3</v>
      </c>
      <c r="M302" s="469">
        <v>0.2</v>
      </c>
      <c r="N302" s="469">
        <v>0.0</v>
      </c>
      <c r="O302" t="str">
        <f>IFERROR(__xludf.DUMMYFUNCTION("regexextract(B302,""[\w]* [\w]*"")"),"Cody Martin")</f>
        <v>Cody Martin</v>
      </c>
      <c r="P302" t="str">
        <f t="shared" si="2"/>
        <v>Cody Martin</v>
      </c>
      <c r="Q302" t="str">
        <f t="shared" si="3"/>
        <v>Cody Martin</v>
      </c>
      <c r="R302" t="s">
        <v>2640</v>
      </c>
      <c r="S302" s="417" t="s">
        <v>2640</v>
      </c>
      <c r="T302" t="s">
        <v>90</v>
      </c>
      <c r="U302" t="s">
        <v>2640</v>
      </c>
      <c r="V302" t="s">
        <v>97</v>
      </c>
      <c r="W302" t="str">
        <f t="shared" si="1"/>
        <v>SFC</v>
      </c>
    </row>
    <row r="303">
      <c r="A303" s="454">
        <v>291.0</v>
      </c>
      <c r="B303" s="455" t="s">
        <v>2932</v>
      </c>
      <c r="C303" s="456"/>
      <c r="D303" s="456"/>
      <c r="E303" s="468">
        <v>1.4</v>
      </c>
      <c r="F303" s="468">
        <v>0.8</v>
      </c>
      <c r="G303" s="468">
        <v>5.8</v>
      </c>
      <c r="H303" s="468">
        <v>0.8</v>
      </c>
      <c r="I303" s="468">
        <v>0.3</v>
      </c>
      <c r="J303" s="468">
        <v>1.3</v>
      </c>
      <c r="K303" s="468">
        <v>0.8</v>
      </c>
      <c r="L303" s="468">
        <v>7.8</v>
      </c>
      <c r="M303" s="468">
        <v>5.0</v>
      </c>
      <c r="N303" s="472">
        <v>-0.7</v>
      </c>
      <c r="O303" t="str">
        <f>IFERROR(__xludf.DUMMYFUNCTION("regexextract(B303,""[\w]* [\w]*"")"),"Michael Carter")</f>
        <v>Michael Carter</v>
      </c>
      <c r="P303" t="str">
        <f t="shared" si="2"/>
        <v>Michael Carter</v>
      </c>
      <c r="Q303" t="str">
        <f t="shared" si="3"/>
        <v>Michael Carter</v>
      </c>
      <c r="R303" t="s">
        <v>85</v>
      </c>
      <c r="S303" s="417" t="s">
        <v>2640</v>
      </c>
      <c r="T303" t="s">
        <v>2640</v>
      </c>
      <c r="U303" t="s">
        <v>2640</v>
      </c>
      <c r="V303" t="s">
        <v>97</v>
      </c>
      <c r="W303" t="str">
        <f t="shared" si="1"/>
        <v>PGC</v>
      </c>
    </row>
    <row r="304">
      <c r="A304" s="457">
        <v>292.0</v>
      </c>
      <c r="B304" s="458" t="s">
        <v>2933</v>
      </c>
      <c r="C304" s="459"/>
      <c r="D304" s="459"/>
      <c r="E304" s="469">
        <v>1.0</v>
      </c>
      <c r="F304" s="469">
        <v>1.3</v>
      </c>
      <c r="G304" s="469">
        <v>5.4</v>
      </c>
      <c r="H304" s="469">
        <v>0.8</v>
      </c>
      <c r="I304" s="469">
        <v>0.5</v>
      </c>
      <c r="J304" s="469">
        <v>0.4</v>
      </c>
      <c r="K304" s="469">
        <v>1.0</v>
      </c>
      <c r="L304" s="469">
        <v>7.8</v>
      </c>
      <c r="M304" s="469">
        <v>0.4</v>
      </c>
      <c r="N304" s="469">
        <v>0.0</v>
      </c>
      <c r="O304" t="str">
        <f>IFERROR(__xludf.DUMMYFUNCTION("regexextract(B304,""[\w]* [\w]*"")"),"Farouq Aminu")</f>
        <v>Farouq Aminu</v>
      </c>
      <c r="P304" t="str">
        <f t="shared" si="2"/>
        <v>Farouq Aminu</v>
      </c>
      <c r="Q304" t="str">
        <f t="shared" si="3"/>
        <v>Farouq Aminu</v>
      </c>
      <c r="R304" t="s">
        <v>2640</v>
      </c>
      <c r="S304" s="417" t="s">
        <v>2640</v>
      </c>
      <c r="T304" t="s">
        <v>2640</v>
      </c>
      <c r="U304" t="s">
        <v>92</v>
      </c>
      <c r="V304" t="s">
        <v>2640</v>
      </c>
      <c r="W304" t="str">
        <f t="shared" si="1"/>
        <v>PF</v>
      </c>
    </row>
    <row r="305">
      <c r="A305" s="454">
        <v>293.0</v>
      </c>
      <c r="B305" s="455" t="s">
        <v>2934</v>
      </c>
      <c r="C305" s="456"/>
      <c r="D305" s="456"/>
      <c r="E305" s="468">
        <v>1.4</v>
      </c>
      <c r="F305" s="468">
        <v>1.5</v>
      </c>
      <c r="G305" s="468">
        <v>3.4</v>
      </c>
      <c r="H305" s="468">
        <v>1.3</v>
      </c>
      <c r="I305" s="468">
        <v>0.7</v>
      </c>
      <c r="J305" s="468">
        <v>0.4</v>
      </c>
      <c r="K305" s="468">
        <v>0.8</v>
      </c>
      <c r="L305" s="468">
        <v>8.2</v>
      </c>
      <c r="M305" s="468">
        <v>0.3</v>
      </c>
      <c r="N305" s="471">
        <f>+0.1</f>
        <v>0.1</v>
      </c>
      <c r="O305" t="str">
        <f>IFERROR(__xludf.DUMMYFUNCTION("regexextract(B305,""[\w]* [\w]*"")")," Wilson")</f>
        <v> Wilson</v>
      </c>
      <c r="P305" t="str">
        <f t="shared" si="2"/>
        <v> Wilson</v>
      </c>
      <c r="Q305" t="str">
        <f t="shared" si="3"/>
        <v> Wilson</v>
      </c>
      <c r="R305" t="s">
        <v>2640</v>
      </c>
      <c r="S305" s="417" t="s">
        <v>2640</v>
      </c>
      <c r="T305" t="s">
        <v>2640</v>
      </c>
      <c r="U305" t="s">
        <v>92</v>
      </c>
      <c r="V305" t="s">
        <v>97</v>
      </c>
      <c r="W305" t="str">
        <f t="shared" si="1"/>
        <v>PFC</v>
      </c>
    </row>
    <row r="306">
      <c r="A306" s="457">
        <v>294.0</v>
      </c>
      <c r="B306" s="458" t="s">
        <v>2935</v>
      </c>
      <c r="C306" s="459"/>
      <c r="D306" s="459"/>
      <c r="E306" s="469">
        <v>2.4</v>
      </c>
      <c r="F306" s="469">
        <v>1.5</v>
      </c>
      <c r="G306" s="469">
        <v>3.5</v>
      </c>
      <c r="H306" s="469">
        <v>1.3</v>
      </c>
      <c r="I306" s="469">
        <v>1.1</v>
      </c>
      <c r="J306" s="469">
        <v>0.4</v>
      </c>
      <c r="K306" s="469">
        <v>1.4</v>
      </c>
      <c r="L306" s="469">
        <v>11.0</v>
      </c>
      <c r="M306" s="469">
        <v>3.9</v>
      </c>
      <c r="N306" s="473">
        <v>-0.2</v>
      </c>
      <c r="O306" t="str">
        <f>IFERROR(__xludf.DUMMYFUNCTION("regexextract(B306,""[\w]* [\w]*"")"),"Trey Burke")</f>
        <v>Trey Burke</v>
      </c>
      <c r="P306" t="str">
        <f t="shared" si="2"/>
        <v>Trey Burke</v>
      </c>
      <c r="Q306" t="str">
        <f t="shared" si="3"/>
        <v>Trey Burke</v>
      </c>
      <c r="R306" t="s">
        <v>85</v>
      </c>
      <c r="S306" s="417" t="s">
        <v>88</v>
      </c>
      <c r="T306" t="s">
        <v>2640</v>
      </c>
      <c r="U306" t="s">
        <v>2640</v>
      </c>
      <c r="V306" t="s">
        <v>2640</v>
      </c>
      <c r="W306" t="str">
        <f t="shared" si="1"/>
        <v>PGSG</v>
      </c>
    </row>
    <row r="307">
      <c r="A307" s="454">
        <v>295.0</v>
      </c>
      <c r="B307" s="455" t="s">
        <v>2936</v>
      </c>
      <c r="C307" s="456"/>
      <c r="D307" s="456"/>
      <c r="E307" s="468">
        <v>1.3</v>
      </c>
      <c r="F307" s="468">
        <v>2.1</v>
      </c>
      <c r="G307" s="468">
        <v>1.8</v>
      </c>
      <c r="H307" s="468">
        <v>1.6</v>
      </c>
      <c r="I307" s="468">
        <v>0.5</v>
      </c>
      <c r="J307" s="468">
        <v>0.2</v>
      </c>
      <c r="K307" s="468">
        <v>0.7</v>
      </c>
      <c r="L307" s="468">
        <v>9.4</v>
      </c>
      <c r="M307" s="468">
        <v>0.6</v>
      </c>
      <c r="N307" s="472">
        <v>-0.1</v>
      </c>
      <c r="O307" t="str">
        <f>IFERROR(__xludf.DUMMYFUNCTION("regexextract(B307,""[\w]* [\w]*"")"),"Zach CollinsO")</f>
        <v>Zach CollinsO</v>
      </c>
      <c r="P307" t="str">
        <f t="shared" si="2"/>
        <v>Zach CollinsO</v>
      </c>
      <c r="Q307" t="str">
        <f t="shared" si="3"/>
        <v>Zach Collins</v>
      </c>
      <c r="R307" t="s">
        <v>2640</v>
      </c>
      <c r="S307" s="417" t="s">
        <v>2640</v>
      </c>
      <c r="T307" t="s">
        <v>2640</v>
      </c>
      <c r="U307" t="s">
        <v>2640</v>
      </c>
      <c r="V307" t="s">
        <v>97</v>
      </c>
      <c r="W307" t="str">
        <f t="shared" si="1"/>
        <v>C</v>
      </c>
    </row>
    <row r="308">
      <c r="A308" s="457">
        <v>296.0</v>
      </c>
      <c r="B308" s="458" t="s">
        <v>2937</v>
      </c>
      <c r="C308" s="459"/>
      <c r="D308" s="459"/>
      <c r="E308" s="469">
        <v>0.9</v>
      </c>
      <c r="F308" s="469">
        <v>1.1</v>
      </c>
      <c r="G308" s="469">
        <v>5.3</v>
      </c>
      <c r="H308" s="469">
        <v>1.3</v>
      </c>
      <c r="I308" s="469">
        <v>0.7</v>
      </c>
      <c r="J308" s="469">
        <v>0.3</v>
      </c>
      <c r="K308" s="469">
        <v>0.7</v>
      </c>
      <c r="L308" s="469">
        <v>7.0</v>
      </c>
      <c r="M308" s="469">
        <v>1.1</v>
      </c>
      <c r="N308" s="473">
        <v>-0.1</v>
      </c>
      <c r="O308" t="str">
        <f>IFERROR(__xludf.DUMMYFUNCTION("regexextract(B308,""[\w]* [\w]*"")"),"Edmond SumnerO")</f>
        <v>Edmond SumnerO</v>
      </c>
      <c r="P308" t="str">
        <f t="shared" si="2"/>
        <v>Edmond SumnerO</v>
      </c>
      <c r="Q308" t="str">
        <f t="shared" si="3"/>
        <v>Edmond Sumner</v>
      </c>
      <c r="R308" t="s">
        <v>2640</v>
      </c>
      <c r="S308" s="417" t="s">
        <v>88</v>
      </c>
      <c r="T308" t="s">
        <v>2640</v>
      </c>
      <c r="U308" t="s">
        <v>2640</v>
      </c>
      <c r="V308" t="s">
        <v>2640</v>
      </c>
      <c r="W308" t="str">
        <f t="shared" si="1"/>
        <v>SG</v>
      </c>
    </row>
    <row r="309">
      <c r="A309" s="454">
        <v>297.0</v>
      </c>
      <c r="B309" s="455" t="s">
        <v>2938</v>
      </c>
      <c r="C309" s="456"/>
      <c r="D309" s="456"/>
      <c r="E309" s="468">
        <v>2.1</v>
      </c>
      <c r="F309" s="468">
        <v>0.1</v>
      </c>
      <c r="G309" s="468">
        <v>6.2</v>
      </c>
      <c r="H309" s="468">
        <v>1.0</v>
      </c>
      <c r="I309" s="468">
        <v>0.4</v>
      </c>
      <c r="J309" s="468">
        <v>0.4</v>
      </c>
      <c r="K309" s="468">
        <v>0.8</v>
      </c>
      <c r="L309" s="468">
        <v>7.3</v>
      </c>
      <c r="M309" s="468">
        <v>0.6</v>
      </c>
      <c r="N309" s="472">
        <v>-0.1</v>
      </c>
      <c r="O309" t="str">
        <f>IFERROR(__xludf.DUMMYFUNCTION("regexextract(B309,""[\w]* [\w]*"")"),"Georges Niang")</f>
        <v>Georges Niang</v>
      </c>
      <c r="P309" t="str">
        <f t="shared" si="2"/>
        <v>Georges Niang</v>
      </c>
      <c r="Q309" t="str">
        <f t="shared" si="3"/>
        <v>Georges Niang</v>
      </c>
      <c r="R309" t="s">
        <v>2640</v>
      </c>
      <c r="S309" s="417" t="s">
        <v>2640</v>
      </c>
      <c r="T309" t="s">
        <v>2640</v>
      </c>
      <c r="U309" t="s">
        <v>92</v>
      </c>
      <c r="V309" t="s">
        <v>2640</v>
      </c>
      <c r="W309" t="str">
        <f t="shared" si="1"/>
        <v>PF</v>
      </c>
    </row>
    <row r="310">
      <c r="A310" s="457">
        <v>298.0</v>
      </c>
      <c r="B310" s="458" t="s">
        <v>2939</v>
      </c>
      <c r="C310" s="459"/>
      <c r="D310" s="459"/>
      <c r="E310" s="469">
        <v>1.5</v>
      </c>
      <c r="F310" s="469">
        <v>0.6</v>
      </c>
      <c r="G310" s="469">
        <v>4.2</v>
      </c>
      <c r="H310" s="469">
        <v>1.1</v>
      </c>
      <c r="I310" s="469">
        <v>0.7</v>
      </c>
      <c r="J310" s="469">
        <v>0.6</v>
      </c>
      <c r="K310" s="469">
        <v>0.8</v>
      </c>
      <c r="L310" s="469">
        <v>6.5</v>
      </c>
      <c r="M310" s="469">
        <v>0.2</v>
      </c>
      <c r="N310" s="469">
        <v>0.0</v>
      </c>
      <c r="O310" t="str">
        <f>IFERROR(__xludf.DUMMYFUNCTION("regexextract(B310,""[\w]* [\w]*"")"),"Aron Baynes")</f>
        <v>Aron Baynes</v>
      </c>
      <c r="P310" t="str">
        <f t="shared" si="2"/>
        <v>Aron Baynes</v>
      </c>
      <c r="Q310" t="str">
        <f t="shared" si="3"/>
        <v>Aron Baynes</v>
      </c>
      <c r="R310" t="s">
        <v>2640</v>
      </c>
      <c r="S310" s="417" t="s">
        <v>2640</v>
      </c>
      <c r="T310" t="s">
        <v>2640</v>
      </c>
      <c r="U310" t="s">
        <v>2640</v>
      </c>
      <c r="V310" t="s">
        <v>97</v>
      </c>
      <c r="W310" t="str">
        <f t="shared" si="1"/>
        <v>C</v>
      </c>
    </row>
    <row r="311">
      <c r="A311" s="454">
        <v>299.0</v>
      </c>
      <c r="B311" s="455" t="s">
        <v>2940</v>
      </c>
      <c r="C311" s="456"/>
      <c r="D311" s="456"/>
      <c r="E311" s="468">
        <v>1.0</v>
      </c>
      <c r="F311" s="468">
        <v>1.3</v>
      </c>
      <c r="G311" s="468">
        <v>2.7</v>
      </c>
      <c r="H311" s="468">
        <v>2.0</v>
      </c>
      <c r="I311" s="468">
        <v>0.7</v>
      </c>
      <c r="J311" s="468">
        <v>0.4</v>
      </c>
      <c r="K311" s="468">
        <v>0.9</v>
      </c>
      <c r="L311" s="468">
        <v>7.5</v>
      </c>
      <c r="M311" s="468">
        <v>0.2</v>
      </c>
      <c r="N311" s="468">
        <v>0.0</v>
      </c>
      <c r="O311" t="str">
        <f>IFERROR(__xludf.DUMMYFUNCTION("regexextract(B311,""[\w]* [\w]*"")"),"Brad Wanamaker")</f>
        <v>Brad Wanamaker</v>
      </c>
      <c r="P311" t="str">
        <f t="shared" si="2"/>
        <v>Brad Wanamaker</v>
      </c>
      <c r="Q311" t="str">
        <f t="shared" si="3"/>
        <v>Brad Wanamaker</v>
      </c>
      <c r="R311" t="s">
        <v>85</v>
      </c>
      <c r="S311" s="417" t="s">
        <v>2640</v>
      </c>
      <c r="T311" t="s">
        <v>2640</v>
      </c>
      <c r="U311" t="s">
        <v>2640</v>
      </c>
      <c r="V311" t="s">
        <v>97</v>
      </c>
      <c r="W311" t="str">
        <f t="shared" si="1"/>
        <v>PGC</v>
      </c>
    </row>
    <row r="312">
      <c r="A312" s="457">
        <v>300.0</v>
      </c>
      <c r="B312" s="458" t="s">
        <v>2941</v>
      </c>
      <c r="C312" s="459"/>
      <c r="D312" s="459"/>
      <c r="E312" s="469">
        <v>2.7</v>
      </c>
      <c r="F312" s="469">
        <v>2.3</v>
      </c>
      <c r="G312" s="469">
        <v>1.7</v>
      </c>
      <c r="H312" s="469">
        <v>1.7</v>
      </c>
      <c r="I312" s="469">
        <v>0.5</v>
      </c>
      <c r="J312" s="469">
        <v>0.3</v>
      </c>
      <c r="K312" s="469">
        <v>1.2</v>
      </c>
      <c r="L312" s="469">
        <v>13.4</v>
      </c>
      <c r="M312" s="469">
        <v>5.2</v>
      </c>
      <c r="N312" s="473">
        <v>-1.5</v>
      </c>
      <c r="O312" t="str">
        <f>IFERROR(__xludf.DUMMYFUNCTION("regexextract(B312,""[\w]* [\w]*"")"),"Robin Lopez")</f>
        <v>Robin Lopez</v>
      </c>
      <c r="P312" t="str">
        <f t="shared" si="2"/>
        <v>Robin Lopez</v>
      </c>
      <c r="Q312" t="str">
        <f t="shared" si="3"/>
        <v>Robin Lopez</v>
      </c>
      <c r="R312" t="s">
        <v>2640</v>
      </c>
      <c r="S312" s="417" t="s">
        <v>2640</v>
      </c>
      <c r="T312" t="s">
        <v>2640</v>
      </c>
      <c r="U312" t="s">
        <v>2640</v>
      </c>
      <c r="V312" t="s">
        <v>97</v>
      </c>
      <c r="W312" t="str">
        <f t="shared" si="1"/>
        <v>C</v>
      </c>
    </row>
    <row r="313">
      <c r="A313" s="464" t="s">
        <v>2942</v>
      </c>
      <c r="M313" s="464" t="s">
        <v>2740</v>
      </c>
      <c r="O313" t="str">
        <f>IFERROR(__xludf.DUMMYFUNCTION("regexextract(B313,""[\w]* [\w]*"")"),"#N/A")</f>
        <v>#N/A</v>
      </c>
      <c r="P313" t="str">
        <f t="shared" si="2"/>
        <v>#N/A</v>
      </c>
      <c r="Q313" t="str">
        <f t="shared" si="3"/>
        <v>#N/A</v>
      </c>
      <c r="R313" t="s">
        <v>2640</v>
      </c>
      <c r="S313" s="417" t="s">
        <v>2640</v>
      </c>
      <c r="T313" t="s">
        <v>2640</v>
      </c>
      <c r="U313" t="s">
        <v>2640</v>
      </c>
      <c r="V313" t="s">
        <v>2640</v>
      </c>
      <c r="W313" t="str">
        <f t="shared" si="1"/>
        <v/>
      </c>
    </row>
    <row r="314">
      <c r="A314" s="465" t="s">
        <v>365</v>
      </c>
      <c r="B314" s="465" t="s">
        <v>8</v>
      </c>
      <c r="C314" s="465" t="s">
        <v>19</v>
      </c>
      <c r="D314" s="465" t="s">
        <v>10</v>
      </c>
      <c r="E314" s="465" t="s">
        <v>20</v>
      </c>
      <c r="F314" s="466">
        <v>0.625</v>
      </c>
      <c r="G314" s="465" t="s">
        <v>101</v>
      </c>
      <c r="H314" s="465" t="s">
        <v>15</v>
      </c>
      <c r="I314" s="465" t="s">
        <v>16</v>
      </c>
      <c r="J314" s="465" t="s">
        <v>17</v>
      </c>
      <c r="K314" s="465" t="s">
        <v>18</v>
      </c>
      <c r="L314" s="465" t="s">
        <v>13</v>
      </c>
      <c r="M314" s="465" t="s">
        <v>2741</v>
      </c>
      <c r="N314" s="467" t="str">
        <f>+/-</f>
        <v>#ERROR!</v>
      </c>
      <c r="O314" t="str">
        <f>IFERROR(__xludf.DUMMYFUNCTION("regexextract(B314,""[\w]* [\w]*"")"),"#N/A")</f>
        <v>#N/A</v>
      </c>
      <c r="P314" t="str">
        <f t="shared" si="2"/>
        <v>#N/A</v>
      </c>
      <c r="Q314" t="str">
        <f t="shared" si="3"/>
        <v>#N/A</v>
      </c>
      <c r="R314" t="s">
        <v>2640</v>
      </c>
      <c r="S314" s="417" t="s">
        <v>2640</v>
      </c>
      <c r="T314" t="s">
        <v>2640</v>
      </c>
      <c r="U314" t="s">
        <v>2640</v>
      </c>
      <c r="V314" t="s">
        <v>2640</v>
      </c>
      <c r="W314" t="str">
        <f t="shared" si="1"/>
        <v/>
      </c>
    </row>
    <row r="315">
      <c r="A315" s="468">
        <v>19.2</v>
      </c>
      <c r="B315" s="468">
        <v>2.5</v>
      </c>
      <c r="C315" s="468">
        <v>6.1</v>
      </c>
      <c r="D315" s="468">
        <v>1.1</v>
      </c>
      <c r="E315" s="468">
        <v>1.5</v>
      </c>
      <c r="F315" s="468">
        <v>1.0</v>
      </c>
      <c r="G315" s="468">
        <v>3.3</v>
      </c>
      <c r="H315" s="468">
        <v>1.4</v>
      </c>
      <c r="I315" s="468">
        <v>0.9</v>
      </c>
      <c r="J315" s="468">
        <v>0.5</v>
      </c>
      <c r="K315" s="468">
        <v>1.2</v>
      </c>
      <c r="L315" s="468">
        <v>7.2</v>
      </c>
      <c r="M315" s="468">
        <v>1.1</v>
      </c>
      <c r="N315" s="472">
        <v>-0.2</v>
      </c>
      <c r="O315" t="str">
        <f>IFERROR(__xludf.DUMMYFUNCTION("regexextract(B315,""[\w]* [\w]*"")"),"#VALUE!")</f>
        <v>#VALUE!</v>
      </c>
      <c r="P315" t="str">
        <f t="shared" si="2"/>
        <v>#VALUE!</v>
      </c>
      <c r="Q315" t="str">
        <f t="shared" si="3"/>
        <v>#VALUE!</v>
      </c>
      <c r="R315" t="s">
        <v>2640</v>
      </c>
      <c r="S315" s="417" t="s">
        <v>2640</v>
      </c>
      <c r="T315" t="s">
        <v>2640</v>
      </c>
      <c r="U315" t="s">
        <v>2640</v>
      </c>
      <c r="V315" t="s">
        <v>2640</v>
      </c>
      <c r="W315" t="str">
        <f t="shared" si="1"/>
        <v/>
      </c>
    </row>
    <row r="316">
      <c r="A316" s="469">
        <v>20.0</v>
      </c>
      <c r="B316" s="469">
        <v>2.2</v>
      </c>
      <c r="C316" s="469">
        <v>5.1</v>
      </c>
      <c r="D316" s="469">
        <v>1.0</v>
      </c>
      <c r="E316" s="469">
        <v>1.4</v>
      </c>
      <c r="F316" s="469">
        <v>0.9</v>
      </c>
      <c r="G316" s="469">
        <v>2.6</v>
      </c>
      <c r="H316" s="469">
        <v>2.5</v>
      </c>
      <c r="I316" s="469">
        <v>1.1</v>
      </c>
      <c r="J316" s="469">
        <v>0.3</v>
      </c>
      <c r="K316" s="469">
        <v>1.2</v>
      </c>
      <c r="L316" s="469">
        <v>6.3</v>
      </c>
      <c r="M316" s="469">
        <v>5.8</v>
      </c>
      <c r="N316" s="473">
        <v>-0.2</v>
      </c>
      <c r="O316" t="str">
        <f>IFERROR(__xludf.DUMMYFUNCTION("regexextract(B316,""[\w]* [\w]*"")"),"#VALUE!")</f>
        <v>#VALUE!</v>
      </c>
      <c r="P316" t="str">
        <f t="shared" si="2"/>
        <v>#VALUE!</v>
      </c>
      <c r="Q316" t="str">
        <f t="shared" si="3"/>
        <v>#VALUE!</v>
      </c>
      <c r="R316" t="s">
        <v>2640</v>
      </c>
      <c r="S316" s="417" t="s">
        <v>2640</v>
      </c>
      <c r="T316" t="s">
        <v>2640</v>
      </c>
      <c r="U316" t="s">
        <v>2640</v>
      </c>
      <c r="V316" t="s">
        <v>2640</v>
      </c>
      <c r="W316" t="str">
        <f t="shared" si="1"/>
        <v/>
      </c>
    </row>
    <row r="317">
      <c r="A317" s="468">
        <v>21.4</v>
      </c>
      <c r="B317" s="468">
        <v>3.1</v>
      </c>
      <c r="C317" s="468">
        <v>7.3</v>
      </c>
      <c r="D317" s="468">
        <v>1.4</v>
      </c>
      <c r="E317" s="468">
        <v>1.6</v>
      </c>
      <c r="F317" s="468">
        <v>1.7</v>
      </c>
      <c r="G317" s="468">
        <v>2.6</v>
      </c>
      <c r="H317" s="468">
        <v>1.8</v>
      </c>
      <c r="I317" s="468">
        <v>0.7</v>
      </c>
      <c r="J317" s="468">
        <v>0.1</v>
      </c>
      <c r="K317" s="468">
        <v>0.9</v>
      </c>
      <c r="L317" s="468">
        <v>9.2</v>
      </c>
      <c r="M317" s="468">
        <v>0.9</v>
      </c>
      <c r="N317" s="472">
        <v>-0.1</v>
      </c>
      <c r="O317" t="str">
        <f>IFERROR(__xludf.DUMMYFUNCTION("regexextract(B317,""[\w]* [\w]*"")"),"#VALUE!")</f>
        <v>#VALUE!</v>
      </c>
      <c r="P317" t="str">
        <f t="shared" si="2"/>
        <v>#VALUE!</v>
      </c>
      <c r="Q317" t="str">
        <f t="shared" si="3"/>
        <v>#VALUE!</v>
      </c>
      <c r="R317" t="s">
        <v>2640</v>
      </c>
      <c r="S317" s="417" t="s">
        <v>2640</v>
      </c>
      <c r="T317" t="s">
        <v>2640</v>
      </c>
      <c r="U317" t="s">
        <v>2640</v>
      </c>
      <c r="V317" t="s">
        <v>2640</v>
      </c>
      <c r="W317" t="str">
        <f t="shared" si="1"/>
        <v/>
      </c>
    </row>
    <row r="318">
      <c r="A318" s="469">
        <v>18.2</v>
      </c>
      <c r="B318" s="469">
        <v>3.1</v>
      </c>
      <c r="C318" s="469">
        <v>7.1</v>
      </c>
      <c r="D318" s="469">
        <v>0.8</v>
      </c>
      <c r="E318" s="469">
        <v>1.2</v>
      </c>
      <c r="F318" s="469">
        <v>0.3</v>
      </c>
      <c r="G318" s="469">
        <v>2.8</v>
      </c>
      <c r="H318" s="469">
        <v>3.4</v>
      </c>
      <c r="I318" s="469">
        <v>0.7</v>
      </c>
      <c r="J318" s="469">
        <v>0.2</v>
      </c>
      <c r="K318" s="469">
        <v>1.3</v>
      </c>
      <c r="L318" s="469">
        <v>7.3</v>
      </c>
      <c r="M318" s="469">
        <v>0.6</v>
      </c>
      <c r="N318" s="469">
        <v>0.0</v>
      </c>
      <c r="O318" t="str">
        <f>IFERROR(__xludf.DUMMYFUNCTION("regexextract(B318,""[\w]* [\w]*"")"),"#VALUE!")</f>
        <v>#VALUE!</v>
      </c>
      <c r="P318" t="str">
        <f t="shared" si="2"/>
        <v>#VALUE!</v>
      </c>
      <c r="Q318" t="str">
        <f t="shared" si="3"/>
        <v>#VALUE!</v>
      </c>
      <c r="R318" t="s">
        <v>2640</v>
      </c>
      <c r="S318" s="417" t="s">
        <v>2640</v>
      </c>
      <c r="T318" t="s">
        <v>2640</v>
      </c>
      <c r="U318" t="s">
        <v>2640</v>
      </c>
      <c r="V318" t="s">
        <v>2640</v>
      </c>
      <c r="W318" t="str">
        <f t="shared" si="1"/>
        <v/>
      </c>
    </row>
    <row r="319">
      <c r="A319" s="468">
        <v>17.0</v>
      </c>
      <c r="B319" s="468">
        <v>2.9</v>
      </c>
      <c r="C319" s="468">
        <v>6.3</v>
      </c>
      <c r="D319" s="468">
        <v>1.2</v>
      </c>
      <c r="E319" s="468">
        <v>1.8</v>
      </c>
      <c r="F319" s="468">
        <v>0.9</v>
      </c>
      <c r="G319" s="468">
        <v>4.1</v>
      </c>
      <c r="H319" s="468">
        <v>1.7</v>
      </c>
      <c r="I319" s="468">
        <v>0.3</v>
      </c>
      <c r="J319" s="468">
        <v>0.3</v>
      </c>
      <c r="K319" s="468">
        <v>0.7</v>
      </c>
      <c r="L319" s="468">
        <v>7.9</v>
      </c>
      <c r="M319" s="468">
        <v>0.2</v>
      </c>
      <c r="N319" s="468">
        <v>0.0</v>
      </c>
      <c r="O319" t="str">
        <f>IFERROR(__xludf.DUMMYFUNCTION("regexextract(B319,""[\w]* [\w]*"")"),"#VALUE!")</f>
        <v>#VALUE!</v>
      </c>
      <c r="P319" t="str">
        <f t="shared" si="2"/>
        <v>#VALUE!</v>
      </c>
      <c r="Q319" t="str">
        <f t="shared" si="3"/>
        <v>#VALUE!</v>
      </c>
      <c r="R319" t="s">
        <v>2640</v>
      </c>
      <c r="S319" s="417" t="s">
        <v>2640</v>
      </c>
      <c r="T319" t="s">
        <v>2640</v>
      </c>
      <c r="U319" t="s">
        <v>2640</v>
      </c>
      <c r="V319" t="s">
        <v>2640</v>
      </c>
      <c r="W319" t="str">
        <f t="shared" si="1"/>
        <v/>
      </c>
    </row>
    <row r="320">
      <c r="A320" s="469">
        <v>23.7</v>
      </c>
      <c r="B320" s="469">
        <v>3.1</v>
      </c>
      <c r="C320" s="469">
        <v>7.6</v>
      </c>
      <c r="D320" s="469">
        <v>1.3</v>
      </c>
      <c r="E320" s="469">
        <v>1.6</v>
      </c>
      <c r="F320" s="469">
        <v>1.0</v>
      </c>
      <c r="G320" s="469">
        <v>2.0</v>
      </c>
      <c r="H320" s="469">
        <v>1.7</v>
      </c>
      <c r="I320" s="469">
        <v>0.8</v>
      </c>
      <c r="J320" s="469">
        <v>0.2</v>
      </c>
      <c r="K320" s="469">
        <v>0.8</v>
      </c>
      <c r="L320" s="469">
        <v>8.6</v>
      </c>
      <c r="M320" s="469">
        <v>0.5</v>
      </c>
      <c r="N320" s="469">
        <v>0.0</v>
      </c>
      <c r="O320" t="str">
        <f>IFERROR(__xludf.DUMMYFUNCTION("regexextract(B320,""[\w]* [\w]*"")"),"#VALUE!")</f>
        <v>#VALUE!</v>
      </c>
      <c r="P320" t="str">
        <f t="shared" si="2"/>
        <v>#VALUE!</v>
      </c>
      <c r="Q320" t="str">
        <f t="shared" si="3"/>
        <v>#VALUE!</v>
      </c>
      <c r="R320" t="s">
        <v>2640</v>
      </c>
      <c r="S320" s="417" t="s">
        <v>2640</v>
      </c>
      <c r="T320" t="s">
        <v>2640</v>
      </c>
      <c r="U320" t="s">
        <v>2640</v>
      </c>
      <c r="V320" t="s">
        <v>2640</v>
      </c>
      <c r="W320" t="str">
        <f t="shared" si="1"/>
        <v/>
      </c>
    </row>
    <row r="321">
      <c r="A321" s="468">
        <v>19.5</v>
      </c>
      <c r="B321" s="468">
        <v>3.1</v>
      </c>
      <c r="C321" s="468">
        <v>7.5</v>
      </c>
      <c r="D321" s="468">
        <v>1.0</v>
      </c>
      <c r="E321" s="468">
        <v>1.3</v>
      </c>
      <c r="F321" s="468">
        <v>1.8</v>
      </c>
      <c r="G321" s="468">
        <v>2.2</v>
      </c>
      <c r="H321" s="468">
        <v>1.3</v>
      </c>
      <c r="I321" s="468">
        <v>0.7</v>
      </c>
      <c r="J321" s="468">
        <v>0.2</v>
      </c>
      <c r="K321" s="468">
        <v>0.8</v>
      </c>
      <c r="L321" s="468">
        <v>8.9</v>
      </c>
      <c r="M321" s="468">
        <v>0.5</v>
      </c>
      <c r="N321" s="468">
        <v>0.0</v>
      </c>
      <c r="O321" t="str">
        <f>IFERROR(__xludf.DUMMYFUNCTION("regexextract(B321,""[\w]* [\w]*"")"),"#VALUE!")</f>
        <v>#VALUE!</v>
      </c>
      <c r="P321" t="str">
        <f t="shared" si="2"/>
        <v>#VALUE!</v>
      </c>
      <c r="Q321" t="str">
        <f t="shared" si="3"/>
        <v>#VALUE!</v>
      </c>
      <c r="R321" t="s">
        <v>2640</v>
      </c>
      <c r="S321" s="417" t="s">
        <v>2640</v>
      </c>
      <c r="T321" t="s">
        <v>2640</v>
      </c>
      <c r="U321" t="s">
        <v>2640</v>
      </c>
      <c r="V321" t="s">
        <v>2640</v>
      </c>
      <c r="W321" t="str">
        <f t="shared" si="1"/>
        <v/>
      </c>
    </row>
    <row r="322">
      <c r="A322" s="469">
        <v>23.6</v>
      </c>
      <c r="B322" s="469">
        <v>2.9</v>
      </c>
      <c r="C322" s="469">
        <v>6.9</v>
      </c>
      <c r="D322" s="469">
        <v>0.6</v>
      </c>
      <c r="E322" s="469">
        <v>0.9</v>
      </c>
      <c r="F322" s="469">
        <v>1.5</v>
      </c>
      <c r="G322" s="469">
        <v>2.3</v>
      </c>
      <c r="H322" s="469">
        <v>2.2</v>
      </c>
      <c r="I322" s="469">
        <v>0.8</v>
      </c>
      <c r="J322" s="469">
        <v>0.1</v>
      </c>
      <c r="K322" s="469">
        <v>1.0</v>
      </c>
      <c r="L322" s="469">
        <v>7.9</v>
      </c>
      <c r="M322" s="469">
        <v>0.5</v>
      </c>
      <c r="N322" s="473">
        <v>-0.1</v>
      </c>
      <c r="O322" t="str">
        <f>IFERROR(__xludf.DUMMYFUNCTION("regexextract(B322,""[\w]* [\w]*"")"),"#VALUE!")</f>
        <v>#VALUE!</v>
      </c>
      <c r="P322" t="str">
        <f t="shared" si="2"/>
        <v>#VALUE!</v>
      </c>
      <c r="Q322" t="str">
        <f t="shared" si="3"/>
        <v>#VALUE!</v>
      </c>
      <c r="R322" t="s">
        <v>2640</v>
      </c>
      <c r="S322" s="417" t="s">
        <v>2640</v>
      </c>
      <c r="T322" t="s">
        <v>2640</v>
      </c>
      <c r="U322" t="s">
        <v>2640</v>
      </c>
      <c r="V322" t="s">
        <v>2640</v>
      </c>
      <c r="W322" t="str">
        <f t="shared" si="1"/>
        <v/>
      </c>
    </row>
    <row r="323">
      <c r="A323" s="468">
        <v>34.4</v>
      </c>
      <c r="B323" s="468">
        <v>7.5</v>
      </c>
      <c r="C323" s="468">
        <v>16.1</v>
      </c>
      <c r="D323" s="468">
        <v>2.8</v>
      </c>
      <c r="E323" s="468">
        <v>3.2</v>
      </c>
      <c r="F323" s="468">
        <v>2.4</v>
      </c>
      <c r="G323" s="468">
        <v>4.0</v>
      </c>
      <c r="H323" s="468">
        <v>4.8</v>
      </c>
      <c r="I323" s="468">
        <v>1.2</v>
      </c>
      <c r="J323" s="468">
        <v>0.3</v>
      </c>
      <c r="K323" s="468">
        <v>2.2</v>
      </c>
      <c r="L323" s="468">
        <v>20.2</v>
      </c>
      <c r="M323" s="468">
        <v>67.6</v>
      </c>
      <c r="N323" s="472">
        <v>-13.2</v>
      </c>
      <c r="O323" t="str">
        <f>IFERROR(__xludf.DUMMYFUNCTION("regexextract(B323,""[\w]* [\w]*"")"),"#VALUE!")</f>
        <v>#VALUE!</v>
      </c>
      <c r="P323" t="str">
        <f t="shared" si="2"/>
        <v>#VALUE!</v>
      </c>
      <c r="Q323" t="str">
        <f t="shared" si="3"/>
        <v>#VALUE!</v>
      </c>
      <c r="R323" t="s">
        <v>2640</v>
      </c>
      <c r="S323" s="417" t="s">
        <v>2640</v>
      </c>
      <c r="T323" t="s">
        <v>2640</v>
      </c>
      <c r="U323" t="s">
        <v>2640</v>
      </c>
      <c r="V323" t="s">
        <v>2640</v>
      </c>
      <c r="W323" t="str">
        <f t="shared" si="1"/>
        <v/>
      </c>
    </row>
    <row r="324">
      <c r="A324" s="469">
        <v>21.4</v>
      </c>
      <c r="B324" s="469">
        <v>2.4</v>
      </c>
      <c r="C324" s="469">
        <v>5.8</v>
      </c>
      <c r="D324" s="469">
        <v>1.0</v>
      </c>
      <c r="E324" s="469">
        <v>1.2</v>
      </c>
      <c r="F324" s="469">
        <v>1.2</v>
      </c>
      <c r="G324" s="469">
        <v>3.5</v>
      </c>
      <c r="H324" s="469">
        <v>1.6</v>
      </c>
      <c r="I324" s="469">
        <v>0.9</v>
      </c>
      <c r="J324" s="469">
        <v>0.3</v>
      </c>
      <c r="K324" s="469">
        <v>0.7</v>
      </c>
      <c r="L324" s="469">
        <v>7.0</v>
      </c>
      <c r="M324" s="469">
        <v>2.7</v>
      </c>
      <c r="N324" s="473">
        <v>-0.8</v>
      </c>
      <c r="O324" t="str">
        <f>IFERROR(__xludf.DUMMYFUNCTION("regexextract(B324,""[\w]* [\w]*"")"),"#VALUE!")</f>
        <v>#VALUE!</v>
      </c>
      <c r="P324" t="str">
        <f t="shared" si="2"/>
        <v>#VALUE!</v>
      </c>
      <c r="Q324" t="str">
        <f t="shared" si="3"/>
        <v>#VALUE!</v>
      </c>
      <c r="R324" t="s">
        <v>2640</v>
      </c>
      <c r="S324" s="417" t="s">
        <v>2640</v>
      </c>
      <c r="T324" t="s">
        <v>2640</v>
      </c>
      <c r="U324" t="s">
        <v>2640</v>
      </c>
      <c r="V324" t="s">
        <v>2640</v>
      </c>
      <c r="W324" t="str">
        <f t="shared" si="1"/>
        <v/>
      </c>
    </row>
    <row r="325">
      <c r="A325" s="468">
        <v>20.6</v>
      </c>
      <c r="B325" s="468">
        <v>3.3</v>
      </c>
      <c r="C325" s="468">
        <v>7.2</v>
      </c>
      <c r="D325" s="468">
        <v>0.8</v>
      </c>
      <c r="E325" s="468">
        <v>0.9</v>
      </c>
      <c r="F325" s="468">
        <v>1.7</v>
      </c>
      <c r="G325" s="468">
        <v>2.6</v>
      </c>
      <c r="H325" s="468">
        <v>1.9</v>
      </c>
      <c r="I325" s="468">
        <v>0.3</v>
      </c>
      <c r="J325" s="468">
        <v>0.1</v>
      </c>
      <c r="K325" s="468">
        <v>0.8</v>
      </c>
      <c r="L325" s="468">
        <v>9.1</v>
      </c>
      <c r="M325" s="468">
        <v>0.5</v>
      </c>
      <c r="N325" s="468">
        <v>0.0</v>
      </c>
      <c r="O325" t="str">
        <f>IFERROR(__xludf.DUMMYFUNCTION("regexextract(B325,""[\w]* [\w]*"")"),"#VALUE!")</f>
        <v>#VALUE!</v>
      </c>
      <c r="P325" t="str">
        <f t="shared" si="2"/>
        <v>#VALUE!</v>
      </c>
      <c r="Q325" t="str">
        <f t="shared" si="3"/>
        <v>#VALUE!</v>
      </c>
      <c r="R325" t="s">
        <v>2640</v>
      </c>
      <c r="S325" s="417" t="s">
        <v>2640</v>
      </c>
      <c r="T325" t="s">
        <v>2640</v>
      </c>
      <c r="U325" t="s">
        <v>2640</v>
      </c>
      <c r="V325" t="s">
        <v>2640</v>
      </c>
      <c r="W325" t="str">
        <f t="shared" si="1"/>
        <v/>
      </c>
    </row>
    <row r="326">
      <c r="A326" s="469">
        <v>21.6</v>
      </c>
      <c r="B326" s="469">
        <v>3.0</v>
      </c>
      <c r="C326" s="469">
        <v>7.2</v>
      </c>
      <c r="D326" s="469">
        <v>0.6</v>
      </c>
      <c r="E326" s="469">
        <v>0.7</v>
      </c>
      <c r="F326" s="469">
        <v>2.4</v>
      </c>
      <c r="G326" s="469">
        <v>1.9</v>
      </c>
      <c r="H326" s="469">
        <v>1.4</v>
      </c>
      <c r="I326" s="469">
        <v>0.5</v>
      </c>
      <c r="J326" s="469">
        <v>0.2</v>
      </c>
      <c r="K326" s="469">
        <v>0.7</v>
      </c>
      <c r="L326" s="469">
        <v>9.0</v>
      </c>
      <c r="M326" s="469">
        <v>0.3</v>
      </c>
      <c r="N326" s="470">
        <f>+0.1</f>
        <v>0.1</v>
      </c>
      <c r="O326" t="str">
        <f>IFERROR(__xludf.DUMMYFUNCTION("regexextract(B326,""[\w]* [\w]*"")"),"#VALUE!")</f>
        <v>#VALUE!</v>
      </c>
      <c r="P326" t="str">
        <f t="shared" si="2"/>
        <v>#VALUE!</v>
      </c>
      <c r="Q326" t="str">
        <f t="shared" si="3"/>
        <v>#VALUE!</v>
      </c>
      <c r="R326" t="s">
        <v>2640</v>
      </c>
      <c r="S326" s="417" t="s">
        <v>2640</v>
      </c>
      <c r="T326" t="s">
        <v>2640</v>
      </c>
      <c r="U326" t="s">
        <v>2640</v>
      </c>
      <c r="V326" t="s">
        <v>2640</v>
      </c>
      <c r="W326" t="str">
        <f t="shared" si="1"/>
        <v/>
      </c>
    </row>
    <row r="327">
      <c r="A327" s="468">
        <v>18.2</v>
      </c>
      <c r="B327" s="468">
        <v>2.7</v>
      </c>
      <c r="C327" s="468">
        <v>5.4</v>
      </c>
      <c r="D327" s="468">
        <v>1.0</v>
      </c>
      <c r="E327" s="468">
        <v>1.4</v>
      </c>
      <c r="F327" s="468">
        <v>0.6</v>
      </c>
      <c r="G327" s="468">
        <v>4.1</v>
      </c>
      <c r="H327" s="468">
        <v>0.8</v>
      </c>
      <c r="I327" s="468">
        <v>0.5</v>
      </c>
      <c r="J327" s="468">
        <v>0.7</v>
      </c>
      <c r="K327" s="468">
        <v>0.6</v>
      </c>
      <c r="L327" s="468">
        <v>7.0</v>
      </c>
      <c r="M327" s="468">
        <v>1.9</v>
      </c>
      <c r="N327" s="472">
        <v>-0.3</v>
      </c>
      <c r="O327" t="str">
        <f>IFERROR(__xludf.DUMMYFUNCTION("regexextract(B327,""[\w]* [\w]*"")"),"#VALUE!")</f>
        <v>#VALUE!</v>
      </c>
      <c r="P327" t="str">
        <f t="shared" si="2"/>
        <v>#VALUE!</v>
      </c>
      <c r="Q327" t="str">
        <f t="shared" si="3"/>
        <v>#VALUE!</v>
      </c>
      <c r="R327" t="s">
        <v>2640</v>
      </c>
      <c r="S327" s="417" t="s">
        <v>2640</v>
      </c>
      <c r="T327" t="s">
        <v>2640</v>
      </c>
      <c r="U327" t="s">
        <v>2640</v>
      </c>
      <c r="V327" t="s">
        <v>2640</v>
      </c>
      <c r="W327" t="str">
        <f t="shared" si="1"/>
        <v/>
      </c>
    </row>
    <row r="328">
      <c r="A328" s="469">
        <v>21.1</v>
      </c>
      <c r="B328" s="469">
        <v>3.2</v>
      </c>
      <c r="C328" s="469">
        <v>8.3</v>
      </c>
      <c r="D328" s="469">
        <v>0.9</v>
      </c>
      <c r="E328" s="469">
        <v>1.5</v>
      </c>
      <c r="F328" s="469">
        <v>0.7</v>
      </c>
      <c r="G328" s="469">
        <v>4.3</v>
      </c>
      <c r="H328" s="469">
        <v>2.6</v>
      </c>
      <c r="I328" s="469">
        <v>0.7</v>
      </c>
      <c r="J328" s="469">
        <v>0.3</v>
      </c>
      <c r="K328" s="469">
        <v>1.5</v>
      </c>
      <c r="L328" s="469">
        <v>8.1</v>
      </c>
      <c r="M328" s="469">
        <v>0.3</v>
      </c>
      <c r="N328" s="469">
        <v>0.0</v>
      </c>
      <c r="O328" t="str">
        <f>IFERROR(__xludf.DUMMYFUNCTION("regexextract(B328,""[\w]* [\w]*"")"),"#VALUE!")</f>
        <v>#VALUE!</v>
      </c>
      <c r="P328" t="str">
        <f t="shared" si="2"/>
        <v>#VALUE!</v>
      </c>
      <c r="Q328" t="str">
        <f t="shared" si="3"/>
        <v>#VALUE!</v>
      </c>
      <c r="R328" t="s">
        <v>2640</v>
      </c>
      <c r="S328" s="417" t="s">
        <v>2640</v>
      </c>
      <c r="T328" t="s">
        <v>2640</v>
      </c>
      <c r="U328" t="s">
        <v>2640</v>
      </c>
      <c r="V328" t="s">
        <v>2640</v>
      </c>
      <c r="W328" t="str">
        <f t="shared" si="1"/>
        <v/>
      </c>
    </row>
    <row r="329">
      <c r="A329" s="468">
        <v>13.9</v>
      </c>
      <c r="B329" s="468">
        <v>2.9</v>
      </c>
      <c r="C329" s="468">
        <v>5.0</v>
      </c>
      <c r="D329" s="468">
        <v>0.8</v>
      </c>
      <c r="E329" s="468">
        <v>1.2</v>
      </c>
      <c r="F329" s="468">
        <v>0.1</v>
      </c>
      <c r="G329" s="468">
        <v>4.8</v>
      </c>
      <c r="H329" s="468">
        <v>0.6</v>
      </c>
      <c r="I329" s="468">
        <v>0.4</v>
      </c>
      <c r="J329" s="468">
        <v>1.2</v>
      </c>
      <c r="K329" s="468">
        <v>1.0</v>
      </c>
      <c r="L329" s="468">
        <v>6.6</v>
      </c>
      <c r="M329" s="468">
        <v>1.3</v>
      </c>
      <c r="N329" s="472">
        <v>-0.1</v>
      </c>
      <c r="O329" t="str">
        <f>IFERROR(__xludf.DUMMYFUNCTION("regexextract(B329,""[\w]* [\w]*"")"),"#VALUE!")</f>
        <v>#VALUE!</v>
      </c>
      <c r="P329" t="str">
        <f t="shared" si="2"/>
        <v>#VALUE!</v>
      </c>
      <c r="Q329" t="str">
        <f t="shared" si="3"/>
        <v>#VALUE!</v>
      </c>
      <c r="R329" t="s">
        <v>2640</v>
      </c>
      <c r="S329" s="417" t="s">
        <v>2640</v>
      </c>
      <c r="T329" t="s">
        <v>2640</v>
      </c>
      <c r="U329" t="s">
        <v>2640</v>
      </c>
      <c r="V329" t="s">
        <v>2640</v>
      </c>
      <c r="W329" t="str">
        <f t="shared" si="1"/>
        <v/>
      </c>
    </row>
    <row r="330">
      <c r="A330" s="469">
        <v>19.3</v>
      </c>
      <c r="B330" s="469">
        <v>3.4</v>
      </c>
      <c r="C330" s="469">
        <v>8.6</v>
      </c>
      <c r="D330" s="469">
        <v>1.8</v>
      </c>
      <c r="E330" s="469">
        <v>2.1</v>
      </c>
      <c r="F330" s="469">
        <v>1.6</v>
      </c>
      <c r="G330" s="469">
        <v>1.8</v>
      </c>
      <c r="H330" s="469">
        <v>2.0</v>
      </c>
      <c r="I330" s="469">
        <v>0.5</v>
      </c>
      <c r="J330" s="469">
        <v>0.2</v>
      </c>
      <c r="K330" s="469">
        <v>1.0</v>
      </c>
      <c r="L330" s="469">
        <v>10.2</v>
      </c>
      <c r="M330" s="469">
        <v>3.3</v>
      </c>
      <c r="N330" s="470">
        <f>+0.1</f>
        <v>0.1</v>
      </c>
      <c r="O330" t="str">
        <f>IFERROR(__xludf.DUMMYFUNCTION("regexextract(B330,""[\w]* [\w]*"")"),"#VALUE!")</f>
        <v>#VALUE!</v>
      </c>
      <c r="P330" t="str">
        <f t="shared" si="2"/>
        <v>#VALUE!</v>
      </c>
      <c r="Q330" t="str">
        <f t="shared" si="3"/>
        <v>#VALUE!</v>
      </c>
      <c r="R330" t="s">
        <v>2640</v>
      </c>
      <c r="S330" s="417" t="s">
        <v>2640</v>
      </c>
      <c r="T330" t="s">
        <v>2640</v>
      </c>
      <c r="U330" t="s">
        <v>2640</v>
      </c>
      <c r="V330" t="s">
        <v>2640</v>
      </c>
      <c r="W330" t="str">
        <f t="shared" si="1"/>
        <v/>
      </c>
    </row>
    <row r="331">
      <c r="A331" s="468">
        <v>21.3</v>
      </c>
      <c r="B331" s="468">
        <v>2.7</v>
      </c>
      <c r="C331" s="468">
        <v>6.4</v>
      </c>
      <c r="D331" s="468">
        <v>1.3</v>
      </c>
      <c r="E331" s="468">
        <v>2.0</v>
      </c>
      <c r="F331" s="468">
        <v>1.2</v>
      </c>
      <c r="G331" s="468">
        <v>4.7</v>
      </c>
      <c r="H331" s="468">
        <v>0.9</v>
      </c>
      <c r="I331" s="468">
        <v>0.5</v>
      </c>
      <c r="J331" s="468">
        <v>0.2</v>
      </c>
      <c r="K331" s="468">
        <v>0.7</v>
      </c>
      <c r="L331" s="468">
        <v>7.9</v>
      </c>
      <c r="M331" s="468">
        <v>0.2</v>
      </c>
      <c r="N331" s="468">
        <v>0.0</v>
      </c>
      <c r="O331" t="str">
        <f>IFERROR(__xludf.DUMMYFUNCTION("regexextract(B331,""[\w]* [\w]*"")"),"#VALUE!")</f>
        <v>#VALUE!</v>
      </c>
      <c r="P331" t="str">
        <f t="shared" si="2"/>
        <v>#VALUE!</v>
      </c>
      <c r="Q331" t="str">
        <f t="shared" si="3"/>
        <v>#VALUE!</v>
      </c>
      <c r="R331" t="s">
        <v>2640</v>
      </c>
      <c r="S331" s="417" t="s">
        <v>2640</v>
      </c>
      <c r="T331" t="s">
        <v>2640</v>
      </c>
      <c r="U331" t="s">
        <v>2640</v>
      </c>
      <c r="V331" t="s">
        <v>2640</v>
      </c>
      <c r="W331" t="str">
        <f t="shared" si="1"/>
        <v/>
      </c>
    </row>
    <row r="332">
      <c r="A332" s="469">
        <v>19.4</v>
      </c>
      <c r="B332" s="469">
        <v>2.6</v>
      </c>
      <c r="C332" s="469">
        <v>6.3</v>
      </c>
      <c r="D332" s="469">
        <v>0.8</v>
      </c>
      <c r="E332" s="469">
        <v>1.2</v>
      </c>
      <c r="F332" s="469">
        <v>0.8</v>
      </c>
      <c r="G332" s="469">
        <v>3.2</v>
      </c>
      <c r="H332" s="469">
        <v>1.7</v>
      </c>
      <c r="I332" s="469">
        <v>0.6</v>
      </c>
      <c r="J332" s="469">
        <v>0.4</v>
      </c>
      <c r="K332" s="469">
        <v>0.8</v>
      </c>
      <c r="L332" s="469">
        <v>6.8</v>
      </c>
      <c r="M332" s="469">
        <v>0.3</v>
      </c>
      <c r="N332" s="473">
        <v>-0.1</v>
      </c>
      <c r="O332" t="str">
        <f>IFERROR(__xludf.DUMMYFUNCTION("regexextract(B332,""[\w]* [\w]*"")"),"#VALUE!")</f>
        <v>#VALUE!</v>
      </c>
      <c r="P332" t="str">
        <f t="shared" si="2"/>
        <v>#VALUE!</v>
      </c>
      <c r="Q332" t="str">
        <f t="shared" si="3"/>
        <v>#VALUE!</v>
      </c>
      <c r="R332" t="s">
        <v>2640</v>
      </c>
      <c r="S332" s="417" t="s">
        <v>2640</v>
      </c>
      <c r="T332" t="s">
        <v>2640</v>
      </c>
      <c r="U332" t="s">
        <v>2640</v>
      </c>
      <c r="V332" t="s">
        <v>2640</v>
      </c>
      <c r="W332" t="str">
        <f t="shared" si="1"/>
        <v/>
      </c>
    </row>
    <row r="333">
      <c r="A333" s="468">
        <v>17.6</v>
      </c>
      <c r="B333" s="468">
        <v>2.2</v>
      </c>
      <c r="C333" s="468">
        <v>4.6</v>
      </c>
      <c r="D333" s="468">
        <v>0.4</v>
      </c>
      <c r="E333" s="468">
        <v>0.6</v>
      </c>
      <c r="F333" s="468">
        <v>0.8</v>
      </c>
      <c r="G333" s="468">
        <v>3.7</v>
      </c>
      <c r="H333" s="468">
        <v>0.9</v>
      </c>
      <c r="I333" s="468">
        <v>0.5</v>
      </c>
      <c r="J333" s="468">
        <v>0.6</v>
      </c>
      <c r="K333" s="468">
        <v>0.5</v>
      </c>
      <c r="L333" s="468">
        <v>5.5</v>
      </c>
      <c r="M333" s="468">
        <v>0.2</v>
      </c>
      <c r="N333" s="468">
        <v>0.0</v>
      </c>
      <c r="O333" t="str">
        <f>IFERROR(__xludf.DUMMYFUNCTION("regexextract(B333,""[\w]* [\w]*"")"),"#VALUE!")</f>
        <v>#VALUE!</v>
      </c>
      <c r="P333" t="str">
        <f t="shared" si="2"/>
        <v>#VALUE!</v>
      </c>
      <c r="Q333" t="str">
        <f t="shared" si="3"/>
        <v>#VALUE!</v>
      </c>
      <c r="R333" t="s">
        <v>2640</v>
      </c>
      <c r="S333" s="417" t="s">
        <v>2640</v>
      </c>
      <c r="T333" t="s">
        <v>2640</v>
      </c>
      <c r="U333" t="s">
        <v>2640</v>
      </c>
      <c r="V333" t="s">
        <v>2640</v>
      </c>
      <c r="W333" t="str">
        <f t="shared" si="1"/>
        <v/>
      </c>
    </row>
    <row r="334">
      <c r="A334" s="469">
        <v>16.0</v>
      </c>
      <c r="B334" s="469">
        <v>2.4</v>
      </c>
      <c r="C334" s="469">
        <v>3.3</v>
      </c>
      <c r="D334" s="469">
        <v>0.7</v>
      </c>
      <c r="E334" s="469">
        <v>1.3</v>
      </c>
      <c r="F334" s="469">
        <v>0.0</v>
      </c>
      <c r="G334" s="469">
        <v>5.8</v>
      </c>
      <c r="H334" s="469">
        <v>1.2</v>
      </c>
      <c r="I334" s="469">
        <v>0.2</v>
      </c>
      <c r="J334" s="469">
        <v>0.8</v>
      </c>
      <c r="K334" s="469">
        <v>1.1</v>
      </c>
      <c r="L334" s="469">
        <v>5.6</v>
      </c>
      <c r="M334" s="469">
        <v>4.1</v>
      </c>
      <c r="N334" s="473">
        <v>-0.6</v>
      </c>
      <c r="O334" t="str">
        <f>IFERROR(__xludf.DUMMYFUNCTION("regexextract(B334,""[\w]* [\w]*"")"),"#VALUE!")</f>
        <v>#VALUE!</v>
      </c>
      <c r="P334" t="str">
        <f t="shared" si="2"/>
        <v>#VALUE!</v>
      </c>
      <c r="Q334" t="str">
        <f t="shared" si="3"/>
        <v>#VALUE!</v>
      </c>
      <c r="R334" t="s">
        <v>2640</v>
      </c>
      <c r="S334" s="417" t="s">
        <v>2640</v>
      </c>
      <c r="T334" t="s">
        <v>2640</v>
      </c>
      <c r="U334" t="s">
        <v>2640</v>
      </c>
      <c r="V334" t="s">
        <v>2640</v>
      </c>
      <c r="W334" t="str">
        <f t="shared" si="1"/>
        <v/>
      </c>
    </row>
    <row r="335">
      <c r="A335" s="468">
        <v>19.7</v>
      </c>
      <c r="B335" s="468">
        <v>4.0</v>
      </c>
      <c r="C335" s="468">
        <v>8.0</v>
      </c>
      <c r="D335" s="468">
        <v>1.9</v>
      </c>
      <c r="E335" s="468">
        <v>2.6</v>
      </c>
      <c r="F335" s="468">
        <v>0.5</v>
      </c>
      <c r="G335" s="468">
        <v>3.4</v>
      </c>
      <c r="H335" s="468">
        <v>1.5</v>
      </c>
      <c r="I335" s="468">
        <v>0.4</v>
      </c>
      <c r="J335" s="468">
        <v>0.2</v>
      </c>
      <c r="K335" s="468">
        <v>1.2</v>
      </c>
      <c r="L335" s="468">
        <v>10.4</v>
      </c>
      <c r="M335" s="468">
        <v>0.4</v>
      </c>
      <c r="N335" s="468">
        <v>0.0</v>
      </c>
      <c r="O335" t="str">
        <f>IFERROR(__xludf.DUMMYFUNCTION("regexextract(B335,""[\w]* [\w]*"")"),"#VALUE!")</f>
        <v>#VALUE!</v>
      </c>
      <c r="P335" t="str">
        <f t="shared" si="2"/>
        <v>#VALUE!</v>
      </c>
      <c r="Q335" t="str">
        <f t="shared" si="3"/>
        <v>#VALUE!</v>
      </c>
      <c r="R335" t="s">
        <v>2640</v>
      </c>
      <c r="S335" s="417" t="s">
        <v>2640</v>
      </c>
      <c r="T335" t="s">
        <v>2640</v>
      </c>
      <c r="U335" t="s">
        <v>2640</v>
      </c>
      <c r="V335" t="s">
        <v>2640</v>
      </c>
      <c r="W335" t="str">
        <f t="shared" si="1"/>
        <v/>
      </c>
    </row>
    <row r="336">
      <c r="A336" s="469">
        <v>18.8</v>
      </c>
      <c r="B336" s="469">
        <v>2.8</v>
      </c>
      <c r="C336" s="469">
        <v>7.0</v>
      </c>
      <c r="D336" s="469">
        <v>1.0</v>
      </c>
      <c r="E336" s="469">
        <v>1.2</v>
      </c>
      <c r="F336" s="469">
        <v>1.1</v>
      </c>
      <c r="G336" s="469">
        <v>1.6</v>
      </c>
      <c r="H336" s="469">
        <v>2.3</v>
      </c>
      <c r="I336" s="469">
        <v>0.7</v>
      </c>
      <c r="J336" s="469">
        <v>0.2</v>
      </c>
      <c r="K336" s="469">
        <v>1.1</v>
      </c>
      <c r="L336" s="469">
        <v>7.7</v>
      </c>
      <c r="M336" s="469">
        <v>0.7</v>
      </c>
      <c r="N336" s="473">
        <v>-0.1</v>
      </c>
      <c r="O336" t="str">
        <f>IFERROR(__xludf.DUMMYFUNCTION("regexextract(B336,""[\w]* [\w]*"")"),"#VALUE!")</f>
        <v>#VALUE!</v>
      </c>
      <c r="P336" t="str">
        <f t="shared" si="2"/>
        <v>#VALUE!</v>
      </c>
      <c r="Q336" t="str">
        <f t="shared" si="3"/>
        <v>#VALUE!</v>
      </c>
      <c r="R336" t="s">
        <v>2640</v>
      </c>
      <c r="S336" s="417" t="s">
        <v>2640</v>
      </c>
      <c r="T336" t="s">
        <v>2640</v>
      </c>
      <c r="U336" t="s">
        <v>2640</v>
      </c>
      <c r="V336" t="s">
        <v>2640</v>
      </c>
      <c r="W336" t="str">
        <f t="shared" si="1"/>
        <v/>
      </c>
    </row>
    <row r="337">
      <c r="A337" s="468">
        <v>17.2</v>
      </c>
      <c r="B337" s="468">
        <v>2.6</v>
      </c>
      <c r="C337" s="468">
        <v>5.5</v>
      </c>
      <c r="D337" s="468">
        <v>0.9</v>
      </c>
      <c r="E337" s="468">
        <v>1.0</v>
      </c>
      <c r="F337" s="468">
        <v>0.8</v>
      </c>
      <c r="G337" s="468">
        <v>1.9</v>
      </c>
      <c r="H337" s="468">
        <v>2.0</v>
      </c>
      <c r="I337" s="468">
        <v>0.8</v>
      </c>
      <c r="J337" s="468">
        <v>0.1</v>
      </c>
      <c r="K337" s="468">
        <v>0.8</v>
      </c>
      <c r="L337" s="468">
        <v>6.8</v>
      </c>
      <c r="M337" s="468">
        <v>0.6</v>
      </c>
      <c r="N337" s="472">
        <v>-0.2</v>
      </c>
      <c r="O337" t="str">
        <f>IFERROR(__xludf.DUMMYFUNCTION("regexextract(B337,""[\w]* [\w]*"")"),"#VALUE!")</f>
        <v>#VALUE!</v>
      </c>
      <c r="P337" t="str">
        <f t="shared" si="2"/>
        <v>#VALUE!</v>
      </c>
      <c r="Q337" t="str">
        <f t="shared" si="3"/>
        <v>#VALUE!</v>
      </c>
      <c r="R337" t="s">
        <v>2640</v>
      </c>
      <c r="S337" s="417" t="s">
        <v>2640</v>
      </c>
      <c r="T337" t="s">
        <v>2640</v>
      </c>
      <c r="U337" t="s">
        <v>2640</v>
      </c>
      <c r="V337" t="s">
        <v>2640</v>
      </c>
      <c r="W337" t="str">
        <f t="shared" si="1"/>
        <v/>
      </c>
    </row>
    <row r="338">
      <c r="A338" s="469">
        <v>20.5</v>
      </c>
      <c r="B338" s="469">
        <v>2.6</v>
      </c>
      <c r="C338" s="469">
        <v>5.9</v>
      </c>
      <c r="D338" s="469">
        <v>0.5</v>
      </c>
      <c r="E338" s="469">
        <v>0.7</v>
      </c>
      <c r="F338" s="469">
        <v>1.4</v>
      </c>
      <c r="G338" s="469">
        <v>4.0</v>
      </c>
      <c r="H338" s="469">
        <v>1.3</v>
      </c>
      <c r="I338" s="469">
        <v>0.6</v>
      </c>
      <c r="J338" s="469">
        <v>0.2</v>
      </c>
      <c r="K338" s="469">
        <v>0.8</v>
      </c>
      <c r="L338" s="469">
        <v>7.0</v>
      </c>
      <c r="M338" s="469">
        <v>0.3</v>
      </c>
      <c r="N338" s="473">
        <v>-0.1</v>
      </c>
      <c r="O338" t="str">
        <f>IFERROR(__xludf.DUMMYFUNCTION("regexextract(B338,""[\w]* [\w]*"")"),"#VALUE!")</f>
        <v>#VALUE!</v>
      </c>
      <c r="P338" t="str">
        <f t="shared" si="2"/>
        <v>#VALUE!</v>
      </c>
      <c r="Q338" t="str">
        <f t="shared" si="3"/>
        <v>#VALUE!</v>
      </c>
      <c r="R338" t="s">
        <v>2640</v>
      </c>
      <c r="S338" s="417" t="s">
        <v>2640</v>
      </c>
      <c r="T338" t="s">
        <v>2640</v>
      </c>
      <c r="U338" t="s">
        <v>2640</v>
      </c>
      <c r="V338" t="s">
        <v>2640</v>
      </c>
      <c r="W338" t="str">
        <f t="shared" si="1"/>
        <v/>
      </c>
    </row>
    <row r="339">
      <c r="A339" s="468">
        <v>16.2</v>
      </c>
      <c r="B339" s="468">
        <v>2.4</v>
      </c>
      <c r="C339" s="468">
        <v>5.2</v>
      </c>
      <c r="D339" s="468">
        <v>1.5</v>
      </c>
      <c r="E339" s="468">
        <v>1.9</v>
      </c>
      <c r="F339" s="468">
        <v>0.7</v>
      </c>
      <c r="G339" s="468">
        <v>3.4</v>
      </c>
      <c r="H339" s="468">
        <v>1.1</v>
      </c>
      <c r="I339" s="468">
        <v>0.6</v>
      </c>
      <c r="J339" s="468">
        <v>0.4</v>
      </c>
      <c r="K339" s="468">
        <v>1.0</v>
      </c>
      <c r="L339" s="468">
        <v>7.1</v>
      </c>
      <c r="M339" s="468">
        <v>0.4</v>
      </c>
      <c r="N339" s="468">
        <v>0.0</v>
      </c>
      <c r="O339" t="str">
        <f>IFERROR(__xludf.DUMMYFUNCTION("regexextract(B339,""[\w]* [\w]*"")"),"#VALUE!")</f>
        <v>#VALUE!</v>
      </c>
      <c r="P339" t="str">
        <f t="shared" si="2"/>
        <v>#VALUE!</v>
      </c>
      <c r="Q339" t="str">
        <f t="shared" si="3"/>
        <v>#VALUE!</v>
      </c>
      <c r="R339" t="s">
        <v>2640</v>
      </c>
      <c r="S339" s="417" t="s">
        <v>2640</v>
      </c>
      <c r="T339" t="s">
        <v>2640</v>
      </c>
      <c r="U339" t="s">
        <v>2640</v>
      </c>
      <c r="V339" t="s">
        <v>2640</v>
      </c>
      <c r="W339" t="str">
        <f t="shared" si="1"/>
        <v/>
      </c>
    </row>
    <row r="340">
      <c r="A340" s="469">
        <v>19.2</v>
      </c>
      <c r="B340" s="469">
        <v>2.8</v>
      </c>
      <c r="C340" s="469">
        <v>6.0</v>
      </c>
      <c r="D340" s="469">
        <v>0.9</v>
      </c>
      <c r="E340" s="469">
        <v>1.3</v>
      </c>
      <c r="F340" s="469">
        <v>0.7</v>
      </c>
      <c r="G340" s="469">
        <v>3.6</v>
      </c>
      <c r="H340" s="469">
        <v>1.1</v>
      </c>
      <c r="I340" s="469">
        <v>0.6</v>
      </c>
      <c r="J340" s="469">
        <v>0.4</v>
      </c>
      <c r="K340" s="469">
        <v>0.9</v>
      </c>
      <c r="L340" s="469">
        <v>7.3</v>
      </c>
      <c r="M340" s="469">
        <v>0.3</v>
      </c>
      <c r="N340" s="469">
        <v>0.0</v>
      </c>
      <c r="O340" t="str">
        <f>IFERROR(__xludf.DUMMYFUNCTION("regexextract(B340,""[\w]* [\w]*"")"),"#VALUE!")</f>
        <v>#VALUE!</v>
      </c>
      <c r="P340" t="str">
        <f t="shared" si="2"/>
        <v>#VALUE!</v>
      </c>
      <c r="Q340" t="str">
        <f t="shared" si="3"/>
        <v>#VALUE!</v>
      </c>
      <c r="R340" t="s">
        <v>2640</v>
      </c>
      <c r="S340" s="417" t="s">
        <v>2640</v>
      </c>
      <c r="T340" t="s">
        <v>2640</v>
      </c>
      <c r="U340" t="s">
        <v>2640</v>
      </c>
      <c r="V340" t="s">
        <v>2640</v>
      </c>
      <c r="W340" t="str">
        <f t="shared" si="1"/>
        <v/>
      </c>
    </row>
    <row r="341">
      <c r="A341" s="468">
        <v>22.3</v>
      </c>
      <c r="B341" s="468">
        <v>3.4</v>
      </c>
      <c r="C341" s="468">
        <v>8.5</v>
      </c>
      <c r="D341" s="468">
        <v>1.6</v>
      </c>
      <c r="E341" s="468">
        <v>2.0</v>
      </c>
      <c r="F341" s="468">
        <v>0.7</v>
      </c>
      <c r="G341" s="468">
        <v>2.8</v>
      </c>
      <c r="H341" s="468">
        <v>1.2</v>
      </c>
      <c r="I341" s="468">
        <v>0.5</v>
      </c>
      <c r="J341" s="468">
        <v>0.1</v>
      </c>
      <c r="K341" s="468">
        <v>0.6</v>
      </c>
      <c r="L341" s="468">
        <v>9.1</v>
      </c>
      <c r="M341" s="468">
        <v>0.5</v>
      </c>
      <c r="N341" s="472">
        <v>-0.1</v>
      </c>
      <c r="O341" t="str">
        <f>IFERROR(__xludf.DUMMYFUNCTION("regexextract(B341,""[\w]* [\w]*"")"),"#VALUE!")</f>
        <v>#VALUE!</v>
      </c>
      <c r="P341" t="str">
        <f t="shared" si="2"/>
        <v>#VALUE!</v>
      </c>
      <c r="Q341" t="str">
        <f t="shared" si="3"/>
        <v>#VALUE!</v>
      </c>
      <c r="R341" t="s">
        <v>2640</v>
      </c>
      <c r="S341" s="417" t="s">
        <v>2640</v>
      </c>
      <c r="T341" t="s">
        <v>2640</v>
      </c>
      <c r="U341" t="s">
        <v>2640</v>
      </c>
      <c r="V341" t="s">
        <v>2640</v>
      </c>
      <c r="W341" t="str">
        <f t="shared" si="1"/>
        <v/>
      </c>
    </row>
    <row r="342">
      <c r="A342" s="469">
        <v>18.9</v>
      </c>
      <c r="B342" s="469">
        <v>2.5</v>
      </c>
      <c r="C342" s="469">
        <v>5.7</v>
      </c>
      <c r="D342" s="469">
        <v>1.0</v>
      </c>
      <c r="E342" s="469">
        <v>1.1</v>
      </c>
      <c r="F342" s="469">
        <v>1.3</v>
      </c>
      <c r="G342" s="469">
        <v>3.2</v>
      </c>
      <c r="H342" s="469">
        <v>1.4</v>
      </c>
      <c r="I342" s="469">
        <v>0.7</v>
      </c>
      <c r="J342" s="469">
        <v>0.1</v>
      </c>
      <c r="K342" s="469">
        <v>0.7</v>
      </c>
      <c r="L342" s="469">
        <v>7.3</v>
      </c>
      <c r="M342" s="469">
        <v>0.3</v>
      </c>
      <c r="N342" s="469">
        <v>0.0</v>
      </c>
      <c r="O342" t="str">
        <f>IFERROR(__xludf.DUMMYFUNCTION("regexextract(B342,""[\w]* [\w]*"")"),"#VALUE!")</f>
        <v>#VALUE!</v>
      </c>
      <c r="P342" t="str">
        <f t="shared" si="2"/>
        <v>#VALUE!</v>
      </c>
      <c r="Q342" t="str">
        <f t="shared" si="3"/>
        <v>#VALUE!</v>
      </c>
      <c r="R342" t="s">
        <v>2640</v>
      </c>
      <c r="S342" s="417" t="s">
        <v>2640</v>
      </c>
      <c r="T342" t="s">
        <v>2640</v>
      </c>
      <c r="U342" t="s">
        <v>2640</v>
      </c>
      <c r="V342" t="s">
        <v>2640</v>
      </c>
      <c r="W342" t="str">
        <f t="shared" si="1"/>
        <v/>
      </c>
    </row>
    <row r="343">
      <c r="A343" s="468">
        <v>19.4</v>
      </c>
      <c r="B343" s="468">
        <v>2.5</v>
      </c>
      <c r="C343" s="468">
        <v>5.5</v>
      </c>
      <c r="D343" s="468">
        <v>0.6</v>
      </c>
      <c r="E343" s="468">
        <v>0.8</v>
      </c>
      <c r="F343" s="468">
        <v>1.4</v>
      </c>
      <c r="G343" s="468">
        <v>3.7</v>
      </c>
      <c r="H343" s="468">
        <v>0.7</v>
      </c>
      <c r="I343" s="468">
        <v>0.4</v>
      </c>
      <c r="J343" s="468">
        <v>0.3</v>
      </c>
      <c r="K343" s="468">
        <v>0.7</v>
      </c>
      <c r="L343" s="468">
        <v>7.0</v>
      </c>
      <c r="M343" s="468">
        <v>0.5</v>
      </c>
      <c r="N343" s="468">
        <v>0.0</v>
      </c>
      <c r="O343" t="str">
        <f>IFERROR(__xludf.DUMMYFUNCTION("regexextract(B343,""[\w]* [\w]*"")"),"#VALUE!")</f>
        <v>#VALUE!</v>
      </c>
      <c r="P343" t="str">
        <f t="shared" si="2"/>
        <v>#VALUE!</v>
      </c>
      <c r="Q343" t="str">
        <f t="shared" si="3"/>
        <v>#VALUE!</v>
      </c>
      <c r="R343" t="s">
        <v>2640</v>
      </c>
      <c r="S343" s="417" t="s">
        <v>2640</v>
      </c>
      <c r="T343" t="s">
        <v>2640</v>
      </c>
      <c r="U343" t="s">
        <v>2640</v>
      </c>
      <c r="V343" t="s">
        <v>2640</v>
      </c>
      <c r="W343" t="str">
        <f t="shared" si="1"/>
        <v/>
      </c>
    </row>
    <row r="344">
      <c r="A344" s="469">
        <v>19.4</v>
      </c>
      <c r="B344" s="469">
        <v>2.1</v>
      </c>
      <c r="C344" s="469">
        <v>3.7</v>
      </c>
      <c r="D344" s="469">
        <v>0.3</v>
      </c>
      <c r="E344" s="469">
        <v>0.5</v>
      </c>
      <c r="F344" s="469">
        <v>0.6</v>
      </c>
      <c r="G344" s="469">
        <v>4.0</v>
      </c>
      <c r="H344" s="469">
        <v>2.5</v>
      </c>
      <c r="I344" s="469">
        <v>0.7</v>
      </c>
      <c r="J344" s="469">
        <v>0.4</v>
      </c>
      <c r="K344" s="469">
        <v>1.1</v>
      </c>
      <c r="L344" s="469">
        <v>5.2</v>
      </c>
      <c r="M344" s="469">
        <v>1.1</v>
      </c>
      <c r="N344" s="473">
        <v>-0.3</v>
      </c>
      <c r="O344" t="str">
        <f>IFERROR(__xludf.DUMMYFUNCTION("regexextract(B344,""[\w]* [\w]*"")"),"#VALUE!")</f>
        <v>#VALUE!</v>
      </c>
      <c r="P344" t="str">
        <f t="shared" si="2"/>
        <v>#VALUE!</v>
      </c>
      <c r="Q344" t="str">
        <f t="shared" si="3"/>
        <v>#VALUE!</v>
      </c>
      <c r="R344" t="s">
        <v>2640</v>
      </c>
      <c r="S344" s="417" t="s">
        <v>2640</v>
      </c>
      <c r="T344" t="s">
        <v>2640</v>
      </c>
      <c r="U344" t="s">
        <v>2640</v>
      </c>
      <c r="V344" t="s">
        <v>2640</v>
      </c>
      <c r="W344" t="str">
        <f t="shared" si="1"/>
        <v/>
      </c>
    </row>
    <row r="345">
      <c r="A345" s="468">
        <v>20.3</v>
      </c>
      <c r="B345" s="468">
        <v>2.0</v>
      </c>
      <c r="C345" s="468">
        <v>4.9</v>
      </c>
      <c r="D345" s="468">
        <v>1.6</v>
      </c>
      <c r="E345" s="468">
        <v>2.1</v>
      </c>
      <c r="F345" s="468">
        <v>0.5</v>
      </c>
      <c r="G345" s="468">
        <v>2.9</v>
      </c>
      <c r="H345" s="468">
        <v>1.1</v>
      </c>
      <c r="I345" s="468">
        <v>0.9</v>
      </c>
      <c r="J345" s="468">
        <v>0.4</v>
      </c>
      <c r="K345" s="468">
        <v>0.9</v>
      </c>
      <c r="L345" s="468">
        <v>6.2</v>
      </c>
      <c r="M345" s="468">
        <v>0.2</v>
      </c>
      <c r="N345" s="468">
        <v>0.0</v>
      </c>
      <c r="O345" t="str">
        <f>IFERROR(__xludf.DUMMYFUNCTION("regexextract(B345,""[\w]* [\w]*"")"),"#VALUE!")</f>
        <v>#VALUE!</v>
      </c>
      <c r="P345" t="str">
        <f t="shared" si="2"/>
        <v>#VALUE!</v>
      </c>
      <c r="Q345" t="str">
        <f t="shared" si="3"/>
        <v>#VALUE!</v>
      </c>
      <c r="R345" t="s">
        <v>2640</v>
      </c>
      <c r="S345" s="417" t="s">
        <v>2640</v>
      </c>
      <c r="T345" t="s">
        <v>2640</v>
      </c>
      <c r="U345" t="s">
        <v>2640</v>
      </c>
      <c r="V345" t="s">
        <v>2640</v>
      </c>
      <c r="W345" t="str">
        <f t="shared" si="1"/>
        <v/>
      </c>
    </row>
    <row r="346">
      <c r="A346" s="469">
        <v>19.3</v>
      </c>
      <c r="B346" s="469">
        <v>1.5</v>
      </c>
      <c r="C346" s="469">
        <v>3.6</v>
      </c>
      <c r="D346" s="469">
        <v>0.4</v>
      </c>
      <c r="E346" s="469">
        <v>0.6</v>
      </c>
      <c r="F346" s="469">
        <v>0.8</v>
      </c>
      <c r="G346" s="469">
        <v>3.2</v>
      </c>
      <c r="H346" s="469">
        <v>2.2</v>
      </c>
      <c r="I346" s="469">
        <v>0.8</v>
      </c>
      <c r="J346" s="469">
        <v>0.6</v>
      </c>
      <c r="K346" s="469">
        <v>0.9</v>
      </c>
      <c r="L346" s="469">
        <v>4.2</v>
      </c>
      <c r="M346" s="469">
        <v>3.7</v>
      </c>
      <c r="N346" s="473">
        <v>-0.6</v>
      </c>
      <c r="O346" t="str">
        <f>IFERROR(__xludf.DUMMYFUNCTION("regexextract(B346,""[\w]* [\w]*"")"),"#VALUE!")</f>
        <v>#VALUE!</v>
      </c>
      <c r="P346" t="str">
        <f t="shared" si="2"/>
        <v>#VALUE!</v>
      </c>
      <c r="Q346" t="str">
        <f t="shared" si="3"/>
        <v>#VALUE!</v>
      </c>
      <c r="R346" t="s">
        <v>2640</v>
      </c>
      <c r="S346" s="417" t="s">
        <v>2640</v>
      </c>
      <c r="T346" t="s">
        <v>2640</v>
      </c>
      <c r="U346" t="s">
        <v>2640</v>
      </c>
      <c r="V346" t="s">
        <v>2640</v>
      </c>
      <c r="W346" t="str">
        <f t="shared" si="1"/>
        <v/>
      </c>
    </row>
    <row r="347">
      <c r="A347" s="468">
        <v>17.1</v>
      </c>
      <c r="B347" s="468">
        <v>1.8</v>
      </c>
      <c r="C347" s="468">
        <v>3.3</v>
      </c>
      <c r="D347" s="468">
        <v>0.5</v>
      </c>
      <c r="E347" s="468">
        <v>0.8</v>
      </c>
      <c r="F347" s="468">
        <v>0.1</v>
      </c>
      <c r="G347" s="468">
        <v>4.7</v>
      </c>
      <c r="H347" s="468">
        <v>1.6</v>
      </c>
      <c r="I347" s="468">
        <v>0.4</v>
      </c>
      <c r="J347" s="468">
        <v>0.4</v>
      </c>
      <c r="K347" s="468">
        <v>0.6</v>
      </c>
      <c r="L347" s="468">
        <v>4.2</v>
      </c>
      <c r="M347" s="468">
        <v>0.4</v>
      </c>
      <c r="N347" s="468">
        <v>0.0</v>
      </c>
      <c r="O347" t="str">
        <f>IFERROR(__xludf.DUMMYFUNCTION("regexextract(B347,""[\w]* [\w]*"")"),"#VALUE!")</f>
        <v>#VALUE!</v>
      </c>
      <c r="P347" t="str">
        <f t="shared" si="2"/>
        <v>#VALUE!</v>
      </c>
      <c r="Q347" t="str">
        <f t="shared" si="3"/>
        <v>#VALUE!</v>
      </c>
      <c r="R347" t="s">
        <v>2640</v>
      </c>
      <c r="S347" s="417" t="s">
        <v>2640</v>
      </c>
      <c r="T347" t="s">
        <v>2640</v>
      </c>
      <c r="U347" t="s">
        <v>2640</v>
      </c>
      <c r="V347" t="s">
        <v>2640</v>
      </c>
      <c r="W347" t="str">
        <f t="shared" si="1"/>
        <v/>
      </c>
    </row>
    <row r="348">
      <c r="A348" s="469">
        <v>17.0</v>
      </c>
      <c r="B348" s="469">
        <v>2.6</v>
      </c>
      <c r="C348" s="469">
        <v>6.0</v>
      </c>
      <c r="D348" s="469">
        <v>0.9</v>
      </c>
      <c r="E348" s="469">
        <v>1.0</v>
      </c>
      <c r="F348" s="469">
        <v>1.6</v>
      </c>
      <c r="G348" s="469">
        <v>3.3</v>
      </c>
      <c r="H348" s="469">
        <v>0.9</v>
      </c>
      <c r="I348" s="469">
        <v>0.2</v>
      </c>
      <c r="J348" s="469">
        <v>0.4</v>
      </c>
      <c r="K348" s="469">
        <v>0.6</v>
      </c>
      <c r="L348" s="469">
        <v>7.5</v>
      </c>
      <c r="M348" s="469">
        <v>0.2</v>
      </c>
      <c r="N348" s="469">
        <v>0.0</v>
      </c>
      <c r="O348" t="str">
        <f>IFERROR(__xludf.DUMMYFUNCTION("regexextract(B348,""[\w]* [\w]*"")"),"#VALUE!")</f>
        <v>#VALUE!</v>
      </c>
      <c r="P348" t="str">
        <f t="shared" si="2"/>
        <v>#VALUE!</v>
      </c>
      <c r="Q348" t="str">
        <f t="shared" si="3"/>
        <v>#VALUE!</v>
      </c>
      <c r="R348" t="s">
        <v>2640</v>
      </c>
      <c r="S348" s="417" t="s">
        <v>2640</v>
      </c>
      <c r="T348" t="s">
        <v>2640</v>
      </c>
      <c r="U348" t="s">
        <v>2640</v>
      </c>
      <c r="V348" t="s">
        <v>2640</v>
      </c>
      <c r="W348" t="str">
        <f t="shared" si="1"/>
        <v/>
      </c>
    </row>
    <row r="349">
      <c r="A349" s="468">
        <v>19.7</v>
      </c>
      <c r="B349" s="468">
        <v>3.9</v>
      </c>
      <c r="C349" s="468">
        <v>8.8</v>
      </c>
      <c r="D349" s="468">
        <v>2.1</v>
      </c>
      <c r="E349" s="468">
        <v>2.8</v>
      </c>
      <c r="F349" s="468">
        <v>1.1</v>
      </c>
      <c r="G349" s="468">
        <v>6.9</v>
      </c>
      <c r="H349" s="468">
        <v>2.3</v>
      </c>
      <c r="I349" s="468">
        <v>1.0</v>
      </c>
      <c r="J349" s="468">
        <v>0.8</v>
      </c>
      <c r="K349" s="468">
        <v>1.8</v>
      </c>
      <c r="L349" s="468">
        <v>11.0</v>
      </c>
      <c r="M349" s="468">
        <v>2.9</v>
      </c>
      <c r="N349" s="472">
        <v>-0.5</v>
      </c>
      <c r="O349" t="str">
        <f>IFERROR(__xludf.DUMMYFUNCTION("regexextract(B349,""[\w]* [\w]*"")"),"#VALUE!")</f>
        <v>#VALUE!</v>
      </c>
      <c r="P349" t="str">
        <f t="shared" si="2"/>
        <v>#VALUE!</v>
      </c>
      <c r="Q349" t="str">
        <f t="shared" si="3"/>
        <v>#VALUE!</v>
      </c>
      <c r="R349" t="s">
        <v>2640</v>
      </c>
      <c r="S349" s="417" t="s">
        <v>2640</v>
      </c>
      <c r="T349" t="s">
        <v>2640</v>
      </c>
      <c r="U349" t="s">
        <v>2640</v>
      </c>
      <c r="V349" t="s">
        <v>2640</v>
      </c>
      <c r="W349" t="str">
        <f t="shared" si="1"/>
        <v/>
      </c>
    </row>
    <row r="350">
      <c r="A350" s="469">
        <v>19.3</v>
      </c>
      <c r="B350" s="469">
        <v>2.8</v>
      </c>
      <c r="C350" s="469">
        <v>7.0</v>
      </c>
      <c r="D350" s="469">
        <v>0.8</v>
      </c>
      <c r="E350" s="469">
        <v>1.6</v>
      </c>
      <c r="F350" s="469">
        <v>0.7</v>
      </c>
      <c r="G350" s="469">
        <v>3.2</v>
      </c>
      <c r="H350" s="469">
        <v>1.2</v>
      </c>
      <c r="I350" s="469">
        <v>0.7</v>
      </c>
      <c r="J350" s="469">
        <v>0.4</v>
      </c>
      <c r="K350" s="469">
        <v>1.1</v>
      </c>
      <c r="L350" s="469">
        <v>7.2</v>
      </c>
      <c r="M350" s="469">
        <v>0.2</v>
      </c>
      <c r="N350" s="469">
        <v>0.0</v>
      </c>
      <c r="O350" t="str">
        <f>IFERROR(__xludf.DUMMYFUNCTION("regexextract(B350,""[\w]* [\w]*"")"),"#VALUE!")</f>
        <v>#VALUE!</v>
      </c>
      <c r="P350" t="str">
        <f t="shared" si="2"/>
        <v>#VALUE!</v>
      </c>
      <c r="Q350" t="str">
        <f t="shared" si="3"/>
        <v>#VALUE!</v>
      </c>
      <c r="R350" t="s">
        <v>2640</v>
      </c>
      <c r="S350" s="417" t="s">
        <v>2640</v>
      </c>
      <c r="T350" t="s">
        <v>2640</v>
      </c>
      <c r="U350" t="s">
        <v>2640</v>
      </c>
      <c r="V350" t="s">
        <v>2640</v>
      </c>
      <c r="W350" t="str">
        <f t="shared" si="1"/>
        <v/>
      </c>
    </row>
    <row r="351">
      <c r="A351" s="468">
        <v>19.5</v>
      </c>
      <c r="B351" s="468">
        <v>2.3</v>
      </c>
      <c r="C351" s="468">
        <v>4.0</v>
      </c>
      <c r="D351" s="468">
        <v>1.0</v>
      </c>
      <c r="E351" s="468">
        <v>1.9</v>
      </c>
      <c r="F351" s="468">
        <v>0.0</v>
      </c>
      <c r="G351" s="468">
        <v>5.4</v>
      </c>
      <c r="H351" s="468">
        <v>1.1</v>
      </c>
      <c r="I351" s="468">
        <v>0.2</v>
      </c>
      <c r="J351" s="468">
        <v>1.0</v>
      </c>
      <c r="K351" s="468">
        <v>1.0</v>
      </c>
      <c r="L351" s="468">
        <v>5.5</v>
      </c>
      <c r="M351" s="468">
        <v>0.3</v>
      </c>
      <c r="N351" s="468">
        <v>0.0</v>
      </c>
      <c r="O351" t="str">
        <f>IFERROR(__xludf.DUMMYFUNCTION("regexextract(B351,""[\w]* [\w]*"")"),"#VALUE!")</f>
        <v>#VALUE!</v>
      </c>
      <c r="P351" t="str">
        <f t="shared" si="2"/>
        <v>#VALUE!</v>
      </c>
      <c r="Q351" t="str">
        <f t="shared" si="3"/>
        <v>#VALUE!</v>
      </c>
      <c r="R351" t="s">
        <v>2640</v>
      </c>
      <c r="S351" s="417" t="s">
        <v>2640</v>
      </c>
      <c r="T351" t="s">
        <v>2640</v>
      </c>
      <c r="U351" t="s">
        <v>2640</v>
      </c>
      <c r="V351" t="s">
        <v>2640</v>
      </c>
      <c r="W351" t="str">
        <f t="shared" si="1"/>
        <v/>
      </c>
    </row>
    <row r="352">
      <c r="A352" s="469">
        <v>19.2</v>
      </c>
      <c r="B352" s="469">
        <v>2.0</v>
      </c>
      <c r="C352" s="469">
        <v>4.2</v>
      </c>
      <c r="D352" s="469">
        <v>0.7</v>
      </c>
      <c r="E352" s="469">
        <v>1.0</v>
      </c>
      <c r="F352" s="469">
        <v>0.5</v>
      </c>
      <c r="G352" s="469">
        <v>2.9</v>
      </c>
      <c r="H352" s="469">
        <v>1.0</v>
      </c>
      <c r="I352" s="469">
        <v>0.8</v>
      </c>
      <c r="J352" s="469">
        <v>0.5</v>
      </c>
      <c r="K352" s="469">
        <v>0.6</v>
      </c>
      <c r="L352" s="469">
        <v>5.1</v>
      </c>
      <c r="M352" s="469">
        <v>0.1</v>
      </c>
      <c r="N352" s="469">
        <v>0.0</v>
      </c>
      <c r="O352" t="str">
        <f>IFERROR(__xludf.DUMMYFUNCTION("regexextract(B352,""[\w]* [\w]*"")"),"#VALUE!")</f>
        <v>#VALUE!</v>
      </c>
      <c r="P352" t="str">
        <f t="shared" si="2"/>
        <v>#VALUE!</v>
      </c>
      <c r="Q352" t="str">
        <f t="shared" si="3"/>
        <v>#VALUE!</v>
      </c>
      <c r="R352" t="s">
        <v>2640</v>
      </c>
      <c r="S352" s="417" t="s">
        <v>2640</v>
      </c>
      <c r="T352" t="s">
        <v>2640</v>
      </c>
      <c r="U352" t="s">
        <v>2640</v>
      </c>
      <c r="V352" t="s">
        <v>2640</v>
      </c>
      <c r="W352" t="str">
        <f t="shared" si="1"/>
        <v/>
      </c>
    </row>
    <row r="353">
      <c r="A353" s="468">
        <v>18.2</v>
      </c>
      <c r="B353" s="468">
        <v>2.6</v>
      </c>
      <c r="C353" s="468">
        <v>5.8</v>
      </c>
      <c r="D353" s="468">
        <v>0.8</v>
      </c>
      <c r="E353" s="468">
        <v>1.3</v>
      </c>
      <c r="F353" s="468">
        <v>0.7</v>
      </c>
      <c r="G353" s="468">
        <v>3.1</v>
      </c>
      <c r="H353" s="468">
        <v>1.9</v>
      </c>
      <c r="I353" s="468">
        <v>0.7</v>
      </c>
      <c r="J353" s="468">
        <v>0.7</v>
      </c>
      <c r="K353" s="468">
        <v>1.1</v>
      </c>
      <c r="L353" s="468">
        <v>6.7</v>
      </c>
      <c r="M353" s="468">
        <v>0.2</v>
      </c>
      <c r="N353" s="468">
        <v>0.0</v>
      </c>
      <c r="O353" t="str">
        <f>IFERROR(__xludf.DUMMYFUNCTION("regexextract(B353,""[\w]* [\w]*"")"),"#VALUE!")</f>
        <v>#VALUE!</v>
      </c>
      <c r="P353" t="str">
        <f t="shared" si="2"/>
        <v>#VALUE!</v>
      </c>
      <c r="Q353" t="str">
        <f t="shared" si="3"/>
        <v>#VALUE!</v>
      </c>
      <c r="R353" t="s">
        <v>2640</v>
      </c>
      <c r="S353" s="417" t="s">
        <v>2640</v>
      </c>
      <c r="T353" t="s">
        <v>2640</v>
      </c>
      <c r="U353" t="s">
        <v>2640</v>
      </c>
      <c r="V353" t="s">
        <v>2640</v>
      </c>
      <c r="W353" t="str">
        <f t="shared" si="1"/>
        <v/>
      </c>
    </row>
    <row r="354">
      <c r="A354" s="469">
        <v>17.2</v>
      </c>
      <c r="B354" s="469">
        <v>1.7</v>
      </c>
      <c r="C354" s="469">
        <v>3.9</v>
      </c>
      <c r="D354" s="469">
        <v>0.6</v>
      </c>
      <c r="E354" s="469">
        <v>1.0</v>
      </c>
      <c r="F354" s="469">
        <v>0.3</v>
      </c>
      <c r="G354" s="469">
        <v>3.2</v>
      </c>
      <c r="H354" s="469">
        <v>1.8</v>
      </c>
      <c r="I354" s="469">
        <v>0.8</v>
      </c>
      <c r="J354" s="469">
        <v>0.2</v>
      </c>
      <c r="K354" s="469">
        <v>0.8</v>
      </c>
      <c r="L354" s="469">
        <v>4.3</v>
      </c>
      <c r="M354" s="469">
        <v>0.1</v>
      </c>
      <c r="N354" s="469">
        <v>0.0</v>
      </c>
      <c r="O354" t="str">
        <f>IFERROR(__xludf.DUMMYFUNCTION("regexextract(B354,""[\w]* [\w]*"")"),"#VALUE!")</f>
        <v>#VALUE!</v>
      </c>
      <c r="P354" t="str">
        <f t="shared" si="2"/>
        <v>#VALUE!</v>
      </c>
      <c r="Q354" t="str">
        <f t="shared" si="3"/>
        <v>#VALUE!</v>
      </c>
      <c r="R354" t="s">
        <v>2640</v>
      </c>
      <c r="S354" s="417" t="s">
        <v>2640</v>
      </c>
      <c r="T354" t="s">
        <v>2640</v>
      </c>
      <c r="U354" t="s">
        <v>2640</v>
      </c>
      <c r="V354" t="s">
        <v>2640</v>
      </c>
      <c r="W354" t="str">
        <f t="shared" si="1"/>
        <v/>
      </c>
    </row>
    <row r="355">
      <c r="A355" s="468">
        <v>16.9</v>
      </c>
      <c r="B355" s="468">
        <v>2.2</v>
      </c>
      <c r="C355" s="468">
        <v>5.6</v>
      </c>
      <c r="D355" s="468">
        <v>1.2</v>
      </c>
      <c r="E355" s="468">
        <v>1.8</v>
      </c>
      <c r="F355" s="468">
        <v>0.4</v>
      </c>
      <c r="G355" s="468">
        <v>3.0</v>
      </c>
      <c r="H355" s="468">
        <v>2.6</v>
      </c>
      <c r="I355" s="468">
        <v>0.7</v>
      </c>
      <c r="J355" s="468">
        <v>0.4</v>
      </c>
      <c r="K355" s="468">
        <v>1.3</v>
      </c>
      <c r="L355" s="468">
        <v>6.1</v>
      </c>
      <c r="M355" s="468">
        <v>0.4</v>
      </c>
      <c r="N355" s="472">
        <v>-0.1</v>
      </c>
      <c r="O355" t="str">
        <f>IFERROR(__xludf.DUMMYFUNCTION("regexextract(B355,""[\w]* [\w]*"")"),"#VALUE!")</f>
        <v>#VALUE!</v>
      </c>
      <c r="P355" t="str">
        <f t="shared" si="2"/>
        <v>#VALUE!</v>
      </c>
      <c r="Q355" t="str">
        <f t="shared" si="3"/>
        <v>#VALUE!</v>
      </c>
      <c r="R355" t="s">
        <v>2640</v>
      </c>
      <c r="S355" s="417" t="s">
        <v>2640</v>
      </c>
      <c r="T355" t="s">
        <v>2640</v>
      </c>
      <c r="U355" t="s">
        <v>2640</v>
      </c>
      <c r="V355" t="s">
        <v>2640</v>
      </c>
      <c r="W355" t="str">
        <f t="shared" si="1"/>
        <v/>
      </c>
    </row>
    <row r="356">
      <c r="A356" s="469">
        <v>18.0</v>
      </c>
      <c r="B356" s="469">
        <v>1.7</v>
      </c>
      <c r="C356" s="469">
        <v>4.4</v>
      </c>
      <c r="D356" s="469">
        <v>1.0</v>
      </c>
      <c r="E356" s="469">
        <v>1.2</v>
      </c>
      <c r="F356" s="469">
        <v>0.6</v>
      </c>
      <c r="G356" s="469">
        <v>4.6</v>
      </c>
      <c r="H356" s="469">
        <v>1.0</v>
      </c>
      <c r="I356" s="469">
        <v>0.7</v>
      </c>
      <c r="J356" s="469">
        <v>0.3</v>
      </c>
      <c r="K356" s="469">
        <v>0.8</v>
      </c>
      <c r="L356" s="469">
        <v>5.0</v>
      </c>
      <c r="M356" s="469">
        <v>0.1</v>
      </c>
      <c r="N356" s="469">
        <v>0.0</v>
      </c>
      <c r="O356" t="str">
        <f>IFERROR(__xludf.DUMMYFUNCTION("regexextract(B356,""[\w]* [\w]*"")"),"#VALUE!")</f>
        <v>#VALUE!</v>
      </c>
      <c r="P356" t="str">
        <f t="shared" si="2"/>
        <v>#VALUE!</v>
      </c>
      <c r="Q356" t="str">
        <f t="shared" si="3"/>
        <v>#VALUE!</v>
      </c>
      <c r="R356" t="s">
        <v>2640</v>
      </c>
      <c r="S356" s="417" t="s">
        <v>2640</v>
      </c>
      <c r="T356" t="s">
        <v>2640</v>
      </c>
      <c r="U356" t="s">
        <v>2640</v>
      </c>
      <c r="V356" t="s">
        <v>2640</v>
      </c>
      <c r="W356" t="str">
        <f t="shared" si="1"/>
        <v/>
      </c>
    </row>
    <row r="357">
      <c r="A357" s="468">
        <v>12.7</v>
      </c>
      <c r="B357" s="468">
        <v>1.8</v>
      </c>
      <c r="C357" s="468">
        <v>4.4</v>
      </c>
      <c r="D357" s="468">
        <v>0.5</v>
      </c>
      <c r="E357" s="468">
        <v>0.7</v>
      </c>
      <c r="F357" s="468">
        <v>0.8</v>
      </c>
      <c r="G357" s="468">
        <v>3.2</v>
      </c>
      <c r="H357" s="468">
        <v>0.8</v>
      </c>
      <c r="I357" s="468">
        <v>0.3</v>
      </c>
      <c r="J357" s="468">
        <v>0.4</v>
      </c>
      <c r="K357" s="468">
        <v>0.6</v>
      </c>
      <c r="L357" s="468">
        <v>4.8</v>
      </c>
      <c r="M357" s="468">
        <v>0.1</v>
      </c>
      <c r="N357" s="468">
        <v>0.0</v>
      </c>
      <c r="O357" t="str">
        <f>IFERROR(__xludf.DUMMYFUNCTION("regexextract(B357,""[\w]* [\w]*"")"),"#VALUE!")</f>
        <v>#VALUE!</v>
      </c>
      <c r="P357" t="str">
        <f t="shared" si="2"/>
        <v>#VALUE!</v>
      </c>
      <c r="Q357" t="str">
        <f t="shared" si="3"/>
        <v>#VALUE!</v>
      </c>
      <c r="R357" t="s">
        <v>2640</v>
      </c>
      <c r="S357" s="417" t="s">
        <v>2640</v>
      </c>
      <c r="T357" t="s">
        <v>2640</v>
      </c>
      <c r="U357" t="s">
        <v>2640</v>
      </c>
      <c r="V357" t="s">
        <v>2640</v>
      </c>
      <c r="W357" t="str">
        <f t="shared" si="1"/>
        <v/>
      </c>
    </row>
    <row r="358">
      <c r="A358" s="469">
        <v>15.4</v>
      </c>
      <c r="B358" s="469">
        <v>2.7</v>
      </c>
      <c r="C358" s="469">
        <v>6.3</v>
      </c>
      <c r="D358" s="469">
        <v>0.9</v>
      </c>
      <c r="E358" s="469">
        <v>1.1</v>
      </c>
      <c r="F358" s="469">
        <v>0.9</v>
      </c>
      <c r="G358" s="469">
        <v>1.1</v>
      </c>
      <c r="H358" s="469">
        <v>1.7</v>
      </c>
      <c r="I358" s="469">
        <v>0.5</v>
      </c>
      <c r="J358" s="469">
        <v>0.1</v>
      </c>
      <c r="K358" s="469">
        <v>0.6</v>
      </c>
      <c r="L358" s="469">
        <v>7.3</v>
      </c>
      <c r="M358" s="469">
        <v>0.2</v>
      </c>
      <c r="N358" s="469">
        <v>0.0</v>
      </c>
      <c r="O358" t="str">
        <f>IFERROR(__xludf.DUMMYFUNCTION("regexextract(B358,""[\w]* [\w]*"")"),"#VALUE!")</f>
        <v>#VALUE!</v>
      </c>
      <c r="P358" t="str">
        <f t="shared" si="2"/>
        <v>#VALUE!</v>
      </c>
      <c r="Q358" t="str">
        <f t="shared" si="3"/>
        <v>#VALUE!</v>
      </c>
      <c r="R358" t="s">
        <v>2640</v>
      </c>
      <c r="S358" s="417" t="s">
        <v>2640</v>
      </c>
      <c r="T358" t="s">
        <v>2640</v>
      </c>
      <c r="U358" t="s">
        <v>2640</v>
      </c>
      <c r="V358" t="s">
        <v>2640</v>
      </c>
      <c r="W358" t="str">
        <f t="shared" si="1"/>
        <v/>
      </c>
    </row>
    <row r="359">
      <c r="A359" s="468">
        <v>18.4</v>
      </c>
      <c r="B359" s="468">
        <v>2.5</v>
      </c>
      <c r="C359" s="468">
        <v>5.3</v>
      </c>
      <c r="D359" s="468">
        <v>1.3</v>
      </c>
      <c r="E359" s="468">
        <v>1.7</v>
      </c>
      <c r="F359" s="468">
        <v>0.5</v>
      </c>
      <c r="G359" s="468">
        <v>4.2</v>
      </c>
      <c r="H359" s="468">
        <v>1.0</v>
      </c>
      <c r="I359" s="468">
        <v>0.3</v>
      </c>
      <c r="J359" s="468">
        <v>0.8</v>
      </c>
      <c r="K359" s="468">
        <v>1.1</v>
      </c>
      <c r="L359" s="468">
        <v>6.9</v>
      </c>
      <c r="M359" s="468">
        <v>0.7</v>
      </c>
      <c r="N359" s="472">
        <v>-0.2</v>
      </c>
      <c r="O359" t="str">
        <f>IFERROR(__xludf.DUMMYFUNCTION("regexextract(B359,""[\w]* [\w]*"")"),"#VALUE!")</f>
        <v>#VALUE!</v>
      </c>
      <c r="P359" t="str">
        <f t="shared" si="2"/>
        <v>#VALUE!</v>
      </c>
      <c r="Q359" t="str">
        <f t="shared" si="3"/>
        <v>#VALUE!</v>
      </c>
      <c r="R359" t="s">
        <v>2640</v>
      </c>
      <c r="S359" s="417" t="s">
        <v>2640</v>
      </c>
      <c r="T359" t="s">
        <v>2640</v>
      </c>
      <c r="U359" t="s">
        <v>2640</v>
      </c>
      <c r="V359" t="s">
        <v>2640</v>
      </c>
      <c r="W359" t="str">
        <f t="shared" si="1"/>
        <v/>
      </c>
    </row>
    <row r="360">
      <c r="A360" s="469">
        <v>15.6</v>
      </c>
      <c r="B360" s="469">
        <v>2.6</v>
      </c>
      <c r="C360" s="469">
        <v>5.1</v>
      </c>
      <c r="D360" s="469">
        <v>1.1</v>
      </c>
      <c r="E360" s="469">
        <v>1.4</v>
      </c>
      <c r="F360" s="469">
        <v>0.6</v>
      </c>
      <c r="G360" s="469">
        <v>1.7</v>
      </c>
      <c r="H360" s="469">
        <v>1.0</v>
      </c>
      <c r="I360" s="469">
        <v>0.6</v>
      </c>
      <c r="J360" s="469">
        <v>0.2</v>
      </c>
      <c r="K360" s="469">
        <v>0.9</v>
      </c>
      <c r="L360" s="469">
        <v>6.8</v>
      </c>
      <c r="M360" s="469">
        <v>0.2</v>
      </c>
      <c r="N360" s="473">
        <v>-0.1</v>
      </c>
      <c r="O360" t="str">
        <f>IFERROR(__xludf.DUMMYFUNCTION("regexextract(B360,""[\w]* [\w]*"")"),"#VALUE!")</f>
        <v>#VALUE!</v>
      </c>
      <c r="P360" t="str">
        <f t="shared" si="2"/>
        <v>#VALUE!</v>
      </c>
      <c r="Q360" t="str">
        <f t="shared" si="3"/>
        <v>#VALUE!</v>
      </c>
      <c r="R360" t="s">
        <v>2640</v>
      </c>
      <c r="S360" s="417" t="s">
        <v>2640</v>
      </c>
      <c r="T360" t="s">
        <v>2640</v>
      </c>
      <c r="U360" t="s">
        <v>2640</v>
      </c>
      <c r="V360" t="s">
        <v>2640</v>
      </c>
      <c r="W360" t="str">
        <f t="shared" si="1"/>
        <v/>
      </c>
    </row>
    <row r="361">
      <c r="A361" s="468">
        <v>14.4</v>
      </c>
      <c r="B361" s="468">
        <v>2.2</v>
      </c>
      <c r="C361" s="468">
        <v>5.0</v>
      </c>
      <c r="D361" s="468">
        <v>0.3</v>
      </c>
      <c r="E361" s="468">
        <v>0.3</v>
      </c>
      <c r="F361" s="468">
        <v>1.5</v>
      </c>
      <c r="G361" s="468">
        <v>2.2</v>
      </c>
      <c r="H361" s="468">
        <v>0.7</v>
      </c>
      <c r="I361" s="468">
        <v>0.3</v>
      </c>
      <c r="J361" s="468">
        <v>0.1</v>
      </c>
      <c r="K361" s="468">
        <v>0.6</v>
      </c>
      <c r="L361" s="468">
        <v>6.2</v>
      </c>
      <c r="M361" s="468">
        <v>0.1</v>
      </c>
      <c r="N361" s="468">
        <v>0.0</v>
      </c>
      <c r="O361" t="str">
        <f>IFERROR(__xludf.DUMMYFUNCTION("regexextract(B361,""[\w]* [\w]*"")"),"#VALUE!")</f>
        <v>#VALUE!</v>
      </c>
      <c r="P361" t="str">
        <f t="shared" si="2"/>
        <v>#VALUE!</v>
      </c>
      <c r="Q361" t="str">
        <f t="shared" si="3"/>
        <v>#VALUE!</v>
      </c>
      <c r="R361" t="s">
        <v>2640</v>
      </c>
      <c r="S361" s="417" t="s">
        <v>2640</v>
      </c>
      <c r="T361" t="s">
        <v>2640</v>
      </c>
      <c r="U361" t="s">
        <v>2640</v>
      </c>
      <c r="V361" t="s">
        <v>2640</v>
      </c>
      <c r="W361" t="str">
        <f t="shared" si="1"/>
        <v/>
      </c>
    </row>
    <row r="362">
      <c r="A362" s="469">
        <v>19.0</v>
      </c>
      <c r="B362" s="469">
        <v>2.9</v>
      </c>
      <c r="C362" s="469">
        <v>6.3</v>
      </c>
      <c r="D362" s="469">
        <v>0.8</v>
      </c>
      <c r="E362" s="469">
        <v>1.1</v>
      </c>
      <c r="F362" s="469">
        <v>0.7</v>
      </c>
      <c r="G362" s="469">
        <v>5.2</v>
      </c>
      <c r="H362" s="469">
        <v>1.1</v>
      </c>
      <c r="I362" s="469">
        <v>0.3</v>
      </c>
      <c r="J362" s="469">
        <v>0.5</v>
      </c>
      <c r="K362" s="469">
        <v>0.9</v>
      </c>
      <c r="L362" s="469">
        <v>7.4</v>
      </c>
      <c r="M362" s="469">
        <v>0.2</v>
      </c>
      <c r="N362" s="469">
        <v>0.0</v>
      </c>
      <c r="O362" t="str">
        <f>IFERROR(__xludf.DUMMYFUNCTION("regexextract(B362,""[\w]* [\w]*"")"),"#VALUE!")</f>
        <v>#VALUE!</v>
      </c>
      <c r="P362" t="str">
        <f t="shared" si="2"/>
        <v>#VALUE!</v>
      </c>
      <c r="Q362" t="str">
        <f t="shared" si="3"/>
        <v>#VALUE!</v>
      </c>
      <c r="R362" t="s">
        <v>2640</v>
      </c>
      <c r="S362" s="417" t="s">
        <v>2640</v>
      </c>
      <c r="T362" t="s">
        <v>2640</v>
      </c>
      <c r="U362" t="s">
        <v>2640</v>
      </c>
      <c r="V362" t="s">
        <v>2640</v>
      </c>
      <c r="W362" t="str">
        <f t="shared" si="1"/>
        <v/>
      </c>
    </row>
    <row r="363">
      <c r="A363" s="468">
        <v>17.2</v>
      </c>
      <c r="B363" s="468">
        <v>1.9</v>
      </c>
      <c r="C363" s="468">
        <v>4.8</v>
      </c>
      <c r="D363" s="468">
        <v>1.4</v>
      </c>
      <c r="E363" s="468">
        <v>1.6</v>
      </c>
      <c r="F363" s="468">
        <v>0.4</v>
      </c>
      <c r="G363" s="468">
        <v>1.7</v>
      </c>
      <c r="H363" s="468">
        <v>2.6</v>
      </c>
      <c r="I363" s="468">
        <v>0.7</v>
      </c>
      <c r="J363" s="468">
        <v>0.2</v>
      </c>
      <c r="K363" s="468">
        <v>1.1</v>
      </c>
      <c r="L363" s="468">
        <v>5.7</v>
      </c>
      <c r="M363" s="468">
        <v>0.1</v>
      </c>
      <c r="N363" s="468">
        <v>0.0</v>
      </c>
      <c r="O363" t="str">
        <f>IFERROR(__xludf.DUMMYFUNCTION("regexextract(B363,""[\w]* [\w]*"")"),"#VALUE!")</f>
        <v>#VALUE!</v>
      </c>
      <c r="P363" t="str">
        <f t="shared" si="2"/>
        <v>#VALUE!</v>
      </c>
      <c r="Q363" t="str">
        <f t="shared" si="3"/>
        <v>#VALUE!</v>
      </c>
      <c r="R363" t="s">
        <v>2640</v>
      </c>
      <c r="S363" s="417" t="s">
        <v>2640</v>
      </c>
      <c r="T363" t="s">
        <v>2640</v>
      </c>
      <c r="U363" t="s">
        <v>2640</v>
      </c>
      <c r="V363" t="s">
        <v>2640</v>
      </c>
      <c r="W363" t="str">
        <f t="shared" si="1"/>
        <v/>
      </c>
    </row>
    <row r="364">
      <c r="A364" s="469">
        <v>13.3</v>
      </c>
      <c r="B364" s="469">
        <v>2.5</v>
      </c>
      <c r="C364" s="469">
        <v>4.2</v>
      </c>
      <c r="D364" s="469">
        <v>0.8</v>
      </c>
      <c r="E364" s="469">
        <v>1.1</v>
      </c>
      <c r="F364" s="469">
        <v>0.1</v>
      </c>
      <c r="G364" s="469">
        <v>2.5</v>
      </c>
      <c r="H364" s="469">
        <v>0.6</v>
      </c>
      <c r="I364" s="469">
        <v>0.1</v>
      </c>
      <c r="J364" s="469">
        <v>0.5</v>
      </c>
      <c r="K364" s="469">
        <v>0.8</v>
      </c>
      <c r="L364" s="469">
        <v>5.9</v>
      </c>
      <c r="M364" s="469">
        <v>0.3</v>
      </c>
      <c r="N364" s="469">
        <v>0.0</v>
      </c>
      <c r="O364" t="str">
        <f>IFERROR(__xludf.DUMMYFUNCTION("regexextract(B364,""[\w]* [\w]*"")"),"#VALUE!")</f>
        <v>#VALUE!</v>
      </c>
      <c r="P364" t="str">
        <f t="shared" si="2"/>
        <v>#VALUE!</v>
      </c>
      <c r="Q364" t="str">
        <f t="shared" si="3"/>
        <v>#VALUE!</v>
      </c>
      <c r="R364" t="s">
        <v>2640</v>
      </c>
      <c r="S364" s="417" t="s">
        <v>2640</v>
      </c>
      <c r="T364" t="s">
        <v>2640</v>
      </c>
      <c r="U364" t="s">
        <v>2640</v>
      </c>
      <c r="V364" t="s">
        <v>2640</v>
      </c>
      <c r="W364" t="str">
        <f t="shared" si="1"/>
        <v/>
      </c>
    </row>
    <row r="365">
      <c r="A365" s="446" t="s">
        <v>2943</v>
      </c>
      <c r="C365" s="448"/>
      <c r="D365" s="448"/>
      <c r="E365" s="448"/>
      <c r="F365" s="448"/>
      <c r="G365" s="448"/>
      <c r="O365" t="str">
        <f>IFERROR(__xludf.DUMMYFUNCTION("regexextract(B365,""[\w]* [\w]*"")"),"#N/A")</f>
        <v>#N/A</v>
      </c>
      <c r="P365" t="str">
        <f t="shared" si="2"/>
        <v>#N/A</v>
      </c>
      <c r="Q365" t="str">
        <f t="shared" si="3"/>
        <v>#N/A</v>
      </c>
      <c r="R365" t="s">
        <v>2640</v>
      </c>
      <c r="S365" s="417" t="s">
        <v>2640</v>
      </c>
      <c r="T365" t="s">
        <v>2640</v>
      </c>
      <c r="U365" t="s">
        <v>2640</v>
      </c>
      <c r="V365" t="s">
        <v>2640</v>
      </c>
      <c r="W365" t="str">
        <f t="shared" si="1"/>
        <v/>
      </c>
    </row>
    <row r="366">
      <c r="A366" s="474" t="s">
        <v>2944</v>
      </c>
      <c r="B366" s="474" t="s">
        <v>2945</v>
      </c>
      <c r="C366" s="452"/>
      <c r="D366" s="452"/>
      <c r="E366" s="452"/>
      <c r="F366" s="452"/>
      <c r="G366" s="452"/>
      <c r="O366" t="str">
        <f>IFERROR(__xludf.DUMMYFUNCTION("regexextract(B366,""[\w]* [\w]*"")"),"#N/A")</f>
        <v>#N/A</v>
      </c>
      <c r="P366" t="str">
        <f t="shared" si="2"/>
        <v>#N/A</v>
      </c>
      <c r="Q366" t="str">
        <f t="shared" si="3"/>
        <v>#N/A</v>
      </c>
      <c r="R366" t="s">
        <v>2640</v>
      </c>
      <c r="S366" s="417" t="s">
        <v>2640</v>
      </c>
      <c r="T366" t="s">
        <v>2640</v>
      </c>
      <c r="U366" t="s">
        <v>2640</v>
      </c>
      <c r="V366" t="s">
        <v>2640</v>
      </c>
      <c r="W366" t="str">
        <f t="shared" si="1"/>
        <v/>
      </c>
    </row>
    <row r="367">
      <c r="A367" s="468">
        <v>1176.0</v>
      </c>
      <c r="B367" s="468">
        <v>16.1</v>
      </c>
      <c r="C367" s="448"/>
      <c r="D367" s="448"/>
      <c r="E367" s="448"/>
      <c r="F367" s="448"/>
      <c r="G367" s="448"/>
      <c r="O367" t="str">
        <f>IFERROR(__xludf.DUMMYFUNCTION("regexextract(B367,""[\w]* [\w]*"")"),"#VALUE!")</f>
        <v>#VALUE!</v>
      </c>
      <c r="P367" t="str">
        <f t="shared" si="2"/>
        <v>#VALUE!</v>
      </c>
      <c r="Q367" t="str">
        <f t="shared" si="3"/>
        <v>#VALUE!</v>
      </c>
      <c r="R367" t="s">
        <v>2640</v>
      </c>
      <c r="S367" s="417" t="s">
        <v>2640</v>
      </c>
      <c r="T367" t="s">
        <v>2640</v>
      </c>
      <c r="U367" t="s">
        <v>2640</v>
      </c>
      <c r="V367" t="s">
        <v>2640</v>
      </c>
      <c r="W367" t="str">
        <f t="shared" si="1"/>
        <v/>
      </c>
    </row>
    <row r="368">
      <c r="A368" s="475">
        <v>1166.0</v>
      </c>
      <c r="B368" s="475">
        <v>16.9</v>
      </c>
      <c r="C368" s="452"/>
      <c r="D368" s="452"/>
      <c r="E368" s="452"/>
      <c r="F368" s="452"/>
      <c r="G368" s="452"/>
      <c r="O368" t="str">
        <f>IFERROR(__xludf.DUMMYFUNCTION("regexextract(B368,""[\w]* [\w]*"")"),"#VALUE!")</f>
        <v>#VALUE!</v>
      </c>
      <c r="P368" t="str">
        <f t="shared" si="2"/>
        <v>#VALUE!</v>
      </c>
      <c r="Q368" t="str">
        <f t="shared" si="3"/>
        <v>#VALUE!</v>
      </c>
      <c r="R368" t="s">
        <v>2640</v>
      </c>
      <c r="S368" s="417" t="s">
        <v>2640</v>
      </c>
      <c r="T368" t="s">
        <v>2640</v>
      </c>
      <c r="U368" t="s">
        <v>2640</v>
      </c>
      <c r="V368" t="s">
        <v>2640</v>
      </c>
      <c r="W368" t="str">
        <f t="shared" si="1"/>
        <v/>
      </c>
    </row>
    <row r="369">
      <c r="A369" s="468">
        <v>1152.0</v>
      </c>
      <c r="B369" s="468">
        <v>17.2</v>
      </c>
      <c r="C369" s="448"/>
      <c r="D369" s="448"/>
      <c r="E369" s="448"/>
      <c r="F369" s="448"/>
      <c r="G369" s="448"/>
      <c r="O369" t="str">
        <f>IFERROR(__xludf.DUMMYFUNCTION("regexextract(B369,""[\w]* [\w]*"")"),"#VALUE!")</f>
        <v>#VALUE!</v>
      </c>
      <c r="P369" t="str">
        <f t="shared" si="2"/>
        <v>#VALUE!</v>
      </c>
      <c r="Q369" t="str">
        <f t="shared" si="3"/>
        <v>#VALUE!</v>
      </c>
      <c r="R369" t="s">
        <v>2640</v>
      </c>
      <c r="S369" s="417" t="s">
        <v>2640</v>
      </c>
      <c r="T369" t="s">
        <v>2640</v>
      </c>
      <c r="U369" t="s">
        <v>2640</v>
      </c>
      <c r="V369" t="s">
        <v>2640</v>
      </c>
      <c r="W369" t="str">
        <f t="shared" si="1"/>
        <v/>
      </c>
    </row>
    <row r="370">
      <c r="A370" s="475">
        <v>1151.0</v>
      </c>
      <c r="B370" s="475">
        <v>16.9</v>
      </c>
      <c r="C370" s="452"/>
      <c r="D370" s="452"/>
      <c r="E370" s="452"/>
      <c r="F370" s="452"/>
      <c r="G370" s="452"/>
      <c r="O370" t="str">
        <f>IFERROR(__xludf.DUMMYFUNCTION("regexextract(B370,""[\w]* [\w]*"")"),"#VALUE!")</f>
        <v>#VALUE!</v>
      </c>
      <c r="P370" t="str">
        <f t="shared" si="2"/>
        <v>#VALUE!</v>
      </c>
      <c r="Q370" t="str">
        <f t="shared" si="3"/>
        <v>#VALUE!</v>
      </c>
      <c r="R370" t="s">
        <v>2640</v>
      </c>
      <c r="S370" s="417" t="s">
        <v>2640</v>
      </c>
      <c r="T370" t="s">
        <v>2640</v>
      </c>
      <c r="U370" t="s">
        <v>2640</v>
      </c>
      <c r="V370" t="s">
        <v>2640</v>
      </c>
      <c r="W370" t="str">
        <f t="shared" si="1"/>
        <v/>
      </c>
    </row>
    <row r="371">
      <c r="A371" s="468">
        <v>1148.0</v>
      </c>
      <c r="B371" s="468">
        <v>16.2</v>
      </c>
      <c r="C371" s="448"/>
      <c r="D371" s="448"/>
      <c r="E371" s="448"/>
      <c r="F371" s="448"/>
      <c r="G371" s="448"/>
      <c r="O371" t="str">
        <f>IFERROR(__xludf.DUMMYFUNCTION("regexextract(B371,""[\w]* [\w]*"")"),"#VALUE!")</f>
        <v>#VALUE!</v>
      </c>
      <c r="P371" t="str">
        <f t="shared" si="2"/>
        <v>#VALUE!</v>
      </c>
      <c r="Q371" t="str">
        <f t="shared" si="3"/>
        <v>#VALUE!</v>
      </c>
      <c r="R371" t="s">
        <v>2640</v>
      </c>
      <c r="S371" s="417" t="s">
        <v>2640</v>
      </c>
      <c r="T371" t="s">
        <v>2640</v>
      </c>
      <c r="U371" t="s">
        <v>2640</v>
      </c>
      <c r="V371" t="s">
        <v>2640</v>
      </c>
      <c r="W371" t="str">
        <f t="shared" si="1"/>
        <v/>
      </c>
    </row>
    <row r="372">
      <c r="A372" s="475">
        <v>1136.0</v>
      </c>
      <c r="B372" s="475">
        <v>15.8</v>
      </c>
      <c r="C372" s="452"/>
      <c r="D372" s="452"/>
      <c r="E372" s="452"/>
      <c r="F372" s="452"/>
      <c r="G372" s="452"/>
      <c r="O372" t="str">
        <f>IFERROR(__xludf.DUMMYFUNCTION("regexextract(B372,""[\w]* [\w]*"")"),"#VALUE!")</f>
        <v>#VALUE!</v>
      </c>
      <c r="P372" t="str">
        <f t="shared" si="2"/>
        <v>#VALUE!</v>
      </c>
      <c r="Q372" t="str">
        <f t="shared" si="3"/>
        <v>#VALUE!</v>
      </c>
      <c r="R372" t="s">
        <v>2640</v>
      </c>
      <c r="S372" s="417" t="s">
        <v>2640</v>
      </c>
      <c r="T372" t="s">
        <v>2640</v>
      </c>
      <c r="U372" t="s">
        <v>2640</v>
      </c>
      <c r="V372" t="s">
        <v>2640</v>
      </c>
      <c r="W372" t="str">
        <f t="shared" si="1"/>
        <v/>
      </c>
    </row>
    <row r="373">
      <c r="A373" s="468">
        <v>1134.0</v>
      </c>
      <c r="B373" s="468">
        <v>15.8</v>
      </c>
      <c r="C373" s="448"/>
      <c r="D373" s="448"/>
      <c r="E373" s="448"/>
      <c r="F373" s="448"/>
      <c r="G373" s="448"/>
      <c r="O373" t="str">
        <f>IFERROR(__xludf.DUMMYFUNCTION("regexextract(B373,""[\w]* [\w]*"")"),"#VALUE!")</f>
        <v>#VALUE!</v>
      </c>
      <c r="P373" t="str">
        <f t="shared" si="2"/>
        <v>#VALUE!</v>
      </c>
      <c r="Q373" t="str">
        <f t="shared" si="3"/>
        <v>#VALUE!</v>
      </c>
      <c r="R373" t="s">
        <v>2640</v>
      </c>
      <c r="S373" s="417" t="s">
        <v>2640</v>
      </c>
      <c r="T373" t="s">
        <v>2640</v>
      </c>
      <c r="U373" t="s">
        <v>2640</v>
      </c>
      <c r="V373" t="s">
        <v>2640</v>
      </c>
      <c r="W373" t="str">
        <f t="shared" si="1"/>
        <v/>
      </c>
    </row>
    <row r="374">
      <c r="A374" s="475">
        <v>1131.0</v>
      </c>
      <c r="B374" s="475">
        <v>16.4</v>
      </c>
      <c r="C374" s="452"/>
      <c r="D374" s="452"/>
      <c r="E374" s="452"/>
      <c r="F374" s="452"/>
      <c r="G374" s="452"/>
      <c r="O374" t="str">
        <f>IFERROR(__xludf.DUMMYFUNCTION("regexextract(B374,""[\w]* [\w]*"")"),"#VALUE!")</f>
        <v>#VALUE!</v>
      </c>
      <c r="P374" t="str">
        <f t="shared" si="2"/>
        <v>#VALUE!</v>
      </c>
      <c r="Q374" t="str">
        <f t="shared" si="3"/>
        <v>#VALUE!</v>
      </c>
      <c r="R374" t="s">
        <v>2640</v>
      </c>
      <c r="S374" s="417" t="s">
        <v>2640</v>
      </c>
      <c r="T374" t="s">
        <v>2640</v>
      </c>
      <c r="U374" t="s">
        <v>2640</v>
      </c>
      <c r="V374" t="s">
        <v>2640</v>
      </c>
      <c r="W374" t="str">
        <f t="shared" si="1"/>
        <v/>
      </c>
    </row>
    <row r="375">
      <c r="A375" s="468">
        <v>1126.0</v>
      </c>
      <c r="B375" s="468">
        <v>36.3</v>
      </c>
      <c r="C375" s="448"/>
      <c r="D375" s="448"/>
      <c r="E375" s="448"/>
      <c r="F375" s="448"/>
      <c r="G375" s="448"/>
      <c r="O375" t="str">
        <f>IFERROR(__xludf.DUMMYFUNCTION("regexextract(B375,""[\w]* [\w]*"")"),"#VALUE!")</f>
        <v>#VALUE!</v>
      </c>
      <c r="P375" t="str">
        <f t="shared" si="2"/>
        <v>#VALUE!</v>
      </c>
      <c r="Q375" t="str">
        <f t="shared" si="3"/>
        <v>#VALUE!</v>
      </c>
      <c r="R375" t="s">
        <v>2640</v>
      </c>
      <c r="S375" s="417" t="s">
        <v>2640</v>
      </c>
      <c r="T375" t="s">
        <v>2640</v>
      </c>
      <c r="U375" t="s">
        <v>2640</v>
      </c>
      <c r="V375" t="s">
        <v>2640</v>
      </c>
      <c r="W375" t="str">
        <f t="shared" si="1"/>
        <v/>
      </c>
    </row>
    <row r="376">
      <c r="A376" s="475">
        <v>1123.0</v>
      </c>
      <c r="B376" s="475">
        <v>17.0</v>
      </c>
      <c r="C376" s="452"/>
      <c r="D376" s="452"/>
      <c r="E376" s="452"/>
      <c r="F376" s="452"/>
      <c r="G376" s="452"/>
      <c r="O376" t="str">
        <f>IFERROR(__xludf.DUMMYFUNCTION("regexextract(B376,""[\w]* [\w]*"")"),"#VALUE!")</f>
        <v>#VALUE!</v>
      </c>
      <c r="P376" t="str">
        <f t="shared" si="2"/>
        <v>#VALUE!</v>
      </c>
      <c r="Q376" t="str">
        <f t="shared" si="3"/>
        <v>#VALUE!</v>
      </c>
      <c r="R376" t="s">
        <v>2640</v>
      </c>
      <c r="S376" s="417" t="s">
        <v>2640</v>
      </c>
      <c r="T376" t="s">
        <v>2640</v>
      </c>
      <c r="U376" t="s">
        <v>2640</v>
      </c>
      <c r="V376" t="s">
        <v>2640</v>
      </c>
      <c r="W376" t="str">
        <f t="shared" si="1"/>
        <v/>
      </c>
    </row>
    <row r="377">
      <c r="A377" s="468">
        <v>1116.0</v>
      </c>
      <c r="B377" s="468">
        <v>16.4</v>
      </c>
      <c r="C377" s="448"/>
      <c r="D377" s="448"/>
      <c r="E377" s="448"/>
      <c r="F377" s="448"/>
      <c r="G377" s="448"/>
      <c r="O377" t="str">
        <f>IFERROR(__xludf.DUMMYFUNCTION("regexextract(B377,""[\w]* [\w]*"")"),"#VALUE!")</f>
        <v>#VALUE!</v>
      </c>
      <c r="P377" t="str">
        <f t="shared" si="2"/>
        <v>#VALUE!</v>
      </c>
      <c r="Q377" t="str">
        <f t="shared" si="3"/>
        <v>#VALUE!</v>
      </c>
      <c r="R377" t="s">
        <v>2640</v>
      </c>
      <c r="S377" s="417" t="s">
        <v>2640</v>
      </c>
      <c r="T377" t="s">
        <v>2640</v>
      </c>
      <c r="U377" t="s">
        <v>2640</v>
      </c>
      <c r="V377" t="s">
        <v>2640</v>
      </c>
      <c r="W377" t="str">
        <f t="shared" si="1"/>
        <v/>
      </c>
    </row>
    <row r="378">
      <c r="A378" s="475">
        <v>1116.0</v>
      </c>
      <c r="B378" s="475">
        <v>16.2</v>
      </c>
      <c r="C378" s="452"/>
      <c r="D378" s="452"/>
      <c r="E378" s="452"/>
      <c r="F378" s="452"/>
      <c r="G378" s="452"/>
      <c r="O378" t="str">
        <f>IFERROR(__xludf.DUMMYFUNCTION("regexextract(B378,""[\w]* [\w]*"")"),"#VALUE!")</f>
        <v>#VALUE!</v>
      </c>
      <c r="P378" t="str">
        <f t="shared" si="2"/>
        <v>#VALUE!</v>
      </c>
      <c r="Q378" t="str">
        <f t="shared" si="3"/>
        <v>#VALUE!</v>
      </c>
      <c r="R378" t="s">
        <v>2640</v>
      </c>
      <c r="S378" s="417" t="s">
        <v>2640</v>
      </c>
      <c r="T378" t="s">
        <v>2640</v>
      </c>
      <c r="U378" t="s">
        <v>2640</v>
      </c>
      <c r="V378" t="s">
        <v>2640</v>
      </c>
      <c r="W378" t="str">
        <f t="shared" si="1"/>
        <v/>
      </c>
    </row>
    <row r="379">
      <c r="A379" s="468">
        <v>1115.0</v>
      </c>
      <c r="B379" s="468">
        <v>16.6</v>
      </c>
      <c r="C379" s="448"/>
      <c r="D379" s="448"/>
      <c r="E379" s="448"/>
      <c r="F379" s="448"/>
      <c r="G379" s="448"/>
      <c r="O379" t="str">
        <f>IFERROR(__xludf.DUMMYFUNCTION("regexextract(B379,""[\w]* [\w]*"")"),"#VALUE!")</f>
        <v>#VALUE!</v>
      </c>
      <c r="P379" t="str">
        <f t="shared" si="2"/>
        <v>#VALUE!</v>
      </c>
      <c r="Q379" t="str">
        <f t="shared" si="3"/>
        <v>#VALUE!</v>
      </c>
      <c r="R379" t="s">
        <v>2640</v>
      </c>
      <c r="S379" s="417" t="s">
        <v>2640</v>
      </c>
      <c r="T379" t="s">
        <v>2640</v>
      </c>
      <c r="U379" t="s">
        <v>2640</v>
      </c>
      <c r="V379" t="s">
        <v>2640</v>
      </c>
      <c r="W379" t="str">
        <f t="shared" si="1"/>
        <v/>
      </c>
    </row>
    <row r="380">
      <c r="A380" s="475">
        <v>1115.0</v>
      </c>
      <c r="B380" s="475">
        <v>16.9</v>
      </c>
      <c r="C380" s="452"/>
      <c r="D380" s="452"/>
      <c r="E380" s="452"/>
      <c r="F380" s="452"/>
      <c r="G380" s="452"/>
      <c r="O380" t="str">
        <f>IFERROR(__xludf.DUMMYFUNCTION("regexextract(B380,""[\w]* [\w]*"")"),"#VALUE!")</f>
        <v>#VALUE!</v>
      </c>
      <c r="P380" t="str">
        <f t="shared" si="2"/>
        <v>#VALUE!</v>
      </c>
      <c r="Q380" t="str">
        <f t="shared" si="3"/>
        <v>#VALUE!</v>
      </c>
      <c r="R380" t="s">
        <v>2640</v>
      </c>
      <c r="S380" s="417" t="s">
        <v>2640</v>
      </c>
      <c r="T380" t="s">
        <v>2640</v>
      </c>
      <c r="U380" t="s">
        <v>2640</v>
      </c>
      <c r="V380" t="s">
        <v>2640</v>
      </c>
      <c r="W380" t="str">
        <f t="shared" si="1"/>
        <v/>
      </c>
    </row>
    <row r="381">
      <c r="A381" s="468">
        <v>1114.0</v>
      </c>
      <c r="B381" s="468">
        <v>17.4</v>
      </c>
      <c r="C381" s="448"/>
      <c r="D381" s="463"/>
      <c r="E381" s="448"/>
      <c r="F381" s="448"/>
      <c r="G381" s="448"/>
      <c r="O381" t="str">
        <f>IFERROR(__xludf.DUMMYFUNCTION("regexextract(B381,""[\w]* [\w]*"")"),"#VALUE!")</f>
        <v>#VALUE!</v>
      </c>
      <c r="P381" t="str">
        <f t="shared" si="2"/>
        <v>#VALUE!</v>
      </c>
      <c r="Q381" t="str">
        <f t="shared" si="3"/>
        <v>#VALUE!</v>
      </c>
      <c r="R381" t="s">
        <v>2640</v>
      </c>
      <c r="S381" s="417" t="s">
        <v>2640</v>
      </c>
      <c r="T381" t="s">
        <v>2640</v>
      </c>
      <c r="U381" t="s">
        <v>2640</v>
      </c>
      <c r="V381" t="s">
        <v>2640</v>
      </c>
      <c r="W381" t="str">
        <f t="shared" si="1"/>
        <v/>
      </c>
    </row>
    <row r="382">
      <c r="A382" s="475">
        <v>1104.0</v>
      </c>
      <c r="B382" s="475">
        <v>16.2</v>
      </c>
      <c r="C382" s="452"/>
      <c r="D382" s="452"/>
      <c r="E382" s="452"/>
      <c r="F382" s="452"/>
      <c r="G382" s="452"/>
      <c r="O382" t="str">
        <f>IFERROR(__xludf.DUMMYFUNCTION("regexextract(B382,""[\w]* [\w]*"")"),"#VALUE!")</f>
        <v>#VALUE!</v>
      </c>
      <c r="P382" t="str">
        <f t="shared" si="2"/>
        <v>#VALUE!</v>
      </c>
      <c r="Q382" t="str">
        <f t="shared" si="3"/>
        <v>#VALUE!</v>
      </c>
      <c r="R382" t="s">
        <v>2640</v>
      </c>
      <c r="S382" s="417" t="s">
        <v>2640</v>
      </c>
      <c r="T382" t="s">
        <v>2640</v>
      </c>
      <c r="U382" t="s">
        <v>2640</v>
      </c>
      <c r="V382" t="s">
        <v>2640</v>
      </c>
      <c r="W382" t="str">
        <f t="shared" si="1"/>
        <v/>
      </c>
    </row>
    <row r="383">
      <c r="A383" s="468">
        <v>1090.0</v>
      </c>
      <c r="B383" s="468">
        <v>15.4</v>
      </c>
      <c r="C383" s="448"/>
      <c r="D383" s="448"/>
      <c r="E383" s="448"/>
      <c r="F383" s="448"/>
      <c r="G383" s="448"/>
      <c r="O383" t="str">
        <f>IFERROR(__xludf.DUMMYFUNCTION("regexextract(B383,""[\w]* [\w]*"")"),"#VALUE!")</f>
        <v>#VALUE!</v>
      </c>
      <c r="P383" t="str">
        <f t="shared" si="2"/>
        <v>#VALUE!</v>
      </c>
      <c r="Q383" t="str">
        <f t="shared" si="3"/>
        <v>#VALUE!</v>
      </c>
      <c r="R383" t="s">
        <v>2640</v>
      </c>
      <c r="S383" s="417" t="s">
        <v>2640</v>
      </c>
      <c r="T383" t="s">
        <v>2640</v>
      </c>
      <c r="U383" t="s">
        <v>2640</v>
      </c>
      <c r="V383" t="s">
        <v>2640</v>
      </c>
      <c r="W383" t="str">
        <f t="shared" si="1"/>
        <v/>
      </c>
    </row>
    <row r="384">
      <c r="A384" s="475">
        <v>1079.0</v>
      </c>
      <c r="B384" s="475">
        <v>15.2</v>
      </c>
      <c r="C384" s="452"/>
      <c r="D384" s="452"/>
      <c r="E384" s="452"/>
      <c r="F384" s="452"/>
      <c r="G384" s="452"/>
      <c r="O384" t="str">
        <f>IFERROR(__xludf.DUMMYFUNCTION("regexextract(B384,""[\w]* [\w]*"")"),"#VALUE!")</f>
        <v>#VALUE!</v>
      </c>
      <c r="P384" t="str">
        <f t="shared" si="2"/>
        <v>#VALUE!</v>
      </c>
      <c r="Q384" t="str">
        <f t="shared" si="3"/>
        <v>#VALUE!</v>
      </c>
      <c r="R384" t="s">
        <v>2640</v>
      </c>
      <c r="S384" s="417" t="s">
        <v>2640</v>
      </c>
      <c r="T384" t="s">
        <v>2640</v>
      </c>
      <c r="U384" t="s">
        <v>2640</v>
      </c>
      <c r="V384" t="s">
        <v>2640</v>
      </c>
      <c r="W384" t="str">
        <f t="shared" si="1"/>
        <v/>
      </c>
    </row>
    <row r="385">
      <c r="A385" s="468">
        <v>1078.0</v>
      </c>
      <c r="B385" s="468">
        <v>14.8</v>
      </c>
      <c r="C385" s="448"/>
      <c r="D385" s="448"/>
      <c r="E385" s="448"/>
      <c r="F385" s="448"/>
      <c r="G385" s="448"/>
      <c r="O385" t="str">
        <f>IFERROR(__xludf.DUMMYFUNCTION("regexextract(B385,""[\w]* [\w]*"")"),"#VALUE!")</f>
        <v>#VALUE!</v>
      </c>
      <c r="P385" t="str">
        <f t="shared" si="2"/>
        <v>#VALUE!</v>
      </c>
      <c r="Q385" t="str">
        <f t="shared" si="3"/>
        <v>#VALUE!</v>
      </c>
      <c r="R385" t="s">
        <v>2640</v>
      </c>
      <c r="S385" s="417" t="s">
        <v>2640</v>
      </c>
      <c r="T385" t="s">
        <v>2640</v>
      </c>
      <c r="U385" t="s">
        <v>2640</v>
      </c>
      <c r="V385" t="s">
        <v>2640</v>
      </c>
      <c r="W385" t="str">
        <f t="shared" si="1"/>
        <v/>
      </c>
    </row>
    <row r="386">
      <c r="A386" s="475">
        <v>1077.0</v>
      </c>
      <c r="B386" s="475">
        <v>16.6</v>
      </c>
      <c r="C386" s="452"/>
      <c r="D386" s="452"/>
      <c r="E386" s="452"/>
      <c r="F386" s="452"/>
      <c r="G386" s="452"/>
      <c r="O386" t="str">
        <f>IFERROR(__xludf.DUMMYFUNCTION("regexextract(B386,""[\w]* [\w]*"")"),"#VALUE!")</f>
        <v>#VALUE!</v>
      </c>
      <c r="P386" t="str">
        <f t="shared" si="2"/>
        <v>#VALUE!</v>
      </c>
      <c r="Q386" t="str">
        <f t="shared" si="3"/>
        <v>#VALUE!</v>
      </c>
      <c r="R386" t="s">
        <v>2640</v>
      </c>
      <c r="S386" s="417" t="s">
        <v>2640</v>
      </c>
      <c r="T386" t="s">
        <v>2640</v>
      </c>
      <c r="U386" t="s">
        <v>2640</v>
      </c>
      <c r="V386" t="s">
        <v>2640</v>
      </c>
      <c r="W386" t="str">
        <f t="shared" si="1"/>
        <v/>
      </c>
    </row>
    <row r="387">
      <c r="A387" s="468">
        <v>1076.0</v>
      </c>
      <c r="B387" s="468">
        <v>16.6</v>
      </c>
      <c r="C387" s="448"/>
      <c r="D387" s="448"/>
      <c r="E387" s="448"/>
      <c r="F387" s="448"/>
      <c r="G387" s="448"/>
      <c r="O387" t="str">
        <f>IFERROR(__xludf.DUMMYFUNCTION("regexextract(B387,""[\w]* [\w]*"")"),"#VALUE!")</f>
        <v>#VALUE!</v>
      </c>
      <c r="P387" t="str">
        <f t="shared" si="2"/>
        <v>#VALUE!</v>
      </c>
      <c r="Q387" t="str">
        <f t="shared" si="3"/>
        <v>#VALUE!</v>
      </c>
      <c r="R387" t="s">
        <v>2640</v>
      </c>
      <c r="S387" s="417" t="s">
        <v>2640</v>
      </c>
      <c r="T387" t="s">
        <v>2640</v>
      </c>
      <c r="U387" t="s">
        <v>2640</v>
      </c>
      <c r="V387" t="s">
        <v>2640</v>
      </c>
      <c r="W387" t="str">
        <f t="shared" si="1"/>
        <v/>
      </c>
    </row>
    <row r="388">
      <c r="A388" s="475">
        <v>1076.0</v>
      </c>
      <c r="B388" s="475">
        <v>14.7</v>
      </c>
      <c r="C388" s="452"/>
      <c r="D388" s="452"/>
      <c r="E388" s="452"/>
      <c r="F388" s="452"/>
      <c r="G388" s="452"/>
      <c r="O388" t="str">
        <f>IFERROR(__xludf.DUMMYFUNCTION("regexextract(B388,""[\w]* [\w]*"")"),"#VALUE!")</f>
        <v>#VALUE!</v>
      </c>
      <c r="P388" t="str">
        <f t="shared" si="2"/>
        <v>#VALUE!</v>
      </c>
      <c r="Q388" t="str">
        <f t="shared" si="3"/>
        <v>#VALUE!</v>
      </c>
      <c r="R388" t="s">
        <v>2640</v>
      </c>
      <c r="S388" s="417" t="s">
        <v>2640</v>
      </c>
      <c r="T388" t="s">
        <v>2640</v>
      </c>
      <c r="U388" t="s">
        <v>2640</v>
      </c>
      <c r="V388" t="s">
        <v>2640</v>
      </c>
      <c r="W388" t="str">
        <f t="shared" si="1"/>
        <v/>
      </c>
    </row>
    <row r="389">
      <c r="A389" s="468">
        <v>1075.0</v>
      </c>
      <c r="B389" s="468">
        <v>14.9</v>
      </c>
      <c r="C389" s="448"/>
      <c r="D389" s="448"/>
      <c r="E389" s="448"/>
      <c r="F389" s="448"/>
      <c r="G389" s="448"/>
      <c r="O389" t="str">
        <f>IFERROR(__xludf.DUMMYFUNCTION("regexextract(B389,""[\w]* [\w]*"")"),"#VALUE!")</f>
        <v>#VALUE!</v>
      </c>
      <c r="P389" t="str">
        <f t="shared" si="2"/>
        <v>#VALUE!</v>
      </c>
      <c r="Q389" t="str">
        <f t="shared" si="3"/>
        <v>#VALUE!</v>
      </c>
      <c r="R389" t="s">
        <v>2640</v>
      </c>
      <c r="S389" s="417" t="s">
        <v>2640</v>
      </c>
      <c r="T389" t="s">
        <v>2640</v>
      </c>
      <c r="U389" t="s">
        <v>2640</v>
      </c>
      <c r="V389" t="s">
        <v>2640</v>
      </c>
      <c r="W389" t="str">
        <f t="shared" si="1"/>
        <v/>
      </c>
    </row>
    <row r="390">
      <c r="A390" s="475">
        <v>1069.0</v>
      </c>
      <c r="B390" s="475">
        <v>15.7</v>
      </c>
      <c r="C390" s="452"/>
      <c r="D390" s="452"/>
      <c r="E390" s="452"/>
      <c r="F390" s="452"/>
      <c r="G390" s="452"/>
      <c r="O390" t="str">
        <f>IFERROR(__xludf.DUMMYFUNCTION("regexextract(B390,""[\w]* [\w]*"")"),"#VALUE!")</f>
        <v>#VALUE!</v>
      </c>
      <c r="P390" t="str">
        <f t="shared" si="2"/>
        <v>#VALUE!</v>
      </c>
      <c r="Q390" t="str">
        <f t="shared" si="3"/>
        <v>#VALUE!</v>
      </c>
      <c r="R390" t="s">
        <v>2640</v>
      </c>
      <c r="S390" s="417" t="s">
        <v>2640</v>
      </c>
      <c r="T390" t="s">
        <v>2640</v>
      </c>
      <c r="U390" t="s">
        <v>2640</v>
      </c>
      <c r="V390" t="s">
        <v>2640</v>
      </c>
      <c r="W390" t="str">
        <f t="shared" si="1"/>
        <v/>
      </c>
    </row>
    <row r="391">
      <c r="A391" s="468">
        <v>1065.0</v>
      </c>
      <c r="B391" s="468">
        <v>14.6</v>
      </c>
      <c r="C391" s="448"/>
      <c r="D391" s="448"/>
      <c r="E391" s="448"/>
      <c r="F391" s="448"/>
      <c r="G391" s="448"/>
      <c r="O391" t="str">
        <f>IFERROR(__xludf.DUMMYFUNCTION("regexextract(B391,""[\w]* [\w]*"")"),"#VALUE!")</f>
        <v>#VALUE!</v>
      </c>
      <c r="P391" t="str">
        <f t="shared" si="2"/>
        <v>#VALUE!</v>
      </c>
      <c r="Q391" t="str">
        <f t="shared" si="3"/>
        <v>#VALUE!</v>
      </c>
      <c r="R391" t="s">
        <v>2640</v>
      </c>
      <c r="S391" s="417" t="s">
        <v>2640</v>
      </c>
      <c r="T391" t="s">
        <v>2640</v>
      </c>
      <c r="U391" t="s">
        <v>2640</v>
      </c>
      <c r="V391" t="s">
        <v>2640</v>
      </c>
      <c r="W391" t="str">
        <f t="shared" si="1"/>
        <v/>
      </c>
    </row>
    <row r="392">
      <c r="A392" s="475">
        <v>1052.0</v>
      </c>
      <c r="B392" s="475">
        <v>15.2</v>
      </c>
      <c r="C392" s="452"/>
      <c r="D392" s="452"/>
      <c r="E392" s="452"/>
      <c r="F392" s="452"/>
      <c r="G392" s="452"/>
      <c r="O392" t="str">
        <f>IFERROR(__xludf.DUMMYFUNCTION("regexextract(B392,""[\w]* [\w]*"")"),"#VALUE!")</f>
        <v>#VALUE!</v>
      </c>
      <c r="P392" t="str">
        <f t="shared" si="2"/>
        <v>#VALUE!</v>
      </c>
      <c r="Q392" t="str">
        <f t="shared" si="3"/>
        <v>#VALUE!</v>
      </c>
      <c r="R392" t="s">
        <v>2640</v>
      </c>
      <c r="S392" s="417" t="s">
        <v>2640</v>
      </c>
      <c r="T392" t="s">
        <v>2640</v>
      </c>
      <c r="U392" t="s">
        <v>2640</v>
      </c>
      <c r="V392" t="s">
        <v>2640</v>
      </c>
      <c r="W392" t="str">
        <f t="shared" si="1"/>
        <v/>
      </c>
    </row>
    <row r="393">
      <c r="A393" s="468">
        <v>1029.0</v>
      </c>
      <c r="B393" s="468">
        <v>14.1</v>
      </c>
      <c r="C393" s="448"/>
      <c r="D393" s="448"/>
      <c r="E393" s="448"/>
      <c r="F393" s="448"/>
      <c r="G393" s="448"/>
      <c r="O393" t="str">
        <f>IFERROR(__xludf.DUMMYFUNCTION("regexextract(B393,""[\w]* [\w]*"")"),"#VALUE!")</f>
        <v>#VALUE!</v>
      </c>
      <c r="P393" t="str">
        <f t="shared" si="2"/>
        <v>#VALUE!</v>
      </c>
      <c r="Q393" t="str">
        <f t="shared" si="3"/>
        <v>#VALUE!</v>
      </c>
      <c r="R393" t="s">
        <v>2640</v>
      </c>
      <c r="S393" s="417" t="s">
        <v>2640</v>
      </c>
      <c r="T393" t="s">
        <v>2640</v>
      </c>
      <c r="U393" t="s">
        <v>2640</v>
      </c>
      <c r="V393" t="s">
        <v>2640</v>
      </c>
      <c r="W393" t="str">
        <f t="shared" si="1"/>
        <v/>
      </c>
    </row>
    <row r="394">
      <c r="A394" s="475">
        <v>1024.0</v>
      </c>
      <c r="B394" s="475">
        <v>15.5</v>
      </c>
      <c r="C394" s="452"/>
      <c r="D394" s="452"/>
      <c r="E394" s="452"/>
      <c r="F394" s="452"/>
      <c r="G394" s="452"/>
      <c r="O394" t="str">
        <f>IFERROR(__xludf.DUMMYFUNCTION("regexextract(B394,""[\w]* [\w]*"")"),"#VALUE!")</f>
        <v>#VALUE!</v>
      </c>
      <c r="P394" t="str">
        <f t="shared" si="2"/>
        <v>#VALUE!</v>
      </c>
      <c r="Q394" t="str">
        <f t="shared" si="3"/>
        <v>#VALUE!</v>
      </c>
      <c r="R394" t="s">
        <v>2640</v>
      </c>
      <c r="S394" s="417" t="s">
        <v>2640</v>
      </c>
      <c r="T394" t="s">
        <v>2640</v>
      </c>
      <c r="U394" t="s">
        <v>2640</v>
      </c>
      <c r="V394" t="s">
        <v>2640</v>
      </c>
      <c r="W394" t="str">
        <f t="shared" si="1"/>
        <v/>
      </c>
    </row>
    <row r="395">
      <c r="A395" s="468">
        <v>1022.0</v>
      </c>
      <c r="B395" s="468">
        <v>14.2</v>
      </c>
      <c r="C395" s="448"/>
      <c r="D395" s="448"/>
      <c r="E395" s="448"/>
      <c r="F395" s="448"/>
      <c r="G395" s="448"/>
      <c r="O395" t="str">
        <f>IFERROR(__xludf.DUMMYFUNCTION("regexextract(B395,""[\w]* [\w]*"")"),"#VALUE!")</f>
        <v>#VALUE!</v>
      </c>
      <c r="P395" t="str">
        <f t="shared" si="2"/>
        <v>#VALUE!</v>
      </c>
      <c r="Q395" t="str">
        <f t="shared" si="3"/>
        <v>#VALUE!</v>
      </c>
      <c r="R395" t="s">
        <v>2640</v>
      </c>
      <c r="S395" s="417" t="s">
        <v>2640</v>
      </c>
      <c r="T395" t="s">
        <v>2640</v>
      </c>
      <c r="U395" t="s">
        <v>2640</v>
      </c>
      <c r="V395" t="s">
        <v>2640</v>
      </c>
      <c r="W395" t="str">
        <f t="shared" si="1"/>
        <v/>
      </c>
    </row>
    <row r="396">
      <c r="A396" s="475">
        <v>1004.0</v>
      </c>
      <c r="B396" s="475">
        <v>17.3</v>
      </c>
      <c r="C396" s="452"/>
      <c r="D396" s="452"/>
      <c r="E396" s="452"/>
      <c r="F396" s="452"/>
      <c r="G396" s="452"/>
      <c r="O396" t="str">
        <f>IFERROR(__xludf.DUMMYFUNCTION("regexextract(B396,""[\w]* [\w]*"")"),"#VALUE!")</f>
        <v>#VALUE!</v>
      </c>
      <c r="P396" t="str">
        <f t="shared" si="2"/>
        <v>#VALUE!</v>
      </c>
      <c r="Q396" t="str">
        <f t="shared" si="3"/>
        <v>#VALUE!</v>
      </c>
      <c r="R396" t="s">
        <v>2640</v>
      </c>
      <c r="S396" s="417" t="s">
        <v>2640</v>
      </c>
      <c r="T396" t="s">
        <v>2640</v>
      </c>
      <c r="U396" t="s">
        <v>2640</v>
      </c>
      <c r="V396" t="s">
        <v>2640</v>
      </c>
      <c r="W396" t="str">
        <f t="shared" si="1"/>
        <v/>
      </c>
    </row>
    <row r="397">
      <c r="A397" s="468">
        <v>997.0</v>
      </c>
      <c r="B397" s="468">
        <v>13.8</v>
      </c>
      <c r="C397" s="448"/>
      <c r="D397" s="448"/>
      <c r="E397" s="448"/>
      <c r="F397" s="448"/>
      <c r="G397" s="448"/>
      <c r="O397" t="str">
        <f>IFERROR(__xludf.DUMMYFUNCTION("regexextract(B397,""[\w]* [\w]*"")"),"#VALUE!")</f>
        <v>#VALUE!</v>
      </c>
      <c r="P397" t="str">
        <f t="shared" si="2"/>
        <v>#VALUE!</v>
      </c>
      <c r="Q397" t="str">
        <f t="shared" si="3"/>
        <v>#VALUE!</v>
      </c>
      <c r="R397" t="s">
        <v>2640</v>
      </c>
      <c r="S397" s="417" t="s">
        <v>2640</v>
      </c>
      <c r="T397" t="s">
        <v>2640</v>
      </c>
      <c r="U397" t="s">
        <v>2640</v>
      </c>
      <c r="V397" t="s">
        <v>2640</v>
      </c>
      <c r="W397" t="str">
        <f t="shared" si="1"/>
        <v/>
      </c>
    </row>
    <row r="398">
      <c r="A398" s="475">
        <v>991.0</v>
      </c>
      <c r="B398" s="475">
        <v>15.5</v>
      </c>
      <c r="C398" s="452"/>
      <c r="D398" s="452"/>
      <c r="E398" s="452"/>
      <c r="F398" s="452"/>
      <c r="G398" s="452"/>
      <c r="O398" t="str">
        <f>IFERROR(__xludf.DUMMYFUNCTION("regexextract(B398,""[\w]* [\w]*"")"),"#VALUE!")</f>
        <v>#VALUE!</v>
      </c>
      <c r="P398" t="str">
        <f t="shared" si="2"/>
        <v>#VALUE!</v>
      </c>
      <c r="Q398" t="str">
        <f t="shared" si="3"/>
        <v>#VALUE!</v>
      </c>
      <c r="R398" t="s">
        <v>2640</v>
      </c>
      <c r="S398" s="417" t="s">
        <v>2640</v>
      </c>
      <c r="T398" t="s">
        <v>2640</v>
      </c>
      <c r="U398" t="s">
        <v>2640</v>
      </c>
      <c r="V398" t="s">
        <v>2640</v>
      </c>
      <c r="W398" t="str">
        <f t="shared" si="1"/>
        <v/>
      </c>
    </row>
    <row r="399">
      <c r="A399" s="468">
        <v>952.0</v>
      </c>
      <c r="B399" s="468">
        <v>14.2</v>
      </c>
      <c r="C399" s="448"/>
      <c r="D399" s="448"/>
      <c r="E399" s="448"/>
      <c r="F399" s="448"/>
      <c r="G399" s="448"/>
      <c r="O399" t="str">
        <f>IFERROR(__xludf.DUMMYFUNCTION("regexextract(B399,""[\w]* [\w]*"")"),"#VALUE!")</f>
        <v>#VALUE!</v>
      </c>
      <c r="P399" t="str">
        <f t="shared" si="2"/>
        <v>#VALUE!</v>
      </c>
      <c r="Q399" t="str">
        <f t="shared" si="3"/>
        <v>#VALUE!</v>
      </c>
      <c r="R399" t="s">
        <v>2640</v>
      </c>
      <c r="S399" s="417" t="s">
        <v>2640</v>
      </c>
      <c r="T399" t="s">
        <v>2640</v>
      </c>
      <c r="U399" t="s">
        <v>2640</v>
      </c>
      <c r="V399" t="s">
        <v>2640</v>
      </c>
      <c r="W399" t="str">
        <f t="shared" si="1"/>
        <v/>
      </c>
    </row>
    <row r="400">
      <c r="A400" s="475">
        <v>946.0</v>
      </c>
      <c r="B400" s="475">
        <v>14.3</v>
      </c>
      <c r="C400" s="452"/>
      <c r="D400" s="452"/>
      <c r="E400" s="452"/>
      <c r="F400" s="452"/>
      <c r="G400" s="452"/>
      <c r="O400" t="str">
        <f>IFERROR(__xludf.DUMMYFUNCTION("regexextract(B400,""[\w]* [\w]*"")"),"#VALUE!")</f>
        <v>#VALUE!</v>
      </c>
      <c r="P400" t="str">
        <f t="shared" si="2"/>
        <v>#VALUE!</v>
      </c>
      <c r="Q400" t="str">
        <f t="shared" si="3"/>
        <v>#VALUE!</v>
      </c>
      <c r="R400" t="s">
        <v>2640</v>
      </c>
      <c r="S400" s="417" t="s">
        <v>2640</v>
      </c>
      <c r="T400" t="s">
        <v>2640</v>
      </c>
      <c r="U400" t="s">
        <v>2640</v>
      </c>
      <c r="V400" t="s">
        <v>2640</v>
      </c>
      <c r="W400" t="str">
        <f t="shared" si="1"/>
        <v/>
      </c>
    </row>
    <row r="401">
      <c r="A401" s="468">
        <v>945.0</v>
      </c>
      <c r="B401" s="468">
        <v>25.5</v>
      </c>
      <c r="C401" s="448"/>
      <c r="D401" s="448"/>
      <c r="E401" s="448"/>
      <c r="F401" s="448"/>
      <c r="G401" s="448"/>
      <c r="O401" t="str">
        <f>IFERROR(__xludf.DUMMYFUNCTION("regexextract(B401,""[\w]* [\w]*"")"),"#VALUE!")</f>
        <v>#VALUE!</v>
      </c>
      <c r="P401" t="str">
        <f t="shared" si="2"/>
        <v>#VALUE!</v>
      </c>
      <c r="Q401" t="str">
        <f t="shared" si="3"/>
        <v>#VALUE!</v>
      </c>
      <c r="R401" t="s">
        <v>2640</v>
      </c>
      <c r="S401" s="417" t="s">
        <v>2640</v>
      </c>
      <c r="T401" t="s">
        <v>2640</v>
      </c>
      <c r="U401" t="s">
        <v>2640</v>
      </c>
      <c r="V401" t="s">
        <v>2640</v>
      </c>
      <c r="W401" t="str">
        <f t="shared" si="1"/>
        <v/>
      </c>
    </row>
    <row r="402">
      <c r="A402" s="475">
        <v>942.0</v>
      </c>
      <c r="B402" s="475">
        <v>13.7</v>
      </c>
      <c r="C402" s="452"/>
      <c r="D402" s="452"/>
      <c r="E402" s="452"/>
      <c r="F402" s="452"/>
      <c r="G402" s="452"/>
      <c r="O402" t="str">
        <f>IFERROR(__xludf.DUMMYFUNCTION("regexextract(B402,""[\w]* [\w]*"")"),"#VALUE!")</f>
        <v>#VALUE!</v>
      </c>
      <c r="P402" t="str">
        <f t="shared" si="2"/>
        <v>#VALUE!</v>
      </c>
      <c r="Q402" t="str">
        <f t="shared" si="3"/>
        <v>#VALUE!</v>
      </c>
      <c r="R402" t="s">
        <v>2640</v>
      </c>
      <c r="S402" s="417" t="s">
        <v>2640</v>
      </c>
      <c r="T402" t="s">
        <v>2640</v>
      </c>
      <c r="U402" t="s">
        <v>2640</v>
      </c>
      <c r="V402" t="s">
        <v>2640</v>
      </c>
      <c r="W402" t="str">
        <f t="shared" si="1"/>
        <v/>
      </c>
    </row>
    <row r="403">
      <c r="A403" s="468">
        <v>934.0</v>
      </c>
      <c r="B403" s="468">
        <v>15.6</v>
      </c>
      <c r="C403" s="448"/>
      <c r="D403" s="448"/>
      <c r="E403" s="448"/>
      <c r="F403" s="448"/>
      <c r="G403" s="448"/>
      <c r="O403" t="str">
        <f>IFERROR(__xludf.DUMMYFUNCTION("regexextract(B403,""[\w]* [\w]*"")"),"#VALUE!")</f>
        <v>#VALUE!</v>
      </c>
      <c r="P403" t="str">
        <f t="shared" si="2"/>
        <v>#VALUE!</v>
      </c>
      <c r="Q403" t="str">
        <f t="shared" si="3"/>
        <v>#VALUE!</v>
      </c>
      <c r="R403" t="s">
        <v>2640</v>
      </c>
      <c r="S403" s="417" t="s">
        <v>2640</v>
      </c>
      <c r="T403" t="s">
        <v>2640</v>
      </c>
      <c r="U403" t="s">
        <v>2640</v>
      </c>
      <c r="V403" t="s">
        <v>2640</v>
      </c>
      <c r="W403" t="str">
        <f t="shared" si="1"/>
        <v/>
      </c>
    </row>
    <row r="404">
      <c r="A404" s="475">
        <v>905.0</v>
      </c>
      <c r="B404" s="475">
        <v>13.9</v>
      </c>
      <c r="C404" s="452"/>
      <c r="D404" s="452"/>
      <c r="E404" s="452"/>
      <c r="F404" s="452"/>
      <c r="G404" s="452"/>
      <c r="O404" t="str">
        <f>IFERROR(__xludf.DUMMYFUNCTION("regexextract(B404,""[\w]* [\w]*"")"),"#VALUE!")</f>
        <v>#VALUE!</v>
      </c>
      <c r="P404" t="str">
        <f t="shared" si="2"/>
        <v>#VALUE!</v>
      </c>
      <c r="Q404" t="str">
        <f t="shared" si="3"/>
        <v>#VALUE!</v>
      </c>
      <c r="R404" t="s">
        <v>2640</v>
      </c>
      <c r="S404" s="417" t="s">
        <v>2640</v>
      </c>
      <c r="T404" t="s">
        <v>2640</v>
      </c>
      <c r="U404" t="s">
        <v>2640</v>
      </c>
      <c r="V404" t="s">
        <v>2640</v>
      </c>
      <c r="W404" t="str">
        <f t="shared" si="1"/>
        <v/>
      </c>
    </row>
    <row r="405">
      <c r="A405" s="468">
        <v>902.0</v>
      </c>
      <c r="B405" s="468">
        <v>16.7</v>
      </c>
      <c r="C405" s="448"/>
      <c r="D405" s="448"/>
      <c r="E405" s="448"/>
      <c r="F405" s="448"/>
      <c r="G405" s="448"/>
      <c r="O405" t="str">
        <f>IFERROR(__xludf.DUMMYFUNCTION("regexextract(B405,""[\w]* [\w]*"")"),"#VALUE!")</f>
        <v>#VALUE!</v>
      </c>
      <c r="P405" t="str">
        <f t="shared" si="2"/>
        <v>#VALUE!</v>
      </c>
      <c r="Q405" t="str">
        <f t="shared" si="3"/>
        <v>#VALUE!</v>
      </c>
      <c r="R405" t="s">
        <v>2640</v>
      </c>
      <c r="S405" s="417" t="s">
        <v>2640</v>
      </c>
      <c r="T405" t="s">
        <v>2640</v>
      </c>
      <c r="U405" t="s">
        <v>2640</v>
      </c>
      <c r="V405" t="s">
        <v>2640</v>
      </c>
      <c r="W405" t="str">
        <f t="shared" si="1"/>
        <v/>
      </c>
    </row>
    <row r="406">
      <c r="A406" s="475">
        <v>891.0</v>
      </c>
      <c r="B406" s="475">
        <v>12.9</v>
      </c>
      <c r="C406" s="452"/>
      <c r="D406" s="452"/>
      <c r="E406" s="452"/>
      <c r="F406" s="452"/>
      <c r="G406" s="452"/>
      <c r="O406" t="str">
        <f>IFERROR(__xludf.DUMMYFUNCTION("regexextract(B406,""[\w]* [\w]*"")"),"#VALUE!")</f>
        <v>#VALUE!</v>
      </c>
      <c r="P406" t="str">
        <f t="shared" si="2"/>
        <v>#VALUE!</v>
      </c>
      <c r="Q406" t="str">
        <f t="shared" si="3"/>
        <v>#VALUE!</v>
      </c>
      <c r="R406" t="s">
        <v>2640</v>
      </c>
      <c r="S406" s="417" t="s">
        <v>2640</v>
      </c>
      <c r="T406" t="s">
        <v>2640</v>
      </c>
      <c r="U406" t="s">
        <v>2640</v>
      </c>
      <c r="V406" t="s">
        <v>2640</v>
      </c>
      <c r="W406" t="str">
        <f t="shared" si="1"/>
        <v/>
      </c>
    </row>
    <row r="407">
      <c r="A407" s="468">
        <v>882.0</v>
      </c>
      <c r="B407" s="468">
        <v>14.7</v>
      </c>
      <c r="C407" s="448"/>
      <c r="D407" s="448"/>
      <c r="E407" s="448"/>
      <c r="F407" s="448"/>
      <c r="G407" s="448"/>
      <c r="O407" t="str">
        <f>IFERROR(__xludf.DUMMYFUNCTION("regexextract(B407,""[\w]* [\w]*"")"),"#VALUE!")</f>
        <v>#VALUE!</v>
      </c>
      <c r="P407" t="str">
        <f t="shared" si="2"/>
        <v>#VALUE!</v>
      </c>
      <c r="Q407" t="str">
        <f t="shared" si="3"/>
        <v>#VALUE!</v>
      </c>
      <c r="R407" t="s">
        <v>2640</v>
      </c>
      <c r="S407" s="417" t="s">
        <v>2640</v>
      </c>
      <c r="T407" t="s">
        <v>2640</v>
      </c>
      <c r="U407" t="s">
        <v>2640</v>
      </c>
      <c r="V407" t="s">
        <v>2640</v>
      </c>
      <c r="W407" t="str">
        <f t="shared" si="1"/>
        <v/>
      </c>
    </row>
    <row r="408">
      <c r="A408" s="475">
        <v>877.0</v>
      </c>
      <c r="B408" s="475">
        <v>13.5</v>
      </c>
      <c r="C408" s="452"/>
      <c r="D408" s="452"/>
      <c r="E408" s="452"/>
      <c r="F408" s="452"/>
      <c r="G408" s="452"/>
      <c r="O408" t="str">
        <f>IFERROR(__xludf.DUMMYFUNCTION("regexextract(B408,""[\w]* [\w]*"")"),"#VALUE!")</f>
        <v>#VALUE!</v>
      </c>
      <c r="P408" t="str">
        <f t="shared" si="2"/>
        <v>#VALUE!</v>
      </c>
      <c r="Q408" t="str">
        <f t="shared" si="3"/>
        <v>#VALUE!</v>
      </c>
      <c r="R408" t="s">
        <v>2640</v>
      </c>
      <c r="S408" s="417" t="s">
        <v>2640</v>
      </c>
      <c r="T408" t="s">
        <v>2640</v>
      </c>
      <c r="U408" t="s">
        <v>2640</v>
      </c>
      <c r="V408" t="s">
        <v>2640</v>
      </c>
      <c r="W408" t="str">
        <f t="shared" si="1"/>
        <v/>
      </c>
    </row>
    <row r="409">
      <c r="A409" s="468">
        <v>381.0</v>
      </c>
      <c r="B409" s="468">
        <v>10.9</v>
      </c>
      <c r="C409" s="448"/>
      <c r="D409" s="448"/>
      <c r="E409" s="448"/>
      <c r="F409" s="448"/>
      <c r="G409" s="448"/>
      <c r="O409" t="str">
        <f>IFERROR(__xludf.DUMMYFUNCTION("regexextract(B409,""[\w]* [\w]*"")"),"#VALUE!")</f>
        <v>#VALUE!</v>
      </c>
      <c r="P409" t="str">
        <f t="shared" si="2"/>
        <v>#VALUE!</v>
      </c>
      <c r="Q409" t="str">
        <f t="shared" si="3"/>
        <v>#VALUE!</v>
      </c>
      <c r="R409" t="s">
        <v>2640</v>
      </c>
      <c r="S409" s="417" t="s">
        <v>2640</v>
      </c>
      <c r="T409" t="s">
        <v>2640</v>
      </c>
      <c r="U409" t="s">
        <v>2640</v>
      </c>
      <c r="V409" t="s">
        <v>2640</v>
      </c>
      <c r="W409" t="str">
        <f t="shared" si="1"/>
        <v/>
      </c>
    </row>
    <row r="410">
      <c r="A410" s="475">
        <v>876.0</v>
      </c>
      <c r="B410" s="475">
        <v>12.9</v>
      </c>
      <c r="C410" s="452"/>
      <c r="D410" s="452"/>
      <c r="E410" s="452"/>
      <c r="F410" s="452"/>
      <c r="G410" s="452"/>
      <c r="O410" t="str">
        <f>IFERROR(__xludf.DUMMYFUNCTION("regexextract(B410,""[\w]* [\w]*"")"),"#VALUE!")</f>
        <v>#VALUE!</v>
      </c>
      <c r="P410" t="str">
        <f t="shared" si="2"/>
        <v>#VALUE!</v>
      </c>
      <c r="Q410" t="str">
        <f t="shared" si="3"/>
        <v>#VALUE!</v>
      </c>
      <c r="R410" t="s">
        <v>2640</v>
      </c>
      <c r="S410" s="417" t="s">
        <v>2640</v>
      </c>
      <c r="T410" t="s">
        <v>2640</v>
      </c>
      <c r="U410" t="s">
        <v>2640</v>
      </c>
      <c r="V410" t="s">
        <v>2640</v>
      </c>
      <c r="W410" t="str">
        <f t="shared" si="1"/>
        <v/>
      </c>
    </row>
    <row r="411">
      <c r="A411" s="468">
        <v>862.0</v>
      </c>
      <c r="B411" s="468">
        <v>15.1</v>
      </c>
      <c r="C411" s="448"/>
      <c r="D411" s="448"/>
      <c r="E411" s="448"/>
      <c r="F411" s="448"/>
      <c r="G411" s="448"/>
      <c r="O411" t="str">
        <f>IFERROR(__xludf.DUMMYFUNCTION("regexextract(B411,""[\w]* [\w]*"")"),"#VALUE!")</f>
        <v>#VALUE!</v>
      </c>
      <c r="P411" t="str">
        <f t="shared" si="2"/>
        <v>#VALUE!</v>
      </c>
      <c r="Q411" t="str">
        <f t="shared" si="3"/>
        <v>#VALUE!</v>
      </c>
      <c r="R411" t="s">
        <v>2640</v>
      </c>
      <c r="S411" s="417" t="s">
        <v>2640</v>
      </c>
      <c r="T411" t="s">
        <v>2640</v>
      </c>
      <c r="U411" t="s">
        <v>2640</v>
      </c>
      <c r="V411" t="s">
        <v>2640</v>
      </c>
      <c r="W411" t="str">
        <f t="shared" si="1"/>
        <v/>
      </c>
    </row>
    <row r="412">
      <c r="A412" s="475">
        <v>846.0</v>
      </c>
      <c r="B412" s="475">
        <v>12.3</v>
      </c>
      <c r="C412" s="452"/>
      <c r="D412" s="452"/>
      <c r="E412" s="452"/>
      <c r="F412" s="452"/>
      <c r="G412" s="452"/>
      <c r="O412" t="str">
        <f>IFERROR(__xludf.DUMMYFUNCTION("regexextract(B412,""[\w]* [\w]*"")"),"#VALUE!")</f>
        <v>#VALUE!</v>
      </c>
      <c r="P412" t="str">
        <f t="shared" si="2"/>
        <v>#VALUE!</v>
      </c>
      <c r="Q412" t="str">
        <f t="shared" si="3"/>
        <v>#VALUE!</v>
      </c>
      <c r="R412" t="s">
        <v>2640</v>
      </c>
      <c r="S412" s="417" t="s">
        <v>2640</v>
      </c>
      <c r="T412" t="s">
        <v>2640</v>
      </c>
      <c r="U412" t="s">
        <v>2640</v>
      </c>
      <c r="V412" t="s">
        <v>2640</v>
      </c>
      <c r="W412" t="str">
        <f t="shared" si="1"/>
        <v/>
      </c>
    </row>
    <row r="413">
      <c r="A413" s="468">
        <v>808.0</v>
      </c>
      <c r="B413" s="468">
        <v>11.1</v>
      </c>
      <c r="C413" s="448"/>
      <c r="D413" s="448"/>
      <c r="E413" s="448"/>
      <c r="F413" s="448"/>
      <c r="G413" s="448"/>
      <c r="O413" t="str">
        <f>IFERROR(__xludf.DUMMYFUNCTION("regexextract(B413,""[\w]* [\w]*"")"),"#VALUE!")</f>
        <v>#VALUE!</v>
      </c>
      <c r="P413" t="str">
        <f t="shared" si="2"/>
        <v>#VALUE!</v>
      </c>
      <c r="Q413" t="str">
        <f t="shared" si="3"/>
        <v>#VALUE!</v>
      </c>
      <c r="R413" t="s">
        <v>2640</v>
      </c>
      <c r="S413" s="417" t="s">
        <v>2640</v>
      </c>
      <c r="T413" t="s">
        <v>2640</v>
      </c>
      <c r="U413" t="s">
        <v>2640</v>
      </c>
      <c r="V413" t="s">
        <v>2640</v>
      </c>
      <c r="W413" t="str">
        <f t="shared" si="1"/>
        <v/>
      </c>
    </row>
    <row r="414">
      <c r="A414" s="475">
        <v>794.0</v>
      </c>
      <c r="B414" s="475">
        <v>16.2</v>
      </c>
      <c r="C414" s="452"/>
      <c r="D414" s="452"/>
      <c r="E414" s="452"/>
      <c r="F414" s="452"/>
      <c r="G414" s="452"/>
      <c r="O414" t="str">
        <f>IFERROR(__xludf.DUMMYFUNCTION("regexextract(B414,""[\w]* [\w]*"")"),"#VALUE!")</f>
        <v>#VALUE!</v>
      </c>
      <c r="P414" t="str">
        <f t="shared" si="2"/>
        <v>#VALUE!</v>
      </c>
      <c r="Q414" t="str">
        <f t="shared" si="3"/>
        <v>#VALUE!</v>
      </c>
      <c r="R414" t="s">
        <v>2640</v>
      </c>
      <c r="S414" s="417" t="s">
        <v>2640</v>
      </c>
      <c r="T414" t="s">
        <v>2640</v>
      </c>
      <c r="U414" t="s">
        <v>2640</v>
      </c>
      <c r="V414" t="s">
        <v>2640</v>
      </c>
      <c r="W414" t="str">
        <f t="shared" si="1"/>
        <v/>
      </c>
    </row>
    <row r="415">
      <c r="A415" s="468">
        <v>778.0</v>
      </c>
      <c r="B415" s="468">
        <v>13.4</v>
      </c>
      <c r="C415" s="448"/>
      <c r="D415" s="448"/>
      <c r="E415" s="448"/>
      <c r="F415" s="448"/>
      <c r="G415" s="448"/>
      <c r="O415" t="str">
        <f>IFERROR(__xludf.DUMMYFUNCTION("regexextract(B415,""[\w]* [\w]*"")"),"#VALUE!")</f>
        <v>#VALUE!</v>
      </c>
      <c r="P415" t="str">
        <f t="shared" si="2"/>
        <v>#VALUE!</v>
      </c>
      <c r="Q415" t="str">
        <f t="shared" si="3"/>
        <v>#VALUE!</v>
      </c>
      <c r="R415" t="s">
        <v>2640</v>
      </c>
      <c r="S415" s="417" t="s">
        <v>2640</v>
      </c>
      <c r="T415" t="s">
        <v>2640</v>
      </c>
      <c r="U415" t="s">
        <v>2640</v>
      </c>
      <c r="V415" t="s">
        <v>2640</v>
      </c>
      <c r="W415" t="str">
        <f t="shared" si="1"/>
        <v/>
      </c>
    </row>
    <row r="416">
      <c r="A416" s="475">
        <v>747.0</v>
      </c>
      <c r="B416" s="475">
        <v>11.0</v>
      </c>
      <c r="C416" s="452"/>
      <c r="D416" s="452"/>
      <c r="E416" s="452"/>
      <c r="F416" s="452"/>
      <c r="G416" s="452"/>
      <c r="O416" t="str">
        <f>IFERROR(__xludf.DUMMYFUNCTION("regexextract(B416,""[\w]* [\w]*"")"),"#VALUE!")</f>
        <v>#VALUE!</v>
      </c>
      <c r="P416" t="str">
        <f t="shared" si="2"/>
        <v>#VALUE!</v>
      </c>
      <c r="Q416" t="str">
        <f t="shared" si="3"/>
        <v>#VALUE!</v>
      </c>
      <c r="R416" t="s">
        <v>2640</v>
      </c>
      <c r="S416" s="417" t="s">
        <v>2640</v>
      </c>
      <c r="T416" t="s">
        <v>2640</v>
      </c>
      <c r="U416" t="s">
        <v>2640</v>
      </c>
      <c r="V416" t="s">
        <v>2640</v>
      </c>
      <c r="W416" t="str">
        <f t="shared" si="1"/>
        <v/>
      </c>
    </row>
    <row r="417">
      <c r="A417" s="448"/>
      <c r="B417" s="455"/>
      <c r="C417" s="448"/>
      <c r="D417" s="448"/>
      <c r="E417" s="448"/>
      <c r="F417" s="448"/>
      <c r="G417" s="448"/>
      <c r="O417" t="str">
        <f>IFERROR(__xludf.DUMMYFUNCTION("regexextract(B417,""[\w]* [\w]*"")"),"#N/A")</f>
        <v>#N/A</v>
      </c>
      <c r="P417" t="str">
        <f t="shared" si="2"/>
        <v>#N/A</v>
      </c>
      <c r="Q417" t="str">
        <f t="shared" si="3"/>
        <v>#N/A</v>
      </c>
      <c r="R417" t="s">
        <v>2640</v>
      </c>
      <c r="S417" s="417" t="s">
        <v>2640</v>
      </c>
      <c r="T417" t="s">
        <v>2640</v>
      </c>
      <c r="U417" t="s">
        <v>2640</v>
      </c>
      <c r="V417" t="s">
        <v>2640</v>
      </c>
      <c r="W417" t="str">
        <f t="shared" si="1"/>
        <v/>
      </c>
    </row>
    <row r="418">
      <c r="A418" s="452"/>
      <c r="B418" s="458"/>
      <c r="C418" s="452"/>
      <c r="D418" s="452"/>
      <c r="E418" s="452"/>
      <c r="F418" s="452"/>
      <c r="G418" s="452"/>
      <c r="O418" t="str">
        <f>IFERROR(__xludf.DUMMYFUNCTION("regexextract(B418,""[\w]* [\w]*"")"),"#N/A")</f>
        <v>#N/A</v>
      </c>
      <c r="P418" t="str">
        <f t="shared" si="2"/>
        <v>#N/A</v>
      </c>
      <c r="Q418" t="str">
        <f t="shared" si="3"/>
        <v>#N/A</v>
      </c>
      <c r="R418" t="s">
        <v>2640</v>
      </c>
      <c r="S418" s="417" t="s">
        <v>2640</v>
      </c>
      <c r="T418" t="s">
        <v>2640</v>
      </c>
      <c r="U418" t="s">
        <v>2640</v>
      </c>
      <c r="V418" t="s">
        <v>2640</v>
      </c>
      <c r="W418" t="str">
        <f t="shared" si="1"/>
        <v/>
      </c>
    </row>
    <row r="419">
      <c r="A419" s="448"/>
      <c r="B419" s="455"/>
      <c r="C419" s="448"/>
      <c r="D419" s="448"/>
      <c r="E419" s="448"/>
      <c r="F419" s="448"/>
      <c r="G419" s="448"/>
      <c r="O419" t="str">
        <f>IFERROR(__xludf.DUMMYFUNCTION("regexextract(B419,""[\w]* [\w]*"")"),"#N/A")</f>
        <v>#N/A</v>
      </c>
      <c r="P419" t="str">
        <f t="shared" si="2"/>
        <v>#N/A</v>
      </c>
      <c r="Q419" t="str">
        <f t="shared" si="3"/>
        <v>#N/A</v>
      </c>
      <c r="R419" t="s">
        <v>2640</v>
      </c>
      <c r="S419" s="417" t="s">
        <v>2640</v>
      </c>
      <c r="T419" t="s">
        <v>2640</v>
      </c>
      <c r="U419" t="s">
        <v>2640</v>
      </c>
      <c r="V419" t="s">
        <v>2640</v>
      </c>
      <c r="W419" t="str">
        <f t="shared" si="1"/>
        <v/>
      </c>
    </row>
    <row r="420">
      <c r="A420" s="452"/>
      <c r="B420" s="458"/>
      <c r="C420" s="452"/>
      <c r="D420" s="452"/>
      <c r="E420" s="452"/>
      <c r="F420" s="452"/>
      <c r="G420" s="452"/>
      <c r="O420" t="str">
        <f>IFERROR(__xludf.DUMMYFUNCTION("regexextract(B420,""[\w]* [\w]*"")"),"#N/A")</f>
        <v>#N/A</v>
      </c>
      <c r="P420" t="str">
        <f t="shared" si="2"/>
        <v>#N/A</v>
      </c>
      <c r="Q420" t="str">
        <f t="shared" si="3"/>
        <v>#N/A</v>
      </c>
      <c r="R420" t="s">
        <v>2640</v>
      </c>
      <c r="S420" s="417" t="s">
        <v>2640</v>
      </c>
      <c r="T420" t="s">
        <v>2640</v>
      </c>
      <c r="U420" t="s">
        <v>2640</v>
      </c>
      <c r="V420" t="s">
        <v>2640</v>
      </c>
      <c r="W420" t="str">
        <f t="shared" si="1"/>
        <v/>
      </c>
    </row>
    <row r="421">
      <c r="A421" s="448"/>
      <c r="B421" s="455"/>
      <c r="C421" s="448"/>
      <c r="D421" s="448"/>
      <c r="E421" s="448"/>
      <c r="F421" s="448"/>
      <c r="G421" s="448"/>
      <c r="O421" t="str">
        <f>IFERROR(__xludf.DUMMYFUNCTION("regexextract(B421,""[\w]* [\w]*"")"),"#N/A")</f>
        <v>#N/A</v>
      </c>
      <c r="P421" t="str">
        <f t="shared" si="2"/>
        <v>#N/A</v>
      </c>
      <c r="Q421" t="str">
        <f t="shared" si="3"/>
        <v>#N/A</v>
      </c>
      <c r="R421" t="s">
        <v>2640</v>
      </c>
      <c r="S421" s="417" t="s">
        <v>2640</v>
      </c>
      <c r="T421" t="s">
        <v>2640</v>
      </c>
      <c r="U421" t="s">
        <v>2640</v>
      </c>
      <c r="V421" t="s">
        <v>2640</v>
      </c>
      <c r="W421" t="str">
        <f t="shared" si="1"/>
        <v/>
      </c>
    </row>
    <row r="422">
      <c r="A422" s="452"/>
      <c r="B422" s="458"/>
      <c r="C422" s="452"/>
      <c r="D422" s="452"/>
      <c r="E422" s="452"/>
      <c r="F422" s="452"/>
      <c r="G422" s="452"/>
      <c r="O422" t="str">
        <f>IFERROR(__xludf.DUMMYFUNCTION("regexextract(B422,""[\w]* [\w]*"")"),"#N/A")</f>
        <v>#N/A</v>
      </c>
      <c r="P422" t="str">
        <f t="shared" si="2"/>
        <v>#N/A</v>
      </c>
      <c r="Q422" t="str">
        <f t="shared" si="3"/>
        <v>#N/A</v>
      </c>
      <c r="R422" t="s">
        <v>2640</v>
      </c>
      <c r="S422" s="417" t="s">
        <v>2640</v>
      </c>
      <c r="T422" t="s">
        <v>2640</v>
      </c>
      <c r="U422" t="s">
        <v>2640</v>
      </c>
      <c r="V422" t="s">
        <v>2640</v>
      </c>
      <c r="W422" t="str">
        <f t="shared" si="1"/>
        <v/>
      </c>
    </row>
    <row r="423">
      <c r="A423" s="448"/>
      <c r="B423" s="455"/>
      <c r="C423" s="448"/>
      <c r="D423" s="448"/>
      <c r="E423" s="448"/>
      <c r="F423" s="448"/>
      <c r="G423" s="448"/>
      <c r="O423" t="str">
        <f>IFERROR(__xludf.DUMMYFUNCTION("regexextract(B423,""[\w]* [\w]*"")"),"#N/A")</f>
        <v>#N/A</v>
      </c>
      <c r="P423" t="str">
        <f t="shared" si="2"/>
        <v>#N/A</v>
      </c>
      <c r="Q423" t="str">
        <f t="shared" si="3"/>
        <v>#N/A</v>
      </c>
      <c r="R423" t="s">
        <v>2640</v>
      </c>
      <c r="S423" s="417" t="s">
        <v>2640</v>
      </c>
      <c r="T423" t="s">
        <v>2640</v>
      </c>
      <c r="U423" t="s">
        <v>2640</v>
      </c>
      <c r="V423" t="s">
        <v>2640</v>
      </c>
      <c r="W423" t="str">
        <f t="shared" si="1"/>
        <v/>
      </c>
    </row>
    <row r="424">
      <c r="A424" s="452"/>
      <c r="B424" s="458"/>
      <c r="C424" s="452"/>
      <c r="D424" s="452"/>
      <c r="E424" s="452"/>
      <c r="F424" s="452"/>
      <c r="G424" s="452"/>
      <c r="O424" t="str">
        <f>IFERROR(__xludf.DUMMYFUNCTION("regexextract(B424,""[\w]* [\w]*"")"),"#N/A")</f>
        <v>#N/A</v>
      </c>
      <c r="P424" t="str">
        <f t="shared" si="2"/>
        <v>#N/A</v>
      </c>
      <c r="Q424" t="str">
        <f t="shared" si="3"/>
        <v>#N/A</v>
      </c>
      <c r="R424" t="s">
        <v>2640</v>
      </c>
      <c r="S424" s="417" t="s">
        <v>2640</v>
      </c>
      <c r="T424" t="s">
        <v>2640</v>
      </c>
      <c r="U424" t="s">
        <v>2640</v>
      </c>
      <c r="V424" t="s">
        <v>2640</v>
      </c>
      <c r="W424" t="str">
        <f t="shared" si="1"/>
        <v/>
      </c>
    </row>
    <row r="425">
      <c r="A425" s="448"/>
      <c r="B425" s="455"/>
      <c r="C425" s="448"/>
      <c r="D425" s="448"/>
      <c r="E425" s="448"/>
      <c r="F425" s="448"/>
      <c r="G425" s="448"/>
      <c r="O425" t="str">
        <f>IFERROR(__xludf.DUMMYFUNCTION("regexextract(B425,""[\w]* [\w]*"")"),"#N/A")</f>
        <v>#N/A</v>
      </c>
      <c r="P425" t="str">
        <f t="shared" si="2"/>
        <v>#N/A</v>
      </c>
      <c r="Q425" t="str">
        <f t="shared" si="3"/>
        <v>#N/A</v>
      </c>
      <c r="R425" t="s">
        <v>2640</v>
      </c>
      <c r="S425" s="417" t="s">
        <v>2640</v>
      </c>
      <c r="T425" t="s">
        <v>2640</v>
      </c>
      <c r="U425" t="s">
        <v>2640</v>
      </c>
      <c r="V425" t="s">
        <v>2640</v>
      </c>
      <c r="W425" t="str">
        <f t="shared" si="1"/>
        <v/>
      </c>
    </row>
    <row r="426">
      <c r="A426" s="452"/>
      <c r="B426" s="458"/>
      <c r="C426" s="452"/>
      <c r="D426" s="452"/>
      <c r="E426" s="452"/>
      <c r="F426" s="452"/>
      <c r="G426" s="452"/>
      <c r="O426" t="str">
        <f>IFERROR(__xludf.DUMMYFUNCTION("regexextract(B426,""[\w]* [\w]*"")"),"#N/A")</f>
        <v>#N/A</v>
      </c>
      <c r="P426" t="str">
        <f t="shared" si="2"/>
        <v>#N/A</v>
      </c>
      <c r="Q426" t="str">
        <f t="shared" si="3"/>
        <v>#N/A</v>
      </c>
      <c r="R426" t="s">
        <v>2640</v>
      </c>
      <c r="S426" s="417" t="s">
        <v>2640</v>
      </c>
      <c r="T426" t="s">
        <v>2640</v>
      </c>
      <c r="U426" t="s">
        <v>2640</v>
      </c>
      <c r="V426" t="s">
        <v>2640</v>
      </c>
      <c r="W426" t="str">
        <f t="shared" si="1"/>
        <v/>
      </c>
    </row>
    <row r="427">
      <c r="A427" s="448"/>
      <c r="B427" s="455"/>
      <c r="C427" s="448"/>
      <c r="D427" s="448"/>
      <c r="E427" s="448"/>
      <c r="F427" s="448"/>
      <c r="G427" s="448"/>
      <c r="O427" t="str">
        <f>IFERROR(__xludf.DUMMYFUNCTION("regexextract(B427,""[\w]* [\w]*"")"),"#N/A")</f>
        <v>#N/A</v>
      </c>
      <c r="P427" t="str">
        <f t="shared" si="2"/>
        <v>#N/A</v>
      </c>
      <c r="Q427" t="str">
        <f t="shared" si="3"/>
        <v>#N/A</v>
      </c>
      <c r="R427" t="s">
        <v>2640</v>
      </c>
      <c r="S427" s="417" t="s">
        <v>2640</v>
      </c>
      <c r="T427" t="s">
        <v>2640</v>
      </c>
      <c r="U427" t="s">
        <v>2640</v>
      </c>
      <c r="V427" t="s">
        <v>2640</v>
      </c>
      <c r="W427" t="str">
        <f t="shared" si="1"/>
        <v/>
      </c>
    </row>
    <row r="428">
      <c r="A428" s="452"/>
      <c r="B428" s="458"/>
      <c r="C428" s="452"/>
      <c r="D428" s="452"/>
      <c r="E428" s="452"/>
      <c r="F428" s="452"/>
      <c r="G428" s="452"/>
      <c r="O428" t="str">
        <f>IFERROR(__xludf.DUMMYFUNCTION("regexextract(B428,""[\w]* [\w]*"")"),"#N/A")</f>
        <v>#N/A</v>
      </c>
      <c r="P428" t="str">
        <f t="shared" si="2"/>
        <v>#N/A</v>
      </c>
      <c r="Q428" t="str">
        <f t="shared" si="3"/>
        <v>#N/A</v>
      </c>
      <c r="R428" t="s">
        <v>2640</v>
      </c>
      <c r="S428" s="417" t="s">
        <v>2640</v>
      </c>
      <c r="T428" t="s">
        <v>2640</v>
      </c>
      <c r="U428" t="s">
        <v>2640</v>
      </c>
      <c r="V428" t="s">
        <v>2640</v>
      </c>
      <c r="W428" t="str">
        <f t="shared" si="1"/>
        <v/>
      </c>
    </row>
    <row r="429">
      <c r="A429" s="448"/>
      <c r="B429" s="455"/>
      <c r="C429" s="448"/>
      <c r="D429" s="448"/>
      <c r="E429" s="448"/>
      <c r="F429" s="448"/>
      <c r="G429" s="448"/>
      <c r="O429" t="str">
        <f>IFERROR(__xludf.DUMMYFUNCTION("regexextract(B429,""[\w]* [\w]*"")"),"#N/A")</f>
        <v>#N/A</v>
      </c>
      <c r="P429" t="str">
        <f t="shared" si="2"/>
        <v>#N/A</v>
      </c>
      <c r="Q429" t="str">
        <f t="shared" si="3"/>
        <v>#N/A</v>
      </c>
      <c r="R429" t="s">
        <v>2640</v>
      </c>
      <c r="S429" s="417" t="s">
        <v>2640</v>
      </c>
      <c r="T429" t="s">
        <v>2640</v>
      </c>
      <c r="U429" t="s">
        <v>2640</v>
      </c>
      <c r="V429" t="s">
        <v>2640</v>
      </c>
      <c r="W429" t="str">
        <f t="shared" si="1"/>
        <v/>
      </c>
    </row>
    <row r="430">
      <c r="A430" s="452"/>
      <c r="B430" s="458"/>
      <c r="C430" s="452"/>
      <c r="D430" s="452"/>
      <c r="E430" s="452"/>
      <c r="F430" s="452"/>
      <c r="G430" s="452"/>
      <c r="O430" t="str">
        <f>IFERROR(__xludf.DUMMYFUNCTION("regexextract(B430,""[\w]* [\w]*"")"),"#N/A")</f>
        <v>#N/A</v>
      </c>
      <c r="P430" t="str">
        <f t="shared" si="2"/>
        <v>#N/A</v>
      </c>
      <c r="Q430" t="str">
        <f t="shared" si="3"/>
        <v>#N/A</v>
      </c>
      <c r="R430" t="s">
        <v>2640</v>
      </c>
      <c r="S430" s="417" t="s">
        <v>2640</v>
      </c>
      <c r="T430" t="s">
        <v>2640</v>
      </c>
      <c r="U430" t="s">
        <v>2640</v>
      </c>
      <c r="V430" t="s">
        <v>2640</v>
      </c>
      <c r="W430" t="str">
        <f t="shared" si="1"/>
        <v/>
      </c>
    </row>
    <row r="431">
      <c r="A431" s="448"/>
      <c r="B431" s="455"/>
      <c r="C431" s="448"/>
      <c r="D431" s="448"/>
      <c r="E431" s="448"/>
      <c r="F431" s="448"/>
      <c r="G431" s="448"/>
      <c r="O431" t="str">
        <f>IFERROR(__xludf.DUMMYFUNCTION("regexextract(B431,""[\w]* [\w]*"")"),"#N/A")</f>
        <v>#N/A</v>
      </c>
      <c r="P431" t="str">
        <f t="shared" si="2"/>
        <v>#N/A</v>
      </c>
      <c r="Q431" t="str">
        <f t="shared" si="3"/>
        <v>#N/A</v>
      </c>
      <c r="R431" t="s">
        <v>2640</v>
      </c>
      <c r="S431" s="417" t="s">
        <v>2640</v>
      </c>
      <c r="T431" t="s">
        <v>2640</v>
      </c>
      <c r="U431" t="s">
        <v>2640</v>
      </c>
      <c r="V431" t="s">
        <v>2640</v>
      </c>
      <c r="W431" t="str">
        <f t="shared" si="1"/>
        <v/>
      </c>
    </row>
    <row r="432">
      <c r="A432" s="452"/>
      <c r="B432" s="458"/>
      <c r="C432" s="452"/>
      <c r="D432" s="452"/>
      <c r="E432" s="452"/>
      <c r="F432" s="452"/>
      <c r="G432" s="452"/>
      <c r="O432" t="str">
        <f>IFERROR(__xludf.DUMMYFUNCTION("regexextract(B432,""[\w]* [\w]*"")"),"#N/A")</f>
        <v>#N/A</v>
      </c>
      <c r="P432" t="str">
        <f t="shared" si="2"/>
        <v>#N/A</v>
      </c>
      <c r="Q432" t="str">
        <f t="shared" si="3"/>
        <v>#N/A</v>
      </c>
      <c r="R432" t="s">
        <v>2640</v>
      </c>
      <c r="S432" s="417" t="s">
        <v>2640</v>
      </c>
      <c r="T432" t="s">
        <v>2640</v>
      </c>
      <c r="U432" t="s">
        <v>2640</v>
      </c>
      <c r="V432" t="s">
        <v>2640</v>
      </c>
      <c r="W432" t="str">
        <f t="shared" si="1"/>
        <v/>
      </c>
    </row>
    <row r="433">
      <c r="A433" s="448"/>
      <c r="B433" s="455"/>
      <c r="C433" s="448"/>
      <c r="D433" s="448"/>
      <c r="E433" s="448"/>
      <c r="F433" s="448"/>
      <c r="G433" s="448"/>
      <c r="O433" t="str">
        <f>IFERROR(__xludf.DUMMYFUNCTION("regexextract(B433,""[\w]* [\w]*"")"),"#N/A")</f>
        <v>#N/A</v>
      </c>
      <c r="P433" t="str">
        <f t="shared" si="2"/>
        <v>#N/A</v>
      </c>
      <c r="Q433" t="str">
        <f t="shared" si="3"/>
        <v>#N/A</v>
      </c>
      <c r="R433" t="s">
        <v>2640</v>
      </c>
      <c r="S433" s="417" t="s">
        <v>2640</v>
      </c>
      <c r="T433" t="s">
        <v>2640</v>
      </c>
      <c r="U433" t="s">
        <v>2640</v>
      </c>
      <c r="V433" t="s">
        <v>2640</v>
      </c>
      <c r="W433" t="str">
        <f t="shared" si="1"/>
        <v/>
      </c>
    </row>
    <row r="434">
      <c r="A434" s="452"/>
      <c r="B434" s="458"/>
      <c r="C434" s="452"/>
      <c r="D434" s="452"/>
      <c r="E434" s="452"/>
      <c r="F434" s="452"/>
      <c r="G434" s="452"/>
      <c r="O434" t="str">
        <f>IFERROR(__xludf.DUMMYFUNCTION("regexextract(B434,""[\w]* [\w]*"")"),"#N/A")</f>
        <v>#N/A</v>
      </c>
      <c r="P434" t="str">
        <f t="shared" si="2"/>
        <v>#N/A</v>
      </c>
      <c r="Q434" t="str">
        <f t="shared" si="3"/>
        <v>#N/A</v>
      </c>
      <c r="R434" t="s">
        <v>2640</v>
      </c>
      <c r="S434" s="417" t="s">
        <v>2640</v>
      </c>
      <c r="T434" t="s">
        <v>2640</v>
      </c>
      <c r="U434" t="s">
        <v>2640</v>
      </c>
      <c r="V434" t="s">
        <v>2640</v>
      </c>
      <c r="W434" t="str">
        <f t="shared" si="1"/>
        <v/>
      </c>
    </row>
    <row r="435">
      <c r="A435" s="448"/>
      <c r="B435" s="455"/>
      <c r="C435" s="448"/>
      <c r="D435" s="448"/>
      <c r="E435" s="448"/>
      <c r="F435" s="448"/>
      <c r="G435" s="448"/>
      <c r="O435" t="str">
        <f>IFERROR(__xludf.DUMMYFUNCTION("regexextract(B435,""[\w]* [\w]*"")"),"#N/A")</f>
        <v>#N/A</v>
      </c>
      <c r="P435" t="str">
        <f t="shared" si="2"/>
        <v>#N/A</v>
      </c>
      <c r="Q435" t="str">
        <f t="shared" si="3"/>
        <v>#N/A</v>
      </c>
      <c r="R435" t="s">
        <v>2640</v>
      </c>
      <c r="S435" s="417" t="s">
        <v>2640</v>
      </c>
      <c r="T435" t="s">
        <v>2640</v>
      </c>
      <c r="U435" t="s">
        <v>2640</v>
      </c>
      <c r="V435" t="s">
        <v>2640</v>
      </c>
      <c r="W435" t="str">
        <f t="shared" si="1"/>
        <v/>
      </c>
    </row>
    <row r="436">
      <c r="A436" s="452"/>
      <c r="B436" s="458"/>
      <c r="C436" s="452"/>
      <c r="D436" s="452"/>
      <c r="E436" s="452"/>
      <c r="F436" s="452"/>
      <c r="G436" s="452"/>
      <c r="O436" t="str">
        <f>IFERROR(__xludf.DUMMYFUNCTION("regexextract(B436,""[\w]* [\w]*"")"),"#N/A")</f>
        <v>#N/A</v>
      </c>
      <c r="P436" t="str">
        <f t="shared" si="2"/>
        <v>#N/A</v>
      </c>
      <c r="Q436" t="str">
        <f t="shared" si="3"/>
        <v>#N/A</v>
      </c>
      <c r="R436" t="s">
        <v>2640</v>
      </c>
      <c r="S436" s="417" t="s">
        <v>2640</v>
      </c>
      <c r="T436" t="s">
        <v>2640</v>
      </c>
      <c r="U436" t="s">
        <v>2640</v>
      </c>
      <c r="V436" t="s">
        <v>2640</v>
      </c>
      <c r="W436" t="str">
        <f t="shared" si="1"/>
        <v/>
      </c>
    </row>
    <row r="437">
      <c r="A437" s="448"/>
      <c r="B437" s="455"/>
      <c r="C437" s="448"/>
      <c r="D437" s="448"/>
      <c r="E437" s="448"/>
      <c r="F437" s="448"/>
      <c r="G437" s="448"/>
      <c r="O437" t="str">
        <f>IFERROR(__xludf.DUMMYFUNCTION("regexextract(B437,""[\w]* [\w]*"")"),"#N/A")</f>
        <v>#N/A</v>
      </c>
      <c r="P437" t="str">
        <f t="shared" si="2"/>
        <v>#N/A</v>
      </c>
      <c r="Q437" t="str">
        <f t="shared" si="3"/>
        <v>#N/A</v>
      </c>
      <c r="R437" t="s">
        <v>2640</v>
      </c>
      <c r="S437" s="417" t="s">
        <v>2640</v>
      </c>
      <c r="T437" t="s">
        <v>2640</v>
      </c>
      <c r="U437" t="s">
        <v>2640</v>
      </c>
      <c r="V437" t="s">
        <v>2640</v>
      </c>
      <c r="W437" t="str">
        <f t="shared" si="1"/>
        <v/>
      </c>
    </row>
    <row r="438">
      <c r="A438" s="452"/>
      <c r="B438" s="458"/>
      <c r="C438" s="452"/>
      <c r="D438" s="452"/>
      <c r="E438" s="452"/>
      <c r="F438" s="452"/>
      <c r="G438" s="452"/>
      <c r="O438" t="str">
        <f>IFERROR(__xludf.DUMMYFUNCTION("regexextract(B438,""[\w]* [\w]*"")"),"#N/A")</f>
        <v>#N/A</v>
      </c>
      <c r="P438" t="str">
        <f t="shared" si="2"/>
        <v>#N/A</v>
      </c>
      <c r="Q438" t="str">
        <f t="shared" si="3"/>
        <v>#N/A</v>
      </c>
      <c r="R438" t="s">
        <v>2640</v>
      </c>
      <c r="S438" s="417" t="s">
        <v>2640</v>
      </c>
      <c r="T438" t="s">
        <v>2640</v>
      </c>
      <c r="U438" t="s">
        <v>2640</v>
      </c>
      <c r="V438" t="s">
        <v>2640</v>
      </c>
      <c r="W438" t="str">
        <f t="shared" si="1"/>
        <v/>
      </c>
    </row>
    <row r="439">
      <c r="A439" s="448"/>
      <c r="B439" s="455"/>
      <c r="C439" s="448"/>
      <c r="D439" s="448"/>
      <c r="E439" s="448"/>
      <c r="F439" s="448"/>
      <c r="G439" s="448"/>
      <c r="O439" t="str">
        <f>IFERROR(__xludf.DUMMYFUNCTION("regexextract(B439,""[\w]* [\w]*"")"),"#N/A")</f>
        <v>#N/A</v>
      </c>
      <c r="P439" t="str">
        <f t="shared" si="2"/>
        <v>#N/A</v>
      </c>
      <c r="Q439" t="str">
        <f t="shared" si="3"/>
        <v>#N/A</v>
      </c>
      <c r="R439" t="s">
        <v>2640</v>
      </c>
      <c r="S439" s="417" t="s">
        <v>2640</v>
      </c>
      <c r="T439" t="s">
        <v>2640</v>
      </c>
      <c r="U439" t="s">
        <v>2640</v>
      </c>
      <c r="V439" t="s">
        <v>2640</v>
      </c>
      <c r="W439" t="str">
        <f t="shared" si="1"/>
        <v/>
      </c>
    </row>
    <row r="440">
      <c r="A440" s="452"/>
      <c r="B440" s="458"/>
      <c r="C440" s="452"/>
      <c r="D440" s="452"/>
      <c r="E440" s="452"/>
      <c r="F440" s="452"/>
      <c r="G440" s="452"/>
      <c r="O440" t="str">
        <f>IFERROR(__xludf.DUMMYFUNCTION("regexextract(B440,""[\w]* [\w]*"")"),"#N/A")</f>
        <v>#N/A</v>
      </c>
      <c r="P440" t="str">
        <f t="shared" si="2"/>
        <v>#N/A</v>
      </c>
      <c r="Q440" t="str">
        <f t="shared" si="3"/>
        <v>#N/A</v>
      </c>
      <c r="R440" t="s">
        <v>2640</v>
      </c>
      <c r="S440" s="417" t="s">
        <v>2640</v>
      </c>
      <c r="T440" t="s">
        <v>2640</v>
      </c>
      <c r="U440" t="s">
        <v>2640</v>
      </c>
      <c r="V440" t="s">
        <v>2640</v>
      </c>
      <c r="W440" t="str">
        <f t="shared" si="1"/>
        <v/>
      </c>
    </row>
    <row r="441">
      <c r="A441" s="448"/>
      <c r="B441" s="455"/>
      <c r="C441" s="448"/>
      <c r="D441" s="448"/>
      <c r="E441" s="448"/>
      <c r="F441" s="448"/>
      <c r="G441" s="448"/>
      <c r="O441" t="str">
        <f>IFERROR(__xludf.DUMMYFUNCTION("regexextract(B441,""[\w]* [\w]*"")"),"#N/A")</f>
        <v>#N/A</v>
      </c>
      <c r="P441" t="str">
        <f t="shared" si="2"/>
        <v>#N/A</v>
      </c>
      <c r="Q441" t="str">
        <f t="shared" si="3"/>
        <v>#N/A</v>
      </c>
      <c r="R441" t="s">
        <v>2640</v>
      </c>
      <c r="S441" s="417" t="s">
        <v>2640</v>
      </c>
      <c r="T441" t="s">
        <v>2640</v>
      </c>
      <c r="U441" t="s">
        <v>2640</v>
      </c>
      <c r="V441" t="s">
        <v>2640</v>
      </c>
      <c r="W441" t="str">
        <f t="shared" si="1"/>
        <v/>
      </c>
    </row>
    <row r="442">
      <c r="A442" s="452"/>
      <c r="B442" s="458"/>
      <c r="C442" s="452"/>
      <c r="D442" s="452"/>
      <c r="E442" s="452"/>
      <c r="F442" s="452"/>
      <c r="G442" s="452"/>
      <c r="O442" t="str">
        <f>IFERROR(__xludf.DUMMYFUNCTION("regexextract(B442,""[\w]* [\w]*"")"),"#N/A")</f>
        <v>#N/A</v>
      </c>
      <c r="P442" t="str">
        <f t="shared" si="2"/>
        <v>#N/A</v>
      </c>
      <c r="Q442" t="str">
        <f t="shared" si="3"/>
        <v>#N/A</v>
      </c>
      <c r="R442" t="s">
        <v>2640</v>
      </c>
      <c r="S442" s="417" t="s">
        <v>2640</v>
      </c>
      <c r="T442" t="s">
        <v>2640</v>
      </c>
      <c r="U442" t="s">
        <v>2640</v>
      </c>
      <c r="V442" t="s">
        <v>2640</v>
      </c>
      <c r="W442" t="str">
        <f t="shared" si="1"/>
        <v/>
      </c>
    </row>
    <row r="443">
      <c r="A443" s="448"/>
      <c r="B443" s="455"/>
      <c r="C443" s="448"/>
      <c r="D443" s="448"/>
      <c r="E443" s="448"/>
      <c r="F443" s="448"/>
      <c r="G443" s="448"/>
      <c r="O443" t="str">
        <f>IFERROR(__xludf.DUMMYFUNCTION("regexextract(B443,""[\w]* [\w]*"")"),"#N/A")</f>
        <v>#N/A</v>
      </c>
      <c r="P443" t="str">
        <f t="shared" si="2"/>
        <v>#N/A</v>
      </c>
      <c r="Q443" t="str">
        <f t="shared" si="3"/>
        <v>#N/A</v>
      </c>
      <c r="R443" t="s">
        <v>2640</v>
      </c>
      <c r="S443" s="417" t="s">
        <v>2640</v>
      </c>
      <c r="T443" t="s">
        <v>2640</v>
      </c>
      <c r="U443" t="s">
        <v>2640</v>
      </c>
      <c r="V443" t="s">
        <v>2640</v>
      </c>
      <c r="W443" t="str">
        <f t="shared" si="1"/>
        <v/>
      </c>
    </row>
    <row r="444">
      <c r="A444" s="452"/>
      <c r="B444" s="458"/>
      <c r="C444" s="452"/>
      <c r="D444" s="452"/>
      <c r="E444" s="452"/>
      <c r="F444" s="452"/>
      <c r="G444" s="452"/>
      <c r="O444" t="str">
        <f>IFERROR(__xludf.DUMMYFUNCTION("regexextract(B444,""[\w]* [\w]*"")"),"#N/A")</f>
        <v>#N/A</v>
      </c>
      <c r="P444" t="str">
        <f t="shared" si="2"/>
        <v>#N/A</v>
      </c>
      <c r="Q444" t="str">
        <f t="shared" si="3"/>
        <v>#N/A</v>
      </c>
      <c r="R444" t="s">
        <v>2640</v>
      </c>
      <c r="S444" s="417" t="s">
        <v>2640</v>
      </c>
      <c r="T444" t="s">
        <v>2640</v>
      </c>
      <c r="U444" t="s">
        <v>2640</v>
      </c>
      <c r="V444" t="s">
        <v>2640</v>
      </c>
      <c r="W444" t="str">
        <f t="shared" si="1"/>
        <v/>
      </c>
    </row>
    <row r="445">
      <c r="A445" s="448"/>
      <c r="B445" s="455"/>
      <c r="C445" s="448"/>
      <c r="D445" s="448"/>
      <c r="E445" s="448"/>
      <c r="F445" s="448"/>
      <c r="G445" s="448"/>
      <c r="O445" t="str">
        <f>IFERROR(__xludf.DUMMYFUNCTION("regexextract(B445,""[\w]* [\w]*"")"),"#N/A")</f>
        <v>#N/A</v>
      </c>
      <c r="P445" t="str">
        <f t="shared" si="2"/>
        <v>#N/A</v>
      </c>
      <c r="Q445" t="str">
        <f t="shared" si="3"/>
        <v>#N/A</v>
      </c>
      <c r="R445" t="s">
        <v>2640</v>
      </c>
      <c r="S445" s="417" t="s">
        <v>2640</v>
      </c>
      <c r="T445" t="s">
        <v>2640</v>
      </c>
      <c r="U445" t="s">
        <v>2640</v>
      </c>
      <c r="V445" t="s">
        <v>2640</v>
      </c>
      <c r="W445" t="str">
        <f t="shared" si="1"/>
        <v/>
      </c>
    </row>
    <row r="446">
      <c r="A446" s="452"/>
      <c r="B446" s="458"/>
      <c r="C446" s="452"/>
      <c r="D446" s="452"/>
      <c r="E446" s="452"/>
      <c r="F446" s="452"/>
      <c r="G446" s="452"/>
      <c r="O446" t="str">
        <f>IFERROR(__xludf.DUMMYFUNCTION("regexextract(B446,""[\w]* [\w]*"")"),"#N/A")</f>
        <v>#N/A</v>
      </c>
      <c r="P446" t="str">
        <f t="shared" si="2"/>
        <v>#N/A</v>
      </c>
      <c r="Q446" t="str">
        <f t="shared" si="3"/>
        <v>#N/A</v>
      </c>
      <c r="R446" t="s">
        <v>2640</v>
      </c>
      <c r="S446" s="417" t="s">
        <v>2640</v>
      </c>
      <c r="T446" t="s">
        <v>2640</v>
      </c>
      <c r="U446" t="s">
        <v>2640</v>
      </c>
      <c r="V446" t="s">
        <v>2640</v>
      </c>
      <c r="W446" t="str">
        <f t="shared" si="1"/>
        <v/>
      </c>
    </row>
    <row r="447">
      <c r="A447" s="448"/>
      <c r="B447" s="455"/>
      <c r="C447" s="448"/>
      <c r="D447" s="448"/>
      <c r="E447" s="448"/>
      <c r="F447" s="448"/>
      <c r="G447" s="448"/>
      <c r="O447" t="str">
        <f>IFERROR(__xludf.DUMMYFUNCTION("regexextract(B447,""[\w]* [\w]*"")"),"#N/A")</f>
        <v>#N/A</v>
      </c>
      <c r="P447" t="str">
        <f t="shared" si="2"/>
        <v>#N/A</v>
      </c>
      <c r="Q447" t="str">
        <f t="shared" si="3"/>
        <v>#N/A</v>
      </c>
      <c r="R447" t="s">
        <v>2640</v>
      </c>
      <c r="S447" s="417" t="s">
        <v>2640</v>
      </c>
      <c r="T447" t="s">
        <v>2640</v>
      </c>
      <c r="U447" t="s">
        <v>2640</v>
      </c>
      <c r="V447" t="s">
        <v>2640</v>
      </c>
      <c r="W447" t="str">
        <f t="shared" si="1"/>
        <v/>
      </c>
    </row>
    <row r="448">
      <c r="A448" s="452"/>
      <c r="B448" s="458"/>
      <c r="C448" s="452"/>
      <c r="D448" s="452"/>
      <c r="E448" s="452"/>
      <c r="F448" s="452"/>
      <c r="G448" s="452"/>
      <c r="O448" t="str">
        <f>IFERROR(__xludf.DUMMYFUNCTION("regexextract(B448,""[\w]* [\w]*"")"),"#N/A")</f>
        <v>#N/A</v>
      </c>
      <c r="P448" t="str">
        <f t="shared" si="2"/>
        <v>#N/A</v>
      </c>
      <c r="Q448" t="str">
        <f t="shared" si="3"/>
        <v>#N/A</v>
      </c>
      <c r="R448" t="s">
        <v>2640</v>
      </c>
      <c r="S448" s="417" t="s">
        <v>2640</v>
      </c>
      <c r="T448" t="s">
        <v>2640</v>
      </c>
      <c r="U448" t="s">
        <v>2640</v>
      </c>
      <c r="V448" t="s">
        <v>2640</v>
      </c>
      <c r="W448" t="str">
        <f t="shared" si="1"/>
        <v/>
      </c>
    </row>
    <row r="449">
      <c r="A449" s="448"/>
      <c r="B449" s="455"/>
      <c r="C449" s="448"/>
      <c r="D449" s="448"/>
      <c r="E449" s="448"/>
      <c r="F449" s="448"/>
      <c r="G449" s="448"/>
      <c r="O449" t="str">
        <f>IFERROR(__xludf.DUMMYFUNCTION("regexextract(B449,""[\w]* [\w]*"")"),"#N/A")</f>
        <v>#N/A</v>
      </c>
      <c r="P449" t="str">
        <f t="shared" si="2"/>
        <v>#N/A</v>
      </c>
      <c r="Q449" t="str">
        <f t="shared" si="3"/>
        <v>#N/A</v>
      </c>
      <c r="R449" t="s">
        <v>2640</v>
      </c>
      <c r="S449" s="417" t="s">
        <v>2640</v>
      </c>
      <c r="T449" t="s">
        <v>2640</v>
      </c>
      <c r="U449" t="s">
        <v>2640</v>
      </c>
      <c r="V449" t="s">
        <v>2640</v>
      </c>
      <c r="W449" t="str">
        <f t="shared" si="1"/>
        <v/>
      </c>
    </row>
    <row r="450">
      <c r="A450" s="452"/>
      <c r="B450" s="458"/>
      <c r="C450" s="452"/>
      <c r="D450" s="452"/>
      <c r="E450" s="452"/>
      <c r="F450" s="452"/>
      <c r="G450" s="452"/>
      <c r="O450" t="str">
        <f>IFERROR(__xludf.DUMMYFUNCTION("regexextract(B450,""[\w]* [\w]*"")"),"#N/A")</f>
        <v>#N/A</v>
      </c>
      <c r="P450" t="str">
        <f t="shared" si="2"/>
        <v>#N/A</v>
      </c>
      <c r="Q450" t="str">
        <f t="shared" si="3"/>
        <v>#N/A</v>
      </c>
      <c r="R450" t="s">
        <v>2640</v>
      </c>
      <c r="S450" s="417" t="s">
        <v>2640</v>
      </c>
      <c r="T450" t="s">
        <v>2640</v>
      </c>
      <c r="U450" t="s">
        <v>2640</v>
      </c>
      <c r="V450" t="s">
        <v>2640</v>
      </c>
      <c r="W450" t="str">
        <f t="shared" si="1"/>
        <v/>
      </c>
    </row>
    <row r="451">
      <c r="A451" s="448"/>
      <c r="B451" s="455"/>
      <c r="C451" s="448"/>
      <c r="D451" s="448"/>
      <c r="E451" s="448"/>
      <c r="F451" s="448"/>
      <c r="G451" s="448"/>
      <c r="O451" t="str">
        <f>IFERROR(__xludf.DUMMYFUNCTION("regexextract(B451,""[\w]* [\w]*"")"),"#N/A")</f>
        <v>#N/A</v>
      </c>
      <c r="P451" t="str">
        <f t="shared" si="2"/>
        <v>#N/A</v>
      </c>
      <c r="Q451" t="str">
        <f t="shared" si="3"/>
        <v>#N/A</v>
      </c>
      <c r="R451" t="s">
        <v>2640</v>
      </c>
      <c r="S451" s="417" t="s">
        <v>2640</v>
      </c>
      <c r="T451" t="s">
        <v>2640</v>
      </c>
      <c r="U451" t="s">
        <v>2640</v>
      </c>
      <c r="V451" t="s">
        <v>2640</v>
      </c>
      <c r="W451" t="str">
        <f t="shared" si="1"/>
        <v/>
      </c>
    </row>
    <row r="452">
      <c r="A452" s="452"/>
      <c r="B452" s="458"/>
      <c r="C452" s="452"/>
      <c r="D452" s="452"/>
      <c r="E452" s="452"/>
      <c r="F452" s="452"/>
      <c r="G452" s="452"/>
      <c r="O452" t="str">
        <f>IFERROR(__xludf.DUMMYFUNCTION("regexextract(B452,""[\w]* [\w]*"")"),"#N/A")</f>
        <v>#N/A</v>
      </c>
      <c r="P452" t="str">
        <f t="shared" si="2"/>
        <v>#N/A</v>
      </c>
      <c r="Q452" t="str">
        <f t="shared" si="3"/>
        <v>#N/A</v>
      </c>
      <c r="R452" t="s">
        <v>2640</v>
      </c>
      <c r="S452" s="417" t="s">
        <v>2640</v>
      </c>
      <c r="T452" t="s">
        <v>2640</v>
      </c>
      <c r="U452" t="s">
        <v>2640</v>
      </c>
      <c r="V452" t="s">
        <v>2640</v>
      </c>
      <c r="W452" t="str">
        <f t="shared" si="1"/>
        <v/>
      </c>
    </row>
    <row r="453">
      <c r="A453" s="448"/>
      <c r="B453" s="455"/>
      <c r="C453" s="448"/>
      <c r="D453" s="448"/>
      <c r="E453" s="448"/>
      <c r="F453" s="448"/>
      <c r="G453" s="448"/>
      <c r="O453" t="str">
        <f>IFERROR(__xludf.DUMMYFUNCTION("regexextract(B453,""[\w]* [\w]*"")"),"#N/A")</f>
        <v>#N/A</v>
      </c>
      <c r="P453" t="str">
        <f t="shared" si="2"/>
        <v>#N/A</v>
      </c>
      <c r="Q453" t="str">
        <f t="shared" si="3"/>
        <v>#N/A</v>
      </c>
      <c r="R453" t="s">
        <v>2640</v>
      </c>
      <c r="S453" s="417" t="s">
        <v>2640</v>
      </c>
      <c r="T453" t="s">
        <v>2640</v>
      </c>
      <c r="U453" t="s">
        <v>2640</v>
      </c>
      <c r="V453" t="s">
        <v>2640</v>
      </c>
      <c r="W453" t="str">
        <f t="shared" si="1"/>
        <v/>
      </c>
    </row>
    <row r="454">
      <c r="A454" s="452"/>
      <c r="B454" s="458"/>
      <c r="C454" s="452"/>
      <c r="D454" s="452"/>
      <c r="E454" s="452"/>
      <c r="F454" s="452"/>
      <c r="G454" s="452"/>
      <c r="O454" t="str">
        <f>IFERROR(__xludf.DUMMYFUNCTION("regexextract(B454,""[\w]* [\w]*"")"),"#N/A")</f>
        <v>#N/A</v>
      </c>
      <c r="P454" t="str">
        <f t="shared" si="2"/>
        <v>#N/A</v>
      </c>
      <c r="Q454" t="str">
        <f t="shared" si="3"/>
        <v>#N/A</v>
      </c>
      <c r="R454" t="s">
        <v>2640</v>
      </c>
      <c r="S454" s="417" t="s">
        <v>2640</v>
      </c>
      <c r="T454" t="s">
        <v>2640</v>
      </c>
      <c r="U454" t="s">
        <v>2640</v>
      </c>
      <c r="V454" t="s">
        <v>2640</v>
      </c>
      <c r="W454" t="str">
        <f t="shared" si="1"/>
        <v/>
      </c>
    </row>
    <row r="455">
      <c r="A455" s="448"/>
      <c r="B455" s="455"/>
      <c r="C455" s="448"/>
      <c r="D455" s="448"/>
      <c r="E455" s="448"/>
      <c r="F455" s="448"/>
      <c r="G455" s="448"/>
      <c r="O455" t="str">
        <f>IFERROR(__xludf.DUMMYFUNCTION("regexextract(B455,""[\w]* [\w]*"")"),"#N/A")</f>
        <v>#N/A</v>
      </c>
      <c r="P455" t="str">
        <f t="shared" si="2"/>
        <v>#N/A</v>
      </c>
      <c r="Q455" t="str">
        <f t="shared" si="3"/>
        <v>#N/A</v>
      </c>
      <c r="R455" t="s">
        <v>2640</v>
      </c>
      <c r="S455" s="417" t="s">
        <v>2640</v>
      </c>
      <c r="T455" t="s">
        <v>2640</v>
      </c>
      <c r="U455" t="s">
        <v>2640</v>
      </c>
      <c r="V455" t="s">
        <v>2640</v>
      </c>
      <c r="W455" t="str">
        <f t="shared" si="1"/>
        <v/>
      </c>
    </row>
    <row r="456">
      <c r="A456" s="452"/>
      <c r="B456" s="458"/>
      <c r="C456" s="452"/>
      <c r="D456" s="452"/>
      <c r="E456" s="452"/>
      <c r="F456" s="452"/>
      <c r="G456" s="452"/>
      <c r="O456" t="str">
        <f>IFERROR(__xludf.DUMMYFUNCTION("regexextract(B456,""[\w]* [\w]*"")"),"#N/A")</f>
        <v>#N/A</v>
      </c>
      <c r="P456" t="str">
        <f t="shared" si="2"/>
        <v>#N/A</v>
      </c>
      <c r="Q456" t="str">
        <f t="shared" si="3"/>
        <v>#N/A</v>
      </c>
      <c r="R456" t="s">
        <v>2640</v>
      </c>
      <c r="S456" s="417" t="s">
        <v>2640</v>
      </c>
      <c r="T456" t="s">
        <v>2640</v>
      </c>
      <c r="U456" t="s">
        <v>2640</v>
      </c>
      <c r="V456" t="s">
        <v>2640</v>
      </c>
      <c r="W456" t="str">
        <f t="shared" si="1"/>
        <v/>
      </c>
    </row>
    <row r="457">
      <c r="A457" s="448"/>
      <c r="B457" s="455"/>
      <c r="C457" s="448"/>
      <c r="D457" s="448"/>
      <c r="E457" s="448"/>
      <c r="F457" s="448"/>
      <c r="G457" s="448"/>
      <c r="O457" t="str">
        <f>IFERROR(__xludf.DUMMYFUNCTION("regexextract(B457,""[\w]* [\w]*"")"),"#N/A")</f>
        <v>#N/A</v>
      </c>
      <c r="P457" t="str">
        <f t="shared" si="2"/>
        <v>#N/A</v>
      </c>
      <c r="Q457" t="str">
        <f t="shared" si="3"/>
        <v>#N/A</v>
      </c>
      <c r="R457" t="s">
        <v>2640</v>
      </c>
      <c r="S457" s="417" t="s">
        <v>2640</v>
      </c>
      <c r="T457" t="s">
        <v>2640</v>
      </c>
      <c r="U457" t="s">
        <v>2640</v>
      </c>
      <c r="V457" t="s">
        <v>2640</v>
      </c>
      <c r="W457" t="str">
        <f t="shared" si="1"/>
        <v/>
      </c>
    </row>
    <row r="458">
      <c r="A458" s="452"/>
      <c r="B458" s="458"/>
      <c r="C458" s="452"/>
      <c r="D458" s="452"/>
      <c r="E458" s="452"/>
      <c r="F458" s="452"/>
      <c r="G458" s="452"/>
      <c r="O458" t="str">
        <f>IFERROR(__xludf.DUMMYFUNCTION("regexextract(B458,""[\w]* [\w]*"")"),"#N/A")</f>
        <v>#N/A</v>
      </c>
      <c r="P458" t="str">
        <f t="shared" si="2"/>
        <v>#N/A</v>
      </c>
      <c r="Q458" t="str">
        <f t="shared" si="3"/>
        <v>#N/A</v>
      </c>
      <c r="R458" t="s">
        <v>2640</v>
      </c>
      <c r="S458" s="417" t="s">
        <v>2640</v>
      </c>
      <c r="T458" t="s">
        <v>2640</v>
      </c>
      <c r="U458" t="s">
        <v>2640</v>
      </c>
      <c r="V458" t="s">
        <v>2640</v>
      </c>
      <c r="W458" t="str">
        <f t="shared" si="1"/>
        <v/>
      </c>
    </row>
    <row r="459">
      <c r="A459" s="448"/>
      <c r="B459" s="455"/>
      <c r="C459" s="448"/>
      <c r="D459" s="448"/>
      <c r="E459" s="448"/>
      <c r="F459" s="448"/>
      <c r="G459" s="448"/>
      <c r="O459" t="str">
        <f>IFERROR(__xludf.DUMMYFUNCTION("regexextract(B459,""[\w]* [\w]*"")"),"#N/A")</f>
        <v>#N/A</v>
      </c>
      <c r="P459" t="str">
        <f t="shared" si="2"/>
        <v>#N/A</v>
      </c>
      <c r="Q459" t="str">
        <f t="shared" si="3"/>
        <v>#N/A</v>
      </c>
      <c r="R459" t="s">
        <v>2640</v>
      </c>
      <c r="S459" s="417" t="s">
        <v>2640</v>
      </c>
      <c r="T459" t="s">
        <v>2640</v>
      </c>
      <c r="U459" t="s">
        <v>2640</v>
      </c>
      <c r="V459" t="s">
        <v>2640</v>
      </c>
      <c r="W459" t="str">
        <f t="shared" si="1"/>
        <v/>
      </c>
    </row>
    <row r="460">
      <c r="A460" s="452"/>
      <c r="B460" s="458"/>
      <c r="C460" s="452"/>
      <c r="D460" s="452"/>
      <c r="E460" s="452"/>
      <c r="F460" s="452"/>
      <c r="G460" s="452"/>
      <c r="O460" t="str">
        <f>IFERROR(__xludf.DUMMYFUNCTION("regexextract(B460,""[\w]* [\w]*"")"),"#N/A")</f>
        <v>#N/A</v>
      </c>
      <c r="P460" t="str">
        <f t="shared" si="2"/>
        <v>#N/A</v>
      </c>
      <c r="Q460" t="str">
        <f t="shared" si="3"/>
        <v>#N/A</v>
      </c>
      <c r="R460" t="s">
        <v>2640</v>
      </c>
      <c r="S460" s="417" t="s">
        <v>2640</v>
      </c>
      <c r="T460" t="s">
        <v>2640</v>
      </c>
      <c r="U460" t="s">
        <v>2640</v>
      </c>
      <c r="V460" t="s">
        <v>2640</v>
      </c>
      <c r="W460" t="str">
        <f t="shared" si="1"/>
        <v/>
      </c>
    </row>
    <row r="461">
      <c r="A461" s="448"/>
      <c r="B461" s="455"/>
      <c r="C461" s="448"/>
      <c r="D461" s="448"/>
      <c r="E461" s="448"/>
      <c r="F461" s="448"/>
      <c r="G461" s="448"/>
      <c r="O461" t="str">
        <f>IFERROR(__xludf.DUMMYFUNCTION("regexextract(B461,""[\w]* [\w]*"")"),"#N/A")</f>
        <v>#N/A</v>
      </c>
      <c r="P461" t="str">
        <f t="shared" si="2"/>
        <v>#N/A</v>
      </c>
      <c r="Q461" t="str">
        <f t="shared" si="3"/>
        <v>#N/A</v>
      </c>
      <c r="R461" t="s">
        <v>2640</v>
      </c>
      <c r="S461" s="417" t="s">
        <v>2640</v>
      </c>
      <c r="T461" t="s">
        <v>2640</v>
      </c>
      <c r="U461" t="s">
        <v>2640</v>
      </c>
      <c r="V461" t="s">
        <v>2640</v>
      </c>
      <c r="W461" t="str">
        <f t="shared" si="1"/>
        <v/>
      </c>
    </row>
    <row r="462">
      <c r="A462" s="452"/>
      <c r="B462" s="458"/>
      <c r="C462" s="452"/>
      <c r="D462" s="452"/>
      <c r="E462" s="452"/>
      <c r="F462" s="452"/>
      <c r="G462" s="452"/>
      <c r="O462" t="str">
        <f>IFERROR(__xludf.DUMMYFUNCTION("regexextract(B462,""[\w]* [\w]*"")"),"#N/A")</f>
        <v>#N/A</v>
      </c>
      <c r="P462" t="str">
        <f t="shared" si="2"/>
        <v>#N/A</v>
      </c>
      <c r="Q462" t="str">
        <f t="shared" si="3"/>
        <v>#N/A</v>
      </c>
      <c r="R462" t="s">
        <v>2640</v>
      </c>
      <c r="S462" s="417" t="s">
        <v>2640</v>
      </c>
      <c r="T462" t="s">
        <v>2640</v>
      </c>
      <c r="U462" t="s">
        <v>2640</v>
      </c>
      <c r="V462" t="s">
        <v>2640</v>
      </c>
      <c r="W462" t="str">
        <f t="shared" si="1"/>
        <v/>
      </c>
    </row>
    <row r="463">
      <c r="A463" s="448"/>
      <c r="B463" s="455"/>
      <c r="C463" s="448"/>
      <c r="D463" s="448"/>
      <c r="E463" s="448"/>
      <c r="F463" s="448"/>
      <c r="G463" s="448"/>
      <c r="O463" t="str">
        <f>IFERROR(__xludf.DUMMYFUNCTION("regexextract(B463,""[\w]* [\w]*"")"),"#N/A")</f>
        <v>#N/A</v>
      </c>
      <c r="P463" t="str">
        <f t="shared" si="2"/>
        <v>#N/A</v>
      </c>
      <c r="Q463" t="str">
        <f t="shared" si="3"/>
        <v>#N/A</v>
      </c>
      <c r="R463" t="s">
        <v>2640</v>
      </c>
      <c r="S463" s="417" t="s">
        <v>2640</v>
      </c>
      <c r="T463" t="s">
        <v>2640</v>
      </c>
      <c r="U463" t="s">
        <v>2640</v>
      </c>
      <c r="V463" t="s">
        <v>2640</v>
      </c>
      <c r="W463" t="str">
        <f t="shared" si="1"/>
        <v/>
      </c>
    </row>
    <row r="464">
      <c r="A464" s="452"/>
      <c r="B464" s="458"/>
      <c r="C464" s="452"/>
      <c r="D464" s="452"/>
      <c r="E464" s="452"/>
      <c r="F464" s="452"/>
      <c r="G464" s="452"/>
      <c r="O464" t="str">
        <f>IFERROR(__xludf.DUMMYFUNCTION("regexextract(B464,""[\w]* [\w]*"")"),"#N/A")</f>
        <v>#N/A</v>
      </c>
      <c r="P464" t="str">
        <f t="shared" si="2"/>
        <v>#N/A</v>
      </c>
      <c r="Q464" t="str">
        <f t="shared" si="3"/>
        <v>#N/A</v>
      </c>
      <c r="R464" t="s">
        <v>2640</v>
      </c>
      <c r="S464" s="417" t="s">
        <v>2640</v>
      </c>
      <c r="T464" t="s">
        <v>2640</v>
      </c>
      <c r="U464" t="s">
        <v>2640</v>
      </c>
      <c r="V464" t="s">
        <v>2640</v>
      </c>
      <c r="W464" t="str">
        <f t="shared" si="1"/>
        <v/>
      </c>
    </row>
    <row r="465">
      <c r="A465" s="448"/>
      <c r="B465" s="455"/>
      <c r="C465" s="448"/>
      <c r="D465" s="448"/>
      <c r="E465" s="448"/>
      <c r="F465" s="448"/>
      <c r="G465" s="448"/>
      <c r="O465" t="str">
        <f>IFERROR(__xludf.DUMMYFUNCTION("regexextract(B465,""[\w]* [\w]*"")"),"#N/A")</f>
        <v>#N/A</v>
      </c>
      <c r="P465" t="str">
        <f t="shared" si="2"/>
        <v>#N/A</v>
      </c>
      <c r="Q465" t="str">
        <f t="shared" si="3"/>
        <v>#N/A</v>
      </c>
      <c r="R465" t="s">
        <v>2640</v>
      </c>
      <c r="S465" s="417" t="s">
        <v>2640</v>
      </c>
      <c r="T465" t="s">
        <v>2640</v>
      </c>
      <c r="U465" t="s">
        <v>2640</v>
      </c>
      <c r="V465" t="s">
        <v>2640</v>
      </c>
      <c r="W465" t="str">
        <f t="shared" si="1"/>
        <v/>
      </c>
    </row>
    <row r="466">
      <c r="A466" s="452"/>
      <c r="B466" s="458"/>
      <c r="C466" s="452"/>
      <c r="D466" s="452"/>
      <c r="E466" s="452"/>
      <c r="F466" s="452"/>
      <c r="G466" s="452"/>
      <c r="O466" t="str">
        <f>IFERROR(__xludf.DUMMYFUNCTION("regexextract(B466,""[\w]* [\w]*"")"),"#N/A")</f>
        <v>#N/A</v>
      </c>
      <c r="P466" t="str">
        <f t="shared" si="2"/>
        <v>#N/A</v>
      </c>
      <c r="Q466" t="str">
        <f t="shared" si="3"/>
        <v>#N/A</v>
      </c>
      <c r="R466" t="s">
        <v>2640</v>
      </c>
      <c r="S466" s="417" t="s">
        <v>2640</v>
      </c>
      <c r="T466" t="s">
        <v>2640</v>
      </c>
      <c r="U466" t="s">
        <v>2640</v>
      </c>
      <c r="V466" t="s">
        <v>2640</v>
      </c>
      <c r="W466" t="str">
        <f t="shared" si="1"/>
        <v/>
      </c>
    </row>
    <row r="467">
      <c r="A467" s="448"/>
      <c r="B467" s="455"/>
      <c r="C467" s="448"/>
      <c r="D467" s="448"/>
      <c r="E467" s="448"/>
      <c r="F467" s="448"/>
      <c r="G467" s="448"/>
      <c r="O467" t="str">
        <f>IFERROR(__xludf.DUMMYFUNCTION("regexextract(B467,""[\w]* [\w]*"")"),"#N/A")</f>
        <v>#N/A</v>
      </c>
      <c r="P467" t="str">
        <f t="shared" si="2"/>
        <v>#N/A</v>
      </c>
      <c r="Q467" t="str">
        <f t="shared" si="3"/>
        <v>#N/A</v>
      </c>
      <c r="R467" t="s">
        <v>2640</v>
      </c>
      <c r="S467" s="417" t="s">
        <v>2640</v>
      </c>
      <c r="T467" t="s">
        <v>2640</v>
      </c>
      <c r="U467" t="s">
        <v>2640</v>
      </c>
      <c r="V467" t="s">
        <v>2640</v>
      </c>
      <c r="W467" t="str">
        <f t="shared" si="1"/>
        <v/>
      </c>
    </row>
    <row r="468">
      <c r="A468" s="452"/>
      <c r="B468" s="458"/>
      <c r="C468" s="452"/>
      <c r="D468" s="452"/>
      <c r="E468" s="452"/>
      <c r="F468" s="452"/>
      <c r="G468" s="452"/>
      <c r="O468" t="str">
        <f>IFERROR(__xludf.DUMMYFUNCTION("regexextract(B468,""[\w]* [\w]*"")"),"#N/A")</f>
        <v>#N/A</v>
      </c>
      <c r="P468" t="str">
        <f t="shared" si="2"/>
        <v>#N/A</v>
      </c>
      <c r="Q468" t="str">
        <f t="shared" si="3"/>
        <v>#N/A</v>
      </c>
      <c r="R468" t="s">
        <v>2640</v>
      </c>
      <c r="S468" s="417" t="s">
        <v>2640</v>
      </c>
      <c r="T468" t="s">
        <v>2640</v>
      </c>
      <c r="U468" t="s">
        <v>2640</v>
      </c>
      <c r="V468" t="s">
        <v>2640</v>
      </c>
      <c r="W468" t="str">
        <f t="shared" si="1"/>
        <v/>
      </c>
    </row>
    <row r="469">
      <c r="A469" s="448"/>
      <c r="B469" s="455"/>
      <c r="C469" s="448"/>
      <c r="D469" s="448"/>
      <c r="E469" s="448"/>
      <c r="F469" s="448"/>
      <c r="G469" s="448"/>
      <c r="O469" t="str">
        <f>IFERROR(__xludf.DUMMYFUNCTION("regexextract(B469,""[\w]* [\w]*"")"),"#N/A")</f>
        <v>#N/A</v>
      </c>
      <c r="P469" t="str">
        <f t="shared" si="2"/>
        <v>#N/A</v>
      </c>
      <c r="Q469" t="str">
        <f t="shared" si="3"/>
        <v>#N/A</v>
      </c>
      <c r="R469" t="s">
        <v>2640</v>
      </c>
      <c r="S469" s="417" t="s">
        <v>2640</v>
      </c>
      <c r="T469" t="s">
        <v>2640</v>
      </c>
      <c r="U469" t="s">
        <v>2640</v>
      </c>
      <c r="V469" t="s">
        <v>2640</v>
      </c>
      <c r="W469" t="str">
        <f t="shared" si="1"/>
        <v/>
      </c>
    </row>
    <row r="470">
      <c r="A470" s="452"/>
      <c r="B470" s="458"/>
      <c r="C470" s="452"/>
      <c r="D470" s="452"/>
      <c r="E470" s="452"/>
      <c r="F470" s="452"/>
      <c r="G470" s="452"/>
      <c r="O470" t="str">
        <f>IFERROR(__xludf.DUMMYFUNCTION("regexextract(B470,""[\w]* [\w]*"")"),"#N/A")</f>
        <v>#N/A</v>
      </c>
      <c r="P470" t="str">
        <f t="shared" si="2"/>
        <v>#N/A</v>
      </c>
      <c r="Q470" t="str">
        <f t="shared" si="3"/>
        <v>#N/A</v>
      </c>
      <c r="R470" t="s">
        <v>2640</v>
      </c>
      <c r="S470" s="417" t="s">
        <v>2640</v>
      </c>
      <c r="T470" t="s">
        <v>2640</v>
      </c>
      <c r="U470" t="s">
        <v>2640</v>
      </c>
      <c r="V470" t="s">
        <v>2640</v>
      </c>
      <c r="W470" t="str">
        <f t="shared" si="1"/>
        <v/>
      </c>
    </row>
    <row r="471">
      <c r="A471" s="448"/>
      <c r="B471" s="455"/>
      <c r="C471" s="448"/>
      <c r="D471" s="448"/>
      <c r="E471" s="448"/>
      <c r="F471" s="448"/>
      <c r="G471" s="448"/>
      <c r="O471" t="str">
        <f>IFERROR(__xludf.DUMMYFUNCTION("regexextract(B471,""[\w]* [\w]*"")"),"#N/A")</f>
        <v>#N/A</v>
      </c>
      <c r="P471" t="str">
        <f t="shared" si="2"/>
        <v>#N/A</v>
      </c>
      <c r="Q471" t="str">
        <f t="shared" si="3"/>
        <v>#N/A</v>
      </c>
      <c r="R471" t="s">
        <v>2640</v>
      </c>
      <c r="S471" s="417" t="s">
        <v>2640</v>
      </c>
      <c r="T471" t="s">
        <v>2640</v>
      </c>
      <c r="U471" t="s">
        <v>2640</v>
      </c>
      <c r="V471" t="s">
        <v>2640</v>
      </c>
      <c r="W471" t="str">
        <f t="shared" si="1"/>
        <v/>
      </c>
    </row>
    <row r="472">
      <c r="A472" s="452"/>
      <c r="B472" s="458"/>
      <c r="C472" s="452"/>
      <c r="D472" s="452"/>
      <c r="E472" s="452"/>
      <c r="F472" s="452"/>
      <c r="G472" s="452"/>
      <c r="O472" t="str">
        <f>IFERROR(__xludf.DUMMYFUNCTION("regexextract(B472,""[\w]* [\w]*"")"),"#N/A")</f>
        <v>#N/A</v>
      </c>
      <c r="P472" t="str">
        <f t="shared" si="2"/>
        <v>#N/A</v>
      </c>
      <c r="Q472" t="str">
        <f t="shared" si="3"/>
        <v>#N/A</v>
      </c>
      <c r="R472" t="s">
        <v>2640</v>
      </c>
      <c r="S472" s="417" t="s">
        <v>2640</v>
      </c>
      <c r="T472" t="s">
        <v>2640</v>
      </c>
      <c r="U472" t="s">
        <v>2640</v>
      </c>
      <c r="V472" t="s">
        <v>2640</v>
      </c>
      <c r="W472" t="str">
        <f t="shared" si="1"/>
        <v/>
      </c>
    </row>
    <row r="473">
      <c r="A473" s="448"/>
      <c r="B473" s="455"/>
      <c r="C473" s="448"/>
      <c r="D473" s="448"/>
      <c r="E473" s="448"/>
      <c r="F473" s="448"/>
      <c r="G473" s="448"/>
      <c r="O473" t="str">
        <f>IFERROR(__xludf.DUMMYFUNCTION("regexextract(B473,""[\w]* [\w]*"")"),"#N/A")</f>
        <v>#N/A</v>
      </c>
      <c r="P473" t="str">
        <f t="shared" si="2"/>
        <v>#N/A</v>
      </c>
      <c r="Q473" t="str">
        <f t="shared" si="3"/>
        <v>#N/A</v>
      </c>
      <c r="R473" t="s">
        <v>2640</v>
      </c>
      <c r="S473" s="417" t="s">
        <v>2640</v>
      </c>
      <c r="T473" t="s">
        <v>2640</v>
      </c>
      <c r="U473" t="s">
        <v>2640</v>
      </c>
      <c r="V473" t="s">
        <v>2640</v>
      </c>
      <c r="W473" t="str">
        <f t="shared" si="1"/>
        <v/>
      </c>
    </row>
    <row r="474">
      <c r="A474" s="452"/>
      <c r="B474" s="458"/>
      <c r="C474" s="452"/>
      <c r="D474" s="452"/>
      <c r="E474" s="452"/>
      <c r="F474" s="452"/>
      <c r="G474" s="452"/>
      <c r="O474" t="str">
        <f>IFERROR(__xludf.DUMMYFUNCTION("regexextract(B474,""[\w]* [\w]*"")"),"#N/A")</f>
        <v>#N/A</v>
      </c>
      <c r="P474" t="str">
        <f t="shared" si="2"/>
        <v>#N/A</v>
      </c>
      <c r="Q474" t="str">
        <f t="shared" si="3"/>
        <v>#N/A</v>
      </c>
      <c r="R474" t="s">
        <v>2640</v>
      </c>
      <c r="S474" s="417" t="s">
        <v>2640</v>
      </c>
      <c r="T474" t="s">
        <v>2640</v>
      </c>
      <c r="U474" t="s">
        <v>2640</v>
      </c>
      <c r="V474" t="s">
        <v>2640</v>
      </c>
      <c r="W474" t="str">
        <f t="shared" si="1"/>
        <v/>
      </c>
    </row>
    <row r="475">
      <c r="A475" s="448"/>
      <c r="B475" s="455"/>
      <c r="C475" s="448"/>
      <c r="D475" s="448"/>
      <c r="E475" s="448"/>
      <c r="F475" s="448"/>
      <c r="G475" s="448"/>
      <c r="O475" t="str">
        <f>IFERROR(__xludf.DUMMYFUNCTION("regexextract(B475,""[\w]* [\w]*"")"),"#N/A")</f>
        <v>#N/A</v>
      </c>
      <c r="P475" t="str">
        <f t="shared" si="2"/>
        <v>#N/A</v>
      </c>
      <c r="Q475" t="str">
        <f t="shared" si="3"/>
        <v>#N/A</v>
      </c>
      <c r="R475" t="s">
        <v>2640</v>
      </c>
      <c r="S475" s="417" t="s">
        <v>2640</v>
      </c>
      <c r="T475" t="s">
        <v>2640</v>
      </c>
      <c r="U475" t="s">
        <v>2640</v>
      </c>
      <c r="V475" t="s">
        <v>2640</v>
      </c>
      <c r="W475" t="str">
        <f t="shared" si="1"/>
        <v/>
      </c>
    </row>
    <row r="476">
      <c r="A476" s="452"/>
      <c r="B476" s="458"/>
      <c r="C476" s="452"/>
      <c r="D476" s="452"/>
      <c r="E476" s="452"/>
      <c r="F476" s="452"/>
      <c r="G476" s="452"/>
      <c r="O476" t="str">
        <f>IFERROR(__xludf.DUMMYFUNCTION("regexextract(B476,""[\w]* [\w]*"")"),"#N/A")</f>
        <v>#N/A</v>
      </c>
      <c r="P476" t="str">
        <f t="shared" si="2"/>
        <v>#N/A</v>
      </c>
      <c r="Q476" t="str">
        <f t="shared" si="3"/>
        <v>#N/A</v>
      </c>
      <c r="R476" t="s">
        <v>2640</v>
      </c>
      <c r="S476" s="417" t="s">
        <v>2640</v>
      </c>
      <c r="T476" t="s">
        <v>2640</v>
      </c>
      <c r="U476" t="s">
        <v>2640</v>
      </c>
      <c r="V476" t="s">
        <v>2640</v>
      </c>
      <c r="W476" t="str">
        <f t="shared" si="1"/>
        <v/>
      </c>
    </row>
    <row r="477">
      <c r="A477" s="448"/>
      <c r="B477" s="455"/>
      <c r="C477" s="448"/>
      <c r="D477" s="448"/>
      <c r="E477" s="448"/>
      <c r="F477" s="448"/>
      <c r="G477" s="448"/>
      <c r="O477" t="str">
        <f>IFERROR(__xludf.DUMMYFUNCTION("regexextract(B477,""[\w]* [\w]*"")"),"#N/A")</f>
        <v>#N/A</v>
      </c>
      <c r="P477" t="str">
        <f t="shared" si="2"/>
        <v>#N/A</v>
      </c>
      <c r="Q477" t="str">
        <f t="shared" si="3"/>
        <v>#N/A</v>
      </c>
      <c r="R477" t="s">
        <v>2640</v>
      </c>
      <c r="S477" s="417" t="s">
        <v>2640</v>
      </c>
      <c r="T477" t="s">
        <v>2640</v>
      </c>
      <c r="U477" t="s">
        <v>2640</v>
      </c>
      <c r="V477" t="s">
        <v>2640</v>
      </c>
      <c r="W477" t="str">
        <f t="shared" si="1"/>
        <v/>
      </c>
    </row>
    <row r="478">
      <c r="A478" s="452"/>
      <c r="B478" s="458"/>
      <c r="C478" s="452"/>
      <c r="D478" s="452"/>
      <c r="E478" s="452"/>
      <c r="F478" s="452"/>
      <c r="G478" s="452"/>
      <c r="O478" t="str">
        <f>IFERROR(__xludf.DUMMYFUNCTION("regexextract(B478,""[\w]* [\w]*"")"),"#N/A")</f>
        <v>#N/A</v>
      </c>
      <c r="P478" t="str">
        <f t="shared" si="2"/>
        <v>#N/A</v>
      </c>
      <c r="Q478" t="str">
        <f t="shared" si="3"/>
        <v>#N/A</v>
      </c>
      <c r="R478" t="s">
        <v>2640</v>
      </c>
      <c r="S478" s="417" t="s">
        <v>2640</v>
      </c>
      <c r="T478" t="s">
        <v>2640</v>
      </c>
      <c r="U478" t="s">
        <v>2640</v>
      </c>
      <c r="V478" t="s">
        <v>2640</v>
      </c>
      <c r="W478" t="str">
        <f t="shared" si="1"/>
        <v/>
      </c>
    </row>
    <row r="479">
      <c r="A479" s="448"/>
      <c r="B479" s="455"/>
      <c r="C479" s="448"/>
      <c r="D479" s="448"/>
      <c r="E479" s="448"/>
      <c r="F479" s="448"/>
      <c r="G479" s="448"/>
      <c r="O479" t="str">
        <f>IFERROR(__xludf.DUMMYFUNCTION("regexextract(B479,""[\w]* [\w]*"")"),"#N/A")</f>
        <v>#N/A</v>
      </c>
      <c r="P479" t="str">
        <f t="shared" si="2"/>
        <v>#N/A</v>
      </c>
      <c r="Q479" t="str">
        <f t="shared" si="3"/>
        <v>#N/A</v>
      </c>
      <c r="R479" t="s">
        <v>2640</v>
      </c>
      <c r="S479" s="417" t="s">
        <v>2640</v>
      </c>
      <c r="T479" t="s">
        <v>2640</v>
      </c>
      <c r="U479" t="s">
        <v>2640</v>
      </c>
      <c r="V479" t="s">
        <v>2640</v>
      </c>
      <c r="W479" t="str">
        <f t="shared" si="1"/>
        <v/>
      </c>
    </row>
    <row r="480">
      <c r="A480" s="452"/>
      <c r="B480" s="458"/>
      <c r="C480" s="452"/>
      <c r="D480" s="452"/>
      <c r="E480" s="452"/>
      <c r="F480" s="452"/>
      <c r="G480" s="452"/>
      <c r="O480" t="str">
        <f>IFERROR(__xludf.DUMMYFUNCTION("regexextract(B480,""[\w]* [\w]*"")"),"#N/A")</f>
        <v>#N/A</v>
      </c>
      <c r="P480" t="str">
        <f t="shared" si="2"/>
        <v>#N/A</v>
      </c>
      <c r="Q480" t="str">
        <f t="shared" si="3"/>
        <v>#N/A</v>
      </c>
      <c r="R480" t="s">
        <v>2640</v>
      </c>
      <c r="S480" s="417" t="s">
        <v>2640</v>
      </c>
      <c r="T480" t="s">
        <v>2640</v>
      </c>
      <c r="U480" t="s">
        <v>2640</v>
      </c>
      <c r="V480" t="s">
        <v>2640</v>
      </c>
      <c r="W480" t="str">
        <f t="shared" si="1"/>
        <v/>
      </c>
    </row>
    <row r="481">
      <c r="A481" s="448"/>
      <c r="B481" s="455"/>
      <c r="C481" s="448"/>
      <c r="D481" s="448"/>
      <c r="E481" s="448"/>
      <c r="F481" s="448"/>
      <c r="G481" s="448"/>
      <c r="O481" t="str">
        <f>IFERROR(__xludf.DUMMYFUNCTION("regexextract(B481,""[\w]* [\w]*"")"),"#N/A")</f>
        <v>#N/A</v>
      </c>
      <c r="P481" t="str">
        <f t="shared" si="2"/>
        <v>#N/A</v>
      </c>
      <c r="Q481" t="str">
        <f t="shared" si="3"/>
        <v>#N/A</v>
      </c>
      <c r="R481" t="s">
        <v>2640</v>
      </c>
      <c r="S481" s="417" t="s">
        <v>2640</v>
      </c>
      <c r="T481" t="s">
        <v>2640</v>
      </c>
      <c r="U481" t="s">
        <v>2640</v>
      </c>
      <c r="V481" t="s">
        <v>2640</v>
      </c>
      <c r="W481" t="str">
        <f t="shared" si="1"/>
        <v/>
      </c>
    </row>
    <row r="482">
      <c r="A482" s="452"/>
      <c r="B482" s="458"/>
      <c r="C482" s="452"/>
      <c r="D482" s="452"/>
      <c r="E482" s="452"/>
      <c r="F482" s="452"/>
      <c r="G482" s="452"/>
      <c r="O482" t="str">
        <f>IFERROR(__xludf.DUMMYFUNCTION("regexextract(B482,""[\w]* [\w]*"")"),"#N/A")</f>
        <v>#N/A</v>
      </c>
      <c r="P482" t="str">
        <f t="shared" si="2"/>
        <v>#N/A</v>
      </c>
      <c r="Q482" t="str">
        <f t="shared" si="3"/>
        <v>#N/A</v>
      </c>
      <c r="R482" t="s">
        <v>2640</v>
      </c>
      <c r="S482" s="417" t="s">
        <v>2640</v>
      </c>
      <c r="T482" t="s">
        <v>2640</v>
      </c>
      <c r="U482" t="s">
        <v>2640</v>
      </c>
      <c r="V482" t="s">
        <v>2640</v>
      </c>
      <c r="W482" t="str">
        <f t="shared" si="1"/>
        <v/>
      </c>
    </row>
    <row r="483">
      <c r="A483" s="448"/>
      <c r="B483" s="455"/>
      <c r="C483" s="448"/>
      <c r="D483" s="448"/>
      <c r="E483" s="448"/>
      <c r="F483" s="448"/>
      <c r="G483" s="448"/>
      <c r="O483" t="str">
        <f>IFERROR(__xludf.DUMMYFUNCTION("regexextract(B483,""[\w]* [\w]*"")"),"#N/A")</f>
        <v>#N/A</v>
      </c>
      <c r="P483" t="str">
        <f t="shared" si="2"/>
        <v>#N/A</v>
      </c>
      <c r="Q483" t="str">
        <f t="shared" si="3"/>
        <v>#N/A</v>
      </c>
      <c r="R483" t="s">
        <v>2640</v>
      </c>
      <c r="S483" s="417" t="s">
        <v>2640</v>
      </c>
      <c r="T483" t="s">
        <v>2640</v>
      </c>
      <c r="U483" t="s">
        <v>2640</v>
      </c>
      <c r="V483" t="s">
        <v>2640</v>
      </c>
      <c r="W483" t="str">
        <f t="shared" si="1"/>
        <v/>
      </c>
    </row>
    <row r="484">
      <c r="A484" s="452"/>
      <c r="B484" s="458"/>
      <c r="C484" s="452"/>
      <c r="D484" s="452"/>
      <c r="E484" s="452"/>
      <c r="F484" s="452"/>
      <c r="G484" s="452"/>
      <c r="O484" t="str">
        <f>IFERROR(__xludf.DUMMYFUNCTION("regexextract(B484,""[\w]* [\w]*"")"),"#N/A")</f>
        <v>#N/A</v>
      </c>
      <c r="P484" t="str">
        <f t="shared" si="2"/>
        <v>#N/A</v>
      </c>
      <c r="Q484" t="str">
        <f t="shared" si="3"/>
        <v>#N/A</v>
      </c>
      <c r="R484" t="s">
        <v>2640</v>
      </c>
      <c r="S484" s="417" t="s">
        <v>2640</v>
      </c>
      <c r="T484" t="s">
        <v>2640</v>
      </c>
      <c r="U484" t="s">
        <v>2640</v>
      </c>
      <c r="V484" t="s">
        <v>2640</v>
      </c>
      <c r="W484" t="str">
        <f t="shared" si="1"/>
        <v/>
      </c>
    </row>
    <row r="485">
      <c r="A485" s="448"/>
      <c r="B485" s="455"/>
      <c r="C485" s="448"/>
      <c r="D485" s="448"/>
      <c r="E485" s="448"/>
      <c r="F485" s="448"/>
      <c r="G485" s="448"/>
      <c r="O485" t="str">
        <f>IFERROR(__xludf.DUMMYFUNCTION("regexextract(B485,""[\w]* [\w]*"")"),"#N/A")</f>
        <v>#N/A</v>
      </c>
      <c r="P485" t="str">
        <f t="shared" si="2"/>
        <v>#N/A</v>
      </c>
      <c r="Q485" t="str">
        <f t="shared" si="3"/>
        <v>#N/A</v>
      </c>
      <c r="R485" t="s">
        <v>2640</v>
      </c>
      <c r="S485" s="417" t="s">
        <v>2640</v>
      </c>
      <c r="T485" t="s">
        <v>2640</v>
      </c>
      <c r="U485" t="s">
        <v>2640</v>
      </c>
      <c r="V485" t="s">
        <v>2640</v>
      </c>
      <c r="W485" t="str">
        <f t="shared" si="1"/>
        <v/>
      </c>
    </row>
    <row r="486">
      <c r="A486" s="452"/>
      <c r="B486" s="458"/>
      <c r="C486" s="452"/>
      <c r="D486" s="453"/>
      <c r="E486" s="452"/>
      <c r="F486" s="453"/>
      <c r="G486" s="452"/>
      <c r="O486" t="str">
        <f>IFERROR(__xludf.DUMMYFUNCTION("regexextract(B486,""[\w]* [\w]*"")"),"#N/A")</f>
        <v>#N/A</v>
      </c>
      <c r="P486" t="str">
        <f t="shared" si="2"/>
        <v>#N/A</v>
      </c>
      <c r="Q486" t="str">
        <f t="shared" si="3"/>
        <v>#N/A</v>
      </c>
      <c r="R486" t="s">
        <v>2640</v>
      </c>
      <c r="S486" s="417" t="s">
        <v>2640</v>
      </c>
      <c r="T486" t="s">
        <v>2640</v>
      </c>
      <c r="U486" t="s">
        <v>2640</v>
      </c>
      <c r="V486" t="s">
        <v>2640</v>
      </c>
      <c r="W486" t="str">
        <f t="shared" si="1"/>
        <v/>
      </c>
    </row>
    <row r="487">
      <c r="A487" s="448"/>
      <c r="B487" s="455"/>
      <c r="C487" s="448"/>
      <c r="D487" s="448"/>
      <c r="E487" s="448"/>
      <c r="F487" s="448"/>
      <c r="G487" s="448"/>
      <c r="O487" t="str">
        <f>IFERROR(__xludf.DUMMYFUNCTION("regexextract(B487,""[\w]* [\w]*"")"),"#N/A")</f>
        <v>#N/A</v>
      </c>
      <c r="P487" t="str">
        <f t="shared" si="2"/>
        <v>#N/A</v>
      </c>
      <c r="Q487" t="str">
        <f t="shared" si="3"/>
        <v>#N/A</v>
      </c>
      <c r="R487" t="s">
        <v>2640</v>
      </c>
      <c r="S487" s="417" t="s">
        <v>2640</v>
      </c>
      <c r="T487" t="s">
        <v>2640</v>
      </c>
      <c r="U487" t="s">
        <v>2640</v>
      </c>
      <c r="V487" t="s">
        <v>2640</v>
      </c>
      <c r="W487" t="str">
        <f t="shared" si="1"/>
        <v/>
      </c>
    </row>
    <row r="488">
      <c r="A488" s="452"/>
      <c r="B488" s="458"/>
      <c r="C488" s="452"/>
      <c r="D488" s="452"/>
      <c r="E488" s="452"/>
      <c r="F488" s="452"/>
      <c r="G488" s="452"/>
      <c r="O488" t="str">
        <f>IFERROR(__xludf.DUMMYFUNCTION("regexextract(B488,""[\w]* [\w]*"")"),"#N/A")</f>
        <v>#N/A</v>
      </c>
      <c r="P488" t="str">
        <f t="shared" si="2"/>
        <v>#N/A</v>
      </c>
      <c r="Q488" t="str">
        <f t="shared" si="3"/>
        <v>#N/A</v>
      </c>
      <c r="R488" t="s">
        <v>2640</v>
      </c>
      <c r="S488" s="417" t="s">
        <v>2640</v>
      </c>
      <c r="T488" t="s">
        <v>2640</v>
      </c>
      <c r="U488" t="s">
        <v>2640</v>
      </c>
      <c r="V488" t="s">
        <v>2640</v>
      </c>
      <c r="W488" t="str">
        <f t="shared" si="1"/>
        <v/>
      </c>
    </row>
    <row r="489">
      <c r="A489" s="448"/>
      <c r="B489" s="455"/>
      <c r="C489" s="448"/>
      <c r="D489" s="448"/>
      <c r="E489" s="448"/>
      <c r="F489" s="448"/>
      <c r="G489" s="448"/>
      <c r="O489" t="str">
        <f>IFERROR(__xludf.DUMMYFUNCTION("regexextract(B489,""[\w]* [\w]*"")"),"#N/A")</f>
        <v>#N/A</v>
      </c>
      <c r="P489" t="str">
        <f t="shared" si="2"/>
        <v>#N/A</v>
      </c>
      <c r="Q489" t="str">
        <f t="shared" si="3"/>
        <v>#N/A</v>
      </c>
      <c r="R489" t="s">
        <v>2640</v>
      </c>
      <c r="S489" s="417" t="s">
        <v>2640</v>
      </c>
      <c r="T489" t="s">
        <v>2640</v>
      </c>
      <c r="U489" t="s">
        <v>2640</v>
      </c>
      <c r="V489" t="s">
        <v>2640</v>
      </c>
      <c r="W489" t="str">
        <f t="shared" si="1"/>
        <v/>
      </c>
    </row>
    <row r="490">
      <c r="A490" s="452"/>
      <c r="B490" s="458"/>
      <c r="C490" s="452"/>
      <c r="D490" s="452"/>
      <c r="E490" s="452"/>
      <c r="F490" s="452"/>
      <c r="G490" s="452"/>
      <c r="O490" t="str">
        <f>IFERROR(__xludf.DUMMYFUNCTION("regexextract(B490,""[\w]* [\w]*"")"),"#N/A")</f>
        <v>#N/A</v>
      </c>
      <c r="P490" t="str">
        <f t="shared" si="2"/>
        <v>#N/A</v>
      </c>
      <c r="Q490" t="str">
        <f t="shared" si="3"/>
        <v>#N/A</v>
      </c>
      <c r="R490" t="s">
        <v>2640</v>
      </c>
      <c r="S490" s="417" t="s">
        <v>2640</v>
      </c>
      <c r="T490" t="s">
        <v>2640</v>
      </c>
      <c r="U490" t="s">
        <v>2640</v>
      </c>
      <c r="V490" t="s">
        <v>2640</v>
      </c>
      <c r="W490" t="str">
        <f t="shared" si="1"/>
        <v/>
      </c>
    </row>
    <row r="491">
      <c r="A491" s="448"/>
      <c r="B491" s="455"/>
      <c r="C491" s="448"/>
      <c r="D491" s="448"/>
      <c r="E491" s="448"/>
      <c r="F491" s="448"/>
      <c r="G491" s="448"/>
      <c r="O491" t="str">
        <f>IFERROR(__xludf.DUMMYFUNCTION("regexextract(B491,""[\w]* [\w]*"")"),"#N/A")</f>
        <v>#N/A</v>
      </c>
      <c r="P491" t="str">
        <f t="shared" si="2"/>
        <v>#N/A</v>
      </c>
      <c r="Q491" t="str">
        <f t="shared" si="3"/>
        <v>#N/A</v>
      </c>
      <c r="R491" t="s">
        <v>2640</v>
      </c>
      <c r="S491" s="417" t="s">
        <v>2640</v>
      </c>
      <c r="T491" t="s">
        <v>2640</v>
      </c>
      <c r="U491" t="s">
        <v>2640</v>
      </c>
      <c r="V491" t="s">
        <v>2640</v>
      </c>
      <c r="W491" t="str">
        <f t="shared" si="1"/>
        <v/>
      </c>
    </row>
    <row r="492">
      <c r="A492" s="452"/>
      <c r="B492" s="458"/>
      <c r="C492" s="452"/>
      <c r="D492" s="452"/>
      <c r="E492" s="452"/>
      <c r="F492" s="452"/>
      <c r="G492" s="452"/>
      <c r="O492" t="str">
        <f>IFERROR(__xludf.DUMMYFUNCTION("regexextract(B492,""[\w]* [\w]*"")"),"#N/A")</f>
        <v>#N/A</v>
      </c>
      <c r="P492" t="str">
        <f t="shared" si="2"/>
        <v>#N/A</v>
      </c>
      <c r="Q492" t="str">
        <f t="shared" si="3"/>
        <v>#N/A</v>
      </c>
      <c r="R492" t="s">
        <v>2640</v>
      </c>
      <c r="S492" s="417" t="s">
        <v>2640</v>
      </c>
      <c r="T492" t="s">
        <v>2640</v>
      </c>
      <c r="U492" t="s">
        <v>2640</v>
      </c>
      <c r="V492" t="s">
        <v>2640</v>
      </c>
      <c r="W492" t="str">
        <f t="shared" si="1"/>
        <v/>
      </c>
    </row>
    <row r="493">
      <c r="A493" s="448"/>
      <c r="B493" s="455"/>
      <c r="C493" s="448"/>
      <c r="D493" s="448"/>
      <c r="E493" s="448"/>
      <c r="F493" s="448"/>
      <c r="G493" s="448"/>
      <c r="O493" t="str">
        <f>IFERROR(__xludf.DUMMYFUNCTION("regexextract(B493,""[\w]* [\w]*"")"),"#N/A")</f>
        <v>#N/A</v>
      </c>
      <c r="P493" t="str">
        <f t="shared" si="2"/>
        <v>#N/A</v>
      </c>
      <c r="Q493" t="str">
        <f t="shared" si="3"/>
        <v>#N/A</v>
      </c>
      <c r="R493" t="s">
        <v>2640</v>
      </c>
      <c r="S493" s="417" t="s">
        <v>2640</v>
      </c>
      <c r="T493" t="s">
        <v>2640</v>
      </c>
      <c r="U493" t="s">
        <v>2640</v>
      </c>
      <c r="V493" t="s">
        <v>2640</v>
      </c>
      <c r="W493" t="str">
        <f t="shared" si="1"/>
        <v/>
      </c>
    </row>
    <row r="494">
      <c r="A494" s="452"/>
      <c r="B494" s="458"/>
      <c r="C494" s="452"/>
      <c r="D494" s="452"/>
      <c r="E494" s="452"/>
      <c r="F494" s="452"/>
      <c r="G494" s="452"/>
      <c r="O494" t="str">
        <f>IFERROR(__xludf.DUMMYFUNCTION("regexextract(B494,""[\w]* [\w]*"")"),"#N/A")</f>
        <v>#N/A</v>
      </c>
      <c r="P494" t="str">
        <f t="shared" si="2"/>
        <v>#N/A</v>
      </c>
      <c r="Q494" t="str">
        <f t="shared" si="3"/>
        <v>#N/A</v>
      </c>
      <c r="R494" t="s">
        <v>2640</v>
      </c>
      <c r="S494" s="417" t="s">
        <v>2640</v>
      </c>
      <c r="T494" t="s">
        <v>2640</v>
      </c>
      <c r="U494" t="s">
        <v>2640</v>
      </c>
      <c r="V494" t="s">
        <v>2640</v>
      </c>
      <c r="W494" t="str">
        <f t="shared" si="1"/>
        <v/>
      </c>
    </row>
    <row r="495">
      <c r="A495" s="448"/>
      <c r="B495" s="455"/>
      <c r="C495" s="448"/>
      <c r="D495" s="448"/>
      <c r="E495" s="448"/>
      <c r="F495" s="448"/>
      <c r="G495" s="448"/>
      <c r="O495" t="str">
        <f>IFERROR(__xludf.DUMMYFUNCTION("regexextract(B495,""[\w]* [\w]*"")"),"#N/A")</f>
        <v>#N/A</v>
      </c>
      <c r="P495" t="str">
        <f t="shared" si="2"/>
        <v>#N/A</v>
      </c>
      <c r="Q495" t="str">
        <f t="shared" si="3"/>
        <v>#N/A</v>
      </c>
      <c r="R495" t="s">
        <v>2640</v>
      </c>
      <c r="S495" s="417" t="s">
        <v>2640</v>
      </c>
      <c r="T495" t="s">
        <v>2640</v>
      </c>
      <c r="U495" t="s">
        <v>2640</v>
      </c>
      <c r="V495" t="s">
        <v>2640</v>
      </c>
      <c r="W495" t="str">
        <f t="shared" si="1"/>
        <v/>
      </c>
    </row>
    <row r="496">
      <c r="A496" s="452"/>
      <c r="B496" s="458"/>
      <c r="C496" s="452"/>
      <c r="D496" s="452"/>
      <c r="E496" s="452"/>
      <c r="F496" s="452"/>
      <c r="G496" s="452"/>
      <c r="O496" t="str">
        <f>IFERROR(__xludf.DUMMYFUNCTION("regexextract(B496,""[\w]* [\w]*"")"),"#N/A")</f>
        <v>#N/A</v>
      </c>
      <c r="P496" t="str">
        <f t="shared" si="2"/>
        <v>#N/A</v>
      </c>
      <c r="Q496" t="str">
        <f t="shared" si="3"/>
        <v>#N/A</v>
      </c>
      <c r="R496" t="s">
        <v>2640</v>
      </c>
      <c r="S496" s="417" t="s">
        <v>2640</v>
      </c>
      <c r="T496" t="s">
        <v>2640</v>
      </c>
      <c r="U496" t="s">
        <v>2640</v>
      </c>
      <c r="V496" t="s">
        <v>2640</v>
      </c>
      <c r="W496" t="str">
        <f t="shared" si="1"/>
        <v/>
      </c>
    </row>
    <row r="497">
      <c r="A497" s="448"/>
      <c r="B497" s="455"/>
      <c r="C497" s="448"/>
      <c r="D497" s="448"/>
      <c r="E497" s="448"/>
      <c r="F497" s="448"/>
      <c r="G497" s="448"/>
      <c r="O497" t="str">
        <f>IFERROR(__xludf.DUMMYFUNCTION("regexextract(B497,""[\w]* [\w]*"")"),"#N/A")</f>
        <v>#N/A</v>
      </c>
      <c r="P497" t="str">
        <f t="shared" si="2"/>
        <v>#N/A</v>
      </c>
      <c r="Q497" t="str">
        <f t="shared" si="3"/>
        <v>#N/A</v>
      </c>
      <c r="R497" t="s">
        <v>2640</v>
      </c>
      <c r="S497" s="417" t="s">
        <v>2640</v>
      </c>
      <c r="T497" t="s">
        <v>2640</v>
      </c>
      <c r="U497" t="s">
        <v>2640</v>
      </c>
      <c r="V497" t="s">
        <v>2640</v>
      </c>
      <c r="W497" t="str">
        <f t="shared" si="1"/>
        <v/>
      </c>
    </row>
    <row r="498">
      <c r="A498" s="452"/>
      <c r="B498" s="458"/>
      <c r="C498" s="452"/>
      <c r="D498" s="462"/>
      <c r="E498" s="452"/>
      <c r="F498" s="452"/>
      <c r="G498" s="452"/>
      <c r="O498" t="str">
        <f>IFERROR(__xludf.DUMMYFUNCTION("regexextract(B498,""[\w]* [\w]*"")"),"#N/A")</f>
        <v>#N/A</v>
      </c>
      <c r="P498" t="str">
        <f t="shared" si="2"/>
        <v>#N/A</v>
      </c>
      <c r="Q498" t="str">
        <f t="shared" si="3"/>
        <v>#N/A</v>
      </c>
      <c r="R498" t="s">
        <v>2640</v>
      </c>
      <c r="S498" s="417" t="s">
        <v>2640</v>
      </c>
      <c r="T498" t="s">
        <v>2640</v>
      </c>
      <c r="U498" t="s">
        <v>2640</v>
      </c>
      <c r="V498" t="s">
        <v>2640</v>
      </c>
      <c r="W498" t="str">
        <f t="shared" si="1"/>
        <v/>
      </c>
    </row>
    <row r="499">
      <c r="A499" s="448"/>
      <c r="B499" s="455"/>
      <c r="C499" s="448"/>
      <c r="D499" s="448"/>
      <c r="E499" s="448"/>
      <c r="F499" s="448"/>
      <c r="G499" s="448"/>
      <c r="O499" t="str">
        <f>IFERROR(__xludf.DUMMYFUNCTION("regexextract(B499,""[\w]* [\w]*"")"),"#N/A")</f>
        <v>#N/A</v>
      </c>
      <c r="P499" t="str">
        <f t="shared" si="2"/>
        <v>#N/A</v>
      </c>
      <c r="Q499" t="str">
        <f t="shared" si="3"/>
        <v>#N/A</v>
      </c>
      <c r="R499" t="s">
        <v>2640</v>
      </c>
      <c r="S499" s="417" t="s">
        <v>2640</v>
      </c>
      <c r="T499" t="s">
        <v>2640</v>
      </c>
      <c r="U499" t="s">
        <v>2640</v>
      </c>
      <c r="V499" t="s">
        <v>2640</v>
      </c>
      <c r="W499" t="str">
        <f t="shared" si="1"/>
        <v/>
      </c>
    </row>
    <row r="500">
      <c r="A500" s="452"/>
      <c r="B500" s="458"/>
      <c r="C500" s="452"/>
      <c r="D500" s="452"/>
      <c r="E500" s="452"/>
      <c r="F500" s="452"/>
      <c r="G500" s="452"/>
      <c r="O500" t="str">
        <f>IFERROR(__xludf.DUMMYFUNCTION("regexextract(B500,""[\w]* [\w]*"")"),"#N/A")</f>
        <v>#N/A</v>
      </c>
      <c r="P500" t="str">
        <f t="shared" si="2"/>
        <v>#N/A</v>
      </c>
      <c r="Q500" t="str">
        <f t="shared" si="3"/>
        <v>#N/A</v>
      </c>
      <c r="R500" t="s">
        <v>2640</v>
      </c>
      <c r="S500" s="417" t="s">
        <v>2640</v>
      </c>
      <c r="T500" t="s">
        <v>2640</v>
      </c>
      <c r="U500" t="s">
        <v>2640</v>
      </c>
      <c r="V500" t="s">
        <v>2640</v>
      </c>
      <c r="W500" t="str">
        <f t="shared" si="1"/>
        <v/>
      </c>
    </row>
    <row r="501">
      <c r="R501" t="s">
        <v>2640</v>
      </c>
      <c r="S501" t="s">
        <v>2640</v>
      </c>
      <c r="T501" t="s">
        <v>2640</v>
      </c>
      <c r="U501" t="s">
        <v>2640</v>
      </c>
      <c r="V501" t="s">
        <v>2640</v>
      </c>
    </row>
    <row r="502">
      <c r="R502" t="s">
        <v>2640</v>
      </c>
      <c r="S502" t="s">
        <v>2640</v>
      </c>
      <c r="T502" t="s">
        <v>2640</v>
      </c>
      <c r="U502" t="s">
        <v>2640</v>
      </c>
      <c r="V502" t="s">
        <v>2640</v>
      </c>
    </row>
    <row r="503">
      <c r="R503" t="s">
        <v>2640</v>
      </c>
      <c r="S503" t="s">
        <v>2640</v>
      </c>
      <c r="T503" t="s">
        <v>2640</v>
      </c>
      <c r="U503" t="s">
        <v>2640</v>
      </c>
      <c r="V503" t="s">
        <v>2640</v>
      </c>
    </row>
    <row r="504">
      <c r="R504" t="s">
        <v>2640</v>
      </c>
      <c r="S504" t="s">
        <v>2640</v>
      </c>
      <c r="T504" t="s">
        <v>2640</v>
      </c>
      <c r="U504" t="s">
        <v>2640</v>
      </c>
      <c r="V504" t="s">
        <v>2640</v>
      </c>
    </row>
    <row r="505">
      <c r="R505" t="s">
        <v>2640</v>
      </c>
      <c r="S505" t="s">
        <v>2640</v>
      </c>
      <c r="T505" t="s">
        <v>2640</v>
      </c>
      <c r="U505" t="s">
        <v>2640</v>
      </c>
      <c r="V505" t="s">
        <v>2640</v>
      </c>
    </row>
    <row r="506">
      <c r="R506" t="s">
        <v>2640</v>
      </c>
      <c r="S506" t="s">
        <v>2640</v>
      </c>
      <c r="T506" t="s">
        <v>2640</v>
      </c>
      <c r="U506" t="s">
        <v>2640</v>
      </c>
      <c r="V506" t="s">
        <v>2640</v>
      </c>
    </row>
    <row r="507">
      <c r="R507" t="s">
        <v>2640</v>
      </c>
      <c r="S507" t="s">
        <v>2640</v>
      </c>
      <c r="T507" t="s">
        <v>2640</v>
      </c>
      <c r="U507" t="s">
        <v>2640</v>
      </c>
      <c r="V507" t="s">
        <v>2640</v>
      </c>
    </row>
    <row r="508">
      <c r="R508" t="s">
        <v>2640</v>
      </c>
      <c r="S508" t="s">
        <v>2640</v>
      </c>
      <c r="T508" t="s">
        <v>2640</v>
      </c>
      <c r="U508" t="s">
        <v>2640</v>
      </c>
      <c r="V508" t="s">
        <v>2640</v>
      </c>
    </row>
    <row r="509">
      <c r="R509" t="s">
        <v>2640</v>
      </c>
      <c r="S509" t="s">
        <v>2640</v>
      </c>
      <c r="T509" t="s">
        <v>2640</v>
      </c>
      <c r="U509" t="s">
        <v>2640</v>
      </c>
      <c r="V509" t="s">
        <v>2640</v>
      </c>
    </row>
    <row r="510">
      <c r="R510" t="s">
        <v>2640</v>
      </c>
      <c r="S510" t="s">
        <v>2640</v>
      </c>
      <c r="T510" t="s">
        <v>2640</v>
      </c>
      <c r="U510" t="s">
        <v>2640</v>
      </c>
      <c r="V510" t="s">
        <v>2640</v>
      </c>
    </row>
    <row r="511">
      <c r="R511" t="s">
        <v>2640</v>
      </c>
      <c r="S511" t="s">
        <v>2640</v>
      </c>
      <c r="T511" t="s">
        <v>2640</v>
      </c>
      <c r="U511" t="s">
        <v>2640</v>
      </c>
      <c r="V511" t="s">
        <v>2640</v>
      </c>
    </row>
    <row r="512">
      <c r="R512" t="s">
        <v>2640</v>
      </c>
      <c r="S512" t="s">
        <v>2640</v>
      </c>
      <c r="T512" t="s">
        <v>2640</v>
      </c>
      <c r="U512" t="s">
        <v>2640</v>
      </c>
      <c r="V512" t="s">
        <v>2640</v>
      </c>
    </row>
    <row r="513">
      <c r="R513" t="s">
        <v>2640</v>
      </c>
      <c r="S513" t="s">
        <v>2640</v>
      </c>
      <c r="T513" t="s">
        <v>2640</v>
      </c>
      <c r="U513" t="s">
        <v>2640</v>
      </c>
      <c r="V513" t="s">
        <v>2640</v>
      </c>
    </row>
    <row r="514">
      <c r="R514" t="s">
        <v>2640</v>
      </c>
      <c r="S514" t="s">
        <v>2640</v>
      </c>
      <c r="T514" t="s">
        <v>2640</v>
      </c>
      <c r="U514" t="s">
        <v>2640</v>
      </c>
      <c r="V514" t="s">
        <v>2640</v>
      </c>
    </row>
    <row r="515">
      <c r="R515" t="s">
        <v>2640</v>
      </c>
      <c r="S515" t="s">
        <v>2640</v>
      </c>
      <c r="T515" t="s">
        <v>2640</v>
      </c>
      <c r="U515" t="s">
        <v>2640</v>
      </c>
      <c r="V515" t="s">
        <v>2640</v>
      </c>
    </row>
    <row r="516">
      <c r="R516" t="s">
        <v>2640</v>
      </c>
      <c r="S516" t="s">
        <v>2640</v>
      </c>
      <c r="T516" t="s">
        <v>2640</v>
      </c>
      <c r="U516" t="s">
        <v>2640</v>
      </c>
      <c r="V516" t="s">
        <v>2640</v>
      </c>
    </row>
    <row r="517">
      <c r="R517" t="s">
        <v>2640</v>
      </c>
      <c r="S517" t="s">
        <v>2640</v>
      </c>
      <c r="T517" t="s">
        <v>2640</v>
      </c>
      <c r="U517" t="s">
        <v>2640</v>
      </c>
      <c r="V517" t="s">
        <v>2640</v>
      </c>
    </row>
    <row r="518">
      <c r="R518" t="s">
        <v>2640</v>
      </c>
      <c r="S518" t="s">
        <v>2640</v>
      </c>
      <c r="T518" t="s">
        <v>2640</v>
      </c>
      <c r="U518" t="s">
        <v>2640</v>
      </c>
      <c r="V518" t="s">
        <v>2640</v>
      </c>
    </row>
    <row r="519">
      <c r="R519" t="s">
        <v>2640</v>
      </c>
      <c r="S519" t="s">
        <v>2640</v>
      </c>
      <c r="T519" t="s">
        <v>2640</v>
      </c>
      <c r="U519" t="s">
        <v>2640</v>
      </c>
      <c r="V519" t="s">
        <v>2640</v>
      </c>
    </row>
    <row r="520">
      <c r="R520" t="s">
        <v>2640</v>
      </c>
      <c r="S520" t="s">
        <v>2640</v>
      </c>
      <c r="T520" t="s">
        <v>2640</v>
      </c>
      <c r="U520" t="s">
        <v>2640</v>
      </c>
      <c r="V520" t="s">
        <v>2640</v>
      </c>
    </row>
    <row r="521">
      <c r="R521" t="s">
        <v>2640</v>
      </c>
      <c r="S521" t="s">
        <v>2640</v>
      </c>
      <c r="T521" t="s">
        <v>2640</v>
      </c>
      <c r="U521" t="s">
        <v>2640</v>
      </c>
      <c r="V521" t="s">
        <v>2640</v>
      </c>
    </row>
    <row r="522">
      <c r="R522" t="s">
        <v>2640</v>
      </c>
      <c r="S522" t="s">
        <v>2640</v>
      </c>
      <c r="T522" t="s">
        <v>2640</v>
      </c>
      <c r="U522" t="s">
        <v>2640</v>
      </c>
      <c r="V522" t="s">
        <v>2640</v>
      </c>
    </row>
    <row r="523">
      <c r="R523" t="s">
        <v>2640</v>
      </c>
      <c r="S523" t="s">
        <v>2640</v>
      </c>
      <c r="T523" t="s">
        <v>2640</v>
      </c>
      <c r="U523" t="s">
        <v>2640</v>
      </c>
      <c r="V523" t="s">
        <v>2640</v>
      </c>
    </row>
    <row r="524">
      <c r="R524" t="s">
        <v>2640</v>
      </c>
      <c r="S524" t="s">
        <v>2640</v>
      </c>
      <c r="T524" t="s">
        <v>2640</v>
      </c>
      <c r="U524" t="s">
        <v>2640</v>
      </c>
      <c r="V524" t="s">
        <v>2640</v>
      </c>
    </row>
    <row r="525">
      <c r="R525" t="s">
        <v>2640</v>
      </c>
      <c r="S525" t="s">
        <v>2640</v>
      </c>
      <c r="T525" t="s">
        <v>2640</v>
      </c>
      <c r="U525" t="s">
        <v>2640</v>
      </c>
      <c r="V525" t="s">
        <v>2640</v>
      </c>
    </row>
    <row r="526">
      <c r="R526" t="s">
        <v>2640</v>
      </c>
      <c r="S526" t="s">
        <v>2640</v>
      </c>
      <c r="T526" t="s">
        <v>2640</v>
      </c>
      <c r="U526" t="s">
        <v>2640</v>
      </c>
      <c r="V526" t="s">
        <v>2640</v>
      </c>
    </row>
    <row r="527">
      <c r="R527" t="s">
        <v>2640</v>
      </c>
      <c r="S527" t="s">
        <v>2640</v>
      </c>
      <c r="T527" t="s">
        <v>2640</v>
      </c>
      <c r="U527" t="s">
        <v>2640</v>
      </c>
      <c r="V527" t="s">
        <v>2640</v>
      </c>
    </row>
    <row r="528">
      <c r="R528" t="s">
        <v>2640</v>
      </c>
      <c r="S528" t="s">
        <v>2640</v>
      </c>
      <c r="T528" t="s">
        <v>2640</v>
      </c>
      <c r="U528" t="s">
        <v>2640</v>
      </c>
      <c r="V528" t="s">
        <v>2640</v>
      </c>
    </row>
    <row r="529">
      <c r="R529" t="s">
        <v>2640</v>
      </c>
      <c r="S529" t="s">
        <v>2640</v>
      </c>
      <c r="T529" t="s">
        <v>2640</v>
      </c>
      <c r="U529" t="s">
        <v>2640</v>
      </c>
      <c r="V529" t="s">
        <v>2640</v>
      </c>
    </row>
    <row r="530">
      <c r="R530" t="s">
        <v>2640</v>
      </c>
      <c r="S530" t="s">
        <v>2640</v>
      </c>
      <c r="T530" t="s">
        <v>2640</v>
      </c>
      <c r="U530" t="s">
        <v>2640</v>
      </c>
      <c r="V530" t="s">
        <v>2640</v>
      </c>
    </row>
    <row r="531">
      <c r="R531" t="s">
        <v>2640</v>
      </c>
      <c r="S531" t="s">
        <v>2640</v>
      </c>
      <c r="T531" t="s">
        <v>2640</v>
      </c>
      <c r="U531" t="s">
        <v>2640</v>
      </c>
      <c r="V531" t="s">
        <v>2640</v>
      </c>
    </row>
    <row r="532">
      <c r="R532" t="s">
        <v>2640</v>
      </c>
      <c r="S532" t="s">
        <v>2640</v>
      </c>
      <c r="T532" t="s">
        <v>2640</v>
      </c>
      <c r="U532" t="s">
        <v>2640</v>
      </c>
      <c r="V532" t="s">
        <v>2640</v>
      </c>
    </row>
    <row r="533">
      <c r="R533" t="s">
        <v>2640</v>
      </c>
      <c r="S533" t="s">
        <v>2640</v>
      </c>
      <c r="T533" t="s">
        <v>2640</v>
      </c>
      <c r="U533" t="s">
        <v>2640</v>
      </c>
      <c r="V533" t="s">
        <v>2640</v>
      </c>
    </row>
    <row r="534">
      <c r="R534" t="s">
        <v>2640</v>
      </c>
      <c r="S534" t="s">
        <v>2640</v>
      </c>
      <c r="T534" t="s">
        <v>2640</v>
      </c>
      <c r="U534" t="s">
        <v>2640</v>
      </c>
      <c r="V534" t="s">
        <v>2640</v>
      </c>
    </row>
    <row r="535">
      <c r="R535" t="s">
        <v>2640</v>
      </c>
      <c r="S535" t="s">
        <v>2640</v>
      </c>
      <c r="T535" t="s">
        <v>2640</v>
      </c>
      <c r="U535" t="s">
        <v>2640</v>
      </c>
      <c r="V535" t="s">
        <v>2640</v>
      </c>
    </row>
    <row r="536">
      <c r="R536" t="s">
        <v>2640</v>
      </c>
      <c r="S536" t="s">
        <v>2640</v>
      </c>
      <c r="T536" t="s">
        <v>2640</v>
      </c>
      <c r="U536" t="s">
        <v>2640</v>
      </c>
      <c r="V536" t="s">
        <v>2640</v>
      </c>
    </row>
    <row r="537">
      <c r="R537" t="s">
        <v>2640</v>
      </c>
      <c r="S537" t="s">
        <v>2640</v>
      </c>
      <c r="T537" t="s">
        <v>2640</v>
      </c>
      <c r="U537" t="s">
        <v>2640</v>
      </c>
      <c r="V537" t="s">
        <v>2640</v>
      </c>
    </row>
    <row r="538">
      <c r="R538" t="s">
        <v>2640</v>
      </c>
      <c r="S538" t="s">
        <v>2640</v>
      </c>
      <c r="T538" t="s">
        <v>2640</v>
      </c>
      <c r="U538" t="s">
        <v>2640</v>
      </c>
      <c r="V538" t="s">
        <v>2640</v>
      </c>
    </row>
    <row r="539">
      <c r="R539" t="s">
        <v>2640</v>
      </c>
      <c r="S539" t="s">
        <v>2640</v>
      </c>
      <c r="T539" t="s">
        <v>2640</v>
      </c>
      <c r="U539" t="s">
        <v>2640</v>
      </c>
      <c r="V539" t="s">
        <v>2640</v>
      </c>
    </row>
    <row r="540">
      <c r="R540" t="s">
        <v>2640</v>
      </c>
      <c r="S540" t="s">
        <v>2640</v>
      </c>
      <c r="T540" t="s">
        <v>2640</v>
      </c>
      <c r="U540" t="s">
        <v>2640</v>
      </c>
      <c r="V540" t="s">
        <v>2640</v>
      </c>
    </row>
    <row r="541">
      <c r="R541" t="s">
        <v>2640</v>
      </c>
      <c r="S541" t="s">
        <v>2640</v>
      </c>
      <c r="T541" t="s">
        <v>2640</v>
      </c>
      <c r="U541" t="s">
        <v>2640</v>
      </c>
      <c r="V541" t="s">
        <v>2640</v>
      </c>
    </row>
    <row r="542">
      <c r="R542" t="s">
        <v>2640</v>
      </c>
      <c r="S542" t="s">
        <v>2640</v>
      </c>
      <c r="T542" t="s">
        <v>2640</v>
      </c>
      <c r="U542" t="s">
        <v>2640</v>
      </c>
      <c r="V542" t="s">
        <v>2640</v>
      </c>
    </row>
    <row r="543">
      <c r="R543" t="s">
        <v>2640</v>
      </c>
      <c r="S543" t="s">
        <v>2640</v>
      </c>
      <c r="T543" t="s">
        <v>2640</v>
      </c>
      <c r="U543" t="s">
        <v>2640</v>
      </c>
      <c r="V543" t="s">
        <v>2640</v>
      </c>
    </row>
    <row r="544">
      <c r="R544" t="s">
        <v>2640</v>
      </c>
      <c r="S544" t="s">
        <v>2640</v>
      </c>
      <c r="T544" t="s">
        <v>2640</v>
      </c>
      <c r="U544" t="s">
        <v>2640</v>
      </c>
      <c r="V544" t="s">
        <v>2640</v>
      </c>
    </row>
    <row r="545">
      <c r="R545" t="s">
        <v>2640</v>
      </c>
      <c r="S545" t="s">
        <v>2640</v>
      </c>
      <c r="T545" t="s">
        <v>2640</v>
      </c>
      <c r="U545" t="s">
        <v>2640</v>
      </c>
      <c r="V545" t="s">
        <v>2640</v>
      </c>
    </row>
    <row r="546">
      <c r="R546" t="s">
        <v>2640</v>
      </c>
      <c r="S546" t="s">
        <v>2640</v>
      </c>
      <c r="T546" t="s">
        <v>2640</v>
      </c>
      <c r="U546" t="s">
        <v>2640</v>
      </c>
      <c r="V546" t="s">
        <v>2640</v>
      </c>
    </row>
    <row r="547">
      <c r="R547" t="s">
        <v>2640</v>
      </c>
      <c r="S547" t="s">
        <v>2640</v>
      </c>
      <c r="T547" t="s">
        <v>2640</v>
      </c>
      <c r="U547" t="s">
        <v>2640</v>
      </c>
      <c r="V547" t="s">
        <v>2640</v>
      </c>
    </row>
    <row r="548">
      <c r="R548" t="s">
        <v>2640</v>
      </c>
      <c r="S548" t="s">
        <v>2640</v>
      </c>
      <c r="T548" t="s">
        <v>2640</v>
      </c>
      <c r="U548" t="s">
        <v>2640</v>
      </c>
      <c r="V548" t="s">
        <v>2640</v>
      </c>
    </row>
    <row r="549">
      <c r="R549" t="s">
        <v>2640</v>
      </c>
      <c r="S549" t="s">
        <v>2640</v>
      </c>
      <c r="T549" t="s">
        <v>2640</v>
      </c>
      <c r="U549" t="s">
        <v>2640</v>
      </c>
      <c r="V549" t="s">
        <v>2640</v>
      </c>
    </row>
    <row r="550">
      <c r="R550" t="s">
        <v>2640</v>
      </c>
      <c r="S550" t="s">
        <v>2640</v>
      </c>
      <c r="T550" t="s">
        <v>2640</v>
      </c>
      <c r="U550" t="s">
        <v>2640</v>
      </c>
      <c r="V550" t="s">
        <v>2640</v>
      </c>
    </row>
    <row r="551">
      <c r="R551" t="s">
        <v>2640</v>
      </c>
      <c r="S551" t="s">
        <v>2640</v>
      </c>
      <c r="T551" t="s">
        <v>2640</v>
      </c>
      <c r="U551" t="s">
        <v>2640</v>
      </c>
      <c r="V551" t="s">
        <v>2640</v>
      </c>
    </row>
    <row r="552">
      <c r="R552" t="s">
        <v>2640</v>
      </c>
      <c r="S552" t="s">
        <v>2640</v>
      </c>
      <c r="T552" t="s">
        <v>2640</v>
      </c>
      <c r="U552" t="s">
        <v>2640</v>
      </c>
      <c r="V552" t="s">
        <v>2640</v>
      </c>
    </row>
    <row r="553">
      <c r="R553" t="s">
        <v>2640</v>
      </c>
      <c r="S553" t="s">
        <v>2640</v>
      </c>
      <c r="T553" t="s">
        <v>2640</v>
      </c>
      <c r="U553" t="s">
        <v>2640</v>
      </c>
      <c r="V553" t="s">
        <v>2640</v>
      </c>
    </row>
    <row r="554">
      <c r="R554" t="s">
        <v>2640</v>
      </c>
      <c r="S554" t="s">
        <v>2640</v>
      </c>
      <c r="T554" t="s">
        <v>2640</v>
      </c>
      <c r="U554" t="s">
        <v>2640</v>
      </c>
      <c r="V554" t="s">
        <v>2640</v>
      </c>
    </row>
    <row r="555">
      <c r="R555" t="s">
        <v>2640</v>
      </c>
      <c r="S555" t="s">
        <v>2640</v>
      </c>
      <c r="T555" t="s">
        <v>2640</v>
      </c>
      <c r="U555" t="s">
        <v>2640</v>
      </c>
      <c r="V555" t="s">
        <v>2640</v>
      </c>
    </row>
    <row r="556">
      <c r="R556" t="s">
        <v>2640</v>
      </c>
      <c r="S556" t="s">
        <v>2640</v>
      </c>
      <c r="T556" t="s">
        <v>2640</v>
      </c>
      <c r="U556" t="s">
        <v>2640</v>
      </c>
      <c r="V556" t="s">
        <v>2640</v>
      </c>
    </row>
    <row r="557">
      <c r="R557" t="s">
        <v>2640</v>
      </c>
      <c r="S557" t="s">
        <v>2640</v>
      </c>
      <c r="T557" t="s">
        <v>2640</v>
      </c>
      <c r="U557" t="s">
        <v>2640</v>
      </c>
      <c r="V557" t="s">
        <v>2640</v>
      </c>
    </row>
    <row r="558">
      <c r="R558" t="s">
        <v>2640</v>
      </c>
      <c r="S558" t="s">
        <v>2640</v>
      </c>
      <c r="T558" t="s">
        <v>2640</v>
      </c>
      <c r="U558" t="s">
        <v>2640</v>
      </c>
      <c r="V558" t="s">
        <v>2640</v>
      </c>
    </row>
    <row r="559">
      <c r="R559" t="s">
        <v>2640</v>
      </c>
      <c r="S559" t="s">
        <v>2640</v>
      </c>
      <c r="T559" t="s">
        <v>2640</v>
      </c>
      <c r="U559" t="s">
        <v>2640</v>
      </c>
      <c r="V559" t="s">
        <v>2640</v>
      </c>
    </row>
    <row r="560">
      <c r="R560" t="s">
        <v>2640</v>
      </c>
      <c r="S560" t="s">
        <v>2640</v>
      </c>
      <c r="T560" t="s">
        <v>2640</v>
      </c>
      <c r="U560" t="s">
        <v>2640</v>
      </c>
      <c r="V560" t="s">
        <v>2640</v>
      </c>
    </row>
    <row r="561">
      <c r="R561" t="s">
        <v>2640</v>
      </c>
      <c r="S561" t="s">
        <v>2640</v>
      </c>
      <c r="T561" t="s">
        <v>2640</v>
      </c>
      <c r="U561" t="s">
        <v>2640</v>
      </c>
      <c r="V561" t="s">
        <v>2640</v>
      </c>
    </row>
    <row r="562">
      <c r="R562" t="s">
        <v>2640</v>
      </c>
      <c r="S562" t="s">
        <v>2640</v>
      </c>
      <c r="T562" t="s">
        <v>2640</v>
      </c>
      <c r="U562" t="s">
        <v>2640</v>
      </c>
      <c r="V562" t="s">
        <v>2640</v>
      </c>
    </row>
    <row r="563">
      <c r="R563" t="s">
        <v>2640</v>
      </c>
      <c r="S563" t="s">
        <v>2640</v>
      </c>
      <c r="T563" t="s">
        <v>2640</v>
      </c>
      <c r="U563" t="s">
        <v>2640</v>
      </c>
      <c r="V563" t="s">
        <v>2640</v>
      </c>
    </row>
    <row r="564">
      <c r="R564" t="s">
        <v>2640</v>
      </c>
      <c r="S564" t="s">
        <v>2640</v>
      </c>
      <c r="T564" t="s">
        <v>2640</v>
      </c>
      <c r="U564" t="s">
        <v>2640</v>
      </c>
      <c r="V564" t="s">
        <v>2640</v>
      </c>
    </row>
    <row r="565">
      <c r="R565" t="s">
        <v>2640</v>
      </c>
      <c r="S565" t="s">
        <v>2640</v>
      </c>
      <c r="T565" t="s">
        <v>2640</v>
      </c>
      <c r="U565" t="s">
        <v>2640</v>
      </c>
      <c r="V565" t="s">
        <v>2640</v>
      </c>
    </row>
    <row r="566">
      <c r="R566" t="s">
        <v>2640</v>
      </c>
      <c r="S566" t="s">
        <v>2640</v>
      </c>
      <c r="T566" t="s">
        <v>2640</v>
      </c>
      <c r="U566" t="s">
        <v>2640</v>
      </c>
      <c r="V566" t="s">
        <v>2640</v>
      </c>
    </row>
    <row r="567">
      <c r="R567" t="s">
        <v>2640</v>
      </c>
      <c r="S567" t="s">
        <v>2640</v>
      </c>
      <c r="T567" t="s">
        <v>2640</v>
      </c>
      <c r="U567" t="s">
        <v>2640</v>
      </c>
      <c r="V567" t="s">
        <v>2640</v>
      </c>
    </row>
    <row r="568">
      <c r="R568" t="s">
        <v>2640</v>
      </c>
      <c r="S568" t="s">
        <v>2640</v>
      </c>
      <c r="T568" t="s">
        <v>2640</v>
      </c>
      <c r="U568" t="s">
        <v>2640</v>
      </c>
      <c r="V568" t="s">
        <v>2640</v>
      </c>
    </row>
    <row r="569">
      <c r="R569" t="s">
        <v>2640</v>
      </c>
      <c r="S569" t="s">
        <v>2640</v>
      </c>
      <c r="T569" t="s">
        <v>2640</v>
      </c>
      <c r="U569" t="s">
        <v>2640</v>
      </c>
      <c r="V569" t="s">
        <v>2640</v>
      </c>
    </row>
    <row r="570">
      <c r="R570" t="s">
        <v>2640</v>
      </c>
      <c r="S570" t="s">
        <v>2640</v>
      </c>
      <c r="T570" t="s">
        <v>2640</v>
      </c>
      <c r="U570" t="s">
        <v>2640</v>
      </c>
      <c r="V570" t="s">
        <v>2640</v>
      </c>
    </row>
    <row r="571">
      <c r="R571" t="s">
        <v>2640</v>
      </c>
      <c r="S571" t="s">
        <v>2640</v>
      </c>
      <c r="T571" t="s">
        <v>2640</v>
      </c>
      <c r="U571" t="s">
        <v>2640</v>
      </c>
      <c r="V571" t="s">
        <v>2640</v>
      </c>
    </row>
    <row r="572">
      <c r="R572" t="s">
        <v>2640</v>
      </c>
      <c r="S572" t="s">
        <v>2640</v>
      </c>
      <c r="T572" t="s">
        <v>2640</v>
      </c>
      <c r="U572" t="s">
        <v>2640</v>
      </c>
      <c r="V572" t="s">
        <v>2640</v>
      </c>
    </row>
    <row r="573">
      <c r="R573" t="s">
        <v>2640</v>
      </c>
      <c r="S573" t="s">
        <v>2640</v>
      </c>
      <c r="T573" t="s">
        <v>2640</v>
      </c>
      <c r="U573" t="s">
        <v>2640</v>
      </c>
      <c r="V573" t="s">
        <v>2640</v>
      </c>
    </row>
    <row r="574">
      <c r="R574" t="s">
        <v>2640</v>
      </c>
      <c r="S574" t="s">
        <v>2640</v>
      </c>
      <c r="T574" t="s">
        <v>2640</v>
      </c>
      <c r="U574" t="s">
        <v>2640</v>
      </c>
      <c r="V574" t="s">
        <v>2640</v>
      </c>
    </row>
    <row r="575">
      <c r="R575" t="s">
        <v>2640</v>
      </c>
      <c r="S575" t="s">
        <v>2640</v>
      </c>
      <c r="T575" t="s">
        <v>2640</v>
      </c>
      <c r="U575" t="s">
        <v>2640</v>
      </c>
      <c r="V575" t="s">
        <v>2640</v>
      </c>
    </row>
    <row r="576">
      <c r="R576" t="s">
        <v>2640</v>
      </c>
      <c r="S576" t="s">
        <v>2640</v>
      </c>
      <c r="T576" t="s">
        <v>2640</v>
      </c>
      <c r="U576" t="s">
        <v>2640</v>
      </c>
      <c r="V576" t="s">
        <v>2640</v>
      </c>
    </row>
    <row r="577">
      <c r="R577" t="s">
        <v>2640</v>
      </c>
      <c r="S577" t="s">
        <v>2640</v>
      </c>
      <c r="T577" t="s">
        <v>2640</v>
      </c>
      <c r="U577" t="s">
        <v>2640</v>
      </c>
      <c r="V577" t="s">
        <v>2640</v>
      </c>
    </row>
    <row r="578">
      <c r="R578" t="s">
        <v>2640</v>
      </c>
      <c r="S578" t="s">
        <v>2640</v>
      </c>
      <c r="T578" t="s">
        <v>2640</v>
      </c>
      <c r="U578" t="s">
        <v>2640</v>
      </c>
      <c r="V578" t="s">
        <v>2640</v>
      </c>
    </row>
    <row r="579">
      <c r="R579" t="s">
        <v>2640</v>
      </c>
      <c r="S579" t="s">
        <v>2640</v>
      </c>
      <c r="T579" t="s">
        <v>2640</v>
      </c>
      <c r="U579" t="s">
        <v>2640</v>
      </c>
      <c r="V579" t="s">
        <v>2640</v>
      </c>
    </row>
    <row r="580">
      <c r="R580" t="s">
        <v>2640</v>
      </c>
      <c r="S580" t="s">
        <v>2640</v>
      </c>
      <c r="T580" t="s">
        <v>2640</v>
      </c>
      <c r="U580" t="s">
        <v>2640</v>
      </c>
      <c r="V580" t="s">
        <v>2640</v>
      </c>
    </row>
    <row r="581">
      <c r="R581" t="s">
        <v>2640</v>
      </c>
      <c r="S581" t="s">
        <v>2640</v>
      </c>
      <c r="T581" t="s">
        <v>2640</v>
      </c>
      <c r="U581" t="s">
        <v>2640</v>
      </c>
      <c r="V581" t="s">
        <v>2640</v>
      </c>
    </row>
    <row r="582">
      <c r="R582" t="s">
        <v>2640</v>
      </c>
      <c r="S582" t="s">
        <v>2640</v>
      </c>
      <c r="T582" t="s">
        <v>2640</v>
      </c>
      <c r="U582" t="s">
        <v>2640</v>
      </c>
      <c r="V582" t="s">
        <v>2640</v>
      </c>
    </row>
    <row r="583">
      <c r="R583" t="s">
        <v>2640</v>
      </c>
      <c r="S583" t="s">
        <v>2640</v>
      </c>
      <c r="T583" t="s">
        <v>2640</v>
      </c>
      <c r="U583" t="s">
        <v>2640</v>
      </c>
      <c r="V583" t="s">
        <v>2640</v>
      </c>
    </row>
    <row r="584">
      <c r="R584" t="s">
        <v>2640</v>
      </c>
      <c r="S584" t="s">
        <v>2640</v>
      </c>
      <c r="T584" t="s">
        <v>2640</v>
      </c>
      <c r="U584" t="s">
        <v>2640</v>
      </c>
      <c r="V584" t="s">
        <v>2640</v>
      </c>
    </row>
    <row r="585">
      <c r="R585" t="s">
        <v>2640</v>
      </c>
      <c r="S585" t="s">
        <v>2640</v>
      </c>
      <c r="T585" t="s">
        <v>2640</v>
      </c>
      <c r="U585" t="s">
        <v>2640</v>
      </c>
      <c r="V585" t="s">
        <v>2640</v>
      </c>
    </row>
    <row r="586">
      <c r="R586" t="s">
        <v>2640</v>
      </c>
      <c r="S586" t="s">
        <v>2640</v>
      </c>
      <c r="T586" t="s">
        <v>2640</v>
      </c>
      <c r="U586" t="s">
        <v>2640</v>
      </c>
      <c r="V586" t="s">
        <v>2640</v>
      </c>
    </row>
    <row r="587">
      <c r="R587" t="s">
        <v>2640</v>
      </c>
      <c r="S587" t="s">
        <v>2640</v>
      </c>
      <c r="T587" t="s">
        <v>2640</v>
      </c>
      <c r="U587" t="s">
        <v>2640</v>
      </c>
      <c r="V587" t="s">
        <v>2640</v>
      </c>
    </row>
    <row r="588">
      <c r="R588" t="s">
        <v>2640</v>
      </c>
      <c r="S588" t="s">
        <v>2640</v>
      </c>
      <c r="T588" t="s">
        <v>2640</v>
      </c>
      <c r="U588" t="s">
        <v>2640</v>
      </c>
      <c r="V588" t="s">
        <v>2640</v>
      </c>
    </row>
    <row r="589">
      <c r="R589" t="s">
        <v>2640</v>
      </c>
      <c r="S589" t="s">
        <v>2640</v>
      </c>
      <c r="T589" t="s">
        <v>2640</v>
      </c>
      <c r="U589" t="s">
        <v>2640</v>
      </c>
      <c r="V589" t="s">
        <v>2640</v>
      </c>
    </row>
    <row r="590">
      <c r="R590" t="s">
        <v>2640</v>
      </c>
      <c r="S590" t="s">
        <v>2640</v>
      </c>
      <c r="T590" t="s">
        <v>2640</v>
      </c>
      <c r="U590" t="s">
        <v>2640</v>
      </c>
      <c r="V590" t="s">
        <v>2640</v>
      </c>
    </row>
    <row r="591">
      <c r="R591" t="s">
        <v>2640</v>
      </c>
      <c r="S591" t="s">
        <v>2640</v>
      </c>
      <c r="T591" t="s">
        <v>2640</v>
      </c>
      <c r="U591" t="s">
        <v>2640</v>
      </c>
      <c r="V591" t="s">
        <v>2640</v>
      </c>
    </row>
    <row r="592">
      <c r="R592" t="s">
        <v>2640</v>
      </c>
      <c r="S592" t="s">
        <v>2640</v>
      </c>
      <c r="T592" t="s">
        <v>2640</v>
      </c>
      <c r="U592" t="s">
        <v>2640</v>
      </c>
      <c r="V592" t="s">
        <v>2640</v>
      </c>
    </row>
    <row r="593">
      <c r="R593" t="s">
        <v>2640</v>
      </c>
      <c r="S593" t="s">
        <v>2640</v>
      </c>
      <c r="T593" t="s">
        <v>2640</v>
      </c>
      <c r="U593" t="s">
        <v>2640</v>
      </c>
      <c r="V593" t="s">
        <v>2640</v>
      </c>
    </row>
    <row r="594">
      <c r="R594" t="s">
        <v>2640</v>
      </c>
      <c r="S594" t="s">
        <v>2640</v>
      </c>
      <c r="T594" t="s">
        <v>2640</v>
      </c>
      <c r="U594" t="s">
        <v>2640</v>
      </c>
      <c r="V594" t="s">
        <v>2640</v>
      </c>
    </row>
    <row r="595">
      <c r="R595" t="s">
        <v>2640</v>
      </c>
      <c r="S595" t="s">
        <v>2640</v>
      </c>
      <c r="T595" t="s">
        <v>2640</v>
      </c>
      <c r="U595" t="s">
        <v>2640</v>
      </c>
      <c r="V595" t="s">
        <v>2640</v>
      </c>
    </row>
    <row r="596">
      <c r="R596" t="s">
        <v>2640</v>
      </c>
      <c r="S596" t="s">
        <v>2640</v>
      </c>
      <c r="T596" t="s">
        <v>2640</v>
      </c>
      <c r="U596" t="s">
        <v>2640</v>
      </c>
      <c r="V596" t="s">
        <v>2640</v>
      </c>
    </row>
    <row r="597">
      <c r="R597" t="s">
        <v>2640</v>
      </c>
      <c r="S597" t="s">
        <v>2640</v>
      </c>
      <c r="T597" t="s">
        <v>2640</v>
      </c>
      <c r="U597" t="s">
        <v>2640</v>
      </c>
      <c r="V597" t="s">
        <v>2640</v>
      </c>
    </row>
    <row r="598">
      <c r="R598" t="s">
        <v>2640</v>
      </c>
      <c r="S598" t="s">
        <v>2640</v>
      </c>
      <c r="T598" t="s">
        <v>2640</v>
      </c>
      <c r="U598" t="s">
        <v>2640</v>
      </c>
      <c r="V598" t="s">
        <v>2640</v>
      </c>
    </row>
    <row r="599">
      <c r="R599" t="s">
        <v>2640</v>
      </c>
      <c r="S599" t="s">
        <v>2640</v>
      </c>
      <c r="T599" t="s">
        <v>2640</v>
      </c>
      <c r="U599" t="s">
        <v>2640</v>
      </c>
      <c r="V599" t="s">
        <v>2640</v>
      </c>
    </row>
    <row r="600">
      <c r="R600" t="s">
        <v>2640</v>
      </c>
      <c r="S600" t="s">
        <v>2640</v>
      </c>
      <c r="T600" t="s">
        <v>2640</v>
      </c>
      <c r="U600" t="s">
        <v>2640</v>
      </c>
      <c r="V600" t="s">
        <v>2640</v>
      </c>
    </row>
    <row r="601">
      <c r="R601" t="s">
        <v>2640</v>
      </c>
      <c r="S601" t="s">
        <v>2640</v>
      </c>
      <c r="T601" t="s">
        <v>2640</v>
      </c>
      <c r="U601" t="s">
        <v>2640</v>
      </c>
      <c r="V601" t="s">
        <v>2640</v>
      </c>
    </row>
    <row r="602">
      <c r="R602" t="s">
        <v>2640</v>
      </c>
      <c r="S602" t="s">
        <v>2640</v>
      </c>
      <c r="T602" t="s">
        <v>2640</v>
      </c>
      <c r="U602" t="s">
        <v>2640</v>
      </c>
      <c r="V602" t="s">
        <v>2640</v>
      </c>
    </row>
    <row r="603">
      <c r="R603" t="s">
        <v>2640</v>
      </c>
      <c r="S603" t="s">
        <v>2640</v>
      </c>
      <c r="T603" t="s">
        <v>2640</v>
      </c>
      <c r="U603" t="s">
        <v>2640</v>
      </c>
      <c r="V603" t="s">
        <v>2640</v>
      </c>
    </row>
    <row r="604">
      <c r="R604" t="s">
        <v>2640</v>
      </c>
      <c r="S604" t="s">
        <v>2640</v>
      </c>
      <c r="T604" t="s">
        <v>2640</v>
      </c>
      <c r="U604" t="s">
        <v>2640</v>
      </c>
      <c r="V604" t="s">
        <v>2640</v>
      </c>
    </row>
    <row r="605">
      <c r="R605" t="s">
        <v>2640</v>
      </c>
      <c r="S605" t="s">
        <v>2640</v>
      </c>
      <c r="T605" t="s">
        <v>2640</v>
      </c>
      <c r="U605" t="s">
        <v>2640</v>
      </c>
      <c r="V605" t="s">
        <v>2640</v>
      </c>
    </row>
    <row r="606">
      <c r="R606" t="s">
        <v>2640</v>
      </c>
      <c r="S606" t="s">
        <v>2640</v>
      </c>
      <c r="T606" t="s">
        <v>2640</v>
      </c>
      <c r="U606" t="s">
        <v>2640</v>
      </c>
      <c r="V606" t="s">
        <v>2640</v>
      </c>
    </row>
    <row r="607">
      <c r="R607" t="s">
        <v>2640</v>
      </c>
      <c r="S607" t="s">
        <v>2640</v>
      </c>
      <c r="T607" t="s">
        <v>2640</v>
      </c>
      <c r="U607" t="s">
        <v>2640</v>
      </c>
      <c r="V607" t="s">
        <v>2640</v>
      </c>
    </row>
    <row r="608">
      <c r="R608" t="s">
        <v>2640</v>
      </c>
      <c r="S608" t="s">
        <v>2640</v>
      </c>
      <c r="T608" t="s">
        <v>2640</v>
      </c>
      <c r="U608" t="s">
        <v>2640</v>
      </c>
      <c r="V608" t="s">
        <v>2640</v>
      </c>
    </row>
    <row r="609">
      <c r="R609" t="s">
        <v>2640</v>
      </c>
      <c r="S609" t="s">
        <v>2640</v>
      </c>
      <c r="T609" t="s">
        <v>2640</v>
      </c>
      <c r="U609" t="s">
        <v>2640</v>
      </c>
      <c r="V609" t="s">
        <v>2640</v>
      </c>
    </row>
    <row r="610">
      <c r="R610" t="s">
        <v>2640</v>
      </c>
      <c r="S610" t="s">
        <v>2640</v>
      </c>
      <c r="T610" t="s">
        <v>2640</v>
      </c>
      <c r="U610" t="s">
        <v>2640</v>
      </c>
      <c r="V610" t="s">
        <v>2640</v>
      </c>
    </row>
    <row r="611">
      <c r="R611" t="s">
        <v>2640</v>
      </c>
      <c r="S611" t="s">
        <v>2640</v>
      </c>
      <c r="T611" t="s">
        <v>2640</v>
      </c>
      <c r="U611" t="s">
        <v>2640</v>
      </c>
      <c r="V611" t="s">
        <v>2640</v>
      </c>
    </row>
    <row r="612">
      <c r="R612" t="s">
        <v>2640</v>
      </c>
      <c r="S612" t="s">
        <v>2640</v>
      </c>
      <c r="T612" t="s">
        <v>2640</v>
      </c>
      <c r="U612" t="s">
        <v>2640</v>
      </c>
      <c r="V612" t="s">
        <v>2640</v>
      </c>
    </row>
    <row r="613">
      <c r="R613" t="s">
        <v>2640</v>
      </c>
      <c r="S613" t="s">
        <v>2640</v>
      </c>
      <c r="T613" t="s">
        <v>2640</v>
      </c>
      <c r="U613" t="s">
        <v>2640</v>
      </c>
      <c r="V613" t="s">
        <v>2640</v>
      </c>
    </row>
    <row r="614">
      <c r="R614" t="s">
        <v>2640</v>
      </c>
      <c r="S614" t="s">
        <v>2640</v>
      </c>
      <c r="T614" t="s">
        <v>2640</v>
      </c>
      <c r="U614" t="s">
        <v>2640</v>
      </c>
      <c r="V614" t="s">
        <v>2640</v>
      </c>
    </row>
    <row r="615">
      <c r="R615" t="s">
        <v>2640</v>
      </c>
      <c r="S615" t="s">
        <v>2640</v>
      </c>
      <c r="T615" t="s">
        <v>2640</v>
      </c>
      <c r="U615" t="s">
        <v>2640</v>
      </c>
      <c r="V615" t="s">
        <v>2640</v>
      </c>
    </row>
    <row r="616">
      <c r="R616" t="s">
        <v>2640</v>
      </c>
      <c r="S616" t="s">
        <v>2640</v>
      </c>
      <c r="T616" t="s">
        <v>2640</v>
      </c>
      <c r="U616" t="s">
        <v>2640</v>
      </c>
      <c r="V616" t="s">
        <v>2640</v>
      </c>
    </row>
    <row r="617">
      <c r="R617" t="s">
        <v>2640</v>
      </c>
      <c r="S617" t="s">
        <v>2640</v>
      </c>
      <c r="T617" t="s">
        <v>2640</v>
      </c>
      <c r="U617" t="s">
        <v>2640</v>
      </c>
      <c r="V617" t="s">
        <v>2640</v>
      </c>
    </row>
    <row r="618">
      <c r="R618" t="s">
        <v>2640</v>
      </c>
      <c r="S618" t="s">
        <v>2640</v>
      </c>
      <c r="T618" t="s">
        <v>2640</v>
      </c>
      <c r="U618" t="s">
        <v>2640</v>
      </c>
      <c r="V618" t="s">
        <v>2640</v>
      </c>
    </row>
    <row r="619">
      <c r="R619" t="s">
        <v>2640</v>
      </c>
      <c r="S619" t="s">
        <v>2640</v>
      </c>
      <c r="T619" t="s">
        <v>2640</v>
      </c>
      <c r="U619" t="s">
        <v>2640</v>
      </c>
      <c r="V619" t="s">
        <v>2640</v>
      </c>
    </row>
    <row r="620">
      <c r="R620" t="s">
        <v>2640</v>
      </c>
      <c r="S620" t="s">
        <v>2640</v>
      </c>
      <c r="T620" t="s">
        <v>2640</v>
      </c>
      <c r="U620" t="s">
        <v>2640</v>
      </c>
      <c r="V620" t="s">
        <v>2640</v>
      </c>
    </row>
    <row r="621">
      <c r="R621" t="s">
        <v>2640</v>
      </c>
      <c r="S621" t="s">
        <v>2640</v>
      </c>
      <c r="T621" t="s">
        <v>2640</v>
      </c>
      <c r="U621" t="s">
        <v>2640</v>
      </c>
      <c r="V621" t="s">
        <v>2640</v>
      </c>
    </row>
    <row r="622">
      <c r="R622" t="s">
        <v>2640</v>
      </c>
      <c r="S622" t="s">
        <v>2640</v>
      </c>
      <c r="T622" t="s">
        <v>2640</v>
      </c>
      <c r="U622" t="s">
        <v>2640</v>
      </c>
      <c r="V622" t="s">
        <v>2640</v>
      </c>
    </row>
    <row r="623">
      <c r="R623" t="s">
        <v>2640</v>
      </c>
      <c r="S623" t="s">
        <v>2640</v>
      </c>
      <c r="T623" t="s">
        <v>2640</v>
      </c>
      <c r="U623" t="s">
        <v>2640</v>
      </c>
      <c r="V623" t="s">
        <v>2640</v>
      </c>
    </row>
    <row r="624">
      <c r="R624" t="s">
        <v>2640</v>
      </c>
      <c r="S624" t="s">
        <v>2640</v>
      </c>
      <c r="T624" t="s">
        <v>2640</v>
      </c>
      <c r="U624" t="s">
        <v>2640</v>
      </c>
      <c r="V624" t="s">
        <v>2640</v>
      </c>
    </row>
    <row r="625">
      <c r="R625" t="s">
        <v>2640</v>
      </c>
      <c r="S625" t="s">
        <v>2640</v>
      </c>
      <c r="T625" t="s">
        <v>2640</v>
      </c>
      <c r="U625" t="s">
        <v>2640</v>
      </c>
      <c r="V625" t="s">
        <v>2640</v>
      </c>
    </row>
    <row r="626">
      <c r="R626" t="s">
        <v>2640</v>
      </c>
      <c r="S626" t="s">
        <v>2640</v>
      </c>
      <c r="T626" t="s">
        <v>2640</v>
      </c>
      <c r="U626" t="s">
        <v>2640</v>
      </c>
      <c r="V626" t="s">
        <v>2640</v>
      </c>
    </row>
    <row r="627">
      <c r="R627" t="s">
        <v>2640</v>
      </c>
      <c r="S627" t="s">
        <v>2640</v>
      </c>
      <c r="T627" t="s">
        <v>2640</v>
      </c>
      <c r="U627" t="s">
        <v>2640</v>
      </c>
      <c r="V627" t="s">
        <v>2640</v>
      </c>
    </row>
    <row r="628">
      <c r="R628" t="s">
        <v>2640</v>
      </c>
      <c r="S628" t="s">
        <v>2640</v>
      </c>
      <c r="T628" t="s">
        <v>2640</v>
      </c>
      <c r="U628" t="s">
        <v>2640</v>
      </c>
      <c r="V628" t="s">
        <v>2640</v>
      </c>
    </row>
    <row r="629">
      <c r="R629" t="s">
        <v>2640</v>
      </c>
      <c r="S629" t="s">
        <v>2640</v>
      </c>
      <c r="T629" t="s">
        <v>2640</v>
      </c>
      <c r="U629" t="s">
        <v>2640</v>
      </c>
      <c r="V629" t="s">
        <v>2640</v>
      </c>
    </row>
    <row r="630">
      <c r="R630" t="s">
        <v>2640</v>
      </c>
      <c r="S630" t="s">
        <v>2640</v>
      </c>
      <c r="T630" t="s">
        <v>2640</v>
      </c>
      <c r="U630" t="s">
        <v>2640</v>
      </c>
      <c r="V630" t="s">
        <v>2640</v>
      </c>
    </row>
    <row r="631">
      <c r="R631" t="s">
        <v>2640</v>
      </c>
      <c r="S631" t="s">
        <v>2640</v>
      </c>
      <c r="T631" t="s">
        <v>2640</v>
      </c>
      <c r="U631" t="s">
        <v>2640</v>
      </c>
      <c r="V631" t="s">
        <v>2640</v>
      </c>
    </row>
    <row r="632">
      <c r="R632" t="s">
        <v>2640</v>
      </c>
      <c r="S632" t="s">
        <v>2640</v>
      </c>
      <c r="T632" t="s">
        <v>2640</v>
      </c>
      <c r="U632" t="s">
        <v>2640</v>
      </c>
      <c r="V632" t="s">
        <v>2640</v>
      </c>
    </row>
    <row r="633">
      <c r="R633" t="s">
        <v>2640</v>
      </c>
      <c r="S633" t="s">
        <v>2640</v>
      </c>
      <c r="T633" t="s">
        <v>2640</v>
      </c>
      <c r="U633" t="s">
        <v>2640</v>
      </c>
      <c r="V633" t="s">
        <v>2640</v>
      </c>
    </row>
    <row r="634">
      <c r="R634" t="s">
        <v>2640</v>
      </c>
      <c r="S634" t="s">
        <v>2640</v>
      </c>
      <c r="T634" t="s">
        <v>2640</v>
      </c>
      <c r="U634" t="s">
        <v>2640</v>
      </c>
      <c r="V634" t="s">
        <v>2640</v>
      </c>
    </row>
    <row r="635">
      <c r="R635" t="s">
        <v>2640</v>
      </c>
      <c r="S635" t="s">
        <v>2640</v>
      </c>
      <c r="T635" t="s">
        <v>2640</v>
      </c>
      <c r="U635" t="s">
        <v>2640</v>
      </c>
      <c r="V635" t="s">
        <v>2640</v>
      </c>
    </row>
    <row r="636">
      <c r="R636" t="s">
        <v>2640</v>
      </c>
      <c r="S636" t="s">
        <v>2640</v>
      </c>
      <c r="T636" t="s">
        <v>2640</v>
      </c>
      <c r="U636" t="s">
        <v>2640</v>
      </c>
      <c r="V636" t="s">
        <v>2640</v>
      </c>
    </row>
    <row r="637">
      <c r="R637" t="s">
        <v>2640</v>
      </c>
      <c r="S637" t="s">
        <v>2640</v>
      </c>
      <c r="T637" t="s">
        <v>2640</v>
      </c>
      <c r="U637" t="s">
        <v>2640</v>
      </c>
      <c r="V637" t="s">
        <v>2640</v>
      </c>
    </row>
    <row r="638">
      <c r="R638" t="s">
        <v>2640</v>
      </c>
      <c r="S638" t="s">
        <v>2640</v>
      </c>
      <c r="T638" t="s">
        <v>2640</v>
      </c>
      <c r="U638" t="s">
        <v>2640</v>
      </c>
      <c r="V638" t="s">
        <v>2640</v>
      </c>
    </row>
    <row r="639">
      <c r="R639" t="s">
        <v>2640</v>
      </c>
      <c r="S639" t="s">
        <v>2640</v>
      </c>
      <c r="T639" t="s">
        <v>2640</v>
      </c>
      <c r="U639" t="s">
        <v>2640</v>
      </c>
      <c r="V639" t="s">
        <v>2640</v>
      </c>
    </row>
    <row r="640">
      <c r="R640" t="s">
        <v>2640</v>
      </c>
      <c r="S640" t="s">
        <v>2640</v>
      </c>
      <c r="T640" t="s">
        <v>2640</v>
      </c>
      <c r="U640" t="s">
        <v>2640</v>
      </c>
      <c r="V640" t="s">
        <v>2640</v>
      </c>
    </row>
    <row r="641">
      <c r="R641" t="s">
        <v>2640</v>
      </c>
      <c r="S641" t="s">
        <v>2640</v>
      </c>
      <c r="T641" t="s">
        <v>2640</v>
      </c>
      <c r="U641" t="s">
        <v>2640</v>
      </c>
      <c r="V641" t="s">
        <v>2640</v>
      </c>
    </row>
    <row r="642">
      <c r="R642" t="s">
        <v>2640</v>
      </c>
      <c r="S642" t="s">
        <v>2640</v>
      </c>
      <c r="T642" t="s">
        <v>2640</v>
      </c>
      <c r="U642" t="s">
        <v>2640</v>
      </c>
      <c r="V642" t="s">
        <v>2640</v>
      </c>
    </row>
    <row r="643">
      <c r="R643" t="s">
        <v>2640</v>
      </c>
      <c r="S643" t="s">
        <v>2640</v>
      </c>
      <c r="T643" t="s">
        <v>2640</v>
      </c>
      <c r="U643" t="s">
        <v>2640</v>
      </c>
      <c r="V643" t="s">
        <v>2640</v>
      </c>
    </row>
    <row r="644">
      <c r="R644" t="s">
        <v>2640</v>
      </c>
      <c r="S644" t="s">
        <v>2640</v>
      </c>
      <c r="T644" t="s">
        <v>2640</v>
      </c>
      <c r="U644" t="s">
        <v>2640</v>
      </c>
      <c r="V644" t="s">
        <v>2640</v>
      </c>
    </row>
    <row r="645">
      <c r="R645" t="s">
        <v>2640</v>
      </c>
      <c r="S645" t="s">
        <v>2640</v>
      </c>
      <c r="T645" t="s">
        <v>2640</v>
      </c>
      <c r="U645" t="s">
        <v>2640</v>
      </c>
      <c r="V645" t="s">
        <v>2640</v>
      </c>
    </row>
    <row r="646">
      <c r="R646" t="s">
        <v>2640</v>
      </c>
      <c r="S646" t="s">
        <v>2640</v>
      </c>
      <c r="T646" t="s">
        <v>2640</v>
      </c>
      <c r="U646" t="s">
        <v>2640</v>
      </c>
      <c r="V646" t="s">
        <v>2640</v>
      </c>
    </row>
    <row r="647">
      <c r="R647" t="s">
        <v>2640</v>
      </c>
      <c r="S647" t="s">
        <v>2640</v>
      </c>
      <c r="T647" t="s">
        <v>2640</v>
      </c>
      <c r="U647" t="s">
        <v>2640</v>
      </c>
      <c r="V647" t="s">
        <v>2640</v>
      </c>
    </row>
    <row r="648">
      <c r="R648" t="s">
        <v>2640</v>
      </c>
      <c r="S648" t="s">
        <v>2640</v>
      </c>
      <c r="T648" t="s">
        <v>2640</v>
      </c>
      <c r="U648" t="s">
        <v>2640</v>
      </c>
      <c r="V648" t="s">
        <v>2640</v>
      </c>
    </row>
    <row r="649">
      <c r="R649" t="s">
        <v>2640</v>
      </c>
      <c r="S649" t="s">
        <v>2640</v>
      </c>
      <c r="T649" t="s">
        <v>2640</v>
      </c>
      <c r="U649" t="s">
        <v>2640</v>
      </c>
      <c r="V649" t="s">
        <v>2640</v>
      </c>
    </row>
    <row r="650">
      <c r="R650" t="s">
        <v>2640</v>
      </c>
      <c r="S650" t="s">
        <v>2640</v>
      </c>
      <c r="T650" t="s">
        <v>2640</v>
      </c>
      <c r="U650" t="s">
        <v>2640</v>
      </c>
      <c r="V650" t="s">
        <v>2640</v>
      </c>
    </row>
    <row r="651">
      <c r="R651" t="s">
        <v>2640</v>
      </c>
      <c r="S651" t="s">
        <v>2640</v>
      </c>
      <c r="T651" t="s">
        <v>2640</v>
      </c>
      <c r="U651" t="s">
        <v>2640</v>
      </c>
      <c r="V651" t="s">
        <v>2640</v>
      </c>
    </row>
    <row r="652">
      <c r="R652" t="s">
        <v>2640</v>
      </c>
      <c r="S652" t="s">
        <v>2640</v>
      </c>
      <c r="T652" t="s">
        <v>2640</v>
      </c>
      <c r="U652" t="s">
        <v>2640</v>
      </c>
      <c r="V652" t="s">
        <v>2640</v>
      </c>
    </row>
    <row r="653">
      <c r="R653" t="s">
        <v>2640</v>
      </c>
      <c r="S653" t="s">
        <v>2640</v>
      </c>
      <c r="T653" t="s">
        <v>2640</v>
      </c>
      <c r="U653" t="s">
        <v>2640</v>
      </c>
      <c r="V653" t="s">
        <v>2640</v>
      </c>
    </row>
    <row r="654">
      <c r="R654" t="s">
        <v>2640</v>
      </c>
      <c r="S654" t="s">
        <v>2640</v>
      </c>
      <c r="T654" t="s">
        <v>2640</v>
      </c>
      <c r="U654" t="s">
        <v>2640</v>
      </c>
      <c r="V654" t="s">
        <v>2640</v>
      </c>
    </row>
    <row r="655">
      <c r="R655" t="s">
        <v>2640</v>
      </c>
      <c r="S655" t="s">
        <v>2640</v>
      </c>
      <c r="T655" t="s">
        <v>2640</v>
      </c>
      <c r="U655" t="s">
        <v>2640</v>
      </c>
      <c r="V655" t="s">
        <v>2640</v>
      </c>
    </row>
    <row r="656">
      <c r="R656" t="s">
        <v>2640</v>
      </c>
      <c r="S656" t="s">
        <v>2640</v>
      </c>
      <c r="T656" t="s">
        <v>2640</v>
      </c>
      <c r="U656" t="s">
        <v>2640</v>
      </c>
      <c r="V656" t="s">
        <v>2640</v>
      </c>
    </row>
    <row r="657">
      <c r="R657" t="s">
        <v>2640</v>
      </c>
      <c r="S657" t="s">
        <v>2640</v>
      </c>
      <c r="T657" t="s">
        <v>2640</v>
      </c>
      <c r="U657" t="s">
        <v>2640</v>
      </c>
      <c r="V657" t="s">
        <v>2640</v>
      </c>
    </row>
    <row r="658">
      <c r="R658" t="s">
        <v>2640</v>
      </c>
      <c r="S658" t="s">
        <v>2640</v>
      </c>
      <c r="T658" t="s">
        <v>2640</v>
      </c>
      <c r="U658" t="s">
        <v>2640</v>
      </c>
      <c r="V658" t="s">
        <v>2640</v>
      </c>
    </row>
    <row r="659">
      <c r="R659" t="s">
        <v>2640</v>
      </c>
      <c r="S659" t="s">
        <v>2640</v>
      </c>
      <c r="T659" t="s">
        <v>2640</v>
      </c>
      <c r="U659" t="s">
        <v>2640</v>
      </c>
      <c r="V659" t="s">
        <v>2640</v>
      </c>
    </row>
    <row r="660">
      <c r="R660" t="s">
        <v>2640</v>
      </c>
      <c r="S660" t="s">
        <v>2640</v>
      </c>
      <c r="T660" t="s">
        <v>2640</v>
      </c>
      <c r="U660" t="s">
        <v>2640</v>
      </c>
      <c r="V660" t="s">
        <v>2640</v>
      </c>
    </row>
    <row r="661">
      <c r="R661" t="s">
        <v>2640</v>
      </c>
      <c r="S661" t="s">
        <v>2640</v>
      </c>
      <c r="T661" t="s">
        <v>2640</v>
      </c>
      <c r="U661" t="s">
        <v>2640</v>
      </c>
      <c r="V661" t="s">
        <v>2640</v>
      </c>
    </row>
    <row r="662">
      <c r="R662" t="s">
        <v>2640</v>
      </c>
      <c r="S662" t="s">
        <v>2640</v>
      </c>
      <c r="T662" t="s">
        <v>2640</v>
      </c>
      <c r="U662" t="s">
        <v>2640</v>
      </c>
      <c r="V662" t="s">
        <v>2640</v>
      </c>
    </row>
    <row r="663">
      <c r="R663" t="s">
        <v>2640</v>
      </c>
      <c r="S663" t="s">
        <v>2640</v>
      </c>
      <c r="T663" t="s">
        <v>2640</v>
      </c>
      <c r="U663" t="s">
        <v>2640</v>
      </c>
      <c r="V663" t="s">
        <v>2640</v>
      </c>
    </row>
    <row r="664">
      <c r="R664" t="s">
        <v>2640</v>
      </c>
      <c r="S664" t="s">
        <v>2640</v>
      </c>
      <c r="T664" t="s">
        <v>2640</v>
      </c>
      <c r="U664" t="s">
        <v>2640</v>
      </c>
      <c r="V664" t="s">
        <v>2640</v>
      </c>
    </row>
    <row r="665">
      <c r="R665" t="s">
        <v>2640</v>
      </c>
      <c r="S665" t="s">
        <v>2640</v>
      </c>
      <c r="T665" t="s">
        <v>2640</v>
      </c>
      <c r="U665" t="s">
        <v>2640</v>
      </c>
      <c r="V665" t="s">
        <v>2640</v>
      </c>
    </row>
    <row r="666">
      <c r="R666" t="s">
        <v>2640</v>
      </c>
      <c r="S666" t="s">
        <v>2640</v>
      </c>
      <c r="T666" t="s">
        <v>2640</v>
      </c>
      <c r="U666" t="s">
        <v>2640</v>
      </c>
      <c r="V666" t="s">
        <v>2640</v>
      </c>
    </row>
    <row r="667">
      <c r="R667" t="s">
        <v>2640</v>
      </c>
      <c r="S667" t="s">
        <v>2640</v>
      </c>
      <c r="T667" t="s">
        <v>2640</v>
      </c>
      <c r="U667" t="s">
        <v>2640</v>
      </c>
      <c r="V667" t="s">
        <v>2640</v>
      </c>
    </row>
    <row r="668">
      <c r="R668" t="s">
        <v>2640</v>
      </c>
      <c r="S668" t="s">
        <v>2640</v>
      </c>
      <c r="T668" t="s">
        <v>2640</v>
      </c>
      <c r="U668" t="s">
        <v>2640</v>
      </c>
      <c r="V668" t="s">
        <v>2640</v>
      </c>
    </row>
    <row r="669">
      <c r="R669" t="s">
        <v>2640</v>
      </c>
      <c r="S669" t="s">
        <v>2640</v>
      </c>
      <c r="T669" t="s">
        <v>2640</v>
      </c>
      <c r="U669" t="s">
        <v>2640</v>
      </c>
      <c r="V669" t="s">
        <v>2640</v>
      </c>
    </row>
    <row r="670">
      <c r="R670" t="s">
        <v>2640</v>
      </c>
      <c r="S670" t="s">
        <v>2640</v>
      </c>
      <c r="T670" t="s">
        <v>2640</v>
      </c>
      <c r="U670" t="s">
        <v>2640</v>
      </c>
      <c r="V670" t="s">
        <v>2640</v>
      </c>
    </row>
    <row r="671">
      <c r="R671" t="s">
        <v>2640</v>
      </c>
      <c r="S671" t="s">
        <v>2640</v>
      </c>
      <c r="T671" t="s">
        <v>2640</v>
      </c>
      <c r="U671" t="s">
        <v>2640</v>
      </c>
      <c r="V671" t="s">
        <v>2640</v>
      </c>
    </row>
    <row r="672">
      <c r="R672" t="s">
        <v>2640</v>
      </c>
      <c r="S672" t="s">
        <v>2640</v>
      </c>
      <c r="T672" t="s">
        <v>2640</v>
      </c>
      <c r="U672" t="s">
        <v>2640</v>
      </c>
      <c r="V672" t="s">
        <v>2640</v>
      </c>
    </row>
    <row r="673">
      <c r="R673" t="s">
        <v>2640</v>
      </c>
      <c r="S673" t="s">
        <v>2640</v>
      </c>
      <c r="T673" t="s">
        <v>2640</v>
      </c>
      <c r="U673" t="s">
        <v>2640</v>
      </c>
      <c r="V673" t="s">
        <v>2640</v>
      </c>
    </row>
    <row r="674">
      <c r="R674" t="s">
        <v>2640</v>
      </c>
      <c r="S674" t="s">
        <v>2640</v>
      </c>
      <c r="T674" t="s">
        <v>2640</v>
      </c>
      <c r="U674" t="s">
        <v>2640</v>
      </c>
      <c r="V674" t="s">
        <v>2640</v>
      </c>
    </row>
    <row r="675">
      <c r="R675" t="s">
        <v>2640</v>
      </c>
      <c r="S675" t="s">
        <v>2640</v>
      </c>
      <c r="T675" t="s">
        <v>2640</v>
      </c>
      <c r="U675" t="s">
        <v>2640</v>
      </c>
      <c r="V675" t="s">
        <v>2640</v>
      </c>
    </row>
    <row r="676">
      <c r="R676" t="s">
        <v>2640</v>
      </c>
      <c r="S676" t="s">
        <v>2640</v>
      </c>
      <c r="T676" t="s">
        <v>2640</v>
      </c>
      <c r="U676" t="s">
        <v>2640</v>
      </c>
      <c r="V676" t="s">
        <v>2640</v>
      </c>
    </row>
    <row r="677">
      <c r="R677" t="s">
        <v>2640</v>
      </c>
      <c r="S677" t="s">
        <v>2640</v>
      </c>
      <c r="T677" t="s">
        <v>2640</v>
      </c>
      <c r="U677" t="s">
        <v>2640</v>
      </c>
      <c r="V677" t="s">
        <v>2640</v>
      </c>
    </row>
    <row r="678">
      <c r="R678" t="s">
        <v>2640</v>
      </c>
      <c r="S678" t="s">
        <v>2640</v>
      </c>
      <c r="T678" t="s">
        <v>2640</v>
      </c>
      <c r="U678" t="s">
        <v>2640</v>
      </c>
      <c r="V678" t="s">
        <v>2640</v>
      </c>
    </row>
    <row r="679">
      <c r="R679" t="s">
        <v>2640</v>
      </c>
      <c r="S679" t="s">
        <v>2640</v>
      </c>
      <c r="T679" t="s">
        <v>2640</v>
      </c>
      <c r="U679" t="s">
        <v>2640</v>
      </c>
      <c r="V679" t="s">
        <v>2640</v>
      </c>
    </row>
    <row r="680">
      <c r="R680" t="s">
        <v>2640</v>
      </c>
      <c r="S680" t="s">
        <v>2640</v>
      </c>
      <c r="T680" t="s">
        <v>2640</v>
      </c>
      <c r="U680" t="s">
        <v>2640</v>
      </c>
      <c r="V680" t="s">
        <v>2640</v>
      </c>
    </row>
    <row r="681">
      <c r="R681" t="s">
        <v>2640</v>
      </c>
      <c r="S681" t="s">
        <v>2640</v>
      </c>
      <c r="T681" t="s">
        <v>2640</v>
      </c>
      <c r="U681" t="s">
        <v>2640</v>
      </c>
      <c r="V681" t="s">
        <v>2640</v>
      </c>
    </row>
    <row r="682">
      <c r="R682" t="s">
        <v>2640</v>
      </c>
      <c r="S682" t="s">
        <v>2640</v>
      </c>
      <c r="T682" t="s">
        <v>2640</v>
      </c>
      <c r="U682" t="s">
        <v>2640</v>
      </c>
      <c r="V682" t="s">
        <v>2640</v>
      </c>
    </row>
    <row r="683">
      <c r="R683" t="s">
        <v>2640</v>
      </c>
      <c r="S683" t="s">
        <v>2640</v>
      </c>
      <c r="T683" t="s">
        <v>2640</v>
      </c>
      <c r="U683" t="s">
        <v>2640</v>
      </c>
      <c r="V683" t="s">
        <v>2640</v>
      </c>
    </row>
    <row r="684">
      <c r="R684" t="s">
        <v>2640</v>
      </c>
      <c r="S684" t="s">
        <v>2640</v>
      </c>
      <c r="T684" t="s">
        <v>2640</v>
      </c>
      <c r="U684" t="s">
        <v>2640</v>
      </c>
      <c r="V684" t="s">
        <v>2640</v>
      </c>
    </row>
    <row r="685">
      <c r="R685" t="s">
        <v>2640</v>
      </c>
      <c r="S685" t="s">
        <v>2640</v>
      </c>
      <c r="T685" t="s">
        <v>2640</v>
      </c>
      <c r="U685" t="s">
        <v>2640</v>
      </c>
      <c r="V685" t="s">
        <v>2640</v>
      </c>
    </row>
    <row r="686">
      <c r="R686" t="s">
        <v>2640</v>
      </c>
      <c r="S686" t="s">
        <v>2640</v>
      </c>
      <c r="T686" t="s">
        <v>2640</v>
      </c>
      <c r="U686" t="s">
        <v>2640</v>
      </c>
      <c r="V686" t="s">
        <v>2640</v>
      </c>
    </row>
    <row r="687">
      <c r="R687" t="s">
        <v>2640</v>
      </c>
      <c r="S687" t="s">
        <v>2640</v>
      </c>
      <c r="T687" t="s">
        <v>2640</v>
      </c>
      <c r="U687" t="s">
        <v>2640</v>
      </c>
      <c r="V687" t="s">
        <v>2640</v>
      </c>
    </row>
    <row r="688">
      <c r="R688" t="s">
        <v>2640</v>
      </c>
      <c r="S688" t="s">
        <v>2640</v>
      </c>
      <c r="T688" t="s">
        <v>2640</v>
      </c>
      <c r="U688" t="s">
        <v>2640</v>
      </c>
      <c r="V688" t="s">
        <v>2640</v>
      </c>
    </row>
    <row r="689">
      <c r="R689" t="s">
        <v>2640</v>
      </c>
      <c r="S689" t="s">
        <v>2640</v>
      </c>
      <c r="T689" t="s">
        <v>2640</v>
      </c>
      <c r="U689" t="s">
        <v>2640</v>
      </c>
      <c r="V689" t="s">
        <v>2640</v>
      </c>
    </row>
    <row r="690">
      <c r="R690" t="s">
        <v>2640</v>
      </c>
      <c r="S690" t="s">
        <v>2640</v>
      </c>
      <c r="T690" t="s">
        <v>2640</v>
      </c>
      <c r="U690" t="s">
        <v>2640</v>
      </c>
      <c r="V690" t="s">
        <v>2640</v>
      </c>
    </row>
    <row r="691">
      <c r="R691" t="s">
        <v>2640</v>
      </c>
      <c r="S691" t="s">
        <v>2640</v>
      </c>
      <c r="T691" t="s">
        <v>2640</v>
      </c>
      <c r="U691" t="s">
        <v>2640</v>
      </c>
      <c r="V691" t="s">
        <v>2640</v>
      </c>
    </row>
    <row r="692">
      <c r="R692" t="s">
        <v>2640</v>
      </c>
      <c r="S692" t="s">
        <v>2640</v>
      </c>
      <c r="T692" t="s">
        <v>2640</v>
      </c>
      <c r="U692" t="s">
        <v>2640</v>
      </c>
      <c r="V692" t="s">
        <v>2640</v>
      </c>
    </row>
    <row r="693">
      <c r="R693" t="s">
        <v>2640</v>
      </c>
      <c r="S693" t="s">
        <v>2640</v>
      </c>
      <c r="T693" t="s">
        <v>2640</v>
      </c>
      <c r="U693" t="s">
        <v>2640</v>
      </c>
      <c r="V693" t="s">
        <v>2640</v>
      </c>
    </row>
    <row r="694">
      <c r="R694" t="s">
        <v>2640</v>
      </c>
      <c r="S694" t="s">
        <v>2640</v>
      </c>
      <c r="T694" t="s">
        <v>2640</v>
      </c>
      <c r="U694" t="s">
        <v>2640</v>
      </c>
      <c r="V694" t="s">
        <v>2640</v>
      </c>
    </row>
    <row r="695">
      <c r="R695" t="s">
        <v>2640</v>
      </c>
      <c r="S695" t="s">
        <v>2640</v>
      </c>
      <c r="T695" t="s">
        <v>2640</v>
      </c>
      <c r="U695" t="s">
        <v>2640</v>
      </c>
      <c r="V695" t="s">
        <v>2640</v>
      </c>
    </row>
    <row r="696">
      <c r="R696" t="s">
        <v>2640</v>
      </c>
      <c r="S696" t="s">
        <v>2640</v>
      </c>
      <c r="T696" t="s">
        <v>2640</v>
      </c>
      <c r="U696" t="s">
        <v>2640</v>
      </c>
      <c r="V696" t="s">
        <v>2640</v>
      </c>
    </row>
    <row r="697">
      <c r="R697" t="s">
        <v>2640</v>
      </c>
      <c r="S697" t="s">
        <v>2640</v>
      </c>
      <c r="T697" t="s">
        <v>2640</v>
      </c>
      <c r="U697" t="s">
        <v>2640</v>
      </c>
      <c r="V697" t="s">
        <v>2640</v>
      </c>
    </row>
    <row r="698">
      <c r="R698" t="s">
        <v>2640</v>
      </c>
      <c r="S698" t="s">
        <v>2640</v>
      </c>
      <c r="T698" t="s">
        <v>2640</v>
      </c>
      <c r="U698" t="s">
        <v>2640</v>
      </c>
      <c r="V698" t="s">
        <v>2640</v>
      </c>
    </row>
    <row r="699">
      <c r="R699" t="s">
        <v>2640</v>
      </c>
      <c r="S699" t="s">
        <v>2640</v>
      </c>
      <c r="T699" t="s">
        <v>2640</v>
      </c>
      <c r="U699" t="s">
        <v>2640</v>
      </c>
      <c r="V699" t="s">
        <v>2640</v>
      </c>
    </row>
    <row r="700">
      <c r="R700" t="s">
        <v>2640</v>
      </c>
      <c r="S700" t="s">
        <v>2640</v>
      </c>
      <c r="T700" t="s">
        <v>2640</v>
      </c>
      <c r="U700" t="s">
        <v>2640</v>
      </c>
      <c r="V700" t="s">
        <v>2640</v>
      </c>
    </row>
    <row r="701">
      <c r="R701" t="s">
        <v>2640</v>
      </c>
      <c r="S701" t="s">
        <v>2640</v>
      </c>
      <c r="T701" t="s">
        <v>2640</v>
      </c>
      <c r="U701" t="s">
        <v>2640</v>
      </c>
      <c r="V701" t="s">
        <v>2640</v>
      </c>
    </row>
    <row r="702">
      <c r="R702" t="s">
        <v>2640</v>
      </c>
      <c r="S702" t="s">
        <v>2640</v>
      </c>
      <c r="T702" t="s">
        <v>2640</v>
      </c>
      <c r="U702" t="s">
        <v>2640</v>
      </c>
      <c r="V702" t="s">
        <v>2640</v>
      </c>
    </row>
    <row r="703">
      <c r="R703" t="s">
        <v>2640</v>
      </c>
      <c r="S703" t="s">
        <v>2640</v>
      </c>
      <c r="T703" t="s">
        <v>2640</v>
      </c>
      <c r="U703" t="s">
        <v>2640</v>
      </c>
      <c r="V703" t="s">
        <v>2640</v>
      </c>
    </row>
    <row r="704">
      <c r="R704" t="s">
        <v>2640</v>
      </c>
      <c r="S704" t="s">
        <v>2640</v>
      </c>
      <c r="T704" t="s">
        <v>2640</v>
      </c>
      <c r="U704" t="s">
        <v>2640</v>
      </c>
      <c r="V704" t="s">
        <v>2640</v>
      </c>
    </row>
    <row r="705">
      <c r="R705" t="s">
        <v>2640</v>
      </c>
      <c r="S705" t="s">
        <v>2640</v>
      </c>
      <c r="T705" t="s">
        <v>2640</v>
      </c>
      <c r="U705" t="s">
        <v>2640</v>
      </c>
      <c r="V705" t="s">
        <v>2640</v>
      </c>
    </row>
    <row r="706">
      <c r="R706" t="s">
        <v>2640</v>
      </c>
      <c r="S706" t="s">
        <v>2640</v>
      </c>
      <c r="T706" t="s">
        <v>2640</v>
      </c>
      <c r="U706" t="s">
        <v>2640</v>
      </c>
      <c r="V706" t="s">
        <v>2640</v>
      </c>
    </row>
    <row r="707">
      <c r="R707" t="s">
        <v>2640</v>
      </c>
      <c r="S707" t="s">
        <v>2640</v>
      </c>
      <c r="T707" t="s">
        <v>2640</v>
      </c>
      <c r="U707" t="s">
        <v>2640</v>
      </c>
      <c r="V707" t="s">
        <v>2640</v>
      </c>
    </row>
    <row r="708">
      <c r="R708" t="s">
        <v>2640</v>
      </c>
      <c r="S708" t="s">
        <v>2640</v>
      </c>
      <c r="T708" t="s">
        <v>2640</v>
      </c>
      <c r="U708" t="s">
        <v>2640</v>
      </c>
      <c r="V708" t="s">
        <v>2640</v>
      </c>
    </row>
    <row r="709">
      <c r="R709" t="s">
        <v>2640</v>
      </c>
      <c r="S709" t="s">
        <v>2640</v>
      </c>
      <c r="T709" t="s">
        <v>2640</v>
      </c>
      <c r="U709" t="s">
        <v>2640</v>
      </c>
      <c r="V709" t="s">
        <v>2640</v>
      </c>
    </row>
    <row r="710">
      <c r="R710" t="s">
        <v>2640</v>
      </c>
      <c r="S710" t="s">
        <v>2640</v>
      </c>
      <c r="T710" t="s">
        <v>2640</v>
      </c>
      <c r="U710" t="s">
        <v>2640</v>
      </c>
      <c r="V710" t="s">
        <v>2640</v>
      </c>
    </row>
    <row r="711">
      <c r="R711" t="s">
        <v>2640</v>
      </c>
      <c r="S711" t="s">
        <v>2640</v>
      </c>
      <c r="T711" t="s">
        <v>2640</v>
      </c>
      <c r="U711" t="s">
        <v>2640</v>
      </c>
      <c r="V711" t="s">
        <v>2640</v>
      </c>
    </row>
    <row r="712">
      <c r="R712" t="s">
        <v>2640</v>
      </c>
      <c r="S712" t="s">
        <v>2640</v>
      </c>
      <c r="T712" t="s">
        <v>2640</v>
      </c>
      <c r="U712" t="s">
        <v>2640</v>
      </c>
      <c r="V712" t="s">
        <v>2640</v>
      </c>
    </row>
    <row r="713">
      <c r="R713" t="s">
        <v>2640</v>
      </c>
      <c r="S713" t="s">
        <v>2640</v>
      </c>
      <c r="T713" t="s">
        <v>2640</v>
      </c>
      <c r="U713" t="s">
        <v>2640</v>
      </c>
      <c r="V713" t="s">
        <v>2640</v>
      </c>
    </row>
    <row r="714">
      <c r="R714" t="s">
        <v>2640</v>
      </c>
      <c r="S714" t="s">
        <v>2640</v>
      </c>
      <c r="T714" t="s">
        <v>2640</v>
      </c>
      <c r="U714" t="s">
        <v>2640</v>
      </c>
      <c r="V714" t="s">
        <v>2640</v>
      </c>
    </row>
    <row r="715">
      <c r="R715" t="s">
        <v>2640</v>
      </c>
      <c r="S715" t="s">
        <v>2640</v>
      </c>
      <c r="T715" t="s">
        <v>2640</v>
      </c>
      <c r="U715" t="s">
        <v>2640</v>
      </c>
      <c r="V715" t="s">
        <v>2640</v>
      </c>
    </row>
    <row r="716">
      <c r="R716" t="s">
        <v>2640</v>
      </c>
      <c r="S716" t="s">
        <v>2640</v>
      </c>
      <c r="T716" t="s">
        <v>2640</v>
      </c>
      <c r="U716" t="s">
        <v>2640</v>
      </c>
      <c r="V716" t="s">
        <v>2640</v>
      </c>
    </row>
    <row r="717">
      <c r="R717" t="s">
        <v>2640</v>
      </c>
      <c r="S717" t="s">
        <v>2640</v>
      </c>
      <c r="T717" t="s">
        <v>2640</v>
      </c>
      <c r="U717" t="s">
        <v>2640</v>
      </c>
      <c r="V717" t="s">
        <v>2640</v>
      </c>
    </row>
    <row r="718">
      <c r="R718" t="s">
        <v>2640</v>
      </c>
      <c r="S718" t="s">
        <v>2640</v>
      </c>
      <c r="T718" t="s">
        <v>2640</v>
      </c>
      <c r="U718" t="s">
        <v>2640</v>
      </c>
      <c r="V718" t="s">
        <v>2640</v>
      </c>
    </row>
    <row r="719">
      <c r="R719" t="s">
        <v>2640</v>
      </c>
      <c r="S719" t="s">
        <v>2640</v>
      </c>
      <c r="T719" t="s">
        <v>2640</v>
      </c>
      <c r="U719" t="s">
        <v>2640</v>
      </c>
      <c r="V719" t="s">
        <v>2640</v>
      </c>
    </row>
    <row r="720">
      <c r="R720" t="s">
        <v>2640</v>
      </c>
      <c r="S720" t="s">
        <v>2640</v>
      </c>
      <c r="T720" t="s">
        <v>2640</v>
      </c>
      <c r="U720" t="s">
        <v>2640</v>
      </c>
      <c r="V720" t="s">
        <v>2640</v>
      </c>
    </row>
    <row r="721">
      <c r="R721" t="s">
        <v>2640</v>
      </c>
      <c r="S721" t="s">
        <v>2640</v>
      </c>
      <c r="T721" t="s">
        <v>2640</v>
      </c>
      <c r="U721" t="s">
        <v>2640</v>
      </c>
      <c r="V721" t="s">
        <v>2640</v>
      </c>
    </row>
    <row r="722">
      <c r="R722" t="s">
        <v>2640</v>
      </c>
      <c r="S722" t="s">
        <v>2640</v>
      </c>
      <c r="T722" t="s">
        <v>2640</v>
      </c>
      <c r="U722" t="s">
        <v>2640</v>
      </c>
      <c r="V722" t="s">
        <v>2640</v>
      </c>
    </row>
    <row r="723">
      <c r="R723" t="s">
        <v>2640</v>
      </c>
      <c r="S723" t="s">
        <v>2640</v>
      </c>
      <c r="T723" t="s">
        <v>2640</v>
      </c>
      <c r="U723" t="s">
        <v>2640</v>
      </c>
      <c r="V723" t="s">
        <v>2640</v>
      </c>
    </row>
    <row r="724">
      <c r="R724" t="s">
        <v>2640</v>
      </c>
      <c r="S724" t="s">
        <v>2640</v>
      </c>
      <c r="T724" t="s">
        <v>2640</v>
      </c>
      <c r="U724" t="s">
        <v>2640</v>
      </c>
      <c r="V724" t="s">
        <v>2640</v>
      </c>
    </row>
    <row r="725">
      <c r="R725" t="s">
        <v>2640</v>
      </c>
      <c r="S725" t="s">
        <v>2640</v>
      </c>
      <c r="T725" t="s">
        <v>2640</v>
      </c>
      <c r="U725" t="s">
        <v>2640</v>
      </c>
      <c r="V725" t="s">
        <v>2640</v>
      </c>
    </row>
    <row r="726">
      <c r="R726" t="s">
        <v>2640</v>
      </c>
      <c r="S726" t="s">
        <v>2640</v>
      </c>
      <c r="T726" t="s">
        <v>2640</v>
      </c>
      <c r="U726" t="s">
        <v>2640</v>
      </c>
      <c r="V726" t="s">
        <v>2640</v>
      </c>
    </row>
    <row r="727">
      <c r="R727" t="s">
        <v>2640</v>
      </c>
      <c r="S727" t="s">
        <v>2640</v>
      </c>
      <c r="T727" t="s">
        <v>2640</v>
      </c>
      <c r="U727" t="s">
        <v>2640</v>
      </c>
      <c r="V727" t="s">
        <v>2640</v>
      </c>
    </row>
    <row r="728">
      <c r="R728" t="s">
        <v>2640</v>
      </c>
      <c r="S728" t="s">
        <v>2640</v>
      </c>
      <c r="T728" t="s">
        <v>2640</v>
      </c>
      <c r="U728" t="s">
        <v>2640</v>
      </c>
      <c r="V728" t="s">
        <v>2640</v>
      </c>
    </row>
    <row r="729">
      <c r="R729" t="s">
        <v>2640</v>
      </c>
      <c r="S729" t="s">
        <v>2640</v>
      </c>
      <c r="T729" t="s">
        <v>2640</v>
      </c>
      <c r="U729" t="s">
        <v>2640</v>
      </c>
      <c r="V729" t="s">
        <v>2640</v>
      </c>
    </row>
    <row r="730">
      <c r="R730" t="s">
        <v>2640</v>
      </c>
      <c r="S730" t="s">
        <v>2640</v>
      </c>
      <c r="T730" t="s">
        <v>2640</v>
      </c>
      <c r="U730" t="s">
        <v>2640</v>
      </c>
      <c r="V730" t="s">
        <v>2640</v>
      </c>
    </row>
    <row r="731">
      <c r="R731" t="s">
        <v>2640</v>
      </c>
      <c r="S731" t="s">
        <v>2640</v>
      </c>
      <c r="T731" t="s">
        <v>2640</v>
      </c>
      <c r="U731" t="s">
        <v>2640</v>
      </c>
      <c r="V731" t="s">
        <v>2640</v>
      </c>
    </row>
    <row r="732">
      <c r="R732" t="s">
        <v>2640</v>
      </c>
      <c r="S732" t="s">
        <v>2640</v>
      </c>
      <c r="T732" t="s">
        <v>2640</v>
      </c>
      <c r="U732" t="s">
        <v>2640</v>
      </c>
      <c r="V732" t="s">
        <v>2640</v>
      </c>
    </row>
    <row r="733">
      <c r="R733" t="s">
        <v>2640</v>
      </c>
      <c r="S733" t="s">
        <v>2640</v>
      </c>
      <c r="T733" t="s">
        <v>2640</v>
      </c>
      <c r="U733" t="s">
        <v>2640</v>
      </c>
      <c r="V733" t="s">
        <v>2640</v>
      </c>
    </row>
    <row r="734">
      <c r="R734" t="s">
        <v>2640</v>
      </c>
      <c r="S734" t="s">
        <v>2640</v>
      </c>
      <c r="T734" t="s">
        <v>2640</v>
      </c>
      <c r="U734" t="s">
        <v>2640</v>
      </c>
      <c r="V734" t="s">
        <v>2640</v>
      </c>
    </row>
    <row r="735">
      <c r="R735" t="s">
        <v>2640</v>
      </c>
      <c r="S735" t="s">
        <v>2640</v>
      </c>
      <c r="T735" t="s">
        <v>2640</v>
      </c>
      <c r="U735" t="s">
        <v>2640</v>
      </c>
      <c r="V735" t="s">
        <v>2640</v>
      </c>
    </row>
    <row r="736">
      <c r="R736" t="s">
        <v>2640</v>
      </c>
      <c r="S736" t="s">
        <v>2640</v>
      </c>
      <c r="T736" t="s">
        <v>2640</v>
      </c>
      <c r="U736" t="s">
        <v>2640</v>
      </c>
      <c r="V736" t="s">
        <v>2640</v>
      </c>
    </row>
    <row r="737">
      <c r="R737" t="s">
        <v>2640</v>
      </c>
      <c r="S737" t="s">
        <v>2640</v>
      </c>
      <c r="T737" t="s">
        <v>2640</v>
      </c>
      <c r="U737" t="s">
        <v>2640</v>
      </c>
      <c r="V737" t="s">
        <v>2640</v>
      </c>
    </row>
    <row r="738">
      <c r="R738" t="s">
        <v>2640</v>
      </c>
      <c r="S738" t="s">
        <v>2640</v>
      </c>
      <c r="T738" t="s">
        <v>2640</v>
      </c>
      <c r="U738" t="s">
        <v>2640</v>
      </c>
      <c r="V738" t="s">
        <v>2640</v>
      </c>
    </row>
    <row r="739">
      <c r="R739" t="s">
        <v>2640</v>
      </c>
      <c r="S739" t="s">
        <v>2640</v>
      </c>
      <c r="T739" t="s">
        <v>2640</v>
      </c>
      <c r="U739" t="s">
        <v>2640</v>
      </c>
      <c r="V739" t="s">
        <v>2640</v>
      </c>
    </row>
    <row r="740">
      <c r="R740" t="s">
        <v>2640</v>
      </c>
      <c r="S740" t="s">
        <v>2640</v>
      </c>
      <c r="T740" t="s">
        <v>2640</v>
      </c>
      <c r="U740" t="s">
        <v>2640</v>
      </c>
      <c r="V740" t="s">
        <v>2640</v>
      </c>
    </row>
    <row r="741">
      <c r="R741" t="s">
        <v>2640</v>
      </c>
      <c r="S741" t="s">
        <v>2640</v>
      </c>
      <c r="T741" t="s">
        <v>2640</v>
      </c>
      <c r="U741" t="s">
        <v>2640</v>
      </c>
      <c r="V741" t="s">
        <v>2640</v>
      </c>
    </row>
    <row r="742">
      <c r="R742" t="s">
        <v>2640</v>
      </c>
      <c r="S742" t="s">
        <v>2640</v>
      </c>
      <c r="T742" t="s">
        <v>2640</v>
      </c>
      <c r="U742" t="s">
        <v>2640</v>
      </c>
      <c r="V742" t="s">
        <v>2640</v>
      </c>
    </row>
    <row r="743">
      <c r="R743" t="s">
        <v>2640</v>
      </c>
      <c r="S743" t="s">
        <v>2640</v>
      </c>
      <c r="T743" t="s">
        <v>2640</v>
      </c>
      <c r="U743" t="s">
        <v>2640</v>
      </c>
      <c r="V743" t="s">
        <v>2640</v>
      </c>
    </row>
    <row r="744">
      <c r="R744" t="s">
        <v>2640</v>
      </c>
      <c r="S744" t="s">
        <v>2640</v>
      </c>
      <c r="T744" t="s">
        <v>2640</v>
      </c>
      <c r="U744" t="s">
        <v>2640</v>
      </c>
      <c r="V744" t="s">
        <v>2640</v>
      </c>
    </row>
    <row r="745">
      <c r="R745" t="s">
        <v>2640</v>
      </c>
      <c r="S745" t="s">
        <v>2640</v>
      </c>
      <c r="T745" t="s">
        <v>2640</v>
      </c>
      <c r="U745" t="s">
        <v>2640</v>
      </c>
      <c r="V745" t="s">
        <v>2640</v>
      </c>
    </row>
    <row r="746">
      <c r="R746" t="s">
        <v>2640</v>
      </c>
      <c r="S746" t="s">
        <v>2640</v>
      </c>
      <c r="T746" t="s">
        <v>2640</v>
      </c>
      <c r="U746" t="s">
        <v>2640</v>
      </c>
      <c r="V746" t="s">
        <v>2640</v>
      </c>
    </row>
    <row r="747">
      <c r="R747" t="s">
        <v>2640</v>
      </c>
      <c r="S747" t="s">
        <v>2640</v>
      </c>
      <c r="T747" t="s">
        <v>2640</v>
      </c>
      <c r="U747" t="s">
        <v>2640</v>
      </c>
      <c r="V747" t="s">
        <v>2640</v>
      </c>
    </row>
    <row r="748">
      <c r="R748" t="s">
        <v>2640</v>
      </c>
      <c r="S748" t="s">
        <v>2640</v>
      </c>
      <c r="T748" t="s">
        <v>2640</v>
      </c>
      <c r="U748" t="s">
        <v>2640</v>
      </c>
      <c r="V748" t="s">
        <v>2640</v>
      </c>
    </row>
    <row r="749">
      <c r="R749" t="s">
        <v>2640</v>
      </c>
      <c r="S749" t="s">
        <v>2640</v>
      </c>
      <c r="T749" t="s">
        <v>2640</v>
      </c>
      <c r="U749" t="s">
        <v>2640</v>
      </c>
      <c r="V749" t="s">
        <v>2640</v>
      </c>
    </row>
    <row r="750">
      <c r="R750" t="s">
        <v>2640</v>
      </c>
      <c r="S750" t="s">
        <v>2640</v>
      </c>
      <c r="T750" t="s">
        <v>2640</v>
      </c>
      <c r="U750" t="s">
        <v>2640</v>
      </c>
      <c r="V750" t="s">
        <v>2640</v>
      </c>
    </row>
    <row r="751">
      <c r="R751" t="s">
        <v>2640</v>
      </c>
      <c r="S751" t="s">
        <v>2640</v>
      </c>
      <c r="T751" t="s">
        <v>2640</v>
      </c>
      <c r="U751" t="s">
        <v>2640</v>
      </c>
      <c r="V751" t="s">
        <v>2640</v>
      </c>
    </row>
    <row r="752">
      <c r="R752" t="s">
        <v>2640</v>
      </c>
      <c r="S752" t="s">
        <v>2640</v>
      </c>
      <c r="T752" t="s">
        <v>2640</v>
      </c>
      <c r="U752" t="s">
        <v>2640</v>
      </c>
      <c r="V752" t="s">
        <v>2640</v>
      </c>
    </row>
    <row r="753">
      <c r="R753" t="s">
        <v>2640</v>
      </c>
      <c r="S753" t="s">
        <v>2640</v>
      </c>
      <c r="T753" t="s">
        <v>2640</v>
      </c>
      <c r="U753" t="s">
        <v>2640</v>
      </c>
      <c r="V753" t="s">
        <v>2640</v>
      </c>
    </row>
    <row r="754">
      <c r="R754" t="s">
        <v>2640</v>
      </c>
      <c r="S754" t="s">
        <v>2640</v>
      </c>
      <c r="T754" t="s">
        <v>2640</v>
      </c>
      <c r="U754" t="s">
        <v>2640</v>
      </c>
      <c r="V754" t="s">
        <v>2640</v>
      </c>
    </row>
    <row r="755">
      <c r="R755" t="s">
        <v>2640</v>
      </c>
      <c r="S755" t="s">
        <v>2640</v>
      </c>
      <c r="T755" t="s">
        <v>2640</v>
      </c>
      <c r="U755" t="s">
        <v>2640</v>
      </c>
      <c r="V755" t="s">
        <v>2640</v>
      </c>
    </row>
    <row r="756">
      <c r="R756" t="s">
        <v>2640</v>
      </c>
      <c r="S756" t="s">
        <v>2640</v>
      </c>
      <c r="T756" t="s">
        <v>2640</v>
      </c>
      <c r="U756" t="s">
        <v>2640</v>
      </c>
      <c r="V756" t="s">
        <v>2640</v>
      </c>
    </row>
    <row r="757">
      <c r="R757" t="s">
        <v>2640</v>
      </c>
      <c r="S757" t="s">
        <v>2640</v>
      </c>
      <c r="T757" t="s">
        <v>2640</v>
      </c>
      <c r="U757" t="s">
        <v>2640</v>
      </c>
      <c r="V757" t="s">
        <v>2640</v>
      </c>
    </row>
    <row r="758">
      <c r="R758" t="s">
        <v>2640</v>
      </c>
      <c r="S758" t="s">
        <v>2640</v>
      </c>
      <c r="T758" t="s">
        <v>2640</v>
      </c>
      <c r="U758" t="s">
        <v>2640</v>
      </c>
      <c r="V758" t="s">
        <v>2640</v>
      </c>
    </row>
    <row r="759">
      <c r="R759" t="s">
        <v>2640</v>
      </c>
      <c r="S759" t="s">
        <v>2640</v>
      </c>
      <c r="T759" t="s">
        <v>2640</v>
      </c>
      <c r="U759" t="s">
        <v>2640</v>
      </c>
      <c r="V759" t="s">
        <v>2640</v>
      </c>
    </row>
    <row r="760">
      <c r="R760" t="s">
        <v>2640</v>
      </c>
      <c r="S760" t="s">
        <v>2640</v>
      </c>
      <c r="T760" t="s">
        <v>2640</v>
      </c>
      <c r="U760" t="s">
        <v>2640</v>
      </c>
      <c r="V760" t="s">
        <v>2640</v>
      </c>
    </row>
    <row r="761">
      <c r="R761" t="s">
        <v>2640</v>
      </c>
      <c r="S761" t="s">
        <v>2640</v>
      </c>
      <c r="T761" t="s">
        <v>2640</v>
      </c>
      <c r="U761" t="s">
        <v>2640</v>
      </c>
      <c r="V761" t="s">
        <v>2640</v>
      </c>
    </row>
    <row r="762">
      <c r="R762" t="s">
        <v>2640</v>
      </c>
      <c r="S762" t="s">
        <v>2640</v>
      </c>
      <c r="T762" t="s">
        <v>2640</v>
      </c>
      <c r="U762" t="s">
        <v>2640</v>
      </c>
      <c r="V762" t="s">
        <v>2640</v>
      </c>
    </row>
    <row r="763">
      <c r="R763" t="s">
        <v>2640</v>
      </c>
      <c r="S763" t="s">
        <v>2640</v>
      </c>
      <c r="T763" t="s">
        <v>2640</v>
      </c>
      <c r="U763" t="s">
        <v>2640</v>
      </c>
      <c r="V763" t="s">
        <v>2640</v>
      </c>
    </row>
    <row r="764">
      <c r="R764" t="s">
        <v>2640</v>
      </c>
      <c r="S764" t="s">
        <v>2640</v>
      </c>
      <c r="T764" t="s">
        <v>2640</v>
      </c>
      <c r="U764" t="s">
        <v>2640</v>
      </c>
      <c r="V764" t="s">
        <v>2640</v>
      </c>
    </row>
    <row r="765">
      <c r="R765" t="s">
        <v>2640</v>
      </c>
      <c r="S765" t="s">
        <v>2640</v>
      </c>
      <c r="T765" t="s">
        <v>2640</v>
      </c>
      <c r="U765" t="s">
        <v>2640</v>
      </c>
      <c r="V765" t="s">
        <v>2640</v>
      </c>
    </row>
    <row r="766">
      <c r="R766" t="s">
        <v>2640</v>
      </c>
      <c r="S766" t="s">
        <v>2640</v>
      </c>
      <c r="T766" t="s">
        <v>2640</v>
      </c>
      <c r="U766" t="s">
        <v>2640</v>
      </c>
      <c r="V766" t="s">
        <v>2640</v>
      </c>
    </row>
    <row r="767">
      <c r="R767" t="s">
        <v>2640</v>
      </c>
      <c r="S767" t="s">
        <v>2640</v>
      </c>
      <c r="T767" t="s">
        <v>2640</v>
      </c>
      <c r="U767" t="s">
        <v>2640</v>
      </c>
      <c r="V767" t="s">
        <v>2640</v>
      </c>
    </row>
    <row r="768">
      <c r="R768" t="s">
        <v>2640</v>
      </c>
      <c r="S768" t="s">
        <v>2640</v>
      </c>
      <c r="T768" t="s">
        <v>2640</v>
      </c>
      <c r="U768" t="s">
        <v>2640</v>
      </c>
      <c r="V768" t="s">
        <v>2640</v>
      </c>
    </row>
    <row r="769">
      <c r="R769" t="s">
        <v>2640</v>
      </c>
      <c r="S769" t="s">
        <v>2640</v>
      </c>
      <c r="T769" t="s">
        <v>2640</v>
      </c>
      <c r="U769" t="s">
        <v>2640</v>
      </c>
      <c r="V769" t="s">
        <v>2640</v>
      </c>
    </row>
    <row r="770">
      <c r="R770" t="s">
        <v>2640</v>
      </c>
      <c r="S770" t="s">
        <v>2640</v>
      </c>
      <c r="T770" t="s">
        <v>2640</v>
      </c>
      <c r="U770" t="s">
        <v>2640</v>
      </c>
      <c r="V770" t="s">
        <v>2640</v>
      </c>
    </row>
    <row r="771">
      <c r="R771" t="s">
        <v>2640</v>
      </c>
      <c r="S771" t="s">
        <v>2640</v>
      </c>
      <c r="T771" t="s">
        <v>2640</v>
      </c>
      <c r="U771" t="s">
        <v>2640</v>
      </c>
      <c r="V771" t="s">
        <v>2640</v>
      </c>
    </row>
    <row r="772">
      <c r="R772" t="s">
        <v>2640</v>
      </c>
      <c r="S772" t="s">
        <v>2640</v>
      </c>
      <c r="T772" t="s">
        <v>2640</v>
      </c>
      <c r="U772" t="s">
        <v>2640</v>
      </c>
      <c r="V772" t="s">
        <v>2640</v>
      </c>
    </row>
    <row r="773">
      <c r="R773" t="s">
        <v>2640</v>
      </c>
      <c r="S773" t="s">
        <v>2640</v>
      </c>
      <c r="T773" t="s">
        <v>2640</v>
      </c>
      <c r="U773" t="s">
        <v>2640</v>
      </c>
      <c r="V773" t="s">
        <v>2640</v>
      </c>
    </row>
    <row r="774">
      <c r="R774" t="s">
        <v>2640</v>
      </c>
      <c r="S774" t="s">
        <v>2640</v>
      </c>
      <c r="T774" t="s">
        <v>2640</v>
      </c>
      <c r="U774" t="s">
        <v>2640</v>
      </c>
      <c r="V774" t="s">
        <v>2640</v>
      </c>
    </row>
    <row r="775">
      <c r="R775" t="s">
        <v>2640</v>
      </c>
      <c r="S775" t="s">
        <v>2640</v>
      </c>
      <c r="T775" t="s">
        <v>2640</v>
      </c>
      <c r="U775" t="s">
        <v>2640</v>
      </c>
      <c r="V775" t="s">
        <v>2640</v>
      </c>
    </row>
    <row r="776">
      <c r="R776" t="s">
        <v>2640</v>
      </c>
      <c r="S776" t="s">
        <v>2640</v>
      </c>
      <c r="T776" t="s">
        <v>2640</v>
      </c>
      <c r="U776" t="s">
        <v>2640</v>
      </c>
      <c r="V776" t="s">
        <v>2640</v>
      </c>
    </row>
    <row r="777">
      <c r="R777" t="s">
        <v>2640</v>
      </c>
      <c r="S777" t="s">
        <v>2640</v>
      </c>
      <c r="T777" t="s">
        <v>2640</v>
      </c>
      <c r="U777" t="s">
        <v>2640</v>
      </c>
      <c r="V777" t="s">
        <v>2640</v>
      </c>
    </row>
    <row r="778">
      <c r="R778" t="s">
        <v>2640</v>
      </c>
      <c r="S778" t="s">
        <v>2640</v>
      </c>
      <c r="T778" t="s">
        <v>2640</v>
      </c>
      <c r="U778" t="s">
        <v>2640</v>
      </c>
      <c r="V778" t="s">
        <v>2640</v>
      </c>
    </row>
    <row r="779">
      <c r="R779" t="s">
        <v>2640</v>
      </c>
      <c r="S779" t="s">
        <v>2640</v>
      </c>
      <c r="T779" t="s">
        <v>2640</v>
      </c>
      <c r="U779" t="s">
        <v>2640</v>
      </c>
      <c r="V779" t="s">
        <v>2640</v>
      </c>
    </row>
    <row r="780">
      <c r="R780" t="s">
        <v>2640</v>
      </c>
      <c r="S780" t="s">
        <v>2640</v>
      </c>
      <c r="T780" t="s">
        <v>2640</v>
      </c>
      <c r="U780" t="s">
        <v>2640</v>
      </c>
      <c r="V780" t="s">
        <v>2640</v>
      </c>
    </row>
    <row r="781">
      <c r="R781" t="s">
        <v>2640</v>
      </c>
      <c r="S781" t="s">
        <v>2640</v>
      </c>
      <c r="T781" t="s">
        <v>2640</v>
      </c>
      <c r="U781" t="s">
        <v>2640</v>
      </c>
      <c r="V781" t="s">
        <v>2640</v>
      </c>
    </row>
    <row r="782">
      <c r="R782" t="s">
        <v>2640</v>
      </c>
      <c r="S782" t="s">
        <v>2640</v>
      </c>
      <c r="T782" t="s">
        <v>2640</v>
      </c>
      <c r="U782" t="s">
        <v>2640</v>
      </c>
      <c r="V782" t="s">
        <v>2640</v>
      </c>
    </row>
    <row r="783">
      <c r="R783" t="s">
        <v>2640</v>
      </c>
      <c r="S783" t="s">
        <v>2640</v>
      </c>
      <c r="T783" t="s">
        <v>2640</v>
      </c>
      <c r="U783" t="s">
        <v>2640</v>
      </c>
      <c r="V783" t="s">
        <v>2640</v>
      </c>
    </row>
    <row r="784">
      <c r="R784" t="s">
        <v>2640</v>
      </c>
      <c r="S784" t="s">
        <v>2640</v>
      </c>
      <c r="T784" t="s">
        <v>2640</v>
      </c>
      <c r="U784" t="s">
        <v>2640</v>
      </c>
      <c r="V784" t="s">
        <v>2640</v>
      </c>
    </row>
    <row r="785">
      <c r="R785" t="s">
        <v>2640</v>
      </c>
      <c r="S785" t="s">
        <v>2640</v>
      </c>
      <c r="T785" t="s">
        <v>2640</v>
      </c>
      <c r="U785" t="s">
        <v>2640</v>
      </c>
      <c r="V785" t="s">
        <v>2640</v>
      </c>
    </row>
    <row r="786">
      <c r="R786" t="s">
        <v>2640</v>
      </c>
      <c r="S786" t="s">
        <v>2640</v>
      </c>
      <c r="T786" t="s">
        <v>2640</v>
      </c>
      <c r="U786" t="s">
        <v>2640</v>
      </c>
      <c r="V786" t="s">
        <v>2640</v>
      </c>
    </row>
    <row r="787">
      <c r="R787" t="s">
        <v>2640</v>
      </c>
      <c r="S787" t="s">
        <v>2640</v>
      </c>
      <c r="T787" t="s">
        <v>2640</v>
      </c>
      <c r="U787" t="s">
        <v>2640</v>
      </c>
      <c r="V787" t="s">
        <v>2640</v>
      </c>
    </row>
    <row r="788">
      <c r="R788" t="s">
        <v>2640</v>
      </c>
      <c r="S788" t="s">
        <v>2640</v>
      </c>
      <c r="T788" t="s">
        <v>2640</v>
      </c>
      <c r="U788" t="s">
        <v>2640</v>
      </c>
      <c r="V788" t="s">
        <v>2640</v>
      </c>
    </row>
    <row r="789">
      <c r="R789" t="s">
        <v>2640</v>
      </c>
      <c r="S789" t="s">
        <v>2640</v>
      </c>
      <c r="T789" t="s">
        <v>2640</v>
      </c>
      <c r="U789" t="s">
        <v>2640</v>
      </c>
      <c r="V789" t="s">
        <v>2640</v>
      </c>
    </row>
    <row r="790">
      <c r="R790" t="s">
        <v>2640</v>
      </c>
      <c r="S790" t="s">
        <v>2640</v>
      </c>
      <c r="T790" t="s">
        <v>2640</v>
      </c>
      <c r="U790" t="s">
        <v>2640</v>
      </c>
      <c r="V790" t="s">
        <v>2640</v>
      </c>
    </row>
    <row r="791">
      <c r="R791" t="s">
        <v>2640</v>
      </c>
      <c r="S791" t="s">
        <v>2640</v>
      </c>
      <c r="T791" t="s">
        <v>2640</v>
      </c>
      <c r="U791" t="s">
        <v>2640</v>
      </c>
      <c r="V791" t="s">
        <v>2640</v>
      </c>
    </row>
    <row r="792">
      <c r="R792" t="s">
        <v>2640</v>
      </c>
      <c r="S792" t="s">
        <v>2640</v>
      </c>
      <c r="T792" t="s">
        <v>2640</v>
      </c>
      <c r="U792" t="s">
        <v>2640</v>
      </c>
      <c r="V792" t="s">
        <v>2640</v>
      </c>
    </row>
    <row r="793">
      <c r="R793" t="s">
        <v>2640</v>
      </c>
      <c r="S793" t="s">
        <v>2640</v>
      </c>
      <c r="T793" t="s">
        <v>2640</v>
      </c>
      <c r="U793" t="s">
        <v>2640</v>
      </c>
      <c r="V793" t="s">
        <v>2640</v>
      </c>
    </row>
    <row r="794">
      <c r="R794" t="s">
        <v>2640</v>
      </c>
      <c r="S794" t="s">
        <v>2640</v>
      </c>
      <c r="T794" t="s">
        <v>2640</v>
      </c>
      <c r="U794" t="s">
        <v>2640</v>
      </c>
      <c r="V794" t="s">
        <v>2640</v>
      </c>
    </row>
    <row r="795">
      <c r="R795" t="s">
        <v>2640</v>
      </c>
      <c r="S795" t="s">
        <v>2640</v>
      </c>
      <c r="T795" t="s">
        <v>2640</v>
      </c>
      <c r="U795" t="s">
        <v>2640</v>
      </c>
      <c r="V795" t="s">
        <v>2640</v>
      </c>
    </row>
    <row r="796">
      <c r="R796" t="s">
        <v>2640</v>
      </c>
      <c r="S796" t="s">
        <v>2640</v>
      </c>
      <c r="T796" t="s">
        <v>2640</v>
      </c>
      <c r="U796" t="s">
        <v>2640</v>
      </c>
      <c r="V796" t="s">
        <v>2640</v>
      </c>
    </row>
    <row r="797">
      <c r="R797" t="s">
        <v>2640</v>
      </c>
      <c r="S797" t="s">
        <v>2640</v>
      </c>
      <c r="T797" t="s">
        <v>2640</v>
      </c>
      <c r="U797" t="s">
        <v>2640</v>
      </c>
      <c r="V797" t="s">
        <v>2640</v>
      </c>
    </row>
    <row r="798">
      <c r="R798" t="s">
        <v>2640</v>
      </c>
      <c r="S798" t="s">
        <v>2640</v>
      </c>
      <c r="T798" t="s">
        <v>2640</v>
      </c>
      <c r="U798" t="s">
        <v>2640</v>
      </c>
      <c r="V798" t="s">
        <v>2640</v>
      </c>
    </row>
    <row r="799">
      <c r="R799" t="s">
        <v>2640</v>
      </c>
      <c r="S799" t="s">
        <v>2640</v>
      </c>
      <c r="T799" t="s">
        <v>2640</v>
      </c>
      <c r="U799" t="s">
        <v>2640</v>
      </c>
      <c r="V799" t="s">
        <v>2640</v>
      </c>
    </row>
    <row r="800">
      <c r="R800" t="s">
        <v>2640</v>
      </c>
      <c r="S800" t="s">
        <v>2640</v>
      </c>
      <c r="T800" t="s">
        <v>2640</v>
      </c>
      <c r="U800" t="s">
        <v>2640</v>
      </c>
      <c r="V800" t="s">
        <v>2640</v>
      </c>
    </row>
    <row r="801">
      <c r="R801" t="s">
        <v>2640</v>
      </c>
      <c r="S801" t="s">
        <v>2640</v>
      </c>
      <c r="T801" t="s">
        <v>2640</v>
      </c>
      <c r="U801" t="s">
        <v>2640</v>
      </c>
      <c r="V801" t="s">
        <v>2640</v>
      </c>
    </row>
    <row r="802">
      <c r="R802" t="s">
        <v>2640</v>
      </c>
      <c r="S802" t="s">
        <v>2640</v>
      </c>
      <c r="T802" t="s">
        <v>2640</v>
      </c>
      <c r="U802" t="s">
        <v>2640</v>
      </c>
      <c r="V802" t="s">
        <v>2640</v>
      </c>
    </row>
    <row r="803">
      <c r="R803" t="s">
        <v>2640</v>
      </c>
      <c r="S803" t="s">
        <v>2640</v>
      </c>
      <c r="T803" t="s">
        <v>2640</v>
      </c>
      <c r="U803" t="s">
        <v>2640</v>
      </c>
      <c r="V803" t="s">
        <v>2640</v>
      </c>
    </row>
    <row r="804">
      <c r="R804" t="s">
        <v>2640</v>
      </c>
      <c r="S804" t="s">
        <v>2640</v>
      </c>
      <c r="T804" t="s">
        <v>2640</v>
      </c>
      <c r="U804" t="s">
        <v>2640</v>
      </c>
      <c r="V804" t="s">
        <v>2640</v>
      </c>
    </row>
    <row r="805">
      <c r="R805" t="s">
        <v>2640</v>
      </c>
      <c r="S805" t="s">
        <v>2640</v>
      </c>
      <c r="T805" t="s">
        <v>2640</v>
      </c>
      <c r="U805" t="s">
        <v>2640</v>
      </c>
      <c r="V805" t="s">
        <v>2640</v>
      </c>
    </row>
    <row r="806">
      <c r="R806" t="s">
        <v>2640</v>
      </c>
      <c r="S806" t="s">
        <v>2640</v>
      </c>
      <c r="T806" t="s">
        <v>2640</v>
      </c>
      <c r="U806" t="s">
        <v>2640</v>
      </c>
      <c r="V806" t="s">
        <v>2640</v>
      </c>
    </row>
    <row r="807">
      <c r="R807" t="s">
        <v>2640</v>
      </c>
      <c r="S807" t="s">
        <v>2640</v>
      </c>
      <c r="T807" t="s">
        <v>2640</v>
      </c>
      <c r="U807" t="s">
        <v>2640</v>
      </c>
      <c r="V807" t="s">
        <v>2640</v>
      </c>
    </row>
    <row r="808">
      <c r="R808" t="s">
        <v>2640</v>
      </c>
      <c r="S808" t="s">
        <v>2640</v>
      </c>
      <c r="T808" t="s">
        <v>2640</v>
      </c>
      <c r="U808" t="s">
        <v>2640</v>
      </c>
      <c r="V808" t="s">
        <v>2640</v>
      </c>
    </row>
    <row r="809">
      <c r="R809" t="s">
        <v>2640</v>
      </c>
      <c r="S809" t="s">
        <v>2640</v>
      </c>
      <c r="T809" t="s">
        <v>2640</v>
      </c>
      <c r="U809" t="s">
        <v>2640</v>
      </c>
      <c r="V809" t="s">
        <v>2640</v>
      </c>
    </row>
    <row r="810">
      <c r="R810" t="s">
        <v>2640</v>
      </c>
      <c r="S810" t="s">
        <v>2640</v>
      </c>
      <c r="T810" t="s">
        <v>2640</v>
      </c>
      <c r="U810" t="s">
        <v>2640</v>
      </c>
      <c r="V810" t="s">
        <v>2640</v>
      </c>
    </row>
    <row r="811">
      <c r="R811" t="s">
        <v>2640</v>
      </c>
      <c r="S811" t="s">
        <v>2640</v>
      </c>
      <c r="T811" t="s">
        <v>2640</v>
      </c>
      <c r="U811" t="s">
        <v>2640</v>
      </c>
      <c r="V811" t="s">
        <v>2640</v>
      </c>
    </row>
    <row r="812">
      <c r="R812" t="s">
        <v>2640</v>
      </c>
      <c r="S812" t="s">
        <v>2640</v>
      </c>
      <c r="T812" t="s">
        <v>2640</v>
      </c>
      <c r="U812" t="s">
        <v>2640</v>
      </c>
      <c r="V812" t="s">
        <v>2640</v>
      </c>
    </row>
    <row r="813">
      <c r="R813" t="s">
        <v>2640</v>
      </c>
      <c r="S813" t="s">
        <v>2640</v>
      </c>
      <c r="T813" t="s">
        <v>2640</v>
      </c>
      <c r="U813" t="s">
        <v>2640</v>
      </c>
      <c r="V813" t="s">
        <v>2640</v>
      </c>
    </row>
    <row r="814">
      <c r="R814" t="s">
        <v>2640</v>
      </c>
      <c r="S814" t="s">
        <v>2640</v>
      </c>
      <c r="T814" t="s">
        <v>2640</v>
      </c>
      <c r="U814" t="s">
        <v>2640</v>
      </c>
      <c r="V814" t="s">
        <v>2640</v>
      </c>
    </row>
    <row r="815">
      <c r="R815" t="s">
        <v>2640</v>
      </c>
      <c r="S815" t="s">
        <v>2640</v>
      </c>
      <c r="T815" t="s">
        <v>2640</v>
      </c>
      <c r="U815" t="s">
        <v>2640</v>
      </c>
      <c r="V815" t="s">
        <v>2640</v>
      </c>
    </row>
    <row r="816">
      <c r="R816" t="s">
        <v>2640</v>
      </c>
      <c r="S816" t="s">
        <v>2640</v>
      </c>
      <c r="T816" t="s">
        <v>2640</v>
      </c>
      <c r="U816" t="s">
        <v>2640</v>
      </c>
      <c r="V816" t="s">
        <v>2640</v>
      </c>
    </row>
    <row r="817">
      <c r="R817" t="s">
        <v>2640</v>
      </c>
      <c r="S817" t="s">
        <v>2640</v>
      </c>
      <c r="T817" t="s">
        <v>2640</v>
      </c>
      <c r="U817" t="s">
        <v>2640</v>
      </c>
      <c r="V817" t="s">
        <v>2640</v>
      </c>
    </row>
    <row r="818">
      <c r="R818" t="s">
        <v>2640</v>
      </c>
      <c r="S818" t="s">
        <v>2640</v>
      </c>
      <c r="T818" t="s">
        <v>2640</v>
      </c>
      <c r="U818" t="s">
        <v>2640</v>
      </c>
      <c r="V818" t="s">
        <v>2640</v>
      </c>
    </row>
    <row r="819">
      <c r="R819" t="s">
        <v>2640</v>
      </c>
      <c r="S819" t="s">
        <v>2640</v>
      </c>
      <c r="T819" t="s">
        <v>2640</v>
      </c>
      <c r="U819" t="s">
        <v>2640</v>
      </c>
      <c r="V819" t="s">
        <v>2640</v>
      </c>
    </row>
    <row r="820">
      <c r="R820" t="s">
        <v>2640</v>
      </c>
      <c r="S820" t="s">
        <v>2640</v>
      </c>
      <c r="T820" t="s">
        <v>2640</v>
      </c>
      <c r="U820" t="s">
        <v>2640</v>
      </c>
      <c r="V820" t="s">
        <v>2640</v>
      </c>
    </row>
    <row r="821">
      <c r="R821" t="s">
        <v>2640</v>
      </c>
      <c r="S821" t="s">
        <v>2640</v>
      </c>
      <c r="T821" t="s">
        <v>2640</v>
      </c>
      <c r="U821" t="s">
        <v>2640</v>
      </c>
      <c r="V821" t="s">
        <v>2640</v>
      </c>
    </row>
    <row r="822">
      <c r="R822" t="s">
        <v>2640</v>
      </c>
      <c r="S822" t="s">
        <v>2640</v>
      </c>
      <c r="T822" t="s">
        <v>2640</v>
      </c>
      <c r="U822" t="s">
        <v>2640</v>
      </c>
      <c r="V822" t="s">
        <v>2640</v>
      </c>
    </row>
    <row r="823">
      <c r="R823" t="s">
        <v>2640</v>
      </c>
      <c r="S823" t="s">
        <v>2640</v>
      </c>
      <c r="T823" t="s">
        <v>2640</v>
      </c>
      <c r="U823" t="s">
        <v>2640</v>
      </c>
      <c r="V823" t="s">
        <v>2640</v>
      </c>
    </row>
    <row r="824">
      <c r="R824" t="s">
        <v>2640</v>
      </c>
      <c r="S824" t="s">
        <v>2640</v>
      </c>
      <c r="T824" t="s">
        <v>2640</v>
      </c>
      <c r="U824" t="s">
        <v>2640</v>
      </c>
      <c r="V824" t="s">
        <v>2640</v>
      </c>
    </row>
    <row r="825">
      <c r="R825" t="s">
        <v>2640</v>
      </c>
      <c r="S825" t="s">
        <v>2640</v>
      </c>
      <c r="T825" t="s">
        <v>2640</v>
      </c>
      <c r="U825" t="s">
        <v>2640</v>
      </c>
      <c r="V825" t="s">
        <v>2640</v>
      </c>
    </row>
    <row r="826">
      <c r="R826" t="s">
        <v>2640</v>
      </c>
      <c r="S826" t="s">
        <v>2640</v>
      </c>
      <c r="T826" t="s">
        <v>2640</v>
      </c>
      <c r="U826" t="s">
        <v>2640</v>
      </c>
      <c r="V826" t="s">
        <v>2640</v>
      </c>
    </row>
    <row r="827">
      <c r="R827" t="s">
        <v>2640</v>
      </c>
      <c r="S827" t="s">
        <v>2640</v>
      </c>
      <c r="T827" t="s">
        <v>2640</v>
      </c>
      <c r="U827" t="s">
        <v>2640</v>
      </c>
      <c r="V827" t="s">
        <v>2640</v>
      </c>
    </row>
    <row r="828">
      <c r="R828" t="s">
        <v>2640</v>
      </c>
      <c r="S828" t="s">
        <v>2640</v>
      </c>
      <c r="T828" t="s">
        <v>2640</v>
      </c>
      <c r="U828" t="s">
        <v>2640</v>
      </c>
      <c r="V828" t="s">
        <v>2640</v>
      </c>
    </row>
    <row r="829">
      <c r="R829" t="s">
        <v>2640</v>
      </c>
      <c r="S829" t="s">
        <v>2640</v>
      </c>
      <c r="T829" t="s">
        <v>2640</v>
      </c>
      <c r="U829" t="s">
        <v>2640</v>
      </c>
      <c r="V829" t="s">
        <v>2640</v>
      </c>
    </row>
    <row r="830">
      <c r="R830" t="s">
        <v>2640</v>
      </c>
      <c r="S830" t="s">
        <v>2640</v>
      </c>
      <c r="T830" t="s">
        <v>2640</v>
      </c>
      <c r="U830" t="s">
        <v>2640</v>
      </c>
      <c r="V830" t="s">
        <v>2640</v>
      </c>
    </row>
    <row r="831">
      <c r="R831" t="s">
        <v>2640</v>
      </c>
      <c r="S831" t="s">
        <v>2640</v>
      </c>
      <c r="T831" t="s">
        <v>2640</v>
      </c>
      <c r="U831" t="s">
        <v>2640</v>
      </c>
      <c r="V831" t="s">
        <v>2640</v>
      </c>
    </row>
    <row r="832">
      <c r="R832" t="s">
        <v>2640</v>
      </c>
      <c r="S832" t="s">
        <v>2640</v>
      </c>
      <c r="T832" t="s">
        <v>2640</v>
      </c>
      <c r="U832" t="s">
        <v>2640</v>
      </c>
      <c r="V832" t="s">
        <v>2640</v>
      </c>
    </row>
    <row r="833">
      <c r="R833" t="s">
        <v>2640</v>
      </c>
      <c r="S833" t="s">
        <v>2640</v>
      </c>
      <c r="T833" t="s">
        <v>2640</v>
      </c>
      <c r="U833" t="s">
        <v>2640</v>
      </c>
      <c r="V833" t="s">
        <v>2640</v>
      </c>
    </row>
    <row r="834">
      <c r="R834" t="s">
        <v>2640</v>
      </c>
      <c r="S834" t="s">
        <v>2640</v>
      </c>
      <c r="T834" t="s">
        <v>2640</v>
      </c>
      <c r="U834" t="s">
        <v>2640</v>
      </c>
      <c r="V834" t="s">
        <v>2640</v>
      </c>
    </row>
    <row r="835">
      <c r="R835" t="s">
        <v>2640</v>
      </c>
      <c r="S835" t="s">
        <v>2640</v>
      </c>
      <c r="T835" t="s">
        <v>2640</v>
      </c>
      <c r="U835" t="s">
        <v>2640</v>
      </c>
      <c r="V835" t="s">
        <v>2640</v>
      </c>
    </row>
    <row r="836">
      <c r="R836" t="s">
        <v>2640</v>
      </c>
      <c r="S836" t="s">
        <v>2640</v>
      </c>
      <c r="T836" t="s">
        <v>2640</v>
      </c>
      <c r="U836" t="s">
        <v>2640</v>
      </c>
      <c r="V836" t="s">
        <v>2640</v>
      </c>
    </row>
    <row r="837">
      <c r="R837" t="s">
        <v>2640</v>
      </c>
      <c r="S837" t="s">
        <v>2640</v>
      </c>
      <c r="T837" t="s">
        <v>2640</v>
      </c>
      <c r="U837" t="s">
        <v>2640</v>
      </c>
      <c r="V837" t="s">
        <v>2640</v>
      </c>
    </row>
    <row r="838">
      <c r="R838" t="s">
        <v>2640</v>
      </c>
      <c r="S838" t="s">
        <v>2640</v>
      </c>
      <c r="T838" t="s">
        <v>2640</v>
      </c>
      <c r="U838" t="s">
        <v>2640</v>
      </c>
      <c r="V838" t="s">
        <v>2640</v>
      </c>
    </row>
    <row r="839">
      <c r="R839" t="s">
        <v>2640</v>
      </c>
      <c r="S839" t="s">
        <v>2640</v>
      </c>
      <c r="T839" t="s">
        <v>2640</v>
      </c>
      <c r="U839" t="s">
        <v>2640</v>
      </c>
      <c r="V839" t="s">
        <v>2640</v>
      </c>
    </row>
    <row r="840">
      <c r="R840" t="s">
        <v>2640</v>
      </c>
      <c r="S840" t="s">
        <v>2640</v>
      </c>
      <c r="T840" t="s">
        <v>2640</v>
      </c>
      <c r="U840" t="s">
        <v>2640</v>
      </c>
      <c r="V840" t="s">
        <v>2640</v>
      </c>
    </row>
    <row r="841">
      <c r="R841" t="s">
        <v>2640</v>
      </c>
      <c r="S841" t="s">
        <v>2640</v>
      </c>
      <c r="T841" t="s">
        <v>2640</v>
      </c>
      <c r="U841" t="s">
        <v>2640</v>
      </c>
      <c r="V841" t="s">
        <v>2640</v>
      </c>
    </row>
    <row r="842">
      <c r="R842" t="s">
        <v>2640</v>
      </c>
      <c r="S842" t="s">
        <v>2640</v>
      </c>
      <c r="T842" t="s">
        <v>2640</v>
      </c>
      <c r="U842" t="s">
        <v>2640</v>
      </c>
      <c r="V842" t="s">
        <v>2640</v>
      </c>
    </row>
    <row r="843">
      <c r="R843" t="s">
        <v>2640</v>
      </c>
      <c r="S843" t="s">
        <v>2640</v>
      </c>
      <c r="T843" t="s">
        <v>2640</v>
      </c>
      <c r="U843" t="s">
        <v>2640</v>
      </c>
      <c r="V843" t="s">
        <v>2640</v>
      </c>
    </row>
    <row r="844">
      <c r="R844" t="s">
        <v>2640</v>
      </c>
      <c r="S844" t="s">
        <v>2640</v>
      </c>
      <c r="T844" t="s">
        <v>2640</v>
      </c>
      <c r="U844" t="s">
        <v>2640</v>
      </c>
      <c r="V844" t="s">
        <v>2640</v>
      </c>
    </row>
    <row r="845">
      <c r="R845" t="s">
        <v>2640</v>
      </c>
      <c r="S845" t="s">
        <v>2640</v>
      </c>
      <c r="T845" t="s">
        <v>2640</v>
      </c>
      <c r="U845" t="s">
        <v>2640</v>
      </c>
      <c r="V845" t="s">
        <v>2640</v>
      </c>
    </row>
    <row r="846">
      <c r="R846" t="s">
        <v>2640</v>
      </c>
      <c r="S846" t="s">
        <v>2640</v>
      </c>
      <c r="T846" t="s">
        <v>2640</v>
      </c>
      <c r="U846" t="s">
        <v>2640</v>
      </c>
      <c r="V846" t="s">
        <v>2640</v>
      </c>
    </row>
    <row r="847">
      <c r="R847" t="s">
        <v>2640</v>
      </c>
      <c r="S847" t="s">
        <v>2640</v>
      </c>
      <c r="T847" t="s">
        <v>2640</v>
      </c>
      <c r="U847" t="s">
        <v>2640</v>
      </c>
      <c r="V847" t="s">
        <v>2640</v>
      </c>
    </row>
    <row r="848">
      <c r="R848" t="s">
        <v>2640</v>
      </c>
      <c r="S848" t="s">
        <v>2640</v>
      </c>
      <c r="T848" t="s">
        <v>2640</v>
      </c>
      <c r="U848" t="s">
        <v>2640</v>
      </c>
      <c r="V848" t="s">
        <v>2640</v>
      </c>
    </row>
    <row r="849">
      <c r="R849" t="s">
        <v>2640</v>
      </c>
      <c r="S849" t="s">
        <v>2640</v>
      </c>
      <c r="T849" t="s">
        <v>2640</v>
      </c>
      <c r="U849" t="s">
        <v>2640</v>
      </c>
      <c r="V849" t="s">
        <v>2640</v>
      </c>
    </row>
    <row r="850">
      <c r="R850" t="s">
        <v>2640</v>
      </c>
      <c r="S850" t="s">
        <v>2640</v>
      </c>
      <c r="T850" t="s">
        <v>2640</v>
      </c>
      <c r="U850" t="s">
        <v>2640</v>
      </c>
      <c r="V850" t="s">
        <v>2640</v>
      </c>
    </row>
    <row r="851">
      <c r="R851" t="s">
        <v>2640</v>
      </c>
      <c r="S851" t="s">
        <v>2640</v>
      </c>
      <c r="T851" t="s">
        <v>2640</v>
      </c>
      <c r="U851" t="s">
        <v>2640</v>
      </c>
      <c r="V851" t="s">
        <v>2640</v>
      </c>
    </row>
    <row r="852">
      <c r="R852" t="s">
        <v>2640</v>
      </c>
      <c r="S852" t="s">
        <v>2640</v>
      </c>
      <c r="T852" t="s">
        <v>2640</v>
      </c>
      <c r="U852" t="s">
        <v>2640</v>
      </c>
      <c r="V852" t="s">
        <v>2640</v>
      </c>
    </row>
    <row r="853">
      <c r="R853" t="s">
        <v>2640</v>
      </c>
      <c r="S853" t="s">
        <v>2640</v>
      </c>
      <c r="T853" t="s">
        <v>2640</v>
      </c>
      <c r="U853" t="s">
        <v>2640</v>
      </c>
      <c r="V853" t="s">
        <v>2640</v>
      </c>
    </row>
    <row r="854">
      <c r="R854" t="s">
        <v>2640</v>
      </c>
      <c r="S854" t="s">
        <v>2640</v>
      </c>
      <c r="T854" t="s">
        <v>2640</v>
      </c>
      <c r="U854" t="s">
        <v>2640</v>
      </c>
      <c r="V854" t="s">
        <v>2640</v>
      </c>
    </row>
    <row r="855">
      <c r="R855" t="s">
        <v>2640</v>
      </c>
      <c r="S855" t="s">
        <v>2640</v>
      </c>
      <c r="T855" t="s">
        <v>2640</v>
      </c>
      <c r="U855" t="s">
        <v>2640</v>
      </c>
      <c r="V855" t="s">
        <v>2640</v>
      </c>
    </row>
    <row r="856">
      <c r="R856" t="s">
        <v>2640</v>
      </c>
      <c r="S856" t="s">
        <v>2640</v>
      </c>
      <c r="T856" t="s">
        <v>2640</v>
      </c>
      <c r="U856" t="s">
        <v>2640</v>
      </c>
      <c r="V856" t="s">
        <v>2640</v>
      </c>
    </row>
    <row r="857">
      <c r="R857" t="s">
        <v>2640</v>
      </c>
      <c r="S857" t="s">
        <v>2640</v>
      </c>
      <c r="T857" t="s">
        <v>2640</v>
      </c>
      <c r="U857" t="s">
        <v>2640</v>
      </c>
      <c r="V857" t="s">
        <v>2640</v>
      </c>
    </row>
    <row r="858">
      <c r="R858" t="s">
        <v>2640</v>
      </c>
      <c r="S858" t="s">
        <v>2640</v>
      </c>
      <c r="T858" t="s">
        <v>2640</v>
      </c>
      <c r="U858" t="s">
        <v>2640</v>
      </c>
      <c r="V858" t="s">
        <v>2640</v>
      </c>
    </row>
    <row r="859">
      <c r="R859" t="s">
        <v>2640</v>
      </c>
      <c r="S859" t="s">
        <v>2640</v>
      </c>
      <c r="T859" t="s">
        <v>2640</v>
      </c>
      <c r="U859" t="s">
        <v>2640</v>
      </c>
      <c r="V859" t="s">
        <v>2640</v>
      </c>
    </row>
    <row r="860">
      <c r="R860" t="s">
        <v>2640</v>
      </c>
      <c r="S860" t="s">
        <v>2640</v>
      </c>
      <c r="T860" t="s">
        <v>2640</v>
      </c>
      <c r="U860" t="s">
        <v>2640</v>
      </c>
      <c r="V860" t="s">
        <v>2640</v>
      </c>
    </row>
    <row r="861">
      <c r="R861" t="s">
        <v>2640</v>
      </c>
      <c r="S861" t="s">
        <v>2640</v>
      </c>
      <c r="T861" t="s">
        <v>2640</v>
      </c>
      <c r="U861" t="s">
        <v>2640</v>
      </c>
      <c r="V861" t="s">
        <v>2640</v>
      </c>
    </row>
    <row r="862">
      <c r="R862" t="s">
        <v>2640</v>
      </c>
      <c r="S862" t="s">
        <v>2640</v>
      </c>
      <c r="T862" t="s">
        <v>2640</v>
      </c>
      <c r="U862" t="s">
        <v>2640</v>
      </c>
      <c r="V862" t="s">
        <v>2640</v>
      </c>
    </row>
    <row r="863">
      <c r="R863" t="s">
        <v>2640</v>
      </c>
      <c r="S863" t="s">
        <v>2640</v>
      </c>
      <c r="T863" t="s">
        <v>2640</v>
      </c>
      <c r="U863" t="s">
        <v>2640</v>
      </c>
      <c r="V863" t="s">
        <v>2640</v>
      </c>
    </row>
    <row r="864">
      <c r="R864" t="s">
        <v>2640</v>
      </c>
      <c r="S864" t="s">
        <v>2640</v>
      </c>
      <c r="T864" t="s">
        <v>2640</v>
      </c>
      <c r="U864" t="s">
        <v>2640</v>
      </c>
      <c r="V864" t="s">
        <v>2640</v>
      </c>
    </row>
    <row r="865">
      <c r="R865" t="s">
        <v>2640</v>
      </c>
      <c r="S865" t="s">
        <v>2640</v>
      </c>
      <c r="T865" t="s">
        <v>2640</v>
      </c>
      <c r="U865" t="s">
        <v>2640</v>
      </c>
      <c r="V865" t="s">
        <v>2640</v>
      </c>
    </row>
    <row r="866">
      <c r="R866" t="s">
        <v>2640</v>
      </c>
      <c r="S866" t="s">
        <v>2640</v>
      </c>
      <c r="T866" t="s">
        <v>2640</v>
      </c>
      <c r="U866" t="s">
        <v>2640</v>
      </c>
      <c r="V866" t="s">
        <v>2640</v>
      </c>
    </row>
    <row r="867">
      <c r="R867" t="s">
        <v>2640</v>
      </c>
      <c r="S867" t="s">
        <v>2640</v>
      </c>
      <c r="T867" t="s">
        <v>2640</v>
      </c>
      <c r="U867" t="s">
        <v>2640</v>
      </c>
      <c r="V867" t="s">
        <v>2640</v>
      </c>
    </row>
    <row r="868">
      <c r="R868" t="s">
        <v>2640</v>
      </c>
      <c r="S868" t="s">
        <v>2640</v>
      </c>
      <c r="T868" t="s">
        <v>2640</v>
      </c>
      <c r="U868" t="s">
        <v>2640</v>
      </c>
      <c r="V868" t="s">
        <v>2640</v>
      </c>
    </row>
    <row r="869">
      <c r="R869" t="s">
        <v>2640</v>
      </c>
      <c r="S869" t="s">
        <v>2640</v>
      </c>
      <c r="T869" t="s">
        <v>2640</v>
      </c>
      <c r="U869" t="s">
        <v>2640</v>
      </c>
      <c r="V869" t="s">
        <v>2640</v>
      </c>
    </row>
    <row r="870">
      <c r="R870" t="s">
        <v>2640</v>
      </c>
      <c r="S870" t="s">
        <v>2640</v>
      </c>
      <c r="T870" t="s">
        <v>2640</v>
      </c>
      <c r="U870" t="s">
        <v>2640</v>
      </c>
      <c r="V870" t="s">
        <v>2640</v>
      </c>
    </row>
    <row r="871">
      <c r="R871" t="s">
        <v>2640</v>
      </c>
      <c r="S871" t="s">
        <v>2640</v>
      </c>
      <c r="T871" t="s">
        <v>2640</v>
      </c>
      <c r="U871" t="s">
        <v>2640</v>
      </c>
      <c r="V871" t="s">
        <v>2640</v>
      </c>
    </row>
    <row r="872">
      <c r="R872" t="s">
        <v>2640</v>
      </c>
      <c r="S872" t="s">
        <v>2640</v>
      </c>
      <c r="T872" t="s">
        <v>2640</v>
      </c>
      <c r="U872" t="s">
        <v>2640</v>
      </c>
      <c r="V872" t="s">
        <v>2640</v>
      </c>
    </row>
    <row r="873">
      <c r="R873" t="s">
        <v>2640</v>
      </c>
      <c r="S873" t="s">
        <v>2640</v>
      </c>
      <c r="T873" t="s">
        <v>2640</v>
      </c>
      <c r="U873" t="s">
        <v>2640</v>
      </c>
      <c r="V873" t="s">
        <v>2640</v>
      </c>
    </row>
    <row r="874">
      <c r="R874" t="s">
        <v>2640</v>
      </c>
      <c r="S874" t="s">
        <v>2640</v>
      </c>
      <c r="T874" t="s">
        <v>2640</v>
      </c>
      <c r="U874" t="s">
        <v>2640</v>
      </c>
      <c r="V874" t="s">
        <v>2640</v>
      </c>
    </row>
    <row r="875">
      <c r="R875" t="s">
        <v>2640</v>
      </c>
      <c r="S875" t="s">
        <v>2640</v>
      </c>
      <c r="T875" t="s">
        <v>2640</v>
      </c>
      <c r="U875" t="s">
        <v>2640</v>
      </c>
      <c r="V875" t="s">
        <v>2640</v>
      </c>
    </row>
    <row r="876">
      <c r="R876" t="s">
        <v>2640</v>
      </c>
      <c r="S876" t="s">
        <v>2640</v>
      </c>
      <c r="T876" t="s">
        <v>2640</v>
      </c>
      <c r="U876" t="s">
        <v>2640</v>
      </c>
      <c r="V876" t="s">
        <v>2640</v>
      </c>
    </row>
    <row r="877">
      <c r="R877" t="s">
        <v>2640</v>
      </c>
      <c r="S877" t="s">
        <v>2640</v>
      </c>
      <c r="T877" t="s">
        <v>2640</v>
      </c>
      <c r="U877" t="s">
        <v>2640</v>
      </c>
      <c r="V877" t="s">
        <v>2640</v>
      </c>
    </row>
    <row r="878">
      <c r="R878" t="s">
        <v>2640</v>
      </c>
      <c r="S878" t="s">
        <v>2640</v>
      </c>
      <c r="T878" t="s">
        <v>2640</v>
      </c>
      <c r="U878" t="s">
        <v>2640</v>
      </c>
      <c r="V878" t="s">
        <v>2640</v>
      </c>
    </row>
    <row r="879">
      <c r="R879" t="s">
        <v>2640</v>
      </c>
      <c r="S879" t="s">
        <v>2640</v>
      </c>
      <c r="T879" t="s">
        <v>2640</v>
      </c>
      <c r="U879" t="s">
        <v>2640</v>
      </c>
      <c r="V879" t="s">
        <v>2640</v>
      </c>
    </row>
    <row r="880">
      <c r="R880" t="s">
        <v>2640</v>
      </c>
      <c r="S880" t="s">
        <v>2640</v>
      </c>
      <c r="T880" t="s">
        <v>2640</v>
      </c>
      <c r="U880" t="s">
        <v>2640</v>
      </c>
      <c r="V880" t="s">
        <v>2640</v>
      </c>
    </row>
    <row r="881">
      <c r="R881" t="s">
        <v>2640</v>
      </c>
      <c r="S881" t="s">
        <v>2640</v>
      </c>
      <c r="T881" t="s">
        <v>2640</v>
      </c>
      <c r="U881" t="s">
        <v>2640</v>
      </c>
      <c r="V881" t="s">
        <v>2640</v>
      </c>
    </row>
    <row r="882">
      <c r="R882" t="s">
        <v>2640</v>
      </c>
      <c r="S882" t="s">
        <v>2640</v>
      </c>
      <c r="T882" t="s">
        <v>2640</v>
      </c>
      <c r="U882" t="s">
        <v>2640</v>
      </c>
      <c r="V882" t="s">
        <v>2640</v>
      </c>
    </row>
    <row r="883">
      <c r="R883" t="s">
        <v>2640</v>
      </c>
      <c r="S883" t="s">
        <v>2640</v>
      </c>
      <c r="T883" t="s">
        <v>2640</v>
      </c>
      <c r="U883" t="s">
        <v>2640</v>
      </c>
      <c r="V883" t="s">
        <v>2640</v>
      </c>
    </row>
    <row r="884">
      <c r="R884" t="s">
        <v>2640</v>
      </c>
      <c r="S884" t="s">
        <v>2640</v>
      </c>
      <c r="T884" t="s">
        <v>2640</v>
      </c>
      <c r="U884" t="s">
        <v>2640</v>
      </c>
      <c r="V884" t="s">
        <v>2640</v>
      </c>
    </row>
    <row r="885">
      <c r="R885" t="s">
        <v>2640</v>
      </c>
      <c r="S885" t="s">
        <v>2640</v>
      </c>
      <c r="T885" t="s">
        <v>2640</v>
      </c>
      <c r="U885" t="s">
        <v>2640</v>
      </c>
      <c r="V885" t="s">
        <v>2640</v>
      </c>
    </row>
    <row r="886">
      <c r="R886" t="s">
        <v>2640</v>
      </c>
      <c r="S886" t="s">
        <v>2640</v>
      </c>
      <c r="T886" t="s">
        <v>2640</v>
      </c>
      <c r="U886" t="s">
        <v>2640</v>
      </c>
      <c r="V886" t="s">
        <v>2640</v>
      </c>
    </row>
    <row r="887">
      <c r="R887" t="s">
        <v>2640</v>
      </c>
      <c r="S887" t="s">
        <v>2640</v>
      </c>
      <c r="T887" t="s">
        <v>2640</v>
      </c>
      <c r="U887" t="s">
        <v>2640</v>
      </c>
      <c r="V887" t="s">
        <v>2640</v>
      </c>
    </row>
    <row r="888">
      <c r="R888" t="s">
        <v>2640</v>
      </c>
      <c r="S888" t="s">
        <v>2640</v>
      </c>
      <c r="T888" t="s">
        <v>2640</v>
      </c>
      <c r="U888" t="s">
        <v>2640</v>
      </c>
      <c r="V888" t="s">
        <v>2640</v>
      </c>
    </row>
    <row r="889">
      <c r="R889" t="s">
        <v>2640</v>
      </c>
      <c r="S889" t="s">
        <v>2640</v>
      </c>
      <c r="T889" t="s">
        <v>2640</v>
      </c>
      <c r="U889" t="s">
        <v>2640</v>
      </c>
      <c r="V889" t="s">
        <v>2640</v>
      </c>
    </row>
    <row r="890">
      <c r="R890" t="s">
        <v>2640</v>
      </c>
      <c r="S890" t="s">
        <v>2640</v>
      </c>
      <c r="T890" t="s">
        <v>2640</v>
      </c>
      <c r="U890" t="s">
        <v>2640</v>
      </c>
      <c r="V890" t="s">
        <v>2640</v>
      </c>
    </row>
    <row r="891">
      <c r="R891" t="s">
        <v>2640</v>
      </c>
      <c r="S891" t="s">
        <v>2640</v>
      </c>
      <c r="T891" t="s">
        <v>2640</v>
      </c>
      <c r="U891" t="s">
        <v>2640</v>
      </c>
      <c r="V891" t="s">
        <v>2640</v>
      </c>
    </row>
    <row r="892">
      <c r="R892" t="s">
        <v>2640</v>
      </c>
      <c r="S892" t="s">
        <v>2640</v>
      </c>
      <c r="T892" t="s">
        <v>2640</v>
      </c>
      <c r="U892" t="s">
        <v>2640</v>
      </c>
      <c r="V892" t="s">
        <v>2640</v>
      </c>
    </row>
    <row r="893">
      <c r="R893" t="s">
        <v>2640</v>
      </c>
      <c r="S893" t="s">
        <v>2640</v>
      </c>
      <c r="T893" t="s">
        <v>2640</v>
      </c>
      <c r="U893" t="s">
        <v>2640</v>
      </c>
      <c r="V893" t="s">
        <v>2640</v>
      </c>
    </row>
    <row r="894">
      <c r="R894" t="s">
        <v>2640</v>
      </c>
      <c r="S894" t="s">
        <v>2640</v>
      </c>
      <c r="T894" t="s">
        <v>2640</v>
      </c>
      <c r="U894" t="s">
        <v>2640</v>
      </c>
      <c r="V894" t="s">
        <v>2640</v>
      </c>
    </row>
    <row r="895">
      <c r="R895" t="s">
        <v>2640</v>
      </c>
      <c r="S895" t="s">
        <v>2640</v>
      </c>
      <c r="T895" t="s">
        <v>2640</v>
      </c>
      <c r="U895" t="s">
        <v>2640</v>
      </c>
      <c r="V895" t="s">
        <v>2640</v>
      </c>
    </row>
    <row r="896">
      <c r="R896" t="s">
        <v>2640</v>
      </c>
      <c r="S896" t="s">
        <v>2640</v>
      </c>
      <c r="T896" t="s">
        <v>2640</v>
      </c>
      <c r="U896" t="s">
        <v>2640</v>
      </c>
      <c r="V896" t="s">
        <v>2640</v>
      </c>
    </row>
    <row r="897">
      <c r="R897" t="s">
        <v>2640</v>
      </c>
      <c r="S897" t="s">
        <v>2640</v>
      </c>
      <c r="T897" t="s">
        <v>2640</v>
      </c>
      <c r="U897" t="s">
        <v>2640</v>
      </c>
      <c r="V897" t="s">
        <v>2640</v>
      </c>
    </row>
    <row r="898">
      <c r="R898" t="s">
        <v>2640</v>
      </c>
      <c r="S898" t="s">
        <v>2640</v>
      </c>
      <c r="T898" t="s">
        <v>2640</v>
      </c>
      <c r="U898" t="s">
        <v>2640</v>
      </c>
      <c r="V898" t="s">
        <v>2640</v>
      </c>
    </row>
    <row r="899">
      <c r="R899" t="s">
        <v>2640</v>
      </c>
      <c r="S899" t="s">
        <v>2640</v>
      </c>
      <c r="T899" t="s">
        <v>2640</v>
      </c>
      <c r="U899" t="s">
        <v>2640</v>
      </c>
      <c r="V899" t="s">
        <v>2640</v>
      </c>
    </row>
    <row r="900">
      <c r="R900" t="s">
        <v>2640</v>
      </c>
      <c r="S900" t="s">
        <v>2640</v>
      </c>
      <c r="T900" t="s">
        <v>2640</v>
      </c>
      <c r="U900" t="s">
        <v>2640</v>
      </c>
      <c r="V900" t="s">
        <v>2640</v>
      </c>
    </row>
    <row r="901">
      <c r="R901" t="s">
        <v>2640</v>
      </c>
      <c r="S901" t="s">
        <v>2640</v>
      </c>
      <c r="T901" t="s">
        <v>2640</v>
      </c>
      <c r="U901" t="s">
        <v>2640</v>
      </c>
      <c r="V901" t="s">
        <v>2640</v>
      </c>
    </row>
    <row r="902">
      <c r="R902" t="s">
        <v>2640</v>
      </c>
      <c r="S902" t="s">
        <v>2640</v>
      </c>
      <c r="T902" t="s">
        <v>2640</v>
      </c>
      <c r="U902" t="s">
        <v>2640</v>
      </c>
      <c r="V902" t="s">
        <v>2640</v>
      </c>
    </row>
    <row r="903">
      <c r="R903" t="s">
        <v>2640</v>
      </c>
      <c r="S903" t="s">
        <v>2640</v>
      </c>
      <c r="T903" t="s">
        <v>2640</v>
      </c>
      <c r="U903" t="s">
        <v>2640</v>
      </c>
      <c r="V903" t="s">
        <v>2640</v>
      </c>
    </row>
    <row r="904">
      <c r="R904" t="s">
        <v>2640</v>
      </c>
      <c r="S904" t="s">
        <v>2640</v>
      </c>
      <c r="T904" t="s">
        <v>2640</v>
      </c>
      <c r="U904" t="s">
        <v>2640</v>
      </c>
      <c r="V904" t="s">
        <v>2640</v>
      </c>
    </row>
    <row r="905">
      <c r="R905" t="s">
        <v>2640</v>
      </c>
      <c r="S905" t="s">
        <v>2640</v>
      </c>
      <c r="T905" t="s">
        <v>2640</v>
      </c>
      <c r="U905" t="s">
        <v>2640</v>
      </c>
      <c r="V905" t="s">
        <v>2640</v>
      </c>
    </row>
    <row r="906">
      <c r="R906" t="s">
        <v>2640</v>
      </c>
      <c r="S906" t="s">
        <v>2640</v>
      </c>
      <c r="T906" t="s">
        <v>2640</v>
      </c>
      <c r="U906" t="s">
        <v>2640</v>
      </c>
      <c r="V906" t="s">
        <v>2640</v>
      </c>
    </row>
    <row r="907">
      <c r="R907" t="s">
        <v>2640</v>
      </c>
      <c r="S907" t="s">
        <v>2640</v>
      </c>
      <c r="T907" t="s">
        <v>2640</v>
      </c>
      <c r="U907" t="s">
        <v>2640</v>
      </c>
      <c r="V907" t="s">
        <v>2640</v>
      </c>
    </row>
    <row r="908">
      <c r="R908" t="s">
        <v>2640</v>
      </c>
      <c r="S908" t="s">
        <v>2640</v>
      </c>
      <c r="T908" t="s">
        <v>2640</v>
      </c>
      <c r="U908" t="s">
        <v>2640</v>
      </c>
      <c r="V908" t="s">
        <v>2640</v>
      </c>
    </row>
    <row r="909">
      <c r="R909" t="s">
        <v>2640</v>
      </c>
      <c r="S909" t="s">
        <v>2640</v>
      </c>
      <c r="T909" t="s">
        <v>2640</v>
      </c>
      <c r="U909" t="s">
        <v>2640</v>
      </c>
      <c r="V909" t="s">
        <v>2640</v>
      </c>
    </row>
    <row r="910">
      <c r="R910" t="s">
        <v>2640</v>
      </c>
      <c r="S910" t="s">
        <v>2640</v>
      </c>
      <c r="T910" t="s">
        <v>2640</v>
      </c>
      <c r="U910" t="s">
        <v>2640</v>
      </c>
      <c r="V910" t="s">
        <v>2640</v>
      </c>
    </row>
    <row r="911">
      <c r="R911" t="s">
        <v>2640</v>
      </c>
      <c r="S911" t="s">
        <v>2640</v>
      </c>
      <c r="T911" t="s">
        <v>2640</v>
      </c>
      <c r="U911" t="s">
        <v>2640</v>
      </c>
      <c r="V911" t="s">
        <v>2640</v>
      </c>
    </row>
    <row r="912">
      <c r="R912" t="s">
        <v>2640</v>
      </c>
      <c r="S912" t="s">
        <v>2640</v>
      </c>
      <c r="T912" t="s">
        <v>2640</v>
      </c>
      <c r="U912" t="s">
        <v>2640</v>
      </c>
      <c r="V912" t="s">
        <v>2640</v>
      </c>
    </row>
    <row r="913">
      <c r="R913" t="s">
        <v>2640</v>
      </c>
      <c r="S913" t="s">
        <v>2640</v>
      </c>
      <c r="T913" t="s">
        <v>2640</v>
      </c>
      <c r="U913" t="s">
        <v>2640</v>
      </c>
      <c r="V913" t="s">
        <v>2640</v>
      </c>
    </row>
    <row r="914">
      <c r="R914" t="s">
        <v>2640</v>
      </c>
      <c r="S914" t="s">
        <v>2640</v>
      </c>
      <c r="T914" t="s">
        <v>2640</v>
      </c>
      <c r="U914" t="s">
        <v>2640</v>
      </c>
      <c r="V914" t="s">
        <v>2640</v>
      </c>
    </row>
    <row r="915">
      <c r="R915" t="s">
        <v>2640</v>
      </c>
      <c r="S915" t="s">
        <v>2640</v>
      </c>
      <c r="T915" t="s">
        <v>2640</v>
      </c>
      <c r="U915" t="s">
        <v>2640</v>
      </c>
      <c r="V915" t="s">
        <v>2640</v>
      </c>
    </row>
    <row r="916">
      <c r="R916" t="s">
        <v>2640</v>
      </c>
      <c r="S916" t="s">
        <v>2640</v>
      </c>
      <c r="T916" t="s">
        <v>2640</v>
      </c>
      <c r="U916" t="s">
        <v>2640</v>
      </c>
      <c r="V916" t="s">
        <v>2640</v>
      </c>
    </row>
    <row r="917">
      <c r="R917" t="s">
        <v>2640</v>
      </c>
      <c r="S917" t="s">
        <v>2640</v>
      </c>
      <c r="T917" t="s">
        <v>2640</v>
      </c>
      <c r="U917" t="s">
        <v>2640</v>
      </c>
      <c r="V917" t="s">
        <v>2640</v>
      </c>
    </row>
    <row r="918">
      <c r="R918" t="s">
        <v>2640</v>
      </c>
      <c r="S918" t="s">
        <v>2640</v>
      </c>
      <c r="T918" t="s">
        <v>2640</v>
      </c>
      <c r="U918" t="s">
        <v>2640</v>
      </c>
      <c r="V918" t="s">
        <v>2640</v>
      </c>
    </row>
    <row r="919">
      <c r="R919" t="s">
        <v>2640</v>
      </c>
      <c r="S919" t="s">
        <v>2640</v>
      </c>
      <c r="T919" t="s">
        <v>2640</v>
      </c>
      <c r="U919" t="s">
        <v>2640</v>
      </c>
      <c r="V919" t="s">
        <v>2640</v>
      </c>
    </row>
    <row r="920">
      <c r="R920" t="s">
        <v>2640</v>
      </c>
      <c r="S920" t="s">
        <v>2640</v>
      </c>
      <c r="T920" t="s">
        <v>2640</v>
      </c>
      <c r="U920" t="s">
        <v>2640</v>
      </c>
      <c r="V920" t="s">
        <v>2640</v>
      </c>
    </row>
    <row r="921">
      <c r="R921" t="s">
        <v>2640</v>
      </c>
      <c r="S921" t="s">
        <v>2640</v>
      </c>
      <c r="T921" t="s">
        <v>2640</v>
      </c>
      <c r="U921" t="s">
        <v>2640</v>
      </c>
      <c r="V921" t="s">
        <v>2640</v>
      </c>
    </row>
    <row r="922">
      <c r="R922" t="s">
        <v>2640</v>
      </c>
      <c r="S922" t="s">
        <v>2640</v>
      </c>
      <c r="T922" t="s">
        <v>2640</v>
      </c>
      <c r="U922" t="s">
        <v>2640</v>
      </c>
      <c r="V922" t="s">
        <v>2640</v>
      </c>
    </row>
    <row r="923">
      <c r="R923" t="s">
        <v>2640</v>
      </c>
      <c r="S923" t="s">
        <v>2640</v>
      </c>
      <c r="T923" t="s">
        <v>2640</v>
      </c>
      <c r="U923" t="s">
        <v>2640</v>
      </c>
      <c r="V923" t="s">
        <v>2640</v>
      </c>
    </row>
    <row r="924">
      <c r="R924" t="s">
        <v>2640</v>
      </c>
      <c r="S924" t="s">
        <v>2640</v>
      </c>
      <c r="T924" t="s">
        <v>2640</v>
      </c>
      <c r="U924" t="s">
        <v>2640</v>
      </c>
      <c r="V924" t="s">
        <v>2640</v>
      </c>
    </row>
    <row r="925">
      <c r="R925" t="s">
        <v>2640</v>
      </c>
      <c r="S925" t="s">
        <v>2640</v>
      </c>
      <c r="T925" t="s">
        <v>2640</v>
      </c>
      <c r="U925" t="s">
        <v>2640</v>
      </c>
      <c r="V925" t="s">
        <v>2640</v>
      </c>
    </row>
    <row r="926">
      <c r="R926" t="s">
        <v>2640</v>
      </c>
      <c r="S926" t="s">
        <v>2640</v>
      </c>
      <c r="T926" t="s">
        <v>2640</v>
      </c>
      <c r="U926" t="s">
        <v>2640</v>
      </c>
      <c r="V926" t="s">
        <v>2640</v>
      </c>
    </row>
    <row r="927">
      <c r="R927" t="s">
        <v>2640</v>
      </c>
      <c r="S927" t="s">
        <v>2640</v>
      </c>
      <c r="T927" t="s">
        <v>2640</v>
      </c>
      <c r="U927" t="s">
        <v>2640</v>
      </c>
      <c r="V927" t="s">
        <v>2640</v>
      </c>
    </row>
    <row r="928">
      <c r="R928" t="s">
        <v>2640</v>
      </c>
      <c r="S928" t="s">
        <v>2640</v>
      </c>
      <c r="T928" t="s">
        <v>2640</v>
      </c>
      <c r="U928" t="s">
        <v>2640</v>
      </c>
      <c r="V928" t="s">
        <v>2640</v>
      </c>
    </row>
    <row r="929">
      <c r="R929" t="s">
        <v>2640</v>
      </c>
      <c r="S929" t="s">
        <v>2640</v>
      </c>
      <c r="T929" t="s">
        <v>2640</v>
      </c>
      <c r="U929" t="s">
        <v>2640</v>
      </c>
      <c r="V929" t="s">
        <v>2640</v>
      </c>
    </row>
    <row r="930">
      <c r="R930" t="s">
        <v>2640</v>
      </c>
      <c r="S930" t="s">
        <v>2640</v>
      </c>
      <c r="T930" t="s">
        <v>2640</v>
      </c>
      <c r="U930" t="s">
        <v>2640</v>
      </c>
      <c r="V930" t="s">
        <v>2640</v>
      </c>
    </row>
    <row r="931">
      <c r="R931" t="s">
        <v>2640</v>
      </c>
      <c r="S931" t="s">
        <v>2640</v>
      </c>
      <c r="T931" t="s">
        <v>2640</v>
      </c>
      <c r="U931" t="s">
        <v>2640</v>
      </c>
      <c r="V931" t="s">
        <v>2640</v>
      </c>
    </row>
    <row r="932">
      <c r="R932" t="s">
        <v>2640</v>
      </c>
      <c r="S932" t="s">
        <v>2640</v>
      </c>
      <c r="T932" t="s">
        <v>2640</v>
      </c>
      <c r="U932" t="s">
        <v>2640</v>
      </c>
      <c r="V932" t="s">
        <v>2640</v>
      </c>
    </row>
    <row r="933">
      <c r="R933" t="s">
        <v>2640</v>
      </c>
      <c r="S933" t="s">
        <v>2640</v>
      </c>
      <c r="T933" t="s">
        <v>2640</v>
      </c>
      <c r="U933" t="s">
        <v>2640</v>
      </c>
      <c r="V933" t="s">
        <v>2640</v>
      </c>
    </row>
    <row r="934">
      <c r="R934" t="s">
        <v>2640</v>
      </c>
      <c r="S934" t="s">
        <v>2640</v>
      </c>
      <c r="T934" t="s">
        <v>2640</v>
      </c>
      <c r="U934" t="s">
        <v>2640</v>
      </c>
      <c r="V934" t="s">
        <v>2640</v>
      </c>
    </row>
    <row r="935">
      <c r="R935" t="s">
        <v>2640</v>
      </c>
      <c r="S935" t="s">
        <v>2640</v>
      </c>
      <c r="T935" t="s">
        <v>2640</v>
      </c>
      <c r="U935" t="s">
        <v>2640</v>
      </c>
      <c r="V935" t="s">
        <v>2640</v>
      </c>
    </row>
    <row r="936">
      <c r="R936" t="s">
        <v>2640</v>
      </c>
      <c r="S936" t="s">
        <v>2640</v>
      </c>
      <c r="T936" t="s">
        <v>2640</v>
      </c>
      <c r="U936" t="s">
        <v>2640</v>
      </c>
      <c r="V936" t="s">
        <v>2640</v>
      </c>
    </row>
    <row r="937">
      <c r="R937" t="s">
        <v>2640</v>
      </c>
      <c r="S937" t="s">
        <v>2640</v>
      </c>
      <c r="T937" t="s">
        <v>2640</v>
      </c>
      <c r="U937" t="s">
        <v>2640</v>
      </c>
      <c r="V937" t="s">
        <v>2640</v>
      </c>
    </row>
    <row r="938">
      <c r="R938" t="s">
        <v>2640</v>
      </c>
      <c r="S938" t="s">
        <v>2640</v>
      </c>
      <c r="T938" t="s">
        <v>2640</v>
      </c>
      <c r="U938" t="s">
        <v>2640</v>
      </c>
      <c r="V938" t="s">
        <v>2640</v>
      </c>
    </row>
    <row r="939">
      <c r="R939" t="s">
        <v>2640</v>
      </c>
      <c r="S939" t="s">
        <v>2640</v>
      </c>
      <c r="T939" t="s">
        <v>2640</v>
      </c>
      <c r="U939" t="s">
        <v>2640</v>
      </c>
      <c r="V939" t="s">
        <v>2640</v>
      </c>
    </row>
    <row r="940">
      <c r="R940" t="s">
        <v>2640</v>
      </c>
      <c r="S940" t="s">
        <v>2640</v>
      </c>
      <c r="T940" t="s">
        <v>2640</v>
      </c>
      <c r="U940" t="s">
        <v>2640</v>
      </c>
      <c r="V940" t="s">
        <v>2640</v>
      </c>
    </row>
    <row r="941">
      <c r="R941" t="s">
        <v>2640</v>
      </c>
      <c r="S941" t="s">
        <v>2640</v>
      </c>
      <c r="T941" t="s">
        <v>2640</v>
      </c>
      <c r="U941" t="s">
        <v>2640</v>
      </c>
      <c r="V941" t="s">
        <v>2640</v>
      </c>
    </row>
    <row r="942">
      <c r="R942" t="s">
        <v>2640</v>
      </c>
      <c r="S942" t="s">
        <v>2640</v>
      </c>
      <c r="T942" t="s">
        <v>2640</v>
      </c>
      <c r="U942" t="s">
        <v>2640</v>
      </c>
      <c r="V942" t="s">
        <v>2640</v>
      </c>
    </row>
    <row r="943">
      <c r="R943" t="s">
        <v>2640</v>
      </c>
      <c r="S943" t="s">
        <v>2640</v>
      </c>
      <c r="T943" t="s">
        <v>2640</v>
      </c>
      <c r="U943" t="s">
        <v>2640</v>
      </c>
      <c r="V943" t="s">
        <v>2640</v>
      </c>
    </row>
    <row r="944">
      <c r="R944" t="s">
        <v>2640</v>
      </c>
      <c r="S944" t="s">
        <v>2640</v>
      </c>
      <c r="T944" t="s">
        <v>2640</v>
      </c>
      <c r="U944" t="s">
        <v>2640</v>
      </c>
      <c r="V944" t="s">
        <v>2640</v>
      </c>
    </row>
    <row r="945">
      <c r="R945" t="s">
        <v>2640</v>
      </c>
      <c r="S945" t="s">
        <v>2640</v>
      </c>
      <c r="T945" t="s">
        <v>2640</v>
      </c>
      <c r="U945" t="s">
        <v>2640</v>
      </c>
      <c r="V945" t="s">
        <v>2640</v>
      </c>
    </row>
    <row r="946">
      <c r="R946" t="s">
        <v>2640</v>
      </c>
      <c r="S946" t="s">
        <v>2640</v>
      </c>
      <c r="T946" t="s">
        <v>2640</v>
      </c>
      <c r="U946" t="s">
        <v>2640</v>
      </c>
      <c r="V946" t="s">
        <v>2640</v>
      </c>
    </row>
    <row r="947">
      <c r="R947" t="s">
        <v>2640</v>
      </c>
      <c r="S947" t="s">
        <v>2640</v>
      </c>
      <c r="T947" t="s">
        <v>2640</v>
      </c>
      <c r="U947" t="s">
        <v>2640</v>
      </c>
      <c r="V947" t="s">
        <v>2640</v>
      </c>
    </row>
    <row r="948">
      <c r="R948" t="s">
        <v>2640</v>
      </c>
      <c r="S948" t="s">
        <v>2640</v>
      </c>
      <c r="T948" t="s">
        <v>2640</v>
      </c>
      <c r="U948" t="s">
        <v>2640</v>
      </c>
      <c r="V948" t="s">
        <v>2640</v>
      </c>
    </row>
    <row r="949">
      <c r="R949" t="s">
        <v>2640</v>
      </c>
      <c r="S949" t="s">
        <v>2640</v>
      </c>
      <c r="T949" t="s">
        <v>2640</v>
      </c>
      <c r="U949" t="s">
        <v>2640</v>
      </c>
      <c r="V949" t="s">
        <v>2640</v>
      </c>
    </row>
    <row r="950">
      <c r="R950" t="s">
        <v>2640</v>
      </c>
      <c r="S950" t="s">
        <v>2640</v>
      </c>
      <c r="T950" t="s">
        <v>2640</v>
      </c>
      <c r="U950" t="s">
        <v>2640</v>
      </c>
      <c r="V950" t="s">
        <v>2640</v>
      </c>
    </row>
    <row r="951">
      <c r="R951" t="s">
        <v>2640</v>
      </c>
      <c r="S951" t="s">
        <v>2640</v>
      </c>
      <c r="T951" t="s">
        <v>2640</v>
      </c>
      <c r="U951" t="s">
        <v>2640</v>
      </c>
      <c r="V951" t="s">
        <v>2640</v>
      </c>
    </row>
    <row r="952">
      <c r="R952" t="s">
        <v>2640</v>
      </c>
      <c r="S952" t="s">
        <v>2640</v>
      </c>
      <c r="T952" t="s">
        <v>2640</v>
      </c>
      <c r="U952" t="s">
        <v>2640</v>
      </c>
      <c r="V952" t="s">
        <v>2640</v>
      </c>
    </row>
    <row r="953">
      <c r="R953" t="s">
        <v>2640</v>
      </c>
      <c r="S953" t="s">
        <v>2640</v>
      </c>
      <c r="T953" t="s">
        <v>2640</v>
      </c>
      <c r="U953" t="s">
        <v>2640</v>
      </c>
      <c r="V953" t="s">
        <v>2640</v>
      </c>
    </row>
    <row r="954">
      <c r="R954" t="s">
        <v>2640</v>
      </c>
      <c r="S954" t="s">
        <v>2640</v>
      </c>
      <c r="T954" t="s">
        <v>2640</v>
      </c>
      <c r="U954" t="s">
        <v>2640</v>
      </c>
      <c r="V954" t="s">
        <v>2640</v>
      </c>
    </row>
    <row r="955">
      <c r="R955" t="s">
        <v>2640</v>
      </c>
      <c r="S955" t="s">
        <v>2640</v>
      </c>
      <c r="T955" t="s">
        <v>2640</v>
      </c>
      <c r="U955" t="s">
        <v>2640</v>
      </c>
      <c r="V955" t="s">
        <v>2640</v>
      </c>
    </row>
    <row r="956">
      <c r="R956" t="s">
        <v>2640</v>
      </c>
      <c r="S956" t="s">
        <v>2640</v>
      </c>
      <c r="T956" t="s">
        <v>2640</v>
      </c>
      <c r="U956" t="s">
        <v>2640</v>
      </c>
      <c r="V956" t="s">
        <v>2640</v>
      </c>
    </row>
    <row r="957">
      <c r="R957" t="s">
        <v>2640</v>
      </c>
      <c r="S957" t="s">
        <v>2640</v>
      </c>
      <c r="T957" t="s">
        <v>2640</v>
      </c>
      <c r="U957" t="s">
        <v>2640</v>
      </c>
      <c r="V957" t="s">
        <v>2640</v>
      </c>
    </row>
    <row r="958">
      <c r="R958" t="s">
        <v>2640</v>
      </c>
      <c r="S958" t="s">
        <v>2640</v>
      </c>
      <c r="T958" t="s">
        <v>2640</v>
      </c>
      <c r="U958" t="s">
        <v>2640</v>
      </c>
      <c r="V958" t="s">
        <v>2640</v>
      </c>
    </row>
    <row r="959">
      <c r="R959" t="s">
        <v>2640</v>
      </c>
      <c r="S959" t="s">
        <v>2640</v>
      </c>
      <c r="T959" t="s">
        <v>2640</v>
      </c>
      <c r="U959" t="s">
        <v>2640</v>
      </c>
      <c r="V959" t="s">
        <v>2640</v>
      </c>
    </row>
    <row r="960">
      <c r="R960" t="s">
        <v>2640</v>
      </c>
      <c r="S960" t="s">
        <v>2640</v>
      </c>
      <c r="T960" t="s">
        <v>2640</v>
      </c>
      <c r="U960" t="s">
        <v>2640</v>
      </c>
      <c r="V960" t="s">
        <v>2640</v>
      </c>
    </row>
    <row r="961">
      <c r="R961" t="s">
        <v>2640</v>
      </c>
      <c r="S961" t="s">
        <v>2640</v>
      </c>
      <c r="T961" t="s">
        <v>2640</v>
      </c>
      <c r="U961" t="s">
        <v>2640</v>
      </c>
      <c r="V961" t="s">
        <v>2640</v>
      </c>
    </row>
    <row r="962">
      <c r="R962" t="s">
        <v>2640</v>
      </c>
      <c r="S962" t="s">
        <v>2640</v>
      </c>
      <c r="T962" t="s">
        <v>2640</v>
      </c>
      <c r="U962" t="s">
        <v>2640</v>
      </c>
      <c r="V962" t="s">
        <v>2640</v>
      </c>
    </row>
    <row r="963">
      <c r="R963" t="s">
        <v>2640</v>
      </c>
      <c r="S963" t="s">
        <v>2640</v>
      </c>
      <c r="T963" t="s">
        <v>2640</v>
      </c>
      <c r="U963" t="s">
        <v>2640</v>
      </c>
      <c r="V963" t="s">
        <v>2640</v>
      </c>
    </row>
    <row r="964">
      <c r="R964" t="s">
        <v>2640</v>
      </c>
      <c r="S964" t="s">
        <v>2640</v>
      </c>
      <c r="T964" t="s">
        <v>2640</v>
      </c>
      <c r="U964" t="s">
        <v>2640</v>
      </c>
      <c r="V964" t="s">
        <v>2640</v>
      </c>
    </row>
    <row r="965">
      <c r="R965" t="s">
        <v>2640</v>
      </c>
      <c r="S965" t="s">
        <v>2640</v>
      </c>
      <c r="T965" t="s">
        <v>2640</v>
      </c>
      <c r="U965" t="s">
        <v>2640</v>
      </c>
      <c r="V965" t="s">
        <v>2640</v>
      </c>
    </row>
    <row r="966">
      <c r="R966" t="s">
        <v>2640</v>
      </c>
      <c r="S966" t="s">
        <v>2640</v>
      </c>
      <c r="T966" t="s">
        <v>2640</v>
      </c>
      <c r="U966" t="s">
        <v>2640</v>
      </c>
      <c r="V966" t="s">
        <v>2640</v>
      </c>
    </row>
    <row r="967">
      <c r="R967" t="s">
        <v>2640</v>
      </c>
      <c r="S967" t="s">
        <v>2640</v>
      </c>
      <c r="T967" t="s">
        <v>2640</v>
      </c>
      <c r="U967" t="s">
        <v>2640</v>
      </c>
      <c r="V967" t="s">
        <v>2640</v>
      </c>
    </row>
    <row r="968">
      <c r="R968" t="s">
        <v>2640</v>
      </c>
      <c r="S968" t="s">
        <v>2640</v>
      </c>
      <c r="T968" t="s">
        <v>2640</v>
      </c>
      <c r="U968" t="s">
        <v>2640</v>
      </c>
      <c r="V968" t="s">
        <v>2640</v>
      </c>
    </row>
    <row r="969">
      <c r="R969" t="s">
        <v>2640</v>
      </c>
      <c r="S969" t="s">
        <v>2640</v>
      </c>
      <c r="T969" t="s">
        <v>2640</v>
      </c>
      <c r="U969" t="s">
        <v>2640</v>
      </c>
      <c r="V969" t="s">
        <v>2640</v>
      </c>
    </row>
    <row r="970">
      <c r="R970" t="s">
        <v>2640</v>
      </c>
      <c r="S970" t="s">
        <v>2640</v>
      </c>
      <c r="T970" t="s">
        <v>2640</v>
      </c>
      <c r="U970" t="s">
        <v>2640</v>
      </c>
      <c r="V970" t="s">
        <v>2640</v>
      </c>
    </row>
    <row r="971">
      <c r="R971" t="s">
        <v>2640</v>
      </c>
      <c r="S971" t="s">
        <v>2640</v>
      </c>
      <c r="T971" t="s">
        <v>2640</v>
      </c>
      <c r="U971" t="s">
        <v>2640</v>
      </c>
      <c r="V971" t="s">
        <v>2640</v>
      </c>
    </row>
    <row r="972">
      <c r="R972" t="s">
        <v>2640</v>
      </c>
      <c r="S972" t="s">
        <v>2640</v>
      </c>
      <c r="T972" t="s">
        <v>2640</v>
      </c>
      <c r="U972" t="s">
        <v>2640</v>
      </c>
      <c r="V972" t="s">
        <v>2640</v>
      </c>
    </row>
    <row r="973">
      <c r="R973" t="s">
        <v>2640</v>
      </c>
      <c r="S973" t="s">
        <v>2640</v>
      </c>
      <c r="T973" t="s">
        <v>2640</v>
      </c>
      <c r="U973" t="s">
        <v>2640</v>
      </c>
      <c r="V973" t="s">
        <v>2640</v>
      </c>
    </row>
    <row r="974">
      <c r="R974" t="s">
        <v>2640</v>
      </c>
      <c r="S974" t="s">
        <v>2640</v>
      </c>
      <c r="T974" t="s">
        <v>2640</v>
      </c>
      <c r="U974" t="s">
        <v>2640</v>
      </c>
      <c r="V974" t="s">
        <v>2640</v>
      </c>
    </row>
    <row r="975">
      <c r="R975" t="s">
        <v>2640</v>
      </c>
      <c r="S975" t="s">
        <v>2640</v>
      </c>
      <c r="T975" t="s">
        <v>2640</v>
      </c>
      <c r="U975" t="s">
        <v>2640</v>
      </c>
      <c r="V975" t="s">
        <v>2640</v>
      </c>
    </row>
    <row r="976">
      <c r="R976" t="s">
        <v>2640</v>
      </c>
      <c r="S976" t="s">
        <v>2640</v>
      </c>
      <c r="T976" t="s">
        <v>2640</v>
      </c>
      <c r="U976" t="s">
        <v>2640</v>
      </c>
      <c r="V976" t="s">
        <v>2640</v>
      </c>
    </row>
    <row r="977">
      <c r="R977" t="s">
        <v>2640</v>
      </c>
      <c r="S977" t="s">
        <v>2640</v>
      </c>
      <c r="T977" t="s">
        <v>2640</v>
      </c>
      <c r="U977" t="s">
        <v>2640</v>
      </c>
      <c r="V977" t="s">
        <v>2640</v>
      </c>
    </row>
    <row r="978">
      <c r="R978" t="s">
        <v>2640</v>
      </c>
      <c r="S978" t="s">
        <v>2640</v>
      </c>
      <c r="T978" t="s">
        <v>2640</v>
      </c>
      <c r="U978" t="s">
        <v>2640</v>
      </c>
      <c r="V978" t="s">
        <v>2640</v>
      </c>
    </row>
    <row r="979">
      <c r="R979" t="s">
        <v>2640</v>
      </c>
      <c r="S979" t="s">
        <v>2640</v>
      </c>
      <c r="T979" t="s">
        <v>2640</v>
      </c>
      <c r="U979" t="s">
        <v>2640</v>
      </c>
      <c r="V979" t="s">
        <v>2640</v>
      </c>
    </row>
    <row r="980">
      <c r="R980" t="s">
        <v>2640</v>
      </c>
      <c r="S980" t="s">
        <v>2640</v>
      </c>
      <c r="T980" t="s">
        <v>2640</v>
      </c>
      <c r="U980" t="s">
        <v>2640</v>
      </c>
      <c r="V980" t="s">
        <v>2640</v>
      </c>
    </row>
    <row r="981">
      <c r="R981" t="s">
        <v>2640</v>
      </c>
      <c r="S981" t="s">
        <v>2640</v>
      </c>
      <c r="T981" t="s">
        <v>2640</v>
      </c>
      <c r="U981" t="s">
        <v>2640</v>
      </c>
      <c r="V981" t="s">
        <v>2640</v>
      </c>
    </row>
    <row r="982">
      <c r="R982" t="s">
        <v>2640</v>
      </c>
      <c r="S982" t="s">
        <v>2640</v>
      </c>
      <c r="T982" t="s">
        <v>2640</v>
      </c>
      <c r="U982" t="s">
        <v>2640</v>
      </c>
      <c r="V982" t="s">
        <v>2640</v>
      </c>
    </row>
    <row r="983">
      <c r="R983" t="s">
        <v>2640</v>
      </c>
      <c r="S983" t="s">
        <v>2640</v>
      </c>
      <c r="T983" t="s">
        <v>2640</v>
      </c>
      <c r="U983" t="s">
        <v>2640</v>
      </c>
      <c r="V983" t="s">
        <v>2640</v>
      </c>
    </row>
    <row r="984">
      <c r="R984" t="s">
        <v>2640</v>
      </c>
      <c r="S984" t="s">
        <v>2640</v>
      </c>
      <c r="T984" t="s">
        <v>2640</v>
      </c>
      <c r="U984" t="s">
        <v>2640</v>
      </c>
      <c r="V984" t="s">
        <v>2640</v>
      </c>
    </row>
    <row r="985">
      <c r="R985" t="s">
        <v>2640</v>
      </c>
      <c r="S985" t="s">
        <v>2640</v>
      </c>
      <c r="T985" t="s">
        <v>2640</v>
      </c>
      <c r="U985" t="s">
        <v>2640</v>
      </c>
      <c r="V985" t="s">
        <v>2640</v>
      </c>
    </row>
    <row r="986">
      <c r="R986" t="s">
        <v>2640</v>
      </c>
      <c r="S986" t="s">
        <v>2640</v>
      </c>
      <c r="T986" t="s">
        <v>2640</v>
      </c>
      <c r="U986" t="s">
        <v>2640</v>
      </c>
      <c r="V986" t="s">
        <v>2640</v>
      </c>
    </row>
    <row r="987">
      <c r="R987" t="s">
        <v>2640</v>
      </c>
      <c r="S987" t="s">
        <v>2640</v>
      </c>
      <c r="T987" t="s">
        <v>2640</v>
      </c>
      <c r="U987" t="s">
        <v>2640</v>
      </c>
      <c r="V987" t="s">
        <v>2640</v>
      </c>
    </row>
    <row r="988">
      <c r="R988" t="s">
        <v>2640</v>
      </c>
      <c r="S988" t="s">
        <v>2640</v>
      </c>
      <c r="T988" t="s">
        <v>2640</v>
      </c>
      <c r="U988" t="s">
        <v>2640</v>
      </c>
      <c r="V988" t="s">
        <v>2640</v>
      </c>
    </row>
    <row r="989">
      <c r="R989" t="s">
        <v>2640</v>
      </c>
      <c r="S989" t="s">
        <v>2640</v>
      </c>
      <c r="T989" t="s">
        <v>2640</v>
      </c>
      <c r="U989" t="s">
        <v>2640</v>
      </c>
      <c r="V989" t="s">
        <v>2640</v>
      </c>
    </row>
    <row r="990">
      <c r="R990" t="s">
        <v>2640</v>
      </c>
      <c r="S990" t="s">
        <v>2640</v>
      </c>
      <c r="T990" t="s">
        <v>2640</v>
      </c>
      <c r="U990" t="s">
        <v>2640</v>
      </c>
      <c r="V990" t="s">
        <v>2640</v>
      </c>
    </row>
    <row r="991">
      <c r="R991" t="s">
        <v>2640</v>
      </c>
      <c r="S991" t="s">
        <v>2640</v>
      </c>
      <c r="T991" t="s">
        <v>2640</v>
      </c>
      <c r="U991" t="s">
        <v>2640</v>
      </c>
      <c r="V991" t="s">
        <v>2640</v>
      </c>
    </row>
    <row r="992">
      <c r="R992" t="s">
        <v>2640</v>
      </c>
      <c r="S992" t="s">
        <v>2640</v>
      </c>
      <c r="T992" t="s">
        <v>2640</v>
      </c>
      <c r="U992" t="s">
        <v>2640</v>
      </c>
      <c r="V992" t="s">
        <v>2640</v>
      </c>
    </row>
    <row r="993">
      <c r="R993" t="s">
        <v>2640</v>
      </c>
      <c r="S993" t="s">
        <v>2640</v>
      </c>
      <c r="T993" t="s">
        <v>2640</v>
      </c>
      <c r="U993" t="s">
        <v>2640</v>
      </c>
      <c r="V993" t="s">
        <v>2640</v>
      </c>
    </row>
    <row r="994">
      <c r="R994" t="s">
        <v>2640</v>
      </c>
      <c r="S994" t="s">
        <v>2640</v>
      </c>
      <c r="T994" t="s">
        <v>2640</v>
      </c>
      <c r="U994" t="s">
        <v>2640</v>
      </c>
      <c r="V994" t="s">
        <v>2640</v>
      </c>
    </row>
    <row r="995">
      <c r="R995" t="s">
        <v>2640</v>
      </c>
      <c r="S995" t="s">
        <v>2640</v>
      </c>
      <c r="T995" t="s">
        <v>2640</v>
      </c>
      <c r="U995" t="s">
        <v>2640</v>
      </c>
      <c r="V995" t="s">
        <v>2640</v>
      </c>
    </row>
    <row r="996">
      <c r="R996" t="s">
        <v>2640</v>
      </c>
      <c r="S996" t="s">
        <v>2640</v>
      </c>
      <c r="T996" t="s">
        <v>2640</v>
      </c>
      <c r="U996" t="s">
        <v>2640</v>
      </c>
      <c r="V996" t="s">
        <v>2640</v>
      </c>
    </row>
    <row r="997">
      <c r="R997" t="s">
        <v>2640</v>
      </c>
      <c r="S997" t="s">
        <v>2640</v>
      </c>
      <c r="T997" t="s">
        <v>2640</v>
      </c>
      <c r="U997" t="s">
        <v>2640</v>
      </c>
      <c r="V997" t="s">
        <v>2640</v>
      </c>
    </row>
    <row r="998">
      <c r="R998" t="s">
        <v>2640</v>
      </c>
      <c r="S998" t="s">
        <v>2640</v>
      </c>
      <c r="T998" t="s">
        <v>2640</v>
      </c>
      <c r="U998" t="s">
        <v>2640</v>
      </c>
      <c r="V998" t="s">
        <v>2640</v>
      </c>
    </row>
    <row r="999">
      <c r="R999" t="s">
        <v>2640</v>
      </c>
      <c r="S999" t="s">
        <v>2640</v>
      </c>
      <c r="T999" t="s">
        <v>2640</v>
      </c>
      <c r="U999" t="s">
        <v>2640</v>
      </c>
      <c r="V999" t="s">
        <v>2640</v>
      </c>
    </row>
    <row r="1000">
      <c r="R1000" t="s">
        <v>2640</v>
      </c>
      <c r="S1000" t="s">
        <v>2640</v>
      </c>
      <c r="T1000" t="s">
        <v>2640</v>
      </c>
      <c r="U1000" t="s">
        <v>2640</v>
      </c>
      <c r="V1000" t="s">
        <v>2640</v>
      </c>
    </row>
  </sheetData>
  <mergeCells count="15">
    <mergeCell ref="A157:B157"/>
    <mergeCell ref="A209:B209"/>
    <mergeCell ref="C209:D209"/>
    <mergeCell ref="A261:B261"/>
    <mergeCell ref="C261:D261"/>
    <mergeCell ref="A313:L313"/>
    <mergeCell ref="M313:N313"/>
    <mergeCell ref="A365:B365"/>
    <mergeCell ref="A1:B1"/>
    <mergeCell ref="C1:D1"/>
    <mergeCell ref="A53:B53"/>
    <mergeCell ref="C53:D53"/>
    <mergeCell ref="A105:B105"/>
    <mergeCell ref="C105:D105"/>
    <mergeCell ref="C157:D15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t="str">
        <f>IF(Projections!$AC$17,Draft!D3,"")</f>
        <v/>
      </c>
      <c r="B5" s="421" t="str">
        <f>IFERROR(__xludf.DUMMYFUNCTION("IF(Projections!AA17=""LeagV"", QUERY('Final Update'!N20:AM420, ""select * order by S desc ""),IF(Projections!AA17=""PuntV"",QUERY('Final Update'!N20:AM420, ""select * order by T desc ""),IF(Projections!AA17=""Punt+"",QUERY('Final Update'!N20:AM420, ""sele"&amp;"ct * order by U desc ""),IF(Projections!AA17=""PTS"",QUERY('Final Update'!N20:AM420, ""select * order by V desc ""),IF(Projections!AA17=""3P"",QUERY('Final Update'!N20:AM420, ""select * order by W desc ""),IF(Projections!AA17=""REB"",QUERY('Final Update'!"&amp;"N20:AM420, ""select * order by X desc ""),IF(Projections!AA17=""AST"",QUERY('Final Update'!N20:AM420, ""select * order by Y desc ""),IF(Projections!AA17=""STL"",QUERY('Final Update'!N20:AM420, ""select * order by Z desc ""),IF(Projections!AA17=""BLK"",QUE"&amp;"RY('Final Update'!N20:AM420, ""select * order by AA desc ""),IF(Projections!AA17=""FG%"",QUERY('Final Update'!N20:AM420, ""select * order by AB desc ""),IF(Projections!AA17=""FT%"",QUERY('Final Update'!N20:AM420, ""select * order by AC desc ""),IF(Project"&amp;"ions!AA17=""TO"",QUERY('Final Update'!N20:AM420, ""select * order by AD desc ""),IF(Projections!AA17=""z p/g"", QUERY('Final Update'!N20:AM420, ""select * order by AE desc ""),IF(Projections!AA17=""z 3/g"",QUERY('Final Update'!N20:AM420, ""select * order "&amp;"by AF desc ""),IF(Projections!AA17=""z r/g"",QUERY('Final Update'!N20:AM420, ""select * order by AG desc ""),IF(Projections!AA17=""z a/g"",QUERY('Final Update'!N20:AM420, ""select * order by AH desc ""),IF(Projections!AA17=""z s/g"",QUERY('Final Update'!N"&amp;"20:AM420, ""select * order by AI desc ""),IF(Projections!AA17=""z b/g"",QUERY('Final Update'!N20:AM420, ""select * order by AJ desc ""),IF(Projections!AA17=""z fg%"", QUERY('Final Update'!N20:AM420, ""select * order by AK desc ""),IF(Projections!AA17=""z "&amp;"ft%"",QUERY('Final Update'!N20:AM420, ""select * order by AL desc ""),IF(Projections!AA17=""z to/g"",QUERY('Final Update'!N20:AM420, ""select * order by AM desc ""),IF(Projections!AA17=""ADP"",QUERY('Final Update'!N20:AM420, ""select * order by O asc ""))"&amp;")))))))))))))))))))))"),"")</f>
        <v/>
      </c>
      <c r="C5" t="str">
        <f>IFERROR(__xludf.DUMMYFUNCTION("""COMPUTED_VALUE"""),"ADP")</f>
        <v>ADP</v>
      </c>
      <c r="D5" t="str">
        <f>IFERROR(__xludf.DUMMYFUNCTION("""COMPUTED_VALUE"""),"Player")</f>
        <v>Player</v>
      </c>
      <c r="E5" t="str">
        <f>IFERROR(__xludf.DUMMYFUNCTION("""COMPUTED_VALUE"""),"GP")</f>
        <v>GP</v>
      </c>
      <c r="F5" t="str">
        <f>IFERROR(__xludf.DUMMYFUNCTION("""COMPUTED_VALUE"""),"Pos")</f>
        <v>Pos</v>
      </c>
      <c r="G5" t="str">
        <f>IFERROR(__xludf.DUMMYFUNCTION("""COMPUTED_VALUE"""),"LeagV")</f>
        <v>LeagV</v>
      </c>
      <c r="H5" t="str">
        <f>IFERROR(__xludf.DUMMYFUNCTION("""COMPUTED_VALUE"""),"PuntV")</f>
        <v>PuntV</v>
      </c>
      <c r="I5" t="str">
        <f>IFERROR(__xludf.DUMMYFUNCTION("""COMPUTED_VALUE"""),"Punt+")</f>
        <v>Punt+</v>
      </c>
      <c r="J5" t="str">
        <f>IFERROR(__xludf.DUMMYFUNCTION("""COMPUTED_VALUE"""),"PTS")</f>
        <v>PTS</v>
      </c>
      <c r="K5" t="str">
        <f>IFERROR(__xludf.DUMMYFUNCTION("""COMPUTED_VALUE"""),"3P")</f>
        <v>3P</v>
      </c>
      <c r="L5" t="str">
        <f>IFERROR(__xludf.DUMMYFUNCTION("""COMPUTED_VALUE"""),"REB")</f>
        <v>REB</v>
      </c>
      <c r="M5" t="str">
        <f>IFERROR(__xludf.DUMMYFUNCTION("""COMPUTED_VALUE"""),"AST")</f>
        <v>AST</v>
      </c>
      <c r="N5" t="str">
        <f>IFERROR(__xludf.DUMMYFUNCTION("""COMPUTED_VALUE"""),"STL")</f>
        <v>STL</v>
      </c>
      <c r="O5" t="str">
        <f>IFERROR(__xludf.DUMMYFUNCTION("""COMPUTED_VALUE"""),"BLK")</f>
        <v>BLK</v>
      </c>
      <c r="P5" t="str">
        <f>IFERROR(__xludf.DUMMYFUNCTION("""COMPUTED_VALUE"""),"FG%")</f>
        <v>FG%</v>
      </c>
      <c r="Q5" t="str">
        <f>IFERROR(__xludf.DUMMYFUNCTION("""COMPUTED_VALUE"""),"FT%")</f>
        <v>FT%</v>
      </c>
      <c r="R5" t="str">
        <f>IFERROR(__xludf.DUMMYFUNCTION("""COMPUTED_VALUE"""),"TO")</f>
        <v>TO</v>
      </c>
      <c r="S5" t="str">
        <f>IFERROR(__xludf.DUMMYFUNCTION("""COMPUTED_VALUE"""),"z p/g")</f>
        <v>z p/g</v>
      </c>
      <c r="T5" t="str">
        <f>IFERROR(__xludf.DUMMYFUNCTION("""COMPUTED_VALUE"""),"z 3/g")</f>
        <v>z 3/g</v>
      </c>
      <c r="U5" t="str">
        <f>IFERROR(__xludf.DUMMYFUNCTION("""COMPUTED_VALUE"""),"z r/g")</f>
        <v>z r/g</v>
      </c>
      <c r="V5" t="str">
        <f>IFERROR(__xludf.DUMMYFUNCTION("""COMPUTED_VALUE"""),"z a/g")</f>
        <v>z a/g</v>
      </c>
      <c r="W5" t="str">
        <f>IFERROR(__xludf.DUMMYFUNCTION("""COMPUTED_VALUE"""),"z s/g")</f>
        <v>z s/g</v>
      </c>
      <c r="X5" t="str">
        <f>IFERROR(__xludf.DUMMYFUNCTION("""COMPUTED_VALUE"""),"z b/g")</f>
        <v>z b/g</v>
      </c>
      <c r="Y5" t="str">
        <f>IFERROR(__xludf.DUMMYFUNCTION("""COMPUTED_VALUE"""),"z fg%")</f>
        <v>z fg%</v>
      </c>
      <c r="Z5" t="str">
        <f>IFERROR(__xludf.DUMMYFUNCTION("""COMPUTED_VALUE"""),"z ft%")</f>
        <v>z ft%</v>
      </c>
      <c r="AA5" t="str">
        <f>IFERROR(__xludf.DUMMYFUNCTION("""COMPUTED_VALUE"""),"z to/g")</f>
        <v>z to/g</v>
      </c>
    </row>
    <row r="6">
      <c r="A6" t="str">
        <f>IF(Projections!$AC$17,Draft!D4,"")</f>
        <v/>
      </c>
      <c r="B6">
        <f>IFERROR(__xludf.DUMMYFUNCTION("""COMPUTED_VALUE"""),1.0)</f>
        <v>1</v>
      </c>
      <c r="C6">
        <f>IFERROR(__xludf.DUMMYFUNCTION("""COMPUTED_VALUE"""),2.0)</f>
        <v>2</v>
      </c>
      <c r="D6" t="str">
        <f>IFERROR(__xludf.DUMMYFUNCTION("""COMPUTED_VALUE"""),"Victor Wembanyama")</f>
        <v>Victor Wembanyama</v>
      </c>
      <c r="E6">
        <f>IFERROR(__xludf.DUMMYFUNCTION("""COMPUTED_VALUE"""),71.0)</f>
        <v>71</v>
      </c>
      <c r="F6" t="str">
        <f>IFERROR(__xludf.DUMMYFUNCTION("""COMPUTED_VALUE"""),"C")</f>
        <v>C</v>
      </c>
      <c r="G6" s="11">
        <f>IFERROR(__xludf.DUMMYFUNCTION("""COMPUTED_VALUE"""),10.595392267107387)</f>
        <v>10.59539227</v>
      </c>
      <c r="H6" s="11">
        <f>IFERROR(__xludf.DUMMYFUNCTION("""COMPUTED_VALUE"""),10.595392267107387)</f>
        <v>10.59539227</v>
      </c>
      <c r="I6" s="11">
        <f>IFERROR(__xludf.DUMMYFUNCTION("""COMPUTED_VALUE"""),0.0)</f>
        <v>0</v>
      </c>
      <c r="J6" s="11">
        <f>IFERROR(__xludf.DUMMYFUNCTION("""COMPUTED_VALUE"""),24.1)</f>
        <v>24.1</v>
      </c>
      <c r="K6" s="11">
        <f>IFERROR(__xludf.DUMMYFUNCTION("""COMPUTED_VALUE"""),2.0)</f>
        <v>2</v>
      </c>
      <c r="L6" s="11">
        <f>IFERROR(__xludf.DUMMYFUNCTION("""COMPUTED_VALUE"""),11.6)</f>
        <v>11.6</v>
      </c>
      <c r="M6" s="11">
        <f>IFERROR(__xludf.DUMMYFUNCTION("""COMPUTED_VALUE"""),4.4)</f>
        <v>4.4</v>
      </c>
      <c r="N6" s="11">
        <f>IFERROR(__xludf.DUMMYFUNCTION("""COMPUTED_VALUE"""),1.4)</f>
        <v>1.4</v>
      </c>
      <c r="O6" s="11">
        <f>IFERROR(__xludf.DUMMYFUNCTION("""COMPUTED_VALUE"""),3.9)</f>
        <v>3.9</v>
      </c>
      <c r="P6" s="15">
        <f>IFERROR(__xludf.DUMMYFUNCTION("""COMPUTED_VALUE"""),0.473)</f>
        <v>0.473</v>
      </c>
      <c r="Q6" s="15">
        <f>IFERROR(__xludf.DUMMYFUNCTION("""COMPUTED_VALUE"""),0.802)</f>
        <v>0.802</v>
      </c>
      <c r="R6" s="11">
        <f>IFERROR(__xludf.DUMMYFUNCTION("""COMPUTED_VALUE"""),3.4)</f>
        <v>3.4</v>
      </c>
      <c r="S6" s="11">
        <f>IFERROR(__xludf.DUMMYFUNCTION("""COMPUTED_VALUE"""),1.1982586520799683)</f>
        <v>1.198258652</v>
      </c>
      <c r="T6" s="11">
        <f>IFERROR(__xludf.DUMMYFUNCTION("""COMPUTED_VALUE"""),0.2497993995559884)</f>
        <v>0.2497993996</v>
      </c>
      <c r="U6" s="11">
        <f>IFERROR(__xludf.DUMMYFUNCTION("""COMPUTED_VALUE"""),2.169659944607731)</f>
        <v>2.169659945</v>
      </c>
      <c r="V6" s="11">
        <f>IFERROR(__xludf.DUMMYFUNCTION("""COMPUTED_VALUE"""),0.2115152388471211)</f>
        <v>0.2115152388</v>
      </c>
      <c r="W6" s="11">
        <f>IFERROR(__xludf.DUMMYFUNCTION("""COMPUTED_VALUE"""),1.4068669802785894)</f>
        <v>1.40686698</v>
      </c>
      <c r="X6" s="11">
        <f>IFERROR(__xludf.DUMMYFUNCTION("""COMPUTED_VALUE"""),5.628262228999039)</f>
        <v>5.628262229</v>
      </c>
      <c r="Y6" s="11">
        <f>IFERROR(__xludf.DUMMYFUNCTION("""COMPUTED_VALUE"""),-0.5205826258886787)</f>
        <v>-0.5205826259</v>
      </c>
      <c r="Z6" s="11">
        <f>IFERROR(__xludf.DUMMYFUNCTION("""COMPUTED_VALUE"""),0.14053098793907753)</f>
        <v>0.1405309879</v>
      </c>
      <c r="AA6" s="11">
        <f>IFERROR(__xludf.DUMMYFUNCTION("""COMPUTED_VALUE"""),-0.40950116520012636)</f>
        <v>-0.4095011652</v>
      </c>
      <c r="AB6" t="str">
        <f>IFERROR(__xludf.DUMMYFUNCTION("SUBSTITUTE(REGEXREPLACE(REGEXREPLACE(REGEXREPLACE(REGEXREPLACE(REGEXREPLACE(REGEXREPLACE(F6,"","",),IF(Projections!$T$17="""",""PG"",),),IF(Projections!$U$17="""",""SG"",),),IF(Projections!$V$17="""",""SF"",),),IF(Projections!$W$17="""",""PF"",),),IF(Proj"&amp;"ections!$X$17="""",""C"",),),""/"","""")"),"C")</f>
        <v>C</v>
      </c>
    </row>
    <row r="7">
      <c r="A7" t="str">
        <f>IF(Projections!$AC$17,Draft!D5,"")</f>
        <v/>
      </c>
      <c r="B7">
        <f>IFERROR(__xludf.DUMMYFUNCTION("""COMPUTED_VALUE"""),2.0)</f>
        <v>2</v>
      </c>
      <c r="C7">
        <f>IFERROR(__xludf.DUMMYFUNCTION("""COMPUTED_VALUE"""),3.8)</f>
        <v>3.8</v>
      </c>
      <c r="D7" t="str">
        <f>IFERROR(__xludf.DUMMYFUNCTION("""COMPUTED_VALUE"""),"Luka Doncic")</f>
        <v>Luka Doncic</v>
      </c>
      <c r="E7">
        <f>IFERROR(__xludf.DUMMYFUNCTION("""COMPUTED_VALUE"""),66.0)</f>
        <v>66</v>
      </c>
      <c r="F7" t="str">
        <f>IFERROR(__xludf.DUMMYFUNCTION("""COMPUTED_VALUE"""),"PG,SG")</f>
        <v>PG,SG</v>
      </c>
      <c r="G7" s="11">
        <f>IFERROR(__xludf.DUMMYFUNCTION("""COMPUTED_VALUE"""),10.094731628301643)</f>
        <v>10.09473163</v>
      </c>
      <c r="H7" s="11">
        <f>IFERROR(__xludf.DUMMYFUNCTION("""COMPUTED_VALUE"""),10.094731628301643)</f>
        <v>10.09473163</v>
      </c>
      <c r="I7" s="11">
        <f>IFERROR(__xludf.DUMMYFUNCTION("""COMPUTED_VALUE"""),0.0)</f>
        <v>0</v>
      </c>
      <c r="J7" s="11">
        <f>IFERROR(__xludf.DUMMYFUNCTION("""COMPUTED_VALUE"""),34.4)</f>
        <v>34.4</v>
      </c>
      <c r="K7" s="11">
        <f>IFERROR(__xludf.DUMMYFUNCTION("""COMPUTED_VALUE"""),4.1)</f>
        <v>4.1</v>
      </c>
      <c r="L7" s="11">
        <f>IFERROR(__xludf.DUMMYFUNCTION("""COMPUTED_VALUE"""),9.3)</f>
        <v>9.3</v>
      </c>
      <c r="M7" s="11">
        <f>IFERROR(__xludf.DUMMYFUNCTION("""COMPUTED_VALUE"""),9.9)</f>
        <v>9.9</v>
      </c>
      <c r="N7" s="11">
        <f>IFERROR(__xludf.DUMMYFUNCTION("""COMPUTED_VALUE"""),1.4)</f>
        <v>1.4</v>
      </c>
      <c r="O7" s="11">
        <f>IFERROR(__xludf.DUMMYFUNCTION("""COMPUTED_VALUE"""),0.5)</f>
        <v>0.5</v>
      </c>
      <c r="P7" s="15">
        <f>IFERROR(__xludf.DUMMYFUNCTION("""COMPUTED_VALUE"""),0.491)</f>
        <v>0.491</v>
      </c>
      <c r="Q7" s="15">
        <f>IFERROR(__xludf.DUMMYFUNCTION("""COMPUTED_VALUE"""),0.792)</f>
        <v>0.792</v>
      </c>
      <c r="R7" s="11">
        <f>IFERROR(__xludf.DUMMYFUNCTION("""COMPUTED_VALUE"""),3.8)</f>
        <v>3.8</v>
      </c>
      <c r="S7" s="11">
        <f>IFERROR(__xludf.DUMMYFUNCTION("""COMPUTED_VALUE"""),3.05893325429639)</f>
        <v>3.058933254</v>
      </c>
      <c r="T7" s="11">
        <f>IFERROR(__xludf.DUMMYFUNCTION("""COMPUTED_VALUE"""),2.3398096792183596)</f>
        <v>2.339809679</v>
      </c>
      <c r="U7" s="11">
        <f>IFERROR(__xludf.DUMMYFUNCTION("""COMPUTED_VALUE"""),1.2674534087333724)</f>
        <v>1.267453409</v>
      </c>
      <c r="V7" s="11">
        <f>IFERROR(__xludf.DUMMYFUNCTION("""COMPUTED_VALUE"""),2.7174126120644333)</f>
        <v>2.717412612</v>
      </c>
      <c r="W7" s="11">
        <f>IFERROR(__xludf.DUMMYFUNCTION("""COMPUTED_VALUE"""),1.4068669802785894)</f>
        <v>1.40686698</v>
      </c>
      <c r="X7" s="11">
        <f>IFERROR(__xludf.DUMMYFUNCTION("""COMPUTED_VALUE"""),-0.4371236407912776)</f>
        <v>-0.4371236408</v>
      </c>
      <c r="Y7" s="11">
        <f>IFERROR(__xludf.DUMMYFUNCTION("""COMPUTED_VALUE"""),-0.15852282562441422)</f>
        <v>-0.1585228256</v>
      </c>
      <c r="Z7" s="11">
        <f>IFERROR(__xludf.DUMMYFUNCTION("""COMPUTED_VALUE"""),-0.1000978398738095)</f>
        <v>-0.1000978399</v>
      </c>
      <c r="AA7" s="11">
        <f>IFERROR(__xludf.DUMMYFUNCTION("""COMPUTED_VALUE"""),-0.508694019104073)</f>
        <v>-0.5086940191</v>
      </c>
      <c r="AB7" t="str">
        <f>IFERROR(__xludf.DUMMYFUNCTION("SUBSTITUTE(REGEXREPLACE(REGEXREPLACE(REGEXREPLACE(REGEXREPLACE(REGEXREPLACE(REGEXREPLACE(F7,"","",),IF(Projections!$T$17="""",""PG"",),),IF(Projections!$U$17="""",""SG"",),),IF(Projections!$V$17="""",""SF"",),),IF(Projections!$W$17="""",""PF"",),),IF(Proj"&amp;"ections!$X$17="""",""C"",),),""/"","""")"),"PGSG")</f>
        <v>PGSG</v>
      </c>
    </row>
    <row r="8">
      <c r="A8" t="str">
        <f>IF(Projections!$AC$17,Draft!D6,"")</f>
        <v/>
      </c>
      <c r="B8">
        <f>IFERROR(__xludf.DUMMYFUNCTION("""COMPUTED_VALUE"""),3.0)</f>
        <v>3</v>
      </c>
      <c r="C8">
        <f>IFERROR(__xludf.DUMMYFUNCTION("""COMPUTED_VALUE"""),2.4)</f>
        <v>2.4</v>
      </c>
      <c r="D8" t="str">
        <f>IFERROR(__xludf.DUMMYFUNCTION("""COMPUTED_VALUE"""),"Nikola Jokic")</f>
        <v>Nikola Jokic</v>
      </c>
      <c r="E8">
        <f>IFERROR(__xludf.DUMMYFUNCTION("""COMPUTED_VALUE"""),71.0)</f>
        <v>71</v>
      </c>
      <c r="F8" t="str">
        <f>IFERROR(__xludf.DUMMYFUNCTION("""COMPUTED_VALUE"""),"C")</f>
        <v>C</v>
      </c>
      <c r="G8" s="11">
        <f>IFERROR(__xludf.DUMMYFUNCTION("""COMPUTED_VALUE"""),10.047144673140297)</f>
        <v>10.04714467</v>
      </c>
      <c r="H8" s="11">
        <f>IFERROR(__xludf.DUMMYFUNCTION("""COMPUTED_VALUE"""),10.047144673140297)</f>
        <v>10.04714467</v>
      </c>
      <c r="I8" s="11">
        <f>IFERROR(__xludf.DUMMYFUNCTION("""COMPUTED_VALUE"""),0.0)</f>
        <v>0</v>
      </c>
      <c r="J8" s="11">
        <f>IFERROR(__xludf.DUMMYFUNCTION("""COMPUTED_VALUE"""),26.7)</f>
        <v>26.7</v>
      </c>
      <c r="K8" s="11">
        <f>IFERROR(__xludf.DUMMYFUNCTION("""COMPUTED_VALUE"""),1.1)</f>
        <v>1.1</v>
      </c>
      <c r="L8" s="11">
        <f>IFERROR(__xludf.DUMMYFUNCTION("""COMPUTED_VALUE"""),12.1)</f>
        <v>12.1</v>
      </c>
      <c r="M8" s="11">
        <f>IFERROR(__xludf.DUMMYFUNCTION("""COMPUTED_VALUE"""),9.0)</f>
        <v>9</v>
      </c>
      <c r="N8" s="11">
        <f>IFERROR(__xludf.DUMMYFUNCTION("""COMPUTED_VALUE"""),1.4)</f>
        <v>1.4</v>
      </c>
      <c r="O8" s="11">
        <f>IFERROR(__xludf.DUMMYFUNCTION("""COMPUTED_VALUE"""),0.9)</f>
        <v>0.9</v>
      </c>
      <c r="P8" s="15">
        <f>IFERROR(__xludf.DUMMYFUNCTION("""COMPUTED_VALUE"""),0.585)</f>
        <v>0.585</v>
      </c>
      <c r="Q8" s="15">
        <f>IFERROR(__xludf.DUMMYFUNCTION("""COMPUTED_VALUE"""),0.819)</f>
        <v>0.819</v>
      </c>
      <c r="R8" s="11">
        <f>IFERROR(__xludf.DUMMYFUNCTION("""COMPUTED_VALUE"""),3.0)</f>
        <v>3</v>
      </c>
      <c r="S8" s="11">
        <f>IFERROR(__xludf.DUMMYFUNCTION("""COMPUTED_VALUE"""),1.66794350312489)</f>
        <v>1.667943503</v>
      </c>
      <c r="T8" s="11">
        <f>IFERROR(__xludf.DUMMYFUNCTION("""COMPUTED_VALUE"""),-0.645919291727885)</f>
        <v>-0.6459192917</v>
      </c>
      <c r="U8" s="11">
        <f>IFERROR(__xludf.DUMMYFUNCTION("""COMPUTED_VALUE"""),2.3657918002325915)</f>
        <v>2.3657918</v>
      </c>
      <c r="V8" s="11">
        <f>IFERROR(__xludf.DUMMYFUNCTION("""COMPUTED_VALUE"""),2.307356678265237)</f>
        <v>2.307356678</v>
      </c>
      <c r="W8" s="11">
        <f>IFERROR(__xludf.DUMMYFUNCTION("""COMPUTED_VALUE"""),1.4068669802785894)</f>
        <v>1.40686698</v>
      </c>
      <c r="X8" s="11">
        <f>IFERROR(__xludf.DUMMYFUNCTION("""COMPUTED_VALUE"""),0.27645116741934783)</f>
        <v>0.2764511674</v>
      </c>
      <c r="Y8" s="11">
        <f>IFERROR(__xludf.DUMMYFUNCTION("""COMPUTED_VALUE"""),1.8383090470084225)</f>
        <v>1.838309047</v>
      </c>
      <c r="Z8" s="11">
        <f>IFERROR(__xludf.DUMMYFUNCTION("""COMPUTED_VALUE"""),0.4947338081073987)</f>
        <v>0.4947338081</v>
      </c>
      <c r="AA8" s="11">
        <f>IFERROR(__xludf.DUMMYFUNCTION("""COMPUTED_VALUE"""),-0.31030831129617975)</f>
        <v>-0.3103083113</v>
      </c>
      <c r="AB8" t="str">
        <f>IFERROR(__xludf.DUMMYFUNCTION("SUBSTITUTE(REGEXREPLACE(REGEXREPLACE(REGEXREPLACE(REGEXREPLACE(REGEXREPLACE(REGEXREPLACE(F8,"","",),IF(Projections!$T$17="""",""PG"",),),IF(Projections!$U$17="""",""SG"",),),IF(Projections!$V$17="""",""SF"",),),IF(Projections!$W$17="""",""PF"",),),IF(Proj"&amp;"ections!$X$17="""",""C"",),),""/"","""")"),"C")</f>
        <v>C</v>
      </c>
    </row>
    <row r="9">
      <c r="A9" t="str">
        <f>IF(Projections!$AC$17,Draft!D7,"")</f>
        <v/>
      </c>
      <c r="B9">
        <f>IFERROR(__xludf.DUMMYFUNCTION("""COMPUTED_VALUE"""),4.0)</f>
        <v>4</v>
      </c>
      <c r="C9">
        <f>IFERROR(__xludf.DUMMYFUNCTION("""COMPUTED_VALUE"""),4.5)</f>
        <v>4.5</v>
      </c>
      <c r="D9" t="str">
        <f>IFERROR(__xludf.DUMMYFUNCTION("""COMPUTED_VALUE"""),"Shai Gilgeous-Alexander")</f>
        <v>Shai Gilgeous-Alexander</v>
      </c>
      <c r="E9">
        <f>IFERROR(__xludf.DUMMYFUNCTION("""COMPUTED_VALUE"""),71.0)</f>
        <v>71</v>
      </c>
      <c r="F9" t="str">
        <f>IFERROR(__xludf.DUMMYFUNCTION("""COMPUTED_VALUE"""),"PG")</f>
        <v>PG</v>
      </c>
      <c r="G9" s="11">
        <f>IFERROR(__xludf.DUMMYFUNCTION("""COMPUTED_VALUE"""),9.640422694612987)</f>
        <v>9.640422695</v>
      </c>
      <c r="H9" s="11">
        <f>IFERROR(__xludf.DUMMYFUNCTION("""COMPUTED_VALUE"""),9.640422694612987)</f>
        <v>9.640422695</v>
      </c>
      <c r="I9" s="11">
        <f>IFERROR(__xludf.DUMMYFUNCTION("""COMPUTED_VALUE"""),0.0)</f>
        <v>0</v>
      </c>
      <c r="J9" s="11">
        <f>IFERROR(__xludf.DUMMYFUNCTION("""COMPUTED_VALUE"""),29.9)</f>
        <v>29.9</v>
      </c>
      <c r="K9" s="11">
        <f>IFERROR(__xludf.DUMMYFUNCTION("""COMPUTED_VALUE"""),1.4)</f>
        <v>1.4</v>
      </c>
      <c r="L9" s="11">
        <f>IFERROR(__xludf.DUMMYFUNCTION("""COMPUTED_VALUE"""),5.1)</f>
        <v>5.1</v>
      </c>
      <c r="M9" s="11">
        <f>IFERROR(__xludf.DUMMYFUNCTION("""COMPUTED_VALUE"""),6.5)</f>
        <v>6.5</v>
      </c>
      <c r="N9" s="11">
        <f>IFERROR(__xludf.DUMMYFUNCTION("""COMPUTED_VALUE"""),1.9)</f>
        <v>1.9</v>
      </c>
      <c r="O9" s="11">
        <f>IFERROR(__xludf.DUMMYFUNCTION("""COMPUTED_VALUE"""),0.9)</f>
        <v>0.9</v>
      </c>
      <c r="P9" s="15">
        <f>IFERROR(__xludf.DUMMYFUNCTION("""COMPUTED_VALUE"""),0.524)</f>
        <v>0.524</v>
      </c>
      <c r="Q9" s="15">
        <f>IFERROR(__xludf.DUMMYFUNCTION("""COMPUTED_VALUE"""),0.88)</f>
        <v>0.88</v>
      </c>
      <c r="R9" s="11">
        <f>IFERROR(__xludf.DUMMYFUNCTION("""COMPUTED_VALUE"""),2.4)</f>
        <v>2.4</v>
      </c>
      <c r="S9" s="11">
        <f>IFERROR(__xludf.DUMMYFUNCTION("""COMPUTED_VALUE"""),2.2460171659494095)</f>
        <v>2.246017166</v>
      </c>
      <c r="T9" s="11">
        <f>IFERROR(__xludf.DUMMYFUNCTION("""COMPUTED_VALUE"""),-0.34734639463326067)</f>
        <v>-0.3473463946</v>
      </c>
      <c r="U9" s="11">
        <f>IFERROR(__xludf.DUMMYFUNCTION("""COMPUTED_VALUE"""),-0.38005417851545714)</f>
        <v>-0.3800541785</v>
      </c>
      <c r="V9" s="11">
        <f>IFERROR(__xludf.DUMMYFUNCTION("""COMPUTED_VALUE"""),1.1683124177119129)</f>
        <v>1.168312418</v>
      </c>
      <c r="W9" s="11">
        <f>IFERROR(__xludf.DUMMYFUNCTION("""COMPUTED_VALUE"""),3.066530371075986)</f>
        <v>3.066530371</v>
      </c>
      <c r="X9" s="11">
        <f>IFERROR(__xludf.DUMMYFUNCTION("""COMPUTED_VALUE"""),0.27645116741934783)</f>
        <v>0.2764511674</v>
      </c>
      <c r="Y9" s="11">
        <f>IFERROR(__xludf.DUMMYFUNCTION("""COMPUTED_VALUE"""),0.6197828012717082)</f>
        <v>0.6197828013</v>
      </c>
      <c r="Z9" s="11">
        <f>IFERROR(__xludf.DUMMYFUNCTION("""COMPUTED_VALUE"""),2.772194196258142)</f>
        <v>2.772194196</v>
      </c>
      <c r="AA9" s="11">
        <f>IFERROR(__xludf.DUMMYFUNCTION("""COMPUTED_VALUE"""),-0.1615190304402598)</f>
        <v>-0.1615190304</v>
      </c>
      <c r="AB9" t="str">
        <f>IFERROR(__xludf.DUMMYFUNCTION("SUBSTITUTE(REGEXREPLACE(REGEXREPLACE(REGEXREPLACE(REGEXREPLACE(REGEXREPLACE(REGEXREPLACE(F9,"","",),IF(Projections!$T$17="""",""PG"",),),IF(Projections!$U$17="""",""SG"",),),IF(Projections!$V$17="""",""SF"",),),IF(Projections!$W$17="""",""PF"",),),IF(Proj"&amp;"ections!$X$17="""",""C"",),),""/"","""")"),"PG")</f>
        <v>PG</v>
      </c>
    </row>
    <row r="10">
      <c r="A10" t="str">
        <f>IF(Projections!$AC$17,Draft!D8,"")</f>
        <v/>
      </c>
      <c r="B10">
        <f>IFERROR(__xludf.DUMMYFUNCTION("""COMPUTED_VALUE"""),5.0)</f>
        <v>5</v>
      </c>
      <c r="C10">
        <f>IFERROR(__xludf.DUMMYFUNCTION("""COMPUTED_VALUE"""),7.4)</f>
        <v>7.4</v>
      </c>
      <c r="D10" t="str">
        <f>IFERROR(__xludf.DUMMYFUNCTION("""COMPUTED_VALUE"""),"Anthony Davis")</f>
        <v>Anthony Davis</v>
      </c>
      <c r="E10">
        <f>IFERROR(__xludf.DUMMYFUNCTION("""COMPUTED_VALUE"""),58.0)</f>
        <v>58</v>
      </c>
      <c r="F10" t="str">
        <f>IFERROR(__xludf.DUMMYFUNCTION("""COMPUTED_VALUE"""),"PF,C")</f>
        <v>PF,C</v>
      </c>
      <c r="G10" s="11">
        <f>IFERROR(__xludf.DUMMYFUNCTION("""COMPUTED_VALUE"""),8.69583899859487)</f>
        <v>8.695838999</v>
      </c>
      <c r="H10" s="11">
        <f>IFERROR(__xludf.DUMMYFUNCTION("""COMPUTED_VALUE"""),8.69583899859487)</f>
        <v>8.695838999</v>
      </c>
      <c r="I10" s="11">
        <f>IFERROR(__xludf.DUMMYFUNCTION("""COMPUTED_VALUE"""),0.0)</f>
        <v>0</v>
      </c>
      <c r="J10" s="11">
        <f>IFERROR(__xludf.DUMMYFUNCTION("""COMPUTED_VALUE"""),25.2)</f>
        <v>25.2</v>
      </c>
      <c r="K10" s="11">
        <f>IFERROR(__xludf.DUMMYFUNCTION("""COMPUTED_VALUE"""),0.4)</f>
        <v>0.4</v>
      </c>
      <c r="L10" s="11">
        <f>IFERROR(__xludf.DUMMYFUNCTION("""COMPUTED_VALUE"""),12.7)</f>
        <v>12.7</v>
      </c>
      <c r="M10" s="11">
        <f>IFERROR(__xludf.DUMMYFUNCTION("""COMPUTED_VALUE"""),3.6)</f>
        <v>3.6</v>
      </c>
      <c r="N10" s="11">
        <f>IFERROR(__xludf.DUMMYFUNCTION("""COMPUTED_VALUE"""),1.2)</f>
        <v>1.2</v>
      </c>
      <c r="O10" s="11">
        <f>IFERROR(__xludf.DUMMYFUNCTION("""COMPUTED_VALUE"""),2.3)</f>
        <v>2.3</v>
      </c>
      <c r="P10" s="15">
        <f>IFERROR(__xludf.DUMMYFUNCTION("""COMPUTED_VALUE"""),0.559)</f>
        <v>0.559</v>
      </c>
      <c r="Q10" s="15">
        <f>IFERROR(__xludf.DUMMYFUNCTION("""COMPUTED_VALUE"""),0.802)</f>
        <v>0.802</v>
      </c>
      <c r="R10" s="11">
        <f>IFERROR(__xludf.DUMMYFUNCTION("""COMPUTED_VALUE"""),2.1)</f>
        <v>2.1</v>
      </c>
      <c r="S10" s="11">
        <f>IFERROR(__xludf.DUMMYFUNCTION("""COMPUTED_VALUE"""),1.3969714736758965)</f>
        <v>1.396971474</v>
      </c>
      <c r="T10" s="11">
        <f>IFERROR(__xludf.DUMMYFUNCTION("""COMPUTED_VALUE"""),-1.3425893849486756)</f>
        <v>-1.342589385</v>
      </c>
      <c r="U10" s="11">
        <f>IFERROR(__xludf.DUMMYFUNCTION("""COMPUTED_VALUE"""),2.6011500269824244)</f>
        <v>2.601150027</v>
      </c>
      <c r="V10" s="11">
        <f>IFERROR(__xludf.DUMMYFUNCTION("""COMPUTED_VALUE"""),-0.1529789245299426)</f>
        <v>-0.1529789245</v>
      </c>
      <c r="W10" s="11">
        <f>IFERROR(__xludf.DUMMYFUNCTION("""COMPUTED_VALUE"""),0.7430016239596308)</f>
        <v>0.743001624</v>
      </c>
      <c r="X10" s="11">
        <f>IFERROR(__xludf.DUMMYFUNCTION("""COMPUTED_VALUE"""),2.7739629961565364)</f>
        <v>2.773962996</v>
      </c>
      <c r="Y10" s="11">
        <f>IFERROR(__xludf.DUMMYFUNCTION("""COMPUTED_VALUE"""),1.2376640116563253)</f>
        <v>1.237664012</v>
      </c>
      <c r="Z10" s="11">
        <f>IFERROR(__xludf.DUMMYFUNCTION("""COMPUTED_VALUE"""),0.18319218070629753)</f>
        <v>0.1831921807</v>
      </c>
      <c r="AA10" s="11">
        <f>IFERROR(__xludf.DUMMYFUNCTION("""COMPUTED_VALUE"""),-0.08712439001229988)</f>
        <v>-0.08712439001</v>
      </c>
      <c r="AB10" t="str">
        <f>IFERROR(__xludf.DUMMYFUNCTION("SUBSTITUTE(REGEXREPLACE(REGEXREPLACE(REGEXREPLACE(REGEXREPLACE(REGEXREPLACE(REGEXREPLACE(F10,"","",),IF(Projections!$T$17="""",""PG"",),),IF(Projections!$U$17="""",""SG"",),),IF(Projections!$V$17="""",""SF"",),),IF(Projections!$W$17="""",""PF"",),),IF(Pro"&amp;"jections!$X$17="""",""C"",),),""/"","""")"),"PFC")</f>
        <v>PFC</v>
      </c>
    </row>
    <row r="11">
      <c r="A11" t="str">
        <f>IF(Projections!$AC$17,Draft!D9,"")</f>
        <v/>
      </c>
      <c r="B11">
        <f>IFERROR(__xludf.DUMMYFUNCTION("""COMPUTED_VALUE"""),6.0)</f>
        <v>6</v>
      </c>
      <c r="C11">
        <f>IFERROR(__xludf.DUMMYFUNCTION("""COMPUTED_VALUE"""),6.7)</f>
        <v>6.7</v>
      </c>
      <c r="D11" t="str">
        <f>IFERROR(__xludf.DUMMYFUNCTION("""COMPUTED_VALUE"""),"Giannis Antetokounmpo")</f>
        <v>Giannis Antetokounmpo</v>
      </c>
      <c r="E11">
        <f>IFERROR(__xludf.DUMMYFUNCTION("""COMPUTED_VALUE"""),66.0)</f>
        <v>66</v>
      </c>
      <c r="F11" t="str">
        <f>IFERROR(__xludf.DUMMYFUNCTION("""COMPUTED_VALUE"""),"PF,C")</f>
        <v>PF,C</v>
      </c>
      <c r="G11" s="11">
        <f>IFERROR(__xludf.DUMMYFUNCTION("""COMPUTED_VALUE"""),8.429006939113258)</f>
        <v>8.429006939</v>
      </c>
      <c r="H11" s="11">
        <f>IFERROR(__xludf.DUMMYFUNCTION("""COMPUTED_VALUE"""),8.429006939113258)</f>
        <v>8.429006939</v>
      </c>
      <c r="I11" s="11">
        <f>IFERROR(__xludf.DUMMYFUNCTION("""COMPUTED_VALUE"""),0.0)</f>
        <v>0</v>
      </c>
      <c r="J11" s="11">
        <f>IFERROR(__xludf.DUMMYFUNCTION("""COMPUTED_VALUE"""),31.1)</f>
        <v>31.1</v>
      </c>
      <c r="K11" s="11">
        <f>IFERROR(__xludf.DUMMYFUNCTION("""COMPUTED_VALUE"""),0.6)</f>
        <v>0.6</v>
      </c>
      <c r="L11" s="11">
        <f>IFERROR(__xludf.DUMMYFUNCTION("""COMPUTED_VALUE"""),11.8)</f>
        <v>11.8</v>
      </c>
      <c r="M11" s="11">
        <f>IFERROR(__xludf.DUMMYFUNCTION("""COMPUTED_VALUE"""),6.7)</f>
        <v>6.7</v>
      </c>
      <c r="N11" s="11">
        <f>IFERROR(__xludf.DUMMYFUNCTION("""COMPUTED_VALUE"""),1.2)</f>
        <v>1.2</v>
      </c>
      <c r="O11" s="11">
        <f>IFERROR(__xludf.DUMMYFUNCTION("""COMPUTED_VALUE"""),1.1)</f>
        <v>1.1</v>
      </c>
      <c r="P11" s="15">
        <f>IFERROR(__xludf.DUMMYFUNCTION("""COMPUTED_VALUE"""),0.614)</f>
        <v>0.614</v>
      </c>
      <c r="Q11" s="15">
        <f>IFERROR(__xludf.DUMMYFUNCTION("""COMPUTED_VALUE"""),0.671)</f>
        <v>0.671</v>
      </c>
      <c r="R11" s="11">
        <f>IFERROR(__xludf.DUMMYFUNCTION("""COMPUTED_VALUE"""),3.4)</f>
        <v>3.4</v>
      </c>
      <c r="S11" s="11">
        <f>IFERROR(__xludf.DUMMYFUNCTION("""COMPUTED_VALUE"""),2.462794789508605)</f>
        <v>2.46279479</v>
      </c>
      <c r="T11" s="11">
        <f>IFERROR(__xludf.DUMMYFUNCTION("""COMPUTED_VALUE"""),-1.1435407868855925)</f>
        <v>-1.143540787</v>
      </c>
      <c r="U11" s="11">
        <f>IFERROR(__xludf.DUMMYFUNCTION("""COMPUTED_VALUE"""),2.2481126868576755)</f>
        <v>2.248112687</v>
      </c>
      <c r="V11" s="11">
        <f>IFERROR(__xludf.DUMMYFUNCTION("""COMPUTED_VALUE"""),1.2594359585561787)</f>
        <v>1.259435959</v>
      </c>
      <c r="W11" s="11">
        <f>IFERROR(__xludf.DUMMYFUNCTION("""COMPUTED_VALUE"""),0.7430016239596308)</f>
        <v>0.743001624</v>
      </c>
      <c r="X11" s="11">
        <f>IFERROR(__xludf.DUMMYFUNCTION("""COMPUTED_VALUE"""),0.6332385715246607)</f>
        <v>0.6332385715</v>
      </c>
      <c r="Y11" s="11">
        <f>IFERROR(__xludf.DUMMYFUNCTION("""COMPUTED_VALUE"""),2.635465260792226)</f>
        <v>2.635465261</v>
      </c>
      <c r="Z11" s="11">
        <f>IFERROR(__xludf.DUMMYFUNCTION("""COMPUTED_VALUE"""),-4.607725435738178)</f>
        <v>-4.607725436</v>
      </c>
      <c r="AA11" s="11">
        <f>IFERROR(__xludf.DUMMYFUNCTION("""COMPUTED_VALUE"""),-0.40950116520012636)</f>
        <v>-0.4095011652</v>
      </c>
      <c r="AB11" t="str">
        <f>IFERROR(__xludf.DUMMYFUNCTION("SUBSTITUTE(REGEXREPLACE(REGEXREPLACE(REGEXREPLACE(REGEXREPLACE(REGEXREPLACE(REGEXREPLACE(F11,"","",),IF(Projections!$T$17="""",""PG"",),),IF(Projections!$U$17="""",""SG"",),),IF(Projections!$V$17="""",""SF"",),),IF(Projections!$W$17="""",""PF"",),),IF(Pro"&amp;"jections!$X$17="""",""C"",),),""/"","""")"),"PFC")</f>
        <v>PFC</v>
      </c>
    </row>
    <row r="12">
      <c r="A12" t="str">
        <f>IF(Projections!$AC$17,Draft!D10,"")</f>
        <v/>
      </c>
      <c r="B12">
        <f>IFERROR(__xludf.DUMMYFUNCTION("""COMPUTED_VALUE"""),7.0)</f>
        <v>7</v>
      </c>
      <c r="C12">
        <f>IFERROR(__xludf.DUMMYFUNCTION("""COMPUTED_VALUE"""),12.5)</f>
        <v>12.5</v>
      </c>
      <c r="D12" t="str">
        <f>IFERROR(__xludf.DUMMYFUNCTION("""COMPUTED_VALUE"""),"Trae Young")</f>
        <v>Trae Young</v>
      </c>
      <c r="E12">
        <f>IFERROR(__xludf.DUMMYFUNCTION("""COMPUTED_VALUE"""),71.0)</f>
        <v>71</v>
      </c>
      <c r="F12" t="str">
        <f>IFERROR(__xludf.DUMMYFUNCTION("""COMPUTED_VALUE"""),"PG")</f>
        <v>PG</v>
      </c>
      <c r="G12" s="11">
        <f>IFERROR(__xludf.DUMMYFUNCTION("""COMPUTED_VALUE"""),7.19847521079153)</f>
        <v>7.198475211</v>
      </c>
      <c r="H12" s="11">
        <f>IFERROR(__xludf.DUMMYFUNCTION("""COMPUTED_VALUE"""),7.19847521079153)</f>
        <v>7.198475211</v>
      </c>
      <c r="I12" s="11">
        <f>IFERROR(__xludf.DUMMYFUNCTION("""COMPUTED_VALUE"""),0.0)</f>
        <v>0</v>
      </c>
      <c r="J12" s="11">
        <f>IFERROR(__xludf.DUMMYFUNCTION("""COMPUTED_VALUE"""),28.1)</f>
        <v>28.1</v>
      </c>
      <c r="K12" s="11">
        <f>IFERROR(__xludf.DUMMYFUNCTION("""COMPUTED_VALUE"""),3.4)</f>
        <v>3.4</v>
      </c>
      <c r="L12" s="11">
        <f>IFERROR(__xludf.DUMMYFUNCTION("""COMPUTED_VALUE"""),2.9)</f>
        <v>2.9</v>
      </c>
      <c r="M12" s="11">
        <f>IFERROR(__xludf.DUMMYFUNCTION("""COMPUTED_VALUE"""),10.8)</f>
        <v>10.8</v>
      </c>
      <c r="N12" s="11">
        <f>IFERROR(__xludf.DUMMYFUNCTION("""COMPUTED_VALUE"""),1.2)</f>
        <v>1.2</v>
      </c>
      <c r="O12" s="11">
        <f>IFERROR(__xludf.DUMMYFUNCTION("""COMPUTED_VALUE"""),0.2)</f>
        <v>0.2</v>
      </c>
      <c r="P12" s="15">
        <f>IFERROR(__xludf.DUMMYFUNCTION("""COMPUTED_VALUE"""),0.432)</f>
        <v>0.432</v>
      </c>
      <c r="Q12" s="15">
        <f>IFERROR(__xludf.DUMMYFUNCTION("""COMPUTED_VALUE"""),0.877)</f>
        <v>0.877</v>
      </c>
      <c r="R12" s="11">
        <f>IFERROR(__xludf.DUMMYFUNCTION("""COMPUTED_VALUE"""),4.2)</f>
        <v>4.2</v>
      </c>
      <c r="S12" s="11">
        <f>IFERROR(__xludf.DUMMYFUNCTION("""COMPUTED_VALUE"""),1.9208507306106177)</f>
        <v>1.920850731</v>
      </c>
      <c r="T12" s="11">
        <f>IFERROR(__xludf.DUMMYFUNCTION("""COMPUTED_VALUE"""),1.6431395859975693)</f>
        <v>1.643139586</v>
      </c>
      <c r="U12" s="11">
        <f>IFERROR(__xludf.DUMMYFUNCTION("""COMPUTED_VALUE"""),-1.2430343432648439)</f>
        <v>-1.243034343</v>
      </c>
      <c r="V12" s="11">
        <f>IFERROR(__xludf.DUMMYFUNCTION("""COMPUTED_VALUE"""),3.12746854586363)</f>
        <v>3.127468546</v>
      </c>
      <c r="W12" s="11">
        <f>IFERROR(__xludf.DUMMYFUNCTION("""COMPUTED_VALUE"""),0.7430016239596308)</f>
        <v>0.743001624</v>
      </c>
      <c r="X12" s="11">
        <f>IFERROR(__xludf.DUMMYFUNCTION("""COMPUTED_VALUE"""),-0.9723047469492465)</f>
        <v>-0.9723047469</v>
      </c>
      <c r="Y12" s="11">
        <f>IFERROR(__xludf.DUMMYFUNCTION("""COMPUTED_VALUE"""),-1.4827868385980316)</f>
        <v>-1.482786839</v>
      </c>
      <c r="Z12" s="11">
        <f>IFERROR(__xludf.DUMMYFUNCTION("""COMPUTED_VALUE"""),2.587240687582191)</f>
        <v>2.587240688</v>
      </c>
      <c r="AA12" s="11">
        <f>IFERROR(__xludf.DUMMYFUNCTION("""COMPUTED_VALUE"""),-0.6078868730080197)</f>
        <v>-0.607886873</v>
      </c>
      <c r="AB12" t="str">
        <f>IFERROR(__xludf.DUMMYFUNCTION("SUBSTITUTE(REGEXREPLACE(REGEXREPLACE(REGEXREPLACE(REGEXREPLACE(REGEXREPLACE(REGEXREPLACE(F12,"","",),IF(Projections!$T$17="""",""PG"",),),IF(Projections!$U$17="""",""SG"",),),IF(Projections!$V$17="""",""SF"",),),IF(Projections!$W$17="""",""PF"",),),IF(Pro"&amp;"jections!$X$17="""",""C"",),),""/"","""")"),"PG")</f>
        <v>PG</v>
      </c>
    </row>
    <row r="13">
      <c r="A13" t="str">
        <f>IF(Projections!$AC$17,Draft!D11,"")</f>
        <v/>
      </c>
      <c r="B13">
        <f>IFERROR(__xludf.DUMMYFUNCTION("""COMPUTED_VALUE"""),8.0)</f>
        <v>8</v>
      </c>
      <c r="C13">
        <f>IFERROR(__xludf.DUMMYFUNCTION("""COMPUTED_VALUE"""),9.6)</f>
        <v>9.6</v>
      </c>
      <c r="D13" t="str">
        <f>IFERROR(__xludf.DUMMYFUNCTION("""COMPUTED_VALUE"""),"Joel Embiid")</f>
        <v>Joel Embiid</v>
      </c>
      <c r="E13">
        <f>IFERROR(__xludf.DUMMYFUNCTION("""COMPUTED_VALUE"""),54.0)</f>
        <v>54</v>
      </c>
      <c r="F13" t="str">
        <f>IFERROR(__xludf.DUMMYFUNCTION("""COMPUTED_VALUE"""),"C")</f>
        <v>C</v>
      </c>
      <c r="G13" s="11">
        <f>IFERROR(__xludf.DUMMYFUNCTION("""COMPUTED_VALUE"""),7.080727484907011)</f>
        <v>7.080727485</v>
      </c>
      <c r="H13" s="11">
        <f>IFERROR(__xludf.DUMMYFUNCTION("""COMPUTED_VALUE"""),7.080727484907011)</f>
        <v>7.080727485</v>
      </c>
      <c r="I13" s="11">
        <f>IFERROR(__xludf.DUMMYFUNCTION("""COMPUTED_VALUE"""),0.0)</f>
        <v>0</v>
      </c>
      <c r="J13" s="11">
        <f>IFERROR(__xludf.DUMMYFUNCTION("""COMPUTED_VALUE"""),28.1)</f>
        <v>28.1</v>
      </c>
      <c r="K13" s="11">
        <f>IFERROR(__xludf.DUMMYFUNCTION("""COMPUTED_VALUE"""),1.3)</f>
        <v>1.3</v>
      </c>
      <c r="L13" s="11">
        <f>IFERROR(__xludf.DUMMYFUNCTION("""COMPUTED_VALUE"""),10.0)</f>
        <v>10</v>
      </c>
      <c r="M13" s="11">
        <f>IFERROR(__xludf.DUMMYFUNCTION("""COMPUTED_VALUE"""),3.9)</f>
        <v>3.9</v>
      </c>
      <c r="N13" s="11">
        <f>IFERROR(__xludf.DUMMYFUNCTION("""COMPUTED_VALUE"""),0.9)</f>
        <v>0.9</v>
      </c>
      <c r="O13" s="11">
        <f>IFERROR(__xludf.DUMMYFUNCTION("""COMPUTED_VALUE"""),1.4)</f>
        <v>1.4</v>
      </c>
      <c r="P13" s="15">
        <f>IFERROR(__xludf.DUMMYFUNCTION("""COMPUTED_VALUE"""),0.518)</f>
        <v>0.518</v>
      </c>
      <c r="Q13" s="15">
        <f>IFERROR(__xludf.DUMMYFUNCTION("""COMPUTED_VALUE"""),0.871)</f>
        <v>0.871</v>
      </c>
      <c r="R13" s="11">
        <f>IFERROR(__xludf.DUMMYFUNCTION("""COMPUTED_VALUE"""),3.3)</f>
        <v>3.3</v>
      </c>
      <c r="S13" s="11">
        <f>IFERROR(__xludf.DUMMYFUNCTION("""COMPUTED_VALUE"""),1.9208507306106177)</f>
        <v>1.920850731</v>
      </c>
      <c r="T13" s="11">
        <f>IFERROR(__xludf.DUMMYFUNCTION("""COMPUTED_VALUE"""),-0.44687069366480203)</f>
        <v>-0.4468706937</v>
      </c>
      <c r="U13" s="11">
        <f>IFERROR(__xludf.DUMMYFUNCTION("""COMPUTED_VALUE"""),1.5420380066081771)</f>
        <v>1.542038007</v>
      </c>
      <c r="V13" s="11">
        <f>IFERROR(__xludf.DUMMYFUNCTION("""COMPUTED_VALUE"""),-0.016293613263543852)</f>
        <v>-0.01629361326</v>
      </c>
      <c r="W13" s="11">
        <f>IFERROR(__xludf.DUMMYFUNCTION("""COMPUTED_VALUE"""),-0.25279641051880714)</f>
        <v>-0.2527964105</v>
      </c>
      <c r="X13" s="11">
        <f>IFERROR(__xludf.DUMMYFUNCTION("""COMPUTED_VALUE"""),1.1684196776826294)</f>
        <v>1.168419678</v>
      </c>
      <c r="Y13" s="11">
        <f>IFERROR(__xludf.DUMMYFUNCTION("""COMPUTED_VALUE"""),0.43563041128701513)</f>
        <v>0.4356304113</v>
      </c>
      <c r="Z13" s="11">
        <f>IFERROR(__xludf.DUMMYFUNCTION("""COMPUTED_VALUE"""),2.667581634225062)</f>
        <v>2.667581634</v>
      </c>
      <c r="AA13" s="11">
        <f>IFERROR(__xludf.DUMMYFUNCTION("""COMPUTED_VALUE"""),-0.3847029517241397)</f>
        <v>-0.3847029517</v>
      </c>
      <c r="AB13" t="str">
        <f>IFERROR(__xludf.DUMMYFUNCTION("SUBSTITUTE(REGEXREPLACE(REGEXREPLACE(REGEXREPLACE(REGEXREPLACE(REGEXREPLACE(REGEXREPLACE(F13,"","",),IF(Projections!$T$17="""",""PG"",),),IF(Projections!$U$17="""",""SG"",),),IF(Projections!$V$17="""",""SF"",),),IF(Projections!$W$17="""",""PF"",),),IF(Pro"&amp;"jections!$X$17="""",""C"",),),""/"","""")"),"C")</f>
        <v>C</v>
      </c>
    </row>
    <row r="14">
      <c r="A14" t="str">
        <f>IF(Projections!$AC$17,Draft!D12,"")</f>
        <v/>
      </c>
      <c r="B14">
        <f>IFERROR(__xludf.DUMMYFUNCTION("""COMPUTED_VALUE"""),9.0)</f>
        <v>9</v>
      </c>
      <c r="C14">
        <f>IFERROR(__xludf.DUMMYFUNCTION("""COMPUTED_VALUE"""),8.4)</f>
        <v>8.4</v>
      </c>
      <c r="D14" t="str">
        <f>IFERROR(__xludf.DUMMYFUNCTION("""COMPUTED_VALUE"""),"Tyrese Haliburton")</f>
        <v>Tyrese Haliburton</v>
      </c>
      <c r="E14">
        <f>IFERROR(__xludf.DUMMYFUNCTION("""COMPUTED_VALUE"""),61.0)</f>
        <v>61</v>
      </c>
      <c r="F14" t="str">
        <f>IFERROR(__xludf.DUMMYFUNCTION("""COMPUTED_VALUE"""),"PG,SG")</f>
        <v>PG,SG</v>
      </c>
      <c r="G14" s="11">
        <f>IFERROR(__xludf.DUMMYFUNCTION("""COMPUTED_VALUE"""),6.883468532105739)</f>
        <v>6.883468532</v>
      </c>
      <c r="H14" s="11">
        <f>IFERROR(__xludf.DUMMYFUNCTION("""COMPUTED_VALUE"""),6.883468532105739)</f>
        <v>6.883468532</v>
      </c>
      <c r="I14" s="11">
        <f>IFERROR(__xludf.DUMMYFUNCTION("""COMPUTED_VALUE"""),0.0)</f>
        <v>0</v>
      </c>
      <c r="J14" s="11">
        <f>IFERROR(__xludf.DUMMYFUNCTION("""COMPUTED_VALUE"""),21.1)</f>
        <v>21.1</v>
      </c>
      <c r="K14" s="11">
        <f>IFERROR(__xludf.DUMMYFUNCTION("""COMPUTED_VALUE"""),3.0)</f>
        <v>3</v>
      </c>
      <c r="L14" s="11">
        <f>IFERROR(__xludf.DUMMYFUNCTION("""COMPUTED_VALUE"""),3.9)</f>
        <v>3.9</v>
      </c>
      <c r="M14" s="11">
        <f>IFERROR(__xludf.DUMMYFUNCTION("""COMPUTED_VALUE"""),11.1)</f>
        <v>11.1</v>
      </c>
      <c r="N14" s="11">
        <f>IFERROR(__xludf.DUMMYFUNCTION("""COMPUTED_VALUE"""),1.4)</f>
        <v>1.4</v>
      </c>
      <c r="O14" s="11">
        <f>IFERROR(__xludf.DUMMYFUNCTION("""COMPUTED_VALUE"""),0.7)</f>
        <v>0.7</v>
      </c>
      <c r="P14" s="15">
        <f>IFERROR(__xludf.DUMMYFUNCTION("""COMPUTED_VALUE"""),0.483)</f>
        <v>0.483</v>
      </c>
      <c r="Q14" s="15">
        <f>IFERROR(__xludf.DUMMYFUNCTION("""COMPUTED_VALUE"""),0.862)</f>
        <v>0.862</v>
      </c>
      <c r="R14" s="11">
        <f>IFERROR(__xludf.DUMMYFUNCTION("""COMPUTED_VALUE"""),2.5)</f>
        <v>2.5</v>
      </c>
      <c r="S14" s="11">
        <f>IFERROR(__xludf.DUMMYFUNCTION("""COMPUTED_VALUE"""),0.6563145931819813)</f>
        <v>0.6563145932</v>
      </c>
      <c r="T14" s="11">
        <f>IFERROR(__xludf.DUMMYFUNCTION("""COMPUTED_VALUE"""),1.2450423898714034)</f>
        <v>1.24504239</v>
      </c>
      <c r="U14" s="11">
        <f>IFERROR(__xludf.DUMMYFUNCTION("""COMPUTED_VALUE"""),-0.8507706320151226)</f>
        <v>-0.850770632</v>
      </c>
      <c r="V14" s="11">
        <f>IFERROR(__xludf.DUMMYFUNCTION("""COMPUTED_VALUE"""),3.2641538571300286)</f>
        <v>3.264153857</v>
      </c>
      <c r="W14" s="11">
        <f>IFERROR(__xludf.DUMMYFUNCTION("""COMPUTED_VALUE"""),1.4068669802785894)</f>
        <v>1.40686698</v>
      </c>
      <c r="X14" s="11">
        <f>IFERROR(__xludf.DUMMYFUNCTION("""COMPUTED_VALUE"""),-0.08033623668596498)</f>
        <v>-0.08033623669</v>
      </c>
      <c r="Y14" s="11">
        <f>IFERROR(__xludf.DUMMYFUNCTION("""COMPUTED_VALUE"""),-0.2537855436318455)</f>
        <v>-0.2537855436</v>
      </c>
      <c r="Z14" s="11">
        <f>IFERROR(__xludf.DUMMYFUNCTION("""COMPUTED_VALUE"""),0.8315297358777928)</f>
        <v>0.8315297359</v>
      </c>
      <c r="AA14" s="11">
        <f>IFERROR(__xludf.DUMMYFUNCTION("""COMPUTED_VALUE"""),-0.1863172439162465)</f>
        <v>-0.1863172439</v>
      </c>
      <c r="AB14" t="str">
        <f>IFERROR(__xludf.DUMMYFUNCTION("SUBSTITUTE(REGEXREPLACE(REGEXREPLACE(REGEXREPLACE(REGEXREPLACE(REGEXREPLACE(REGEXREPLACE(F14,"","",),IF(Projections!$T$17="""",""PG"",),),IF(Projections!$U$17="""",""SG"",),),IF(Projections!$V$17="""",""SF"",),),IF(Projections!$W$17="""",""PF"",),),IF(Pro"&amp;"jections!$X$17="""",""C"",),),""/"","""")"),"PGSG")</f>
        <v>PGSG</v>
      </c>
    </row>
    <row r="15">
      <c r="A15" t="str">
        <f>IF(Projections!$AC$17,Draft!D13,"")</f>
        <v/>
      </c>
      <c r="B15">
        <f>IFERROR(__xludf.DUMMYFUNCTION("""COMPUTED_VALUE"""),10.0)</f>
        <v>10</v>
      </c>
      <c r="C15">
        <f>IFERROR(__xludf.DUMMYFUNCTION("""COMPUTED_VALUE"""),22.3)</f>
        <v>22.3</v>
      </c>
      <c r="D15" t="str">
        <f>IFERROR(__xludf.DUMMYFUNCTION("""COMPUTED_VALUE"""),"LaMelo Ball")</f>
        <v>LaMelo Ball</v>
      </c>
      <c r="E15">
        <f>IFERROR(__xludf.DUMMYFUNCTION("""COMPUTED_VALUE"""),75.0)</f>
        <v>75</v>
      </c>
      <c r="F15" t="str">
        <f>IFERROR(__xludf.DUMMYFUNCTION("""COMPUTED_VALUE"""),"PG,SG")</f>
        <v>PG,SG</v>
      </c>
      <c r="G15" s="11">
        <f>IFERROR(__xludf.DUMMYFUNCTION("""COMPUTED_VALUE"""),6.5143286563032285)</f>
        <v>6.514328656</v>
      </c>
      <c r="H15" s="11">
        <f>IFERROR(__xludf.DUMMYFUNCTION("""COMPUTED_VALUE"""),6.5143286563032285)</f>
        <v>6.514328656</v>
      </c>
      <c r="I15" s="11">
        <f>IFERROR(__xludf.DUMMYFUNCTION("""COMPUTED_VALUE"""),0.0)</f>
        <v>0</v>
      </c>
      <c r="J15" s="11">
        <f>IFERROR(__xludf.DUMMYFUNCTION("""COMPUTED_VALUE"""),23.2)</f>
        <v>23.2</v>
      </c>
      <c r="K15" s="11">
        <f>IFERROR(__xludf.DUMMYFUNCTION("""COMPUTED_VALUE"""),3.6)</f>
        <v>3.6</v>
      </c>
      <c r="L15" s="11">
        <f>IFERROR(__xludf.DUMMYFUNCTION("""COMPUTED_VALUE"""),5.7)</f>
        <v>5.7</v>
      </c>
      <c r="M15" s="11">
        <f>IFERROR(__xludf.DUMMYFUNCTION("""COMPUTED_VALUE"""),8.6)</f>
        <v>8.6</v>
      </c>
      <c r="N15" s="11">
        <f>IFERROR(__xludf.DUMMYFUNCTION("""COMPUTED_VALUE"""),1.6)</f>
        <v>1.6</v>
      </c>
      <c r="O15" s="11">
        <f>IFERROR(__xludf.DUMMYFUNCTION("""COMPUTED_VALUE"""),0.3)</f>
        <v>0.3</v>
      </c>
      <c r="P15" s="15">
        <f>IFERROR(__xludf.DUMMYFUNCTION("""COMPUTED_VALUE"""),0.427)</f>
        <v>0.427</v>
      </c>
      <c r="Q15" s="15">
        <f>IFERROR(__xludf.DUMMYFUNCTION("""COMPUTED_VALUE"""),0.857)</f>
        <v>0.857</v>
      </c>
      <c r="R15" s="11">
        <f>IFERROR(__xludf.DUMMYFUNCTION("""COMPUTED_VALUE"""),3.5)</f>
        <v>3.5</v>
      </c>
      <c r="S15" s="11">
        <f>IFERROR(__xludf.DUMMYFUNCTION("""COMPUTED_VALUE"""),1.0356754344105719)</f>
        <v>1.035675434</v>
      </c>
      <c r="T15" s="11">
        <f>IFERROR(__xludf.DUMMYFUNCTION("""COMPUTED_VALUE"""),1.8421881840606524)</f>
        <v>1.842188184</v>
      </c>
      <c r="U15" s="11">
        <f>IFERROR(__xludf.DUMMYFUNCTION("""COMPUTED_VALUE"""),-0.1446959517656242)</f>
        <v>-0.1446959518</v>
      </c>
      <c r="V15" s="11">
        <f>IFERROR(__xludf.DUMMYFUNCTION("""COMPUTED_VALUE"""),2.1251095965767046)</f>
        <v>2.125109597</v>
      </c>
      <c r="W15" s="11">
        <f>IFERROR(__xludf.DUMMYFUNCTION("""COMPUTED_VALUE"""),2.0707323365975485)</f>
        <v>2.070732337</v>
      </c>
      <c r="X15" s="11">
        <f>IFERROR(__xludf.DUMMYFUNCTION("""COMPUTED_VALUE"""),-0.7939110448965904)</f>
        <v>-0.7939110449</v>
      </c>
      <c r="Y15" s="11">
        <f>IFERROR(__xludf.DUMMYFUNCTION("""COMPUTED_VALUE"""),-1.5724868211410579)</f>
        <v>-1.572486821</v>
      </c>
      <c r="Z15" s="11">
        <f>IFERROR(__xludf.DUMMYFUNCTION("""COMPUTED_VALUE"""),0.813529479996078)</f>
        <v>0.81352948</v>
      </c>
      <c r="AA15" s="11">
        <f>IFERROR(__xludf.DUMMYFUNCTION("""COMPUTED_VALUE"""),-0.43429937867611307)</f>
        <v>-0.4342993787</v>
      </c>
      <c r="AB15" t="str">
        <f>IFERROR(__xludf.DUMMYFUNCTION("SUBSTITUTE(REGEXREPLACE(REGEXREPLACE(REGEXREPLACE(REGEXREPLACE(REGEXREPLACE(REGEXREPLACE(F15,"","",),IF(Projections!$T$17="""",""PG"",),),IF(Projections!$U$17="""",""SG"",),),IF(Projections!$V$17="""",""SF"",),),IF(Projections!$W$17="""",""PF"",),),IF(Pro"&amp;"jections!$X$17="""",""C"",),),""/"","""")"),"PGSG")</f>
        <v>PGSG</v>
      </c>
    </row>
    <row r="16">
      <c r="A16" t="str">
        <f>IF(Projections!$AC$17,Draft!D14,"")</f>
        <v/>
      </c>
      <c r="B16">
        <f>IFERROR(__xludf.DUMMYFUNCTION("""COMPUTED_VALUE"""),11.0)</f>
        <v>11</v>
      </c>
      <c r="C16">
        <f>IFERROR(__xludf.DUMMYFUNCTION("""COMPUTED_VALUE"""),16.2)</f>
        <v>16.2</v>
      </c>
      <c r="D16" t="str">
        <f>IFERROR(__xludf.DUMMYFUNCTION("""COMPUTED_VALUE"""),"James Harden")</f>
        <v>James Harden</v>
      </c>
      <c r="E16">
        <f>IFERROR(__xludf.DUMMYFUNCTION("""COMPUTED_VALUE"""),62.0)</f>
        <v>62</v>
      </c>
      <c r="F16" t="str">
        <f>IFERROR(__xludf.DUMMYFUNCTION("""COMPUTED_VALUE"""),"PG,SG")</f>
        <v>PG,SG</v>
      </c>
      <c r="G16" s="11">
        <f>IFERROR(__xludf.DUMMYFUNCTION("""COMPUTED_VALUE"""),6.006607638177341)</f>
        <v>6.006607638</v>
      </c>
      <c r="H16" s="11">
        <f>IFERROR(__xludf.DUMMYFUNCTION("""COMPUTED_VALUE"""),6.006607638177341)</f>
        <v>6.006607638</v>
      </c>
      <c r="I16" s="11">
        <f>IFERROR(__xludf.DUMMYFUNCTION("""COMPUTED_VALUE"""),0.0)</f>
        <v>0</v>
      </c>
      <c r="J16" s="11">
        <f>IFERROR(__xludf.DUMMYFUNCTION("""COMPUTED_VALUE"""),20.4)</f>
        <v>20.4</v>
      </c>
      <c r="K16" s="11">
        <f>IFERROR(__xludf.DUMMYFUNCTION("""COMPUTED_VALUE"""),2.8)</f>
        <v>2.8</v>
      </c>
      <c r="L16" s="11">
        <f>IFERROR(__xludf.DUMMYFUNCTION("""COMPUTED_VALUE"""),6.1)</f>
        <v>6.1</v>
      </c>
      <c r="M16" s="11">
        <f>IFERROR(__xludf.DUMMYFUNCTION("""COMPUTED_VALUE"""),10.4)</f>
        <v>10.4</v>
      </c>
      <c r="N16" s="11">
        <f>IFERROR(__xludf.DUMMYFUNCTION("""COMPUTED_VALUE"""),1.1)</f>
        <v>1.1</v>
      </c>
      <c r="O16" s="11">
        <f>IFERROR(__xludf.DUMMYFUNCTION("""COMPUTED_VALUE"""),0.7)</f>
        <v>0.7</v>
      </c>
      <c r="P16" s="15">
        <f>IFERROR(__xludf.DUMMYFUNCTION("""COMPUTED_VALUE"""),0.438)</f>
        <v>0.438</v>
      </c>
      <c r="Q16" s="15">
        <f>IFERROR(__xludf.DUMMYFUNCTION("""COMPUTED_VALUE"""),0.871)</f>
        <v>0.871</v>
      </c>
      <c r="R16" s="11">
        <f>IFERROR(__xludf.DUMMYFUNCTION("""COMPUTED_VALUE"""),2.9)</f>
        <v>2.9</v>
      </c>
      <c r="S16" s="11">
        <f>IFERROR(__xludf.DUMMYFUNCTION("""COMPUTED_VALUE"""),0.529860979439117)</f>
        <v>0.5298609794</v>
      </c>
      <c r="T16" s="11">
        <f>IFERROR(__xludf.DUMMYFUNCTION("""COMPUTED_VALUE"""),1.0459937918083202)</f>
        <v>1.045993792</v>
      </c>
      <c r="U16" s="11">
        <f>IFERROR(__xludf.DUMMYFUNCTION("""COMPUTED_VALUE"""),0.012209532734264103)</f>
        <v>0.01220953273</v>
      </c>
      <c r="V16" s="11">
        <f>IFERROR(__xludf.DUMMYFUNCTION("""COMPUTED_VALUE"""),2.945221464175098)</f>
        <v>2.945221464</v>
      </c>
      <c r="W16" s="11">
        <f>IFERROR(__xludf.DUMMYFUNCTION("""COMPUTED_VALUE"""),0.41106894580015185)</f>
        <v>0.4110689458</v>
      </c>
      <c r="X16" s="11">
        <f>IFERROR(__xludf.DUMMYFUNCTION("""COMPUTED_VALUE"""),-0.08033623668596498)</f>
        <v>-0.08033623669</v>
      </c>
      <c r="Y16" s="11">
        <f>IFERROR(__xludf.DUMMYFUNCTION("""COMPUTED_VALUE"""),-1.0213235091497475)</f>
        <v>-1.021323509</v>
      </c>
      <c r="Z16" s="11">
        <f>IFERROR(__xludf.DUMMYFUNCTION("""COMPUTED_VALUE"""),1.4280992587265482)</f>
        <v>1.428099259</v>
      </c>
      <c r="AA16" s="11">
        <f>IFERROR(__xludf.DUMMYFUNCTION("""COMPUTED_VALUE"""),-0.2855100978201931)</f>
        <v>-0.2855100978</v>
      </c>
      <c r="AB16" t="str">
        <f>IFERROR(__xludf.DUMMYFUNCTION("SUBSTITUTE(REGEXREPLACE(REGEXREPLACE(REGEXREPLACE(REGEXREPLACE(REGEXREPLACE(REGEXREPLACE(F16,"","",),IF(Projections!$T$17="""",""PG"",),),IF(Projections!$U$17="""",""SG"",),),IF(Projections!$V$17="""",""SF"",),),IF(Projections!$W$17="""",""PF"",),),IF(Pro"&amp;"jections!$X$17="""",""C"",),),""/"","""")"),"PGSG")</f>
        <v>PGSG</v>
      </c>
    </row>
    <row r="17">
      <c r="A17" t="str">
        <f>IF(Projections!$AC$17,Draft!E3,"")</f>
        <v/>
      </c>
      <c r="B17">
        <f>IFERROR(__xludf.DUMMYFUNCTION("""COMPUTED_VALUE"""),12.0)</f>
        <v>12</v>
      </c>
      <c r="C17">
        <f>IFERROR(__xludf.DUMMYFUNCTION("""COMPUTED_VALUE"""),9.5)</f>
        <v>9.5</v>
      </c>
      <c r="D17" t="str">
        <f>IFERROR(__xludf.DUMMYFUNCTION("""COMPUTED_VALUE"""),"Jayson Tatum")</f>
        <v>Jayson Tatum</v>
      </c>
      <c r="E17">
        <f>IFERROR(__xludf.DUMMYFUNCTION("""COMPUTED_VALUE"""),66.0)</f>
        <v>66</v>
      </c>
      <c r="F17" t="str">
        <f>IFERROR(__xludf.DUMMYFUNCTION("""COMPUTED_VALUE"""),"SF,PF")</f>
        <v>SF,PF</v>
      </c>
      <c r="G17" s="11">
        <f>IFERROR(__xludf.DUMMYFUNCTION("""COMPUTED_VALUE"""),5.917048842687828)</f>
        <v>5.917048843</v>
      </c>
      <c r="H17" s="11">
        <f>IFERROR(__xludf.DUMMYFUNCTION("""COMPUTED_VALUE"""),5.917048842687828)</f>
        <v>5.917048843</v>
      </c>
      <c r="I17" s="11">
        <f>IFERROR(__xludf.DUMMYFUNCTION("""COMPUTED_VALUE"""),0.0)</f>
        <v>0</v>
      </c>
      <c r="J17" s="11">
        <f>IFERROR(__xludf.DUMMYFUNCTION("""COMPUTED_VALUE"""),27.9)</f>
        <v>27.9</v>
      </c>
      <c r="K17" s="11">
        <f>IFERROR(__xludf.DUMMYFUNCTION("""COMPUTED_VALUE"""),2.9)</f>
        <v>2.9</v>
      </c>
      <c r="L17" s="11">
        <f>IFERROR(__xludf.DUMMYFUNCTION("""COMPUTED_VALUE"""),9.0)</f>
        <v>9</v>
      </c>
      <c r="M17" s="11">
        <f>IFERROR(__xludf.DUMMYFUNCTION("""COMPUTED_VALUE"""),5.1)</f>
        <v>5.1</v>
      </c>
      <c r="N17" s="11">
        <f>IFERROR(__xludf.DUMMYFUNCTION("""COMPUTED_VALUE"""),1.1)</f>
        <v>1.1</v>
      </c>
      <c r="O17" s="11">
        <f>IFERROR(__xludf.DUMMYFUNCTION("""COMPUTED_VALUE"""),0.7)</f>
        <v>0.7</v>
      </c>
      <c r="P17" s="15">
        <f>IFERROR(__xludf.DUMMYFUNCTION("""COMPUTED_VALUE"""),0.469)</f>
        <v>0.469</v>
      </c>
      <c r="Q17" s="15">
        <f>IFERROR(__xludf.DUMMYFUNCTION("""COMPUTED_VALUE"""),0.836)</f>
        <v>0.836</v>
      </c>
      <c r="R17" s="11">
        <f>IFERROR(__xludf.DUMMYFUNCTION("""COMPUTED_VALUE"""),2.5)</f>
        <v>2.5</v>
      </c>
      <c r="S17" s="11">
        <f>IFERROR(__xludf.DUMMYFUNCTION("""COMPUTED_VALUE"""),1.8847211266840846)</f>
        <v>1.884721127</v>
      </c>
      <c r="T17" s="11">
        <f>IFERROR(__xludf.DUMMYFUNCTION("""COMPUTED_VALUE"""),1.145518090839862)</f>
        <v>1.145518091</v>
      </c>
      <c r="U17" s="11">
        <f>IFERROR(__xludf.DUMMYFUNCTION("""COMPUTED_VALUE"""),1.149774295358456)</f>
        <v>1.149774295</v>
      </c>
      <c r="V17" s="11">
        <f>IFERROR(__xludf.DUMMYFUNCTION("""COMPUTED_VALUE"""),0.5304476318020513)</f>
        <v>0.5304476318</v>
      </c>
      <c r="W17" s="11">
        <f>IFERROR(__xludf.DUMMYFUNCTION("""COMPUTED_VALUE"""),0.41106894580015185)</f>
        <v>0.4110689458</v>
      </c>
      <c r="X17" s="11">
        <f>IFERROR(__xludf.DUMMYFUNCTION("""COMPUTED_VALUE"""),-0.08033623668596498)</f>
        <v>-0.08033623669</v>
      </c>
      <c r="Y17" s="11">
        <f>IFERROR(__xludf.DUMMYFUNCTION("""COMPUTED_VALUE"""),-0.6567939692109008)</f>
        <v>-0.6567939692</v>
      </c>
      <c r="Z17" s="11">
        <f>IFERROR(__xludf.DUMMYFUNCTION("""COMPUTED_VALUE"""),1.0621722328054333)</f>
        <v>1.062172233</v>
      </c>
      <c r="AA17" s="11">
        <f>IFERROR(__xludf.DUMMYFUNCTION("""COMPUTED_VALUE"""),-0.1863172439162465)</f>
        <v>-0.1863172439</v>
      </c>
      <c r="AB17" t="str">
        <f>IFERROR(__xludf.DUMMYFUNCTION("SUBSTITUTE(REGEXREPLACE(REGEXREPLACE(REGEXREPLACE(REGEXREPLACE(REGEXREPLACE(REGEXREPLACE(F17,"","",),IF(Projections!$T$17="""",""PG"",),),IF(Projections!$U$17="""",""SG"",),),IF(Projections!$V$17="""",""SF"",),),IF(Projections!$W$17="""",""PF"",),),IF(Pro"&amp;"jections!$X$17="""",""C"",),),""/"","""")"),"SFPF")</f>
        <v>SFPF</v>
      </c>
    </row>
    <row r="18">
      <c r="A18" t="str">
        <f>IF(Projections!$AC$17,Draft!E4,"")</f>
        <v/>
      </c>
      <c r="B18">
        <f>IFERROR(__xludf.DUMMYFUNCTION("""COMPUTED_VALUE"""),13.0)</f>
        <v>13</v>
      </c>
      <c r="C18">
        <f>IFERROR(__xludf.DUMMYFUNCTION("""COMPUTED_VALUE"""),17.0)</f>
        <v>17</v>
      </c>
      <c r="D18" t="str">
        <f>IFERROR(__xludf.DUMMYFUNCTION("""COMPUTED_VALUE"""),"Donovan Mitchell")</f>
        <v>Donovan Mitchell</v>
      </c>
      <c r="E18">
        <f>IFERROR(__xludf.DUMMYFUNCTION("""COMPUTED_VALUE"""),71.0)</f>
        <v>71</v>
      </c>
      <c r="F18" t="str">
        <f>IFERROR(__xludf.DUMMYFUNCTION("""COMPUTED_VALUE"""),"PG,SG")</f>
        <v>PG,SG</v>
      </c>
      <c r="G18" s="11">
        <f>IFERROR(__xludf.DUMMYFUNCTION("""COMPUTED_VALUE"""),5.687658286753553)</f>
        <v>5.687658287</v>
      </c>
      <c r="H18" s="11">
        <f>IFERROR(__xludf.DUMMYFUNCTION("""COMPUTED_VALUE"""),5.687658286753553)</f>
        <v>5.687658287</v>
      </c>
      <c r="I18" s="11">
        <f>IFERROR(__xludf.DUMMYFUNCTION("""COMPUTED_VALUE"""),0.0)</f>
        <v>0</v>
      </c>
      <c r="J18" s="11">
        <f>IFERROR(__xludf.DUMMYFUNCTION("""COMPUTED_VALUE"""),26.2)</f>
        <v>26.2</v>
      </c>
      <c r="K18" s="11">
        <f>IFERROR(__xludf.DUMMYFUNCTION("""COMPUTED_VALUE"""),3.3)</f>
        <v>3.3</v>
      </c>
      <c r="L18" s="11">
        <f>IFERROR(__xludf.DUMMYFUNCTION("""COMPUTED_VALUE"""),4.4)</f>
        <v>4.4</v>
      </c>
      <c r="M18" s="11">
        <f>IFERROR(__xludf.DUMMYFUNCTION("""COMPUTED_VALUE"""),5.4)</f>
        <v>5.4</v>
      </c>
      <c r="N18" s="11">
        <f>IFERROR(__xludf.DUMMYFUNCTION("""COMPUTED_VALUE"""),1.6)</f>
        <v>1.6</v>
      </c>
      <c r="O18" s="11">
        <f>IFERROR(__xludf.DUMMYFUNCTION("""COMPUTED_VALUE"""),0.4)</f>
        <v>0.4</v>
      </c>
      <c r="P18" s="15">
        <f>IFERROR(__xludf.DUMMYFUNCTION("""COMPUTED_VALUE"""),0.468)</f>
        <v>0.468</v>
      </c>
      <c r="Q18" s="15">
        <f>IFERROR(__xludf.DUMMYFUNCTION("""COMPUTED_VALUE"""),0.866)</f>
        <v>0.866</v>
      </c>
      <c r="R18" s="11">
        <f>IFERROR(__xludf.DUMMYFUNCTION("""COMPUTED_VALUE"""),2.8)</f>
        <v>2.8</v>
      </c>
      <c r="S18" s="11">
        <f>IFERROR(__xludf.DUMMYFUNCTION("""COMPUTED_VALUE"""),1.5776194933085588)</f>
        <v>1.577619493</v>
      </c>
      <c r="T18" s="11">
        <f>IFERROR(__xludf.DUMMYFUNCTION("""COMPUTED_VALUE"""),1.5436152869660278)</f>
        <v>1.543615287</v>
      </c>
      <c r="U18" s="11">
        <f>IFERROR(__xludf.DUMMYFUNCTION("""COMPUTED_VALUE"""),-0.6546387763902618)</f>
        <v>-0.6546387764</v>
      </c>
      <c r="V18" s="11">
        <f>IFERROR(__xludf.DUMMYFUNCTION("""COMPUTED_VALUE"""),0.6671329430684506)</f>
        <v>0.6671329431</v>
      </c>
      <c r="W18" s="11">
        <f>IFERROR(__xludf.DUMMYFUNCTION("""COMPUTED_VALUE"""),2.0707323365975485)</f>
        <v>2.070732337</v>
      </c>
      <c r="X18" s="11">
        <f>IFERROR(__xludf.DUMMYFUNCTION("""COMPUTED_VALUE"""),-0.6155173428439339)</f>
        <v>-0.6155173428</v>
      </c>
      <c r="Y18" s="11">
        <f>IFERROR(__xludf.DUMMYFUNCTION("""COMPUTED_VALUE"""),-0.6600421969098721)</f>
        <v>-0.6600421969</v>
      </c>
      <c r="Z18" s="11">
        <f>IFERROR(__xludf.DUMMYFUNCTION("""COMPUTED_VALUE"""),1.35942623039137)</f>
        <v>1.35942623</v>
      </c>
      <c r="AA18" s="11">
        <f>IFERROR(__xludf.DUMMYFUNCTION("""COMPUTED_VALUE"""),-0.2607118843442064)</f>
        <v>-0.2607118843</v>
      </c>
      <c r="AB18" t="str">
        <f>IFERROR(__xludf.DUMMYFUNCTION("SUBSTITUTE(REGEXREPLACE(REGEXREPLACE(REGEXREPLACE(REGEXREPLACE(REGEXREPLACE(REGEXREPLACE(F18,"","",),IF(Projections!$T$17="""",""PG"",),),IF(Projections!$U$17="""",""SG"",),),IF(Projections!$V$17="""",""SF"",),),IF(Projections!$W$17="""",""PF"",),),IF(Pro"&amp;"jections!$X$17="""",""C"",),),""/"","""")"),"PGSG")</f>
        <v>PGSG</v>
      </c>
    </row>
    <row r="19">
      <c r="A19" t="str">
        <f>IF(Projections!$AC$17,Draft!E5,"")</f>
        <v/>
      </c>
      <c r="B19">
        <f>IFERROR(__xludf.DUMMYFUNCTION("""COMPUTED_VALUE"""),14.0)</f>
        <v>14</v>
      </c>
      <c r="C19">
        <f>IFERROR(__xludf.DUMMYFUNCTION("""COMPUTED_VALUE"""),24.3)</f>
        <v>24.3</v>
      </c>
      <c r="D19" t="str">
        <f>IFERROR(__xludf.DUMMYFUNCTION("""COMPUTED_VALUE"""),"Damian Lillard")</f>
        <v>Damian Lillard</v>
      </c>
      <c r="E19">
        <f>IFERROR(__xludf.DUMMYFUNCTION("""COMPUTED_VALUE"""),71.0)</f>
        <v>71</v>
      </c>
      <c r="F19" t="str">
        <f>IFERROR(__xludf.DUMMYFUNCTION("""COMPUTED_VALUE"""),"PG")</f>
        <v>PG</v>
      </c>
      <c r="G19" s="11">
        <f>IFERROR(__xludf.DUMMYFUNCTION("""COMPUTED_VALUE"""),5.2326923312314175)</f>
        <v>5.232692331</v>
      </c>
      <c r="H19" s="11">
        <f>IFERROR(__xludf.DUMMYFUNCTION("""COMPUTED_VALUE"""),5.2326923312314175)</f>
        <v>5.232692331</v>
      </c>
      <c r="I19" s="11">
        <f>IFERROR(__xludf.DUMMYFUNCTION("""COMPUTED_VALUE"""),0.0)</f>
        <v>0</v>
      </c>
      <c r="J19" s="11">
        <f>IFERROR(__xludf.DUMMYFUNCTION("""COMPUTED_VALUE"""),24.9)</f>
        <v>24.9</v>
      </c>
      <c r="K19" s="11">
        <f>IFERROR(__xludf.DUMMYFUNCTION("""COMPUTED_VALUE"""),3.1)</f>
        <v>3.1</v>
      </c>
      <c r="L19" s="11">
        <f>IFERROR(__xludf.DUMMYFUNCTION("""COMPUTED_VALUE"""),4.5)</f>
        <v>4.5</v>
      </c>
      <c r="M19" s="11">
        <f>IFERROR(__xludf.DUMMYFUNCTION("""COMPUTED_VALUE"""),7.1)</f>
        <v>7.1</v>
      </c>
      <c r="N19" s="11">
        <f>IFERROR(__xludf.DUMMYFUNCTION("""COMPUTED_VALUE"""),0.9)</f>
        <v>0.9</v>
      </c>
      <c r="O19" s="11">
        <f>IFERROR(__xludf.DUMMYFUNCTION("""COMPUTED_VALUE"""),0.3)</f>
        <v>0.3</v>
      </c>
      <c r="P19" s="15">
        <f>IFERROR(__xludf.DUMMYFUNCTION("""COMPUTED_VALUE"""),0.432)</f>
        <v>0.432</v>
      </c>
      <c r="Q19" s="15">
        <f>IFERROR(__xludf.DUMMYFUNCTION("""COMPUTED_VALUE"""),0.918)</f>
        <v>0.918</v>
      </c>
      <c r="R19" s="11">
        <f>IFERROR(__xludf.DUMMYFUNCTION("""COMPUTED_VALUE"""),2.9)</f>
        <v>2.9</v>
      </c>
      <c r="S19" s="11">
        <f>IFERROR(__xludf.DUMMYFUNCTION("""COMPUTED_VALUE"""),1.3427770677860977)</f>
        <v>1.342777068</v>
      </c>
      <c r="T19" s="11">
        <f>IFERROR(__xludf.DUMMYFUNCTION("""COMPUTED_VALUE"""),1.344566688902945)</f>
        <v>1.344566689</v>
      </c>
      <c r="U19" s="11">
        <f>IFERROR(__xludf.DUMMYFUNCTION("""COMPUTED_VALUE"""),-0.6154124052652897)</f>
        <v>-0.6154124053</v>
      </c>
      <c r="V19" s="11">
        <f>IFERROR(__xludf.DUMMYFUNCTION("""COMPUTED_VALUE"""),1.4416830402447103)</f>
        <v>1.44168304</v>
      </c>
      <c r="W19" s="11">
        <f>IFERROR(__xludf.DUMMYFUNCTION("""COMPUTED_VALUE"""),-0.25279641051880714)</f>
        <v>-0.2527964105</v>
      </c>
      <c r="X19" s="11">
        <f>IFERROR(__xludf.DUMMYFUNCTION("""COMPUTED_VALUE"""),-0.7939110448965904)</f>
        <v>-0.7939110449</v>
      </c>
      <c r="Y19" s="11">
        <f>IFERROR(__xludf.DUMMYFUNCTION("""COMPUTED_VALUE"""),-1.3535182424125622)</f>
        <v>-1.353518242</v>
      </c>
      <c r="Z19" s="11">
        <f>IFERROR(__xludf.DUMMYFUNCTION("""COMPUTED_VALUE"""),3.0512954927985443)</f>
        <v>3.051295493</v>
      </c>
      <c r="AA19" s="11">
        <f>IFERROR(__xludf.DUMMYFUNCTION("""COMPUTED_VALUE"""),-0.2855100978201931)</f>
        <v>-0.2855100978</v>
      </c>
      <c r="AB19" t="str">
        <f>IFERROR(__xludf.DUMMYFUNCTION("SUBSTITUTE(REGEXREPLACE(REGEXREPLACE(REGEXREPLACE(REGEXREPLACE(REGEXREPLACE(REGEXREPLACE(F19,"","",),IF(Projections!$T$17="""",""PG"",),),IF(Projections!$U$17="""",""SG"",),),IF(Projections!$V$17="""",""SF"",),),IF(Projections!$W$17="""",""PF"",),),IF(Pro"&amp;"jections!$X$17="""",""C"",),),""/"","""")"),"PG")</f>
        <v>PG</v>
      </c>
    </row>
    <row r="20">
      <c r="A20" t="str">
        <f>IF(Projections!$AC$17,Draft!E6,"")</f>
        <v/>
      </c>
      <c r="B20">
        <f>IFERROR(__xludf.DUMMYFUNCTION("""COMPUTED_VALUE"""),15.0)</f>
        <v>15</v>
      </c>
      <c r="C20">
        <f>IFERROR(__xludf.DUMMYFUNCTION("""COMPUTED_VALUE"""),12.4)</f>
        <v>12.4</v>
      </c>
      <c r="D20" t="str">
        <f>IFERROR(__xludf.DUMMYFUNCTION("""COMPUTED_VALUE"""),"Stephen Curry")</f>
        <v>Stephen Curry</v>
      </c>
      <c r="E20">
        <f>IFERROR(__xludf.DUMMYFUNCTION("""COMPUTED_VALUE"""),42.0)</f>
        <v>42</v>
      </c>
      <c r="F20" t="str">
        <f>IFERROR(__xludf.DUMMYFUNCTION("""COMPUTED_VALUE"""),"PG,SG")</f>
        <v>PG,SG</v>
      </c>
      <c r="G20" s="11">
        <f>IFERROR(__xludf.DUMMYFUNCTION("""COMPUTED_VALUE"""),5.117856705350448)</f>
        <v>5.117856705</v>
      </c>
      <c r="H20" s="11">
        <f>IFERROR(__xludf.DUMMYFUNCTION("""COMPUTED_VALUE"""),5.117856705350448)</f>
        <v>5.117856705</v>
      </c>
      <c r="I20" s="11">
        <f>IFERROR(__xludf.DUMMYFUNCTION("""COMPUTED_VALUE"""),0.0)</f>
        <v>0</v>
      </c>
      <c r="J20" s="11">
        <f>IFERROR(__xludf.DUMMYFUNCTION("""COMPUTED_VALUE"""),26.4)</f>
        <v>26.4</v>
      </c>
      <c r="K20" s="11">
        <f>IFERROR(__xludf.DUMMYFUNCTION("""COMPUTED_VALUE"""),4.8)</f>
        <v>4.8</v>
      </c>
      <c r="L20" s="11">
        <f>IFERROR(__xludf.DUMMYFUNCTION("""COMPUTED_VALUE"""),4.5)</f>
        <v>4.5</v>
      </c>
      <c r="M20" s="11">
        <f>IFERROR(__xludf.DUMMYFUNCTION("""COMPUTED_VALUE"""),5.3)</f>
        <v>5.3</v>
      </c>
      <c r="N20" s="11">
        <f>IFERROR(__xludf.DUMMYFUNCTION("""COMPUTED_VALUE"""),0.8)</f>
        <v>0.8</v>
      </c>
      <c r="O20" s="11">
        <f>IFERROR(__xludf.DUMMYFUNCTION("""COMPUTED_VALUE"""),0.4)</f>
        <v>0.4</v>
      </c>
      <c r="P20" s="15">
        <f>IFERROR(__xludf.DUMMYFUNCTION("""COMPUTED_VALUE"""),0.469)</f>
        <v>0.469</v>
      </c>
      <c r="Q20" s="15">
        <f>IFERROR(__xludf.DUMMYFUNCTION("""COMPUTED_VALUE"""),0.918)</f>
        <v>0.918</v>
      </c>
      <c r="R20" s="11">
        <f>IFERROR(__xludf.DUMMYFUNCTION("""COMPUTED_VALUE"""),2.8)</f>
        <v>2.8</v>
      </c>
      <c r="S20" s="11">
        <f>IFERROR(__xludf.DUMMYFUNCTION("""COMPUTED_VALUE"""),1.6137490972350912)</f>
        <v>1.613749097</v>
      </c>
      <c r="T20" s="11">
        <f>IFERROR(__xludf.DUMMYFUNCTION("""COMPUTED_VALUE"""),3.0364797724391503)</f>
        <v>3.036479772</v>
      </c>
      <c r="U20" s="11">
        <f>IFERROR(__xludf.DUMMYFUNCTION("""COMPUTED_VALUE"""),-0.6154124052652897)</f>
        <v>-0.6154124053</v>
      </c>
      <c r="V20" s="11">
        <f>IFERROR(__xludf.DUMMYFUNCTION("""COMPUTED_VALUE"""),0.6215711726463173)</f>
        <v>0.6215711726</v>
      </c>
      <c r="W20" s="11">
        <f>IFERROR(__xludf.DUMMYFUNCTION("""COMPUTED_VALUE"""),-0.5847290886782864)</f>
        <v>-0.5847290887</v>
      </c>
      <c r="X20" s="11">
        <f>IFERROR(__xludf.DUMMYFUNCTION("""COMPUTED_VALUE"""),-0.6155173428439339)</f>
        <v>-0.6155173428</v>
      </c>
      <c r="Y20" s="11">
        <f>IFERROR(__xludf.DUMMYFUNCTION("""COMPUTED_VALUE"""),-0.6110471255842709)</f>
        <v>-0.6110471256</v>
      </c>
      <c r="Z20" s="11">
        <f>IFERROR(__xludf.DUMMYFUNCTION("""COMPUTED_VALUE"""),1.9179571669019424)</f>
        <v>1.917957167</v>
      </c>
      <c r="AA20" s="11">
        <f>IFERROR(__xludf.DUMMYFUNCTION("""COMPUTED_VALUE"""),-0.2607118843442064)</f>
        <v>-0.2607118843</v>
      </c>
      <c r="AB20" t="str">
        <f>IFERROR(__xludf.DUMMYFUNCTION("SUBSTITUTE(REGEXREPLACE(REGEXREPLACE(REGEXREPLACE(REGEXREPLACE(REGEXREPLACE(REGEXREPLACE(F20,"","",),IF(Projections!$T$17="""",""PG"",),),IF(Projections!$U$17="""",""SG"",),),IF(Projections!$V$17="""",""SF"",),),IF(Projections!$W$17="""",""PF"",),),IF(Pro"&amp;"jections!$X$17="""",""C"",),),""/"","""")"),"PGSG")</f>
        <v>PGSG</v>
      </c>
    </row>
    <row r="21">
      <c r="A21" t="str">
        <f>IF(Projections!$AC$17,Draft!E7,"")</f>
        <v/>
      </c>
      <c r="B21">
        <f>IFERROR(__xludf.DUMMYFUNCTION("""COMPUTED_VALUE"""),16.0)</f>
        <v>16</v>
      </c>
      <c r="C21">
        <f>IFERROR(__xludf.DUMMYFUNCTION("""COMPUTED_VALUE"""),26.6)</f>
        <v>26.6</v>
      </c>
      <c r="D21" t="str">
        <f>IFERROR(__xludf.DUMMYFUNCTION("""COMPUTED_VALUE"""),"Kyrie Irving")</f>
        <v>Kyrie Irving</v>
      </c>
      <c r="E21">
        <f>IFERROR(__xludf.DUMMYFUNCTION("""COMPUTED_VALUE"""),66.0)</f>
        <v>66</v>
      </c>
      <c r="F21" t="str">
        <f>IFERROR(__xludf.DUMMYFUNCTION("""COMPUTED_VALUE"""),"PG,SG")</f>
        <v>PG,SG</v>
      </c>
      <c r="G21" s="11">
        <f>IFERROR(__xludf.DUMMYFUNCTION("""COMPUTED_VALUE"""),4.969174050321719)</f>
        <v>4.96917405</v>
      </c>
      <c r="H21" s="11">
        <f>IFERROR(__xludf.DUMMYFUNCTION("""COMPUTED_VALUE"""),4.969174050321719)</f>
        <v>4.96917405</v>
      </c>
      <c r="I21" s="11">
        <f>IFERROR(__xludf.DUMMYFUNCTION("""COMPUTED_VALUE"""),0.0)</f>
        <v>0</v>
      </c>
      <c r="J21" s="11">
        <f>IFERROR(__xludf.DUMMYFUNCTION("""COMPUTED_VALUE"""),24.6)</f>
        <v>24.6</v>
      </c>
      <c r="K21" s="11">
        <f>IFERROR(__xludf.DUMMYFUNCTION("""COMPUTED_VALUE"""),3.0)</f>
        <v>3</v>
      </c>
      <c r="L21" s="11">
        <f>IFERROR(__xludf.DUMMYFUNCTION("""COMPUTED_VALUE"""),4.9)</f>
        <v>4.9</v>
      </c>
      <c r="M21" s="11">
        <f>IFERROR(__xludf.DUMMYFUNCTION("""COMPUTED_VALUE"""),5.2)</f>
        <v>5.2</v>
      </c>
      <c r="N21" s="11">
        <f>IFERROR(__xludf.DUMMYFUNCTION("""COMPUTED_VALUE"""),1.2)</f>
        <v>1.2</v>
      </c>
      <c r="O21" s="11">
        <f>IFERROR(__xludf.DUMMYFUNCTION("""COMPUTED_VALUE"""),0.6)</f>
        <v>0.6</v>
      </c>
      <c r="P21" s="15">
        <f>IFERROR(__xludf.DUMMYFUNCTION("""COMPUTED_VALUE"""),0.495)</f>
        <v>0.495</v>
      </c>
      <c r="Q21" s="15">
        <f>IFERROR(__xludf.DUMMYFUNCTION("""COMPUTED_VALUE"""),0.907)</f>
        <v>0.907</v>
      </c>
      <c r="R21" s="11">
        <f>IFERROR(__xludf.DUMMYFUNCTION("""COMPUTED_VALUE"""),1.8)</f>
        <v>1.8</v>
      </c>
      <c r="S21" s="11">
        <f>IFERROR(__xludf.DUMMYFUNCTION("""COMPUTED_VALUE"""),1.2885826618962994)</f>
        <v>1.288582662</v>
      </c>
      <c r="T21" s="11">
        <f>IFERROR(__xludf.DUMMYFUNCTION("""COMPUTED_VALUE"""),1.2450423898714034)</f>
        <v>1.24504239</v>
      </c>
      <c r="U21" s="11">
        <f>IFERROR(__xludf.DUMMYFUNCTION("""COMPUTED_VALUE"""),-0.4585069207654011)</f>
        <v>-0.4585069208</v>
      </c>
      <c r="V21" s="11">
        <f>IFERROR(__xludf.DUMMYFUNCTION("""COMPUTED_VALUE"""),0.5760094022241846)</f>
        <v>0.5760094022</v>
      </c>
      <c r="W21" s="11">
        <f>IFERROR(__xludf.DUMMYFUNCTION("""COMPUTED_VALUE"""),0.7430016239596308)</f>
        <v>0.743001624</v>
      </c>
      <c r="X21" s="11">
        <f>IFERROR(__xludf.DUMMYFUNCTION("""COMPUTED_VALUE"""),-0.25872993873862127)</f>
        <v>-0.2587299387</v>
      </c>
      <c r="Y21" s="11">
        <f>IFERROR(__xludf.DUMMYFUNCTION("""COMPUTED_VALUE"""),-0.04099985184481126)</f>
        <v>-0.04099985184</v>
      </c>
      <c r="Z21" s="11">
        <f>IFERROR(__xludf.DUMMYFUNCTION("""COMPUTED_VALUE"""),1.4289975125379728)</f>
        <v>1.428997513</v>
      </c>
      <c r="AA21" s="11">
        <f>IFERROR(__xludf.DUMMYFUNCTION("""COMPUTED_VALUE"""),-0.012729749584339901)</f>
        <v>-0.01272974958</v>
      </c>
      <c r="AB21" t="str">
        <f>IFERROR(__xludf.DUMMYFUNCTION("SUBSTITUTE(REGEXREPLACE(REGEXREPLACE(REGEXREPLACE(REGEXREPLACE(REGEXREPLACE(REGEXREPLACE(F21,"","",),IF(Projections!$T$17="""",""PG"",),),IF(Projections!$U$17="""",""SG"",),),IF(Projections!$V$17="""",""SF"",),),IF(Projections!$W$17="""",""PF"",),),IF(Pro"&amp;"jections!$X$17="""",""C"",),),""/"","""")"),"PGSG")</f>
        <v>PGSG</v>
      </c>
    </row>
    <row r="22">
      <c r="A22" t="str">
        <f>IF(Projections!$AC$17,Draft!E8,"")</f>
        <v/>
      </c>
      <c r="B22">
        <f>IFERROR(__xludf.DUMMYFUNCTION("""COMPUTED_VALUE"""),17.0)</f>
        <v>17</v>
      </c>
      <c r="C22">
        <f>IFERROR(__xludf.DUMMYFUNCTION("""COMPUTED_VALUE"""),24.2)</f>
        <v>24.2</v>
      </c>
      <c r="D22" t="str">
        <f>IFERROR(__xludf.DUMMYFUNCTION("""COMPUTED_VALUE"""),"LeBron James")</f>
        <v>LeBron James</v>
      </c>
      <c r="E22">
        <f>IFERROR(__xludf.DUMMYFUNCTION("""COMPUTED_VALUE"""),65.0)</f>
        <v>65</v>
      </c>
      <c r="F22" t="str">
        <f>IFERROR(__xludf.DUMMYFUNCTION("""COMPUTED_VALUE"""),"SF,PF")</f>
        <v>SF,PF</v>
      </c>
      <c r="G22" s="11">
        <f>IFERROR(__xludf.DUMMYFUNCTION("""COMPUTED_VALUE"""),4.508392740326748)</f>
        <v>4.50839274</v>
      </c>
      <c r="H22" s="11">
        <f>IFERROR(__xludf.DUMMYFUNCTION("""COMPUTED_VALUE"""),4.508392740326748)</f>
        <v>4.50839274</v>
      </c>
      <c r="I22" s="11">
        <f>IFERROR(__xludf.DUMMYFUNCTION("""COMPUTED_VALUE"""),0.0)</f>
        <v>0</v>
      </c>
      <c r="J22" s="11">
        <f>IFERROR(__xludf.DUMMYFUNCTION("""COMPUTED_VALUE"""),25.2)</f>
        <v>25.2</v>
      </c>
      <c r="K22" s="11">
        <f>IFERROR(__xludf.DUMMYFUNCTION("""COMPUTED_VALUE"""),2.1)</f>
        <v>2.1</v>
      </c>
      <c r="L22" s="11">
        <f>IFERROR(__xludf.DUMMYFUNCTION("""COMPUTED_VALUE"""),7.2)</f>
        <v>7.2</v>
      </c>
      <c r="M22" s="11">
        <f>IFERROR(__xludf.DUMMYFUNCTION("""COMPUTED_VALUE"""),8.2)</f>
        <v>8.2</v>
      </c>
      <c r="N22" s="11">
        <f>IFERROR(__xludf.DUMMYFUNCTION("""COMPUTED_VALUE"""),1.1)</f>
        <v>1.1</v>
      </c>
      <c r="O22" s="11">
        <f>IFERROR(__xludf.DUMMYFUNCTION("""COMPUTED_VALUE"""),0.5)</f>
        <v>0.5</v>
      </c>
      <c r="P22" s="15">
        <f>IFERROR(__xludf.DUMMYFUNCTION("""COMPUTED_VALUE"""),0.535)</f>
        <v>0.535</v>
      </c>
      <c r="Q22" s="15">
        <f>IFERROR(__xludf.DUMMYFUNCTION("""COMPUTED_VALUE"""),0.758)</f>
        <v>0.758</v>
      </c>
      <c r="R22" s="11">
        <f>IFERROR(__xludf.DUMMYFUNCTION("""COMPUTED_VALUE"""),3.3)</f>
        <v>3.3</v>
      </c>
      <c r="S22" s="11">
        <f>IFERROR(__xludf.DUMMYFUNCTION("""COMPUTED_VALUE"""),1.3969714736758965)</f>
        <v>1.396971474</v>
      </c>
      <c r="T22" s="11">
        <f>IFERROR(__xludf.DUMMYFUNCTION("""COMPUTED_VALUE"""),0.34932369858753)</f>
        <v>0.3493236986</v>
      </c>
      <c r="U22" s="11">
        <f>IFERROR(__xludf.DUMMYFUNCTION("""COMPUTED_VALUE"""),0.44369961510895767)</f>
        <v>0.4436996151</v>
      </c>
      <c r="V22" s="11">
        <f>IFERROR(__xludf.DUMMYFUNCTION("""COMPUTED_VALUE"""),1.9428625148881729)</f>
        <v>1.942862515</v>
      </c>
      <c r="W22" s="11">
        <f>IFERROR(__xludf.DUMMYFUNCTION("""COMPUTED_VALUE"""),0.41106894580015185)</f>
        <v>0.4110689458</v>
      </c>
      <c r="X22" s="11">
        <f>IFERROR(__xludf.DUMMYFUNCTION("""COMPUTED_VALUE"""),-0.4371236407912776)</f>
        <v>-0.4371236408</v>
      </c>
      <c r="Y22" s="11">
        <f>IFERROR(__xludf.DUMMYFUNCTION("""COMPUTED_VALUE"""),0.7862930847814558)</f>
        <v>0.7862930848</v>
      </c>
      <c r="Z22" s="11">
        <f>IFERROR(__xludf.DUMMYFUNCTION("""COMPUTED_VALUE"""),-0.7320745110022108)</f>
        <v>-0.732074511</v>
      </c>
      <c r="AA22" s="11">
        <f>IFERROR(__xludf.DUMMYFUNCTION("""COMPUTED_VALUE"""),-0.3847029517241397)</f>
        <v>-0.3847029517</v>
      </c>
      <c r="AB22" t="str">
        <f>IFERROR(__xludf.DUMMYFUNCTION("SUBSTITUTE(REGEXREPLACE(REGEXREPLACE(REGEXREPLACE(REGEXREPLACE(REGEXREPLACE(REGEXREPLACE(F22,"","",),IF(Projections!$T$17="""",""PG"",),),IF(Projections!$U$17="""",""SG"",),),IF(Projections!$V$17="""",""SF"",),),IF(Projections!$W$17="""",""PF"",),),IF(Pro"&amp;"jections!$X$17="""",""C"",),),""/"","""")"),"SFPF")</f>
        <v>SFPF</v>
      </c>
    </row>
    <row r="23">
      <c r="A23" t="str">
        <f>IF(Projections!$AC$17,Draft!E9,"")</f>
        <v/>
      </c>
      <c r="B23">
        <f>IFERROR(__xludf.DUMMYFUNCTION("""COMPUTED_VALUE"""),18.0)</f>
        <v>18</v>
      </c>
      <c r="C23">
        <f>IFERROR(__xludf.DUMMYFUNCTION("""COMPUTED_VALUE"""),18.3)</f>
        <v>18.3</v>
      </c>
      <c r="D23" t="str">
        <f>IFERROR(__xludf.DUMMYFUNCTION("""COMPUTED_VALUE"""),"Kevin Durant")</f>
        <v>Kevin Durant</v>
      </c>
      <c r="E23">
        <f>IFERROR(__xludf.DUMMYFUNCTION("""COMPUTED_VALUE"""),71.0)</f>
        <v>71</v>
      </c>
      <c r="F23" t="str">
        <f>IFERROR(__xludf.DUMMYFUNCTION("""COMPUTED_VALUE"""),"SF,PF")</f>
        <v>SF,PF</v>
      </c>
      <c r="G23" s="11">
        <f>IFERROR(__xludf.DUMMYFUNCTION("""COMPUTED_VALUE"""),4.3028943022364885)</f>
        <v>4.302894302</v>
      </c>
      <c r="H23" s="11">
        <f>IFERROR(__xludf.DUMMYFUNCTION("""COMPUTED_VALUE"""),4.3028943022364885)</f>
        <v>4.302894302</v>
      </c>
      <c r="I23" s="11">
        <f>IFERROR(__xludf.DUMMYFUNCTION("""COMPUTED_VALUE"""),0.0)</f>
        <v>0</v>
      </c>
      <c r="J23" s="11">
        <f>IFERROR(__xludf.DUMMYFUNCTION("""COMPUTED_VALUE"""),25.7)</f>
        <v>25.7</v>
      </c>
      <c r="K23" s="11">
        <f>IFERROR(__xludf.DUMMYFUNCTION("""COMPUTED_VALUE"""),2.1)</f>
        <v>2.1</v>
      </c>
      <c r="L23" s="11">
        <f>IFERROR(__xludf.DUMMYFUNCTION("""COMPUTED_VALUE"""),6.4)</f>
        <v>6.4</v>
      </c>
      <c r="M23" s="11">
        <f>IFERROR(__xludf.DUMMYFUNCTION("""COMPUTED_VALUE"""),4.8)</f>
        <v>4.8</v>
      </c>
      <c r="N23" s="11">
        <f>IFERROR(__xludf.DUMMYFUNCTION("""COMPUTED_VALUE"""),0.8)</f>
        <v>0.8</v>
      </c>
      <c r="O23" s="11">
        <f>IFERROR(__xludf.DUMMYFUNCTION("""COMPUTED_VALUE"""),1.2)</f>
        <v>1.2</v>
      </c>
      <c r="P23" s="15">
        <f>IFERROR(__xludf.DUMMYFUNCTION("""COMPUTED_VALUE"""),0.52)</f>
        <v>0.52</v>
      </c>
      <c r="Q23" s="15">
        <f>IFERROR(__xludf.DUMMYFUNCTION("""COMPUTED_VALUE"""),0.846)</f>
        <v>0.846</v>
      </c>
      <c r="R23" s="11">
        <f>IFERROR(__xludf.DUMMYFUNCTION("""COMPUTED_VALUE"""),3.2)</f>
        <v>3.2</v>
      </c>
      <c r="S23" s="11">
        <f>IFERROR(__xludf.DUMMYFUNCTION("""COMPUTED_VALUE"""),1.4872954834922276)</f>
        <v>1.487295483</v>
      </c>
      <c r="T23" s="11">
        <f>IFERROR(__xludf.DUMMYFUNCTION("""COMPUTED_VALUE"""),0.34932369858753)</f>
        <v>0.3493236986</v>
      </c>
      <c r="U23" s="11">
        <f>IFERROR(__xludf.DUMMYFUNCTION("""COMPUTED_VALUE"""),0.12988864610918074)</f>
        <v>0.1298886461</v>
      </c>
      <c r="V23" s="11">
        <f>IFERROR(__xludf.DUMMYFUNCTION("""COMPUTED_VALUE"""),0.39376232053565263)</f>
        <v>0.3937623205</v>
      </c>
      <c r="W23" s="11">
        <f>IFERROR(__xludf.DUMMYFUNCTION("""COMPUTED_VALUE"""),-0.5847290886782864)</f>
        <v>-0.5847290887</v>
      </c>
      <c r="X23" s="11">
        <f>IFERROR(__xludf.DUMMYFUNCTION("""COMPUTED_VALUE"""),0.8116322735773168)</f>
        <v>0.8116322736</v>
      </c>
      <c r="Y23" s="11">
        <f>IFERROR(__xludf.DUMMYFUNCTION("""COMPUTED_VALUE"""),0.49585185428237616)</f>
        <v>0.4958518543</v>
      </c>
      <c r="Z23" s="11">
        <f>IFERROR(__xludf.DUMMYFUNCTION("""COMPUTED_VALUE"""),0.9950447639003571)</f>
        <v>0.9950447639</v>
      </c>
      <c r="AA23" s="11">
        <f>IFERROR(__xludf.DUMMYFUNCTION("""COMPUTED_VALUE"""),-0.3599047382481531)</f>
        <v>-0.3599047382</v>
      </c>
      <c r="AB23" t="str">
        <f>IFERROR(__xludf.DUMMYFUNCTION("SUBSTITUTE(REGEXREPLACE(REGEXREPLACE(REGEXREPLACE(REGEXREPLACE(REGEXREPLACE(REGEXREPLACE(F23,"","",),IF(Projections!$T$17="""",""PG"",),),IF(Projections!$U$17="""",""SG"",),),IF(Projections!$V$17="""",""SF"",),),IF(Projections!$W$17="""",""PF"",),),IF(Pro"&amp;"jections!$X$17="""",""C"",),),""/"","""")"),"SFPF")</f>
        <v>SFPF</v>
      </c>
    </row>
    <row r="24">
      <c r="A24" t="str">
        <f>IF(Projections!$AC$17,Draft!E10,"")</f>
        <v/>
      </c>
      <c r="B24">
        <f>IFERROR(__xludf.DUMMYFUNCTION("""COMPUTED_VALUE"""),19.0)</f>
        <v>19</v>
      </c>
      <c r="C24">
        <f>IFERROR(__xludf.DUMMYFUNCTION("""COMPUTED_VALUE"""),10.1)</f>
        <v>10.1</v>
      </c>
      <c r="D24" t="str">
        <f>IFERROR(__xludf.DUMMYFUNCTION("""COMPUTED_VALUE"""),"Anthony Edwards")</f>
        <v>Anthony Edwards</v>
      </c>
      <c r="E24">
        <f>IFERROR(__xludf.DUMMYFUNCTION("""COMPUTED_VALUE"""),71.0)</f>
        <v>71</v>
      </c>
      <c r="F24" t="str">
        <f>IFERROR(__xludf.DUMMYFUNCTION("""COMPUTED_VALUE"""),"SG,SF")</f>
        <v>SG,SF</v>
      </c>
      <c r="G24" s="11">
        <f>IFERROR(__xludf.DUMMYFUNCTION("""COMPUTED_VALUE"""),4.276059412361503)</f>
        <v>4.276059412</v>
      </c>
      <c r="H24" s="11">
        <f>IFERROR(__xludf.DUMMYFUNCTION("""COMPUTED_VALUE"""),4.276059412361503)</f>
        <v>4.276059412</v>
      </c>
      <c r="I24" s="11">
        <f>IFERROR(__xludf.DUMMYFUNCTION("""COMPUTED_VALUE"""),0.0)</f>
        <v>0</v>
      </c>
      <c r="J24" s="11">
        <f>IFERROR(__xludf.DUMMYFUNCTION("""COMPUTED_VALUE"""),26.2)</f>
        <v>26.2</v>
      </c>
      <c r="K24" s="11">
        <f>IFERROR(__xludf.DUMMYFUNCTION("""COMPUTED_VALUE"""),2.5)</f>
        <v>2.5</v>
      </c>
      <c r="L24" s="11">
        <f>IFERROR(__xludf.DUMMYFUNCTION("""COMPUTED_VALUE"""),5.5)</f>
        <v>5.5</v>
      </c>
      <c r="M24" s="11">
        <f>IFERROR(__xludf.DUMMYFUNCTION("""COMPUTED_VALUE"""),5.2)</f>
        <v>5.2</v>
      </c>
      <c r="N24" s="11">
        <f>IFERROR(__xludf.DUMMYFUNCTION("""COMPUTED_VALUE"""),1.4)</f>
        <v>1.4</v>
      </c>
      <c r="O24" s="11">
        <f>IFERROR(__xludf.DUMMYFUNCTION("""COMPUTED_VALUE"""),0.7)</f>
        <v>0.7</v>
      </c>
      <c r="P24" s="15">
        <f>IFERROR(__xludf.DUMMYFUNCTION("""COMPUTED_VALUE"""),0.46)</f>
        <v>0.46</v>
      </c>
      <c r="Q24" s="15">
        <f>IFERROR(__xludf.DUMMYFUNCTION("""COMPUTED_VALUE"""),0.823)</f>
        <v>0.823</v>
      </c>
      <c r="R24" s="11">
        <f>IFERROR(__xludf.DUMMYFUNCTION("""COMPUTED_VALUE"""),3.1)</f>
        <v>3.1</v>
      </c>
      <c r="S24" s="11">
        <f>IFERROR(__xludf.DUMMYFUNCTION("""COMPUTED_VALUE"""),1.5776194933085588)</f>
        <v>1.577619493</v>
      </c>
      <c r="T24" s="11">
        <f>IFERROR(__xludf.DUMMYFUNCTION("""COMPUTED_VALUE"""),0.7474208947136959)</f>
        <v>0.7474208947</v>
      </c>
      <c r="U24" s="11">
        <f>IFERROR(__xludf.DUMMYFUNCTION("""COMPUTED_VALUE"""),-0.2231486940155685)</f>
        <v>-0.223148694</v>
      </c>
      <c r="V24" s="11">
        <f>IFERROR(__xludf.DUMMYFUNCTION("""COMPUTED_VALUE"""),0.5760094022241846)</f>
        <v>0.5760094022</v>
      </c>
      <c r="W24" s="11">
        <f>IFERROR(__xludf.DUMMYFUNCTION("""COMPUTED_VALUE"""),1.4068669802785894)</f>
        <v>1.40686698</v>
      </c>
      <c r="X24" s="11">
        <f>IFERROR(__xludf.DUMMYFUNCTION("""COMPUTED_VALUE"""),-0.08033623668596498)</f>
        <v>-0.08033623669</v>
      </c>
      <c r="Y24" s="11">
        <f>IFERROR(__xludf.DUMMYFUNCTION("""COMPUTED_VALUE"""),-0.8774537995895894)</f>
        <v>-0.8774537996</v>
      </c>
      <c r="Z24" s="11">
        <f>IFERROR(__xludf.DUMMYFUNCTION("""COMPUTED_VALUE"""),0.6067340973101739)</f>
        <v>0.6067340973</v>
      </c>
      <c r="AA24" s="11">
        <f>IFERROR(__xludf.DUMMYFUNCTION("""COMPUTED_VALUE"""),-0.33510652477216646)</f>
        <v>-0.3351065248</v>
      </c>
      <c r="AB24" t="str">
        <f>IFERROR(__xludf.DUMMYFUNCTION("SUBSTITUTE(REGEXREPLACE(REGEXREPLACE(REGEXREPLACE(REGEXREPLACE(REGEXREPLACE(REGEXREPLACE(F24,"","",),IF(Projections!$T$17="""",""PG"",),),IF(Projections!$U$17="""",""SG"",),),IF(Projections!$V$17="""",""SF"",),),IF(Projections!$W$17="""",""PF"",),),IF(Pro"&amp;"jections!$X$17="""",""C"",),),""/"","""")"),"SGSF")</f>
        <v>SGSF</v>
      </c>
    </row>
    <row r="25">
      <c r="A25" t="str">
        <f>IF(Projections!$AC$17,Draft!E11,"")</f>
        <v/>
      </c>
      <c r="B25">
        <f>IFERROR(__xludf.DUMMYFUNCTION("""COMPUTED_VALUE"""),20.0)</f>
        <v>20</v>
      </c>
      <c r="C25">
        <f>IFERROR(__xludf.DUMMYFUNCTION("""COMPUTED_VALUE"""),19.0)</f>
        <v>19</v>
      </c>
      <c r="D25" t="str">
        <f>IFERROR(__xludf.DUMMYFUNCTION("""COMPUTED_VALUE"""),"Scottie Barnes")</f>
        <v>Scottie Barnes</v>
      </c>
      <c r="E25">
        <f>IFERROR(__xludf.DUMMYFUNCTION("""COMPUTED_VALUE"""),66.0)</f>
        <v>66</v>
      </c>
      <c r="F25" t="str">
        <f>IFERROR(__xludf.DUMMYFUNCTION("""COMPUTED_VALUE"""),"SG,SF,PF")</f>
        <v>SG,SF,PF</v>
      </c>
      <c r="G25" s="11">
        <f>IFERROR(__xludf.DUMMYFUNCTION("""COMPUTED_VALUE"""),4.261179524108578)</f>
        <v>4.261179524</v>
      </c>
      <c r="H25" s="11">
        <f>IFERROR(__xludf.DUMMYFUNCTION("""COMPUTED_VALUE"""),4.261179524108578)</f>
        <v>4.261179524</v>
      </c>
      <c r="I25" s="11">
        <f>IFERROR(__xludf.DUMMYFUNCTION("""COMPUTED_VALUE"""),0.0)</f>
        <v>0</v>
      </c>
      <c r="J25" s="11">
        <f>IFERROR(__xludf.DUMMYFUNCTION("""COMPUTED_VALUE"""),19.1)</f>
        <v>19.1</v>
      </c>
      <c r="K25" s="11">
        <f>IFERROR(__xludf.DUMMYFUNCTION("""COMPUTED_VALUE"""),1.7)</f>
        <v>1.7</v>
      </c>
      <c r="L25" s="11">
        <f>IFERROR(__xludf.DUMMYFUNCTION("""COMPUTED_VALUE"""),8.3)</f>
        <v>8.3</v>
      </c>
      <c r="M25" s="11">
        <f>IFERROR(__xludf.DUMMYFUNCTION("""COMPUTED_VALUE"""),6.0)</f>
        <v>6</v>
      </c>
      <c r="N25" s="11">
        <f>IFERROR(__xludf.DUMMYFUNCTION("""COMPUTED_VALUE"""),1.3)</f>
        <v>1.3</v>
      </c>
      <c r="O25" s="11">
        <f>IFERROR(__xludf.DUMMYFUNCTION("""COMPUTED_VALUE"""),1.5)</f>
        <v>1.5</v>
      </c>
      <c r="P25" s="15">
        <f>IFERROR(__xludf.DUMMYFUNCTION("""COMPUTED_VALUE"""),0.479)</f>
        <v>0.479</v>
      </c>
      <c r="Q25" s="15">
        <f>IFERROR(__xludf.DUMMYFUNCTION("""COMPUTED_VALUE"""),0.791)</f>
        <v>0.791</v>
      </c>
      <c r="R25" s="11">
        <f>IFERROR(__xludf.DUMMYFUNCTION("""COMPUTED_VALUE"""),2.4)</f>
        <v>2.4</v>
      </c>
      <c r="S25" s="11">
        <f>IFERROR(__xludf.DUMMYFUNCTION("""COMPUTED_VALUE"""),0.2950185539166565)</f>
        <v>0.2950185539</v>
      </c>
      <c r="T25" s="11">
        <f>IFERROR(__xludf.DUMMYFUNCTION("""COMPUTED_VALUE"""),-0.04877349753863613)</f>
        <v>-0.04877349754</v>
      </c>
      <c r="U25" s="11">
        <f>IFERROR(__xludf.DUMMYFUNCTION("""COMPUTED_VALUE"""),0.8751896974836513)</f>
        <v>0.8751896975</v>
      </c>
      <c r="V25" s="11">
        <f>IFERROR(__xludf.DUMMYFUNCTION("""COMPUTED_VALUE"""),0.940503565601248)</f>
        <v>0.9405035656</v>
      </c>
      <c r="W25" s="11">
        <f>IFERROR(__xludf.DUMMYFUNCTION("""COMPUTED_VALUE"""),1.0749343021191105)</f>
        <v>1.074934302</v>
      </c>
      <c r="X25" s="11">
        <f>IFERROR(__xludf.DUMMYFUNCTION("""COMPUTED_VALUE"""),1.346813379735286)</f>
        <v>1.34681338</v>
      </c>
      <c r="Y25" s="11">
        <f>IFERROR(__xludf.DUMMYFUNCTION("""COMPUTED_VALUE"""),-0.30386646216195506)</f>
        <v>-0.3038664622</v>
      </c>
      <c r="Z25" s="11">
        <f>IFERROR(__xludf.DUMMYFUNCTION("""COMPUTED_VALUE"""),-0.060987446768477845)</f>
        <v>-0.06098744677</v>
      </c>
      <c r="AA25" s="11">
        <f>IFERROR(__xludf.DUMMYFUNCTION("""COMPUTED_VALUE"""),-0.1615190304402598)</f>
        <v>-0.1615190304</v>
      </c>
      <c r="AB25" t="str">
        <f>IFERROR(__xludf.DUMMYFUNCTION("SUBSTITUTE(REGEXREPLACE(REGEXREPLACE(REGEXREPLACE(REGEXREPLACE(REGEXREPLACE(REGEXREPLACE(F25,"","",),IF(Projections!$T$17="""",""PG"",),),IF(Projections!$U$17="""",""SG"",),),IF(Projections!$V$17="""",""SF"",),),IF(Projections!$W$17="""",""PF"",),),IF(Pro"&amp;"jections!$X$17="""",""C"",),),""/"","""")"),"SGSFPF")</f>
        <v>SGSFPF</v>
      </c>
    </row>
    <row r="26">
      <c r="A26" t="str">
        <f>IF(Projections!$AC$17,Draft!E12,"")</f>
        <v/>
      </c>
      <c r="B26">
        <f>IFERROR(__xludf.DUMMYFUNCTION("""COMPUTED_VALUE"""),21.0)</f>
        <v>21</v>
      </c>
      <c r="C26">
        <f>IFERROR(__xludf.DUMMYFUNCTION("""COMPUTED_VALUE"""),38.4)</f>
        <v>38.4</v>
      </c>
      <c r="D26" t="str">
        <f>IFERROR(__xludf.DUMMYFUNCTION("""COMPUTED_VALUE"""),"Fred VanVleet")</f>
        <v>Fred VanVleet</v>
      </c>
      <c r="E26">
        <f>IFERROR(__xludf.DUMMYFUNCTION("""COMPUTED_VALUE"""),71.0)</f>
        <v>71</v>
      </c>
      <c r="F26" t="str">
        <f>IFERROR(__xludf.DUMMYFUNCTION("""COMPUTED_VALUE"""),"PG")</f>
        <v>PG</v>
      </c>
      <c r="G26" s="11">
        <f>IFERROR(__xludf.DUMMYFUNCTION("""COMPUTED_VALUE"""),4.1217013365184005)</f>
        <v>4.121701337</v>
      </c>
      <c r="H26" s="11">
        <f>IFERROR(__xludf.DUMMYFUNCTION("""COMPUTED_VALUE"""),4.1217013365184005)</f>
        <v>4.121701337</v>
      </c>
      <c r="I26" s="11">
        <f>IFERROR(__xludf.DUMMYFUNCTION("""COMPUTED_VALUE"""),0.0)</f>
        <v>0</v>
      </c>
      <c r="J26" s="11">
        <f>IFERROR(__xludf.DUMMYFUNCTION("""COMPUTED_VALUE"""),17.3)</f>
        <v>17.3</v>
      </c>
      <c r="K26" s="11">
        <f>IFERROR(__xludf.DUMMYFUNCTION("""COMPUTED_VALUE"""),2.9)</f>
        <v>2.9</v>
      </c>
      <c r="L26" s="11">
        <f>IFERROR(__xludf.DUMMYFUNCTION("""COMPUTED_VALUE"""),3.7)</f>
        <v>3.7</v>
      </c>
      <c r="M26" s="11">
        <f>IFERROR(__xludf.DUMMYFUNCTION("""COMPUTED_VALUE"""),7.6)</f>
        <v>7.6</v>
      </c>
      <c r="N26" s="11">
        <f>IFERROR(__xludf.DUMMYFUNCTION("""COMPUTED_VALUE"""),1.4)</f>
        <v>1.4</v>
      </c>
      <c r="O26" s="11">
        <f>IFERROR(__xludf.DUMMYFUNCTION("""COMPUTED_VALUE"""),0.7)</f>
        <v>0.7</v>
      </c>
      <c r="P26" s="15">
        <f>IFERROR(__xludf.DUMMYFUNCTION("""COMPUTED_VALUE"""),0.406)</f>
        <v>0.406</v>
      </c>
      <c r="Q26" s="15">
        <f>IFERROR(__xludf.DUMMYFUNCTION("""COMPUTED_VALUE"""),0.874)</f>
        <v>0.874</v>
      </c>
      <c r="R26" s="11">
        <f>IFERROR(__xludf.DUMMYFUNCTION("""COMPUTED_VALUE"""),1.8)</f>
        <v>1.8</v>
      </c>
      <c r="S26" s="11">
        <f>IFERROR(__xludf.DUMMYFUNCTION("""COMPUTED_VALUE"""),-0.03014788142213587)</f>
        <v>-0.03014788142</v>
      </c>
      <c r="T26" s="11">
        <f>IFERROR(__xludf.DUMMYFUNCTION("""COMPUTED_VALUE"""),1.145518090839862)</f>
        <v>1.145518091</v>
      </c>
      <c r="U26" s="11">
        <f>IFERROR(__xludf.DUMMYFUNCTION("""COMPUTED_VALUE"""),-0.9292233742650667)</f>
        <v>-0.9292233743</v>
      </c>
      <c r="V26" s="11">
        <f>IFERROR(__xludf.DUMMYFUNCTION("""COMPUTED_VALUE"""),1.669491892355375)</f>
        <v>1.669491892</v>
      </c>
      <c r="W26" s="11">
        <f>IFERROR(__xludf.DUMMYFUNCTION("""COMPUTED_VALUE"""),1.4068669802785894)</f>
        <v>1.40686698</v>
      </c>
      <c r="X26" s="11">
        <f>IFERROR(__xludf.DUMMYFUNCTION("""COMPUTED_VALUE"""),-0.08033623668596498)</f>
        <v>-0.08033623669</v>
      </c>
      <c r="Y26" s="11">
        <f>IFERROR(__xludf.DUMMYFUNCTION("""COMPUTED_VALUE"""),-1.5018244799362386)</f>
        <v>-1.50182448</v>
      </c>
      <c r="Z26" s="11">
        <f>IFERROR(__xludf.DUMMYFUNCTION("""COMPUTED_VALUE"""),0.9522616150020821)</f>
        <v>0.952261615</v>
      </c>
      <c r="AA26" s="11">
        <f>IFERROR(__xludf.DUMMYFUNCTION("""COMPUTED_VALUE"""),-0.012729749584339901)</f>
        <v>-0.01272974958</v>
      </c>
      <c r="AB26" t="str">
        <f>IFERROR(__xludf.DUMMYFUNCTION("SUBSTITUTE(REGEXREPLACE(REGEXREPLACE(REGEXREPLACE(REGEXREPLACE(REGEXREPLACE(REGEXREPLACE(F26,"","",),IF(Projections!$T$17="""",""PG"",),),IF(Projections!$U$17="""",""SG"",),),IF(Projections!$V$17="""",""SF"",),),IF(Projections!$W$17="""",""PF"",),),IF(Pro"&amp;"jections!$X$17="""",""C"",),),""/"","""")"),"PG")</f>
        <v>PG</v>
      </c>
    </row>
    <row r="27">
      <c r="A27" t="str">
        <f>IF(Projections!$AC$17,Draft!E13,"")</f>
        <v/>
      </c>
      <c r="B27">
        <f>IFERROR(__xludf.DUMMYFUNCTION("""COMPUTED_VALUE"""),22.0)</f>
        <v>22</v>
      </c>
      <c r="C27">
        <f>IFERROR(__xludf.DUMMYFUNCTION("""COMPUTED_VALUE"""),14.6)</f>
        <v>14.6</v>
      </c>
      <c r="D27" t="str">
        <f>IFERROR(__xludf.DUMMYFUNCTION("""COMPUTED_VALUE"""),"Domantas Sabonis")</f>
        <v>Domantas Sabonis</v>
      </c>
      <c r="E27">
        <f>IFERROR(__xludf.DUMMYFUNCTION("""COMPUTED_VALUE"""),66.0)</f>
        <v>66</v>
      </c>
      <c r="F27" t="str">
        <f>IFERROR(__xludf.DUMMYFUNCTION("""COMPUTED_VALUE"""),"C")</f>
        <v>C</v>
      </c>
      <c r="G27" s="11">
        <f>IFERROR(__xludf.DUMMYFUNCTION("""COMPUTED_VALUE"""),4.098197606086671)</f>
        <v>4.098197606</v>
      </c>
      <c r="H27" s="11">
        <f>IFERROR(__xludf.DUMMYFUNCTION("""COMPUTED_VALUE"""),4.098197606086671)</f>
        <v>4.098197606</v>
      </c>
      <c r="I27" s="11">
        <f>IFERROR(__xludf.DUMMYFUNCTION("""COMPUTED_VALUE"""),0.0)</f>
        <v>0</v>
      </c>
      <c r="J27" s="11">
        <f>IFERROR(__xludf.DUMMYFUNCTION("""COMPUTED_VALUE"""),18.8)</f>
        <v>18.8</v>
      </c>
      <c r="K27" s="11">
        <f>IFERROR(__xludf.DUMMYFUNCTION("""COMPUTED_VALUE"""),0.4)</f>
        <v>0.4</v>
      </c>
      <c r="L27" s="11">
        <f>IFERROR(__xludf.DUMMYFUNCTION("""COMPUTED_VALUE"""),13.2)</f>
        <v>13.2</v>
      </c>
      <c r="M27" s="11">
        <f>IFERROR(__xludf.DUMMYFUNCTION("""COMPUTED_VALUE"""),7.9)</f>
        <v>7.9</v>
      </c>
      <c r="N27" s="11">
        <f>IFERROR(__xludf.DUMMYFUNCTION("""COMPUTED_VALUE"""),0.9)</f>
        <v>0.9</v>
      </c>
      <c r="O27" s="11">
        <f>IFERROR(__xludf.DUMMYFUNCTION("""COMPUTED_VALUE"""),0.6)</f>
        <v>0.6</v>
      </c>
      <c r="P27" s="15">
        <f>IFERROR(__xludf.DUMMYFUNCTION("""COMPUTED_VALUE"""),0.6)</f>
        <v>0.6</v>
      </c>
      <c r="Q27" s="15">
        <f>IFERROR(__xludf.DUMMYFUNCTION("""COMPUTED_VALUE"""),0.725)</f>
        <v>0.725</v>
      </c>
      <c r="R27" s="11">
        <f>IFERROR(__xludf.DUMMYFUNCTION("""COMPUTED_VALUE"""),3.2)</f>
        <v>3.2</v>
      </c>
      <c r="S27" s="11">
        <f>IFERROR(__xludf.DUMMYFUNCTION("""COMPUTED_VALUE"""),0.24082414802685767)</f>
        <v>0.240824148</v>
      </c>
      <c r="T27" s="11">
        <f>IFERROR(__xludf.DUMMYFUNCTION("""COMPUTED_VALUE"""),-1.3425893849486756)</f>
        <v>-1.342589385</v>
      </c>
      <c r="U27" s="11">
        <f>IFERROR(__xludf.DUMMYFUNCTION("""COMPUTED_VALUE"""),2.797281882607285)</f>
        <v>2.797281883</v>
      </c>
      <c r="V27" s="11">
        <f>IFERROR(__xludf.DUMMYFUNCTION("""COMPUTED_VALUE"""),1.8061772036217743)</f>
        <v>1.806177204</v>
      </c>
      <c r="W27" s="11">
        <f>IFERROR(__xludf.DUMMYFUNCTION("""COMPUTED_VALUE"""),-0.25279641051880714)</f>
        <v>-0.2527964105</v>
      </c>
      <c r="X27" s="11">
        <f>IFERROR(__xludf.DUMMYFUNCTION("""COMPUTED_VALUE"""),-0.25872993873862127)</f>
        <v>-0.2587299387</v>
      </c>
      <c r="Y27" s="11">
        <f>IFERROR(__xludf.DUMMYFUNCTION("""COMPUTED_VALUE"""),1.46235521471565)</f>
        <v>1.462355215</v>
      </c>
      <c r="Z27" s="11">
        <f>IFERROR(__xludf.DUMMYFUNCTION("""COMPUTED_VALUE"""),-1.3370097553793137)</f>
        <v>-1.337009755</v>
      </c>
      <c r="AA27" s="11">
        <f>IFERROR(__xludf.DUMMYFUNCTION("""COMPUTED_VALUE"""),-0.3599047382481531)</f>
        <v>-0.3599047382</v>
      </c>
      <c r="AB27" t="str">
        <f>IFERROR(__xludf.DUMMYFUNCTION("SUBSTITUTE(REGEXREPLACE(REGEXREPLACE(REGEXREPLACE(REGEXREPLACE(REGEXREPLACE(REGEXREPLACE(F27,"","",),IF(Projections!$T$17="""",""PG"",),),IF(Projections!$U$17="""",""SG"",),),IF(Projections!$V$17="""",""SF"",),),IF(Projections!$W$17="""",""PF"",),),IF(Pro"&amp;"jections!$X$17="""",""C"",),),""/"","""")"),"C")</f>
        <v>C</v>
      </c>
    </row>
    <row r="28">
      <c r="A28" t="str">
        <f>IF(Projections!$AC$17,Draft!E14,"")</f>
        <v/>
      </c>
      <c r="B28">
        <f>IFERROR(__xludf.DUMMYFUNCTION("""COMPUTED_VALUE"""),23.0)</f>
        <v>23</v>
      </c>
      <c r="C28">
        <f>IFERROR(__xludf.DUMMYFUNCTION("""COMPUTED_VALUE"""),30.1)</f>
        <v>30.1</v>
      </c>
      <c r="D28" t="str">
        <f>IFERROR(__xludf.DUMMYFUNCTION("""COMPUTED_VALUE"""),"Lauri Markkanen")</f>
        <v>Lauri Markkanen</v>
      </c>
      <c r="E28">
        <f>IFERROR(__xludf.DUMMYFUNCTION("""COMPUTED_VALUE"""),62.0)</f>
        <v>62</v>
      </c>
      <c r="F28" t="str">
        <f>IFERROR(__xludf.DUMMYFUNCTION("""COMPUTED_VALUE"""),"SF,PF")</f>
        <v>SF,PF</v>
      </c>
      <c r="G28" s="11">
        <f>IFERROR(__xludf.DUMMYFUNCTION("""COMPUTED_VALUE"""),4.008278678991504)</f>
        <v>4.008278679</v>
      </c>
      <c r="H28" s="11">
        <f>IFERROR(__xludf.DUMMYFUNCTION("""COMPUTED_VALUE"""),4.008278678991504)</f>
        <v>4.008278679</v>
      </c>
      <c r="I28" s="11">
        <f>IFERROR(__xludf.DUMMYFUNCTION("""COMPUTED_VALUE"""),0.0)</f>
        <v>0</v>
      </c>
      <c r="J28" s="11">
        <f>IFERROR(__xludf.DUMMYFUNCTION("""COMPUTED_VALUE"""),24.5)</f>
        <v>24.5</v>
      </c>
      <c r="K28" s="11">
        <f>IFERROR(__xludf.DUMMYFUNCTION("""COMPUTED_VALUE"""),3.1)</f>
        <v>3.1</v>
      </c>
      <c r="L28" s="11">
        <f>IFERROR(__xludf.DUMMYFUNCTION("""COMPUTED_VALUE"""),8.4)</f>
        <v>8.4</v>
      </c>
      <c r="M28" s="11">
        <f>IFERROR(__xludf.DUMMYFUNCTION("""COMPUTED_VALUE"""),1.9)</f>
        <v>1.9</v>
      </c>
      <c r="N28" s="11">
        <f>IFERROR(__xludf.DUMMYFUNCTION("""COMPUTED_VALUE"""),0.8)</f>
        <v>0.8</v>
      </c>
      <c r="O28" s="11">
        <f>IFERROR(__xludf.DUMMYFUNCTION("""COMPUTED_VALUE"""),0.5)</f>
        <v>0.5</v>
      </c>
      <c r="P28" s="15">
        <f>IFERROR(__xludf.DUMMYFUNCTION("""COMPUTED_VALUE"""),0.483)</f>
        <v>0.483</v>
      </c>
      <c r="Q28" s="15">
        <f>IFERROR(__xludf.DUMMYFUNCTION("""COMPUTED_VALUE"""),0.884)</f>
        <v>0.884</v>
      </c>
      <c r="R28" s="11">
        <f>IFERROR(__xludf.DUMMYFUNCTION("""COMPUTED_VALUE"""),1.7)</f>
        <v>1.7</v>
      </c>
      <c r="S28" s="11">
        <f>IFERROR(__xludf.DUMMYFUNCTION("""COMPUTED_VALUE"""),1.270517859933033)</f>
        <v>1.27051786</v>
      </c>
      <c r="T28" s="11">
        <f>IFERROR(__xludf.DUMMYFUNCTION("""COMPUTED_VALUE"""),1.344566688902945)</f>
        <v>1.344566689</v>
      </c>
      <c r="U28" s="11">
        <f>IFERROR(__xludf.DUMMYFUNCTION("""COMPUTED_VALUE"""),0.9144160686086232)</f>
        <v>0.9144160686</v>
      </c>
      <c r="V28" s="11">
        <f>IFERROR(__xludf.DUMMYFUNCTION("""COMPUTED_VALUE"""),-0.9275290217062028)</f>
        <v>-0.9275290217</v>
      </c>
      <c r="W28" s="11">
        <f>IFERROR(__xludf.DUMMYFUNCTION("""COMPUTED_VALUE"""),-0.5847290886782864)</f>
        <v>-0.5847290887</v>
      </c>
      <c r="X28" s="11">
        <f>IFERROR(__xludf.DUMMYFUNCTION("""COMPUTED_VALUE"""),-0.4371236407912776)</f>
        <v>-0.4371236408</v>
      </c>
      <c r="Y28" s="11">
        <f>IFERROR(__xludf.DUMMYFUNCTION("""COMPUTED_VALUE"""),-0.27818799975029224)</f>
        <v>-0.2781879998</v>
      </c>
      <c r="Z28" s="11">
        <f>IFERROR(__xludf.DUMMYFUNCTION("""COMPUTED_VALUE"""),1.7667503268751126)</f>
        <v>1.766750327</v>
      </c>
      <c r="AA28" s="11">
        <f>IFERROR(__xludf.DUMMYFUNCTION("""COMPUTED_VALUE"""),0.012068463891646777)</f>
        <v>0.01206846389</v>
      </c>
      <c r="AB28" t="str">
        <f>IFERROR(__xludf.DUMMYFUNCTION("SUBSTITUTE(REGEXREPLACE(REGEXREPLACE(REGEXREPLACE(REGEXREPLACE(REGEXREPLACE(REGEXREPLACE(F28,"","",),IF(Projections!$T$17="""",""PG"",),),IF(Projections!$U$17="""",""SG"",),),IF(Projections!$V$17="""",""SF"",),),IF(Projections!$W$17="""",""PF"",),),IF(Pro"&amp;"jections!$X$17="""",""C"",),),""/"","""")"),"SFPF")</f>
        <v>SFPF</v>
      </c>
    </row>
    <row r="29">
      <c r="A29" t="str">
        <f>IF(Projections!$AC$17,Draft!F3,"")</f>
        <v/>
      </c>
      <c r="B29">
        <f>IFERROR(__xludf.DUMMYFUNCTION("""COMPUTED_VALUE"""),24.0)</f>
        <v>24</v>
      </c>
      <c r="C29">
        <f>IFERROR(__xludf.DUMMYFUNCTION("""COMPUTED_VALUE"""),20.0)</f>
        <v>20</v>
      </c>
      <c r="D29" t="str">
        <f>IFERROR(__xludf.DUMMYFUNCTION("""COMPUTED_VALUE"""),"Devin Booker")</f>
        <v>Devin Booker</v>
      </c>
      <c r="E29">
        <f>IFERROR(__xludf.DUMMYFUNCTION("""COMPUTED_VALUE"""),66.0)</f>
        <v>66</v>
      </c>
      <c r="F29" t="str">
        <f>IFERROR(__xludf.DUMMYFUNCTION("""COMPUTED_VALUE"""),"PG,SG")</f>
        <v>PG,SG</v>
      </c>
      <c r="G29" s="11">
        <f>IFERROR(__xludf.DUMMYFUNCTION("""COMPUTED_VALUE"""),3.9743584287034825)</f>
        <v>3.974358429</v>
      </c>
      <c r="H29" s="11">
        <f>IFERROR(__xludf.DUMMYFUNCTION("""COMPUTED_VALUE"""),3.9743584287034825)</f>
        <v>3.974358429</v>
      </c>
      <c r="I29" s="11">
        <f>IFERROR(__xludf.DUMMYFUNCTION("""COMPUTED_VALUE"""),0.0)</f>
        <v>0</v>
      </c>
      <c r="J29" s="11">
        <f>IFERROR(__xludf.DUMMYFUNCTION("""COMPUTED_VALUE"""),27.8)</f>
        <v>27.8</v>
      </c>
      <c r="K29" s="11">
        <f>IFERROR(__xludf.DUMMYFUNCTION("""COMPUTED_VALUE"""),2.2)</f>
        <v>2.2</v>
      </c>
      <c r="L29" s="11">
        <f>IFERROR(__xludf.DUMMYFUNCTION("""COMPUTED_VALUE"""),4.5)</f>
        <v>4.5</v>
      </c>
      <c r="M29" s="11">
        <f>IFERROR(__xludf.DUMMYFUNCTION("""COMPUTED_VALUE"""),5.5)</f>
        <v>5.5</v>
      </c>
      <c r="N29" s="11">
        <f>IFERROR(__xludf.DUMMYFUNCTION("""COMPUTED_VALUE"""),1.0)</f>
        <v>1</v>
      </c>
      <c r="O29" s="11">
        <f>IFERROR(__xludf.DUMMYFUNCTION("""COMPUTED_VALUE"""),0.4)</f>
        <v>0.4</v>
      </c>
      <c r="P29" s="15">
        <f>IFERROR(__xludf.DUMMYFUNCTION("""COMPUTED_VALUE"""),0.49)</f>
        <v>0.49</v>
      </c>
      <c r="Q29" s="15">
        <f>IFERROR(__xludf.DUMMYFUNCTION("""COMPUTED_VALUE"""),0.873)</f>
        <v>0.873</v>
      </c>
      <c r="R29" s="11">
        <f>IFERROR(__xludf.DUMMYFUNCTION("""COMPUTED_VALUE"""),2.7)</f>
        <v>2.7</v>
      </c>
      <c r="S29" s="11">
        <f>IFERROR(__xludf.DUMMYFUNCTION("""COMPUTED_VALUE"""),1.866656324720819)</f>
        <v>1.866656325</v>
      </c>
      <c r="T29" s="11">
        <f>IFERROR(__xludf.DUMMYFUNCTION("""COMPUTED_VALUE"""),0.44884799761907157)</f>
        <v>0.4488479976</v>
      </c>
      <c r="U29" s="11">
        <f>IFERROR(__xludf.DUMMYFUNCTION("""COMPUTED_VALUE"""),-0.6154124052652897)</f>
        <v>-0.6154124053</v>
      </c>
      <c r="V29" s="11">
        <f>IFERROR(__xludf.DUMMYFUNCTION("""COMPUTED_VALUE"""),0.7126947134905833)</f>
        <v>0.7126947135</v>
      </c>
      <c r="W29" s="11">
        <f>IFERROR(__xludf.DUMMYFUNCTION("""COMPUTED_VALUE"""),0.07913626764067216)</f>
        <v>0.07913626764</v>
      </c>
      <c r="X29" s="11">
        <f>IFERROR(__xludf.DUMMYFUNCTION("""COMPUTED_VALUE"""),-0.6155173428439339)</f>
        <v>-0.6155173428</v>
      </c>
      <c r="Y29" s="11">
        <f>IFERROR(__xludf.DUMMYFUNCTION("""COMPUTED_VALUE"""),-0.162092383375328)</f>
        <v>-0.1620923834</v>
      </c>
      <c r="Z29" s="11">
        <f>IFERROR(__xludf.DUMMYFUNCTION("""COMPUTED_VALUE"""),1.8804415847411744)</f>
        <v>1.880441585</v>
      </c>
      <c r="AA29" s="11">
        <f>IFERROR(__xludf.DUMMYFUNCTION("""COMPUTED_VALUE"""),-0.23591367086821985)</f>
        <v>-0.2359136709</v>
      </c>
      <c r="AB29" t="str">
        <f>IFERROR(__xludf.DUMMYFUNCTION("SUBSTITUTE(REGEXREPLACE(REGEXREPLACE(REGEXREPLACE(REGEXREPLACE(REGEXREPLACE(REGEXREPLACE(F29,"","",),IF(Projections!$T$17="""",""PG"",),),IF(Projections!$U$17="""",""SG"",),),IF(Projections!$V$17="""",""SF"",),),IF(Projections!$W$17="""",""PF"",),),IF(Pro"&amp;"jections!$X$17="""",""C"",),),""/"","""")"),"PGSG")</f>
        <v>PGSG</v>
      </c>
    </row>
    <row r="30">
      <c r="A30" t="str">
        <f>IF(Projections!$AC$17,Draft!F4,"")</f>
        <v/>
      </c>
      <c r="B30">
        <f>IFERROR(__xludf.DUMMYFUNCTION("""COMPUTED_VALUE"""),25.0)</f>
        <v>25</v>
      </c>
      <c r="C30">
        <f>IFERROR(__xludf.DUMMYFUNCTION("""COMPUTED_VALUE"""),22.1)</f>
        <v>22.1</v>
      </c>
      <c r="D30" t="str">
        <f>IFERROR(__xludf.DUMMYFUNCTION("""COMPUTED_VALUE"""),"Karl-Anthony Towns")</f>
        <v>Karl-Anthony Towns</v>
      </c>
      <c r="E30">
        <f>IFERROR(__xludf.DUMMYFUNCTION("""COMPUTED_VALUE"""),66.0)</f>
        <v>66</v>
      </c>
      <c r="F30" t="str">
        <f>IFERROR(__xludf.DUMMYFUNCTION("""COMPUTED_VALUE"""),"PF,C")</f>
        <v>PF,C</v>
      </c>
      <c r="G30" s="11">
        <f>IFERROR(__xludf.DUMMYFUNCTION("""COMPUTED_VALUE"""),3.866715015229273)</f>
        <v>3.866715015</v>
      </c>
      <c r="H30" s="11">
        <f>IFERROR(__xludf.DUMMYFUNCTION("""COMPUTED_VALUE"""),3.866715015229273)</f>
        <v>3.866715015</v>
      </c>
      <c r="I30" s="11">
        <f>IFERROR(__xludf.DUMMYFUNCTION("""COMPUTED_VALUE"""),0.0)</f>
        <v>0</v>
      </c>
      <c r="J30" s="11">
        <f>IFERROR(__xludf.DUMMYFUNCTION("""COMPUTED_VALUE"""),21.4)</f>
        <v>21.4</v>
      </c>
      <c r="K30" s="11">
        <f>IFERROR(__xludf.DUMMYFUNCTION("""COMPUTED_VALUE"""),2.2)</f>
        <v>2.2</v>
      </c>
      <c r="L30" s="11">
        <f>IFERROR(__xludf.DUMMYFUNCTION("""COMPUTED_VALUE"""),9.5)</f>
        <v>9.5</v>
      </c>
      <c r="M30" s="11">
        <f>IFERROR(__xludf.DUMMYFUNCTION("""COMPUTED_VALUE"""),3.3)</f>
        <v>3.3</v>
      </c>
      <c r="N30" s="11">
        <f>IFERROR(__xludf.DUMMYFUNCTION("""COMPUTED_VALUE"""),0.7)</f>
        <v>0.7</v>
      </c>
      <c r="O30" s="11">
        <f>IFERROR(__xludf.DUMMYFUNCTION("""COMPUTED_VALUE"""),1.0)</f>
        <v>1</v>
      </c>
      <c r="P30" s="15">
        <f>IFERROR(__xludf.DUMMYFUNCTION("""COMPUTED_VALUE"""),0.501)</f>
        <v>0.501</v>
      </c>
      <c r="Q30" s="15">
        <f>IFERROR(__xludf.DUMMYFUNCTION("""COMPUTED_VALUE"""),0.873)</f>
        <v>0.873</v>
      </c>
      <c r="R30" s="11">
        <f>IFERROR(__xludf.DUMMYFUNCTION("""COMPUTED_VALUE"""),2.9)</f>
        <v>2.9</v>
      </c>
      <c r="S30" s="11">
        <f>IFERROR(__xludf.DUMMYFUNCTION("""COMPUTED_VALUE"""),0.7105089990717794)</f>
        <v>0.7105089991</v>
      </c>
      <c r="T30" s="11">
        <f>IFERROR(__xludf.DUMMYFUNCTION("""COMPUTED_VALUE"""),0.44884799761907157)</f>
        <v>0.4488479976</v>
      </c>
      <c r="U30" s="11">
        <f>IFERROR(__xludf.DUMMYFUNCTION("""COMPUTED_VALUE"""),1.3459061509833166)</f>
        <v>1.345906151</v>
      </c>
      <c r="V30" s="11">
        <f>IFERROR(__xludf.DUMMYFUNCTION("""COMPUTED_VALUE"""),-0.2896642357963416)</f>
        <v>-0.2896642358</v>
      </c>
      <c r="W30" s="11">
        <f>IFERROR(__xludf.DUMMYFUNCTION("""COMPUTED_VALUE"""),-0.9166617668377661)</f>
        <v>-0.9166617668</v>
      </c>
      <c r="X30" s="11">
        <f>IFERROR(__xludf.DUMMYFUNCTION("""COMPUTED_VALUE"""),0.45484486947200414)</f>
        <v>0.4548448695</v>
      </c>
      <c r="Y30" s="11">
        <f>IFERROR(__xludf.DUMMYFUNCTION("""COMPUTED_VALUE"""),0.07145014314375582)</f>
        <v>0.07145014314</v>
      </c>
      <c r="Z30" s="11">
        <f>IFERROR(__xludf.DUMMYFUNCTION("""COMPUTED_VALUE"""),1.4103311885558807)</f>
        <v>1.410331189</v>
      </c>
      <c r="AA30" s="11">
        <f>IFERROR(__xludf.DUMMYFUNCTION("""COMPUTED_VALUE"""),-0.2855100978201931)</f>
        <v>-0.2855100978</v>
      </c>
      <c r="AB30" t="str">
        <f>IFERROR(__xludf.DUMMYFUNCTION("SUBSTITUTE(REGEXREPLACE(REGEXREPLACE(REGEXREPLACE(REGEXREPLACE(REGEXREPLACE(REGEXREPLACE(F30,"","",),IF(Projections!$T$17="""",""PG"",),),IF(Projections!$U$17="""",""SG"",),),IF(Projections!$V$17="""",""SF"",),),IF(Projections!$W$17="""",""PF"",),),IF(Pro"&amp;"jections!$X$17="""",""C"",),),""/"","""")"),"PFC")</f>
        <v>PFC</v>
      </c>
    </row>
    <row r="31">
      <c r="A31" t="str">
        <f>IF(Projections!$AC$17,Draft!F5,"")</f>
        <v/>
      </c>
      <c r="B31">
        <f>IFERROR(__xludf.DUMMYFUNCTION("""COMPUTED_VALUE"""),26.0)</f>
        <v>26</v>
      </c>
      <c r="C31">
        <f>IFERROR(__xludf.DUMMYFUNCTION("""COMPUTED_VALUE"""),19.1)</f>
        <v>19.1</v>
      </c>
      <c r="D31" t="str">
        <f>IFERROR(__xludf.DUMMYFUNCTION("""COMPUTED_VALUE"""),"Jalen Brunson")</f>
        <v>Jalen Brunson</v>
      </c>
      <c r="E31">
        <f>IFERROR(__xludf.DUMMYFUNCTION("""COMPUTED_VALUE"""),71.0)</f>
        <v>71</v>
      </c>
      <c r="F31" t="str">
        <f>IFERROR(__xludf.DUMMYFUNCTION("""COMPUTED_VALUE"""),"PG")</f>
        <v>PG</v>
      </c>
      <c r="G31" s="11">
        <f>IFERROR(__xludf.DUMMYFUNCTION("""COMPUTED_VALUE"""),3.5652014548200865)</f>
        <v>3.565201455</v>
      </c>
      <c r="H31" s="11">
        <f>IFERROR(__xludf.DUMMYFUNCTION("""COMPUTED_VALUE"""),3.5652014548200865)</f>
        <v>3.565201455</v>
      </c>
      <c r="I31" s="11">
        <f>IFERROR(__xludf.DUMMYFUNCTION("""COMPUTED_VALUE"""),0.0)</f>
        <v>0</v>
      </c>
      <c r="J31" s="11">
        <f>IFERROR(__xludf.DUMMYFUNCTION("""COMPUTED_VALUE"""),27.7)</f>
        <v>27.7</v>
      </c>
      <c r="K31" s="11">
        <f>IFERROR(__xludf.DUMMYFUNCTION("""COMPUTED_VALUE"""),2.7)</f>
        <v>2.7</v>
      </c>
      <c r="L31" s="11">
        <f>IFERROR(__xludf.DUMMYFUNCTION("""COMPUTED_VALUE"""),3.7)</f>
        <v>3.7</v>
      </c>
      <c r="M31" s="11">
        <f>IFERROR(__xludf.DUMMYFUNCTION("""COMPUTED_VALUE"""),7.0)</f>
        <v>7</v>
      </c>
      <c r="N31" s="11">
        <f>IFERROR(__xludf.DUMMYFUNCTION("""COMPUTED_VALUE"""),0.9)</f>
        <v>0.9</v>
      </c>
      <c r="O31" s="11">
        <f>IFERROR(__xludf.DUMMYFUNCTION("""COMPUTED_VALUE"""),0.2)</f>
        <v>0.2</v>
      </c>
      <c r="P31" s="15">
        <f>IFERROR(__xludf.DUMMYFUNCTION("""COMPUTED_VALUE"""),0.484)</f>
        <v>0.484</v>
      </c>
      <c r="Q31" s="15">
        <f>IFERROR(__xludf.DUMMYFUNCTION("""COMPUTED_VALUE"""),0.839)</f>
        <v>0.839</v>
      </c>
      <c r="R31" s="11">
        <f>IFERROR(__xludf.DUMMYFUNCTION("""COMPUTED_VALUE"""),2.3)</f>
        <v>2.3</v>
      </c>
      <c r="S31" s="11">
        <f>IFERROR(__xludf.DUMMYFUNCTION("""COMPUTED_VALUE"""),1.8485915227575525)</f>
        <v>1.848591523</v>
      </c>
      <c r="T31" s="11">
        <f>IFERROR(__xludf.DUMMYFUNCTION("""COMPUTED_VALUE"""),0.946469492776779)</f>
        <v>0.9464694928</v>
      </c>
      <c r="U31" s="11">
        <f>IFERROR(__xludf.DUMMYFUNCTION("""COMPUTED_VALUE"""),-0.9292233742650667)</f>
        <v>-0.9292233743</v>
      </c>
      <c r="V31" s="11">
        <f>IFERROR(__xludf.DUMMYFUNCTION("""COMPUTED_VALUE"""),1.3961212698225776)</f>
        <v>1.39612127</v>
      </c>
      <c r="W31" s="11">
        <f>IFERROR(__xludf.DUMMYFUNCTION("""COMPUTED_VALUE"""),-0.25279641051880714)</f>
        <v>-0.2527964105</v>
      </c>
      <c r="X31" s="11">
        <f>IFERROR(__xludf.DUMMYFUNCTION("""COMPUTED_VALUE"""),-0.9723047469492465)</f>
        <v>-0.9723047469</v>
      </c>
      <c r="Y31" s="11">
        <f>IFERROR(__xludf.DUMMYFUNCTION("""COMPUTED_VALUE"""),-0.3064549542470388)</f>
        <v>-0.3064549542</v>
      </c>
      <c r="Z31" s="11">
        <f>IFERROR(__xludf.DUMMYFUNCTION("""COMPUTED_VALUE"""),0.9992147254583632)</f>
        <v>0.9992147255</v>
      </c>
      <c r="AA31" s="11">
        <f>IFERROR(__xludf.DUMMYFUNCTION("""COMPUTED_VALUE"""),-0.13672081696427313)</f>
        <v>-0.136720817</v>
      </c>
      <c r="AB31" t="str">
        <f>IFERROR(__xludf.DUMMYFUNCTION("SUBSTITUTE(REGEXREPLACE(REGEXREPLACE(REGEXREPLACE(REGEXREPLACE(REGEXREPLACE(REGEXREPLACE(F31,"","",),IF(Projections!$T$17="""",""PG"",),),IF(Projections!$U$17="""",""SG"",),),IF(Projections!$V$17="""",""SF"",),),IF(Projections!$W$17="""",""PF"",),),IF(Pro"&amp;"jections!$X$17="""",""C"",),),""/"","""")"),"PG")</f>
        <v>PG</v>
      </c>
    </row>
    <row r="32">
      <c r="A32" t="str">
        <f>IF(Projections!$AC$17,Draft!F6,"")</f>
        <v/>
      </c>
      <c r="B32">
        <f>IFERROR(__xludf.DUMMYFUNCTION("""COMPUTED_VALUE"""),27.0)</f>
        <v>27</v>
      </c>
      <c r="C32">
        <f>IFERROR(__xludf.DUMMYFUNCTION("""COMPUTED_VALUE"""),32.1)</f>
        <v>32.1</v>
      </c>
      <c r="D32" t="str">
        <f>IFERROR(__xludf.DUMMYFUNCTION("""COMPUTED_VALUE"""),"Paul George")</f>
        <v>Paul George</v>
      </c>
      <c r="E32">
        <f>IFERROR(__xludf.DUMMYFUNCTION("""COMPUTED_VALUE"""),66.0)</f>
        <v>66</v>
      </c>
      <c r="F32" t="str">
        <f>IFERROR(__xludf.DUMMYFUNCTION("""COMPUTED_VALUE"""),"SG,SF,PF")</f>
        <v>SG,SF,PF</v>
      </c>
      <c r="G32" s="11">
        <f>IFERROR(__xludf.DUMMYFUNCTION("""COMPUTED_VALUE"""),3.481204948854153)</f>
        <v>3.481204949</v>
      </c>
      <c r="H32" s="11">
        <f>IFERROR(__xludf.DUMMYFUNCTION("""COMPUTED_VALUE"""),3.481204948854153)</f>
        <v>3.481204949</v>
      </c>
      <c r="I32" s="11">
        <f>IFERROR(__xludf.DUMMYFUNCTION("""COMPUTED_VALUE"""),0.0)</f>
        <v>0</v>
      </c>
      <c r="J32" s="11">
        <f>IFERROR(__xludf.DUMMYFUNCTION("""COMPUTED_VALUE"""),22.1)</f>
        <v>22.1</v>
      </c>
      <c r="K32" s="11">
        <f>IFERROR(__xludf.DUMMYFUNCTION("""COMPUTED_VALUE"""),3.0)</f>
        <v>3</v>
      </c>
      <c r="L32" s="11">
        <f>IFERROR(__xludf.DUMMYFUNCTION("""COMPUTED_VALUE"""),5.0)</f>
        <v>5</v>
      </c>
      <c r="M32" s="11">
        <f>IFERROR(__xludf.DUMMYFUNCTION("""COMPUTED_VALUE"""),3.4)</f>
        <v>3.4</v>
      </c>
      <c r="N32" s="11">
        <f>IFERROR(__xludf.DUMMYFUNCTION("""COMPUTED_VALUE"""),1.4)</f>
        <v>1.4</v>
      </c>
      <c r="O32" s="11">
        <f>IFERROR(__xludf.DUMMYFUNCTION("""COMPUTED_VALUE"""),0.4)</f>
        <v>0.4</v>
      </c>
      <c r="P32" s="15">
        <f>IFERROR(__xludf.DUMMYFUNCTION("""COMPUTED_VALUE"""),0.465)</f>
        <v>0.465</v>
      </c>
      <c r="Q32" s="15">
        <f>IFERROR(__xludf.DUMMYFUNCTION("""COMPUTED_VALUE"""),0.889)</f>
        <v>0.889</v>
      </c>
      <c r="R32" s="11">
        <f>IFERROR(__xludf.DUMMYFUNCTION("""COMPUTED_VALUE"""),2.4)</f>
        <v>2.4</v>
      </c>
      <c r="S32" s="11">
        <f>IFERROR(__xludf.DUMMYFUNCTION("""COMPUTED_VALUE"""),0.8369626128146436)</f>
        <v>0.8369626128</v>
      </c>
      <c r="T32" s="11">
        <f>IFERROR(__xludf.DUMMYFUNCTION("""COMPUTED_VALUE"""),1.2450423898714034)</f>
        <v>1.24504239</v>
      </c>
      <c r="U32" s="11">
        <f>IFERROR(__xludf.DUMMYFUNCTION("""COMPUTED_VALUE"""),-0.41928054964042916)</f>
        <v>-0.4192805496</v>
      </c>
      <c r="V32" s="11">
        <f>IFERROR(__xludf.DUMMYFUNCTION("""COMPUTED_VALUE"""),-0.2441024653742086)</f>
        <v>-0.2441024654</v>
      </c>
      <c r="W32" s="11">
        <f>IFERROR(__xludf.DUMMYFUNCTION("""COMPUTED_VALUE"""),1.4068669802785894)</f>
        <v>1.40686698</v>
      </c>
      <c r="X32" s="11">
        <f>IFERROR(__xludf.DUMMYFUNCTION("""COMPUTED_VALUE"""),-0.6155173428439339)</f>
        <v>-0.6155173428</v>
      </c>
      <c r="Y32" s="11">
        <f>IFERROR(__xludf.DUMMYFUNCTION("""COMPUTED_VALUE"""),-0.6165112887863645)</f>
        <v>-0.6165112888</v>
      </c>
      <c r="Z32" s="11">
        <f>IFERROR(__xludf.DUMMYFUNCTION("""COMPUTED_VALUE"""),1.4327523541883482)</f>
        <v>1.432752354</v>
      </c>
      <c r="AA32" s="11">
        <f>IFERROR(__xludf.DUMMYFUNCTION("""COMPUTED_VALUE"""),-0.1615190304402598)</f>
        <v>-0.1615190304</v>
      </c>
      <c r="AB32" t="str">
        <f>IFERROR(__xludf.DUMMYFUNCTION("SUBSTITUTE(REGEXREPLACE(REGEXREPLACE(REGEXREPLACE(REGEXREPLACE(REGEXREPLACE(REGEXREPLACE(F32,"","",),IF(Projections!$T$17="""",""PG"",),),IF(Projections!$U$17="""",""SG"",),),IF(Projections!$V$17="""",""SF"",),),IF(Projections!$W$17="""",""PF"",),),IF(Pro"&amp;"jections!$X$17="""",""C"",),),""/"","""")"),"SGSFPF")</f>
        <v>SGSFPF</v>
      </c>
    </row>
    <row r="33">
      <c r="A33" t="str">
        <f>IF(Projections!$AC$17,Draft!F7,"")</f>
        <v/>
      </c>
      <c r="B33">
        <f>IFERROR(__xludf.DUMMYFUNCTION("""COMPUTED_VALUE"""),28.0)</f>
        <v>28</v>
      </c>
      <c r="C33">
        <f>IFERROR(__xludf.DUMMYFUNCTION("""COMPUTED_VALUE"""),17.6)</f>
        <v>17.6</v>
      </c>
      <c r="D33" t="str">
        <f>IFERROR(__xludf.DUMMYFUNCTION("""COMPUTED_VALUE"""),"Chet Holmgren")</f>
        <v>Chet Holmgren</v>
      </c>
      <c r="E33">
        <f>IFERROR(__xludf.DUMMYFUNCTION("""COMPUTED_VALUE"""),66.0)</f>
        <v>66</v>
      </c>
      <c r="F33" t="str">
        <f>IFERROR(__xludf.DUMMYFUNCTION("""COMPUTED_VALUE"""),"PF,C")</f>
        <v>PF,C</v>
      </c>
      <c r="G33" s="11">
        <f>IFERROR(__xludf.DUMMYFUNCTION("""COMPUTED_VALUE"""),3.3631444111060267)</f>
        <v>3.363144411</v>
      </c>
      <c r="H33" s="11">
        <f>IFERROR(__xludf.DUMMYFUNCTION("""COMPUTED_VALUE"""),3.3631444111060267)</f>
        <v>3.363144411</v>
      </c>
      <c r="I33" s="11">
        <f>IFERROR(__xludf.DUMMYFUNCTION("""COMPUTED_VALUE"""),0.0)</f>
        <v>0</v>
      </c>
      <c r="J33" s="11">
        <f>IFERROR(__xludf.DUMMYFUNCTION("""COMPUTED_VALUE"""),17.4)</f>
        <v>17.4</v>
      </c>
      <c r="K33" s="11">
        <f>IFERROR(__xludf.DUMMYFUNCTION("""COMPUTED_VALUE"""),1.7)</f>
        <v>1.7</v>
      </c>
      <c r="L33" s="11">
        <f>IFERROR(__xludf.DUMMYFUNCTION("""COMPUTED_VALUE"""),8.1)</f>
        <v>8.1</v>
      </c>
      <c r="M33" s="11">
        <f>IFERROR(__xludf.DUMMYFUNCTION("""COMPUTED_VALUE"""),2.6)</f>
        <v>2.6</v>
      </c>
      <c r="N33" s="11">
        <f>IFERROR(__xludf.DUMMYFUNCTION("""COMPUTED_VALUE"""),0.7)</f>
        <v>0.7</v>
      </c>
      <c r="O33" s="11">
        <f>IFERROR(__xludf.DUMMYFUNCTION("""COMPUTED_VALUE"""),2.3)</f>
        <v>2.3</v>
      </c>
      <c r="P33" s="15">
        <f>IFERROR(__xludf.DUMMYFUNCTION("""COMPUTED_VALUE"""),0.53)</f>
        <v>0.53</v>
      </c>
      <c r="Q33" s="15">
        <f>IFERROR(__xludf.DUMMYFUNCTION("""COMPUTED_VALUE"""),0.793)</f>
        <v>0.793</v>
      </c>
      <c r="R33" s="11">
        <f>IFERROR(__xludf.DUMMYFUNCTION("""COMPUTED_VALUE"""),1.7)</f>
        <v>1.7</v>
      </c>
      <c r="S33" s="11">
        <f>IFERROR(__xludf.DUMMYFUNCTION("""COMPUTED_VALUE"""),-0.012083079458870018)</f>
        <v>-0.01208307946</v>
      </c>
      <c r="T33" s="11">
        <f>IFERROR(__xludf.DUMMYFUNCTION("""COMPUTED_VALUE"""),-0.04877349753863613)</f>
        <v>-0.04877349754</v>
      </c>
      <c r="U33" s="11">
        <f>IFERROR(__xludf.DUMMYFUNCTION("""COMPUTED_VALUE"""),0.7967369552337066)</f>
        <v>0.7967369552</v>
      </c>
      <c r="V33" s="11">
        <f>IFERROR(__xludf.DUMMYFUNCTION("""COMPUTED_VALUE"""),-0.6085966287512721)</f>
        <v>-0.6085966288</v>
      </c>
      <c r="W33" s="11">
        <f>IFERROR(__xludf.DUMMYFUNCTION("""COMPUTED_VALUE"""),-0.9166617668377661)</f>
        <v>-0.9166617668</v>
      </c>
      <c r="X33" s="11">
        <f>IFERROR(__xludf.DUMMYFUNCTION("""COMPUTED_VALUE"""),2.7739629961565364)</f>
        <v>2.773962996</v>
      </c>
      <c r="Y33" s="11">
        <f>IFERROR(__xludf.DUMMYFUNCTION("""COMPUTED_VALUE"""),0.47355201437337247)</f>
        <v>0.4735520144</v>
      </c>
      <c r="Z33" s="11">
        <f>IFERROR(__xludf.DUMMYFUNCTION("""COMPUTED_VALUE"""),-0.02372281280045713)</f>
        <v>-0.0237228128</v>
      </c>
      <c r="AA33" s="11">
        <f>IFERROR(__xludf.DUMMYFUNCTION("""COMPUTED_VALUE"""),0.012068463891646777)</f>
        <v>0.01206846389</v>
      </c>
      <c r="AB33" t="str">
        <f>IFERROR(__xludf.DUMMYFUNCTION("SUBSTITUTE(REGEXREPLACE(REGEXREPLACE(REGEXREPLACE(REGEXREPLACE(REGEXREPLACE(REGEXREPLACE(F33,"","",),IF(Projections!$T$17="""",""PG"",),),IF(Projections!$U$17="""",""SG"",),),IF(Projections!$V$17="""",""SF"",),),IF(Projections!$W$17="""",""PF"",),),IF(Pro"&amp;"jections!$X$17="""",""C"",),),""/"","""")"),"PFC")</f>
        <v>PFC</v>
      </c>
    </row>
    <row r="34">
      <c r="A34" t="str">
        <f>IF(Projections!$AC$17,Draft!F8,"")</f>
        <v/>
      </c>
      <c r="B34">
        <f>IFERROR(__xludf.DUMMYFUNCTION("""COMPUTED_VALUE"""),29.0)</f>
        <v>29</v>
      </c>
      <c r="C34">
        <f>IFERROR(__xludf.DUMMYFUNCTION("""COMPUTED_VALUE"""),26.1)</f>
        <v>26.1</v>
      </c>
      <c r="D34" t="str">
        <f>IFERROR(__xludf.DUMMYFUNCTION("""COMPUTED_VALUE"""),"De'Aaron Fox")</f>
        <v>De'Aaron Fox</v>
      </c>
      <c r="E34">
        <f>IFERROR(__xludf.DUMMYFUNCTION("""COMPUTED_VALUE"""),66.0)</f>
        <v>66</v>
      </c>
      <c r="F34" t="str">
        <f>IFERROR(__xludf.DUMMYFUNCTION("""COMPUTED_VALUE"""),"PG")</f>
        <v>PG</v>
      </c>
      <c r="G34" s="11">
        <f>IFERROR(__xludf.DUMMYFUNCTION("""COMPUTED_VALUE"""),3.161900045871504)</f>
        <v>3.161900046</v>
      </c>
      <c r="H34" s="11">
        <f>IFERROR(__xludf.DUMMYFUNCTION("""COMPUTED_VALUE"""),3.161900045871504)</f>
        <v>3.161900046</v>
      </c>
      <c r="I34" s="11">
        <f>IFERROR(__xludf.DUMMYFUNCTION("""COMPUTED_VALUE"""),0.0)</f>
        <v>0</v>
      </c>
      <c r="J34" s="11">
        <f>IFERROR(__xludf.DUMMYFUNCTION("""COMPUTED_VALUE"""),25.1)</f>
        <v>25.1</v>
      </c>
      <c r="K34" s="11">
        <f>IFERROR(__xludf.DUMMYFUNCTION("""COMPUTED_VALUE"""),2.5)</f>
        <v>2.5</v>
      </c>
      <c r="L34" s="11">
        <f>IFERROR(__xludf.DUMMYFUNCTION("""COMPUTED_VALUE"""),4.2)</f>
        <v>4.2</v>
      </c>
      <c r="M34" s="11">
        <f>IFERROR(__xludf.DUMMYFUNCTION("""COMPUTED_VALUE"""),5.5)</f>
        <v>5.5</v>
      </c>
      <c r="N34" s="11">
        <f>IFERROR(__xludf.DUMMYFUNCTION("""COMPUTED_VALUE"""),1.7)</f>
        <v>1.7</v>
      </c>
      <c r="O34" s="11">
        <f>IFERROR(__xludf.DUMMYFUNCTION("""COMPUTED_VALUE"""),0.4)</f>
        <v>0.4</v>
      </c>
      <c r="P34" s="15">
        <f>IFERROR(__xludf.DUMMYFUNCTION("""COMPUTED_VALUE"""),0.472)</f>
        <v>0.472</v>
      </c>
      <c r="Q34" s="15">
        <f>IFERROR(__xludf.DUMMYFUNCTION("""COMPUTED_VALUE"""),0.759)</f>
        <v>0.759</v>
      </c>
      <c r="R34" s="11">
        <f>IFERROR(__xludf.DUMMYFUNCTION("""COMPUTED_VALUE"""),2.5)</f>
        <v>2.5</v>
      </c>
      <c r="S34" s="11">
        <f>IFERROR(__xludf.DUMMYFUNCTION("""COMPUTED_VALUE"""),1.3789066717126306)</f>
        <v>1.378906672</v>
      </c>
      <c r="T34" s="11">
        <f>IFERROR(__xludf.DUMMYFUNCTION("""COMPUTED_VALUE"""),0.7474208947136959)</f>
        <v>0.7474208947</v>
      </c>
      <c r="U34" s="11">
        <f>IFERROR(__xludf.DUMMYFUNCTION("""COMPUTED_VALUE"""),-0.733091518640206)</f>
        <v>-0.7330915186</v>
      </c>
      <c r="V34" s="11">
        <f>IFERROR(__xludf.DUMMYFUNCTION("""COMPUTED_VALUE"""),0.7126947134905833)</f>
        <v>0.7126947135</v>
      </c>
      <c r="W34" s="11">
        <f>IFERROR(__xludf.DUMMYFUNCTION("""COMPUTED_VALUE"""),2.402665014757028)</f>
        <v>2.402665015</v>
      </c>
      <c r="X34" s="11">
        <f>IFERROR(__xludf.DUMMYFUNCTION("""COMPUTED_VALUE"""),-0.6155173428439339)</f>
        <v>-0.6155173428</v>
      </c>
      <c r="Y34" s="11">
        <f>IFERROR(__xludf.DUMMYFUNCTION("""COMPUTED_VALUE"""),-0.5657100941977983)</f>
        <v>-0.5657100942</v>
      </c>
      <c r="Z34" s="11">
        <f>IFERROR(__xludf.DUMMYFUNCTION("""COMPUTED_VALUE"""),-0.7122425678444542)</f>
        <v>-0.7122425678</v>
      </c>
      <c r="AA34" s="11">
        <f>IFERROR(__xludf.DUMMYFUNCTION("""COMPUTED_VALUE"""),-0.1863172439162465)</f>
        <v>-0.1863172439</v>
      </c>
      <c r="AB34" t="str">
        <f>IFERROR(__xludf.DUMMYFUNCTION("SUBSTITUTE(REGEXREPLACE(REGEXREPLACE(REGEXREPLACE(REGEXREPLACE(REGEXREPLACE(REGEXREPLACE(F34,"","",),IF(Projections!$T$17="""",""PG"",),),IF(Projections!$U$17="""",""SG"",),),IF(Projections!$V$17="""",""SF"",),),IF(Projections!$W$17="""",""PF"",),),IF(Pro"&amp;"jections!$X$17="""",""C"",),),""/"","""")"),"PG")</f>
        <v>PG</v>
      </c>
    </row>
    <row r="35">
      <c r="A35" t="str">
        <f>IF(Projections!$AC$17,Draft!F9,"")</f>
        <v/>
      </c>
      <c r="B35">
        <f>IFERROR(__xludf.DUMMYFUNCTION("""COMPUTED_VALUE"""),30.0)</f>
        <v>30</v>
      </c>
      <c r="C35">
        <f>IFERROR(__xludf.DUMMYFUNCTION("""COMPUTED_VALUE"""),37.3)</f>
        <v>37.3</v>
      </c>
      <c r="D35" t="str">
        <f>IFERROR(__xludf.DUMMYFUNCTION("""COMPUTED_VALUE"""),"Jaren Jackson Jr.")</f>
        <v>Jaren Jackson Jr.</v>
      </c>
      <c r="E35">
        <f>IFERROR(__xludf.DUMMYFUNCTION("""COMPUTED_VALUE"""),71.0)</f>
        <v>71</v>
      </c>
      <c r="F35" t="str">
        <f>IFERROR(__xludf.DUMMYFUNCTION("""COMPUTED_VALUE"""),"PF,C")</f>
        <v>PF,C</v>
      </c>
      <c r="G35" s="11">
        <f>IFERROR(__xludf.DUMMYFUNCTION("""COMPUTED_VALUE"""),3.0541492707603997)</f>
        <v>3.054149271</v>
      </c>
      <c r="H35" s="11">
        <f>IFERROR(__xludf.DUMMYFUNCTION("""COMPUTED_VALUE"""),3.0541492707603997)</f>
        <v>3.054149271</v>
      </c>
      <c r="I35" s="11">
        <f>IFERROR(__xludf.DUMMYFUNCTION("""COMPUTED_VALUE"""),0.0)</f>
        <v>0</v>
      </c>
      <c r="J35" s="11">
        <f>IFERROR(__xludf.DUMMYFUNCTION("""COMPUTED_VALUE"""),21.3)</f>
        <v>21.3</v>
      </c>
      <c r="K35" s="11">
        <f>IFERROR(__xludf.DUMMYFUNCTION("""COMPUTED_VALUE"""),1.7)</f>
        <v>1.7</v>
      </c>
      <c r="L35" s="11">
        <f>IFERROR(__xludf.DUMMYFUNCTION("""COMPUTED_VALUE"""),6.3)</f>
        <v>6.3</v>
      </c>
      <c r="M35" s="11">
        <f>IFERROR(__xludf.DUMMYFUNCTION("""COMPUTED_VALUE"""),1.7)</f>
        <v>1.7</v>
      </c>
      <c r="N35" s="11">
        <f>IFERROR(__xludf.DUMMYFUNCTION("""COMPUTED_VALUE"""),1.2)</f>
        <v>1.2</v>
      </c>
      <c r="O35" s="11">
        <f>IFERROR(__xludf.DUMMYFUNCTION("""COMPUTED_VALUE"""),1.9)</f>
        <v>1.9</v>
      </c>
      <c r="P35" s="15">
        <f>IFERROR(__xludf.DUMMYFUNCTION("""COMPUTED_VALUE"""),0.47)</f>
        <v>0.47</v>
      </c>
      <c r="Q35" s="15">
        <f>IFERROR(__xludf.DUMMYFUNCTION("""COMPUTED_VALUE"""),0.8)</f>
        <v>0.8</v>
      </c>
      <c r="R35" s="11">
        <f>IFERROR(__xludf.DUMMYFUNCTION("""COMPUTED_VALUE"""),2.1)</f>
        <v>2.1</v>
      </c>
      <c r="S35" s="11">
        <f>IFERROR(__xludf.DUMMYFUNCTION("""COMPUTED_VALUE"""),0.6924441971085136)</f>
        <v>0.6924441971</v>
      </c>
      <c r="T35" s="11">
        <f>IFERROR(__xludf.DUMMYFUNCTION("""COMPUTED_VALUE"""),-0.04877349753863613)</f>
        <v>-0.04877349754</v>
      </c>
      <c r="U35" s="11">
        <f>IFERROR(__xludf.DUMMYFUNCTION("""COMPUTED_VALUE"""),0.09066227498420842)</f>
        <v>0.09066227498</v>
      </c>
      <c r="V35" s="11">
        <f>IFERROR(__xludf.DUMMYFUNCTION("""COMPUTED_VALUE"""),-1.0186525625504688)</f>
        <v>-1.018652563</v>
      </c>
      <c r="W35" s="11">
        <f>IFERROR(__xludf.DUMMYFUNCTION("""COMPUTED_VALUE"""),0.7430016239596308)</f>
        <v>0.743001624</v>
      </c>
      <c r="X35" s="11">
        <f>IFERROR(__xludf.DUMMYFUNCTION("""COMPUTED_VALUE"""),2.0603881879459114)</f>
        <v>2.060388188</v>
      </c>
      <c r="Y35" s="11">
        <f>IFERROR(__xludf.DUMMYFUNCTION("""COMPUTED_VALUE"""),-0.5009186237970484)</f>
        <v>-0.5009186238</v>
      </c>
      <c r="Z35" s="11">
        <f>IFERROR(__xludf.DUMMYFUNCTION("""COMPUTED_VALUE"""),0.10446949811012032)</f>
        <v>0.1044694981</v>
      </c>
      <c r="AA35" s="11">
        <f>IFERROR(__xludf.DUMMYFUNCTION("""COMPUTED_VALUE"""),-0.08712439001229988)</f>
        <v>-0.08712439001</v>
      </c>
      <c r="AB35" t="str">
        <f>IFERROR(__xludf.DUMMYFUNCTION("SUBSTITUTE(REGEXREPLACE(REGEXREPLACE(REGEXREPLACE(REGEXREPLACE(REGEXREPLACE(REGEXREPLACE(F35,"","",),IF(Projections!$T$17="""",""PG"",),),IF(Projections!$U$17="""",""SG"",),),IF(Projections!$V$17="""",""SF"",),),IF(Projections!$W$17="""",""PF"",),),IF(Pro"&amp;"jections!$X$17="""",""C"",),),""/"","""")"),"PFC")</f>
        <v>PFC</v>
      </c>
    </row>
    <row r="36">
      <c r="A36" t="str">
        <f>IF(Projections!$AC$17,Draft!F10,"")</f>
        <v/>
      </c>
      <c r="B36">
        <f>IFERROR(__xludf.DUMMYFUNCTION("""COMPUTED_VALUE"""),31.0)</f>
        <v>31</v>
      </c>
      <c r="C36">
        <f>IFERROR(__xludf.DUMMYFUNCTION("""COMPUTED_VALUE"""),27.8)</f>
        <v>27.8</v>
      </c>
      <c r="D36" t="str">
        <f>IFERROR(__xludf.DUMMYFUNCTION("""COMPUTED_VALUE"""),"Tyrese Maxey")</f>
        <v>Tyrese Maxey</v>
      </c>
      <c r="E36">
        <f>IFERROR(__xludf.DUMMYFUNCTION("""COMPUTED_VALUE"""),66.0)</f>
        <v>66</v>
      </c>
      <c r="F36" t="str">
        <f>IFERROR(__xludf.DUMMYFUNCTION("""COMPUTED_VALUE"""),"PG,SG")</f>
        <v>PG,SG</v>
      </c>
      <c r="G36" s="11">
        <f>IFERROR(__xludf.DUMMYFUNCTION("""COMPUTED_VALUE"""),3.035366278078892)</f>
        <v>3.035366278</v>
      </c>
      <c r="H36" s="11">
        <f>IFERROR(__xludf.DUMMYFUNCTION("""COMPUTED_VALUE"""),3.035366278078892)</f>
        <v>3.035366278</v>
      </c>
      <c r="I36" s="11">
        <f>IFERROR(__xludf.DUMMYFUNCTION("""COMPUTED_VALUE"""),0.0)</f>
        <v>0</v>
      </c>
      <c r="J36" s="11">
        <f>IFERROR(__xludf.DUMMYFUNCTION("""COMPUTED_VALUE"""),24.4)</f>
        <v>24.4</v>
      </c>
      <c r="K36" s="11">
        <f>IFERROR(__xludf.DUMMYFUNCTION("""COMPUTED_VALUE"""),3.0)</f>
        <v>3</v>
      </c>
      <c r="L36" s="11">
        <f>IFERROR(__xludf.DUMMYFUNCTION("""COMPUTED_VALUE"""),3.5)</f>
        <v>3.5</v>
      </c>
      <c r="M36" s="11">
        <f>IFERROR(__xludf.DUMMYFUNCTION("""COMPUTED_VALUE"""),5.9)</f>
        <v>5.9</v>
      </c>
      <c r="N36" s="11">
        <f>IFERROR(__xludf.DUMMYFUNCTION("""COMPUTED_VALUE"""),1.0)</f>
        <v>1</v>
      </c>
      <c r="O36" s="11">
        <f>IFERROR(__xludf.DUMMYFUNCTION("""COMPUTED_VALUE"""),0.3)</f>
        <v>0.3</v>
      </c>
      <c r="P36" s="15">
        <f>IFERROR(__xludf.DUMMYFUNCTION("""COMPUTED_VALUE"""),0.462)</f>
        <v>0.462</v>
      </c>
      <c r="Q36" s="15">
        <f>IFERROR(__xludf.DUMMYFUNCTION("""COMPUTED_VALUE"""),0.859)</f>
        <v>0.859</v>
      </c>
      <c r="R36" s="11">
        <f>IFERROR(__xludf.DUMMYFUNCTION("""COMPUTED_VALUE"""),1.6)</f>
        <v>1.6</v>
      </c>
      <c r="S36" s="11">
        <f>IFERROR(__xludf.DUMMYFUNCTION("""COMPUTED_VALUE"""),1.2524530579697666)</f>
        <v>1.252453058</v>
      </c>
      <c r="T36" s="11">
        <f>IFERROR(__xludf.DUMMYFUNCTION("""COMPUTED_VALUE"""),1.2450423898714034)</f>
        <v>1.24504239</v>
      </c>
      <c r="U36" s="11">
        <f>IFERROR(__xludf.DUMMYFUNCTION("""COMPUTED_VALUE"""),-1.007676116515011)</f>
        <v>-1.007676117</v>
      </c>
      <c r="V36" s="11">
        <f>IFERROR(__xludf.DUMMYFUNCTION("""COMPUTED_VALUE"""),0.8949417951791153)</f>
        <v>0.8949417952</v>
      </c>
      <c r="W36" s="11">
        <f>IFERROR(__xludf.DUMMYFUNCTION("""COMPUTED_VALUE"""),0.07913626764067216)</f>
        <v>0.07913626764</v>
      </c>
      <c r="X36" s="11">
        <f>IFERROR(__xludf.DUMMYFUNCTION("""COMPUTED_VALUE"""),-0.7939110448965904)</f>
        <v>-0.7939110449</v>
      </c>
      <c r="Y36" s="11">
        <f>IFERROR(__xludf.DUMMYFUNCTION("""COMPUTED_VALUE"""),-0.7685500775655639)</f>
        <v>-0.7685500776</v>
      </c>
      <c r="Z36" s="11">
        <f>IFERROR(__xludf.DUMMYFUNCTION("""COMPUTED_VALUE"""),1.089387212512456)</f>
        <v>1.089387213</v>
      </c>
      <c r="AA36" s="11">
        <f>IFERROR(__xludf.DUMMYFUNCTION("""COMPUTED_VALUE"""),0.036866677367633396)</f>
        <v>0.03686667737</v>
      </c>
      <c r="AB36" t="str">
        <f>IFERROR(__xludf.DUMMYFUNCTION("SUBSTITUTE(REGEXREPLACE(REGEXREPLACE(REGEXREPLACE(REGEXREPLACE(REGEXREPLACE(REGEXREPLACE(F36,"","",),IF(Projections!$T$17="""",""PG"",),),IF(Projections!$U$17="""",""SG"",),),IF(Projections!$V$17="""",""SF"",),),IF(Projections!$W$17="""",""PF"",),),IF(Pro"&amp;"jections!$X$17="""",""C"",),),""/"","""")"),"PGSG")</f>
        <v>PGSG</v>
      </c>
    </row>
    <row r="37">
      <c r="A37" t="str">
        <f>IF(Projections!$AC$17,Draft!F11,"")</f>
        <v/>
      </c>
      <c r="B37">
        <f>IFERROR(__xludf.DUMMYFUNCTION("""COMPUTED_VALUE"""),32.0)</f>
        <v>32</v>
      </c>
      <c r="C37">
        <f>IFERROR(__xludf.DUMMYFUNCTION("""COMPUTED_VALUE"""),46.0)</f>
        <v>46</v>
      </c>
      <c r="D37" t="str">
        <f>IFERROR(__xludf.DUMMYFUNCTION("""COMPUTED_VALUE"""),"Jimmy Butler")</f>
        <v>Jimmy Butler</v>
      </c>
      <c r="E37">
        <f>IFERROR(__xludf.DUMMYFUNCTION("""COMPUTED_VALUE"""),45.0)</f>
        <v>45</v>
      </c>
      <c r="F37" t="str">
        <f>IFERROR(__xludf.DUMMYFUNCTION("""COMPUTED_VALUE"""),"SF,PF")</f>
        <v>SF,PF</v>
      </c>
      <c r="G37" s="11">
        <f>IFERROR(__xludf.DUMMYFUNCTION("""COMPUTED_VALUE"""),2.818108945605094)</f>
        <v>2.818108946</v>
      </c>
      <c r="H37" s="11">
        <f>IFERROR(__xludf.DUMMYFUNCTION("""COMPUTED_VALUE"""),2.818108945605094)</f>
        <v>2.818108946</v>
      </c>
      <c r="I37" s="11">
        <f>IFERROR(__xludf.DUMMYFUNCTION("""COMPUTED_VALUE"""),0.0)</f>
        <v>0</v>
      </c>
      <c r="J37" s="11">
        <f>IFERROR(__xludf.DUMMYFUNCTION("""COMPUTED_VALUE"""),20.7)</f>
        <v>20.7</v>
      </c>
      <c r="K37" s="11">
        <f>IFERROR(__xludf.DUMMYFUNCTION("""COMPUTED_VALUE"""),0.8)</f>
        <v>0.8</v>
      </c>
      <c r="L37" s="11">
        <f>IFERROR(__xludf.DUMMYFUNCTION("""COMPUTED_VALUE"""),5.4)</f>
        <v>5.4</v>
      </c>
      <c r="M37" s="11">
        <f>IFERROR(__xludf.DUMMYFUNCTION("""COMPUTED_VALUE"""),5.1)</f>
        <v>5.1</v>
      </c>
      <c r="N37" s="11">
        <f>IFERROR(__xludf.DUMMYFUNCTION("""COMPUTED_VALUE"""),1.3)</f>
        <v>1.3</v>
      </c>
      <c r="O37" s="11">
        <f>IFERROR(__xludf.DUMMYFUNCTION("""COMPUTED_VALUE"""),0.3)</f>
        <v>0.3</v>
      </c>
      <c r="P37" s="15">
        <f>IFERROR(__xludf.DUMMYFUNCTION("""COMPUTED_VALUE"""),0.492)</f>
        <v>0.492</v>
      </c>
      <c r="Q37" s="15">
        <f>IFERROR(__xludf.DUMMYFUNCTION("""COMPUTED_VALUE"""),0.855)</f>
        <v>0.855</v>
      </c>
      <c r="R37" s="11">
        <f>IFERROR(__xludf.DUMMYFUNCTION("""COMPUTED_VALUE"""),1.6)</f>
        <v>1.6</v>
      </c>
      <c r="S37" s="11">
        <f>IFERROR(__xludf.DUMMYFUNCTION("""COMPUTED_VALUE"""),0.5840553853289159)</f>
        <v>0.5840553853</v>
      </c>
      <c r="T37" s="11">
        <f>IFERROR(__xludf.DUMMYFUNCTION("""COMPUTED_VALUE"""),-0.9444921888225095)</f>
        <v>-0.9444921888</v>
      </c>
      <c r="U37" s="11">
        <f>IFERROR(__xludf.DUMMYFUNCTION("""COMPUTED_VALUE"""),-0.2623750651405405)</f>
        <v>-0.2623750651</v>
      </c>
      <c r="V37" s="11">
        <f>IFERROR(__xludf.DUMMYFUNCTION("""COMPUTED_VALUE"""),0.5304476318020513)</f>
        <v>0.5304476318</v>
      </c>
      <c r="W37" s="11">
        <f>IFERROR(__xludf.DUMMYFUNCTION("""COMPUTED_VALUE"""),1.0749343021191105)</f>
        <v>1.074934302</v>
      </c>
      <c r="X37" s="11">
        <f>IFERROR(__xludf.DUMMYFUNCTION("""COMPUTED_VALUE"""),-0.7939110448965904)</f>
        <v>-0.7939110449</v>
      </c>
      <c r="Y37" s="11">
        <f>IFERROR(__xludf.DUMMYFUNCTION("""COMPUTED_VALUE"""),-0.07550790524894999)</f>
        <v>-0.07550790525</v>
      </c>
      <c r="Z37" s="11">
        <f>IFERROR(__xludf.DUMMYFUNCTION("""COMPUTED_VALUE"""),1.7235989642734637)</f>
        <v>1.723598964</v>
      </c>
      <c r="AA37" s="11">
        <f>IFERROR(__xludf.DUMMYFUNCTION("""COMPUTED_VALUE"""),0.036866677367633396)</f>
        <v>0.03686667737</v>
      </c>
      <c r="AB37" t="str">
        <f>IFERROR(__xludf.DUMMYFUNCTION("SUBSTITUTE(REGEXREPLACE(REGEXREPLACE(REGEXREPLACE(REGEXREPLACE(REGEXREPLACE(REGEXREPLACE(F37,"","",),IF(Projections!$T$17="""",""PG"",),),IF(Projections!$U$17="""",""SG"",),),IF(Projections!$V$17="""",""SF"",),),IF(Projections!$W$17="""",""PF"",),),IF(Pro"&amp;"jections!$X$17="""",""C"",),),""/"","""")"),"SFPF")</f>
        <v>SFPF</v>
      </c>
    </row>
    <row r="38">
      <c r="A38" t="str">
        <f>IF(Projections!$AC$17,Draft!F12,"")</f>
        <v/>
      </c>
      <c r="B38">
        <f>IFERROR(__xludf.DUMMYFUNCTION("""COMPUTED_VALUE"""),33.0)</f>
        <v>33</v>
      </c>
      <c r="C38">
        <f>IFERROR(__xludf.DUMMYFUNCTION("""COMPUTED_VALUE"""),32.2)</f>
        <v>32.2</v>
      </c>
      <c r="D38" t="str">
        <f>IFERROR(__xludf.DUMMYFUNCTION("""COMPUTED_VALUE"""),"Bam Adebayo")</f>
        <v>Bam Adebayo</v>
      </c>
      <c r="E38">
        <f>IFERROR(__xludf.DUMMYFUNCTION("""COMPUTED_VALUE"""),71.0)</f>
        <v>71</v>
      </c>
      <c r="F38" t="str">
        <f>IFERROR(__xludf.DUMMYFUNCTION("""COMPUTED_VALUE"""),"C")</f>
        <v>C</v>
      </c>
      <c r="G38" s="11">
        <f>IFERROR(__xludf.DUMMYFUNCTION("""COMPUTED_VALUE"""),2.578835187755121)</f>
        <v>2.578835188</v>
      </c>
      <c r="H38" s="11">
        <f>IFERROR(__xludf.DUMMYFUNCTION("""COMPUTED_VALUE"""),2.578835187755121)</f>
        <v>2.578835188</v>
      </c>
      <c r="I38" s="11">
        <f>IFERROR(__xludf.DUMMYFUNCTION("""COMPUTED_VALUE"""),0.0)</f>
        <v>0</v>
      </c>
      <c r="J38" s="11">
        <f>IFERROR(__xludf.DUMMYFUNCTION("""COMPUTED_VALUE"""),20.0)</f>
        <v>20</v>
      </c>
      <c r="K38" s="11">
        <f>IFERROR(__xludf.DUMMYFUNCTION("""COMPUTED_VALUE"""),0.2)</f>
        <v>0.2</v>
      </c>
      <c r="L38" s="11">
        <f>IFERROR(__xludf.DUMMYFUNCTION("""COMPUTED_VALUE"""),10.4)</f>
        <v>10.4</v>
      </c>
      <c r="M38" s="11">
        <f>IFERROR(__xludf.DUMMYFUNCTION("""COMPUTED_VALUE"""),3.9)</f>
        <v>3.9</v>
      </c>
      <c r="N38" s="11">
        <f>IFERROR(__xludf.DUMMYFUNCTION("""COMPUTED_VALUE"""),1.2)</f>
        <v>1.2</v>
      </c>
      <c r="O38" s="11">
        <f>IFERROR(__xludf.DUMMYFUNCTION("""COMPUTED_VALUE"""),0.9)</f>
        <v>0.9</v>
      </c>
      <c r="P38" s="15">
        <f>IFERROR(__xludf.DUMMYFUNCTION("""COMPUTED_VALUE"""),0.531)</f>
        <v>0.531</v>
      </c>
      <c r="Q38" s="15">
        <f>IFERROR(__xludf.DUMMYFUNCTION("""COMPUTED_VALUE"""),0.743)</f>
        <v>0.743</v>
      </c>
      <c r="R38" s="11">
        <f>IFERROR(__xludf.DUMMYFUNCTION("""COMPUTED_VALUE"""),2.4)</f>
        <v>2.4</v>
      </c>
      <c r="S38" s="11">
        <f>IFERROR(__xludf.DUMMYFUNCTION("""COMPUTED_VALUE"""),0.45760177158605236)</f>
        <v>0.4576017716</v>
      </c>
      <c r="T38" s="11">
        <f>IFERROR(__xludf.DUMMYFUNCTION("""COMPUTED_VALUE"""),-1.5416379830117586)</f>
        <v>-1.541637983</v>
      </c>
      <c r="U38" s="11">
        <f>IFERROR(__xludf.DUMMYFUNCTION("""COMPUTED_VALUE"""),1.6989434911080659)</f>
        <v>1.698943491</v>
      </c>
      <c r="V38" s="11">
        <f>IFERROR(__xludf.DUMMYFUNCTION("""COMPUTED_VALUE"""),-0.016293613263543852)</f>
        <v>-0.01629361326</v>
      </c>
      <c r="W38" s="11">
        <f>IFERROR(__xludf.DUMMYFUNCTION("""COMPUTED_VALUE"""),0.7430016239596308)</f>
        <v>0.743001624</v>
      </c>
      <c r="X38" s="11">
        <f>IFERROR(__xludf.DUMMYFUNCTION("""COMPUTED_VALUE"""),0.27645116741934783)</f>
        <v>0.2764511674</v>
      </c>
      <c r="Y38" s="11">
        <f>IFERROR(__xludf.DUMMYFUNCTION("""COMPUTED_VALUE"""),0.5918185489978054)</f>
        <v>0.591818549</v>
      </c>
      <c r="Z38" s="11">
        <f>IFERROR(__xludf.DUMMYFUNCTION("""COMPUTED_VALUE"""),-1.0111687716119777)</f>
        <v>-1.011168772</v>
      </c>
      <c r="AA38" s="11">
        <f>IFERROR(__xludf.DUMMYFUNCTION("""COMPUTED_VALUE"""),-0.1615190304402598)</f>
        <v>-0.1615190304</v>
      </c>
      <c r="AB38" t="str">
        <f>IFERROR(__xludf.DUMMYFUNCTION("SUBSTITUTE(REGEXREPLACE(REGEXREPLACE(REGEXREPLACE(REGEXREPLACE(REGEXREPLACE(REGEXREPLACE(F38,"","",),IF(Projections!$T$17="""",""PG"",),),IF(Projections!$U$17="""",""SG"",),),IF(Projections!$V$17="""",""SF"",),),IF(Projections!$W$17="""",""PF"",),),IF(Pro"&amp;"jections!$X$17="""",""C"",),),""/"","""")"),"C")</f>
        <v>C</v>
      </c>
    </row>
    <row r="39">
      <c r="A39" t="str">
        <f>IF(Projections!$AC$17,Draft!F13,"")</f>
        <v/>
      </c>
      <c r="B39">
        <f>IFERROR(__xludf.DUMMYFUNCTION("""COMPUTED_VALUE"""),34.0)</f>
        <v>34</v>
      </c>
      <c r="C39">
        <f>IFERROR(__xludf.DUMMYFUNCTION("""COMPUTED_VALUE"""),27.7)</f>
        <v>27.7</v>
      </c>
      <c r="D39" t="str">
        <f>IFERROR(__xludf.DUMMYFUNCTION("""COMPUTED_VALUE"""),"Alperen Sengün")</f>
        <v>Alperen Sengün</v>
      </c>
      <c r="E39">
        <f>IFERROR(__xludf.DUMMYFUNCTION("""COMPUTED_VALUE"""),58.0)</f>
        <v>58</v>
      </c>
      <c r="F39" t="str">
        <f>IFERROR(__xludf.DUMMYFUNCTION("""COMPUTED_VALUE"""),"C")</f>
        <v>C</v>
      </c>
      <c r="G39" s="11">
        <f>IFERROR(__xludf.DUMMYFUNCTION("""COMPUTED_VALUE"""),2.5245255067472074)</f>
        <v>2.524525507</v>
      </c>
      <c r="H39" s="11">
        <f>IFERROR(__xludf.DUMMYFUNCTION("""COMPUTED_VALUE"""),2.5245255067472074)</f>
        <v>2.524525507</v>
      </c>
      <c r="I39" s="11">
        <f>IFERROR(__xludf.DUMMYFUNCTION("""COMPUTED_VALUE"""),0.0)</f>
        <v>0</v>
      </c>
      <c r="J39" s="11">
        <f>IFERROR(__xludf.DUMMYFUNCTION("""COMPUTED_VALUE"""),19.4)</f>
        <v>19.4</v>
      </c>
      <c r="K39" s="11">
        <f>IFERROR(__xludf.DUMMYFUNCTION("""COMPUTED_VALUE"""),0.4)</f>
        <v>0.4</v>
      </c>
      <c r="L39" s="11">
        <f>IFERROR(__xludf.DUMMYFUNCTION("""COMPUTED_VALUE"""),9.9)</f>
        <v>9.9</v>
      </c>
      <c r="M39" s="11">
        <f>IFERROR(__xludf.DUMMYFUNCTION("""COMPUTED_VALUE"""),5.4)</f>
        <v>5.4</v>
      </c>
      <c r="N39" s="11">
        <f>IFERROR(__xludf.DUMMYFUNCTION("""COMPUTED_VALUE"""),1.2)</f>
        <v>1.2</v>
      </c>
      <c r="O39" s="11">
        <f>IFERROR(__xludf.DUMMYFUNCTION("""COMPUTED_VALUE"""),0.8)</f>
        <v>0.8</v>
      </c>
      <c r="P39" s="15">
        <f>IFERROR(__xludf.DUMMYFUNCTION("""COMPUTED_VALUE"""),0.544)</f>
        <v>0.544</v>
      </c>
      <c r="Q39" s="15">
        <f>IFERROR(__xludf.DUMMYFUNCTION("""COMPUTED_VALUE"""),0.713)</f>
        <v>0.713</v>
      </c>
      <c r="R39" s="11">
        <f>IFERROR(__xludf.DUMMYFUNCTION("""COMPUTED_VALUE"""),2.8)</f>
        <v>2.8</v>
      </c>
      <c r="S39" s="11">
        <f>IFERROR(__xludf.DUMMYFUNCTION("""COMPUTED_VALUE"""),0.34921295980645467)</f>
        <v>0.3492129598</v>
      </c>
      <c r="T39" s="11">
        <f>IFERROR(__xludf.DUMMYFUNCTION("""COMPUTED_VALUE"""),-1.3425893849486756)</f>
        <v>-1.342589385</v>
      </c>
      <c r="U39" s="11">
        <f>IFERROR(__xludf.DUMMYFUNCTION("""COMPUTED_VALUE"""),1.502811635483205)</f>
        <v>1.502811635</v>
      </c>
      <c r="V39" s="11">
        <f>IFERROR(__xludf.DUMMYFUNCTION("""COMPUTED_VALUE"""),0.6671329430684506)</f>
        <v>0.6671329431</v>
      </c>
      <c r="W39" s="11">
        <f>IFERROR(__xludf.DUMMYFUNCTION("""COMPUTED_VALUE"""),0.7430016239596308)</f>
        <v>0.743001624</v>
      </c>
      <c r="X39" s="11">
        <f>IFERROR(__xludf.DUMMYFUNCTION("""COMPUTED_VALUE"""),0.09805746536669153)</f>
        <v>0.09805746537</v>
      </c>
      <c r="Y39" s="11">
        <f>IFERROR(__xludf.DUMMYFUNCTION("""COMPUTED_VALUE"""),0.7676101483556568)</f>
        <v>0.7676101484</v>
      </c>
      <c r="Z39" s="11">
        <f>IFERROR(__xludf.DUMMYFUNCTION("""COMPUTED_VALUE"""),-1.5664936690619253)</f>
        <v>-1.566493669</v>
      </c>
      <c r="AA39" s="11">
        <f>IFERROR(__xludf.DUMMYFUNCTION("""COMPUTED_VALUE"""),-0.2607118843442064)</f>
        <v>-0.2607118843</v>
      </c>
      <c r="AB39" t="str">
        <f>IFERROR(__xludf.DUMMYFUNCTION("SUBSTITUTE(REGEXREPLACE(REGEXREPLACE(REGEXREPLACE(REGEXREPLACE(REGEXREPLACE(REGEXREPLACE(F39,"","",),IF(Projections!$T$17="""",""PG"",),),IF(Projections!$U$17="""",""SG"",),),IF(Projections!$V$17="""",""SF"",),),IF(Projections!$W$17="""",""PF"",),),IF(Pro"&amp;"jections!$X$17="""",""C"",),),""/"","""")"),"C")</f>
        <v>C</v>
      </c>
    </row>
    <row r="40">
      <c r="A40" t="str">
        <f>IF(Projections!$AC$17,Draft!F14,"")</f>
        <v/>
      </c>
      <c r="B40">
        <f>IFERROR(__xludf.DUMMYFUNCTION("""COMPUTED_VALUE"""),35.0)</f>
        <v>35</v>
      </c>
      <c r="C40">
        <f>IFERROR(__xludf.DUMMYFUNCTION("""COMPUTED_VALUE"""),41.4)</f>
        <v>41.4</v>
      </c>
      <c r="D40" t="str">
        <f>IFERROR(__xludf.DUMMYFUNCTION("""COMPUTED_VALUE"""),"Jalen Johnson")</f>
        <v>Jalen Johnson</v>
      </c>
      <c r="E40">
        <f>IFERROR(__xludf.DUMMYFUNCTION("""COMPUTED_VALUE"""),71.0)</f>
        <v>71</v>
      </c>
      <c r="F40" t="str">
        <f>IFERROR(__xludf.DUMMYFUNCTION("""COMPUTED_VALUE"""),"PF")</f>
        <v>PF</v>
      </c>
      <c r="G40" s="11">
        <f>IFERROR(__xludf.DUMMYFUNCTION("""COMPUTED_VALUE"""),2.460612775692953)</f>
        <v>2.460612776</v>
      </c>
      <c r="H40" s="11">
        <f>IFERROR(__xludf.DUMMYFUNCTION("""COMPUTED_VALUE"""),2.460612775692953)</f>
        <v>2.460612776</v>
      </c>
      <c r="I40" s="11">
        <f>IFERROR(__xludf.DUMMYFUNCTION("""COMPUTED_VALUE"""),0.0)</f>
        <v>0</v>
      </c>
      <c r="J40" s="11">
        <f>IFERROR(__xludf.DUMMYFUNCTION("""COMPUTED_VALUE"""),18.2)</f>
        <v>18.2</v>
      </c>
      <c r="K40" s="11">
        <f>IFERROR(__xludf.DUMMYFUNCTION("""COMPUTED_VALUE"""),1.4)</f>
        <v>1.4</v>
      </c>
      <c r="L40" s="11">
        <f>IFERROR(__xludf.DUMMYFUNCTION("""COMPUTED_VALUE"""),9.2)</f>
        <v>9.2</v>
      </c>
      <c r="M40" s="11">
        <f>IFERROR(__xludf.DUMMYFUNCTION("""COMPUTED_VALUE"""),3.5)</f>
        <v>3.5</v>
      </c>
      <c r="N40" s="11">
        <f>IFERROR(__xludf.DUMMYFUNCTION("""COMPUTED_VALUE"""),1.3)</f>
        <v>1.3</v>
      </c>
      <c r="O40" s="11">
        <f>IFERROR(__xludf.DUMMYFUNCTION("""COMPUTED_VALUE"""),1.0)</f>
        <v>1</v>
      </c>
      <c r="P40" s="15">
        <f>IFERROR(__xludf.DUMMYFUNCTION("""COMPUTED_VALUE"""),0.503)</f>
        <v>0.503</v>
      </c>
      <c r="Q40" s="15">
        <f>IFERROR(__xludf.DUMMYFUNCTION("""COMPUTED_VALUE"""),0.747)</f>
        <v>0.747</v>
      </c>
      <c r="R40" s="11">
        <f>IFERROR(__xludf.DUMMYFUNCTION("""COMPUTED_VALUE"""),1.7)</f>
        <v>1.7</v>
      </c>
      <c r="S40" s="11">
        <f>IFERROR(__xludf.DUMMYFUNCTION("""COMPUTED_VALUE"""),0.13243533624726)</f>
        <v>0.1324353362</v>
      </c>
      <c r="T40" s="11">
        <f>IFERROR(__xludf.DUMMYFUNCTION("""COMPUTED_VALUE"""),-0.34734639463326067)</f>
        <v>-0.3473463946</v>
      </c>
      <c r="U40" s="11">
        <f>IFERROR(__xludf.DUMMYFUNCTION("""COMPUTED_VALUE"""),1.2282270376084)</f>
        <v>1.228227038</v>
      </c>
      <c r="V40" s="11">
        <f>IFERROR(__xludf.DUMMYFUNCTION("""COMPUTED_VALUE"""),-0.1985406949520756)</f>
        <v>-0.198540695</v>
      </c>
      <c r="W40" s="11">
        <f>IFERROR(__xludf.DUMMYFUNCTION("""COMPUTED_VALUE"""),1.0749343021191105)</f>
        <v>1.074934302</v>
      </c>
      <c r="X40" s="11">
        <f>IFERROR(__xludf.DUMMYFUNCTION("""COMPUTED_VALUE"""),0.45484486947200414)</f>
        <v>0.4548448695</v>
      </c>
      <c r="Y40" s="11">
        <f>IFERROR(__xludf.DUMMYFUNCTION("""COMPUTED_VALUE"""),0.1039898559398676)</f>
        <v>0.1039898559</v>
      </c>
      <c r="Z40" s="11">
        <f>IFERROR(__xludf.DUMMYFUNCTION("""COMPUTED_VALUE"""),-0.49208126225693666)</f>
        <v>-0.4920812623</v>
      </c>
      <c r="AA40" s="11">
        <f>IFERROR(__xludf.DUMMYFUNCTION("""COMPUTED_VALUE"""),0.012068463891646777)</f>
        <v>0.01206846389</v>
      </c>
      <c r="AB40" t="str">
        <f>IFERROR(__xludf.DUMMYFUNCTION("SUBSTITUTE(REGEXREPLACE(REGEXREPLACE(REGEXREPLACE(REGEXREPLACE(REGEXREPLACE(REGEXREPLACE(F40,"","",),IF(Projections!$T$17="""",""PG"",),),IF(Projections!$U$17="""",""SG"",),),IF(Projections!$V$17="""",""SF"",),),IF(Projections!$W$17="""",""PF"",),),IF(Pro"&amp;"jections!$X$17="""",""C"",),),""/"","""")"),"PF")</f>
        <v>PF</v>
      </c>
    </row>
    <row r="41">
      <c r="A41" t="str">
        <f>IF(Projections!$AC$17,Draft!G3,"")</f>
        <v/>
      </c>
      <c r="B41">
        <f>IFERROR(__xludf.DUMMYFUNCTION("""COMPUTED_VALUE"""),36.0)</f>
        <v>36</v>
      </c>
      <c r="C41">
        <f>IFERROR(__xludf.DUMMYFUNCTION("""COMPUTED_VALUE"""),35.6)</f>
        <v>35.6</v>
      </c>
      <c r="D41" t="str">
        <f>IFERROR(__xludf.DUMMYFUNCTION("""COMPUTED_VALUE"""),"Dejounte Murray")</f>
        <v>Dejounte Murray</v>
      </c>
      <c r="E41">
        <f>IFERROR(__xludf.DUMMYFUNCTION("""COMPUTED_VALUE"""),71.0)</f>
        <v>71</v>
      </c>
      <c r="F41" t="str">
        <f>IFERROR(__xludf.DUMMYFUNCTION("""COMPUTED_VALUE"""),"PG,SG")</f>
        <v>PG,SG</v>
      </c>
      <c r="G41" s="11">
        <f>IFERROR(__xludf.DUMMYFUNCTION("""COMPUTED_VALUE"""),2.427604478469864)</f>
        <v>2.427604478</v>
      </c>
      <c r="H41" s="11">
        <f>IFERROR(__xludf.DUMMYFUNCTION("""COMPUTED_VALUE"""),2.427604478469864)</f>
        <v>2.427604478</v>
      </c>
      <c r="I41" s="11">
        <f>IFERROR(__xludf.DUMMYFUNCTION("""COMPUTED_VALUE"""),0.0)</f>
        <v>0</v>
      </c>
      <c r="J41" s="11">
        <f>IFERROR(__xludf.DUMMYFUNCTION("""COMPUTED_VALUE"""),19.5)</f>
        <v>19.5</v>
      </c>
      <c r="K41" s="11">
        <f>IFERROR(__xludf.DUMMYFUNCTION("""COMPUTED_VALUE"""),2.2)</f>
        <v>2.2</v>
      </c>
      <c r="L41" s="11">
        <f>IFERROR(__xludf.DUMMYFUNCTION("""COMPUTED_VALUE"""),5.2)</f>
        <v>5.2</v>
      </c>
      <c r="M41" s="11">
        <f>IFERROR(__xludf.DUMMYFUNCTION("""COMPUTED_VALUE"""),6.5)</f>
        <v>6.5</v>
      </c>
      <c r="N41" s="11">
        <f>IFERROR(__xludf.DUMMYFUNCTION("""COMPUTED_VALUE"""),1.4)</f>
        <v>1.4</v>
      </c>
      <c r="O41" s="11">
        <f>IFERROR(__xludf.DUMMYFUNCTION("""COMPUTED_VALUE"""),0.3)</f>
        <v>0.3</v>
      </c>
      <c r="P41" s="15">
        <f>IFERROR(__xludf.DUMMYFUNCTION("""COMPUTED_VALUE"""),0.462)</f>
        <v>0.462</v>
      </c>
      <c r="Q41" s="15">
        <f>IFERROR(__xludf.DUMMYFUNCTION("""COMPUTED_VALUE"""),0.809)</f>
        <v>0.809</v>
      </c>
      <c r="R41" s="11">
        <f>IFERROR(__xludf.DUMMYFUNCTION("""COMPUTED_VALUE"""),2.1)</f>
        <v>2.1</v>
      </c>
      <c r="S41" s="11">
        <f>IFERROR(__xludf.DUMMYFUNCTION("""COMPUTED_VALUE"""),0.3672777617697212)</f>
        <v>0.3672777618</v>
      </c>
      <c r="T41" s="11">
        <f>IFERROR(__xludf.DUMMYFUNCTION("""COMPUTED_VALUE"""),0.44884799761907157)</f>
        <v>0.4488479976</v>
      </c>
      <c r="U41" s="11">
        <f>IFERROR(__xludf.DUMMYFUNCTION("""COMPUTED_VALUE"""),-0.3408278073904848)</f>
        <v>-0.3408278074</v>
      </c>
      <c r="V41" s="11">
        <f>IFERROR(__xludf.DUMMYFUNCTION("""COMPUTED_VALUE"""),1.1683124177119129)</f>
        <v>1.168312418</v>
      </c>
      <c r="W41" s="11">
        <f>IFERROR(__xludf.DUMMYFUNCTION("""COMPUTED_VALUE"""),1.4068669802785894)</f>
        <v>1.40686698</v>
      </c>
      <c r="X41" s="11">
        <f>IFERROR(__xludf.DUMMYFUNCTION("""COMPUTED_VALUE"""),-0.7939110448965904)</f>
        <v>-0.7939110449</v>
      </c>
      <c r="Y41" s="11">
        <f>IFERROR(__xludf.DUMMYFUNCTION("""COMPUTED_VALUE"""),-0.6704373017061303)</f>
        <v>-0.6704373017</v>
      </c>
      <c r="Z41" s="11">
        <f>IFERROR(__xludf.DUMMYFUNCTION("""COMPUTED_VALUE"""),0.1346888201994836)</f>
        <v>0.1346888202</v>
      </c>
      <c r="AA41" s="11">
        <f>IFERROR(__xludf.DUMMYFUNCTION("""COMPUTED_VALUE"""),-0.08712439001229988)</f>
        <v>-0.08712439001</v>
      </c>
      <c r="AB41" t="str">
        <f>IFERROR(__xludf.DUMMYFUNCTION("SUBSTITUTE(REGEXREPLACE(REGEXREPLACE(REGEXREPLACE(REGEXREPLACE(REGEXREPLACE(REGEXREPLACE(F41,"","",),IF(Projections!$T$17="""",""PG"",),),IF(Projections!$U$17="""",""SG"",),),IF(Projections!$V$17="""",""SF"",),),IF(Projections!$W$17="""",""PF"",),),IF(Pro"&amp;"jections!$X$17="""",""C"",),),""/"","""")"),"PGSG")</f>
        <v>PGSG</v>
      </c>
    </row>
    <row r="42">
      <c r="A42" t="str">
        <f>IF(Projections!$AC$17,Draft!G4,"")</f>
        <v/>
      </c>
      <c r="B42">
        <f>IFERROR(__xludf.DUMMYFUNCTION("""COMPUTED_VALUE"""),37.0)</f>
        <v>37</v>
      </c>
      <c r="C42">
        <f>IFERROR(__xludf.DUMMYFUNCTION("""COMPUTED_VALUE"""),36.0)</f>
        <v>36</v>
      </c>
      <c r="D42" t="str">
        <f>IFERROR(__xludf.DUMMYFUNCTION("""COMPUTED_VALUE"""),"Jalen Williams")</f>
        <v>Jalen Williams</v>
      </c>
      <c r="E42">
        <f>IFERROR(__xludf.DUMMYFUNCTION("""COMPUTED_VALUE"""),75.0)</f>
        <v>75</v>
      </c>
      <c r="F42" t="str">
        <f>IFERROR(__xludf.DUMMYFUNCTION("""COMPUTED_VALUE"""),"SG,SF,PF")</f>
        <v>SG,SF,PF</v>
      </c>
      <c r="G42" s="11">
        <f>IFERROR(__xludf.DUMMYFUNCTION("""COMPUTED_VALUE"""),2.310625432136085)</f>
        <v>2.310625432</v>
      </c>
      <c r="H42" s="11">
        <f>IFERROR(__xludf.DUMMYFUNCTION("""COMPUTED_VALUE"""),2.310625432136085)</f>
        <v>2.310625432</v>
      </c>
      <c r="I42" s="11">
        <f>IFERROR(__xludf.DUMMYFUNCTION("""COMPUTED_VALUE"""),0.0)</f>
        <v>0</v>
      </c>
      <c r="J42" s="11">
        <f>IFERROR(__xludf.DUMMYFUNCTION("""COMPUTED_VALUE"""),20.0)</f>
        <v>20</v>
      </c>
      <c r="K42" s="11">
        <f>IFERROR(__xludf.DUMMYFUNCTION("""COMPUTED_VALUE"""),1.7)</f>
        <v>1.7</v>
      </c>
      <c r="L42" s="11">
        <f>IFERROR(__xludf.DUMMYFUNCTION("""COMPUTED_VALUE"""),4.6)</f>
        <v>4.6</v>
      </c>
      <c r="M42" s="11">
        <f>IFERROR(__xludf.DUMMYFUNCTION("""COMPUTED_VALUE"""),4.9)</f>
        <v>4.9</v>
      </c>
      <c r="N42" s="11">
        <f>IFERROR(__xludf.DUMMYFUNCTION("""COMPUTED_VALUE"""),1.2)</f>
        <v>1.2</v>
      </c>
      <c r="O42" s="11">
        <f>IFERROR(__xludf.DUMMYFUNCTION("""COMPUTED_VALUE"""),0.6)</f>
        <v>0.6</v>
      </c>
      <c r="P42" s="15">
        <f>IFERROR(__xludf.DUMMYFUNCTION("""COMPUTED_VALUE"""),0.536)</f>
        <v>0.536</v>
      </c>
      <c r="Q42" s="15">
        <f>IFERROR(__xludf.DUMMYFUNCTION("""COMPUTED_VALUE"""),0.822)</f>
        <v>0.822</v>
      </c>
      <c r="R42" s="11">
        <f>IFERROR(__xludf.DUMMYFUNCTION("""COMPUTED_VALUE"""),1.8)</f>
        <v>1.8</v>
      </c>
      <c r="S42" s="11">
        <f>IFERROR(__xludf.DUMMYFUNCTION("""COMPUTED_VALUE"""),0.45760177158605236)</f>
        <v>0.4576017716</v>
      </c>
      <c r="T42" s="11">
        <f>IFERROR(__xludf.DUMMYFUNCTION("""COMPUTED_VALUE"""),-0.04877349753863613)</f>
        <v>-0.04877349754</v>
      </c>
      <c r="U42" s="11">
        <f>IFERROR(__xludf.DUMMYFUNCTION("""COMPUTED_VALUE"""),-0.5761860341403178)</f>
        <v>-0.5761860341</v>
      </c>
      <c r="V42" s="11">
        <f>IFERROR(__xludf.DUMMYFUNCTION("""COMPUTED_VALUE"""),0.43932409095778585)</f>
        <v>0.439324091</v>
      </c>
      <c r="W42" s="11">
        <f>IFERROR(__xludf.DUMMYFUNCTION("""COMPUTED_VALUE"""),0.7430016239596308)</f>
        <v>0.743001624</v>
      </c>
      <c r="X42" s="11">
        <f>IFERROR(__xludf.DUMMYFUNCTION("""COMPUTED_VALUE"""),-0.25872993873862127)</f>
        <v>-0.2587299387</v>
      </c>
      <c r="Y42" s="11">
        <f>IFERROR(__xludf.DUMMYFUNCTION("""COMPUTED_VALUE"""),0.6647922933298738)</f>
        <v>0.6647922933</v>
      </c>
      <c r="Z42" s="11">
        <f>IFERROR(__xludf.DUMMYFUNCTION("""COMPUTED_VALUE"""),0.32613883816433964)</f>
        <v>0.3261388382</v>
      </c>
      <c r="AA42" s="11">
        <f>IFERROR(__xludf.DUMMYFUNCTION("""COMPUTED_VALUE"""),-0.012729749584339901)</f>
        <v>-0.01272974958</v>
      </c>
      <c r="AB42" t="str">
        <f>IFERROR(__xludf.DUMMYFUNCTION("SUBSTITUTE(REGEXREPLACE(REGEXREPLACE(REGEXREPLACE(REGEXREPLACE(REGEXREPLACE(REGEXREPLACE(F42,"","",),IF(Projections!$T$17="""",""PG"",),),IF(Projections!$U$17="""",""SG"",),),IF(Projections!$V$17="""",""SF"",),),IF(Projections!$W$17="""",""PF"",),),IF(Pro"&amp;"jections!$X$17="""",""C"",),),""/"","""")"),"SGSFPF")</f>
        <v>SGSFPF</v>
      </c>
    </row>
    <row r="43">
      <c r="A43" t="str">
        <f>IF(Projections!$AC$17,Draft!G5,"")</f>
        <v/>
      </c>
      <c r="B43">
        <f>IFERROR(__xludf.DUMMYFUNCTION("""COMPUTED_VALUE"""),38.0)</f>
        <v>38</v>
      </c>
      <c r="C43">
        <f>IFERROR(__xludf.DUMMYFUNCTION("""COMPUTED_VALUE"""),34.0)</f>
        <v>34</v>
      </c>
      <c r="D43" t="str">
        <f>IFERROR(__xludf.DUMMYFUNCTION("""COMPUTED_VALUE"""),"Cade Cunningham")</f>
        <v>Cade Cunningham</v>
      </c>
      <c r="E43">
        <f>IFERROR(__xludf.DUMMYFUNCTION("""COMPUTED_VALUE"""),53.0)</f>
        <v>53</v>
      </c>
      <c r="F43" t="str">
        <f>IFERROR(__xludf.DUMMYFUNCTION("""COMPUTED_VALUE"""),"PG,SG")</f>
        <v>PG,SG</v>
      </c>
      <c r="G43" s="11">
        <f>IFERROR(__xludf.DUMMYFUNCTION("""COMPUTED_VALUE"""),2.199091564198683)</f>
        <v>2.199091564</v>
      </c>
      <c r="H43" s="11">
        <f>IFERROR(__xludf.DUMMYFUNCTION("""COMPUTED_VALUE"""),2.199091564198683)</f>
        <v>2.199091564</v>
      </c>
      <c r="I43" s="11">
        <f>IFERROR(__xludf.DUMMYFUNCTION("""COMPUTED_VALUE"""),0.0)</f>
        <v>0</v>
      </c>
      <c r="J43" s="11">
        <f>IFERROR(__xludf.DUMMYFUNCTION("""COMPUTED_VALUE"""),23.2)</f>
        <v>23.2</v>
      </c>
      <c r="K43" s="11">
        <f>IFERROR(__xludf.DUMMYFUNCTION("""COMPUTED_VALUE"""),1.9)</f>
        <v>1.9</v>
      </c>
      <c r="L43" s="11">
        <f>IFERROR(__xludf.DUMMYFUNCTION("""COMPUTED_VALUE"""),4.7)</f>
        <v>4.7</v>
      </c>
      <c r="M43" s="11">
        <f>IFERROR(__xludf.DUMMYFUNCTION("""COMPUTED_VALUE"""),7.8)</f>
        <v>7.8</v>
      </c>
      <c r="N43" s="11">
        <f>IFERROR(__xludf.DUMMYFUNCTION("""COMPUTED_VALUE"""),0.9)</f>
        <v>0.9</v>
      </c>
      <c r="O43" s="11">
        <f>IFERROR(__xludf.DUMMYFUNCTION("""COMPUTED_VALUE"""),0.4)</f>
        <v>0.4</v>
      </c>
      <c r="P43" s="15">
        <f>IFERROR(__xludf.DUMMYFUNCTION("""COMPUTED_VALUE"""),0.45)</f>
        <v>0.45</v>
      </c>
      <c r="Q43" s="15">
        <f>IFERROR(__xludf.DUMMYFUNCTION("""COMPUTED_VALUE"""),0.865)</f>
        <v>0.865</v>
      </c>
      <c r="R43" s="11">
        <f>IFERROR(__xludf.DUMMYFUNCTION("""COMPUTED_VALUE"""),3.5)</f>
        <v>3.5</v>
      </c>
      <c r="S43" s="11">
        <f>IFERROR(__xludf.DUMMYFUNCTION("""COMPUTED_VALUE"""),1.0356754344105719)</f>
        <v>1.035675434</v>
      </c>
      <c r="T43" s="11">
        <f>IFERROR(__xludf.DUMMYFUNCTION("""COMPUTED_VALUE"""),0.15027510052444681)</f>
        <v>0.1502751005</v>
      </c>
      <c r="U43" s="11">
        <f>IFERROR(__xludf.DUMMYFUNCTION("""COMPUTED_VALUE"""),-0.5369596630153455)</f>
        <v>-0.536959663</v>
      </c>
      <c r="V43" s="11">
        <f>IFERROR(__xludf.DUMMYFUNCTION("""COMPUTED_VALUE"""),1.760615433199641)</f>
        <v>1.760615433</v>
      </c>
      <c r="W43" s="11">
        <f>IFERROR(__xludf.DUMMYFUNCTION("""COMPUTED_VALUE"""),-0.25279641051880714)</f>
        <v>-0.2527964105</v>
      </c>
      <c r="X43" s="11">
        <f>IFERROR(__xludf.DUMMYFUNCTION("""COMPUTED_VALUE"""),-0.6155173428439339)</f>
        <v>-0.6155173428</v>
      </c>
      <c r="Y43" s="11">
        <f>IFERROR(__xludf.DUMMYFUNCTION("""COMPUTED_VALUE"""),-1.0714145177539518)</f>
        <v>-1.071414518</v>
      </c>
      <c r="Z43" s="11">
        <f>IFERROR(__xludf.DUMMYFUNCTION("""COMPUTED_VALUE"""),1.092098391118223)</f>
        <v>1.092098391</v>
      </c>
      <c r="AA43" s="11">
        <f>IFERROR(__xludf.DUMMYFUNCTION("""COMPUTED_VALUE"""),-0.43429937867611307)</f>
        <v>-0.4342993787</v>
      </c>
      <c r="AB43" t="str">
        <f>IFERROR(__xludf.DUMMYFUNCTION("SUBSTITUTE(REGEXREPLACE(REGEXREPLACE(REGEXREPLACE(REGEXREPLACE(REGEXREPLACE(REGEXREPLACE(F43,"","",),IF(Projections!$T$17="""",""PG"",),),IF(Projections!$U$17="""",""SG"",),),IF(Projections!$V$17="""",""SF"",),),IF(Projections!$W$17="""",""PF"",),),IF(Pro"&amp;"jections!$X$17="""",""C"",),),""/"","""")"),"PGSG")</f>
        <v>PGSG</v>
      </c>
    </row>
    <row r="44">
      <c r="A44" t="str">
        <f>IF(Projections!$AC$17,Draft!G6,"")</f>
        <v/>
      </c>
      <c r="B44">
        <f>IFERROR(__xludf.DUMMYFUNCTION("""COMPUTED_VALUE"""),39.0)</f>
        <v>39</v>
      </c>
      <c r="C44">
        <f>IFERROR(__xludf.DUMMYFUNCTION("""COMPUTED_VALUE"""),46.4)</f>
        <v>46.4</v>
      </c>
      <c r="D44" t="str">
        <f>IFERROR(__xludf.DUMMYFUNCTION("""COMPUTED_VALUE"""),"Rudy Gobert")</f>
        <v>Rudy Gobert</v>
      </c>
      <c r="E44">
        <f>IFERROR(__xludf.DUMMYFUNCTION("""COMPUTED_VALUE"""),71.0)</f>
        <v>71</v>
      </c>
      <c r="F44" t="str">
        <f>IFERROR(__xludf.DUMMYFUNCTION("""COMPUTED_VALUE"""),"C")</f>
        <v>C</v>
      </c>
      <c r="G44" s="11">
        <f>IFERROR(__xludf.DUMMYFUNCTION("""COMPUTED_VALUE"""),2.1075798541550443)</f>
        <v>2.107579854</v>
      </c>
      <c r="H44" s="11">
        <f>IFERROR(__xludf.DUMMYFUNCTION("""COMPUTED_VALUE"""),2.1075798541550443)</f>
        <v>2.107579854</v>
      </c>
      <c r="I44" s="11">
        <f>IFERROR(__xludf.DUMMYFUNCTION("""COMPUTED_VALUE"""),0.0)</f>
        <v>0</v>
      </c>
      <c r="J44" s="11">
        <f>IFERROR(__xludf.DUMMYFUNCTION("""COMPUTED_VALUE"""),14.3)</f>
        <v>14.3</v>
      </c>
      <c r="K44" s="11">
        <f>IFERROR(__xludf.DUMMYFUNCTION("""COMPUTED_VALUE"""),0.0)</f>
        <v>0</v>
      </c>
      <c r="L44" s="11">
        <f>IFERROR(__xludf.DUMMYFUNCTION("""COMPUTED_VALUE"""),12.9)</f>
        <v>12.9</v>
      </c>
      <c r="M44" s="11">
        <f>IFERROR(__xludf.DUMMYFUNCTION("""COMPUTED_VALUE"""),1.4)</f>
        <v>1.4</v>
      </c>
      <c r="N44" s="11">
        <f>IFERROR(__xludf.DUMMYFUNCTION("""COMPUTED_VALUE"""),0.8)</f>
        <v>0.8</v>
      </c>
      <c r="O44" s="11">
        <f>IFERROR(__xludf.DUMMYFUNCTION("""COMPUTED_VALUE"""),1.8)</f>
        <v>1.8</v>
      </c>
      <c r="P44" s="15">
        <f>IFERROR(__xludf.DUMMYFUNCTION("""COMPUTED_VALUE"""),0.66)</f>
        <v>0.66</v>
      </c>
      <c r="Q44" s="15">
        <f>IFERROR(__xludf.DUMMYFUNCTION("""COMPUTED_VALUE"""),0.642)</f>
        <v>0.642</v>
      </c>
      <c r="R44" s="11">
        <f>IFERROR(__xludf.DUMMYFUNCTION("""COMPUTED_VALUE"""),1.7)</f>
        <v>1.7</v>
      </c>
      <c r="S44" s="11">
        <f>IFERROR(__xludf.DUMMYFUNCTION("""COMPUTED_VALUE"""),-0.5720919403201229)</f>
        <v>-0.5720919403</v>
      </c>
      <c r="T44" s="11">
        <f>IFERROR(__xludf.DUMMYFUNCTION("""COMPUTED_VALUE"""),-1.7406865810748415)</f>
        <v>-1.740686581</v>
      </c>
      <c r="U44" s="11">
        <f>IFERROR(__xludf.DUMMYFUNCTION("""COMPUTED_VALUE"""),2.679602769232369)</f>
        <v>2.679602769</v>
      </c>
      <c r="V44" s="11">
        <f>IFERROR(__xludf.DUMMYFUNCTION("""COMPUTED_VALUE"""),-1.1553378738168676)</f>
        <v>-1.155337874</v>
      </c>
      <c r="W44" s="11">
        <f>IFERROR(__xludf.DUMMYFUNCTION("""COMPUTED_VALUE"""),-0.5847290886782864)</f>
        <v>-0.5847290887</v>
      </c>
      <c r="X44" s="11">
        <f>IFERROR(__xludf.DUMMYFUNCTION("""COMPUTED_VALUE"""),1.881994485893255)</f>
        <v>1.881994486</v>
      </c>
      <c r="Y44" s="11">
        <f>IFERROR(__xludf.DUMMYFUNCTION("""COMPUTED_VALUE"""),1.586759619027892)</f>
        <v>1.586759619</v>
      </c>
      <c r="Z44" s="11">
        <f>IFERROR(__xludf.DUMMYFUNCTION("""COMPUTED_VALUE"""),-2.8159670660661136)</f>
        <v>-2.815967066</v>
      </c>
      <c r="AA44" s="11">
        <f>IFERROR(__xludf.DUMMYFUNCTION("""COMPUTED_VALUE"""),0.012068463891646777)</f>
        <v>0.01206846389</v>
      </c>
      <c r="AB44" t="str">
        <f>IFERROR(__xludf.DUMMYFUNCTION("SUBSTITUTE(REGEXREPLACE(REGEXREPLACE(REGEXREPLACE(REGEXREPLACE(REGEXREPLACE(REGEXREPLACE(F44,"","",),IF(Projections!$T$17="""",""PG"",),),IF(Projections!$U$17="""",""SG"",),),IF(Projections!$V$17="""",""SF"",),),IF(Projections!$W$17="""",""PF"",),),IF(Pro"&amp;"jections!$X$17="""",""C"",),),""/"","""")"),"C")</f>
        <v>C</v>
      </c>
    </row>
    <row r="45">
      <c r="A45" t="str">
        <f>IF(Projections!$AC$17,Draft!G7,"")</f>
        <v/>
      </c>
      <c r="B45">
        <f>IFERROR(__xludf.DUMMYFUNCTION("""COMPUTED_VALUE"""),40.0)</f>
        <v>40</v>
      </c>
      <c r="C45">
        <f>IFERROR(__xludf.DUMMYFUNCTION("""COMPUTED_VALUE"""),53.8)</f>
        <v>53.8</v>
      </c>
      <c r="D45" t="str">
        <f>IFERROR(__xludf.DUMMYFUNCTION("""COMPUTED_VALUE"""),"Immanuel Quickley")</f>
        <v>Immanuel Quickley</v>
      </c>
      <c r="E45">
        <f>IFERROR(__xludf.DUMMYFUNCTION("""COMPUTED_VALUE"""),46.0)</f>
        <v>46</v>
      </c>
      <c r="F45" t="str">
        <f>IFERROR(__xludf.DUMMYFUNCTION("""COMPUTED_VALUE"""),"PG,SG")</f>
        <v>PG,SG</v>
      </c>
      <c r="G45" s="11">
        <f>IFERROR(__xludf.DUMMYFUNCTION("""COMPUTED_VALUE"""),2.002004754105327)</f>
        <v>2.002004754</v>
      </c>
      <c r="H45" s="11">
        <f>IFERROR(__xludf.DUMMYFUNCTION("""COMPUTED_VALUE"""),2.002004754105327)</f>
        <v>2.002004754</v>
      </c>
      <c r="I45" s="11">
        <f>IFERROR(__xludf.DUMMYFUNCTION("""COMPUTED_VALUE"""),0.0)</f>
        <v>0</v>
      </c>
      <c r="J45" s="11">
        <f>IFERROR(__xludf.DUMMYFUNCTION("""COMPUTED_VALUE"""),18.7)</f>
        <v>18.7</v>
      </c>
      <c r="K45" s="11">
        <f>IFERROR(__xludf.DUMMYFUNCTION("""COMPUTED_VALUE"""),2.6)</f>
        <v>2.6</v>
      </c>
      <c r="L45" s="11">
        <f>IFERROR(__xludf.DUMMYFUNCTION("""COMPUTED_VALUE"""),4.6)</f>
        <v>4.6</v>
      </c>
      <c r="M45" s="11">
        <f>IFERROR(__xludf.DUMMYFUNCTION("""COMPUTED_VALUE"""),6.8)</f>
        <v>6.8</v>
      </c>
      <c r="N45" s="11">
        <f>IFERROR(__xludf.DUMMYFUNCTION("""COMPUTED_VALUE"""),1.1)</f>
        <v>1.1</v>
      </c>
      <c r="O45" s="11">
        <f>IFERROR(__xludf.DUMMYFUNCTION("""COMPUTED_VALUE"""),0.2)</f>
        <v>0.2</v>
      </c>
      <c r="P45" s="15">
        <f>IFERROR(__xludf.DUMMYFUNCTION("""COMPUTED_VALUE"""),0.44)</f>
        <v>0.44</v>
      </c>
      <c r="Q45" s="15">
        <f>IFERROR(__xludf.DUMMYFUNCTION("""COMPUTED_VALUE"""),0.849)</f>
        <v>0.849</v>
      </c>
      <c r="R45" s="11">
        <f>IFERROR(__xludf.DUMMYFUNCTION("""COMPUTED_VALUE"""),1.6)</f>
        <v>1.6</v>
      </c>
      <c r="S45" s="11">
        <f>IFERROR(__xludf.DUMMYFUNCTION("""COMPUTED_VALUE"""),0.22275934606359118)</f>
        <v>0.2227593461</v>
      </c>
      <c r="T45" s="11">
        <f>IFERROR(__xludf.DUMMYFUNCTION("""COMPUTED_VALUE"""),0.8469451937452375)</f>
        <v>0.8469451937</v>
      </c>
      <c r="U45" s="11">
        <f>IFERROR(__xludf.DUMMYFUNCTION("""COMPUTED_VALUE"""),-0.5761860341403178)</f>
        <v>-0.5761860341</v>
      </c>
      <c r="V45" s="11">
        <f>IFERROR(__xludf.DUMMYFUNCTION("""COMPUTED_VALUE"""),1.3049977289783117)</f>
        <v>1.304997729</v>
      </c>
      <c r="W45" s="11">
        <f>IFERROR(__xludf.DUMMYFUNCTION("""COMPUTED_VALUE"""),0.41106894580015185)</f>
        <v>0.4110689458</v>
      </c>
      <c r="X45" s="11">
        <f>IFERROR(__xludf.DUMMYFUNCTION("""COMPUTED_VALUE"""),-0.9723047469492465)</f>
        <v>-0.9723047469</v>
      </c>
      <c r="Y45" s="11">
        <f>IFERROR(__xludf.DUMMYFUNCTION("""COMPUTED_VALUE"""),-0.9799658477543457)</f>
        <v>-0.9799658478</v>
      </c>
      <c r="Z45" s="11">
        <f>IFERROR(__xludf.DUMMYFUNCTION("""COMPUTED_VALUE"""),0.7278576432399655)</f>
        <v>0.7278576432</v>
      </c>
      <c r="AA45" s="11">
        <f>IFERROR(__xludf.DUMMYFUNCTION("""COMPUTED_VALUE"""),0.036866677367633396)</f>
        <v>0.03686667737</v>
      </c>
      <c r="AB45" t="str">
        <f>IFERROR(__xludf.DUMMYFUNCTION("SUBSTITUTE(REGEXREPLACE(REGEXREPLACE(REGEXREPLACE(REGEXREPLACE(REGEXREPLACE(REGEXREPLACE(F45,"","",),IF(Projections!$T$17="""",""PG"",),),IF(Projections!$U$17="""",""SG"",),),IF(Projections!$V$17="""",""SF"",),),IF(Projections!$W$17="""",""PF"",),),IF(Pro"&amp;"jections!$X$17="""",""C"",),),""/"","""")"),"PGSG")</f>
        <v>PGSG</v>
      </c>
    </row>
    <row r="46">
      <c r="A46" t="str">
        <f>IF(Projections!$AC$17,Draft!G8,"")</f>
        <v/>
      </c>
      <c r="B46">
        <f>IFERROR(__xludf.DUMMYFUNCTION("""COMPUTED_VALUE"""),41.0)</f>
        <v>41</v>
      </c>
      <c r="C46">
        <f>IFERROR(__xludf.DUMMYFUNCTION("""COMPUTED_VALUE"""),39.0)</f>
        <v>39</v>
      </c>
      <c r="D46" t="str">
        <f>IFERROR(__xludf.DUMMYFUNCTION("""COMPUTED_VALUE"""),"Evan Mobley")</f>
        <v>Evan Mobley</v>
      </c>
      <c r="E46">
        <f>IFERROR(__xludf.DUMMYFUNCTION("""COMPUTED_VALUE"""),64.0)</f>
        <v>64</v>
      </c>
      <c r="F46" t="str">
        <f>IFERROR(__xludf.DUMMYFUNCTION("""COMPUTED_VALUE"""),"PF,C")</f>
        <v>PF,C</v>
      </c>
      <c r="G46" s="11">
        <f>IFERROR(__xludf.DUMMYFUNCTION("""COMPUTED_VALUE"""),1.9569098276328871)</f>
        <v>1.956909828</v>
      </c>
      <c r="H46" s="11">
        <f>IFERROR(__xludf.DUMMYFUNCTION("""COMPUTED_VALUE"""),1.9569098276328871)</f>
        <v>1.956909828</v>
      </c>
      <c r="I46" s="11">
        <f>IFERROR(__xludf.DUMMYFUNCTION("""COMPUTED_VALUE"""),0.0)</f>
        <v>0</v>
      </c>
      <c r="J46" s="11">
        <f>IFERROR(__xludf.DUMMYFUNCTION("""COMPUTED_VALUE"""),16.1)</f>
        <v>16.1</v>
      </c>
      <c r="K46" s="11">
        <f>IFERROR(__xludf.DUMMYFUNCTION("""COMPUTED_VALUE"""),0.4)</f>
        <v>0.4</v>
      </c>
      <c r="L46" s="11">
        <f>IFERROR(__xludf.DUMMYFUNCTION("""COMPUTED_VALUE"""),9.2)</f>
        <v>9.2</v>
      </c>
      <c r="M46" s="11">
        <f>IFERROR(__xludf.DUMMYFUNCTION("""COMPUTED_VALUE"""),3.4)</f>
        <v>3.4</v>
      </c>
      <c r="N46" s="11">
        <f>IFERROR(__xludf.DUMMYFUNCTION("""COMPUTED_VALUE"""),0.9)</f>
        <v>0.9</v>
      </c>
      <c r="O46" s="11">
        <f>IFERROR(__xludf.DUMMYFUNCTION("""COMPUTED_VALUE"""),1.5)</f>
        <v>1.5</v>
      </c>
      <c r="P46" s="15">
        <f>IFERROR(__xludf.DUMMYFUNCTION("""COMPUTED_VALUE"""),0.573)</f>
        <v>0.573</v>
      </c>
      <c r="Q46" s="15">
        <f>IFERROR(__xludf.DUMMYFUNCTION("""COMPUTED_VALUE"""),0.726)</f>
        <v>0.726</v>
      </c>
      <c r="R46" s="11">
        <f>IFERROR(__xludf.DUMMYFUNCTION("""COMPUTED_VALUE"""),1.8)</f>
        <v>1.8</v>
      </c>
      <c r="S46" s="11">
        <f>IFERROR(__xludf.DUMMYFUNCTION("""COMPUTED_VALUE"""),-0.24692550498133056)</f>
        <v>-0.246925505</v>
      </c>
      <c r="T46" s="11">
        <f>IFERROR(__xludf.DUMMYFUNCTION("""COMPUTED_VALUE"""),-1.3425893849486756)</f>
        <v>-1.342589385</v>
      </c>
      <c r="U46" s="11">
        <f>IFERROR(__xludf.DUMMYFUNCTION("""COMPUTED_VALUE"""),1.2282270376084)</f>
        <v>1.228227038</v>
      </c>
      <c r="V46" s="11">
        <f>IFERROR(__xludf.DUMMYFUNCTION("""COMPUTED_VALUE"""),-0.2441024653742086)</f>
        <v>-0.2441024654</v>
      </c>
      <c r="W46" s="11">
        <f>IFERROR(__xludf.DUMMYFUNCTION("""COMPUTED_VALUE"""),-0.25279641051880714)</f>
        <v>-0.2527964105</v>
      </c>
      <c r="X46" s="11">
        <f>IFERROR(__xludf.DUMMYFUNCTION("""COMPUTED_VALUE"""),1.346813379735286)</f>
        <v>1.34681338</v>
      </c>
      <c r="Y46" s="11">
        <f>IFERROR(__xludf.DUMMYFUNCTION("""COMPUTED_VALUE"""),1.0170142713517292)</f>
        <v>1.017014271</v>
      </c>
      <c r="Z46" s="11">
        <f>IFERROR(__xludf.DUMMYFUNCTION("""COMPUTED_VALUE"""),-0.8785907306038417)</f>
        <v>-0.8785907306</v>
      </c>
      <c r="AA46" s="11">
        <f>IFERROR(__xludf.DUMMYFUNCTION("""COMPUTED_VALUE"""),-0.012729749584339901)</f>
        <v>-0.01272974958</v>
      </c>
      <c r="AB46" t="str">
        <f>IFERROR(__xludf.DUMMYFUNCTION("SUBSTITUTE(REGEXREPLACE(REGEXREPLACE(REGEXREPLACE(REGEXREPLACE(REGEXREPLACE(REGEXREPLACE(F46,"","",),IF(Projections!$T$17="""",""PG"",),),IF(Projections!$U$17="""",""SG"",),),IF(Projections!$V$17="""",""SF"",),),IF(Projections!$W$17="""",""PF"",),),IF(Pro"&amp;"jections!$X$17="""",""C"",),),""/"","""")"),"PFC")</f>
        <v>PFC</v>
      </c>
    </row>
    <row r="47">
      <c r="A47" t="str">
        <f>IF(Projections!$AC$17,Draft!G9,"")</f>
        <v/>
      </c>
      <c r="B47">
        <f>IFERROR(__xludf.DUMMYFUNCTION("""COMPUTED_VALUE"""),42.0)</f>
        <v>42</v>
      </c>
      <c r="C47">
        <f>IFERROR(__xludf.DUMMYFUNCTION("""COMPUTED_VALUE"""),35.2)</f>
        <v>35.2</v>
      </c>
      <c r="D47" t="str">
        <f>IFERROR(__xludf.DUMMYFUNCTION("""COMPUTED_VALUE"""),"Ja Morant")</f>
        <v>Ja Morant</v>
      </c>
      <c r="E47">
        <f>IFERROR(__xludf.DUMMYFUNCTION("""COMPUTED_VALUE"""),64.0)</f>
        <v>64</v>
      </c>
      <c r="F47" t="str">
        <f>IFERROR(__xludf.DUMMYFUNCTION("""COMPUTED_VALUE"""),"PG")</f>
        <v>PG</v>
      </c>
      <c r="G47" s="11">
        <f>IFERROR(__xludf.DUMMYFUNCTION("""COMPUTED_VALUE"""),1.9527398468352886)</f>
        <v>1.952739847</v>
      </c>
      <c r="H47" s="11">
        <f>IFERROR(__xludf.DUMMYFUNCTION("""COMPUTED_VALUE"""),1.9527398468352886)</f>
        <v>1.952739847</v>
      </c>
      <c r="I47" s="11">
        <f>IFERROR(__xludf.DUMMYFUNCTION("""COMPUTED_VALUE"""),0.0)</f>
        <v>0</v>
      </c>
      <c r="J47" s="11">
        <f>IFERROR(__xludf.DUMMYFUNCTION("""COMPUTED_VALUE"""),25.8)</f>
        <v>25.8</v>
      </c>
      <c r="K47" s="11">
        <f>IFERROR(__xludf.DUMMYFUNCTION("""COMPUTED_VALUE"""),1.5)</f>
        <v>1.5</v>
      </c>
      <c r="L47" s="11">
        <f>IFERROR(__xludf.DUMMYFUNCTION("""COMPUTED_VALUE"""),5.9)</f>
        <v>5.9</v>
      </c>
      <c r="M47" s="11">
        <f>IFERROR(__xludf.DUMMYFUNCTION("""COMPUTED_VALUE"""),8.2)</f>
        <v>8.2</v>
      </c>
      <c r="N47" s="11">
        <f>IFERROR(__xludf.DUMMYFUNCTION("""COMPUTED_VALUE"""),0.9)</f>
        <v>0.9</v>
      </c>
      <c r="O47" s="11">
        <f>IFERROR(__xludf.DUMMYFUNCTION("""COMPUTED_VALUE"""),0.5)</f>
        <v>0.5</v>
      </c>
      <c r="P47" s="15">
        <f>IFERROR(__xludf.DUMMYFUNCTION("""COMPUTED_VALUE"""),0.47)</f>
        <v>0.47</v>
      </c>
      <c r="Q47" s="15">
        <f>IFERROR(__xludf.DUMMYFUNCTION("""COMPUTED_VALUE"""),0.788)</f>
        <v>0.788</v>
      </c>
      <c r="R47" s="11">
        <f>IFERROR(__xludf.DUMMYFUNCTION("""COMPUTED_VALUE"""),3.0)</f>
        <v>3</v>
      </c>
      <c r="S47" s="11">
        <f>IFERROR(__xludf.DUMMYFUNCTION("""COMPUTED_VALUE"""),1.5053602854554942)</f>
        <v>1.505360285</v>
      </c>
      <c r="T47" s="11">
        <f>IFERROR(__xludf.DUMMYFUNCTION("""COMPUTED_VALUE"""),-0.24782209560171908)</f>
        <v>-0.2478220956</v>
      </c>
      <c r="U47" s="11">
        <f>IFERROR(__xludf.DUMMYFUNCTION("""COMPUTED_VALUE"""),-0.06624320951567987)</f>
        <v>-0.06624320952</v>
      </c>
      <c r="V47" s="11">
        <f>IFERROR(__xludf.DUMMYFUNCTION("""COMPUTED_VALUE"""),1.9428625148881729)</f>
        <v>1.942862515</v>
      </c>
      <c r="W47" s="11">
        <f>IFERROR(__xludf.DUMMYFUNCTION("""COMPUTED_VALUE"""),-0.25279641051880714)</f>
        <v>-0.2527964105</v>
      </c>
      <c r="X47" s="11">
        <f>IFERROR(__xludf.DUMMYFUNCTION("""COMPUTED_VALUE"""),-0.4371236407912776)</f>
        <v>-0.4371236408</v>
      </c>
      <c r="Y47" s="11">
        <f>IFERROR(__xludf.DUMMYFUNCTION("""COMPUTED_VALUE"""),-0.617484592856739)</f>
        <v>-0.6174845929</v>
      </c>
      <c r="Z47" s="11">
        <f>IFERROR(__xludf.DUMMYFUNCTION("""COMPUTED_VALUE"""),-0.18118928578471516)</f>
        <v>-0.1811892858</v>
      </c>
      <c r="AA47" s="11">
        <f>IFERROR(__xludf.DUMMYFUNCTION("""COMPUTED_VALUE"""),-0.31030831129617975)</f>
        <v>-0.3103083113</v>
      </c>
      <c r="AB47" t="str">
        <f>IFERROR(__xludf.DUMMYFUNCTION("SUBSTITUTE(REGEXREPLACE(REGEXREPLACE(REGEXREPLACE(REGEXREPLACE(REGEXREPLACE(REGEXREPLACE(F47,"","",),IF(Projections!$T$17="""",""PG"",),),IF(Projections!$U$17="""",""SG"",),),IF(Projections!$V$17="""",""SF"",),),IF(Projections!$W$17="""",""PF"",),),IF(Pro"&amp;"jections!$X$17="""",""C"",),),""/"","""")"),"PG")</f>
        <v>PG</v>
      </c>
    </row>
    <row r="48">
      <c r="A48" t="str">
        <f>IF(Projections!$AC$17,Draft!G10,"")</f>
        <v/>
      </c>
      <c r="B48">
        <f>IFERROR(__xludf.DUMMYFUNCTION("""COMPUTED_VALUE"""),43.0)</f>
        <v>43</v>
      </c>
      <c r="C48">
        <f>IFERROR(__xludf.DUMMYFUNCTION("""COMPUTED_VALUE"""),44.1)</f>
        <v>44.1</v>
      </c>
      <c r="D48" t="str">
        <f>IFERROR(__xludf.DUMMYFUNCTION("""COMPUTED_VALUE"""),"Desmond Bane")</f>
        <v>Desmond Bane</v>
      </c>
      <c r="E48">
        <f>IFERROR(__xludf.DUMMYFUNCTION("""COMPUTED_VALUE"""),71.0)</f>
        <v>71</v>
      </c>
      <c r="F48" t="str">
        <f>IFERROR(__xludf.DUMMYFUNCTION("""COMPUTED_VALUE"""),"SG,SF")</f>
        <v>SG,SF</v>
      </c>
      <c r="G48" s="11">
        <f>IFERROR(__xludf.DUMMYFUNCTION("""COMPUTED_VALUE"""),1.9337704253555552)</f>
        <v>1.933770425</v>
      </c>
      <c r="H48" s="11">
        <f>IFERROR(__xludf.DUMMYFUNCTION("""COMPUTED_VALUE"""),1.9337704253555552)</f>
        <v>1.933770425</v>
      </c>
      <c r="I48" s="11">
        <f>IFERROR(__xludf.DUMMYFUNCTION("""COMPUTED_VALUE"""),0.0)</f>
        <v>0</v>
      </c>
      <c r="J48" s="11">
        <f>IFERROR(__xludf.DUMMYFUNCTION("""COMPUTED_VALUE"""),21.4)</f>
        <v>21.4</v>
      </c>
      <c r="K48" s="11">
        <f>IFERROR(__xludf.DUMMYFUNCTION("""COMPUTED_VALUE"""),2.9)</f>
        <v>2.9</v>
      </c>
      <c r="L48" s="11">
        <f>IFERROR(__xludf.DUMMYFUNCTION("""COMPUTED_VALUE"""),4.5)</f>
        <v>4.5</v>
      </c>
      <c r="M48" s="11">
        <f>IFERROR(__xludf.DUMMYFUNCTION("""COMPUTED_VALUE"""),4.4)</f>
        <v>4.4</v>
      </c>
      <c r="N48" s="11">
        <f>IFERROR(__xludf.DUMMYFUNCTION("""COMPUTED_VALUE"""),1.0)</f>
        <v>1</v>
      </c>
      <c r="O48" s="11">
        <f>IFERROR(__xludf.DUMMYFUNCTION("""COMPUTED_VALUE"""),0.4)</f>
        <v>0.4</v>
      </c>
      <c r="P48" s="15">
        <f>IFERROR(__xludf.DUMMYFUNCTION("""COMPUTED_VALUE"""),0.472)</f>
        <v>0.472</v>
      </c>
      <c r="Q48" s="15">
        <f>IFERROR(__xludf.DUMMYFUNCTION("""COMPUTED_VALUE"""),0.877)</f>
        <v>0.877</v>
      </c>
      <c r="R48" s="11">
        <f>IFERROR(__xludf.DUMMYFUNCTION("""COMPUTED_VALUE"""),2.3)</f>
        <v>2.3</v>
      </c>
      <c r="S48" s="11">
        <f>IFERROR(__xludf.DUMMYFUNCTION("""COMPUTED_VALUE"""),0.7105089990717794)</f>
        <v>0.7105089991</v>
      </c>
      <c r="T48" s="11">
        <f>IFERROR(__xludf.DUMMYFUNCTION("""COMPUTED_VALUE"""),1.145518090839862)</f>
        <v>1.145518091</v>
      </c>
      <c r="U48" s="11">
        <f>IFERROR(__xludf.DUMMYFUNCTION("""COMPUTED_VALUE"""),-0.6154124052652897)</f>
        <v>-0.6154124053</v>
      </c>
      <c r="V48" s="11">
        <f>IFERROR(__xludf.DUMMYFUNCTION("""COMPUTED_VALUE"""),0.2115152388471211)</f>
        <v>0.2115152388</v>
      </c>
      <c r="W48" s="11">
        <f>IFERROR(__xludf.DUMMYFUNCTION("""COMPUTED_VALUE"""),0.07913626764067216)</f>
        <v>0.07913626764</v>
      </c>
      <c r="X48" s="11">
        <f>IFERROR(__xludf.DUMMYFUNCTION("""COMPUTED_VALUE"""),-0.6155173428439339)</f>
        <v>-0.6155173428</v>
      </c>
      <c r="Y48" s="11">
        <f>IFERROR(__xludf.DUMMYFUNCTION("""COMPUTED_VALUE"""),-0.47822915179607683)</f>
        <v>-0.4782291518</v>
      </c>
      <c r="Z48" s="11">
        <f>IFERROR(__xludf.DUMMYFUNCTION("""COMPUTED_VALUE"""),1.0174542029817606)</f>
        <v>1.017454203</v>
      </c>
      <c r="AA48" s="11">
        <f>IFERROR(__xludf.DUMMYFUNCTION("""COMPUTED_VALUE"""),-0.13672081696427313)</f>
        <v>-0.136720817</v>
      </c>
      <c r="AB48" t="str">
        <f>IFERROR(__xludf.DUMMYFUNCTION("SUBSTITUTE(REGEXREPLACE(REGEXREPLACE(REGEXREPLACE(REGEXREPLACE(REGEXREPLACE(REGEXREPLACE(F48,"","",),IF(Projections!$T$17="""",""PG"",),),IF(Projections!$U$17="""",""SG"",),),IF(Projections!$V$17="""",""SF"",),),IF(Projections!$W$17="""",""PF"",),),IF(Pro"&amp;"jections!$X$17="""",""C"",),),""/"","""")"),"SGSF")</f>
        <v>SGSF</v>
      </c>
    </row>
    <row r="49">
      <c r="A49" t="str">
        <f>IF(Projections!$AC$17,Draft!G11,"")</f>
        <v/>
      </c>
      <c r="B49">
        <f>IFERROR(__xludf.DUMMYFUNCTION("""COMPUTED_VALUE"""),44.0)</f>
        <v>44</v>
      </c>
      <c r="C49">
        <f>IFERROR(__xludf.DUMMYFUNCTION("""COMPUTED_VALUE"""),48.4)</f>
        <v>48.4</v>
      </c>
      <c r="D49" t="str">
        <f>IFERROR(__xludf.DUMMYFUNCTION("""COMPUTED_VALUE"""),"Derrick White")</f>
        <v>Derrick White</v>
      </c>
      <c r="E49">
        <f>IFERROR(__xludf.DUMMYFUNCTION("""COMPUTED_VALUE"""),60.0)</f>
        <v>60</v>
      </c>
      <c r="F49" t="str">
        <f>IFERROR(__xludf.DUMMYFUNCTION("""COMPUTED_VALUE"""),"PG,SG")</f>
        <v>PG,SG</v>
      </c>
      <c r="G49" s="11">
        <f>IFERROR(__xludf.DUMMYFUNCTION("""COMPUTED_VALUE"""),1.9127706800117394)</f>
        <v>1.91277068</v>
      </c>
      <c r="H49" s="11">
        <f>IFERROR(__xludf.DUMMYFUNCTION("""COMPUTED_VALUE"""),1.9127706800117394)</f>
        <v>1.91277068</v>
      </c>
      <c r="I49" s="11">
        <f>IFERROR(__xludf.DUMMYFUNCTION("""COMPUTED_VALUE"""),0.0)</f>
        <v>0</v>
      </c>
      <c r="J49" s="11">
        <f>IFERROR(__xludf.DUMMYFUNCTION("""COMPUTED_VALUE"""),15.2)</f>
        <v>15.2</v>
      </c>
      <c r="K49" s="11">
        <f>IFERROR(__xludf.DUMMYFUNCTION("""COMPUTED_VALUE"""),2.7)</f>
        <v>2.7</v>
      </c>
      <c r="L49" s="11">
        <f>IFERROR(__xludf.DUMMYFUNCTION("""COMPUTED_VALUE"""),4.3)</f>
        <v>4.3</v>
      </c>
      <c r="M49" s="11">
        <f>IFERROR(__xludf.DUMMYFUNCTION("""COMPUTED_VALUE"""),4.9)</f>
        <v>4.9</v>
      </c>
      <c r="N49" s="11">
        <f>IFERROR(__xludf.DUMMYFUNCTION("""COMPUTED_VALUE"""),0.9)</f>
        <v>0.9</v>
      </c>
      <c r="O49" s="11">
        <f>IFERROR(__xludf.DUMMYFUNCTION("""COMPUTED_VALUE"""),1.2)</f>
        <v>1.2</v>
      </c>
      <c r="P49" s="15">
        <f>IFERROR(__xludf.DUMMYFUNCTION("""COMPUTED_VALUE"""),0.461)</f>
        <v>0.461</v>
      </c>
      <c r="Q49" s="15">
        <f>IFERROR(__xludf.DUMMYFUNCTION("""COMPUTED_VALUE"""),0.888)</f>
        <v>0.888</v>
      </c>
      <c r="R49" s="11">
        <f>IFERROR(__xludf.DUMMYFUNCTION("""COMPUTED_VALUE"""),1.5)</f>
        <v>1.5</v>
      </c>
      <c r="S49" s="11">
        <f>IFERROR(__xludf.DUMMYFUNCTION("""COMPUTED_VALUE"""),-0.4095087226507271)</f>
        <v>-0.4095087227</v>
      </c>
      <c r="T49" s="11">
        <f>IFERROR(__xludf.DUMMYFUNCTION("""COMPUTED_VALUE"""),0.946469492776779)</f>
        <v>0.9464694928</v>
      </c>
      <c r="U49" s="11">
        <f>IFERROR(__xludf.DUMMYFUNCTION("""COMPUTED_VALUE"""),-0.6938651475152341)</f>
        <v>-0.6938651475</v>
      </c>
      <c r="V49" s="11">
        <f>IFERROR(__xludf.DUMMYFUNCTION("""COMPUTED_VALUE"""),0.43932409095778585)</f>
        <v>0.439324091</v>
      </c>
      <c r="W49" s="11">
        <f>IFERROR(__xludf.DUMMYFUNCTION("""COMPUTED_VALUE"""),-0.25279641051880714)</f>
        <v>-0.2527964105</v>
      </c>
      <c r="X49" s="11">
        <f>IFERROR(__xludf.DUMMYFUNCTION("""COMPUTED_VALUE"""),0.8116322735773168)</f>
        <v>0.8116322736</v>
      </c>
      <c r="Y49" s="11">
        <f>IFERROR(__xludf.DUMMYFUNCTION("""COMPUTED_VALUE"""),-0.475191263334002)</f>
        <v>-0.4751912633</v>
      </c>
      <c r="Z49" s="11">
        <f>IFERROR(__xludf.DUMMYFUNCTION("""COMPUTED_VALUE"""),0.7911763283597737)</f>
        <v>0.7911763284</v>
      </c>
      <c r="AA49" s="11">
        <f>IFERROR(__xludf.DUMMYFUNCTION("""COMPUTED_VALUE"""),0.06166489084362008)</f>
        <v>0.06166489084</v>
      </c>
      <c r="AB49" t="str">
        <f>IFERROR(__xludf.DUMMYFUNCTION("SUBSTITUTE(REGEXREPLACE(REGEXREPLACE(REGEXREPLACE(REGEXREPLACE(REGEXREPLACE(REGEXREPLACE(F49,"","",),IF(Projections!$T$17="""",""PG"",),),IF(Projections!$U$17="""",""SG"",),),IF(Projections!$V$17="""",""SF"",),),IF(Projections!$W$17="""",""PF"",),),IF(Pro"&amp;"jections!$X$17="""",""C"",),),""/"","""")"),"PGSG")</f>
        <v>PGSG</v>
      </c>
    </row>
    <row r="50">
      <c r="A50" t="str">
        <f>IF(Projections!$AC$17,Draft!G12,"")</f>
        <v/>
      </c>
      <c r="B50">
        <f>IFERROR(__xludf.DUMMYFUNCTION("""COMPUTED_VALUE"""),45.0)</f>
        <v>45</v>
      </c>
      <c r="C50">
        <f>IFERROR(__xludf.DUMMYFUNCTION("""COMPUTED_VALUE"""),54.1)</f>
        <v>54.1</v>
      </c>
      <c r="D50" t="str">
        <f>IFERROR(__xludf.DUMMYFUNCTION("""COMPUTED_VALUE"""),"DeMar DeRozan")</f>
        <v>DeMar DeRozan</v>
      </c>
      <c r="E50">
        <f>IFERROR(__xludf.DUMMYFUNCTION("""COMPUTED_VALUE"""),66.0)</f>
        <v>66</v>
      </c>
      <c r="F50" t="str">
        <f>IFERROR(__xludf.DUMMYFUNCTION("""COMPUTED_VALUE"""),"SF,PF")</f>
        <v>SF,PF</v>
      </c>
      <c r="G50" s="11">
        <f>IFERROR(__xludf.DUMMYFUNCTION("""COMPUTED_VALUE"""),1.8306211388938802)</f>
        <v>1.830621139</v>
      </c>
      <c r="H50" s="11">
        <f>IFERROR(__xludf.DUMMYFUNCTION("""COMPUTED_VALUE"""),1.8306211388938802)</f>
        <v>1.830621139</v>
      </c>
      <c r="I50" s="11">
        <f>IFERROR(__xludf.DUMMYFUNCTION("""COMPUTED_VALUE"""),0.0)</f>
        <v>0</v>
      </c>
      <c r="J50" s="11">
        <f>IFERROR(__xludf.DUMMYFUNCTION("""COMPUTED_VALUE"""),22.1)</f>
        <v>22.1</v>
      </c>
      <c r="K50" s="11">
        <f>IFERROR(__xludf.DUMMYFUNCTION("""COMPUTED_VALUE"""),1.1)</f>
        <v>1.1</v>
      </c>
      <c r="L50" s="11">
        <f>IFERROR(__xludf.DUMMYFUNCTION("""COMPUTED_VALUE"""),3.8)</f>
        <v>3.8</v>
      </c>
      <c r="M50" s="11">
        <f>IFERROR(__xludf.DUMMYFUNCTION("""COMPUTED_VALUE"""),3.9)</f>
        <v>3.9</v>
      </c>
      <c r="N50" s="11">
        <f>IFERROR(__xludf.DUMMYFUNCTION("""COMPUTED_VALUE"""),1.1)</f>
        <v>1.1</v>
      </c>
      <c r="O50" s="11">
        <f>IFERROR(__xludf.DUMMYFUNCTION("""COMPUTED_VALUE"""),0.6)</f>
        <v>0.6</v>
      </c>
      <c r="P50" s="15">
        <f>IFERROR(__xludf.DUMMYFUNCTION("""COMPUTED_VALUE"""),0.486)</f>
        <v>0.486</v>
      </c>
      <c r="Q50" s="15">
        <f>IFERROR(__xludf.DUMMYFUNCTION("""COMPUTED_VALUE"""),0.863)</f>
        <v>0.863</v>
      </c>
      <c r="R50" s="11">
        <f>IFERROR(__xludf.DUMMYFUNCTION("""COMPUTED_VALUE"""),1.7)</f>
        <v>1.7</v>
      </c>
      <c r="S50" s="11">
        <f>IFERROR(__xludf.DUMMYFUNCTION("""COMPUTED_VALUE"""),0.8369626128146436)</f>
        <v>0.8369626128</v>
      </c>
      <c r="T50" s="11">
        <f>IFERROR(__xludf.DUMMYFUNCTION("""COMPUTED_VALUE"""),-0.645919291727885)</f>
        <v>-0.6459192917</v>
      </c>
      <c r="U50" s="11">
        <f>IFERROR(__xludf.DUMMYFUNCTION("""COMPUTED_VALUE"""),-0.8899970031400947)</f>
        <v>-0.8899970031</v>
      </c>
      <c r="V50" s="11">
        <f>IFERROR(__xludf.DUMMYFUNCTION("""COMPUTED_VALUE"""),-0.016293613263543852)</f>
        <v>-0.01629361326</v>
      </c>
      <c r="W50" s="11">
        <f>IFERROR(__xludf.DUMMYFUNCTION("""COMPUTED_VALUE"""),0.41106894580015185)</f>
        <v>0.4110689458</v>
      </c>
      <c r="X50" s="11">
        <f>IFERROR(__xludf.DUMMYFUNCTION("""COMPUTED_VALUE"""),-0.25872993873862127)</f>
        <v>-0.2587299387</v>
      </c>
      <c r="Y50" s="11">
        <f>IFERROR(__xludf.DUMMYFUNCTION("""COMPUTED_VALUE"""),-0.19638544058529345)</f>
        <v>-0.1963854406</v>
      </c>
      <c r="Z50" s="11">
        <f>IFERROR(__xludf.DUMMYFUNCTION("""COMPUTED_VALUE"""),1.6878494007027816)</f>
        <v>1.687849401</v>
      </c>
      <c r="AA50" s="11">
        <f>IFERROR(__xludf.DUMMYFUNCTION("""COMPUTED_VALUE"""),0.012068463891646777)</f>
        <v>0.01206846389</v>
      </c>
      <c r="AB50" t="str">
        <f>IFERROR(__xludf.DUMMYFUNCTION("SUBSTITUTE(REGEXREPLACE(REGEXREPLACE(REGEXREPLACE(REGEXREPLACE(REGEXREPLACE(REGEXREPLACE(F50,"","",),IF(Projections!$T$17="""",""PG"",),),IF(Projections!$U$17="""",""SG"",),),IF(Projections!$V$17="""",""SF"",),),IF(Projections!$W$17="""",""PF"",),),IF(Pro"&amp;"jections!$X$17="""",""C"",),),""/"","""")"),"SFPF")</f>
        <v>SFPF</v>
      </c>
    </row>
    <row r="51">
      <c r="A51" t="str">
        <f>IF(Projections!$AC$17,Draft!G13,"")</f>
        <v/>
      </c>
      <c r="B51">
        <f>IFERROR(__xludf.DUMMYFUNCTION("""COMPUTED_VALUE"""),46.0)</f>
        <v>46</v>
      </c>
      <c r="C51">
        <f>IFERROR(__xludf.DUMMYFUNCTION("""COMPUTED_VALUE"""),52.7)</f>
        <v>52.7</v>
      </c>
      <c r="D51" t="str">
        <f>IFERROR(__xludf.DUMMYFUNCTION("""COMPUTED_VALUE"""),"Jamal Murray")</f>
        <v>Jamal Murray</v>
      </c>
      <c r="E51">
        <f>IFERROR(__xludf.DUMMYFUNCTION("""COMPUTED_VALUE"""),71.0)</f>
        <v>71</v>
      </c>
      <c r="F51" t="str">
        <f>IFERROR(__xludf.DUMMYFUNCTION("""COMPUTED_VALUE"""),"PG,SG")</f>
        <v>PG,SG</v>
      </c>
      <c r="G51" s="11">
        <f>IFERROR(__xludf.DUMMYFUNCTION("""COMPUTED_VALUE"""),1.7726770882562053)</f>
        <v>1.772677088</v>
      </c>
      <c r="H51" s="11">
        <f>IFERROR(__xludf.DUMMYFUNCTION("""COMPUTED_VALUE"""),1.7726770882562053)</f>
        <v>1.772677088</v>
      </c>
      <c r="I51" s="11">
        <f>IFERROR(__xludf.DUMMYFUNCTION("""COMPUTED_VALUE"""),0.0)</f>
        <v>0</v>
      </c>
      <c r="J51" s="11">
        <f>IFERROR(__xludf.DUMMYFUNCTION("""COMPUTED_VALUE"""),20.0)</f>
        <v>20</v>
      </c>
      <c r="K51" s="11">
        <f>IFERROR(__xludf.DUMMYFUNCTION("""COMPUTED_VALUE"""),2.5)</f>
        <v>2.5</v>
      </c>
      <c r="L51" s="11">
        <f>IFERROR(__xludf.DUMMYFUNCTION("""COMPUTED_VALUE"""),3.9)</f>
        <v>3.9</v>
      </c>
      <c r="M51" s="11">
        <f>IFERROR(__xludf.DUMMYFUNCTION("""COMPUTED_VALUE"""),6.1)</f>
        <v>6.1</v>
      </c>
      <c r="N51" s="11">
        <f>IFERROR(__xludf.DUMMYFUNCTION("""COMPUTED_VALUE"""),1.0)</f>
        <v>1</v>
      </c>
      <c r="O51" s="11">
        <f>IFERROR(__xludf.DUMMYFUNCTION("""COMPUTED_VALUE"""),0.5)</f>
        <v>0.5</v>
      </c>
      <c r="P51" s="15">
        <f>IFERROR(__xludf.DUMMYFUNCTION("""COMPUTED_VALUE"""),0.471)</f>
        <v>0.471</v>
      </c>
      <c r="Q51" s="15">
        <f>IFERROR(__xludf.DUMMYFUNCTION("""COMPUTED_VALUE"""),0.841)</f>
        <v>0.841</v>
      </c>
      <c r="R51" s="11">
        <f>IFERROR(__xludf.DUMMYFUNCTION("""COMPUTED_VALUE"""),2.1)</f>
        <v>2.1</v>
      </c>
      <c r="S51" s="11">
        <f>IFERROR(__xludf.DUMMYFUNCTION("""COMPUTED_VALUE"""),0.45760177158605236)</f>
        <v>0.4576017716</v>
      </c>
      <c r="T51" s="11">
        <f>IFERROR(__xludf.DUMMYFUNCTION("""COMPUTED_VALUE"""),0.7474208947136959)</f>
        <v>0.7474208947</v>
      </c>
      <c r="U51" s="11">
        <f>IFERROR(__xludf.DUMMYFUNCTION("""COMPUTED_VALUE"""),-0.8507706320151226)</f>
        <v>-0.850770632</v>
      </c>
      <c r="V51" s="11">
        <f>IFERROR(__xludf.DUMMYFUNCTION("""COMPUTED_VALUE"""),0.9860653360233809)</f>
        <v>0.986065336</v>
      </c>
      <c r="W51" s="11">
        <f>IFERROR(__xludf.DUMMYFUNCTION("""COMPUTED_VALUE"""),0.07913626764067216)</f>
        <v>0.07913626764</v>
      </c>
      <c r="X51" s="11">
        <f>IFERROR(__xludf.DUMMYFUNCTION("""COMPUTED_VALUE"""),-0.4371236407912776)</f>
        <v>-0.4371236408</v>
      </c>
      <c r="Y51" s="11">
        <f>IFERROR(__xludf.DUMMYFUNCTION("""COMPUTED_VALUE"""),-0.47925057775828667)</f>
        <v>-0.4792505778</v>
      </c>
      <c r="Z51" s="11">
        <f>IFERROR(__xludf.DUMMYFUNCTION("""COMPUTED_VALUE"""),0.505951426854268)</f>
        <v>0.5059514269</v>
      </c>
      <c r="AA51" s="11">
        <f>IFERROR(__xludf.DUMMYFUNCTION("""COMPUTED_VALUE"""),-0.08712439001229988)</f>
        <v>-0.08712439001</v>
      </c>
      <c r="AB51" t="str">
        <f>IFERROR(__xludf.DUMMYFUNCTION("SUBSTITUTE(REGEXREPLACE(REGEXREPLACE(REGEXREPLACE(REGEXREPLACE(REGEXREPLACE(REGEXREPLACE(F51,"","",),IF(Projections!$T$17="""",""PG"",),),IF(Projections!$U$17="""",""SG"",),),IF(Projections!$V$17="""",""SF"",),),IF(Projections!$W$17="""",""PF"",),),IF(Pro"&amp;"jections!$X$17="""",""C"",),),""/"","""")"),"PGSG")</f>
        <v>PGSG</v>
      </c>
    </row>
    <row r="52">
      <c r="A52" t="str">
        <f>IF(Projections!$AC$17,Draft!G14,"")</f>
        <v/>
      </c>
      <c r="B52">
        <f>IFERROR(__xludf.DUMMYFUNCTION("""COMPUTED_VALUE"""),47.0)</f>
        <v>47</v>
      </c>
      <c r="C52">
        <f>IFERROR(__xludf.DUMMYFUNCTION("""COMPUTED_VALUE"""),62.6)</f>
        <v>62.6</v>
      </c>
      <c r="D52" t="str">
        <f>IFERROR(__xludf.DUMMYFUNCTION("""COMPUTED_VALUE"""),"Darius Garland")</f>
        <v>Darius Garland</v>
      </c>
      <c r="E52">
        <f>IFERROR(__xludf.DUMMYFUNCTION("""COMPUTED_VALUE"""),52.0)</f>
        <v>52</v>
      </c>
      <c r="F52" t="str">
        <f>IFERROR(__xludf.DUMMYFUNCTION("""COMPUTED_VALUE"""),"PG")</f>
        <v>PG</v>
      </c>
      <c r="G52" s="11">
        <f>IFERROR(__xludf.DUMMYFUNCTION("""COMPUTED_VALUE"""),1.5825764566259903)</f>
        <v>1.582576457</v>
      </c>
      <c r="H52" s="11">
        <f>IFERROR(__xludf.DUMMYFUNCTION("""COMPUTED_VALUE"""),1.5825764566259903)</f>
        <v>1.582576457</v>
      </c>
      <c r="I52" s="11">
        <f>IFERROR(__xludf.DUMMYFUNCTION("""COMPUTED_VALUE"""),0.0)</f>
        <v>0</v>
      </c>
      <c r="J52" s="11">
        <f>IFERROR(__xludf.DUMMYFUNCTION("""COMPUTED_VALUE"""),19.3)</f>
        <v>19.3</v>
      </c>
      <c r="K52" s="11">
        <f>IFERROR(__xludf.DUMMYFUNCTION("""COMPUTED_VALUE"""),2.3)</f>
        <v>2.3</v>
      </c>
      <c r="L52" s="11">
        <f>IFERROR(__xludf.DUMMYFUNCTION("""COMPUTED_VALUE"""),2.6)</f>
        <v>2.6</v>
      </c>
      <c r="M52" s="11">
        <f>IFERROR(__xludf.DUMMYFUNCTION("""COMPUTED_VALUE"""),7.0)</f>
        <v>7</v>
      </c>
      <c r="N52" s="11">
        <f>IFERROR(__xludf.DUMMYFUNCTION("""COMPUTED_VALUE"""),1.2)</f>
        <v>1.2</v>
      </c>
      <c r="O52" s="11">
        <f>IFERROR(__xludf.DUMMYFUNCTION("""COMPUTED_VALUE"""),0.1)</f>
        <v>0.1</v>
      </c>
      <c r="P52" s="15">
        <f>IFERROR(__xludf.DUMMYFUNCTION("""COMPUTED_VALUE"""),0.455)</f>
        <v>0.455</v>
      </c>
      <c r="Q52" s="15">
        <f>IFERROR(__xludf.DUMMYFUNCTION("""COMPUTED_VALUE"""),0.85)</f>
        <v>0.85</v>
      </c>
      <c r="R52" s="11">
        <f>IFERROR(__xludf.DUMMYFUNCTION("""COMPUTED_VALUE"""),2.9)</f>
        <v>2.9</v>
      </c>
      <c r="S52" s="11">
        <f>IFERROR(__xludf.DUMMYFUNCTION("""COMPUTED_VALUE"""),0.33114815784318885)</f>
        <v>0.3311481578</v>
      </c>
      <c r="T52" s="11">
        <f>IFERROR(__xludf.DUMMYFUNCTION("""COMPUTED_VALUE"""),0.5483722966506127)</f>
        <v>0.5483722967</v>
      </c>
      <c r="U52" s="11">
        <f>IFERROR(__xludf.DUMMYFUNCTION("""COMPUTED_VALUE"""),-1.36071345663976)</f>
        <v>-1.360713457</v>
      </c>
      <c r="V52" s="11">
        <f>IFERROR(__xludf.DUMMYFUNCTION("""COMPUTED_VALUE"""),1.3961212698225776)</f>
        <v>1.39612127</v>
      </c>
      <c r="W52" s="11">
        <f>IFERROR(__xludf.DUMMYFUNCTION("""COMPUTED_VALUE"""),0.7430016239596308)</f>
        <v>0.743001624</v>
      </c>
      <c r="X52" s="11">
        <f>IFERROR(__xludf.DUMMYFUNCTION("""COMPUTED_VALUE"""),-1.150698449001903)</f>
        <v>-1.150698449</v>
      </c>
      <c r="Y52" s="11">
        <f>IFERROR(__xludf.DUMMYFUNCTION("""COMPUTED_VALUE"""),-0.7411733780677952)</f>
        <v>-0.7411733781</v>
      </c>
      <c r="Z52" s="11">
        <f>IFERROR(__xludf.DUMMYFUNCTION("""COMPUTED_VALUE"""),0.7413150332398716)</f>
        <v>0.7413150332</v>
      </c>
      <c r="AA52" s="11">
        <f>IFERROR(__xludf.DUMMYFUNCTION("""COMPUTED_VALUE"""),-0.2855100978201931)</f>
        <v>-0.2855100978</v>
      </c>
      <c r="AB52" t="str">
        <f>IFERROR(__xludf.DUMMYFUNCTION("SUBSTITUTE(REGEXREPLACE(REGEXREPLACE(REGEXREPLACE(REGEXREPLACE(REGEXREPLACE(REGEXREPLACE(F52,"","",),IF(Projections!$T$17="""",""PG"",),),IF(Projections!$U$17="""",""SG"",),),IF(Projections!$V$17="""",""SF"",),),IF(Projections!$W$17="""",""PF"",),),IF(Pro"&amp;"jections!$X$17="""",""C"",),),""/"","""")"),"PG")</f>
        <v>PG</v>
      </c>
    </row>
    <row r="53">
      <c r="A53" t="str">
        <f>IF(Projections!$AC$17,Draft!H3,"")</f>
        <v/>
      </c>
      <c r="B53">
        <f>IFERROR(__xludf.DUMMYFUNCTION("""COMPUTED_VALUE"""),48.0)</f>
        <v>48</v>
      </c>
      <c r="C53">
        <f>IFERROR(__xludf.DUMMYFUNCTION("""COMPUTED_VALUE"""),103.3)</f>
        <v>103.3</v>
      </c>
      <c r="D53" t="str">
        <f>IFERROR(__xludf.DUMMYFUNCTION("""COMPUTED_VALUE"""),"Kristaps Porzingis")</f>
        <v>Kristaps Porzingis</v>
      </c>
      <c r="E53">
        <f>IFERROR(__xludf.DUMMYFUNCTION("""COMPUTED_VALUE"""),62.0)</f>
        <v>62</v>
      </c>
      <c r="F53" t="str">
        <f>IFERROR(__xludf.DUMMYFUNCTION("""COMPUTED_VALUE"""),"PF,C")</f>
        <v>PF,C</v>
      </c>
      <c r="G53" s="11">
        <f>IFERROR(__xludf.DUMMYFUNCTION("""COMPUTED_VALUE"""),1.5159943752021188)</f>
        <v>1.515994375</v>
      </c>
      <c r="H53" s="11">
        <f>IFERROR(__xludf.DUMMYFUNCTION("""COMPUTED_VALUE"""),1.5159943752021188)</f>
        <v>1.515994375</v>
      </c>
      <c r="I53" s="11">
        <f>IFERROR(__xludf.DUMMYFUNCTION("""COMPUTED_VALUE"""),0.0)</f>
        <v>0</v>
      </c>
      <c r="J53" s="11">
        <f>IFERROR(__xludf.DUMMYFUNCTION("""COMPUTED_VALUE"""),17.8)</f>
        <v>17.8</v>
      </c>
      <c r="K53" s="11">
        <f>IFERROR(__xludf.DUMMYFUNCTION("""COMPUTED_VALUE"""),1.8)</f>
        <v>1.8</v>
      </c>
      <c r="L53" s="11">
        <f>IFERROR(__xludf.DUMMYFUNCTION("""COMPUTED_VALUE"""),6.7)</f>
        <v>6.7</v>
      </c>
      <c r="M53" s="11">
        <f>IFERROR(__xludf.DUMMYFUNCTION("""COMPUTED_VALUE"""),2.0)</f>
        <v>2</v>
      </c>
      <c r="N53" s="11">
        <f>IFERROR(__xludf.DUMMYFUNCTION("""COMPUTED_VALUE"""),0.7)</f>
        <v>0.7</v>
      </c>
      <c r="O53" s="11">
        <f>IFERROR(__xludf.DUMMYFUNCTION("""COMPUTED_VALUE"""),1.5)</f>
        <v>1.5</v>
      </c>
      <c r="P53" s="15">
        <f>IFERROR(__xludf.DUMMYFUNCTION("""COMPUTED_VALUE"""),0.484)</f>
        <v>0.484</v>
      </c>
      <c r="Q53" s="15">
        <f>IFERROR(__xludf.DUMMYFUNCTION("""COMPUTED_VALUE"""),0.848)</f>
        <v>0.848</v>
      </c>
      <c r="R53" s="11">
        <f>IFERROR(__xludf.DUMMYFUNCTION("""COMPUTED_VALUE"""),1.6)</f>
        <v>1.6</v>
      </c>
      <c r="S53" s="11">
        <f>IFERROR(__xludf.DUMMYFUNCTION("""COMPUTED_VALUE"""),0.06017612839419531)</f>
        <v>0.06017612839</v>
      </c>
      <c r="T53" s="11">
        <f>IFERROR(__xludf.DUMMYFUNCTION("""COMPUTED_VALUE"""),0.05075080149290546)</f>
        <v>0.05075080149</v>
      </c>
      <c r="U53" s="11">
        <f>IFERROR(__xludf.DUMMYFUNCTION("""COMPUTED_VALUE"""),0.24756775948409707)</f>
        <v>0.2475677595</v>
      </c>
      <c r="V53" s="11">
        <f>IFERROR(__xludf.DUMMYFUNCTION("""COMPUTED_VALUE"""),-0.8819672512840698)</f>
        <v>-0.8819672513</v>
      </c>
      <c r="W53" s="11">
        <f>IFERROR(__xludf.DUMMYFUNCTION("""COMPUTED_VALUE"""),-0.9166617668377661)</f>
        <v>-0.9166617668</v>
      </c>
      <c r="X53" s="11">
        <f>IFERROR(__xludf.DUMMYFUNCTION("""COMPUTED_VALUE"""),1.346813379735286)</f>
        <v>1.34681338</v>
      </c>
      <c r="Y53" s="11">
        <f>IFERROR(__xludf.DUMMYFUNCTION("""COMPUTED_VALUE"""),-0.19021341987747237)</f>
        <v>-0.1902134199</v>
      </c>
      <c r="Z53" s="11">
        <f>IFERROR(__xludf.DUMMYFUNCTION("""COMPUTED_VALUE"""),0.8460002998895438)</f>
        <v>0.8460002999</v>
      </c>
      <c r="AA53" s="11">
        <f>IFERROR(__xludf.DUMMYFUNCTION("""COMPUTED_VALUE"""),0.036866677367633396)</f>
        <v>0.03686667737</v>
      </c>
      <c r="AB53" t="str">
        <f>IFERROR(__xludf.DUMMYFUNCTION("SUBSTITUTE(REGEXREPLACE(REGEXREPLACE(REGEXREPLACE(REGEXREPLACE(REGEXREPLACE(REGEXREPLACE(F53,"","",),IF(Projections!$T$17="""",""PG"",),),IF(Projections!$U$17="""",""SG"",),),IF(Projections!$V$17="""",""SF"",),),IF(Projections!$W$17="""",""PF"",),),IF(Pro"&amp;"jections!$X$17="""",""C"",),),""/"","""")"),"PFC")</f>
        <v>PFC</v>
      </c>
    </row>
    <row r="54">
      <c r="A54" t="str">
        <f>IF(Projections!$AC$17,Draft!H4,"")</f>
        <v/>
      </c>
      <c r="B54">
        <f>IFERROR(__xludf.DUMMYFUNCTION("""COMPUTED_VALUE"""),49.0)</f>
        <v>49</v>
      </c>
      <c r="C54">
        <f>IFERROR(__xludf.DUMMYFUNCTION("""COMPUTED_VALUE"""),45.0)</f>
        <v>45</v>
      </c>
      <c r="D54" t="str">
        <f>IFERROR(__xludf.DUMMYFUNCTION("""COMPUTED_VALUE"""),"Myles Turner")</f>
        <v>Myles Turner</v>
      </c>
      <c r="E54">
        <f>IFERROR(__xludf.DUMMYFUNCTION("""COMPUTED_VALUE"""),64.0)</f>
        <v>64</v>
      </c>
      <c r="F54" t="str">
        <f>IFERROR(__xludf.DUMMYFUNCTION("""COMPUTED_VALUE"""),"C")</f>
        <v>C</v>
      </c>
      <c r="G54" s="11">
        <f>IFERROR(__xludf.DUMMYFUNCTION("""COMPUTED_VALUE"""),1.4008138626613764)</f>
        <v>1.400813863</v>
      </c>
      <c r="H54" s="11">
        <f>IFERROR(__xludf.DUMMYFUNCTION("""COMPUTED_VALUE"""),1.4008138626613764)</f>
        <v>1.400813863</v>
      </c>
      <c r="I54" s="11">
        <f>IFERROR(__xludf.DUMMYFUNCTION("""COMPUTED_VALUE"""),0.0)</f>
        <v>0</v>
      </c>
      <c r="J54" s="11">
        <f>IFERROR(__xludf.DUMMYFUNCTION("""COMPUTED_VALUE"""),17.0)</f>
        <v>17</v>
      </c>
      <c r="K54" s="11">
        <f>IFERROR(__xludf.DUMMYFUNCTION("""COMPUTED_VALUE"""),1.5)</f>
        <v>1.5</v>
      </c>
      <c r="L54" s="11">
        <f>IFERROR(__xludf.DUMMYFUNCTION("""COMPUTED_VALUE"""),7.0)</f>
        <v>7</v>
      </c>
      <c r="M54" s="11">
        <f>IFERROR(__xludf.DUMMYFUNCTION("""COMPUTED_VALUE"""),1.3)</f>
        <v>1.3</v>
      </c>
      <c r="N54" s="11">
        <f>IFERROR(__xludf.DUMMYFUNCTION("""COMPUTED_VALUE"""),0.5)</f>
        <v>0.5</v>
      </c>
      <c r="O54" s="11">
        <f>IFERROR(__xludf.DUMMYFUNCTION("""COMPUTED_VALUE"""),2.0)</f>
        <v>2</v>
      </c>
      <c r="P54" s="15">
        <f>IFERROR(__xludf.DUMMYFUNCTION("""COMPUTED_VALUE"""),0.535)</f>
        <v>0.535</v>
      </c>
      <c r="Q54" s="15">
        <f>IFERROR(__xludf.DUMMYFUNCTION("""COMPUTED_VALUE"""),0.778)</f>
        <v>0.778</v>
      </c>
      <c r="R54" s="11">
        <f>IFERROR(__xludf.DUMMYFUNCTION("""COMPUTED_VALUE"""),1.5)</f>
        <v>1.5</v>
      </c>
      <c r="S54" s="11">
        <f>IFERROR(__xludf.DUMMYFUNCTION("""COMPUTED_VALUE"""),-0.0843422873119347)</f>
        <v>-0.08434228731</v>
      </c>
      <c r="T54" s="11">
        <f>IFERROR(__xludf.DUMMYFUNCTION("""COMPUTED_VALUE"""),-0.24782209560171908)</f>
        <v>-0.2478220956</v>
      </c>
      <c r="U54" s="11">
        <f>IFERROR(__xludf.DUMMYFUNCTION("""COMPUTED_VALUE"""),0.36524687285901336)</f>
        <v>0.3652468729</v>
      </c>
      <c r="V54" s="11">
        <f>IFERROR(__xludf.DUMMYFUNCTION("""COMPUTED_VALUE"""),-1.2008996442390003)</f>
        <v>-1.200899644</v>
      </c>
      <c r="W54" s="11">
        <f>IFERROR(__xludf.DUMMYFUNCTION("""COMPUTED_VALUE"""),-1.5805271231567248)</f>
        <v>-1.580527123</v>
      </c>
      <c r="X54" s="11">
        <f>IFERROR(__xludf.DUMMYFUNCTION("""COMPUTED_VALUE"""),2.2387818899985676)</f>
        <v>2.23878189</v>
      </c>
      <c r="Y54" s="11">
        <f>IFERROR(__xludf.DUMMYFUNCTION("""COMPUTED_VALUE"""),0.5137710497151557)</f>
        <v>0.5137710497</v>
      </c>
      <c r="Z54" s="11">
        <f>IFERROR(__xludf.DUMMYFUNCTION("""COMPUTED_VALUE"""),-0.2455868136023262)</f>
        <v>-0.2455868136</v>
      </c>
      <c r="AA54" s="11">
        <f>IFERROR(__xludf.DUMMYFUNCTION("""COMPUTED_VALUE"""),0.06166489084362008)</f>
        <v>0.06166489084</v>
      </c>
      <c r="AB54" t="str">
        <f>IFERROR(__xludf.DUMMYFUNCTION("SUBSTITUTE(REGEXREPLACE(REGEXREPLACE(REGEXREPLACE(REGEXREPLACE(REGEXREPLACE(REGEXREPLACE(F54,"","",),IF(Projections!$T$17="""",""PG"",),),IF(Projections!$U$17="""",""SG"",),),IF(Projections!$V$17="""",""SF"",),),IF(Projections!$W$17="""",""PF"",),),IF(Pro"&amp;"jections!$X$17="""",""C"",),),""/"","""")"),"C")</f>
        <v>C</v>
      </c>
    </row>
    <row r="55">
      <c r="A55" t="str">
        <f>IF(Projections!$AC$17,Draft!H5,"")</f>
        <v/>
      </c>
      <c r="B55">
        <f>IFERROR(__xludf.DUMMYFUNCTION("""COMPUTED_VALUE"""),50.0)</f>
        <v>50</v>
      </c>
      <c r="C55">
        <f>IFERROR(__xludf.DUMMYFUNCTION("""COMPUTED_VALUE"""),49.1)</f>
        <v>49.1</v>
      </c>
      <c r="D55" t="str">
        <f>IFERROR(__xludf.DUMMYFUNCTION("""COMPUTED_VALUE"""),"Kawhi Leonard")</f>
        <v>Kawhi Leonard</v>
      </c>
      <c r="E55">
        <f>IFERROR(__xludf.DUMMYFUNCTION("""COMPUTED_VALUE"""),71.0)</f>
        <v>71</v>
      </c>
      <c r="F55" t="str">
        <f>IFERROR(__xludf.DUMMYFUNCTION("""COMPUTED_VALUE"""),"SG,SF,PF")</f>
        <v>SG,SF,PF</v>
      </c>
      <c r="G55" s="11">
        <f>IFERROR(__xludf.DUMMYFUNCTION("""COMPUTED_VALUE"""),1.4001485263324316)</f>
        <v>1.400148526</v>
      </c>
      <c r="H55" s="11">
        <f>IFERROR(__xludf.DUMMYFUNCTION("""COMPUTED_VALUE"""),1.4001485263324316)</f>
        <v>1.400148526</v>
      </c>
      <c r="I55" s="11">
        <f>IFERROR(__xludf.DUMMYFUNCTION("""COMPUTED_VALUE"""),0.0)</f>
        <v>0</v>
      </c>
      <c r="J55" s="11">
        <f>IFERROR(__xludf.DUMMYFUNCTION("""COMPUTED_VALUE"""),20.2)</f>
        <v>20.2</v>
      </c>
      <c r="K55" s="11">
        <f>IFERROR(__xludf.DUMMYFUNCTION("""COMPUTED_VALUE"""),1.7)</f>
        <v>1.7</v>
      </c>
      <c r="L55" s="11">
        <f>IFERROR(__xludf.DUMMYFUNCTION("""COMPUTED_VALUE"""),5.4)</f>
        <v>5.4</v>
      </c>
      <c r="M55" s="11">
        <f>IFERROR(__xludf.DUMMYFUNCTION("""COMPUTED_VALUE"""),3.2)</f>
        <v>3.2</v>
      </c>
      <c r="N55" s="11">
        <f>IFERROR(__xludf.DUMMYFUNCTION("""COMPUTED_VALUE"""),1.1)</f>
        <v>1.1</v>
      </c>
      <c r="O55" s="11">
        <f>IFERROR(__xludf.DUMMYFUNCTION("""COMPUTED_VALUE"""),0.5)</f>
        <v>0.5</v>
      </c>
      <c r="P55" s="15">
        <f>IFERROR(__xludf.DUMMYFUNCTION("""COMPUTED_VALUE"""),0.507)</f>
        <v>0.507</v>
      </c>
      <c r="Q55" s="15">
        <f>IFERROR(__xludf.DUMMYFUNCTION("""COMPUTED_VALUE"""),0.859)</f>
        <v>0.859</v>
      </c>
      <c r="R55" s="11">
        <f>IFERROR(__xludf.DUMMYFUNCTION("""COMPUTED_VALUE"""),1.6)</f>
        <v>1.6</v>
      </c>
      <c r="S55" s="11">
        <f>IFERROR(__xludf.DUMMYFUNCTION("""COMPUTED_VALUE"""),0.4937313755125847)</f>
        <v>0.4937313755</v>
      </c>
      <c r="T55" s="11">
        <f>IFERROR(__xludf.DUMMYFUNCTION("""COMPUTED_VALUE"""),-0.04877349753863613)</f>
        <v>-0.04877349754</v>
      </c>
      <c r="U55" s="11">
        <f>IFERROR(__xludf.DUMMYFUNCTION("""COMPUTED_VALUE"""),-0.2623750651405405)</f>
        <v>-0.2623750651</v>
      </c>
      <c r="V55" s="11">
        <f>IFERROR(__xludf.DUMMYFUNCTION("""COMPUTED_VALUE"""),-0.33522600621847437)</f>
        <v>-0.3352260062</v>
      </c>
      <c r="W55" s="11">
        <f>IFERROR(__xludf.DUMMYFUNCTION("""COMPUTED_VALUE"""),0.41106894580015185)</f>
        <v>0.4110689458</v>
      </c>
      <c r="X55" s="11">
        <f>IFERROR(__xludf.DUMMYFUNCTION("""COMPUTED_VALUE"""),-0.4371236407912776)</f>
        <v>-0.4371236408</v>
      </c>
      <c r="Y55" s="11">
        <f>IFERROR(__xludf.DUMMYFUNCTION("""COMPUTED_VALUE"""),0.17433785252865647)</f>
        <v>0.1743378525</v>
      </c>
      <c r="Z55" s="11">
        <f>IFERROR(__xludf.DUMMYFUNCTION("""COMPUTED_VALUE"""),0.9305182440210561)</f>
        <v>0.930518244</v>
      </c>
      <c r="AA55" s="11">
        <f>IFERROR(__xludf.DUMMYFUNCTION("""COMPUTED_VALUE"""),0.036866677367633396)</f>
        <v>0.03686667737</v>
      </c>
      <c r="AB55" t="str">
        <f>IFERROR(__xludf.DUMMYFUNCTION("SUBSTITUTE(REGEXREPLACE(REGEXREPLACE(REGEXREPLACE(REGEXREPLACE(REGEXREPLACE(REGEXREPLACE(F55,"","",),IF(Projections!$T$17="""",""PG"",),),IF(Projections!$U$17="""",""SG"",),),IF(Projections!$V$17="""",""SF"",),),IF(Projections!$W$17="""",""PF"",),),IF(Pro"&amp;"jections!$X$17="""",""C"",),),""/"","""")"),"SGSFPF")</f>
        <v>SGSFPF</v>
      </c>
    </row>
    <row r="56">
      <c r="A56" t="str">
        <f>IF(Projections!$AC$17,Draft!H6,"")</f>
        <v/>
      </c>
      <c r="B56">
        <f>IFERROR(__xludf.DUMMYFUNCTION("""COMPUTED_VALUE"""),51.0)</f>
        <v>51</v>
      </c>
      <c r="C56">
        <f>IFERROR(__xludf.DUMMYFUNCTION("""COMPUTED_VALUE"""),86.4)</f>
        <v>86.4</v>
      </c>
      <c r="D56" t="str">
        <f>IFERROR(__xludf.DUMMYFUNCTION("""COMPUTED_VALUE"""),"Jordan Poole")</f>
        <v>Jordan Poole</v>
      </c>
      <c r="E56">
        <f>IFERROR(__xludf.DUMMYFUNCTION("""COMPUTED_VALUE"""),66.0)</f>
        <v>66</v>
      </c>
      <c r="F56" t="str">
        <f>IFERROR(__xludf.DUMMYFUNCTION("""COMPUTED_VALUE"""),"PG,SG")</f>
        <v>PG,SG</v>
      </c>
      <c r="G56" s="11">
        <f>IFERROR(__xludf.DUMMYFUNCTION("""COMPUTED_VALUE"""),1.3467447808161384)</f>
        <v>1.346744781</v>
      </c>
      <c r="H56" s="11">
        <f>IFERROR(__xludf.DUMMYFUNCTION("""COMPUTED_VALUE"""),1.3467447808161384)</f>
        <v>1.346744781</v>
      </c>
      <c r="I56" s="11">
        <f>IFERROR(__xludf.DUMMYFUNCTION("""COMPUTED_VALUE"""),0.0)</f>
        <v>0</v>
      </c>
      <c r="J56" s="11">
        <f>IFERROR(__xludf.DUMMYFUNCTION("""COMPUTED_VALUE"""),20.1)</f>
        <v>20.1</v>
      </c>
      <c r="K56" s="11">
        <f>IFERROR(__xludf.DUMMYFUNCTION("""COMPUTED_VALUE"""),2.6)</f>
        <v>2.6</v>
      </c>
      <c r="L56" s="11">
        <f>IFERROR(__xludf.DUMMYFUNCTION("""COMPUTED_VALUE"""),2.9)</f>
        <v>2.9</v>
      </c>
      <c r="M56" s="11">
        <f>IFERROR(__xludf.DUMMYFUNCTION("""COMPUTED_VALUE"""),5.7)</f>
        <v>5.7</v>
      </c>
      <c r="N56" s="11">
        <f>IFERROR(__xludf.DUMMYFUNCTION("""COMPUTED_VALUE"""),1.1)</f>
        <v>1.1</v>
      </c>
      <c r="O56" s="11">
        <f>IFERROR(__xludf.DUMMYFUNCTION("""COMPUTED_VALUE"""),0.3)</f>
        <v>0.3</v>
      </c>
      <c r="P56" s="15">
        <f>IFERROR(__xludf.DUMMYFUNCTION("""COMPUTED_VALUE"""),0.422)</f>
        <v>0.422</v>
      </c>
      <c r="Q56" s="15">
        <f>IFERROR(__xludf.DUMMYFUNCTION("""COMPUTED_VALUE"""),0.871)</f>
        <v>0.871</v>
      </c>
      <c r="R56" s="11">
        <f>IFERROR(__xludf.DUMMYFUNCTION("""COMPUTED_VALUE"""),2.9)</f>
        <v>2.9</v>
      </c>
      <c r="S56" s="11">
        <f>IFERROR(__xludf.DUMMYFUNCTION("""COMPUTED_VALUE"""),0.47566657354931885)</f>
        <v>0.4756665735</v>
      </c>
      <c r="T56" s="11">
        <f>IFERROR(__xludf.DUMMYFUNCTION("""COMPUTED_VALUE"""),0.8469451937452375)</f>
        <v>0.8469451937</v>
      </c>
      <c r="U56" s="11">
        <f>IFERROR(__xludf.DUMMYFUNCTION("""COMPUTED_VALUE"""),-1.2430343432648439)</f>
        <v>-1.243034343</v>
      </c>
      <c r="V56" s="11">
        <f>IFERROR(__xludf.DUMMYFUNCTION("""COMPUTED_VALUE"""),0.8038182543348493)</f>
        <v>0.8038182543</v>
      </c>
      <c r="W56" s="11">
        <f>IFERROR(__xludf.DUMMYFUNCTION("""COMPUTED_VALUE"""),0.41106894580015185)</f>
        <v>0.4110689458</v>
      </c>
      <c r="X56" s="11">
        <f>IFERROR(__xludf.DUMMYFUNCTION("""COMPUTED_VALUE"""),-0.7939110448965904)</f>
        <v>-0.7939110449</v>
      </c>
      <c r="Y56" s="11">
        <f>IFERROR(__xludf.DUMMYFUNCTION("""COMPUTED_VALUE"""),-1.4304938653625285)</f>
        <v>-1.430493865</v>
      </c>
      <c r="Z56" s="11">
        <f>IFERROR(__xludf.DUMMYFUNCTION("""COMPUTED_VALUE"""),1.131701299368208)</f>
        <v>1.131701299</v>
      </c>
      <c r="AA56" s="11">
        <f>IFERROR(__xludf.DUMMYFUNCTION("""COMPUTED_VALUE"""),-0.2855100978201931)</f>
        <v>-0.2855100978</v>
      </c>
      <c r="AB56" t="str">
        <f>IFERROR(__xludf.DUMMYFUNCTION("SUBSTITUTE(REGEXREPLACE(REGEXREPLACE(REGEXREPLACE(REGEXREPLACE(REGEXREPLACE(REGEXREPLACE(F56,"","",),IF(Projections!$T$17="""",""PG"",),),IF(Projections!$U$17="""",""SG"",),),IF(Projections!$V$17="""",""SF"",),),IF(Projections!$W$17="""",""PF"",),),IF(Pro"&amp;"jections!$X$17="""",""C"",),),""/"","""")"),"PGSG")</f>
        <v>PGSG</v>
      </c>
    </row>
    <row r="57">
      <c r="A57" t="str">
        <f>IF(Projections!$AC$17,Draft!H7,"")</f>
        <v/>
      </c>
      <c r="B57">
        <f>IFERROR(__xludf.DUMMYFUNCTION("""COMPUTED_VALUE"""),52.0)</f>
        <v>52</v>
      </c>
      <c r="C57">
        <f>IFERROR(__xludf.DUMMYFUNCTION("""COMPUTED_VALUE"""),63.9)</f>
        <v>63.9</v>
      </c>
      <c r="D57" t="str">
        <f>IFERROR(__xludf.DUMMYFUNCTION("""COMPUTED_VALUE"""),"Nicolas Claxton")</f>
        <v>Nicolas Claxton</v>
      </c>
      <c r="E57">
        <f>IFERROR(__xludf.DUMMYFUNCTION("""COMPUTED_VALUE"""),66.0)</f>
        <v>66</v>
      </c>
      <c r="F57" t="str">
        <f>IFERROR(__xludf.DUMMYFUNCTION("""COMPUTED_VALUE"""),"C")</f>
        <v>C</v>
      </c>
      <c r="G57" s="11">
        <f>IFERROR(__xludf.DUMMYFUNCTION("""COMPUTED_VALUE"""),1.3313446315258908)</f>
        <v>1.331344632</v>
      </c>
      <c r="H57" s="11">
        <f>IFERROR(__xludf.DUMMYFUNCTION("""COMPUTED_VALUE"""),1.3313446315258908)</f>
        <v>1.331344632</v>
      </c>
      <c r="I57" s="11">
        <f>IFERROR(__xludf.DUMMYFUNCTION("""COMPUTED_VALUE"""),0.0)</f>
        <v>0</v>
      </c>
      <c r="J57" s="11">
        <f>IFERROR(__xludf.DUMMYFUNCTION("""COMPUTED_VALUE"""),12.5)</f>
        <v>12.5</v>
      </c>
      <c r="K57" s="11">
        <f>IFERROR(__xludf.DUMMYFUNCTION("""COMPUTED_VALUE"""),0.0)</f>
        <v>0</v>
      </c>
      <c r="L57" s="11">
        <f>IFERROR(__xludf.DUMMYFUNCTION("""COMPUTED_VALUE"""),9.8)</f>
        <v>9.8</v>
      </c>
      <c r="M57" s="11">
        <f>IFERROR(__xludf.DUMMYFUNCTION("""COMPUTED_VALUE"""),2.0)</f>
        <v>2</v>
      </c>
      <c r="N57" s="11">
        <f>IFERROR(__xludf.DUMMYFUNCTION("""COMPUTED_VALUE"""),0.8)</f>
        <v>0.8</v>
      </c>
      <c r="O57" s="11">
        <f>IFERROR(__xludf.DUMMYFUNCTION("""COMPUTED_VALUE"""),2.2)</f>
        <v>2.2</v>
      </c>
      <c r="P57" s="15">
        <f>IFERROR(__xludf.DUMMYFUNCTION("""COMPUTED_VALUE"""),0.621)</f>
        <v>0.621</v>
      </c>
      <c r="Q57" s="15">
        <f>IFERROR(__xludf.DUMMYFUNCTION("""COMPUTED_VALUE"""),0.555)</f>
        <v>0.555</v>
      </c>
      <c r="R57" s="11">
        <f>IFERROR(__xludf.DUMMYFUNCTION("""COMPUTED_VALUE"""),1.3)</f>
        <v>1.3</v>
      </c>
      <c r="S57" s="11">
        <f>IFERROR(__xludf.DUMMYFUNCTION("""COMPUTED_VALUE"""),-0.8972583756589153)</f>
        <v>-0.8972583757</v>
      </c>
      <c r="T57" s="11">
        <f>IFERROR(__xludf.DUMMYFUNCTION("""COMPUTED_VALUE"""),-1.7406865810748415)</f>
        <v>-1.740686581</v>
      </c>
      <c r="U57" s="11">
        <f>IFERROR(__xludf.DUMMYFUNCTION("""COMPUTED_VALUE"""),1.4635852643582332)</f>
        <v>1.463585264</v>
      </c>
      <c r="V57" s="11">
        <f>IFERROR(__xludf.DUMMYFUNCTION("""COMPUTED_VALUE"""),-0.8819672512840698)</f>
        <v>-0.8819672513</v>
      </c>
      <c r="W57" s="11">
        <f>IFERROR(__xludf.DUMMYFUNCTION("""COMPUTED_VALUE"""),-0.5847290886782864)</f>
        <v>-0.5847290887</v>
      </c>
      <c r="X57" s="11">
        <f>IFERROR(__xludf.DUMMYFUNCTION("""COMPUTED_VALUE"""),2.595569294103881)</f>
        <v>2.595569294</v>
      </c>
      <c r="Y57" s="11">
        <f>IFERROR(__xludf.DUMMYFUNCTION("""COMPUTED_VALUE"""),1.265570051964296)</f>
        <v>1.265570052</v>
      </c>
      <c r="Z57" s="11">
        <f>IFERROR(__xludf.DUMMYFUNCTION("""COMPUTED_VALUE"""),-2.548906592157207)</f>
        <v>-2.548906592</v>
      </c>
      <c r="AA57" s="11">
        <f>IFERROR(__xludf.DUMMYFUNCTION("""COMPUTED_VALUE"""),0.11126131779559338)</f>
        <v>0.1112613178</v>
      </c>
      <c r="AB57" t="str">
        <f>IFERROR(__xludf.DUMMYFUNCTION("SUBSTITUTE(REGEXREPLACE(REGEXREPLACE(REGEXREPLACE(REGEXREPLACE(REGEXREPLACE(REGEXREPLACE(F57,"","",),IF(Projections!$T$17="""",""PG"",),),IF(Projections!$U$17="""",""SG"",),),IF(Projections!$V$17="""",""SF"",),),IF(Projections!$W$17="""",""PF"",),),IF(Pro"&amp;"jections!$X$17="""",""C"",),),""/"","""")"),"C")</f>
        <v>C</v>
      </c>
    </row>
    <row r="58">
      <c r="A58" t="str">
        <f>IF(Projections!$AC$17,Draft!H8,"")</f>
        <v/>
      </c>
      <c r="B58">
        <f>IFERROR(__xludf.DUMMYFUNCTION("""COMPUTED_VALUE"""),53.0)</f>
        <v>53</v>
      </c>
      <c r="C58">
        <f>IFERROR(__xludf.DUMMYFUNCTION("""COMPUTED_VALUE"""),74.0)</f>
        <v>74</v>
      </c>
      <c r="D58" t="str">
        <f>IFERROR(__xludf.DUMMYFUNCTION("""COMPUTED_VALUE"""),"D'Angelo Russell")</f>
        <v>D'Angelo Russell</v>
      </c>
      <c r="E58">
        <f>IFERROR(__xludf.DUMMYFUNCTION("""COMPUTED_VALUE"""),71.0)</f>
        <v>71</v>
      </c>
      <c r="F58" t="str">
        <f>IFERROR(__xludf.DUMMYFUNCTION("""COMPUTED_VALUE"""),"PG")</f>
        <v>PG</v>
      </c>
      <c r="G58" s="11">
        <f>IFERROR(__xludf.DUMMYFUNCTION("""COMPUTED_VALUE"""),1.2794992760437933)</f>
        <v>1.279499276</v>
      </c>
      <c r="H58" s="11">
        <f>IFERROR(__xludf.DUMMYFUNCTION("""COMPUTED_VALUE"""),1.2794992760437933)</f>
        <v>1.279499276</v>
      </c>
      <c r="I58" s="11">
        <f>IFERROR(__xludf.DUMMYFUNCTION("""COMPUTED_VALUE"""),0.0)</f>
        <v>0</v>
      </c>
      <c r="J58" s="11">
        <f>IFERROR(__xludf.DUMMYFUNCTION("""COMPUTED_VALUE"""),17.5)</f>
        <v>17.5</v>
      </c>
      <c r="K58" s="11">
        <f>IFERROR(__xludf.DUMMYFUNCTION("""COMPUTED_VALUE"""),2.9)</f>
        <v>2.9</v>
      </c>
      <c r="L58" s="11">
        <f>IFERROR(__xludf.DUMMYFUNCTION("""COMPUTED_VALUE"""),3.1)</f>
        <v>3.1</v>
      </c>
      <c r="M58" s="11">
        <f>IFERROR(__xludf.DUMMYFUNCTION("""COMPUTED_VALUE"""),6.0)</f>
        <v>6</v>
      </c>
      <c r="N58" s="11">
        <f>IFERROR(__xludf.DUMMYFUNCTION("""COMPUTED_VALUE"""),1.0)</f>
        <v>1</v>
      </c>
      <c r="O58" s="11">
        <f>IFERROR(__xludf.DUMMYFUNCTION("""COMPUTED_VALUE"""),0.5)</f>
        <v>0.5</v>
      </c>
      <c r="P58" s="15">
        <f>IFERROR(__xludf.DUMMYFUNCTION("""COMPUTED_VALUE"""),0.457)</f>
        <v>0.457</v>
      </c>
      <c r="Q58" s="15">
        <f>IFERROR(__xludf.DUMMYFUNCTION("""COMPUTED_VALUE"""),0.829)</f>
        <v>0.829</v>
      </c>
      <c r="R58" s="11">
        <f>IFERROR(__xludf.DUMMYFUNCTION("""COMPUTED_VALUE"""),2.4)</f>
        <v>2.4</v>
      </c>
      <c r="S58" s="11">
        <f>IFERROR(__xludf.DUMMYFUNCTION("""COMPUTED_VALUE"""),0.005981722504396474)</f>
        <v>0.005981722504</v>
      </c>
      <c r="T58" s="11">
        <f>IFERROR(__xludf.DUMMYFUNCTION("""COMPUTED_VALUE"""),1.145518090839862)</f>
        <v>1.145518091</v>
      </c>
      <c r="U58" s="11">
        <f>IFERROR(__xludf.DUMMYFUNCTION("""COMPUTED_VALUE"""),-1.1645816010148995)</f>
        <v>-1.164581601</v>
      </c>
      <c r="V58" s="11">
        <f>IFERROR(__xludf.DUMMYFUNCTION("""COMPUTED_VALUE"""),0.940503565601248)</f>
        <v>0.9405035656</v>
      </c>
      <c r="W58" s="11">
        <f>IFERROR(__xludf.DUMMYFUNCTION("""COMPUTED_VALUE"""),0.07913626764067216)</f>
        <v>0.07913626764</v>
      </c>
      <c r="X58" s="11">
        <f>IFERROR(__xludf.DUMMYFUNCTION("""COMPUTED_VALUE"""),-0.4371236407912776)</f>
        <v>-0.4371236408</v>
      </c>
      <c r="Y58" s="11">
        <f>IFERROR(__xludf.DUMMYFUNCTION("""COMPUTED_VALUE"""),-0.6309944259100991)</f>
        <v>-0.6309944259</v>
      </c>
      <c r="Z58" s="11">
        <f>IFERROR(__xludf.DUMMYFUNCTION("""COMPUTED_VALUE"""),0.33799672659925106)</f>
        <v>0.3379967266</v>
      </c>
      <c r="AA58" s="11">
        <f>IFERROR(__xludf.DUMMYFUNCTION("""COMPUTED_VALUE"""),-0.1615190304402598)</f>
        <v>-0.1615190304</v>
      </c>
      <c r="AB58" t="str">
        <f>IFERROR(__xludf.DUMMYFUNCTION("SUBSTITUTE(REGEXREPLACE(REGEXREPLACE(REGEXREPLACE(REGEXREPLACE(REGEXREPLACE(REGEXREPLACE(F58,"","",),IF(Projections!$T$17="""",""PG"",),),IF(Projections!$U$17="""",""SG"",),),IF(Projections!$V$17="""",""SF"",),),IF(Projections!$W$17="""",""PF"",),),IF(Pro"&amp;"jections!$X$17="""",""C"",),),""/"","""")"),"PG")</f>
        <v>PG</v>
      </c>
    </row>
    <row r="59">
      <c r="A59" t="str">
        <f>IF(Projections!$AC$17,Draft!H9,"")</f>
        <v/>
      </c>
      <c r="B59">
        <f>IFERROR(__xludf.DUMMYFUNCTION("""COMPUTED_VALUE"""),54.0)</f>
        <v>54</v>
      </c>
      <c r="C59">
        <f>IFERROR(__xludf.DUMMYFUNCTION("""COMPUTED_VALUE"""),46.6)</f>
        <v>46.6</v>
      </c>
      <c r="D59" t="str">
        <f>IFERROR(__xludf.DUMMYFUNCTION("""COMPUTED_VALUE"""),"Zion Williamson")</f>
        <v>Zion Williamson</v>
      </c>
      <c r="E59">
        <f>IFERROR(__xludf.DUMMYFUNCTION("""COMPUTED_VALUE"""),58.0)</f>
        <v>58</v>
      </c>
      <c r="F59" t="str">
        <f>IFERROR(__xludf.DUMMYFUNCTION("""COMPUTED_VALUE"""),"PF,C")</f>
        <v>PF,C</v>
      </c>
      <c r="G59" s="11">
        <f>IFERROR(__xludf.DUMMYFUNCTION("""COMPUTED_VALUE"""),1.2528614916780914)</f>
        <v>1.252861492</v>
      </c>
      <c r="H59" s="11">
        <f>IFERROR(__xludf.DUMMYFUNCTION("""COMPUTED_VALUE"""),1.2528614916780914)</f>
        <v>1.252861492</v>
      </c>
      <c r="I59" s="11">
        <f>IFERROR(__xludf.DUMMYFUNCTION("""COMPUTED_VALUE"""),0.0)</f>
        <v>0</v>
      </c>
      <c r="J59" s="11">
        <f>IFERROR(__xludf.DUMMYFUNCTION("""COMPUTED_VALUE"""),22.8)</f>
        <v>22.8</v>
      </c>
      <c r="K59" s="11">
        <f>IFERROR(__xludf.DUMMYFUNCTION("""COMPUTED_VALUE"""),0.1)</f>
        <v>0.1</v>
      </c>
      <c r="L59" s="11">
        <f>IFERROR(__xludf.DUMMYFUNCTION("""COMPUTED_VALUE"""),6.2)</f>
        <v>6.2</v>
      </c>
      <c r="M59" s="11">
        <f>IFERROR(__xludf.DUMMYFUNCTION("""COMPUTED_VALUE"""),5.0)</f>
        <v>5</v>
      </c>
      <c r="N59" s="11">
        <f>IFERROR(__xludf.DUMMYFUNCTION("""COMPUTED_VALUE"""),1.1)</f>
        <v>1.1</v>
      </c>
      <c r="O59" s="11">
        <f>IFERROR(__xludf.DUMMYFUNCTION("""COMPUTED_VALUE"""),0.7)</f>
        <v>0.7</v>
      </c>
      <c r="P59" s="15">
        <f>IFERROR(__xludf.DUMMYFUNCTION("""COMPUTED_VALUE"""),0.573)</f>
        <v>0.573</v>
      </c>
      <c r="Q59" s="15">
        <f>IFERROR(__xludf.DUMMYFUNCTION("""COMPUTED_VALUE"""),0.714)</f>
        <v>0.714</v>
      </c>
      <c r="R59" s="11">
        <f>IFERROR(__xludf.DUMMYFUNCTION("""COMPUTED_VALUE"""),3.0)</f>
        <v>3</v>
      </c>
      <c r="S59" s="11">
        <f>IFERROR(__xludf.DUMMYFUNCTION("""COMPUTED_VALUE"""),0.9634162265575071)</f>
        <v>0.9634162266</v>
      </c>
      <c r="T59" s="11">
        <f>IFERROR(__xludf.DUMMYFUNCTION("""COMPUTED_VALUE"""),-1.6411622820433)</f>
        <v>-1.641162282</v>
      </c>
      <c r="U59" s="11">
        <f>IFERROR(__xludf.DUMMYFUNCTION("""COMPUTED_VALUE"""),0.05143590385923644)</f>
        <v>0.05143590386</v>
      </c>
      <c r="V59" s="11">
        <f>IFERROR(__xludf.DUMMYFUNCTION("""COMPUTED_VALUE"""),0.4848858613799186)</f>
        <v>0.4848858614</v>
      </c>
      <c r="W59" s="11">
        <f>IFERROR(__xludf.DUMMYFUNCTION("""COMPUTED_VALUE"""),0.41106894580015185)</f>
        <v>0.4110689458</v>
      </c>
      <c r="X59" s="11">
        <f>IFERROR(__xludf.DUMMYFUNCTION("""COMPUTED_VALUE"""),-0.08033623668596498)</f>
        <v>-0.08033623669</v>
      </c>
      <c r="Y59" s="11">
        <f>IFERROR(__xludf.DUMMYFUNCTION("""COMPUTED_VALUE"""),1.373861384106722)</f>
        <v>1.373861384</v>
      </c>
      <c r="Z59" s="11">
        <f>IFERROR(__xludf.DUMMYFUNCTION("""COMPUTED_VALUE"""),-2.0345050126069366)</f>
        <v>-2.034505013</v>
      </c>
      <c r="AA59" s="11">
        <f>IFERROR(__xludf.DUMMYFUNCTION("""COMPUTED_VALUE"""),-0.31030831129617975)</f>
        <v>-0.3103083113</v>
      </c>
      <c r="AB59" t="str">
        <f>IFERROR(__xludf.DUMMYFUNCTION("SUBSTITUTE(REGEXREPLACE(REGEXREPLACE(REGEXREPLACE(REGEXREPLACE(REGEXREPLACE(REGEXREPLACE(F59,"","",),IF(Projections!$T$17="""",""PG"",),),IF(Projections!$U$17="""",""SG"",),),IF(Projections!$V$17="""",""SF"",),),IF(Projections!$W$17="""",""PF"",),),IF(Pro"&amp;"jections!$X$17="""",""C"",),),""/"","""")"),"PFC")</f>
        <v>PFC</v>
      </c>
    </row>
    <row r="60">
      <c r="A60" t="str">
        <f>IF(Projections!$AC$17,Draft!H10,"")</f>
        <v/>
      </c>
      <c r="B60">
        <f>IFERROR(__xludf.DUMMYFUNCTION("""COMPUTED_VALUE"""),55.0)</f>
        <v>55</v>
      </c>
      <c r="C60">
        <f>IFERROR(__xludf.DUMMYFUNCTION("""COMPUTED_VALUE"""),40.9)</f>
        <v>40.9</v>
      </c>
      <c r="D60" t="str">
        <f>IFERROR(__xludf.DUMMYFUNCTION("""COMPUTED_VALUE"""),"Jaylen Brown")</f>
        <v>Jaylen Brown</v>
      </c>
      <c r="E60">
        <f>IFERROR(__xludf.DUMMYFUNCTION("""COMPUTED_VALUE"""),71.0)</f>
        <v>71</v>
      </c>
      <c r="F60" t="str">
        <f>IFERROR(__xludf.DUMMYFUNCTION("""COMPUTED_VALUE"""),"SG,SF")</f>
        <v>SG,SF</v>
      </c>
      <c r="G60" s="11">
        <f>IFERROR(__xludf.DUMMYFUNCTION("""COMPUTED_VALUE"""),1.235918171898882)</f>
        <v>1.235918172</v>
      </c>
      <c r="H60" s="11">
        <f>IFERROR(__xludf.DUMMYFUNCTION("""COMPUTED_VALUE"""),1.235918171898882)</f>
        <v>1.235918172</v>
      </c>
      <c r="I60" s="11">
        <f>IFERROR(__xludf.DUMMYFUNCTION("""COMPUTED_VALUE"""),0.0)</f>
        <v>0</v>
      </c>
      <c r="J60" s="11">
        <f>IFERROR(__xludf.DUMMYFUNCTION("""COMPUTED_VALUE"""),24.4)</f>
        <v>24.4</v>
      </c>
      <c r="K60" s="11">
        <f>IFERROR(__xludf.DUMMYFUNCTION("""COMPUTED_VALUE"""),2.2)</f>
        <v>2.2</v>
      </c>
      <c r="L60" s="11">
        <f>IFERROR(__xludf.DUMMYFUNCTION("""COMPUTED_VALUE"""),6.1)</f>
        <v>6.1</v>
      </c>
      <c r="M60" s="11">
        <f>IFERROR(__xludf.DUMMYFUNCTION("""COMPUTED_VALUE"""),3.5)</f>
        <v>3.5</v>
      </c>
      <c r="N60" s="11">
        <f>IFERROR(__xludf.DUMMYFUNCTION("""COMPUTED_VALUE"""),1.1)</f>
        <v>1.1</v>
      </c>
      <c r="O60" s="11">
        <f>IFERROR(__xludf.DUMMYFUNCTION("""COMPUTED_VALUE"""),0.5)</f>
        <v>0.5</v>
      </c>
      <c r="P60" s="15">
        <f>IFERROR(__xludf.DUMMYFUNCTION("""COMPUTED_VALUE"""),0.495)</f>
        <v>0.495</v>
      </c>
      <c r="Q60" s="15">
        <f>IFERROR(__xludf.DUMMYFUNCTION("""COMPUTED_VALUE"""),0.737)</f>
        <v>0.737</v>
      </c>
      <c r="R60" s="11">
        <f>IFERROR(__xludf.DUMMYFUNCTION("""COMPUTED_VALUE"""),2.6)</f>
        <v>2.6</v>
      </c>
      <c r="S60" s="11">
        <f>IFERROR(__xludf.DUMMYFUNCTION("""COMPUTED_VALUE"""),1.2524530579697666)</f>
        <v>1.252453058</v>
      </c>
      <c r="T60" s="11">
        <f>IFERROR(__xludf.DUMMYFUNCTION("""COMPUTED_VALUE"""),0.44884799761907157)</f>
        <v>0.4488479976</v>
      </c>
      <c r="U60" s="11">
        <f>IFERROR(__xludf.DUMMYFUNCTION("""COMPUTED_VALUE"""),0.012209532734264103)</f>
        <v>0.01220953273</v>
      </c>
      <c r="V60" s="11">
        <f>IFERROR(__xludf.DUMMYFUNCTION("""COMPUTED_VALUE"""),-0.1985406949520756)</f>
        <v>-0.198540695</v>
      </c>
      <c r="W60" s="11">
        <f>IFERROR(__xludf.DUMMYFUNCTION("""COMPUTED_VALUE"""),0.41106894580015185)</f>
        <v>0.4110689458</v>
      </c>
      <c r="X60" s="11">
        <f>IFERROR(__xludf.DUMMYFUNCTION("""COMPUTED_VALUE"""),-0.4371236407912776)</f>
        <v>-0.4371236408</v>
      </c>
      <c r="Y60" s="11">
        <f>IFERROR(__xludf.DUMMYFUNCTION("""COMPUTED_VALUE"""),-0.04188156908878569)</f>
        <v>-0.04188156909</v>
      </c>
      <c r="Z60" s="11">
        <f>IFERROR(__xludf.DUMMYFUNCTION("""COMPUTED_VALUE"""),-0.9434479392231165)</f>
        <v>-0.9434479392</v>
      </c>
      <c r="AA60" s="11">
        <f>IFERROR(__xludf.DUMMYFUNCTION("""COMPUTED_VALUE"""),-0.21111545739223317)</f>
        <v>-0.2111154574</v>
      </c>
      <c r="AB60" t="str">
        <f>IFERROR(__xludf.DUMMYFUNCTION("SUBSTITUTE(REGEXREPLACE(REGEXREPLACE(REGEXREPLACE(REGEXREPLACE(REGEXREPLACE(REGEXREPLACE(F60,"","",),IF(Projections!$T$17="""",""PG"",),),IF(Projections!$U$17="""",""SG"",),),IF(Projections!$V$17="""",""SF"",),),IF(Projections!$W$17="""",""PF"",),),IF(Pro"&amp;"jections!$X$17="""",""C"",),),""/"","""")"),"SGSF")</f>
        <v>SGSF</v>
      </c>
    </row>
    <row r="61">
      <c r="A61" t="str">
        <f>IF(Projections!$AC$17,Draft!H11,"")</f>
        <v/>
      </c>
      <c r="B61">
        <f>IFERROR(__xludf.DUMMYFUNCTION("""COMPUTED_VALUE"""),56.0)</f>
        <v>56</v>
      </c>
      <c r="C61">
        <f>IFERROR(__xludf.DUMMYFUNCTION("""COMPUTED_VALUE"""),34.6)</f>
        <v>34.6</v>
      </c>
      <c r="D61" t="str">
        <f>IFERROR(__xludf.DUMMYFUNCTION("""COMPUTED_VALUE"""),"Paolo Banchero")</f>
        <v>Paolo Banchero</v>
      </c>
      <c r="E61">
        <f>IFERROR(__xludf.DUMMYFUNCTION("""COMPUTED_VALUE"""),71.0)</f>
        <v>71</v>
      </c>
      <c r="F61" t="str">
        <f>IFERROR(__xludf.DUMMYFUNCTION("""COMPUTED_VALUE"""),"SF,PF")</f>
        <v>SF,PF</v>
      </c>
      <c r="G61" s="11">
        <f>IFERROR(__xludf.DUMMYFUNCTION("""COMPUTED_VALUE"""),1.1724575422485133)</f>
        <v>1.172457542</v>
      </c>
      <c r="H61" s="11">
        <f>IFERROR(__xludf.DUMMYFUNCTION("""COMPUTED_VALUE"""),1.1724575422485133)</f>
        <v>1.172457542</v>
      </c>
      <c r="I61" s="11">
        <f>IFERROR(__xludf.DUMMYFUNCTION("""COMPUTED_VALUE"""),0.0)</f>
        <v>0</v>
      </c>
      <c r="J61" s="11">
        <f>IFERROR(__xludf.DUMMYFUNCTION("""COMPUTED_VALUE"""),23.1)</f>
        <v>23.1</v>
      </c>
      <c r="K61" s="11">
        <f>IFERROR(__xludf.DUMMYFUNCTION("""COMPUTED_VALUE"""),1.6)</f>
        <v>1.6</v>
      </c>
      <c r="L61" s="11">
        <f>IFERROR(__xludf.DUMMYFUNCTION("""COMPUTED_VALUE"""),7.4)</f>
        <v>7.4</v>
      </c>
      <c r="M61" s="11">
        <f>IFERROR(__xludf.DUMMYFUNCTION("""COMPUTED_VALUE"""),5.7)</f>
        <v>5.7</v>
      </c>
      <c r="N61" s="11">
        <f>IFERROR(__xludf.DUMMYFUNCTION("""COMPUTED_VALUE"""),1.0)</f>
        <v>1</v>
      </c>
      <c r="O61" s="11">
        <f>IFERROR(__xludf.DUMMYFUNCTION("""COMPUTED_VALUE"""),0.7)</f>
        <v>0.7</v>
      </c>
      <c r="P61" s="15">
        <f>IFERROR(__xludf.DUMMYFUNCTION("""COMPUTED_VALUE"""),0.462)</f>
        <v>0.462</v>
      </c>
      <c r="Q61" s="15">
        <f>IFERROR(__xludf.DUMMYFUNCTION("""COMPUTED_VALUE"""),0.731)</f>
        <v>0.731</v>
      </c>
      <c r="R61" s="11">
        <f>IFERROR(__xludf.DUMMYFUNCTION("""COMPUTED_VALUE"""),3.0)</f>
        <v>3</v>
      </c>
      <c r="S61" s="11">
        <f>IFERROR(__xludf.DUMMYFUNCTION("""COMPUTED_VALUE"""),1.017610632447306)</f>
        <v>1.017610632</v>
      </c>
      <c r="T61" s="11">
        <f>IFERROR(__xludf.DUMMYFUNCTION("""COMPUTED_VALUE"""),-0.1482977965701775)</f>
        <v>-0.1482977966</v>
      </c>
      <c r="U61" s="11">
        <f>IFERROR(__xludf.DUMMYFUNCTION("""COMPUTED_VALUE"""),0.522152357358902)</f>
        <v>0.5221523574</v>
      </c>
      <c r="V61" s="11">
        <f>IFERROR(__xludf.DUMMYFUNCTION("""COMPUTED_VALUE"""),0.8038182543348493)</f>
        <v>0.8038182543</v>
      </c>
      <c r="W61" s="11">
        <f>IFERROR(__xludf.DUMMYFUNCTION("""COMPUTED_VALUE"""),0.07913626764067216)</f>
        <v>0.07913626764</v>
      </c>
      <c r="X61" s="11">
        <f>IFERROR(__xludf.DUMMYFUNCTION("""COMPUTED_VALUE"""),-0.08033623668596498)</f>
        <v>-0.08033623669</v>
      </c>
      <c r="Y61" s="11">
        <f>IFERROR(__xludf.DUMMYFUNCTION("""COMPUTED_VALUE"""),-0.7113176249808941)</f>
        <v>-0.711317625</v>
      </c>
      <c r="Z61" s="11">
        <f>IFERROR(__xludf.DUMMYFUNCTION("""COMPUTED_VALUE"""),-1.674959575774307)</f>
        <v>-1.674959576</v>
      </c>
      <c r="AA61" s="11">
        <f>IFERROR(__xludf.DUMMYFUNCTION("""COMPUTED_VALUE"""),-0.31030831129617975)</f>
        <v>-0.3103083113</v>
      </c>
      <c r="AB61" t="str">
        <f>IFERROR(__xludf.DUMMYFUNCTION("SUBSTITUTE(REGEXREPLACE(REGEXREPLACE(REGEXREPLACE(REGEXREPLACE(REGEXREPLACE(REGEXREPLACE(F61,"","",),IF(Projections!$T$17="""",""PG"",),),IF(Projections!$U$17="""",""SG"",),),IF(Projections!$V$17="""",""SF"",),),IF(Projections!$W$17="""",""PF"",),),IF(Pro"&amp;"jections!$X$17="""",""C"",),),""/"","""")"),"SFPF")</f>
        <v>SFPF</v>
      </c>
    </row>
    <row r="62">
      <c r="A62" t="str">
        <f>IF(Projections!$AC$17,Draft!H12,"")</f>
        <v/>
      </c>
      <c r="B62">
        <f>IFERROR(__xludf.DUMMYFUNCTION("""COMPUTED_VALUE"""),57.0)</f>
        <v>57</v>
      </c>
      <c r="C62">
        <f>IFERROR(__xludf.DUMMYFUNCTION("""COMPUTED_VALUE"""),60.8)</f>
        <v>60.8</v>
      </c>
      <c r="D62" t="str">
        <f>IFERROR(__xludf.DUMMYFUNCTION("""COMPUTED_VALUE"""),"Deandre Ayton")</f>
        <v>Deandre Ayton</v>
      </c>
      <c r="E62">
        <f>IFERROR(__xludf.DUMMYFUNCTION("""COMPUTED_VALUE"""),71.0)</f>
        <v>71</v>
      </c>
      <c r="F62" t="str">
        <f>IFERROR(__xludf.DUMMYFUNCTION("""COMPUTED_VALUE"""),"C")</f>
        <v>C</v>
      </c>
      <c r="G62" s="11">
        <f>IFERROR(__xludf.DUMMYFUNCTION("""COMPUTED_VALUE"""),1.0748941103118046)</f>
        <v>1.07489411</v>
      </c>
      <c r="H62" s="11">
        <f>IFERROR(__xludf.DUMMYFUNCTION("""COMPUTED_VALUE"""),1.0748941103118046)</f>
        <v>1.07489411</v>
      </c>
      <c r="I62" s="11">
        <f>IFERROR(__xludf.DUMMYFUNCTION("""COMPUTED_VALUE"""),0.0)</f>
        <v>0</v>
      </c>
      <c r="J62" s="11">
        <f>IFERROR(__xludf.DUMMYFUNCTION("""COMPUTED_VALUE"""),17.0)</f>
        <v>17</v>
      </c>
      <c r="K62" s="11">
        <f>IFERROR(__xludf.DUMMYFUNCTION("""COMPUTED_VALUE"""),0.1)</f>
        <v>0.1</v>
      </c>
      <c r="L62" s="11">
        <f>IFERROR(__xludf.DUMMYFUNCTION("""COMPUTED_VALUE"""),10.3)</f>
        <v>10.3</v>
      </c>
      <c r="M62" s="11">
        <f>IFERROR(__xludf.DUMMYFUNCTION("""COMPUTED_VALUE"""),1.7)</f>
        <v>1.7</v>
      </c>
      <c r="N62" s="11">
        <f>IFERROR(__xludf.DUMMYFUNCTION("""COMPUTED_VALUE"""),0.8)</f>
        <v>0.8</v>
      </c>
      <c r="O62" s="11">
        <f>IFERROR(__xludf.DUMMYFUNCTION("""COMPUTED_VALUE"""),0.8)</f>
        <v>0.8</v>
      </c>
      <c r="P62" s="15">
        <f>IFERROR(__xludf.DUMMYFUNCTION("""COMPUTED_VALUE"""),0.571)</f>
        <v>0.571</v>
      </c>
      <c r="Q62" s="15">
        <f>IFERROR(__xludf.DUMMYFUNCTION("""COMPUTED_VALUE"""),0.778)</f>
        <v>0.778</v>
      </c>
      <c r="R62" s="11">
        <f>IFERROR(__xludf.DUMMYFUNCTION("""COMPUTED_VALUE"""),1.8)</f>
        <v>1.8</v>
      </c>
      <c r="S62" s="11">
        <f>IFERROR(__xludf.DUMMYFUNCTION("""COMPUTED_VALUE"""),-0.0843422873119347)</f>
        <v>-0.08434228731</v>
      </c>
      <c r="T62" s="11">
        <f>IFERROR(__xludf.DUMMYFUNCTION("""COMPUTED_VALUE"""),-1.6411622820433)</f>
        <v>-1.641162282</v>
      </c>
      <c r="U62" s="11">
        <f>IFERROR(__xludf.DUMMYFUNCTION("""COMPUTED_VALUE"""),1.6597171199830938)</f>
        <v>1.65971712</v>
      </c>
      <c r="V62" s="11">
        <f>IFERROR(__xludf.DUMMYFUNCTION("""COMPUTED_VALUE"""),-1.0186525625504688)</f>
        <v>-1.018652563</v>
      </c>
      <c r="W62" s="11">
        <f>IFERROR(__xludf.DUMMYFUNCTION("""COMPUTED_VALUE"""),-0.5847290886782864)</f>
        <v>-0.5847290887</v>
      </c>
      <c r="X62" s="11">
        <f>IFERROR(__xludf.DUMMYFUNCTION("""COMPUTED_VALUE"""),0.09805746536669153)</f>
        <v>0.09805746537</v>
      </c>
      <c r="Y62" s="11">
        <f>IFERROR(__xludf.DUMMYFUNCTION("""COMPUTED_VALUE"""),1.155341425595671)</f>
        <v>1.155341426</v>
      </c>
      <c r="Z62" s="11">
        <f>IFERROR(__xludf.DUMMYFUNCTION("""COMPUTED_VALUE"""),-0.137768212508622)</f>
        <v>-0.1377682125</v>
      </c>
      <c r="AA62" s="11">
        <f>IFERROR(__xludf.DUMMYFUNCTION("""COMPUTED_VALUE"""),-0.012729749584339901)</f>
        <v>-0.01272974958</v>
      </c>
      <c r="AB62" t="str">
        <f>IFERROR(__xludf.DUMMYFUNCTION("SUBSTITUTE(REGEXREPLACE(REGEXREPLACE(REGEXREPLACE(REGEXREPLACE(REGEXREPLACE(REGEXREPLACE(F62,"","",),IF(Projections!$T$17="""",""PG"",),),IF(Projections!$U$17="""",""SG"",),),IF(Projections!$V$17="""",""SF"",),),IF(Projections!$W$17="""",""PF"",),),IF(Pro"&amp;"jections!$X$17="""",""C"",),),""/"","""")"),"C")</f>
        <v>C</v>
      </c>
    </row>
    <row r="63">
      <c r="A63" t="str">
        <f>IF(Projections!$AC$17,Draft!H13,"")</f>
        <v/>
      </c>
      <c r="B63">
        <f>IFERROR(__xludf.DUMMYFUNCTION("""COMPUTED_VALUE"""),58.0)</f>
        <v>58</v>
      </c>
      <c r="C63">
        <f>IFERROR(__xludf.DUMMYFUNCTION("""COMPUTED_VALUE"""),46.1)</f>
        <v>46.1</v>
      </c>
      <c r="D63" t="str">
        <f>IFERROR(__xludf.DUMMYFUNCTION("""COMPUTED_VALUE"""),"Franz Wagner")</f>
        <v>Franz Wagner</v>
      </c>
      <c r="E63">
        <f>IFERROR(__xludf.DUMMYFUNCTION("""COMPUTED_VALUE"""),66.0)</f>
        <v>66</v>
      </c>
      <c r="F63" t="str">
        <f>IFERROR(__xludf.DUMMYFUNCTION("""COMPUTED_VALUE"""),"SF,PF")</f>
        <v>SF,PF</v>
      </c>
      <c r="G63" s="11">
        <f>IFERROR(__xludf.DUMMYFUNCTION("""COMPUTED_VALUE"""),0.9586943658643525)</f>
        <v>0.9586943659</v>
      </c>
      <c r="H63" s="11">
        <f>IFERROR(__xludf.DUMMYFUNCTION("""COMPUTED_VALUE"""),0.9586943658643525)</f>
        <v>0.9586943659</v>
      </c>
      <c r="I63" s="11">
        <f>IFERROR(__xludf.DUMMYFUNCTION("""COMPUTED_VALUE"""),0.0)</f>
        <v>0</v>
      </c>
      <c r="J63" s="11">
        <f>IFERROR(__xludf.DUMMYFUNCTION("""COMPUTED_VALUE"""),19.6)</f>
        <v>19.6</v>
      </c>
      <c r="K63" s="11">
        <f>IFERROR(__xludf.DUMMYFUNCTION("""COMPUTED_VALUE"""),1.4)</f>
        <v>1.4</v>
      </c>
      <c r="L63" s="11">
        <f>IFERROR(__xludf.DUMMYFUNCTION("""COMPUTED_VALUE"""),5.4)</f>
        <v>5.4</v>
      </c>
      <c r="M63" s="11">
        <f>IFERROR(__xludf.DUMMYFUNCTION("""COMPUTED_VALUE"""),3.9)</f>
        <v>3.9</v>
      </c>
      <c r="N63" s="11">
        <f>IFERROR(__xludf.DUMMYFUNCTION("""COMPUTED_VALUE"""),1.2)</f>
        <v>1.2</v>
      </c>
      <c r="O63" s="11">
        <f>IFERROR(__xludf.DUMMYFUNCTION("""COMPUTED_VALUE"""),0.4)</f>
        <v>0.4</v>
      </c>
      <c r="P63" s="15">
        <f>IFERROR(__xludf.DUMMYFUNCTION("""COMPUTED_VALUE"""),0.483)</f>
        <v>0.483</v>
      </c>
      <c r="Q63" s="15">
        <f>IFERROR(__xludf.DUMMYFUNCTION("""COMPUTED_VALUE"""),0.845)</f>
        <v>0.845</v>
      </c>
      <c r="R63" s="11">
        <f>IFERROR(__xludf.DUMMYFUNCTION("""COMPUTED_VALUE"""),2.0)</f>
        <v>2</v>
      </c>
      <c r="S63" s="11">
        <f>IFERROR(__xludf.DUMMYFUNCTION("""COMPUTED_VALUE"""),0.3853425637329877)</f>
        <v>0.3853425637</v>
      </c>
      <c r="T63" s="11">
        <f>IFERROR(__xludf.DUMMYFUNCTION("""COMPUTED_VALUE"""),-0.34734639463326067)</f>
        <v>-0.3473463946</v>
      </c>
      <c r="U63" s="11">
        <f>IFERROR(__xludf.DUMMYFUNCTION("""COMPUTED_VALUE"""),-0.2623750651405405)</f>
        <v>-0.2623750651</v>
      </c>
      <c r="V63" s="11">
        <f>IFERROR(__xludf.DUMMYFUNCTION("""COMPUTED_VALUE"""),-0.016293613263543852)</f>
        <v>-0.01629361326</v>
      </c>
      <c r="W63" s="11">
        <f>IFERROR(__xludf.DUMMYFUNCTION("""COMPUTED_VALUE"""),0.7430016239596308)</f>
        <v>0.743001624</v>
      </c>
      <c r="X63" s="11">
        <f>IFERROR(__xludf.DUMMYFUNCTION("""COMPUTED_VALUE"""),-0.6155173428439339)</f>
        <v>-0.6155173428</v>
      </c>
      <c r="Y63" s="11">
        <f>IFERROR(__xludf.DUMMYFUNCTION("""COMPUTED_VALUE"""),-0.24402456118446686)</f>
        <v>-0.2440245612</v>
      </c>
      <c r="Z63" s="11">
        <f>IFERROR(__xludf.DUMMYFUNCTION("""COMPUTED_VALUE"""),0.7627159889298591)</f>
        <v>0.7627159889</v>
      </c>
      <c r="AA63" s="11">
        <f>IFERROR(__xludf.DUMMYFUNCTION("""COMPUTED_VALUE"""),-0.062326176536313206)</f>
        <v>-0.06232617654</v>
      </c>
      <c r="AB63" t="str">
        <f>IFERROR(__xludf.DUMMYFUNCTION("SUBSTITUTE(REGEXREPLACE(REGEXREPLACE(REGEXREPLACE(REGEXREPLACE(REGEXREPLACE(REGEXREPLACE(F63,"","",),IF(Projections!$T$17="""",""PG"",),),IF(Projections!$U$17="""",""SG"",),),IF(Projections!$V$17="""",""SF"",),),IF(Projections!$W$17="""",""PF"",),),IF(Pro"&amp;"jections!$X$17="""",""C"",),),""/"","""")"),"SFPF")</f>
        <v>SFPF</v>
      </c>
    </row>
    <row r="64">
      <c r="A64" t="str">
        <f>IF(Projections!$AC$17,Draft!H14,"")</f>
        <v/>
      </c>
      <c r="B64">
        <f>IFERROR(__xludf.DUMMYFUNCTION("""COMPUTED_VALUE"""),59.0)</f>
        <v>59</v>
      </c>
      <c r="C64">
        <f>IFERROR(__xludf.DUMMYFUNCTION("""COMPUTED_VALUE"""),101.8)</f>
        <v>101.8</v>
      </c>
      <c r="D64" t="str">
        <f>IFERROR(__xludf.DUMMYFUNCTION("""COMPUTED_VALUE"""),"Jalen Suggs")</f>
        <v>Jalen Suggs</v>
      </c>
      <c r="E64">
        <f>IFERROR(__xludf.DUMMYFUNCTION("""COMPUTED_VALUE"""),66.0)</f>
        <v>66</v>
      </c>
      <c r="F64" t="str">
        <f>IFERROR(__xludf.DUMMYFUNCTION("""COMPUTED_VALUE"""),"PG,SG")</f>
        <v>PG,SG</v>
      </c>
      <c r="G64" s="11">
        <f>IFERROR(__xludf.DUMMYFUNCTION("""COMPUTED_VALUE"""),0.8841082015557058)</f>
        <v>0.8841082016</v>
      </c>
      <c r="H64" s="11">
        <f>IFERROR(__xludf.DUMMYFUNCTION("""COMPUTED_VALUE"""),0.8841082015557058)</f>
        <v>0.8841082016</v>
      </c>
      <c r="I64" s="11">
        <f>IFERROR(__xludf.DUMMYFUNCTION("""COMPUTED_VALUE"""),0.0)</f>
        <v>0</v>
      </c>
      <c r="J64" s="11">
        <f>IFERROR(__xludf.DUMMYFUNCTION("""COMPUTED_VALUE"""),14.0)</f>
        <v>14</v>
      </c>
      <c r="K64" s="11">
        <f>IFERROR(__xludf.DUMMYFUNCTION("""COMPUTED_VALUE"""),2.2)</f>
        <v>2.2</v>
      </c>
      <c r="L64" s="11">
        <f>IFERROR(__xludf.DUMMYFUNCTION("""COMPUTED_VALUE"""),3.5)</f>
        <v>3.5</v>
      </c>
      <c r="M64" s="11">
        <f>IFERROR(__xludf.DUMMYFUNCTION("""COMPUTED_VALUE"""),3.6)</f>
        <v>3.6</v>
      </c>
      <c r="N64" s="11">
        <f>IFERROR(__xludf.DUMMYFUNCTION("""COMPUTED_VALUE"""),1.6)</f>
        <v>1.6</v>
      </c>
      <c r="O64" s="11">
        <f>IFERROR(__xludf.DUMMYFUNCTION("""COMPUTED_VALUE"""),0.7)</f>
        <v>0.7</v>
      </c>
      <c r="P64" s="15">
        <f>IFERROR(__xludf.DUMMYFUNCTION("""COMPUTED_VALUE"""),0.465)</f>
        <v>0.465</v>
      </c>
      <c r="Q64" s="15">
        <f>IFERROR(__xludf.DUMMYFUNCTION("""COMPUTED_VALUE"""),0.758)</f>
        <v>0.758</v>
      </c>
      <c r="R64" s="11">
        <f>IFERROR(__xludf.DUMMYFUNCTION("""COMPUTED_VALUE"""),2.0)</f>
        <v>2</v>
      </c>
      <c r="S64" s="11">
        <f>IFERROR(__xludf.DUMMYFUNCTION("""COMPUTED_VALUE"""),-0.6262863462099217)</f>
        <v>-0.6262863462</v>
      </c>
      <c r="T64" s="11">
        <f>IFERROR(__xludf.DUMMYFUNCTION("""COMPUTED_VALUE"""),0.44884799761907157)</f>
        <v>0.4488479976</v>
      </c>
      <c r="U64" s="11">
        <f>IFERROR(__xludf.DUMMYFUNCTION("""COMPUTED_VALUE"""),-1.007676116515011)</f>
        <v>-1.007676117</v>
      </c>
      <c r="V64" s="11">
        <f>IFERROR(__xludf.DUMMYFUNCTION("""COMPUTED_VALUE"""),-0.1529789245299426)</f>
        <v>-0.1529789245</v>
      </c>
      <c r="W64" s="11">
        <f>IFERROR(__xludf.DUMMYFUNCTION("""COMPUTED_VALUE"""),2.0707323365975485)</f>
        <v>2.070732337</v>
      </c>
      <c r="X64" s="11">
        <f>IFERROR(__xludf.DUMMYFUNCTION("""COMPUTED_VALUE"""),-0.08033623668596498)</f>
        <v>-0.08033623669</v>
      </c>
      <c r="Y64" s="11">
        <f>IFERROR(__xludf.DUMMYFUNCTION("""COMPUTED_VALUE"""),-0.39979822969782425)</f>
        <v>-0.3997982297</v>
      </c>
      <c r="Z64" s="11">
        <f>IFERROR(__xludf.DUMMYFUNCTION("""COMPUTED_VALUE"""),-0.31374621900094746)</f>
        <v>-0.313746219</v>
      </c>
      <c r="AA64" s="11">
        <f>IFERROR(__xludf.DUMMYFUNCTION("""COMPUTED_VALUE"""),-0.062326176536313206)</f>
        <v>-0.06232617654</v>
      </c>
      <c r="AB64" t="str">
        <f>IFERROR(__xludf.DUMMYFUNCTION("SUBSTITUTE(REGEXREPLACE(REGEXREPLACE(REGEXREPLACE(REGEXREPLACE(REGEXREPLACE(REGEXREPLACE(F64,"","",),IF(Projections!$T$17="""",""PG"",),),IF(Projections!$U$17="""",""SG"",),),IF(Projections!$V$17="""",""SF"",),),IF(Projections!$W$17="""",""PF"",),),IF(Pro"&amp;"jections!$X$17="""",""C"",),),""/"","""")"),"PGSG")</f>
        <v>PGSG</v>
      </c>
    </row>
    <row r="65">
      <c r="A65" t="str">
        <f>IF(Projections!$AC$17,Draft!I3,"")</f>
        <v/>
      </c>
      <c r="B65">
        <f>IFERROR(__xludf.DUMMYFUNCTION("""COMPUTED_VALUE"""),60.0)</f>
        <v>60</v>
      </c>
      <c r="C65">
        <f>IFERROR(__xludf.DUMMYFUNCTION("""COMPUTED_VALUE"""),53.2)</f>
        <v>53.2</v>
      </c>
      <c r="D65" t="str">
        <f>IFERROR(__xludf.DUMMYFUNCTION("""COMPUTED_VALUE"""),"Jarrett Allen")</f>
        <v>Jarrett Allen</v>
      </c>
      <c r="E65">
        <f>IFERROR(__xludf.DUMMYFUNCTION("""COMPUTED_VALUE"""),51.0)</f>
        <v>51</v>
      </c>
      <c r="F65" t="str">
        <f>IFERROR(__xludf.DUMMYFUNCTION("""COMPUTED_VALUE"""),"C")</f>
        <v>C</v>
      </c>
      <c r="G65" s="11">
        <f>IFERROR(__xludf.DUMMYFUNCTION("""COMPUTED_VALUE"""),0.8803883476420991)</f>
        <v>0.8803883476</v>
      </c>
      <c r="H65" s="11">
        <f>IFERROR(__xludf.DUMMYFUNCTION("""COMPUTED_VALUE"""),0.8803883476420991)</f>
        <v>0.8803883476</v>
      </c>
      <c r="I65" s="11">
        <f>IFERROR(__xludf.DUMMYFUNCTION("""COMPUTED_VALUE"""),0.0)</f>
        <v>0</v>
      </c>
      <c r="J65" s="11">
        <f>IFERROR(__xludf.DUMMYFUNCTION("""COMPUTED_VALUE"""),14.9)</f>
        <v>14.9</v>
      </c>
      <c r="K65" s="11">
        <f>IFERROR(__xludf.DUMMYFUNCTION("""COMPUTED_VALUE"""),0.0)</f>
        <v>0</v>
      </c>
      <c r="L65" s="11">
        <f>IFERROR(__xludf.DUMMYFUNCTION("""COMPUTED_VALUE"""),9.9)</f>
        <v>9.9</v>
      </c>
      <c r="M65" s="11">
        <f>IFERROR(__xludf.DUMMYFUNCTION("""COMPUTED_VALUE"""),2.2)</f>
        <v>2.2</v>
      </c>
      <c r="N65" s="11">
        <f>IFERROR(__xludf.DUMMYFUNCTION("""COMPUTED_VALUE"""),0.7)</f>
        <v>0.7</v>
      </c>
      <c r="O65" s="11">
        <f>IFERROR(__xludf.DUMMYFUNCTION("""COMPUTED_VALUE"""),1.1)</f>
        <v>1.1</v>
      </c>
      <c r="P65" s="15">
        <f>IFERROR(__xludf.DUMMYFUNCTION("""COMPUTED_VALUE"""),0.637)</f>
        <v>0.637</v>
      </c>
      <c r="Q65" s="15">
        <f>IFERROR(__xludf.DUMMYFUNCTION("""COMPUTED_VALUE"""),0.735)</f>
        <v>0.735</v>
      </c>
      <c r="R65" s="11">
        <f>IFERROR(__xludf.DUMMYFUNCTION("""COMPUTED_VALUE"""),1.4)</f>
        <v>1.4</v>
      </c>
      <c r="S65" s="11">
        <f>IFERROR(__xludf.DUMMYFUNCTION("""COMPUTED_VALUE"""),-0.4637031285405256)</f>
        <v>-0.4637031285</v>
      </c>
      <c r="T65" s="11">
        <f>IFERROR(__xludf.DUMMYFUNCTION("""COMPUTED_VALUE"""),-1.7406865810748415)</f>
        <v>-1.740686581</v>
      </c>
      <c r="U65" s="11">
        <f>IFERROR(__xludf.DUMMYFUNCTION("""COMPUTED_VALUE"""),1.502811635483205)</f>
        <v>1.502811635</v>
      </c>
      <c r="V65" s="11">
        <f>IFERROR(__xludf.DUMMYFUNCTION("""COMPUTED_VALUE"""),-0.7908437104398038)</f>
        <v>-0.7908437104</v>
      </c>
      <c r="W65" s="11">
        <f>IFERROR(__xludf.DUMMYFUNCTION("""COMPUTED_VALUE"""),-0.9166617668377661)</f>
        <v>-0.9166617668</v>
      </c>
      <c r="X65" s="11">
        <f>IFERROR(__xludf.DUMMYFUNCTION("""COMPUTED_VALUE"""),0.6332385715246607)</f>
        <v>0.6332385715</v>
      </c>
      <c r="Y65" s="11">
        <f>IFERROR(__xludf.DUMMYFUNCTION("""COMPUTED_VALUE"""),1.592932415895258)</f>
        <v>1.592932416</v>
      </c>
      <c r="Z65" s="11">
        <f>IFERROR(__xludf.DUMMYFUNCTION("""COMPUTED_VALUE"""),-0.763848773762536)</f>
        <v>-0.7638487738</v>
      </c>
      <c r="AA65" s="11">
        <f>IFERROR(__xludf.DUMMYFUNCTION("""COMPUTED_VALUE"""),0.08646310431960676)</f>
        <v>0.08646310432</v>
      </c>
      <c r="AB65" t="str">
        <f>IFERROR(__xludf.DUMMYFUNCTION("SUBSTITUTE(REGEXREPLACE(REGEXREPLACE(REGEXREPLACE(REGEXREPLACE(REGEXREPLACE(REGEXREPLACE(F65,"","",),IF(Projections!$T$17="""",""PG"",),),IF(Projections!$U$17="""",""SG"",),),IF(Projections!$V$17="""",""SF"",),),IF(Projections!$W$17="""",""PF"",),),IF(Pro"&amp;"jections!$X$17="""",""C"",),),""/"","""")"),"C")</f>
        <v>C</v>
      </c>
    </row>
    <row r="66">
      <c r="A66" t="str">
        <f>IF(Projections!$AC$17,Draft!I4,"")</f>
        <v/>
      </c>
      <c r="B66">
        <f>IFERROR(__xludf.DUMMYFUNCTION("""COMPUTED_VALUE"""),61.0)</f>
        <v>61</v>
      </c>
      <c r="C66">
        <f>IFERROR(__xludf.DUMMYFUNCTION("""COMPUTED_VALUE"""),55.2)</f>
        <v>55.2</v>
      </c>
      <c r="D66" t="str">
        <f>IFERROR(__xludf.DUMMYFUNCTION("""COMPUTED_VALUE"""),"Nikola Vucevic")</f>
        <v>Nikola Vucevic</v>
      </c>
      <c r="E66">
        <f>IFERROR(__xludf.DUMMYFUNCTION("""COMPUTED_VALUE"""),62.0)</f>
        <v>62</v>
      </c>
      <c r="F66" t="str">
        <f>IFERROR(__xludf.DUMMYFUNCTION("""COMPUTED_VALUE"""),"PF,C")</f>
        <v>PF,C</v>
      </c>
      <c r="G66" s="11">
        <f>IFERROR(__xludf.DUMMYFUNCTION("""COMPUTED_VALUE"""),0.834858274176779)</f>
        <v>0.8348582742</v>
      </c>
      <c r="H66" s="11">
        <f>IFERROR(__xludf.DUMMYFUNCTION("""COMPUTED_VALUE"""),0.834858274176779)</f>
        <v>0.8348582742</v>
      </c>
      <c r="I66" s="11">
        <f>IFERROR(__xludf.DUMMYFUNCTION("""COMPUTED_VALUE"""),0.0)</f>
        <v>0</v>
      </c>
      <c r="J66" s="11">
        <f>IFERROR(__xludf.DUMMYFUNCTION("""COMPUTED_VALUE"""),17.1)</f>
        <v>17.1</v>
      </c>
      <c r="K66" s="11">
        <f>IFERROR(__xludf.DUMMYFUNCTION("""COMPUTED_VALUE"""),1.4)</f>
        <v>1.4</v>
      </c>
      <c r="L66" s="11">
        <f>IFERROR(__xludf.DUMMYFUNCTION("""COMPUTED_VALUE"""),10.4)</f>
        <v>10.4</v>
      </c>
      <c r="M66" s="11">
        <f>IFERROR(__xludf.DUMMYFUNCTION("""COMPUTED_VALUE"""),3.3)</f>
        <v>3.3</v>
      </c>
      <c r="N66" s="11">
        <f>IFERROR(__xludf.DUMMYFUNCTION("""COMPUTED_VALUE"""),0.7)</f>
        <v>0.7</v>
      </c>
      <c r="O66" s="11">
        <f>IFERROR(__xludf.DUMMYFUNCTION("""COMPUTED_VALUE"""),0.7)</f>
        <v>0.7</v>
      </c>
      <c r="P66" s="15">
        <f>IFERROR(__xludf.DUMMYFUNCTION("""COMPUTED_VALUE"""),0.482)</f>
        <v>0.482</v>
      </c>
      <c r="Q66" s="15">
        <f>IFERROR(__xludf.DUMMYFUNCTION("""COMPUTED_VALUE"""),0.817)</f>
        <v>0.817</v>
      </c>
      <c r="R66" s="11">
        <f>IFERROR(__xludf.DUMMYFUNCTION("""COMPUTED_VALUE"""),1.6)</f>
        <v>1.6</v>
      </c>
      <c r="S66" s="11">
        <f>IFERROR(__xludf.DUMMYFUNCTION("""COMPUTED_VALUE"""),-0.06627748534866822)</f>
        <v>-0.06627748535</v>
      </c>
      <c r="T66" s="11">
        <f>IFERROR(__xludf.DUMMYFUNCTION("""COMPUTED_VALUE"""),-0.34734639463326067)</f>
        <v>-0.3473463946</v>
      </c>
      <c r="U66" s="11">
        <f>IFERROR(__xludf.DUMMYFUNCTION("""COMPUTED_VALUE"""),1.6989434911080659)</f>
        <v>1.698943491</v>
      </c>
      <c r="V66" s="11">
        <f>IFERROR(__xludf.DUMMYFUNCTION("""COMPUTED_VALUE"""),-0.2896642357963416)</f>
        <v>-0.2896642358</v>
      </c>
      <c r="W66" s="11">
        <f>IFERROR(__xludf.DUMMYFUNCTION("""COMPUTED_VALUE"""),-0.9166617668377661)</f>
        <v>-0.9166617668</v>
      </c>
      <c r="X66" s="11">
        <f>IFERROR(__xludf.DUMMYFUNCTION("""COMPUTED_VALUE"""),-0.08033623668596498)</f>
        <v>-0.08033623669</v>
      </c>
      <c r="Y66" s="11">
        <f>IFERROR(__xludf.DUMMYFUNCTION("""COMPUTED_VALUE"""),-0.2581165138971423)</f>
        <v>-0.2581165139</v>
      </c>
      <c r="Z66" s="11">
        <f>IFERROR(__xludf.DUMMYFUNCTION("""COMPUTED_VALUE"""),0.1407889720624576)</f>
        <v>0.1407889721</v>
      </c>
      <c r="AA66" s="11">
        <f>IFERROR(__xludf.DUMMYFUNCTION("""COMPUTED_VALUE"""),0.036866677367633396)</f>
        <v>0.03686667737</v>
      </c>
      <c r="AB66" t="str">
        <f>IFERROR(__xludf.DUMMYFUNCTION("SUBSTITUTE(REGEXREPLACE(REGEXREPLACE(REGEXREPLACE(REGEXREPLACE(REGEXREPLACE(REGEXREPLACE(F66,"","",),IF(Projections!$T$17="""",""PG"",),),IF(Projections!$U$17="""",""SG"",),),IF(Projections!$V$17="""",""SF"",),),IF(Projections!$W$17="""",""PF"",),),IF(Pro"&amp;"jections!$X$17="""",""C"",),),""/"","""")"),"PFC")</f>
        <v>PFC</v>
      </c>
    </row>
    <row r="67">
      <c r="A67" t="str">
        <f>IF(Projections!$AC$17,Draft!I5,"")</f>
        <v/>
      </c>
      <c r="B67">
        <f>IFERROR(__xludf.DUMMYFUNCTION("""COMPUTED_VALUE"""),62.0)</f>
        <v>62</v>
      </c>
      <c r="C67">
        <f>IFERROR(__xludf.DUMMYFUNCTION("""COMPUTED_VALUE"""),102.0)</f>
        <v>102</v>
      </c>
      <c r="D67" t="str">
        <f>IFERROR(__xludf.DUMMYFUNCTION("""COMPUTED_VALUE"""),"Alex Caruso")</f>
        <v>Alex Caruso</v>
      </c>
      <c r="E67">
        <f>IFERROR(__xludf.DUMMYFUNCTION("""COMPUTED_VALUE"""),10.0)</f>
        <v>10</v>
      </c>
      <c r="F67" t="str">
        <f>IFERROR(__xludf.DUMMYFUNCTION("""COMPUTED_VALUE"""),"SG,SF")</f>
        <v>SG,SF</v>
      </c>
      <c r="G67" s="11">
        <f>IFERROR(__xludf.DUMMYFUNCTION("""COMPUTED_VALUE"""),0.7860588756264406)</f>
        <v>0.7860588756</v>
      </c>
      <c r="H67" s="11">
        <f>IFERROR(__xludf.DUMMYFUNCTION("""COMPUTED_VALUE"""),0.7860588756264406)</f>
        <v>0.7860588756</v>
      </c>
      <c r="I67" s="11">
        <f>IFERROR(__xludf.DUMMYFUNCTION("""COMPUTED_VALUE"""),0.0)</f>
        <v>0</v>
      </c>
      <c r="J67" s="11">
        <f>IFERROR(__xludf.DUMMYFUNCTION("""COMPUTED_VALUE"""),8.7)</f>
        <v>8.7</v>
      </c>
      <c r="K67" s="11">
        <f>IFERROR(__xludf.DUMMYFUNCTION("""COMPUTED_VALUE"""),1.5)</f>
        <v>1.5</v>
      </c>
      <c r="L67" s="11">
        <f>IFERROR(__xludf.DUMMYFUNCTION("""COMPUTED_VALUE"""),3.8)</f>
        <v>3.8</v>
      </c>
      <c r="M67" s="11">
        <f>IFERROR(__xludf.DUMMYFUNCTION("""COMPUTED_VALUE"""),3.5)</f>
        <v>3.5</v>
      </c>
      <c r="N67" s="11">
        <f>IFERROR(__xludf.DUMMYFUNCTION("""COMPUTED_VALUE"""),1.6)</f>
        <v>1.6</v>
      </c>
      <c r="O67" s="11">
        <f>IFERROR(__xludf.DUMMYFUNCTION("""COMPUTED_VALUE"""),0.9)</f>
        <v>0.9</v>
      </c>
      <c r="P67" s="15">
        <f>IFERROR(__xludf.DUMMYFUNCTION("""COMPUTED_VALUE"""),0.463)</f>
        <v>0.463</v>
      </c>
      <c r="Q67" s="15">
        <f>IFERROR(__xludf.DUMMYFUNCTION("""COMPUTED_VALUE"""),0.785)</f>
        <v>0.785</v>
      </c>
      <c r="R67" s="11">
        <f>IFERROR(__xludf.DUMMYFUNCTION("""COMPUTED_VALUE"""),1.4)</f>
        <v>1.4</v>
      </c>
      <c r="S67" s="11">
        <f>IFERROR(__xludf.DUMMYFUNCTION("""COMPUTED_VALUE"""),-1.5837208502630324)</f>
        <v>-1.58372085</v>
      </c>
      <c r="T67" s="11">
        <f>IFERROR(__xludf.DUMMYFUNCTION("""COMPUTED_VALUE"""),-0.24782209560171908)</f>
        <v>-0.2478220956</v>
      </c>
      <c r="U67" s="11">
        <f>IFERROR(__xludf.DUMMYFUNCTION("""COMPUTED_VALUE"""),-0.8899970031400947)</f>
        <v>-0.8899970031</v>
      </c>
      <c r="V67" s="11">
        <f>IFERROR(__xludf.DUMMYFUNCTION("""COMPUTED_VALUE"""),-0.1985406949520756)</f>
        <v>-0.198540695</v>
      </c>
      <c r="W67" s="11">
        <f>IFERROR(__xludf.DUMMYFUNCTION("""COMPUTED_VALUE"""),2.0707323365975485)</f>
        <v>2.070732337</v>
      </c>
      <c r="X67" s="11">
        <f>IFERROR(__xludf.DUMMYFUNCTION("""COMPUTED_VALUE"""),0.27645116741934783)</f>
        <v>0.2764511674</v>
      </c>
      <c r="Y67" s="11">
        <f>IFERROR(__xludf.DUMMYFUNCTION("""COMPUTED_VALUE"""),-0.262074927580477)</f>
        <v>-0.2620749276</v>
      </c>
      <c r="Z67" s="11">
        <f>IFERROR(__xludf.DUMMYFUNCTION("""COMPUTED_VALUE"""),-0.04915301143569595)</f>
        <v>-0.04915301144</v>
      </c>
      <c r="AA67" s="11">
        <f>IFERROR(__xludf.DUMMYFUNCTION("""COMPUTED_VALUE"""),0.08646310431960676)</f>
        <v>0.08646310432</v>
      </c>
      <c r="AB67" t="str">
        <f>IFERROR(__xludf.DUMMYFUNCTION("SUBSTITUTE(REGEXREPLACE(REGEXREPLACE(REGEXREPLACE(REGEXREPLACE(REGEXREPLACE(REGEXREPLACE(F67,"","",),IF(Projections!$T$17="""",""PG"",),),IF(Projections!$U$17="""",""SG"",),),IF(Projections!$V$17="""",""SF"",),),IF(Projections!$W$17="""",""PF"",),),IF(Pro"&amp;"jections!$X$17="""",""C"",),),""/"","""")"),"SGSF")</f>
        <v>SGSF</v>
      </c>
    </row>
    <row r="68">
      <c r="A68" t="str">
        <f>IF(Projections!$AC$17,Draft!I6,"")</f>
        <v/>
      </c>
      <c r="B68">
        <f>IFERROR(__xludf.DUMMYFUNCTION("""COMPUTED_VALUE"""),63.0)</f>
        <v>63</v>
      </c>
      <c r="C68">
        <f>IFERROR(__xludf.DUMMYFUNCTION("""COMPUTED_VALUE"""),78.0)</f>
        <v>78</v>
      </c>
      <c r="D68" t="str">
        <f>IFERROR(__xludf.DUMMYFUNCTION("""COMPUTED_VALUE"""),"Tyler Herro")</f>
        <v>Tyler Herro</v>
      </c>
      <c r="E68">
        <f>IFERROR(__xludf.DUMMYFUNCTION("""COMPUTED_VALUE"""),66.0)</f>
        <v>66</v>
      </c>
      <c r="F68" t="str">
        <f>IFERROR(__xludf.DUMMYFUNCTION("""COMPUTED_VALUE"""),"PG,SG")</f>
        <v>PG,SG</v>
      </c>
      <c r="G68" s="11">
        <f>IFERROR(__xludf.DUMMYFUNCTION("""COMPUTED_VALUE"""),0.710463581280097)</f>
        <v>0.7104635813</v>
      </c>
      <c r="H68" s="11">
        <f>IFERROR(__xludf.DUMMYFUNCTION("""COMPUTED_VALUE"""),0.710463581280097)</f>
        <v>0.7104635813</v>
      </c>
      <c r="I68" s="11">
        <f>IFERROR(__xludf.DUMMYFUNCTION("""COMPUTED_VALUE"""),0.0)</f>
        <v>0</v>
      </c>
      <c r="J68" s="11">
        <f>IFERROR(__xludf.DUMMYFUNCTION("""COMPUTED_VALUE"""),20.2)</f>
        <v>20.2</v>
      </c>
      <c r="K68" s="11">
        <f>IFERROR(__xludf.DUMMYFUNCTION("""COMPUTED_VALUE"""),3.1)</f>
        <v>3.1</v>
      </c>
      <c r="L68" s="11">
        <f>IFERROR(__xludf.DUMMYFUNCTION("""COMPUTED_VALUE"""),5.3)</f>
        <v>5.3</v>
      </c>
      <c r="M68" s="11">
        <f>IFERROR(__xludf.DUMMYFUNCTION("""COMPUTED_VALUE"""),4.3)</f>
        <v>4.3</v>
      </c>
      <c r="N68" s="11">
        <f>IFERROR(__xludf.DUMMYFUNCTION("""COMPUTED_VALUE"""),0.7)</f>
        <v>0.7</v>
      </c>
      <c r="O68" s="11">
        <f>IFERROR(__xludf.DUMMYFUNCTION("""COMPUTED_VALUE"""),0.2)</f>
        <v>0.2</v>
      </c>
      <c r="P68" s="15">
        <f>IFERROR(__xludf.DUMMYFUNCTION("""COMPUTED_VALUE"""),0.44)</f>
        <v>0.44</v>
      </c>
      <c r="Q68" s="15">
        <f>IFERROR(__xludf.DUMMYFUNCTION("""COMPUTED_VALUE"""),0.903)</f>
        <v>0.903</v>
      </c>
      <c r="R68" s="11">
        <f>IFERROR(__xludf.DUMMYFUNCTION("""COMPUTED_VALUE"""),2.3)</f>
        <v>2.3</v>
      </c>
      <c r="S68" s="11">
        <f>IFERROR(__xludf.DUMMYFUNCTION("""COMPUTED_VALUE"""),0.4937313755125847)</f>
        <v>0.4937313755</v>
      </c>
      <c r="T68" s="11">
        <f>IFERROR(__xludf.DUMMYFUNCTION("""COMPUTED_VALUE"""),1.344566688902945)</f>
        <v>1.344566689</v>
      </c>
      <c r="U68" s="11">
        <f>IFERROR(__xludf.DUMMYFUNCTION("""COMPUTED_VALUE"""),-0.30160143626551283)</f>
        <v>-0.3016014363</v>
      </c>
      <c r="V68" s="11">
        <f>IFERROR(__xludf.DUMMYFUNCTION("""COMPUTED_VALUE"""),0.1659534684249879)</f>
        <v>0.1659534684</v>
      </c>
      <c r="W68" s="11">
        <f>IFERROR(__xludf.DUMMYFUNCTION("""COMPUTED_VALUE"""),-0.9166617668377661)</f>
        <v>-0.9166617668</v>
      </c>
      <c r="X68" s="11">
        <f>IFERROR(__xludf.DUMMYFUNCTION("""COMPUTED_VALUE"""),-0.9723047469492465)</f>
        <v>-0.9723047469</v>
      </c>
      <c r="Y68" s="11">
        <f>IFERROR(__xludf.DUMMYFUNCTION("""COMPUTED_VALUE"""),-1.1199609688621095)</f>
        <v>-1.119960969</v>
      </c>
      <c r="Z68" s="11">
        <f>IFERROR(__xludf.DUMMYFUNCTION("""COMPUTED_VALUE"""),1.0335008154563778)</f>
        <v>1.033500815</v>
      </c>
      <c r="AA68" s="11">
        <f>IFERROR(__xludf.DUMMYFUNCTION("""COMPUTED_VALUE"""),-0.13672081696427313)</f>
        <v>-0.136720817</v>
      </c>
      <c r="AB68" t="str">
        <f>IFERROR(__xludf.DUMMYFUNCTION("SUBSTITUTE(REGEXREPLACE(REGEXREPLACE(REGEXREPLACE(REGEXREPLACE(REGEXREPLACE(REGEXREPLACE(F68,"","",),IF(Projections!$T$17="""",""PG"",),),IF(Projections!$U$17="""",""SG"",),),IF(Projections!$V$17="""",""SF"",),),IF(Projections!$W$17="""",""PF"",),),IF(Pro"&amp;"jections!$X$17="""",""C"",),),""/"","""")"),"PGSG")</f>
        <v>PGSG</v>
      </c>
    </row>
    <row r="69">
      <c r="A69" t="str">
        <f>IF(Projections!$AC$17,Draft!I7,"")</f>
        <v/>
      </c>
      <c r="B69">
        <f>IFERROR(__xludf.DUMMYFUNCTION("""COMPUTED_VALUE"""),64.0)</f>
        <v>64</v>
      </c>
      <c r="C69">
        <f>IFERROR(__xludf.DUMMYFUNCTION("""COMPUTED_VALUE"""),63.0)</f>
        <v>63</v>
      </c>
      <c r="D69" t="str">
        <f>IFERROR(__xludf.DUMMYFUNCTION("""COMPUTED_VALUE"""),"Zach LaVine")</f>
        <v>Zach LaVine</v>
      </c>
      <c r="E69">
        <f>IFERROR(__xludf.DUMMYFUNCTION("""COMPUTED_VALUE"""),62.0)</f>
        <v>62</v>
      </c>
      <c r="F69" t="str">
        <f>IFERROR(__xludf.DUMMYFUNCTION("""COMPUTED_VALUE"""),"SG,SF")</f>
        <v>SG,SF</v>
      </c>
      <c r="G69" s="11">
        <f>IFERROR(__xludf.DUMMYFUNCTION("""COMPUTED_VALUE"""),0.6816169649399682)</f>
        <v>0.6816169649</v>
      </c>
      <c r="H69" s="11">
        <f>IFERROR(__xludf.DUMMYFUNCTION("""COMPUTED_VALUE"""),0.6816169649399682)</f>
        <v>0.6816169649</v>
      </c>
      <c r="I69" s="11">
        <f>IFERROR(__xludf.DUMMYFUNCTION("""COMPUTED_VALUE"""),0.0)</f>
        <v>0</v>
      </c>
      <c r="J69" s="11">
        <f>IFERROR(__xludf.DUMMYFUNCTION("""COMPUTED_VALUE"""),21.6)</f>
        <v>21.6</v>
      </c>
      <c r="K69" s="11">
        <f>IFERROR(__xludf.DUMMYFUNCTION("""COMPUTED_VALUE"""),2.5)</f>
        <v>2.5</v>
      </c>
      <c r="L69" s="11">
        <f>IFERROR(__xludf.DUMMYFUNCTION("""COMPUTED_VALUE"""),4.5)</f>
        <v>4.5</v>
      </c>
      <c r="M69" s="11">
        <f>IFERROR(__xludf.DUMMYFUNCTION("""COMPUTED_VALUE"""),4.0)</f>
        <v>4</v>
      </c>
      <c r="N69" s="11">
        <f>IFERROR(__xludf.DUMMYFUNCTION("""COMPUTED_VALUE"""),0.9)</f>
        <v>0.9</v>
      </c>
      <c r="O69" s="11">
        <f>IFERROR(__xludf.DUMMYFUNCTION("""COMPUTED_VALUE"""),0.3)</f>
        <v>0.3</v>
      </c>
      <c r="P69" s="15">
        <f>IFERROR(__xludf.DUMMYFUNCTION("""COMPUTED_VALUE"""),0.459)</f>
        <v>0.459</v>
      </c>
      <c r="Q69" s="15">
        <f>IFERROR(__xludf.DUMMYFUNCTION("""COMPUTED_VALUE"""),0.845)</f>
        <v>0.845</v>
      </c>
      <c r="R69" s="11">
        <f>IFERROR(__xludf.DUMMYFUNCTION("""COMPUTED_VALUE"""),2.3)</f>
        <v>2.3</v>
      </c>
      <c r="S69" s="11">
        <f>IFERROR(__xludf.DUMMYFUNCTION("""COMPUTED_VALUE"""),0.7466386029983124)</f>
        <v>0.746638603</v>
      </c>
      <c r="T69" s="11">
        <f>IFERROR(__xludf.DUMMYFUNCTION("""COMPUTED_VALUE"""),0.7474208947136959)</f>
        <v>0.7474208947</v>
      </c>
      <c r="U69" s="11">
        <f>IFERROR(__xludf.DUMMYFUNCTION("""COMPUTED_VALUE"""),-0.6154124052652897)</f>
        <v>-0.6154124053</v>
      </c>
      <c r="V69" s="11">
        <f>IFERROR(__xludf.DUMMYFUNCTION("""COMPUTED_VALUE"""),0.029268157158589138)</f>
        <v>0.02926815716</v>
      </c>
      <c r="W69" s="11">
        <f>IFERROR(__xludf.DUMMYFUNCTION("""COMPUTED_VALUE"""),-0.25279641051880714)</f>
        <v>-0.2527964105</v>
      </c>
      <c r="X69" s="11">
        <f>IFERROR(__xludf.DUMMYFUNCTION("""COMPUTED_VALUE"""),-0.7939110448965904)</f>
        <v>-0.7939110449</v>
      </c>
      <c r="Y69" s="11">
        <f>IFERROR(__xludf.DUMMYFUNCTION("""COMPUTED_VALUE"""),-0.7236601140774443)</f>
        <v>-0.7236601141</v>
      </c>
      <c r="Z69" s="11">
        <f>IFERROR(__xludf.DUMMYFUNCTION("""COMPUTED_VALUE"""),0.886879056895185)</f>
        <v>0.8868790569</v>
      </c>
      <c r="AA69" s="11">
        <f>IFERROR(__xludf.DUMMYFUNCTION("""COMPUTED_VALUE"""),-0.13672081696427313)</f>
        <v>-0.136720817</v>
      </c>
      <c r="AB69" t="str">
        <f>IFERROR(__xludf.DUMMYFUNCTION("SUBSTITUTE(REGEXREPLACE(REGEXREPLACE(REGEXREPLACE(REGEXREPLACE(REGEXREPLACE(REGEXREPLACE(F69,"","",),IF(Projections!$T$17="""",""PG"",),),IF(Projections!$U$17="""",""SG"",),),IF(Projections!$V$17="""",""SF"",),),IF(Projections!$W$17="""",""PF"",),),IF(Pro"&amp;"jections!$X$17="""",""C"",),),""/"","""")"),"SGSF")</f>
        <v>SGSF</v>
      </c>
    </row>
    <row r="70">
      <c r="A70" t="str">
        <f>IF(Projections!$AC$17,Draft!I8,"")</f>
        <v/>
      </c>
      <c r="B70">
        <f>IFERROR(__xludf.DUMMYFUNCTION("""COMPUTED_VALUE"""),65.0)</f>
        <v>65</v>
      </c>
      <c r="C70">
        <f>IFERROR(__xludf.DUMMYFUNCTION("""COMPUTED_VALUE"""),79.7)</f>
        <v>79.7</v>
      </c>
      <c r="D70" t="str">
        <f>IFERROR(__xludf.DUMMYFUNCTION("""COMPUTED_VALUE"""),"Anfernee Simons")</f>
        <v>Anfernee Simons</v>
      </c>
      <c r="E70">
        <f>IFERROR(__xludf.DUMMYFUNCTION("""COMPUTED_VALUE"""),66.0)</f>
        <v>66</v>
      </c>
      <c r="F70" t="str">
        <f>IFERROR(__xludf.DUMMYFUNCTION("""COMPUTED_VALUE"""),"PG,SG")</f>
        <v>PG,SG</v>
      </c>
      <c r="G70" s="11">
        <f>IFERROR(__xludf.DUMMYFUNCTION("""COMPUTED_VALUE"""),0.6200534586721316)</f>
        <v>0.6200534587</v>
      </c>
      <c r="H70" s="11">
        <f>IFERROR(__xludf.DUMMYFUNCTION("""COMPUTED_VALUE"""),0.6200534586721316)</f>
        <v>0.6200534587</v>
      </c>
      <c r="I70" s="11">
        <f>IFERROR(__xludf.DUMMYFUNCTION("""COMPUTED_VALUE"""),0.0)</f>
        <v>0</v>
      </c>
      <c r="J70" s="11">
        <f>IFERROR(__xludf.DUMMYFUNCTION("""COMPUTED_VALUE"""),21.4)</f>
        <v>21.4</v>
      </c>
      <c r="K70" s="11">
        <f>IFERROR(__xludf.DUMMYFUNCTION("""COMPUTED_VALUE"""),3.4)</f>
        <v>3.4</v>
      </c>
      <c r="L70" s="11">
        <f>IFERROR(__xludf.DUMMYFUNCTION("""COMPUTED_VALUE"""),3.0)</f>
        <v>3</v>
      </c>
      <c r="M70" s="11">
        <f>IFERROR(__xludf.DUMMYFUNCTION("""COMPUTED_VALUE"""),4.9)</f>
        <v>4.9</v>
      </c>
      <c r="N70" s="11">
        <f>IFERROR(__xludf.DUMMYFUNCTION("""COMPUTED_VALUE"""),0.6)</f>
        <v>0.6</v>
      </c>
      <c r="O70" s="11">
        <f>IFERROR(__xludf.DUMMYFUNCTION("""COMPUTED_VALUE"""),0.2)</f>
        <v>0.2</v>
      </c>
      <c r="P70" s="15">
        <f>IFERROR(__xludf.DUMMYFUNCTION("""COMPUTED_VALUE"""),0.44)</f>
        <v>0.44</v>
      </c>
      <c r="Q70" s="15">
        <f>IFERROR(__xludf.DUMMYFUNCTION("""COMPUTED_VALUE"""),0.905)</f>
        <v>0.905</v>
      </c>
      <c r="R70" s="11">
        <f>IFERROR(__xludf.DUMMYFUNCTION("""COMPUTED_VALUE"""),2.3)</f>
        <v>2.3</v>
      </c>
      <c r="S70" s="11">
        <f>IFERROR(__xludf.DUMMYFUNCTION("""COMPUTED_VALUE"""),0.7105089990717794)</f>
        <v>0.7105089991</v>
      </c>
      <c r="T70" s="11">
        <f>IFERROR(__xludf.DUMMYFUNCTION("""COMPUTED_VALUE"""),1.6431395859975693)</f>
        <v>1.643139586</v>
      </c>
      <c r="U70" s="11">
        <f>IFERROR(__xludf.DUMMYFUNCTION("""COMPUTED_VALUE"""),-1.2038079721398716)</f>
        <v>-1.203807972</v>
      </c>
      <c r="V70" s="11">
        <f>IFERROR(__xludf.DUMMYFUNCTION("""COMPUTED_VALUE"""),0.43932409095778585)</f>
        <v>0.439324091</v>
      </c>
      <c r="W70" s="11">
        <f>IFERROR(__xludf.DUMMYFUNCTION("""COMPUTED_VALUE"""),-1.2485944449972455)</f>
        <v>-1.248594445</v>
      </c>
      <c r="X70" s="11">
        <f>IFERROR(__xludf.DUMMYFUNCTION("""COMPUTED_VALUE"""),-0.9723047469492465)</f>
        <v>-0.9723047469</v>
      </c>
      <c r="Y70" s="11">
        <f>IFERROR(__xludf.DUMMYFUNCTION("""COMPUTED_VALUE"""),-1.1466267062159692)</f>
        <v>-1.146626706</v>
      </c>
      <c r="Z70" s="11">
        <f>IFERROR(__xludf.DUMMYFUNCTION("""COMPUTED_VALUE"""),1.2865410249143574)</f>
        <v>1.286541025</v>
      </c>
      <c r="AA70" s="11">
        <f>IFERROR(__xludf.DUMMYFUNCTION("""COMPUTED_VALUE"""),-0.13672081696427313)</f>
        <v>-0.136720817</v>
      </c>
      <c r="AB70" t="str">
        <f>IFERROR(__xludf.DUMMYFUNCTION("SUBSTITUTE(REGEXREPLACE(REGEXREPLACE(REGEXREPLACE(REGEXREPLACE(REGEXREPLACE(REGEXREPLACE(F70,"","",),IF(Projections!$T$17="""",""PG"",),),IF(Projections!$U$17="""",""SG"",),),IF(Projections!$V$17="""",""SF"",),),IF(Projections!$W$17="""",""PF"",),),IF(Pro"&amp;"jections!$X$17="""",""C"",),),""/"","""")"),"PGSG")</f>
        <v>PGSG</v>
      </c>
    </row>
    <row r="71">
      <c r="A71" t="str">
        <f>IF(Projections!$AC$17,Draft!I9,"")</f>
        <v/>
      </c>
      <c r="B71">
        <f>IFERROR(__xludf.DUMMYFUNCTION("""COMPUTED_VALUE"""),66.0)</f>
        <v>66</v>
      </c>
      <c r="C71">
        <f>IFERROR(__xludf.DUMMYFUNCTION("""COMPUTED_VALUE"""),90.4)</f>
        <v>90.4</v>
      </c>
      <c r="D71" t="str">
        <f>IFERROR(__xludf.DUMMYFUNCTION("""COMPUTED_VALUE"""),"Bogdan Bogdanovic")</f>
        <v>Bogdan Bogdanovic</v>
      </c>
      <c r="E71">
        <f>IFERROR(__xludf.DUMMYFUNCTION("""COMPUTED_VALUE"""),71.0)</f>
        <v>71</v>
      </c>
      <c r="F71" t="str">
        <f>IFERROR(__xludf.DUMMYFUNCTION("""COMPUTED_VALUE"""),"SG,SF")</f>
        <v>SG,SF</v>
      </c>
      <c r="G71" s="11">
        <f>IFERROR(__xludf.DUMMYFUNCTION("""COMPUTED_VALUE"""),0.5837576984764301)</f>
        <v>0.5837576985</v>
      </c>
      <c r="H71" s="11">
        <f>IFERROR(__xludf.DUMMYFUNCTION("""COMPUTED_VALUE"""),0.5837576984764301)</f>
        <v>0.5837576985</v>
      </c>
      <c r="I71" s="11">
        <f>IFERROR(__xludf.DUMMYFUNCTION("""COMPUTED_VALUE"""),0.0)</f>
        <v>0</v>
      </c>
      <c r="J71" s="11">
        <f>IFERROR(__xludf.DUMMYFUNCTION("""COMPUTED_VALUE"""),17.1)</f>
        <v>17.1</v>
      </c>
      <c r="K71" s="11">
        <f>IFERROR(__xludf.DUMMYFUNCTION("""COMPUTED_VALUE"""),3.1)</f>
        <v>3.1</v>
      </c>
      <c r="L71" s="11">
        <f>IFERROR(__xludf.DUMMYFUNCTION("""COMPUTED_VALUE"""),3.5)</f>
        <v>3.5</v>
      </c>
      <c r="M71" s="11">
        <f>IFERROR(__xludf.DUMMYFUNCTION("""COMPUTED_VALUE"""),3.2)</f>
        <v>3.2</v>
      </c>
      <c r="N71" s="11">
        <f>IFERROR(__xludf.DUMMYFUNCTION("""COMPUTED_VALUE"""),1.1)</f>
        <v>1.1</v>
      </c>
      <c r="O71" s="11">
        <f>IFERROR(__xludf.DUMMYFUNCTION("""COMPUTED_VALUE"""),0.4)</f>
        <v>0.4</v>
      </c>
      <c r="P71" s="15">
        <f>IFERROR(__xludf.DUMMYFUNCTION("""COMPUTED_VALUE"""),0.434)</f>
        <v>0.434</v>
      </c>
      <c r="Q71" s="15">
        <f>IFERROR(__xludf.DUMMYFUNCTION("""COMPUTED_VALUE"""),0.889)</f>
        <v>0.889</v>
      </c>
      <c r="R71" s="11">
        <f>IFERROR(__xludf.DUMMYFUNCTION("""COMPUTED_VALUE"""),1.4)</f>
        <v>1.4</v>
      </c>
      <c r="S71" s="11">
        <f>IFERROR(__xludf.DUMMYFUNCTION("""COMPUTED_VALUE"""),-0.06627748534866822)</f>
        <v>-0.06627748535</v>
      </c>
      <c r="T71" s="11">
        <f>IFERROR(__xludf.DUMMYFUNCTION("""COMPUTED_VALUE"""),1.344566688902945)</f>
        <v>1.344566689</v>
      </c>
      <c r="U71" s="11">
        <f>IFERROR(__xludf.DUMMYFUNCTION("""COMPUTED_VALUE"""),-1.007676116515011)</f>
        <v>-1.007676117</v>
      </c>
      <c r="V71" s="11">
        <f>IFERROR(__xludf.DUMMYFUNCTION("""COMPUTED_VALUE"""),-0.33522600621847437)</f>
        <v>-0.3352260062</v>
      </c>
      <c r="W71" s="11">
        <f>IFERROR(__xludf.DUMMYFUNCTION("""COMPUTED_VALUE"""),0.41106894580015185)</f>
        <v>0.4110689458</v>
      </c>
      <c r="X71" s="11">
        <f>IFERROR(__xludf.DUMMYFUNCTION("""COMPUTED_VALUE"""),-0.6155173428439339)</f>
        <v>-0.6155173428</v>
      </c>
      <c r="Y71" s="11">
        <f>IFERROR(__xludf.DUMMYFUNCTION("""COMPUTED_VALUE"""),-1.0096399795075408)</f>
        <v>-1.00963998</v>
      </c>
      <c r="Z71" s="11">
        <f>IFERROR(__xludf.DUMMYFUNCTION("""COMPUTED_VALUE"""),0.7663559103798141)</f>
        <v>0.7663559104</v>
      </c>
      <c r="AA71" s="11">
        <f>IFERROR(__xludf.DUMMYFUNCTION("""COMPUTED_VALUE"""),0.08646310431960676)</f>
        <v>0.08646310432</v>
      </c>
      <c r="AB71" t="str">
        <f>IFERROR(__xludf.DUMMYFUNCTION("SUBSTITUTE(REGEXREPLACE(REGEXREPLACE(REGEXREPLACE(REGEXREPLACE(REGEXREPLACE(REGEXREPLACE(F71,"","",),IF(Projections!$T$17="""",""PG"",),),IF(Projections!$U$17="""",""SG"",),),IF(Projections!$V$17="""",""SF"",),),IF(Projections!$W$17="""",""PF"",),),IF(Pro"&amp;"jections!$X$17="""",""C"",),),""/"","""")"),"SGSF")</f>
        <v>SGSF</v>
      </c>
    </row>
    <row r="72">
      <c r="A72" t="str">
        <f>IF(Projections!$AC$17,Draft!I10,"")</f>
        <v/>
      </c>
      <c r="B72">
        <f>IFERROR(__xludf.DUMMYFUNCTION("""COMPUTED_VALUE"""),67.0)</f>
        <v>67</v>
      </c>
      <c r="C72">
        <f>IFERROR(__xludf.DUMMYFUNCTION("""COMPUTED_VALUE"""),96.7)</f>
        <v>96.7</v>
      </c>
      <c r="D72" t="str">
        <f>IFERROR(__xludf.DUMMYFUNCTION("""COMPUTED_VALUE"""),"Trey Murphy III")</f>
        <v>Trey Murphy III</v>
      </c>
      <c r="E72">
        <f>IFERROR(__xludf.DUMMYFUNCTION("""COMPUTED_VALUE"""),75.0)</f>
        <v>75</v>
      </c>
      <c r="F72" t="str">
        <f>IFERROR(__xludf.DUMMYFUNCTION("""COMPUTED_VALUE"""),"SF,PF")</f>
        <v>SF,PF</v>
      </c>
      <c r="G72" s="11">
        <f>IFERROR(__xludf.DUMMYFUNCTION("""COMPUTED_VALUE"""),0.5326645776009525)</f>
        <v>0.5326645776</v>
      </c>
      <c r="H72" s="11">
        <f>IFERROR(__xludf.DUMMYFUNCTION("""COMPUTED_VALUE"""),0.5326645776009525)</f>
        <v>0.5326645776</v>
      </c>
      <c r="I72" s="11">
        <f>IFERROR(__xludf.DUMMYFUNCTION("""COMPUTED_VALUE"""),0.0)</f>
        <v>0</v>
      </c>
      <c r="J72" s="11">
        <f>IFERROR(__xludf.DUMMYFUNCTION("""COMPUTED_VALUE"""),15.1)</f>
        <v>15.1</v>
      </c>
      <c r="K72" s="11">
        <f>IFERROR(__xludf.DUMMYFUNCTION("""COMPUTED_VALUE"""),2.9)</f>
        <v>2.9</v>
      </c>
      <c r="L72" s="11">
        <f>IFERROR(__xludf.DUMMYFUNCTION("""COMPUTED_VALUE"""),4.3)</f>
        <v>4.3</v>
      </c>
      <c r="M72" s="11">
        <f>IFERROR(__xludf.DUMMYFUNCTION("""COMPUTED_VALUE"""),1.8)</f>
        <v>1.8</v>
      </c>
      <c r="N72" s="11">
        <f>IFERROR(__xludf.DUMMYFUNCTION("""COMPUTED_VALUE"""),1.1)</f>
        <v>1.1</v>
      </c>
      <c r="O72" s="11">
        <f>IFERROR(__xludf.DUMMYFUNCTION("""COMPUTED_VALUE"""),0.6)</f>
        <v>0.6</v>
      </c>
      <c r="P72" s="15">
        <f>IFERROR(__xludf.DUMMYFUNCTION("""COMPUTED_VALUE"""),0.455)</f>
        <v>0.455</v>
      </c>
      <c r="Q72" s="15">
        <f>IFERROR(__xludf.DUMMYFUNCTION("""COMPUTED_VALUE"""),0.864)</f>
        <v>0.864</v>
      </c>
      <c r="R72" s="11">
        <f>IFERROR(__xludf.DUMMYFUNCTION("""COMPUTED_VALUE"""),0.7)</f>
        <v>0.7</v>
      </c>
      <c r="S72" s="11">
        <f>IFERROR(__xludf.DUMMYFUNCTION("""COMPUTED_VALUE"""),-0.4275735246139932)</f>
        <v>-0.4275735246</v>
      </c>
      <c r="T72" s="11">
        <f>IFERROR(__xludf.DUMMYFUNCTION("""COMPUTED_VALUE"""),1.145518090839862)</f>
        <v>1.145518091</v>
      </c>
      <c r="U72" s="11">
        <f>IFERROR(__xludf.DUMMYFUNCTION("""COMPUTED_VALUE"""),-0.6938651475152341)</f>
        <v>-0.6938651475</v>
      </c>
      <c r="V72" s="11">
        <f>IFERROR(__xludf.DUMMYFUNCTION("""COMPUTED_VALUE"""),-0.9730907921283356)</f>
        <v>-0.9730907921</v>
      </c>
      <c r="W72" s="11">
        <f>IFERROR(__xludf.DUMMYFUNCTION("""COMPUTED_VALUE"""),0.41106894580015185)</f>
        <v>0.4110689458</v>
      </c>
      <c r="X72" s="11">
        <f>IFERROR(__xludf.DUMMYFUNCTION("""COMPUTED_VALUE"""),-0.25872993873862127)</f>
        <v>-0.2587299387</v>
      </c>
      <c r="Y72" s="11">
        <f>IFERROR(__xludf.DUMMYFUNCTION("""COMPUTED_VALUE"""),-0.5399276264070031)</f>
        <v>-0.5399276264</v>
      </c>
      <c r="Z72" s="11">
        <f>IFERROR(__xludf.DUMMYFUNCTION("""COMPUTED_VALUE"""),0.6361231795842771)</f>
        <v>0.6361231796</v>
      </c>
      <c r="AA72" s="11">
        <f>IFERROR(__xludf.DUMMYFUNCTION("""COMPUTED_VALUE"""),0.26005059865151336)</f>
        <v>0.2600505987</v>
      </c>
      <c r="AB72" t="str">
        <f>IFERROR(__xludf.DUMMYFUNCTION("SUBSTITUTE(REGEXREPLACE(REGEXREPLACE(REGEXREPLACE(REGEXREPLACE(REGEXREPLACE(REGEXREPLACE(F72,"","",),IF(Projections!$T$17="""",""PG"",),),IF(Projections!$U$17="""",""SG"",),),IF(Projections!$V$17="""",""SF"",),),IF(Projections!$W$17="""",""PF"",),),IF(Pro"&amp;"jections!$X$17="""",""C"",),),""/"","""")"),"SFPF")</f>
        <v>SFPF</v>
      </c>
    </row>
    <row r="73">
      <c r="A73" t="str">
        <f>IF(Projections!$AC$17,Draft!I11,"")</f>
        <v/>
      </c>
      <c r="B73">
        <f>IFERROR(__xludf.DUMMYFUNCTION("""COMPUTED_VALUE"""),68.0)</f>
        <v>68</v>
      </c>
      <c r="C73">
        <f>IFERROR(__xludf.DUMMYFUNCTION("""COMPUTED_VALUE"""),66.6)</f>
        <v>66.6</v>
      </c>
      <c r="D73" t="str">
        <f>IFERROR(__xludf.DUMMYFUNCTION("""COMPUTED_VALUE"""),"Tobias Harris")</f>
        <v>Tobias Harris</v>
      </c>
      <c r="E73">
        <f>IFERROR(__xludf.DUMMYFUNCTION("""COMPUTED_VALUE"""),60.0)</f>
        <v>60</v>
      </c>
      <c r="F73" t="str">
        <f>IFERROR(__xludf.DUMMYFUNCTION("""COMPUTED_VALUE"""),"SF,PF")</f>
        <v>SF,PF</v>
      </c>
      <c r="G73" s="11">
        <f>IFERROR(__xludf.DUMMYFUNCTION("""COMPUTED_VALUE"""),0.5054739450689137)</f>
        <v>0.5054739451</v>
      </c>
      <c r="H73" s="11">
        <f>IFERROR(__xludf.DUMMYFUNCTION("""COMPUTED_VALUE"""),0.5054739450689137)</f>
        <v>0.5054739451</v>
      </c>
      <c r="I73" s="11">
        <f>IFERROR(__xludf.DUMMYFUNCTION("""COMPUTED_VALUE"""),0.0)</f>
        <v>0</v>
      </c>
      <c r="J73" s="11">
        <f>IFERROR(__xludf.DUMMYFUNCTION("""COMPUTED_VALUE"""),17.6)</f>
        <v>17.6</v>
      </c>
      <c r="K73" s="11">
        <f>IFERROR(__xludf.DUMMYFUNCTION("""COMPUTED_VALUE"""),1.6)</f>
        <v>1.6</v>
      </c>
      <c r="L73" s="11">
        <f>IFERROR(__xludf.DUMMYFUNCTION("""COMPUTED_VALUE"""),6.3)</f>
        <v>6.3</v>
      </c>
      <c r="M73" s="11">
        <f>IFERROR(__xludf.DUMMYFUNCTION("""COMPUTED_VALUE"""),3.0)</f>
        <v>3</v>
      </c>
      <c r="N73" s="11">
        <f>IFERROR(__xludf.DUMMYFUNCTION("""COMPUTED_VALUE"""),1.0)</f>
        <v>1</v>
      </c>
      <c r="O73" s="11">
        <f>IFERROR(__xludf.DUMMYFUNCTION("""COMPUTED_VALUE"""),0.6)</f>
        <v>0.6</v>
      </c>
      <c r="P73" s="15">
        <f>IFERROR(__xludf.DUMMYFUNCTION("""COMPUTED_VALUE"""),0.482)</f>
        <v>0.482</v>
      </c>
      <c r="Q73" s="15">
        <f>IFERROR(__xludf.DUMMYFUNCTION("""COMPUTED_VALUE"""),0.878)</f>
        <v>0.878</v>
      </c>
      <c r="R73" s="11">
        <f>IFERROR(__xludf.DUMMYFUNCTION("""COMPUTED_VALUE"""),1.3)</f>
        <v>1.3</v>
      </c>
      <c r="S73" s="11">
        <f>IFERROR(__xludf.DUMMYFUNCTION("""COMPUTED_VALUE"""),0.024046524467662967)</f>
        <v>0.02404652447</v>
      </c>
      <c r="T73" s="11">
        <f>IFERROR(__xludf.DUMMYFUNCTION("""COMPUTED_VALUE"""),-0.1482977965701775)</f>
        <v>-0.1482977966</v>
      </c>
      <c r="U73" s="11">
        <f>IFERROR(__xludf.DUMMYFUNCTION("""COMPUTED_VALUE"""),0.09066227498420842)</f>
        <v>0.09066227498</v>
      </c>
      <c r="V73" s="11">
        <f>IFERROR(__xludf.DUMMYFUNCTION("""COMPUTED_VALUE"""),-0.42634954706274036)</f>
        <v>-0.4263495471</v>
      </c>
      <c r="W73" s="11">
        <f>IFERROR(__xludf.DUMMYFUNCTION("""COMPUTED_VALUE"""),0.07913626764067216)</f>
        <v>0.07913626764</v>
      </c>
      <c r="X73" s="11">
        <f>IFERROR(__xludf.DUMMYFUNCTION("""COMPUTED_VALUE"""),-0.25872993873862127)</f>
        <v>-0.2587299387</v>
      </c>
      <c r="Y73" s="11">
        <f>IFERROR(__xludf.DUMMYFUNCTION("""COMPUTED_VALUE"""),-0.24590830040200717)</f>
        <v>-0.2459083004</v>
      </c>
      <c r="Z73" s="11">
        <f>IFERROR(__xludf.DUMMYFUNCTION("""COMPUTED_VALUE"""),0.8533035958915827)</f>
        <v>0.8533035959</v>
      </c>
      <c r="AA73" s="11">
        <f>IFERROR(__xludf.DUMMYFUNCTION("""COMPUTED_VALUE"""),0.11126131779559338)</f>
        <v>0.1112613178</v>
      </c>
      <c r="AB73" t="str">
        <f>IFERROR(__xludf.DUMMYFUNCTION("SUBSTITUTE(REGEXREPLACE(REGEXREPLACE(REGEXREPLACE(REGEXREPLACE(REGEXREPLACE(REGEXREPLACE(F73,"","",),IF(Projections!$T$17="""",""PG"",),),IF(Projections!$U$17="""",""SG"",),),IF(Projections!$V$17="""",""SF"",),),IF(Projections!$W$17="""",""PF"",),),IF(Pro"&amp;"jections!$X$17="""",""C"",),),""/"","""")"),"SFPF")</f>
        <v>SFPF</v>
      </c>
    </row>
    <row r="74">
      <c r="A74" t="str">
        <f>IF(Projections!$AC$17,Draft!I12,"")</f>
        <v/>
      </c>
      <c r="B74">
        <f>IFERROR(__xludf.DUMMYFUNCTION("""COMPUTED_VALUE"""),69.0)</f>
        <v>69</v>
      </c>
      <c r="C74">
        <f>IFERROR(__xludf.DUMMYFUNCTION("""COMPUTED_VALUE"""),72.6)</f>
        <v>72.6</v>
      </c>
      <c r="D74" t="str">
        <f>IFERROR(__xludf.DUMMYFUNCTION("""COMPUTED_VALUE"""),"Bradley Beal")</f>
        <v>Bradley Beal</v>
      </c>
      <c r="E74">
        <f>IFERROR(__xludf.DUMMYFUNCTION("""COMPUTED_VALUE"""),57.0)</f>
        <v>57</v>
      </c>
      <c r="F74" t="str">
        <f>IFERROR(__xludf.DUMMYFUNCTION("""COMPUTED_VALUE"""),"PG,SG")</f>
        <v>PG,SG</v>
      </c>
      <c r="G74" s="11">
        <f>IFERROR(__xludf.DUMMYFUNCTION("""COMPUTED_VALUE"""),0.49812564923623914)</f>
        <v>0.4981256492</v>
      </c>
      <c r="H74" s="11">
        <f>IFERROR(__xludf.DUMMYFUNCTION("""COMPUTED_VALUE"""),0.49812564923623914)</f>
        <v>0.4981256492</v>
      </c>
      <c r="I74" s="11">
        <f>IFERROR(__xludf.DUMMYFUNCTION("""COMPUTED_VALUE"""),0.0)</f>
        <v>0</v>
      </c>
      <c r="J74" s="11">
        <f>IFERROR(__xludf.DUMMYFUNCTION("""COMPUTED_VALUE"""),18.9)</f>
        <v>18.9</v>
      </c>
      <c r="K74" s="11">
        <f>IFERROR(__xludf.DUMMYFUNCTION("""COMPUTED_VALUE"""),1.9)</f>
        <v>1.9</v>
      </c>
      <c r="L74" s="11">
        <f>IFERROR(__xludf.DUMMYFUNCTION("""COMPUTED_VALUE"""),3.8)</f>
        <v>3.8</v>
      </c>
      <c r="M74" s="11">
        <f>IFERROR(__xludf.DUMMYFUNCTION("""COMPUTED_VALUE"""),4.2)</f>
        <v>4.2</v>
      </c>
      <c r="N74" s="11">
        <f>IFERROR(__xludf.DUMMYFUNCTION("""COMPUTED_VALUE"""),1.0)</f>
        <v>1</v>
      </c>
      <c r="O74" s="11">
        <f>IFERROR(__xludf.DUMMYFUNCTION("""COMPUTED_VALUE"""),0.5)</f>
        <v>0.5</v>
      </c>
      <c r="P74" s="15">
        <f>IFERROR(__xludf.DUMMYFUNCTION("""COMPUTED_VALUE"""),0.509)</f>
        <v>0.509</v>
      </c>
      <c r="Q74" s="15">
        <f>IFERROR(__xludf.DUMMYFUNCTION("""COMPUTED_VALUE"""),0.821)</f>
        <v>0.821</v>
      </c>
      <c r="R74" s="11">
        <f>IFERROR(__xludf.DUMMYFUNCTION("""COMPUTED_VALUE"""),2.4)</f>
        <v>2.4</v>
      </c>
      <c r="S74" s="11">
        <f>IFERROR(__xludf.DUMMYFUNCTION("""COMPUTED_VALUE"""),0.2588889499901235)</f>
        <v>0.25888895</v>
      </c>
      <c r="T74" s="11">
        <f>IFERROR(__xludf.DUMMYFUNCTION("""COMPUTED_VALUE"""),0.15027510052444681)</f>
        <v>0.1502751005</v>
      </c>
      <c r="U74" s="11">
        <f>IFERROR(__xludf.DUMMYFUNCTION("""COMPUTED_VALUE"""),-0.8899970031400947)</f>
        <v>-0.8899970031</v>
      </c>
      <c r="V74" s="11">
        <f>IFERROR(__xludf.DUMMYFUNCTION("""COMPUTED_VALUE"""),0.12039169800285511)</f>
        <v>0.120391698</v>
      </c>
      <c r="W74" s="11">
        <f>IFERROR(__xludf.DUMMYFUNCTION("""COMPUTED_VALUE"""),0.07913626764067216)</f>
        <v>0.07913626764</v>
      </c>
      <c r="X74" s="11">
        <f>IFERROR(__xludf.DUMMYFUNCTION("""COMPUTED_VALUE"""),-0.4371236407912776)</f>
        <v>-0.4371236408</v>
      </c>
      <c r="Y74" s="11">
        <f>IFERROR(__xludf.DUMMYFUNCTION("""COMPUTED_VALUE"""),0.20169281955914414)</f>
        <v>0.2016928196</v>
      </c>
      <c r="Z74" s="11">
        <f>IFERROR(__xludf.DUMMYFUNCTION("""COMPUTED_VALUE"""),0.28638348475053477)</f>
        <v>0.2863834848</v>
      </c>
      <c r="AA74" s="11">
        <f>IFERROR(__xludf.DUMMYFUNCTION("""COMPUTED_VALUE"""),-0.1615190304402598)</f>
        <v>-0.1615190304</v>
      </c>
      <c r="AB74" t="str">
        <f>IFERROR(__xludf.DUMMYFUNCTION("SUBSTITUTE(REGEXREPLACE(REGEXREPLACE(REGEXREPLACE(REGEXREPLACE(REGEXREPLACE(REGEXREPLACE(F74,"","",),IF(Projections!$T$17="""",""PG"",),),IF(Projections!$U$17="""",""SG"",),),IF(Projections!$V$17="""",""SF"",),),IF(Projections!$W$17="""",""PF"",),),IF(Pro"&amp;"jections!$X$17="""",""C"",),),""/"","""")"),"PGSG")</f>
        <v>PGSG</v>
      </c>
    </row>
    <row r="75">
      <c r="A75" t="str">
        <f>IF(Projections!$AC$17,Draft!I13,"")</f>
        <v/>
      </c>
      <c r="B75">
        <f>IFERROR(__xludf.DUMMYFUNCTION("""COMPUTED_VALUE"""),70.0)</f>
        <v>70</v>
      </c>
      <c r="C75">
        <f>IFERROR(__xludf.DUMMYFUNCTION("""COMPUTED_VALUE"""),138.9)</f>
        <v>138.9</v>
      </c>
      <c r="D75" t="str">
        <f>IFERROR(__xludf.DUMMYFUNCTION("""COMPUTED_VALUE"""),"Taylor Hendricks")</f>
        <v>Taylor Hendricks</v>
      </c>
      <c r="E75">
        <f>IFERROR(__xludf.DUMMYFUNCTION("""COMPUTED_VALUE"""),71.0)</f>
        <v>71</v>
      </c>
      <c r="F75" t="str">
        <f>IFERROR(__xludf.DUMMYFUNCTION("""COMPUTED_VALUE"""),"SF,PF")</f>
        <v>SF,PF</v>
      </c>
      <c r="G75" s="11">
        <f>IFERROR(__xludf.DUMMYFUNCTION("""COMPUTED_VALUE"""),0.4880697754263841)</f>
        <v>0.4880697754</v>
      </c>
      <c r="H75" s="11">
        <f>IFERROR(__xludf.DUMMYFUNCTION("""COMPUTED_VALUE"""),0.4880697754263841)</f>
        <v>0.4880697754</v>
      </c>
      <c r="I75" s="11">
        <f>IFERROR(__xludf.DUMMYFUNCTION("""COMPUTED_VALUE"""),0.0)</f>
        <v>0</v>
      </c>
      <c r="J75" s="11">
        <f>IFERROR(__xludf.DUMMYFUNCTION("""COMPUTED_VALUE"""),11.4)</f>
        <v>11.4</v>
      </c>
      <c r="K75" s="11">
        <f>IFERROR(__xludf.DUMMYFUNCTION("""COMPUTED_VALUE"""),2.0)</f>
        <v>2</v>
      </c>
      <c r="L75" s="11">
        <f>IFERROR(__xludf.DUMMYFUNCTION("""COMPUTED_VALUE"""),7.0)</f>
        <v>7</v>
      </c>
      <c r="M75" s="11">
        <f>IFERROR(__xludf.DUMMYFUNCTION("""COMPUTED_VALUE"""),1.2)</f>
        <v>1.2</v>
      </c>
      <c r="N75" s="11">
        <f>IFERROR(__xludf.DUMMYFUNCTION("""COMPUTED_VALUE"""),1.1)</f>
        <v>1.1</v>
      </c>
      <c r="O75" s="11">
        <f>IFERROR(__xludf.DUMMYFUNCTION("""COMPUTED_VALUE"""),1.1)</f>
        <v>1.1</v>
      </c>
      <c r="P75" s="15">
        <f>IFERROR(__xludf.DUMMYFUNCTION("""COMPUTED_VALUE"""),0.471)</f>
        <v>0.471</v>
      </c>
      <c r="Q75" s="15">
        <f>IFERROR(__xludf.DUMMYFUNCTION("""COMPUTED_VALUE"""),0.798)</f>
        <v>0.798</v>
      </c>
      <c r="R75" s="11">
        <f>IFERROR(__xludf.DUMMYFUNCTION("""COMPUTED_VALUE"""),1.0)</f>
        <v>1</v>
      </c>
      <c r="S75" s="11">
        <f>IFERROR(__xludf.DUMMYFUNCTION("""COMPUTED_VALUE"""),-1.0959711972548438)</f>
        <v>-1.095971197</v>
      </c>
      <c r="T75" s="11">
        <f>IFERROR(__xludf.DUMMYFUNCTION("""COMPUTED_VALUE"""),0.2497993995559884)</f>
        <v>0.2497993996</v>
      </c>
      <c r="U75" s="11">
        <f>IFERROR(__xludf.DUMMYFUNCTION("""COMPUTED_VALUE"""),0.36524687285901336)</f>
        <v>0.3652468729</v>
      </c>
      <c r="V75" s="11">
        <f>IFERROR(__xludf.DUMMYFUNCTION("""COMPUTED_VALUE"""),-1.2464614146611335)</f>
        <v>-1.246461415</v>
      </c>
      <c r="W75" s="11">
        <f>IFERROR(__xludf.DUMMYFUNCTION("""COMPUTED_VALUE"""),0.41106894580015185)</f>
        <v>0.4110689458</v>
      </c>
      <c r="X75" s="11">
        <f>IFERROR(__xludf.DUMMYFUNCTION("""COMPUTED_VALUE"""),0.6332385715246607)</f>
        <v>0.6332385715</v>
      </c>
      <c r="Y75" s="11">
        <f>IFERROR(__xludf.DUMMYFUNCTION("""COMPUTED_VALUE"""),-0.2729908354319355)</f>
        <v>-0.2729908354</v>
      </c>
      <c r="Z75" s="11">
        <f>IFERROR(__xludf.DUMMYFUNCTION("""COMPUTED_VALUE"""),0.0120220601497958)</f>
        <v>0.01202206015</v>
      </c>
      <c r="AA75" s="11">
        <f>IFERROR(__xludf.DUMMYFUNCTION("""COMPUTED_VALUE"""),0.18565595822355335)</f>
        <v>0.1856559582</v>
      </c>
      <c r="AB75" t="str">
        <f>IFERROR(__xludf.DUMMYFUNCTION("SUBSTITUTE(REGEXREPLACE(REGEXREPLACE(REGEXREPLACE(REGEXREPLACE(REGEXREPLACE(REGEXREPLACE(F75,"","",),IF(Projections!$T$17="""",""PG"",),),IF(Projections!$U$17="""",""SG"",),),IF(Projections!$V$17="""",""SF"",),),IF(Projections!$W$17="""",""PF"",),),IF(Pro"&amp;"jections!$X$17="""",""C"",),),""/"","""")"),"SFPF")</f>
        <v>SFPF</v>
      </c>
    </row>
    <row r="76">
      <c r="A76" t="str">
        <f>IF(Projections!$AC$17,Draft!I14,"")</f>
        <v/>
      </c>
      <c r="B76">
        <f>IFERROR(__xludf.DUMMYFUNCTION("""COMPUTED_VALUE"""),71.0)</f>
        <v>71</v>
      </c>
      <c r="C76">
        <f>IFERROR(__xludf.DUMMYFUNCTION("""COMPUTED_VALUE"""),116.8)</f>
        <v>116.8</v>
      </c>
      <c r="D76" t="str">
        <f>IFERROR(__xludf.DUMMYFUNCTION("""COMPUTED_VALUE"""),"Amen Thompson")</f>
        <v>Amen Thompson</v>
      </c>
      <c r="E76">
        <f>IFERROR(__xludf.DUMMYFUNCTION("""COMPUTED_VALUE"""),66.0)</f>
        <v>66</v>
      </c>
      <c r="F76" t="str">
        <f>IFERROR(__xludf.DUMMYFUNCTION("""COMPUTED_VALUE"""),"SG,SF")</f>
        <v>SG,SF</v>
      </c>
      <c r="G76" s="11">
        <f>IFERROR(__xludf.DUMMYFUNCTION("""COMPUTED_VALUE"""),0.46137761648313913)</f>
        <v>0.4613776165</v>
      </c>
      <c r="H76" s="11">
        <f>IFERROR(__xludf.DUMMYFUNCTION("""COMPUTED_VALUE"""),0.46137761648313913)</f>
        <v>0.4613776165</v>
      </c>
      <c r="I76" s="11">
        <f>IFERROR(__xludf.DUMMYFUNCTION("""COMPUTED_VALUE"""),0.0)</f>
        <v>0</v>
      </c>
      <c r="J76" s="11">
        <f>IFERROR(__xludf.DUMMYFUNCTION("""COMPUTED_VALUE"""),12.0)</f>
        <v>12</v>
      </c>
      <c r="K76" s="11">
        <f>IFERROR(__xludf.DUMMYFUNCTION("""COMPUTED_VALUE"""),0.3)</f>
        <v>0.3</v>
      </c>
      <c r="L76" s="11">
        <f>IFERROR(__xludf.DUMMYFUNCTION("""COMPUTED_VALUE"""),7.2)</f>
        <v>7.2</v>
      </c>
      <c r="M76" s="11">
        <f>IFERROR(__xludf.DUMMYFUNCTION("""COMPUTED_VALUE"""),3.2)</f>
        <v>3.2</v>
      </c>
      <c r="N76" s="11">
        <f>IFERROR(__xludf.DUMMYFUNCTION("""COMPUTED_VALUE"""),1.5)</f>
        <v>1.5</v>
      </c>
      <c r="O76" s="11">
        <f>IFERROR(__xludf.DUMMYFUNCTION("""COMPUTED_VALUE"""),0.8)</f>
        <v>0.8</v>
      </c>
      <c r="P76" s="15">
        <f>IFERROR(__xludf.DUMMYFUNCTION("""COMPUTED_VALUE"""),0.529)</f>
        <v>0.529</v>
      </c>
      <c r="Q76" s="15">
        <f>IFERROR(__xludf.DUMMYFUNCTION("""COMPUTED_VALUE"""),0.72)</f>
        <v>0.72</v>
      </c>
      <c r="R76" s="11">
        <f>IFERROR(__xludf.DUMMYFUNCTION("""COMPUTED_VALUE"""),1.8)</f>
        <v>1.8</v>
      </c>
      <c r="S76" s="11">
        <f>IFERROR(__xludf.DUMMYFUNCTION("""COMPUTED_VALUE"""),-0.9875823854752465)</f>
        <v>-0.9875823855</v>
      </c>
      <c r="T76" s="11">
        <f>IFERROR(__xludf.DUMMYFUNCTION("""COMPUTED_VALUE"""),-1.442113683980217)</f>
        <v>-1.442113684</v>
      </c>
      <c r="U76" s="11">
        <f>IFERROR(__xludf.DUMMYFUNCTION("""COMPUTED_VALUE"""),0.44369961510895767)</f>
        <v>0.4436996151</v>
      </c>
      <c r="V76" s="11">
        <f>IFERROR(__xludf.DUMMYFUNCTION("""COMPUTED_VALUE"""),-0.33522600621847437)</f>
        <v>-0.3352260062</v>
      </c>
      <c r="W76" s="11">
        <f>IFERROR(__xludf.DUMMYFUNCTION("""COMPUTED_VALUE"""),1.738799658438069)</f>
        <v>1.738799658</v>
      </c>
      <c r="X76" s="11">
        <f>IFERROR(__xludf.DUMMYFUNCTION("""COMPUTED_VALUE"""),0.09805746536669153)</f>
        <v>0.09805746537</v>
      </c>
      <c r="Y76" s="11">
        <f>IFERROR(__xludf.DUMMYFUNCTION("""COMPUTED_VALUE"""),0.33879364172079857)</f>
        <v>0.3387936417</v>
      </c>
      <c r="Z76" s="11">
        <f>IFERROR(__xludf.DUMMYFUNCTION("""COMPUTED_VALUE"""),-0.822434622873317)</f>
        <v>-0.8224346229</v>
      </c>
      <c r="AA76" s="11">
        <f>IFERROR(__xludf.DUMMYFUNCTION("""COMPUTED_VALUE"""),-0.012729749584339901)</f>
        <v>-0.01272974958</v>
      </c>
      <c r="AB76" t="str">
        <f>IFERROR(__xludf.DUMMYFUNCTION("SUBSTITUTE(REGEXREPLACE(REGEXREPLACE(REGEXREPLACE(REGEXREPLACE(REGEXREPLACE(REGEXREPLACE(F76,"","",),IF(Projections!$T$17="""",""PG"",),),IF(Projections!$U$17="""",""SG"",),),IF(Projections!$V$17="""",""SF"",),),IF(Projections!$W$17="""",""PF"",),),IF(Pro"&amp;"jections!$X$17="""",""C"",),),""/"","""")"),"SGSF")</f>
        <v>SGSF</v>
      </c>
    </row>
    <row r="77">
      <c r="A77" t="str">
        <f>IF(Projections!$AC$17,Draft!J3,"")</f>
        <v/>
      </c>
      <c r="B77">
        <f>IFERROR(__xludf.DUMMYFUNCTION("""COMPUTED_VALUE"""),72.0)</f>
        <v>72</v>
      </c>
      <c r="C77">
        <f>IFERROR(__xludf.DUMMYFUNCTION("""COMPUTED_VALUE"""),82.0)</f>
        <v>82</v>
      </c>
      <c r="D77" t="str">
        <f>IFERROR(__xludf.DUMMYFUNCTION("""COMPUTED_VALUE"""),"Devin Vassell")</f>
        <v>Devin Vassell</v>
      </c>
      <c r="E77">
        <f>IFERROR(__xludf.DUMMYFUNCTION("""COMPUTED_VALUE"""),71.0)</f>
        <v>71</v>
      </c>
      <c r="F77" t="str">
        <f>IFERROR(__xludf.DUMMYFUNCTION("""COMPUTED_VALUE"""),"SG,SF")</f>
        <v>SG,SF</v>
      </c>
      <c r="G77" s="11">
        <f>IFERROR(__xludf.DUMMYFUNCTION("""COMPUTED_VALUE"""),0.4374051168837939)</f>
        <v>0.4374051169</v>
      </c>
      <c r="H77" s="11">
        <f>IFERROR(__xludf.DUMMYFUNCTION("""COMPUTED_VALUE"""),0.4374051168837939)</f>
        <v>0.4374051169</v>
      </c>
      <c r="I77" s="11">
        <f>IFERROR(__xludf.DUMMYFUNCTION("""COMPUTED_VALUE"""),0.0)</f>
        <v>0</v>
      </c>
      <c r="J77" s="11">
        <f>IFERROR(__xludf.DUMMYFUNCTION("""COMPUTED_VALUE"""),19.4)</f>
        <v>19.4</v>
      </c>
      <c r="K77" s="11">
        <f>IFERROR(__xludf.DUMMYFUNCTION("""COMPUTED_VALUE"""),2.6)</f>
        <v>2.6</v>
      </c>
      <c r="L77" s="11">
        <f>IFERROR(__xludf.DUMMYFUNCTION("""COMPUTED_VALUE"""),3.9)</f>
        <v>3.9</v>
      </c>
      <c r="M77" s="11">
        <f>IFERROR(__xludf.DUMMYFUNCTION("""COMPUTED_VALUE"""),4.0)</f>
        <v>4</v>
      </c>
      <c r="N77" s="11">
        <f>IFERROR(__xludf.DUMMYFUNCTION("""COMPUTED_VALUE"""),1.1)</f>
        <v>1.1</v>
      </c>
      <c r="O77" s="11">
        <f>IFERROR(__xludf.DUMMYFUNCTION("""COMPUTED_VALUE"""),0.4)</f>
        <v>0.4</v>
      </c>
      <c r="P77" s="15">
        <f>IFERROR(__xludf.DUMMYFUNCTION("""COMPUTED_VALUE"""),0.46)</f>
        <v>0.46</v>
      </c>
      <c r="Q77" s="15">
        <f>IFERROR(__xludf.DUMMYFUNCTION("""COMPUTED_VALUE"""),0.801)</f>
        <v>0.801</v>
      </c>
      <c r="R77" s="11">
        <f>IFERROR(__xludf.DUMMYFUNCTION("""COMPUTED_VALUE"""),1.6)</f>
        <v>1.6</v>
      </c>
      <c r="S77" s="11">
        <f>IFERROR(__xludf.DUMMYFUNCTION("""COMPUTED_VALUE"""),0.34921295980645467)</f>
        <v>0.3492129598</v>
      </c>
      <c r="T77" s="11">
        <f>IFERROR(__xludf.DUMMYFUNCTION("""COMPUTED_VALUE"""),0.8469451937452375)</f>
        <v>0.8469451937</v>
      </c>
      <c r="U77" s="11">
        <f>IFERROR(__xludf.DUMMYFUNCTION("""COMPUTED_VALUE"""),-0.8507706320151226)</f>
        <v>-0.850770632</v>
      </c>
      <c r="V77" s="11">
        <f>IFERROR(__xludf.DUMMYFUNCTION("""COMPUTED_VALUE"""),0.029268157158589138)</f>
        <v>0.02926815716</v>
      </c>
      <c r="W77" s="11">
        <f>IFERROR(__xludf.DUMMYFUNCTION("""COMPUTED_VALUE"""),0.41106894580015185)</f>
        <v>0.4110689458</v>
      </c>
      <c r="X77" s="11">
        <f>IFERROR(__xludf.DUMMYFUNCTION("""COMPUTED_VALUE"""),-0.6155173428439339)</f>
        <v>-0.6155173428</v>
      </c>
      <c r="Y77" s="11">
        <f>IFERROR(__xludf.DUMMYFUNCTION("""COMPUTED_VALUE"""),-0.6829443366263799)</f>
        <v>-0.6829443366</v>
      </c>
      <c r="Z77" s="11">
        <f>IFERROR(__xludf.DUMMYFUNCTION("""COMPUTED_VALUE"""),0.06250486247604124)</f>
        <v>0.06250486248</v>
      </c>
      <c r="AA77" s="11">
        <f>IFERROR(__xludf.DUMMYFUNCTION("""COMPUTED_VALUE"""),0.036866677367633396)</f>
        <v>0.03686667737</v>
      </c>
      <c r="AB77" t="str">
        <f>IFERROR(__xludf.DUMMYFUNCTION("SUBSTITUTE(REGEXREPLACE(REGEXREPLACE(REGEXREPLACE(REGEXREPLACE(REGEXREPLACE(REGEXREPLACE(F77,"","",),IF(Projections!$T$17="""",""PG"",),),IF(Projections!$U$17="""",""SG"",),),IF(Projections!$V$17="""",""SF"",),),IF(Projections!$W$17="""",""PF"",),),IF(Pro"&amp;"jections!$X$17="""",""C"",),),""/"","""")"),"SGSF")</f>
        <v>SGSF</v>
      </c>
    </row>
    <row r="78">
      <c r="A78" t="str">
        <f>IF(Projections!$AC$17,Draft!J4,"")</f>
        <v/>
      </c>
      <c r="B78">
        <f>IFERROR(__xludf.DUMMYFUNCTION("""COMPUTED_VALUE"""),73.0)</f>
        <v>73</v>
      </c>
      <c r="C78">
        <f>IFERROR(__xludf.DUMMYFUNCTION("""COMPUTED_VALUE"""),58.2)</f>
        <v>58.2</v>
      </c>
      <c r="D78" t="str">
        <f>IFERROR(__xludf.DUMMYFUNCTION("""COMPUTED_VALUE"""),"Miles Bridges")</f>
        <v>Miles Bridges</v>
      </c>
      <c r="E78">
        <f>IFERROR(__xludf.DUMMYFUNCTION("""COMPUTED_VALUE"""),75.0)</f>
        <v>75</v>
      </c>
      <c r="F78" t="str">
        <f>IFERROR(__xludf.DUMMYFUNCTION("""COMPUTED_VALUE"""),"SF,PF")</f>
        <v>SF,PF</v>
      </c>
      <c r="G78" s="11">
        <f>IFERROR(__xludf.DUMMYFUNCTION("""COMPUTED_VALUE"""),0.43238411758235185)</f>
        <v>0.4323841176</v>
      </c>
      <c r="H78" s="11">
        <f>IFERROR(__xludf.DUMMYFUNCTION("""COMPUTED_VALUE"""),0.43238411758235185)</f>
        <v>0.4323841176</v>
      </c>
      <c r="I78" s="11">
        <f>IFERROR(__xludf.DUMMYFUNCTION("""COMPUTED_VALUE"""),0.0)</f>
        <v>0</v>
      </c>
      <c r="J78" s="11">
        <f>IFERROR(__xludf.DUMMYFUNCTION("""COMPUTED_VALUE"""),19.8)</f>
        <v>19.8</v>
      </c>
      <c r="K78" s="11">
        <f>IFERROR(__xludf.DUMMYFUNCTION("""COMPUTED_VALUE"""),2.2)</f>
        <v>2.2</v>
      </c>
      <c r="L78" s="11">
        <f>IFERROR(__xludf.DUMMYFUNCTION("""COMPUTED_VALUE"""),6.9)</f>
        <v>6.9</v>
      </c>
      <c r="M78" s="11">
        <f>IFERROR(__xludf.DUMMYFUNCTION("""COMPUTED_VALUE"""),3.2)</f>
        <v>3.2</v>
      </c>
      <c r="N78" s="11">
        <f>IFERROR(__xludf.DUMMYFUNCTION("""COMPUTED_VALUE"""),0.9)</f>
        <v>0.9</v>
      </c>
      <c r="O78" s="11">
        <f>IFERROR(__xludf.DUMMYFUNCTION("""COMPUTED_VALUE"""),0.5)</f>
        <v>0.5</v>
      </c>
      <c r="P78" s="15">
        <f>IFERROR(__xludf.DUMMYFUNCTION("""COMPUTED_VALUE"""),0.462)</f>
        <v>0.462</v>
      </c>
      <c r="Q78" s="15">
        <f>IFERROR(__xludf.DUMMYFUNCTION("""COMPUTED_VALUE"""),0.824)</f>
        <v>0.824</v>
      </c>
      <c r="R78" s="11">
        <f>IFERROR(__xludf.DUMMYFUNCTION("""COMPUTED_VALUE"""),1.9)</f>
        <v>1.9</v>
      </c>
      <c r="S78" s="11">
        <f>IFERROR(__xludf.DUMMYFUNCTION("""COMPUTED_VALUE"""),0.42147216765952)</f>
        <v>0.4214721677</v>
      </c>
      <c r="T78" s="11">
        <f>IFERROR(__xludf.DUMMYFUNCTION("""COMPUTED_VALUE"""),0.44884799761907157)</f>
        <v>0.4488479976</v>
      </c>
      <c r="U78" s="11">
        <f>IFERROR(__xludf.DUMMYFUNCTION("""COMPUTED_VALUE"""),0.3260205017340414)</f>
        <v>0.3260205017</v>
      </c>
      <c r="V78" s="11">
        <f>IFERROR(__xludf.DUMMYFUNCTION("""COMPUTED_VALUE"""),-0.33522600621847437)</f>
        <v>-0.3352260062</v>
      </c>
      <c r="W78" s="11">
        <f>IFERROR(__xludf.DUMMYFUNCTION("""COMPUTED_VALUE"""),-0.25279641051880714)</f>
        <v>-0.2527964105</v>
      </c>
      <c r="X78" s="11">
        <f>IFERROR(__xludf.DUMMYFUNCTION("""COMPUTED_VALUE"""),-0.4371236407912776)</f>
        <v>-0.4371236408</v>
      </c>
      <c r="Y78" s="11">
        <f>IFERROR(__xludf.DUMMYFUNCTION("""COMPUTED_VALUE"""),-0.678613366361083)</f>
        <v>-0.6786133664</v>
      </c>
      <c r="Z78" s="11">
        <f>IFERROR(__xludf.DUMMYFUNCTION("""COMPUTED_VALUE"""),0.29871747115860475)</f>
        <v>0.2987174712</v>
      </c>
      <c r="AA78" s="11">
        <f>IFERROR(__xludf.DUMMYFUNCTION("""COMPUTED_VALUE"""),-0.037527963060326526)</f>
        <v>-0.03752796306</v>
      </c>
      <c r="AB78" t="str">
        <f>IFERROR(__xludf.DUMMYFUNCTION("SUBSTITUTE(REGEXREPLACE(REGEXREPLACE(REGEXREPLACE(REGEXREPLACE(REGEXREPLACE(REGEXREPLACE(F78,"","",),IF(Projections!$T$17="""",""PG"",),),IF(Projections!$U$17="""",""SG"",),),IF(Projections!$V$17="""",""SF"",),),IF(Projections!$W$17="""",""PF"",),),IF(Pro"&amp;"jections!$X$17="""",""C"",),),""/"","""")"),"SFPF")</f>
        <v>SFPF</v>
      </c>
    </row>
    <row r="79">
      <c r="A79" t="str">
        <f>IF(Projections!$AC$17,Draft!J5,"")</f>
        <v/>
      </c>
      <c r="B79">
        <f>IFERROR(__xludf.DUMMYFUNCTION("""COMPUTED_VALUE"""),74.0)</f>
        <v>74</v>
      </c>
      <c r="C79">
        <f>IFERROR(__xludf.DUMMYFUNCTION("""COMPUTED_VALUE"""),76.4)</f>
        <v>76.4</v>
      </c>
      <c r="D79" t="str">
        <f>IFERROR(__xludf.DUMMYFUNCTION("""COMPUTED_VALUE"""),"Isaiah Hartenstein")</f>
        <v>Isaiah Hartenstein</v>
      </c>
      <c r="E79">
        <f>IFERROR(__xludf.DUMMYFUNCTION("""COMPUTED_VALUE"""),71.0)</f>
        <v>71</v>
      </c>
      <c r="F79" t="str">
        <f>IFERROR(__xludf.DUMMYFUNCTION("""COMPUTED_VALUE"""),"C")</f>
        <v>C</v>
      </c>
      <c r="G79" s="11">
        <f>IFERROR(__xludf.DUMMYFUNCTION("""COMPUTED_VALUE"""),0.4199092294826001)</f>
        <v>0.4199092295</v>
      </c>
      <c r="H79" s="11">
        <f>IFERROR(__xludf.DUMMYFUNCTION("""COMPUTED_VALUE"""),0.4199092294826001)</f>
        <v>0.4199092295</v>
      </c>
      <c r="I79" s="11">
        <f>IFERROR(__xludf.DUMMYFUNCTION("""COMPUTED_VALUE"""),0.0)</f>
        <v>0</v>
      </c>
      <c r="J79" s="11">
        <f>IFERROR(__xludf.DUMMYFUNCTION("""COMPUTED_VALUE"""),8.7)</f>
        <v>8.7</v>
      </c>
      <c r="K79" s="11">
        <f>IFERROR(__xludf.DUMMYFUNCTION("""COMPUTED_VALUE"""),0.1)</f>
        <v>0.1</v>
      </c>
      <c r="L79" s="11">
        <f>IFERROR(__xludf.DUMMYFUNCTION("""COMPUTED_VALUE"""),9.0)</f>
        <v>9</v>
      </c>
      <c r="M79" s="11">
        <f>IFERROR(__xludf.DUMMYFUNCTION("""COMPUTED_VALUE"""),2.4)</f>
        <v>2.4</v>
      </c>
      <c r="N79" s="11">
        <f>IFERROR(__xludf.DUMMYFUNCTION("""COMPUTED_VALUE"""),1.1)</f>
        <v>1.1</v>
      </c>
      <c r="O79" s="11">
        <f>IFERROR(__xludf.DUMMYFUNCTION("""COMPUTED_VALUE"""),1.2)</f>
        <v>1.2</v>
      </c>
      <c r="P79" s="15">
        <f>IFERROR(__xludf.DUMMYFUNCTION("""COMPUTED_VALUE"""),0.621)</f>
        <v>0.621</v>
      </c>
      <c r="Q79" s="15">
        <f>IFERROR(__xludf.DUMMYFUNCTION("""COMPUTED_VALUE"""),0.7)</f>
        <v>0.7</v>
      </c>
      <c r="R79" s="11">
        <f>IFERROR(__xludf.DUMMYFUNCTION("""COMPUTED_VALUE"""),1.3)</f>
        <v>1.3</v>
      </c>
      <c r="S79" s="11">
        <f>IFERROR(__xludf.DUMMYFUNCTION("""COMPUTED_VALUE"""),-1.5837208502630324)</f>
        <v>-1.58372085</v>
      </c>
      <c r="T79" s="11">
        <f>IFERROR(__xludf.DUMMYFUNCTION("""COMPUTED_VALUE"""),-1.6411622820433)</f>
        <v>-1.641162282</v>
      </c>
      <c r="U79" s="11">
        <f>IFERROR(__xludf.DUMMYFUNCTION("""COMPUTED_VALUE"""),1.149774295358456)</f>
        <v>1.149774295</v>
      </c>
      <c r="V79" s="11">
        <f>IFERROR(__xludf.DUMMYFUNCTION("""COMPUTED_VALUE"""),-0.6997201695955381)</f>
        <v>-0.6997201696</v>
      </c>
      <c r="W79" s="11">
        <f>IFERROR(__xludf.DUMMYFUNCTION("""COMPUTED_VALUE"""),0.41106894580015185)</f>
        <v>0.4110689458</v>
      </c>
      <c r="X79" s="11">
        <f>IFERROR(__xludf.DUMMYFUNCTION("""COMPUTED_VALUE"""),0.8116322735773168)</f>
        <v>0.8116322736</v>
      </c>
      <c r="Y79" s="11">
        <f>IFERROR(__xludf.DUMMYFUNCTION("""COMPUTED_VALUE"""),0.8582601501826838)</f>
        <v>0.8582601502</v>
      </c>
      <c r="Z79" s="11">
        <f>IFERROR(__xludf.DUMMYFUNCTION("""COMPUTED_VALUE"""),-0.6386467333730309)</f>
        <v>-0.6386467334</v>
      </c>
      <c r="AA79" s="11">
        <f>IFERROR(__xludf.DUMMYFUNCTION("""COMPUTED_VALUE"""),0.11126131779559338)</f>
        <v>0.1112613178</v>
      </c>
      <c r="AB79" t="str">
        <f>IFERROR(__xludf.DUMMYFUNCTION("SUBSTITUTE(REGEXREPLACE(REGEXREPLACE(REGEXREPLACE(REGEXREPLACE(REGEXREPLACE(REGEXREPLACE(F79,"","",),IF(Projections!$T$17="""",""PG"",),),IF(Projections!$U$17="""",""SG"",),),IF(Projections!$V$17="""",""SF"",),),IF(Projections!$W$17="""",""PF"",),),IF(Pro"&amp;"jections!$X$17="""",""C"",),),""/"","""")"),"C")</f>
        <v>C</v>
      </c>
    </row>
    <row r="80">
      <c r="A80" t="str">
        <f>IF(Projections!$AC$17,Draft!J6,"")</f>
        <v/>
      </c>
      <c r="B80">
        <f>IFERROR(__xludf.DUMMYFUNCTION("""COMPUTED_VALUE"""),75.0)</f>
        <v>75</v>
      </c>
      <c r="C80">
        <f>IFERROR(__xludf.DUMMYFUNCTION("""COMPUTED_VALUE"""),101.4)</f>
        <v>101.4</v>
      </c>
      <c r="D80" t="str">
        <f>IFERROR(__xludf.DUMMYFUNCTION("""COMPUTED_VALUE"""),"Draymond Green")</f>
        <v>Draymond Green</v>
      </c>
      <c r="E80">
        <f>IFERROR(__xludf.DUMMYFUNCTION("""COMPUTED_VALUE"""),71.0)</f>
        <v>71</v>
      </c>
      <c r="F80" t="str">
        <f>IFERROR(__xludf.DUMMYFUNCTION("""COMPUTED_VALUE"""),"PF,C")</f>
        <v>PF,C</v>
      </c>
      <c r="G80" s="11">
        <f>IFERROR(__xludf.DUMMYFUNCTION("""COMPUTED_VALUE"""),0.35671376212424777)</f>
        <v>0.3567137621</v>
      </c>
      <c r="H80" s="11">
        <f>IFERROR(__xludf.DUMMYFUNCTION("""COMPUTED_VALUE"""),0.35671376212424777)</f>
        <v>0.3567137621</v>
      </c>
      <c r="I80" s="11">
        <f>IFERROR(__xludf.DUMMYFUNCTION("""COMPUTED_VALUE"""),0.0)</f>
        <v>0</v>
      </c>
      <c r="J80" s="11">
        <f>IFERROR(__xludf.DUMMYFUNCTION("""COMPUTED_VALUE"""),8.2)</f>
        <v>8.2</v>
      </c>
      <c r="K80" s="11">
        <f>IFERROR(__xludf.DUMMYFUNCTION("""COMPUTED_VALUE"""),0.7)</f>
        <v>0.7</v>
      </c>
      <c r="L80" s="11">
        <f>IFERROR(__xludf.DUMMYFUNCTION("""COMPUTED_VALUE"""),6.9)</f>
        <v>6.9</v>
      </c>
      <c r="M80" s="11">
        <f>IFERROR(__xludf.DUMMYFUNCTION("""COMPUTED_VALUE"""),6.2)</f>
        <v>6.2</v>
      </c>
      <c r="N80" s="11">
        <f>IFERROR(__xludf.DUMMYFUNCTION("""COMPUTED_VALUE"""),1.1)</f>
        <v>1.1</v>
      </c>
      <c r="O80" s="11">
        <f>IFERROR(__xludf.DUMMYFUNCTION("""COMPUTED_VALUE"""),0.8)</f>
        <v>0.8</v>
      </c>
      <c r="P80" s="15">
        <f>IFERROR(__xludf.DUMMYFUNCTION("""COMPUTED_VALUE"""),0.514)</f>
        <v>0.514</v>
      </c>
      <c r="Q80" s="15">
        <f>IFERROR(__xludf.DUMMYFUNCTION("""COMPUTED_VALUE"""),0.713)</f>
        <v>0.713</v>
      </c>
      <c r="R80" s="11">
        <f>IFERROR(__xludf.DUMMYFUNCTION("""COMPUTED_VALUE"""),2.5)</f>
        <v>2.5</v>
      </c>
      <c r="S80" s="11">
        <f>IFERROR(__xludf.DUMMYFUNCTION("""COMPUTED_VALUE"""),-1.6740448600793636)</f>
        <v>-1.67404486</v>
      </c>
      <c r="T80" s="11">
        <f>IFERROR(__xludf.DUMMYFUNCTION("""COMPUTED_VALUE"""),-1.0440164878540512)</f>
        <v>-1.044016488</v>
      </c>
      <c r="U80" s="11">
        <f>IFERROR(__xludf.DUMMYFUNCTION("""COMPUTED_VALUE"""),0.3260205017340414)</f>
        <v>0.3260205017</v>
      </c>
      <c r="V80" s="11">
        <f>IFERROR(__xludf.DUMMYFUNCTION("""COMPUTED_VALUE"""),1.031627106445514)</f>
        <v>1.031627106</v>
      </c>
      <c r="W80" s="11">
        <f>IFERROR(__xludf.DUMMYFUNCTION("""COMPUTED_VALUE"""),0.41106894580015185)</f>
        <v>0.4110689458</v>
      </c>
      <c r="X80" s="11">
        <f>IFERROR(__xludf.DUMMYFUNCTION("""COMPUTED_VALUE"""),0.09805746536669153)</f>
        <v>0.09805746537</v>
      </c>
      <c r="Y80" s="11">
        <f>IFERROR(__xludf.DUMMYFUNCTION("""COMPUTED_VALUE"""),0.1264014628234606)</f>
        <v>0.1264014628</v>
      </c>
      <c r="Z80" s="11">
        <f>IFERROR(__xludf.DUMMYFUNCTION("""COMPUTED_VALUE"""),-0.40612798827531393)</f>
        <v>-0.4061279883</v>
      </c>
      <c r="AA80" s="11">
        <f>IFERROR(__xludf.DUMMYFUNCTION("""COMPUTED_VALUE"""),-0.1863172439162465)</f>
        <v>-0.1863172439</v>
      </c>
      <c r="AB80" t="str">
        <f>IFERROR(__xludf.DUMMYFUNCTION("SUBSTITUTE(REGEXREPLACE(REGEXREPLACE(REGEXREPLACE(REGEXREPLACE(REGEXREPLACE(REGEXREPLACE(F80,"","",),IF(Projections!$T$17="""",""PG"",),),IF(Projections!$U$17="""",""SG"",),),IF(Projections!$V$17="""",""SF"",),),IF(Projections!$W$17="""",""PF"",),),IF(Pro"&amp;"jections!$X$17="""",""C"",),),""/"","""")"),"PFC")</f>
        <v>PFC</v>
      </c>
    </row>
    <row r="81">
      <c r="A81" t="str">
        <f>IF(Projections!$AC$17,Draft!J7,"")</f>
        <v/>
      </c>
      <c r="B81">
        <f>IFERROR(__xludf.DUMMYFUNCTION("""COMPUTED_VALUE"""),76.0)</f>
        <v>76</v>
      </c>
      <c r="C81">
        <f>IFERROR(__xludf.DUMMYFUNCTION("""COMPUTED_VALUE"""),78.5)</f>
        <v>78.5</v>
      </c>
      <c r="D81" t="str">
        <f>IFERROR(__xludf.DUMMYFUNCTION("""COMPUTED_VALUE"""),"Jrue Holiday")</f>
        <v>Jrue Holiday</v>
      </c>
      <c r="E81">
        <f>IFERROR(__xludf.DUMMYFUNCTION("""COMPUTED_VALUE"""),71.0)</f>
        <v>71</v>
      </c>
      <c r="F81" t="str">
        <f>IFERROR(__xludf.DUMMYFUNCTION("""COMPUTED_VALUE"""),"PG,SG")</f>
        <v>PG,SG</v>
      </c>
      <c r="G81" s="11">
        <f>IFERROR(__xludf.DUMMYFUNCTION("""COMPUTED_VALUE"""),0.34784031775405766)</f>
        <v>0.3478403178</v>
      </c>
      <c r="H81" s="11">
        <f>IFERROR(__xludf.DUMMYFUNCTION("""COMPUTED_VALUE"""),0.34784031775405766)</f>
        <v>0.3478403178</v>
      </c>
      <c r="I81" s="11">
        <f>IFERROR(__xludf.DUMMYFUNCTION("""COMPUTED_VALUE"""),0.0)</f>
        <v>0</v>
      </c>
      <c r="J81" s="11">
        <f>IFERROR(__xludf.DUMMYFUNCTION("""COMPUTED_VALUE"""),13.5)</f>
        <v>13.5</v>
      </c>
      <c r="K81" s="11">
        <f>IFERROR(__xludf.DUMMYFUNCTION("""COMPUTED_VALUE"""),2.2)</f>
        <v>2.2</v>
      </c>
      <c r="L81" s="11">
        <f>IFERROR(__xludf.DUMMYFUNCTION("""COMPUTED_VALUE"""),5.3)</f>
        <v>5.3</v>
      </c>
      <c r="M81" s="11">
        <f>IFERROR(__xludf.DUMMYFUNCTION("""COMPUTED_VALUE"""),5.1)</f>
        <v>5.1</v>
      </c>
      <c r="N81" s="11">
        <f>IFERROR(__xludf.DUMMYFUNCTION("""COMPUTED_VALUE"""),1.0)</f>
        <v>1</v>
      </c>
      <c r="O81" s="11">
        <f>IFERROR(__xludf.DUMMYFUNCTION("""COMPUTED_VALUE"""),0.6)</f>
        <v>0.6</v>
      </c>
      <c r="P81" s="15">
        <f>IFERROR(__xludf.DUMMYFUNCTION("""COMPUTED_VALUE"""),0.477)</f>
        <v>0.477</v>
      </c>
      <c r="Q81" s="15">
        <f>IFERROR(__xludf.DUMMYFUNCTION("""COMPUTED_VALUE"""),0.847)</f>
        <v>0.847</v>
      </c>
      <c r="R81" s="11">
        <f>IFERROR(__xludf.DUMMYFUNCTION("""COMPUTED_VALUE"""),2.4)</f>
        <v>2.4</v>
      </c>
      <c r="S81" s="11">
        <f>IFERROR(__xludf.DUMMYFUNCTION("""COMPUTED_VALUE"""),-0.716610356026253)</f>
        <v>-0.716610356</v>
      </c>
      <c r="T81" s="11">
        <f>IFERROR(__xludf.DUMMYFUNCTION("""COMPUTED_VALUE"""),0.44884799761907157)</f>
        <v>0.4488479976</v>
      </c>
      <c r="U81" s="11">
        <f>IFERROR(__xludf.DUMMYFUNCTION("""COMPUTED_VALUE"""),-0.30160143626551283)</f>
        <v>-0.3016014363</v>
      </c>
      <c r="V81" s="11">
        <f>IFERROR(__xludf.DUMMYFUNCTION("""COMPUTED_VALUE"""),0.5304476318020513)</f>
        <v>0.5304476318</v>
      </c>
      <c r="W81" s="11">
        <f>IFERROR(__xludf.DUMMYFUNCTION("""COMPUTED_VALUE"""),0.07913626764067216)</f>
        <v>0.07913626764</v>
      </c>
      <c r="X81" s="11">
        <f>IFERROR(__xludf.DUMMYFUNCTION("""COMPUTED_VALUE"""),-0.25872993873862127)</f>
        <v>-0.2587299387</v>
      </c>
      <c r="Y81" s="11">
        <f>IFERROR(__xludf.DUMMYFUNCTION("""COMPUTED_VALUE"""),-0.24698328137287356)</f>
        <v>-0.2469832814</v>
      </c>
      <c r="Z81" s="11">
        <f>IFERROR(__xludf.DUMMYFUNCTION("""COMPUTED_VALUE"""),0.2582421075095301)</f>
        <v>0.2582421075</v>
      </c>
      <c r="AA81" s="11">
        <f>IFERROR(__xludf.DUMMYFUNCTION("""COMPUTED_VALUE"""),-0.1615190304402598)</f>
        <v>-0.1615190304</v>
      </c>
      <c r="AB81" t="str">
        <f>IFERROR(__xludf.DUMMYFUNCTION("SUBSTITUTE(REGEXREPLACE(REGEXREPLACE(REGEXREPLACE(REGEXREPLACE(REGEXREPLACE(REGEXREPLACE(F81,"","",),IF(Projections!$T$17="""",""PG"",),),IF(Projections!$U$17="""",""SG"",),),IF(Projections!$V$17="""",""SF"",),),IF(Projections!$W$17="""",""PF"",),),IF(Pro"&amp;"jections!$X$17="""",""C"",),),""/"","""")"),"PGSG")</f>
        <v>PGSG</v>
      </c>
    </row>
    <row r="82">
      <c r="A82" t="str">
        <f>IF(Projections!$AC$17,Draft!J8,"")</f>
        <v/>
      </c>
      <c r="B82">
        <f>IFERROR(__xludf.DUMMYFUNCTION("""COMPUTED_VALUE"""),77.0)</f>
        <v>77</v>
      </c>
      <c r="C82">
        <f>IFERROR(__xludf.DUMMYFUNCTION("""COMPUTED_VALUE"""),53.8)</f>
        <v>53.8</v>
      </c>
      <c r="D82" t="str">
        <f>IFERROR(__xludf.DUMMYFUNCTION("""COMPUTED_VALUE"""),"Jalen Duren")</f>
        <v>Jalen Duren</v>
      </c>
      <c r="E82">
        <f>IFERROR(__xludf.DUMMYFUNCTION("""COMPUTED_VALUE"""),66.0)</f>
        <v>66</v>
      </c>
      <c r="F82" t="str">
        <f>IFERROR(__xludf.DUMMYFUNCTION("""COMPUTED_VALUE"""),"C")</f>
        <v>C</v>
      </c>
      <c r="G82" s="11">
        <f>IFERROR(__xludf.DUMMYFUNCTION("""COMPUTED_VALUE"""),0.33354101455070917)</f>
        <v>0.3335410146</v>
      </c>
      <c r="H82" s="11">
        <f>IFERROR(__xludf.DUMMYFUNCTION("""COMPUTED_VALUE"""),0.33354101455070917)</f>
        <v>0.3335410146</v>
      </c>
      <c r="I82" s="11">
        <f>IFERROR(__xludf.DUMMYFUNCTION("""COMPUTED_VALUE"""),0.0)</f>
        <v>0</v>
      </c>
      <c r="J82" s="11">
        <f>IFERROR(__xludf.DUMMYFUNCTION("""COMPUTED_VALUE"""),12.8)</f>
        <v>12.8</v>
      </c>
      <c r="K82" s="11">
        <f>IFERROR(__xludf.DUMMYFUNCTION("""COMPUTED_VALUE"""),0.0)</f>
        <v>0</v>
      </c>
      <c r="L82" s="11">
        <f>IFERROR(__xludf.DUMMYFUNCTION("""COMPUTED_VALUE"""),10.9)</f>
        <v>10.9</v>
      </c>
      <c r="M82" s="11">
        <f>IFERROR(__xludf.DUMMYFUNCTION("""COMPUTED_VALUE"""),2.0)</f>
        <v>2</v>
      </c>
      <c r="N82" s="11">
        <f>IFERROR(__xludf.DUMMYFUNCTION("""COMPUTED_VALUE"""),0.6)</f>
        <v>0.6</v>
      </c>
      <c r="O82" s="11">
        <f>IFERROR(__xludf.DUMMYFUNCTION("""COMPUTED_VALUE"""),0.9)</f>
        <v>0.9</v>
      </c>
      <c r="P82" s="15">
        <f>IFERROR(__xludf.DUMMYFUNCTION("""COMPUTED_VALUE"""),0.628)</f>
        <v>0.628</v>
      </c>
      <c r="Q82" s="15">
        <f>IFERROR(__xludf.DUMMYFUNCTION("""COMPUTED_VALUE"""),0.781)</f>
        <v>0.781</v>
      </c>
      <c r="R82" s="11">
        <f>IFERROR(__xludf.DUMMYFUNCTION("""COMPUTED_VALUE"""),1.9)</f>
        <v>1.9</v>
      </c>
      <c r="S82" s="11">
        <f>IFERROR(__xludf.DUMMYFUNCTION("""COMPUTED_VALUE"""),-0.8430639697691165)</f>
        <v>-0.8430639698</v>
      </c>
      <c r="T82" s="11">
        <f>IFERROR(__xludf.DUMMYFUNCTION("""COMPUTED_VALUE"""),-1.7406865810748415)</f>
        <v>-1.740686581</v>
      </c>
      <c r="U82" s="11">
        <f>IFERROR(__xludf.DUMMYFUNCTION("""COMPUTED_VALUE"""),1.8950753467329264)</f>
        <v>1.895075347</v>
      </c>
      <c r="V82" s="11">
        <f>IFERROR(__xludf.DUMMYFUNCTION("""COMPUTED_VALUE"""),-0.8819672512840698)</f>
        <v>-0.8819672513</v>
      </c>
      <c r="W82" s="11">
        <f>IFERROR(__xludf.DUMMYFUNCTION("""COMPUTED_VALUE"""),-1.2485944449972455)</f>
        <v>-1.248594445</v>
      </c>
      <c r="X82" s="11">
        <f>IFERROR(__xludf.DUMMYFUNCTION("""COMPUTED_VALUE"""),0.27645116741934783)</f>
        <v>0.2764511674</v>
      </c>
      <c r="Y82" s="11">
        <f>IFERROR(__xludf.DUMMYFUNCTION("""COMPUTED_VALUE"""),1.306210541939423)</f>
        <v>1.306210542</v>
      </c>
      <c r="Z82" s="11">
        <f>IFERROR(__xludf.DUMMYFUNCTION("""COMPUTED_VALUE"""),-0.13304241243022985)</f>
        <v>-0.1330424124</v>
      </c>
      <c r="AA82" s="11">
        <f>IFERROR(__xludf.DUMMYFUNCTION("""COMPUTED_VALUE"""),-0.037527963060326526)</f>
        <v>-0.03752796306</v>
      </c>
      <c r="AB82" t="str">
        <f>IFERROR(__xludf.DUMMYFUNCTION("SUBSTITUTE(REGEXREPLACE(REGEXREPLACE(REGEXREPLACE(REGEXREPLACE(REGEXREPLACE(REGEXREPLACE(F82,"","",),IF(Projections!$T$17="""",""PG"",),),IF(Projections!$U$17="""",""SG"",),),IF(Projections!$V$17="""",""SF"",),),IF(Projections!$W$17="""",""PF"",),),IF(Pro"&amp;"jections!$X$17="""",""C"",),),""/"","""")"),"C")</f>
        <v>C</v>
      </c>
    </row>
    <row r="83">
      <c r="A83" t="str">
        <f>IF(Projections!$AC$17,Draft!J9,"")</f>
        <v/>
      </c>
      <c r="B83">
        <f>IFERROR(__xludf.DUMMYFUNCTION("""COMPUTED_VALUE"""),78.0)</f>
        <v>78</v>
      </c>
      <c r="C83">
        <f>IFERROR(__xludf.DUMMYFUNCTION("""COMPUTED_VALUE"""),70.1)</f>
        <v>70.1</v>
      </c>
      <c r="D83" t="str">
        <f>IFERROR(__xludf.DUMMYFUNCTION("""COMPUTED_VALUE"""),"Cam Thomas")</f>
        <v>Cam Thomas</v>
      </c>
      <c r="E83">
        <f>IFERROR(__xludf.DUMMYFUNCTION("""COMPUTED_VALUE"""),54.0)</f>
        <v>54</v>
      </c>
      <c r="F83" t="str">
        <f>IFERROR(__xludf.DUMMYFUNCTION("""COMPUTED_VALUE"""),"SG")</f>
        <v>SG</v>
      </c>
      <c r="G83" s="11">
        <f>IFERROR(__xludf.DUMMYFUNCTION("""COMPUTED_VALUE"""),0.27244849438886454)</f>
        <v>0.2724484944</v>
      </c>
      <c r="H83" s="11">
        <f>IFERROR(__xludf.DUMMYFUNCTION("""COMPUTED_VALUE"""),0.27244849438886454)</f>
        <v>0.2724484944</v>
      </c>
      <c r="I83" s="11">
        <f>IFERROR(__xludf.DUMMYFUNCTION("""COMPUTED_VALUE"""),0.0)</f>
        <v>0</v>
      </c>
      <c r="J83" s="11">
        <f>IFERROR(__xludf.DUMMYFUNCTION("""COMPUTED_VALUE"""),25.6)</f>
        <v>25.6</v>
      </c>
      <c r="K83" s="11">
        <f>IFERROR(__xludf.DUMMYFUNCTION("""COMPUTED_VALUE"""),2.6)</f>
        <v>2.6</v>
      </c>
      <c r="L83" s="11">
        <f>IFERROR(__xludf.DUMMYFUNCTION("""COMPUTED_VALUE"""),3.3)</f>
        <v>3.3</v>
      </c>
      <c r="M83" s="11">
        <f>IFERROR(__xludf.DUMMYFUNCTION("""COMPUTED_VALUE"""),2.9)</f>
        <v>2.9</v>
      </c>
      <c r="N83" s="11">
        <f>IFERROR(__xludf.DUMMYFUNCTION("""COMPUTED_VALUE"""),0.7)</f>
        <v>0.7</v>
      </c>
      <c r="O83" s="11">
        <f>IFERROR(__xludf.DUMMYFUNCTION("""COMPUTED_VALUE"""),0.3)</f>
        <v>0.3</v>
      </c>
      <c r="P83" s="15">
        <f>IFERROR(__xludf.DUMMYFUNCTION("""COMPUTED_VALUE"""),0.44)</f>
        <v>0.44</v>
      </c>
      <c r="Q83" s="15">
        <f>IFERROR(__xludf.DUMMYFUNCTION("""COMPUTED_VALUE"""),0.861)</f>
        <v>0.861</v>
      </c>
      <c r="R83" s="11">
        <f>IFERROR(__xludf.DUMMYFUNCTION("""COMPUTED_VALUE"""),2.0)</f>
        <v>2</v>
      </c>
      <c r="S83" s="11">
        <f>IFERROR(__xludf.DUMMYFUNCTION("""COMPUTED_VALUE"""),1.4692306815289617)</f>
        <v>1.469230682</v>
      </c>
      <c r="T83" s="11">
        <f>IFERROR(__xludf.DUMMYFUNCTION("""COMPUTED_VALUE"""),0.8469451937452375)</f>
        <v>0.8469451937</v>
      </c>
      <c r="U83" s="11">
        <f>IFERROR(__xludf.DUMMYFUNCTION("""COMPUTED_VALUE"""),-1.0861288587649554)</f>
        <v>-1.086128859</v>
      </c>
      <c r="V83" s="11">
        <f>IFERROR(__xludf.DUMMYFUNCTION("""COMPUTED_VALUE"""),-0.4719113174848733)</f>
        <v>-0.4719113175</v>
      </c>
      <c r="W83" s="11">
        <f>IFERROR(__xludf.DUMMYFUNCTION("""COMPUTED_VALUE"""),-0.9166617668377661)</f>
        <v>-0.9166617668</v>
      </c>
      <c r="X83" s="11">
        <f>IFERROR(__xludf.DUMMYFUNCTION("""COMPUTED_VALUE"""),-0.7939110448965904)</f>
        <v>-0.7939110449</v>
      </c>
      <c r="Y83" s="11">
        <f>IFERROR(__xludf.DUMMYFUNCTION("""COMPUTED_VALUE"""),-1.3799519080622422)</f>
        <v>-1.379951908</v>
      </c>
      <c r="Z83" s="11">
        <f>IFERROR(__xludf.DUMMYFUNCTION("""COMPUTED_VALUE"""),1.2872117836351635)</f>
        <v>1.287211784</v>
      </c>
      <c r="AA83" s="11">
        <f>IFERROR(__xludf.DUMMYFUNCTION("""COMPUTED_VALUE"""),-0.062326176536313206)</f>
        <v>-0.06232617654</v>
      </c>
      <c r="AB83" t="str">
        <f>IFERROR(__xludf.DUMMYFUNCTION("SUBSTITUTE(REGEXREPLACE(REGEXREPLACE(REGEXREPLACE(REGEXREPLACE(REGEXREPLACE(REGEXREPLACE(F83,"","",),IF(Projections!$T$17="""",""PG"",),),IF(Projections!$U$17="""",""SG"",),),IF(Projections!$V$17="""",""SF"",),),IF(Projections!$W$17="""",""PF"",),),IF(Pro"&amp;"jections!$X$17="""",""C"",),),""/"","""")"),"SG")</f>
        <v>SG</v>
      </c>
    </row>
    <row r="84">
      <c r="A84" t="str">
        <f>IF(Projections!$AC$17,Draft!J10,"")</f>
        <v/>
      </c>
      <c r="B84">
        <f>IFERROR(__xludf.DUMMYFUNCTION("""COMPUTED_VALUE"""),79.0)</f>
        <v>79</v>
      </c>
      <c r="C84">
        <f>IFERROR(__xludf.DUMMYFUNCTION("""COMPUTED_VALUE"""),92.7)</f>
        <v>92.7</v>
      </c>
      <c r="D84" t="str">
        <f>IFERROR(__xludf.DUMMYFUNCTION("""COMPUTED_VALUE"""),"Jakob Poeltl")</f>
        <v>Jakob Poeltl</v>
      </c>
      <c r="E84">
        <f>IFERROR(__xludf.DUMMYFUNCTION("""COMPUTED_VALUE"""),66.0)</f>
        <v>66</v>
      </c>
      <c r="F84" t="str">
        <f>IFERROR(__xludf.DUMMYFUNCTION("""COMPUTED_VALUE"""),"C")</f>
        <v>C</v>
      </c>
      <c r="G84" s="11">
        <f>IFERROR(__xludf.DUMMYFUNCTION("""COMPUTED_VALUE"""),0.2704992278191174)</f>
        <v>0.2704992278</v>
      </c>
      <c r="H84" s="11">
        <f>IFERROR(__xludf.DUMMYFUNCTION("""COMPUTED_VALUE"""),0.2704992278191174)</f>
        <v>0.2704992278</v>
      </c>
      <c r="I84" s="11">
        <f>IFERROR(__xludf.DUMMYFUNCTION("""COMPUTED_VALUE"""),0.0)</f>
        <v>0</v>
      </c>
      <c r="J84" s="11">
        <f>IFERROR(__xludf.DUMMYFUNCTION("""COMPUTED_VALUE"""),12.2)</f>
        <v>12.2</v>
      </c>
      <c r="K84" s="11">
        <f>IFERROR(__xludf.DUMMYFUNCTION("""COMPUTED_VALUE"""),0.0)</f>
        <v>0</v>
      </c>
      <c r="L84" s="11">
        <f>IFERROR(__xludf.DUMMYFUNCTION("""COMPUTED_VALUE"""),9.1)</f>
        <v>9.1</v>
      </c>
      <c r="M84" s="11">
        <f>IFERROR(__xludf.DUMMYFUNCTION("""COMPUTED_VALUE"""),2.7)</f>
        <v>2.7</v>
      </c>
      <c r="N84" s="11">
        <f>IFERROR(__xludf.DUMMYFUNCTION("""COMPUTED_VALUE"""),0.9)</f>
        <v>0.9</v>
      </c>
      <c r="O84" s="11">
        <f>IFERROR(__xludf.DUMMYFUNCTION("""COMPUTED_VALUE"""),1.4)</f>
        <v>1.4</v>
      </c>
      <c r="P84" s="15">
        <f>IFERROR(__xludf.DUMMYFUNCTION("""COMPUTED_VALUE"""),0.64)</f>
        <v>0.64</v>
      </c>
      <c r="Q84" s="15">
        <f>IFERROR(__xludf.DUMMYFUNCTION("""COMPUTED_VALUE"""),0.575)</f>
        <v>0.575</v>
      </c>
      <c r="R84" s="11">
        <f>IFERROR(__xludf.DUMMYFUNCTION("""COMPUTED_VALUE"""),1.7)</f>
        <v>1.7</v>
      </c>
      <c r="S84" s="11">
        <f>IFERROR(__xludf.DUMMYFUNCTION("""COMPUTED_VALUE"""),-0.9514527815487142)</f>
        <v>-0.9514527815</v>
      </c>
      <c r="T84" s="11">
        <f>IFERROR(__xludf.DUMMYFUNCTION("""COMPUTED_VALUE"""),-1.7406865810748415)</f>
        <v>-1.740686581</v>
      </c>
      <c r="U84" s="11">
        <f>IFERROR(__xludf.DUMMYFUNCTION("""COMPUTED_VALUE"""),1.1890006664834278)</f>
        <v>1.189000666</v>
      </c>
      <c r="V84" s="11">
        <f>IFERROR(__xludf.DUMMYFUNCTION("""COMPUTED_VALUE"""),-0.5630348583291391)</f>
        <v>-0.5630348583</v>
      </c>
      <c r="W84" s="11">
        <f>IFERROR(__xludf.DUMMYFUNCTION("""COMPUTED_VALUE"""),-0.25279641051880714)</f>
        <v>-0.2527964105</v>
      </c>
      <c r="X84" s="11">
        <f>IFERROR(__xludf.DUMMYFUNCTION("""COMPUTED_VALUE"""),1.1684196776826294)</f>
        <v>1.168419678</v>
      </c>
      <c r="Y84" s="11">
        <f>IFERROR(__xludf.DUMMYFUNCTION("""COMPUTED_VALUE"""),1.408981051232915)</f>
        <v>1.408981051</v>
      </c>
      <c r="Z84" s="11">
        <f>IFERROR(__xludf.DUMMYFUNCTION("""COMPUTED_VALUE"""),-2.024898621976127)</f>
        <v>-2.024898622</v>
      </c>
      <c r="AA84" s="11">
        <f>IFERROR(__xludf.DUMMYFUNCTION("""COMPUTED_VALUE"""),0.012068463891646777)</f>
        <v>0.01206846389</v>
      </c>
      <c r="AB84" t="str">
        <f>IFERROR(__xludf.DUMMYFUNCTION("SUBSTITUTE(REGEXREPLACE(REGEXREPLACE(REGEXREPLACE(REGEXREPLACE(REGEXREPLACE(REGEXREPLACE(F84,"","",),IF(Projections!$T$17="""",""PG"",),),IF(Projections!$U$17="""",""SG"",),),IF(Projections!$V$17="""",""SF"",),),IF(Projections!$W$17="""",""PF"",),),IF(Pro"&amp;"jections!$X$17="""",""C"",),),""/"","""")"),"C")</f>
        <v>C</v>
      </c>
    </row>
    <row r="85">
      <c r="A85" t="str">
        <f>IF(Projections!$AC$17,Draft!J11,"")</f>
        <v/>
      </c>
      <c r="B85">
        <f>IFERROR(__xludf.DUMMYFUNCTION("""COMPUTED_VALUE"""),80.0)</f>
        <v>80</v>
      </c>
      <c r="C85">
        <f>IFERROR(__xludf.DUMMYFUNCTION("""COMPUTED_VALUE"""),82.6)</f>
        <v>82.6</v>
      </c>
      <c r="D85" t="str">
        <f>IFERROR(__xludf.DUMMYFUNCTION("""COMPUTED_VALUE"""),"OG Anunoby")</f>
        <v>OG Anunoby</v>
      </c>
      <c r="E85">
        <f>IFERROR(__xludf.DUMMYFUNCTION("""COMPUTED_VALUE"""),59.0)</f>
        <v>59</v>
      </c>
      <c r="F85" t="str">
        <f>IFERROR(__xludf.DUMMYFUNCTION("""COMPUTED_VALUE"""),"SF,PF")</f>
        <v>SF,PF</v>
      </c>
      <c r="G85" s="11">
        <f>IFERROR(__xludf.DUMMYFUNCTION("""COMPUTED_VALUE"""),0.25404360026342265)</f>
        <v>0.2540436003</v>
      </c>
      <c r="H85" s="11">
        <f>IFERROR(__xludf.DUMMYFUNCTION("""COMPUTED_VALUE"""),0.25404360026342265)</f>
        <v>0.2540436003</v>
      </c>
      <c r="I85" s="11">
        <f>IFERROR(__xludf.DUMMYFUNCTION("""COMPUTED_VALUE"""),0.0)</f>
        <v>0</v>
      </c>
      <c r="J85" s="11">
        <f>IFERROR(__xludf.DUMMYFUNCTION("""COMPUTED_VALUE"""),14.8)</f>
        <v>14.8</v>
      </c>
      <c r="K85" s="11">
        <f>IFERROR(__xludf.DUMMYFUNCTION("""COMPUTED_VALUE"""),2.0)</f>
        <v>2</v>
      </c>
      <c r="L85" s="11">
        <f>IFERROR(__xludf.DUMMYFUNCTION("""COMPUTED_VALUE"""),4.1)</f>
        <v>4.1</v>
      </c>
      <c r="M85" s="11">
        <f>IFERROR(__xludf.DUMMYFUNCTION("""COMPUTED_VALUE"""),2.0)</f>
        <v>2</v>
      </c>
      <c r="N85" s="11">
        <f>IFERROR(__xludf.DUMMYFUNCTION("""COMPUTED_VALUE"""),1.5)</f>
        <v>1.5</v>
      </c>
      <c r="O85" s="11">
        <f>IFERROR(__xludf.DUMMYFUNCTION("""COMPUTED_VALUE"""),0.7)</f>
        <v>0.7</v>
      </c>
      <c r="P85" s="15">
        <f>IFERROR(__xludf.DUMMYFUNCTION("""COMPUTED_VALUE"""),0.48)</f>
        <v>0.48</v>
      </c>
      <c r="Q85" s="15">
        <f>IFERROR(__xludf.DUMMYFUNCTION("""COMPUTED_VALUE"""),0.77)</f>
        <v>0.77</v>
      </c>
      <c r="R85" s="11">
        <f>IFERROR(__xludf.DUMMYFUNCTION("""COMPUTED_VALUE"""),1.8)</f>
        <v>1.8</v>
      </c>
      <c r="S85" s="11">
        <f>IFERROR(__xludf.DUMMYFUNCTION("""COMPUTED_VALUE"""),-0.48176793050379174)</f>
        <v>-0.4817679305</v>
      </c>
      <c r="T85" s="11">
        <f>IFERROR(__xludf.DUMMYFUNCTION("""COMPUTED_VALUE"""),0.2497993995559884)</f>
        <v>0.2497993996</v>
      </c>
      <c r="U85" s="11">
        <f>IFERROR(__xludf.DUMMYFUNCTION("""COMPUTED_VALUE"""),-0.7723178897651785)</f>
        <v>-0.7723178898</v>
      </c>
      <c r="V85" s="11">
        <f>IFERROR(__xludf.DUMMYFUNCTION("""COMPUTED_VALUE"""),-0.8819672512840698)</f>
        <v>-0.8819672513</v>
      </c>
      <c r="W85" s="11">
        <f>IFERROR(__xludf.DUMMYFUNCTION("""COMPUTED_VALUE"""),1.738799658438069)</f>
        <v>1.738799658</v>
      </c>
      <c r="X85" s="11">
        <f>IFERROR(__xludf.DUMMYFUNCTION("""COMPUTED_VALUE"""),-0.08033623668596498)</f>
        <v>-0.08033623669</v>
      </c>
      <c r="Y85" s="11">
        <f>IFERROR(__xludf.DUMMYFUNCTION("""COMPUTED_VALUE"""),-0.23741168185465863)</f>
        <v>-0.2374116819</v>
      </c>
      <c r="Z85" s="11">
        <f>IFERROR(__xludf.DUMMYFUNCTION("""COMPUTED_VALUE"""),-0.1499919693367008)</f>
        <v>-0.1499919693</v>
      </c>
      <c r="AA85" s="11">
        <f>IFERROR(__xludf.DUMMYFUNCTION("""COMPUTED_VALUE"""),-0.012729749584339901)</f>
        <v>-0.01272974958</v>
      </c>
      <c r="AB85" t="str">
        <f>IFERROR(__xludf.DUMMYFUNCTION("SUBSTITUTE(REGEXREPLACE(REGEXREPLACE(REGEXREPLACE(REGEXREPLACE(REGEXREPLACE(REGEXREPLACE(F85,"","",),IF(Projections!$T$17="""",""PG"",),),IF(Projections!$U$17="""",""SG"",),),IF(Projections!$V$17="""",""SF"",),),IF(Projections!$W$17="""",""PF"",),),IF(Pro"&amp;"jections!$X$17="""",""C"",),),""/"","""")"),"SFPF")</f>
        <v>SFPF</v>
      </c>
    </row>
    <row r="86">
      <c r="A86" t="str">
        <f>IF(Projections!$AC$17,Draft!J12,"")</f>
        <v/>
      </c>
      <c r="B86">
        <f>IFERROR(__xludf.DUMMYFUNCTION("""COMPUTED_VALUE"""),81.0)</f>
        <v>81</v>
      </c>
      <c r="C86">
        <f>IFERROR(__xludf.DUMMYFUNCTION("""COMPUTED_VALUE"""),96.2)</f>
        <v>96.2</v>
      </c>
      <c r="D86" t="str">
        <f>IFERROR(__xludf.DUMMYFUNCTION("""COMPUTED_VALUE"""),"Herbert Jones")</f>
        <v>Herbert Jones</v>
      </c>
      <c r="E86">
        <f>IFERROR(__xludf.DUMMYFUNCTION("""COMPUTED_VALUE"""),62.0)</f>
        <v>62</v>
      </c>
      <c r="F86" t="str">
        <f>IFERROR(__xludf.DUMMYFUNCTION("""COMPUTED_VALUE"""),"SF,PF")</f>
        <v>SF,PF</v>
      </c>
      <c r="G86" s="11">
        <f>IFERROR(__xludf.DUMMYFUNCTION("""COMPUTED_VALUE"""),0.23501941975385487)</f>
        <v>0.2350194198</v>
      </c>
      <c r="H86" s="11">
        <f>IFERROR(__xludf.DUMMYFUNCTION("""COMPUTED_VALUE"""),0.23501941975385487)</f>
        <v>0.2350194198</v>
      </c>
      <c r="I86" s="11">
        <f>IFERROR(__xludf.DUMMYFUNCTION("""COMPUTED_VALUE"""),0.0)</f>
        <v>0</v>
      </c>
      <c r="J86" s="11">
        <f>IFERROR(__xludf.DUMMYFUNCTION("""COMPUTED_VALUE"""),10.5)</f>
        <v>10.5</v>
      </c>
      <c r="K86" s="11">
        <f>IFERROR(__xludf.DUMMYFUNCTION("""COMPUTED_VALUE"""),1.2)</f>
        <v>1.2</v>
      </c>
      <c r="L86" s="11">
        <f>IFERROR(__xludf.DUMMYFUNCTION("""COMPUTED_VALUE"""),4.2)</f>
        <v>4.2</v>
      </c>
      <c r="M86" s="11">
        <f>IFERROR(__xludf.DUMMYFUNCTION("""COMPUTED_VALUE"""),2.6)</f>
        <v>2.6</v>
      </c>
      <c r="N86" s="11">
        <f>IFERROR(__xludf.DUMMYFUNCTION("""COMPUTED_VALUE"""),1.4)</f>
        <v>1.4</v>
      </c>
      <c r="O86" s="11">
        <f>IFERROR(__xludf.DUMMYFUNCTION("""COMPUTED_VALUE"""),0.9)</f>
        <v>0.9</v>
      </c>
      <c r="P86" s="15">
        <f>IFERROR(__xludf.DUMMYFUNCTION("""COMPUTED_VALUE"""),0.484)</f>
        <v>0.484</v>
      </c>
      <c r="Q86" s="15">
        <f>IFERROR(__xludf.DUMMYFUNCTION("""COMPUTED_VALUE"""),0.852)</f>
        <v>0.852</v>
      </c>
      <c r="R86" s="11">
        <f>IFERROR(__xludf.DUMMYFUNCTION("""COMPUTED_VALUE"""),1.3)</f>
        <v>1.3</v>
      </c>
      <c r="S86" s="11">
        <f>IFERROR(__xludf.DUMMYFUNCTION("""COMPUTED_VALUE"""),-1.25855441492424)</f>
        <v>-1.258554415</v>
      </c>
      <c r="T86" s="11">
        <f>IFERROR(__xludf.DUMMYFUNCTION("""COMPUTED_VALUE"""),-0.5463949926963436)</f>
        <v>-0.5463949927</v>
      </c>
      <c r="U86" s="11">
        <f>IFERROR(__xludf.DUMMYFUNCTION("""COMPUTED_VALUE"""),-0.733091518640206)</f>
        <v>-0.7330915186</v>
      </c>
      <c r="V86" s="11">
        <f>IFERROR(__xludf.DUMMYFUNCTION("""COMPUTED_VALUE"""),-0.6085966287512721)</f>
        <v>-0.6085966288</v>
      </c>
      <c r="W86" s="11">
        <f>IFERROR(__xludf.DUMMYFUNCTION("""COMPUTED_VALUE"""),1.4068669802785894)</f>
        <v>1.40686698</v>
      </c>
      <c r="X86" s="11">
        <f>IFERROR(__xludf.DUMMYFUNCTION("""COMPUTED_VALUE"""),0.27645116741934783)</f>
        <v>0.2764511674</v>
      </c>
      <c r="Y86" s="11">
        <f>IFERROR(__xludf.DUMMYFUNCTION("""COMPUTED_VALUE"""),-0.11624153436956645)</f>
        <v>-0.1162415344</v>
      </c>
      <c r="Z86" s="11">
        <f>IFERROR(__xludf.DUMMYFUNCTION("""COMPUTED_VALUE"""),0.44476462871771194)</f>
        <v>0.4447646287</v>
      </c>
      <c r="AA86" s="11">
        <f>IFERROR(__xludf.DUMMYFUNCTION("""COMPUTED_VALUE"""),0.11126131779559338)</f>
        <v>0.1112613178</v>
      </c>
      <c r="AB86" t="str">
        <f>IFERROR(__xludf.DUMMYFUNCTION("SUBSTITUTE(REGEXREPLACE(REGEXREPLACE(REGEXREPLACE(REGEXREPLACE(REGEXREPLACE(REGEXREPLACE(F86,"","",),IF(Projections!$T$17="""",""PG"",),),IF(Projections!$U$17="""",""SG"",),),IF(Projections!$V$17="""",""SF"",),),IF(Projections!$W$17="""",""PF"",),),IF(Pro"&amp;"jections!$X$17="""",""C"",),),""/"","""")"),"SFPF")</f>
        <v>SFPF</v>
      </c>
    </row>
    <row r="87">
      <c r="A87" t="str">
        <f>IF(Projections!$AC$17,Draft!J13,"")</f>
        <v/>
      </c>
      <c r="B87">
        <f>IFERROR(__xludf.DUMMYFUNCTION("""COMPUTED_VALUE"""),82.0)</f>
        <v>82</v>
      </c>
      <c r="C87">
        <f>IFERROR(__xludf.DUMMYFUNCTION("""COMPUTED_VALUE"""),86.5)</f>
        <v>86.5</v>
      </c>
      <c r="D87" t="str">
        <f>IFERROR(__xludf.DUMMYFUNCTION("""COMPUTED_VALUE"""),"Coby White")</f>
        <v>Coby White</v>
      </c>
      <c r="E87">
        <f>IFERROR(__xludf.DUMMYFUNCTION("""COMPUTED_VALUE"""),60.0)</f>
        <v>60</v>
      </c>
      <c r="F87" t="str">
        <f>IFERROR(__xludf.DUMMYFUNCTION("""COMPUTED_VALUE"""),"PG,SG")</f>
        <v>PG,SG</v>
      </c>
      <c r="G87" s="11">
        <f>IFERROR(__xludf.DUMMYFUNCTION("""COMPUTED_VALUE"""),0.17994959276772948)</f>
        <v>0.1799495928</v>
      </c>
      <c r="H87" s="11">
        <f>IFERROR(__xludf.DUMMYFUNCTION("""COMPUTED_VALUE"""),0.17994959276772948)</f>
        <v>0.1799495928</v>
      </c>
      <c r="I87" s="11">
        <f>IFERROR(__xludf.DUMMYFUNCTION("""COMPUTED_VALUE"""),0.0)</f>
        <v>0</v>
      </c>
      <c r="J87" s="11">
        <f>IFERROR(__xludf.DUMMYFUNCTION("""COMPUTED_VALUE"""),18.0)</f>
        <v>18</v>
      </c>
      <c r="K87" s="11">
        <f>IFERROR(__xludf.DUMMYFUNCTION("""COMPUTED_VALUE"""),2.7)</f>
        <v>2.7</v>
      </c>
      <c r="L87" s="11">
        <f>IFERROR(__xludf.DUMMYFUNCTION("""COMPUTED_VALUE"""),4.6)</f>
        <v>4.6</v>
      </c>
      <c r="M87" s="11">
        <f>IFERROR(__xludf.DUMMYFUNCTION("""COMPUTED_VALUE"""),4.9)</f>
        <v>4.9</v>
      </c>
      <c r="N87" s="11">
        <f>IFERROR(__xludf.DUMMYFUNCTION("""COMPUTED_VALUE"""),0.9)</f>
        <v>0.9</v>
      </c>
      <c r="O87" s="11">
        <f>IFERROR(__xludf.DUMMYFUNCTION("""COMPUTED_VALUE"""),0.2)</f>
        <v>0.2</v>
      </c>
      <c r="P87" s="15">
        <f>IFERROR(__xludf.DUMMYFUNCTION("""COMPUTED_VALUE"""),0.446)</f>
        <v>0.446</v>
      </c>
      <c r="Q87" s="15">
        <f>IFERROR(__xludf.DUMMYFUNCTION("""COMPUTED_VALUE"""),0.843)</f>
        <v>0.843</v>
      </c>
      <c r="R87" s="11">
        <f>IFERROR(__xludf.DUMMYFUNCTION("""COMPUTED_VALUE"""),2.0)</f>
        <v>2</v>
      </c>
      <c r="S87" s="11">
        <f>IFERROR(__xludf.DUMMYFUNCTION("""COMPUTED_VALUE"""),0.09630573232072766)</f>
        <v>0.09630573232</v>
      </c>
      <c r="T87" s="11">
        <f>IFERROR(__xludf.DUMMYFUNCTION("""COMPUTED_VALUE"""),0.946469492776779)</f>
        <v>0.9464694928</v>
      </c>
      <c r="U87" s="11">
        <f>IFERROR(__xludf.DUMMYFUNCTION("""COMPUTED_VALUE"""),-0.5761860341403178)</f>
        <v>-0.5761860341</v>
      </c>
      <c r="V87" s="11">
        <f>IFERROR(__xludf.DUMMYFUNCTION("""COMPUTED_VALUE"""),0.43932409095778585)</f>
        <v>0.439324091</v>
      </c>
      <c r="W87" s="11">
        <f>IFERROR(__xludf.DUMMYFUNCTION("""COMPUTED_VALUE"""),-0.25279641051880714)</f>
        <v>-0.2527964105</v>
      </c>
      <c r="X87" s="11">
        <f>IFERROR(__xludf.DUMMYFUNCTION("""COMPUTED_VALUE"""),-0.9723047469492465)</f>
        <v>-0.9723047469</v>
      </c>
      <c r="Y87" s="11">
        <f>IFERROR(__xludf.DUMMYFUNCTION("""COMPUTED_VALUE"""),-0.8706321333419738)</f>
        <v>-0.8706321333</v>
      </c>
      <c r="Z87" s="11">
        <f>IFERROR(__xludf.DUMMYFUNCTION("""COMPUTED_VALUE"""),0.45979103124984894)</f>
        <v>0.4597910312</v>
      </c>
      <c r="AA87" s="11">
        <f>IFERROR(__xludf.DUMMYFUNCTION("""COMPUTED_VALUE"""),-0.062326176536313206)</f>
        <v>-0.06232617654</v>
      </c>
      <c r="AB87" t="str">
        <f>IFERROR(__xludf.DUMMYFUNCTION("SUBSTITUTE(REGEXREPLACE(REGEXREPLACE(REGEXREPLACE(REGEXREPLACE(REGEXREPLACE(REGEXREPLACE(F87,"","",),IF(Projections!$T$17="""",""PG"",),),IF(Projections!$U$17="""",""SG"",),),IF(Projections!$V$17="""",""SF"",),),IF(Projections!$W$17="""",""PF"",),),IF(Pro"&amp;"jections!$X$17="""",""C"",),),""/"","""")"),"PGSG")</f>
        <v>PGSG</v>
      </c>
    </row>
    <row r="88">
      <c r="A88" t="str">
        <f>IF(Projections!$AC$17,Draft!J14,"")</f>
        <v/>
      </c>
      <c r="B88">
        <f>IFERROR(__xludf.DUMMYFUNCTION("""COMPUTED_VALUE"""),83.0)</f>
        <v>83</v>
      </c>
      <c r="C88">
        <f>IFERROR(__xludf.DUMMYFUNCTION("""COMPUTED_VALUE"""),54.7)</f>
        <v>54.7</v>
      </c>
      <c r="D88" t="str">
        <f>IFERROR(__xludf.DUMMYFUNCTION("""COMPUTED_VALUE"""),"Mikal Bridges")</f>
        <v>Mikal Bridges</v>
      </c>
      <c r="E88">
        <f>IFERROR(__xludf.DUMMYFUNCTION("""COMPUTED_VALUE"""),55.0)</f>
        <v>55</v>
      </c>
      <c r="F88" t="str">
        <f>IFERROR(__xludf.DUMMYFUNCTION("""COMPUTED_VALUE"""),"SG,SF,PF")</f>
        <v>SG,SF,PF</v>
      </c>
      <c r="G88" s="11">
        <f>IFERROR(__xludf.DUMMYFUNCTION("""COMPUTED_VALUE"""),0.17582059731321575)</f>
        <v>0.1758205973</v>
      </c>
      <c r="H88" s="11">
        <f>IFERROR(__xludf.DUMMYFUNCTION("""COMPUTED_VALUE"""),0.17582059731321575)</f>
        <v>0.1758205973</v>
      </c>
      <c r="I88" s="11">
        <f>IFERROR(__xludf.DUMMYFUNCTION("""COMPUTED_VALUE"""),0.0)</f>
        <v>0</v>
      </c>
      <c r="J88" s="11">
        <f>IFERROR(__xludf.DUMMYFUNCTION("""COMPUTED_VALUE"""),16.0)</f>
        <v>16</v>
      </c>
      <c r="K88" s="11">
        <f>IFERROR(__xludf.DUMMYFUNCTION("""COMPUTED_VALUE"""),2.4)</f>
        <v>2.4</v>
      </c>
      <c r="L88" s="11">
        <f>IFERROR(__xludf.DUMMYFUNCTION("""COMPUTED_VALUE"""),4.1)</f>
        <v>4.1</v>
      </c>
      <c r="M88" s="11">
        <f>IFERROR(__xludf.DUMMYFUNCTION("""COMPUTED_VALUE"""),3.2)</f>
        <v>3.2</v>
      </c>
      <c r="N88" s="11">
        <f>IFERROR(__xludf.DUMMYFUNCTION("""COMPUTED_VALUE"""),1.1)</f>
        <v>1.1</v>
      </c>
      <c r="O88" s="11">
        <f>IFERROR(__xludf.DUMMYFUNCTION("""COMPUTED_VALUE"""),0.7)</f>
        <v>0.7</v>
      </c>
      <c r="P88" s="15">
        <f>IFERROR(__xludf.DUMMYFUNCTION("""COMPUTED_VALUE"""),0.454)</f>
        <v>0.454</v>
      </c>
      <c r="Q88" s="15">
        <f>IFERROR(__xludf.DUMMYFUNCTION("""COMPUTED_VALUE"""),0.827)</f>
        <v>0.827</v>
      </c>
      <c r="R88" s="11">
        <f>IFERROR(__xludf.DUMMYFUNCTION("""COMPUTED_VALUE"""),1.6)</f>
        <v>1.6</v>
      </c>
      <c r="S88" s="11">
        <f>IFERROR(__xludf.DUMMYFUNCTION("""COMPUTED_VALUE"""),-0.2649903069445971)</f>
        <v>-0.2649903069</v>
      </c>
      <c r="T88" s="11">
        <f>IFERROR(__xludf.DUMMYFUNCTION("""COMPUTED_VALUE"""),0.6478965956821543)</f>
        <v>0.6478965957</v>
      </c>
      <c r="U88" s="11">
        <f>IFERROR(__xludf.DUMMYFUNCTION("""COMPUTED_VALUE"""),-0.7723178897651785)</f>
        <v>-0.7723178898</v>
      </c>
      <c r="V88" s="11">
        <f>IFERROR(__xludf.DUMMYFUNCTION("""COMPUTED_VALUE"""),-0.33522600621847437)</f>
        <v>-0.3352260062</v>
      </c>
      <c r="W88" s="11">
        <f>IFERROR(__xludf.DUMMYFUNCTION("""COMPUTED_VALUE"""),0.41106894580015185)</f>
        <v>0.4110689458</v>
      </c>
      <c r="X88" s="11">
        <f>IFERROR(__xludf.DUMMYFUNCTION("""COMPUTED_VALUE"""),-0.08033623668596498)</f>
        <v>-0.08033623669</v>
      </c>
      <c r="Y88" s="11">
        <f>IFERROR(__xludf.DUMMYFUNCTION("""COMPUTED_VALUE"""),-0.6030759670493954)</f>
        <v>-0.603075967</v>
      </c>
      <c r="Z88" s="11">
        <f>IFERROR(__xludf.DUMMYFUNCTION("""COMPUTED_VALUE"""),0.3636168953617081)</f>
        <v>0.3636168954</v>
      </c>
      <c r="AA88" s="11">
        <f>IFERROR(__xludf.DUMMYFUNCTION("""COMPUTED_VALUE"""),0.036866677367633396)</f>
        <v>0.03686667737</v>
      </c>
      <c r="AB88" t="str">
        <f>IFERROR(__xludf.DUMMYFUNCTION("SUBSTITUTE(REGEXREPLACE(REGEXREPLACE(REGEXREPLACE(REGEXREPLACE(REGEXREPLACE(REGEXREPLACE(F88,"","",),IF(Projections!$T$17="""",""PG"",),),IF(Projections!$U$17="""",""SG"",),),IF(Projections!$V$17="""",""SF"",),),IF(Projections!$W$17="""",""PF"",),),IF(Pro"&amp;"jections!$X$17="""",""C"",),),""/"","""")"),"SGSFPF")</f>
        <v>SGSFPF</v>
      </c>
    </row>
    <row r="89">
      <c r="A89" t="str">
        <f>IF(Projections!$AC$17,Draft!K3,"")</f>
        <v/>
      </c>
      <c r="B89">
        <f>IFERROR(__xludf.DUMMYFUNCTION("""COMPUTED_VALUE"""),84.0)</f>
        <v>84</v>
      </c>
      <c r="C89">
        <f>IFERROR(__xludf.DUMMYFUNCTION("""COMPUTED_VALUE"""),81.0)</f>
        <v>81</v>
      </c>
      <c r="D89" t="str">
        <f>IFERROR(__xludf.DUMMYFUNCTION("""COMPUTED_VALUE"""),"Keegan Murray")</f>
        <v>Keegan Murray</v>
      </c>
      <c r="E89">
        <f>IFERROR(__xludf.DUMMYFUNCTION("""COMPUTED_VALUE"""),66.0)</f>
        <v>66</v>
      </c>
      <c r="F89" t="str">
        <f>IFERROR(__xludf.DUMMYFUNCTION("""COMPUTED_VALUE"""),"SF,PF")</f>
        <v>SF,PF</v>
      </c>
      <c r="G89" s="11">
        <f>IFERROR(__xludf.DUMMYFUNCTION("""COMPUTED_VALUE"""),0.16472100360613018)</f>
        <v>0.1647210036</v>
      </c>
      <c r="H89" s="11">
        <f>IFERROR(__xludf.DUMMYFUNCTION("""COMPUTED_VALUE"""),0.16472100360613018)</f>
        <v>0.1647210036</v>
      </c>
      <c r="I89" s="11">
        <f>IFERROR(__xludf.DUMMYFUNCTION("""COMPUTED_VALUE"""),0.0)</f>
        <v>0</v>
      </c>
      <c r="J89" s="11">
        <f>IFERROR(__xludf.DUMMYFUNCTION("""COMPUTED_VALUE"""),14.6)</f>
        <v>14.6</v>
      </c>
      <c r="K89" s="11">
        <f>IFERROR(__xludf.DUMMYFUNCTION("""COMPUTED_VALUE"""),2.7)</f>
        <v>2.7</v>
      </c>
      <c r="L89" s="11">
        <f>IFERROR(__xludf.DUMMYFUNCTION("""COMPUTED_VALUE"""),5.4)</f>
        <v>5.4</v>
      </c>
      <c r="M89" s="11">
        <f>IFERROR(__xludf.DUMMYFUNCTION("""COMPUTED_VALUE"""),1.6)</f>
        <v>1.6</v>
      </c>
      <c r="N89" s="11">
        <f>IFERROR(__xludf.DUMMYFUNCTION("""COMPUTED_VALUE"""),1.0)</f>
        <v>1</v>
      </c>
      <c r="O89" s="11">
        <f>IFERROR(__xludf.DUMMYFUNCTION("""COMPUTED_VALUE"""),0.8)</f>
        <v>0.8</v>
      </c>
      <c r="P89" s="15">
        <f>IFERROR(__xludf.DUMMYFUNCTION("""COMPUTED_VALUE"""),0.454)</f>
        <v>0.454</v>
      </c>
      <c r="Q89" s="15">
        <f>IFERROR(__xludf.DUMMYFUNCTION("""COMPUTED_VALUE"""),0.836)</f>
        <v>0.836</v>
      </c>
      <c r="R89" s="11">
        <f>IFERROR(__xludf.DUMMYFUNCTION("""COMPUTED_VALUE"""),0.8)</f>
        <v>0.8</v>
      </c>
      <c r="S89" s="11">
        <f>IFERROR(__xludf.DUMMYFUNCTION("""COMPUTED_VALUE"""),-0.5178975344303244)</f>
        <v>-0.5178975344</v>
      </c>
      <c r="T89" s="11">
        <f>IFERROR(__xludf.DUMMYFUNCTION("""COMPUTED_VALUE"""),0.946469492776779)</f>
        <v>0.9464694928</v>
      </c>
      <c r="U89" s="11">
        <f>IFERROR(__xludf.DUMMYFUNCTION("""COMPUTED_VALUE"""),-0.2623750651405405)</f>
        <v>-0.2623750651</v>
      </c>
      <c r="V89" s="11">
        <f>IFERROR(__xludf.DUMMYFUNCTION("""COMPUTED_VALUE"""),-1.0642143329726015)</f>
        <v>-1.064214333</v>
      </c>
      <c r="W89" s="11">
        <f>IFERROR(__xludf.DUMMYFUNCTION("""COMPUTED_VALUE"""),0.07913626764067216)</f>
        <v>0.07913626764</v>
      </c>
      <c r="X89" s="11">
        <f>IFERROR(__xludf.DUMMYFUNCTION("""COMPUTED_VALUE"""),0.09805746536669153)</f>
        <v>0.09805746537</v>
      </c>
      <c r="Y89" s="11">
        <f>IFERROR(__xludf.DUMMYFUNCTION("""COMPUTED_VALUE"""),-0.6030759670493954)</f>
        <v>-0.603075967</v>
      </c>
      <c r="Z89" s="11">
        <f>IFERROR(__xludf.DUMMYFUNCTION("""COMPUTED_VALUE"""),0.18915395926672102)</f>
        <v>0.1891539593</v>
      </c>
      <c r="AA89" s="11">
        <f>IFERROR(__xludf.DUMMYFUNCTION("""COMPUTED_VALUE"""),0.23525238517552666)</f>
        <v>0.2352523852</v>
      </c>
      <c r="AB89" t="str">
        <f>IFERROR(__xludf.DUMMYFUNCTION("SUBSTITUTE(REGEXREPLACE(REGEXREPLACE(REGEXREPLACE(REGEXREPLACE(REGEXREPLACE(REGEXREPLACE(F89,"","",),IF(Projections!$T$17="""",""PG"",),),IF(Projections!$U$17="""",""SG"",),),IF(Projections!$V$17="""",""SF"",),),IF(Projections!$W$17="""",""PF"",),),IF(Pro"&amp;"jections!$X$17="""",""C"",),),""/"","""")"),"SFPF")</f>
        <v>SFPF</v>
      </c>
    </row>
    <row r="90">
      <c r="A90" t="str">
        <f>IF(Projections!$AC$17,Draft!K4,"")</f>
        <v/>
      </c>
      <c r="B90">
        <f>IFERROR(__xludf.DUMMYFUNCTION("""COMPUTED_VALUE"""),85.0)</f>
        <v>85</v>
      </c>
      <c r="C90">
        <f>IFERROR(__xludf.DUMMYFUNCTION("""COMPUTED_VALUE"""),48.3)</f>
        <v>48.3</v>
      </c>
      <c r="D90" t="str">
        <f>IFERROR(__xludf.DUMMYFUNCTION("""COMPUTED_VALUE"""),"Pascal Siakam")</f>
        <v>Pascal Siakam</v>
      </c>
      <c r="E90">
        <f>IFERROR(__xludf.DUMMYFUNCTION("""COMPUTED_VALUE"""),66.0)</f>
        <v>66</v>
      </c>
      <c r="F90" t="str">
        <f>IFERROR(__xludf.DUMMYFUNCTION("""COMPUTED_VALUE"""),"SF,PF")</f>
        <v>SF,PF</v>
      </c>
      <c r="G90" s="11">
        <f>IFERROR(__xludf.DUMMYFUNCTION("""COMPUTED_VALUE"""),0.15735508264334508)</f>
        <v>0.1573550826</v>
      </c>
      <c r="H90" s="11">
        <f>IFERROR(__xludf.DUMMYFUNCTION("""COMPUTED_VALUE"""),0.15735508264334508)</f>
        <v>0.1573550826</v>
      </c>
      <c r="I90" s="11">
        <f>IFERROR(__xludf.DUMMYFUNCTION("""COMPUTED_VALUE"""),0.0)</f>
        <v>0</v>
      </c>
      <c r="J90" s="11">
        <f>IFERROR(__xludf.DUMMYFUNCTION("""COMPUTED_VALUE"""),21.1)</f>
        <v>21.1</v>
      </c>
      <c r="K90" s="11">
        <f>IFERROR(__xludf.DUMMYFUNCTION("""COMPUTED_VALUE"""),1.1)</f>
        <v>1.1</v>
      </c>
      <c r="L90" s="11">
        <f>IFERROR(__xludf.DUMMYFUNCTION("""COMPUTED_VALUE"""),7.5)</f>
        <v>7.5</v>
      </c>
      <c r="M90" s="11">
        <f>IFERROR(__xludf.DUMMYFUNCTION("""COMPUTED_VALUE"""),3.9)</f>
        <v>3.9</v>
      </c>
      <c r="N90" s="11">
        <f>IFERROR(__xludf.DUMMYFUNCTION("""COMPUTED_VALUE"""),0.8)</f>
        <v>0.8</v>
      </c>
      <c r="O90" s="11">
        <f>IFERROR(__xludf.DUMMYFUNCTION("""COMPUTED_VALUE"""),0.4)</f>
        <v>0.4</v>
      </c>
      <c r="P90" s="15">
        <f>IFERROR(__xludf.DUMMYFUNCTION("""COMPUTED_VALUE"""),0.539)</f>
        <v>0.539</v>
      </c>
      <c r="Q90" s="15">
        <f>IFERROR(__xludf.DUMMYFUNCTION("""COMPUTED_VALUE"""),0.742)</f>
        <v>0.742</v>
      </c>
      <c r="R90" s="11">
        <f>IFERROR(__xludf.DUMMYFUNCTION("""COMPUTED_VALUE"""),1.5)</f>
        <v>1.5</v>
      </c>
      <c r="S90" s="11">
        <f>IFERROR(__xludf.DUMMYFUNCTION("""COMPUTED_VALUE"""),0.6563145931819813)</f>
        <v>0.6563145932</v>
      </c>
      <c r="T90" s="11">
        <f>IFERROR(__xludf.DUMMYFUNCTION("""COMPUTED_VALUE"""),-0.645919291727885)</f>
        <v>-0.6459192917</v>
      </c>
      <c r="U90" s="11">
        <f>IFERROR(__xludf.DUMMYFUNCTION("""COMPUTED_VALUE"""),0.561378728483874)</f>
        <v>0.5613787285</v>
      </c>
      <c r="V90" s="11">
        <f>IFERROR(__xludf.DUMMYFUNCTION("""COMPUTED_VALUE"""),-0.016293613263543852)</f>
        <v>-0.01629361326</v>
      </c>
      <c r="W90" s="11">
        <f>IFERROR(__xludf.DUMMYFUNCTION("""COMPUTED_VALUE"""),-0.5847290886782864)</f>
        <v>-0.5847290887</v>
      </c>
      <c r="X90" s="11">
        <f>IFERROR(__xludf.DUMMYFUNCTION("""COMPUTED_VALUE"""),-0.6155173428439339)</f>
        <v>-0.6155173428</v>
      </c>
      <c r="Y90" s="11">
        <f>IFERROR(__xludf.DUMMYFUNCTION("""COMPUTED_VALUE"""),0.7404562066475189)</f>
        <v>0.7404562066</v>
      </c>
      <c r="Z90" s="11">
        <f>IFERROR(__xludf.DUMMYFUNCTION("""COMPUTED_VALUE"""),-0.9556904585328946)</f>
        <v>-0.9556904585</v>
      </c>
      <c r="AA90" s="11">
        <f>IFERROR(__xludf.DUMMYFUNCTION("""COMPUTED_VALUE"""),0.06166489084362008)</f>
        <v>0.06166489084</v>
      </c>
      <c r="AB90" t="str">
        <f>IFERROR(__xludf.DUMMYFUNCTION("SUBSTITUTE(REGEXREPLACE(REGEXREPLACE(REGEXREPLACE(REGEXREPLACE(REGEXREPLACE(REGEXREPLACE(F90,"","",),IF(Projections!$T$17="""",""PG"",),),IF(Projections!$U$17="""",""SG"",),),IF(Projections!$V$17="""",""SF"",),),IF(Projections!$W$17="""",""PF"",),),IF(Pro"&amp;"jections!$X$17="""",""C"",),),""/"","""")"),"SFPF")</f>
        <v>SFPF</v>
      </c>
    </row>
    <row r="91">
      <c r="A91" t="str">
        <f>IF(Projections!$AC$17,Draft!K5,"")</f>
        <v/>
      </c>
      <c r="B91">
        <f>IFERROR(__xludf.DUMMYFUNCTION("""COMPUTED_VALUE"""),86.0)</f>
        <v>86</v>
      </c>
      <c r="C91">
        <f>IFERROR(__xludf.DUMMYFUNCTION("""COMPUTED_VALUE"""),99.3)</f>
        <v>99.3</v>
      </c>
      <c r="D91" t="str">
        <f>IFERROR(__xludf.DUMMYFUNCTION("""COMPUTED_VALUE"""),"Mark Williams")</f>
        <v>Mark Williams</v>
      </c>
      <c r="E91">
        <f>IFERROR(__xludf.DUMMYFUNCTION("""COMPUTED_VALUE"""),53.0)</f>
        <v>53</v>
      </c>
      <c r="F91" t="str">
        <f>IFERROR(__xludf.DUMMYFUNCTION("""COMPUTED_VALUE"""),"C")</f>
        <v>C</v>
      </c>
      <c r="G91" s="11">
        <f>IFERROR(__xludf.DUMMYFUNCTION("""COMPUTED_VALUE"""),0.15712775861173323)</f>
        <v>0.1571277586</v>
      </c>
      <c r="H91" s="11">
        <f>IFERROR(__xludf.DUMMYFUNCTION("""COMPUTED_VALUE"""),0.15712775861173323)</f>
        <v>0.1571277586</v>
      </c>
      <c r="I91" s="11">
        <f>IFERROR(__xludf.DUMMYFUNCTION("""COMPUTED_VALUE"""),0.0)</f>
        <v>0</v>
      </c>
      <c r="J91" s="11">
        <f>IFERROR(__xludf.DUMMYFUNCTION("""COMPUTED_VALUE"""),12.6)</f>
        <v>12.6</v>
      </c>
      <c r="K91" s="11">
        <f>IFERROR(__xludf.DUMMYFUNCTION("""COMPUTED_VALUE"""),0.0)</f>
        <v>0</v>
      </c>
      <c r="L91" s="11">
        <f>IFERROR(__xludf.DUMMYFUNCTION("""COMPUTED_VALUE"""),9.7)</f>
        <v>9.7</v>
      </c>
      <c r="M91" s="11">
        <f>IFERROR(__xludf.DUMMYFUNCTION("""COMPUTED_VALUE"""),0.8)</f>
        <v>0.8</v>
      </c>
      <c r="N91" s="11">
        <f>IFERROR(__xludf.DUMMYFUNCTION("""COMPUTED_VALUE"""),0.9)</f>
        <v>0.9</v>
      </c>
      <c r="O91" s="11">
        <f>IFERROR(__xludf.DUMMYFUNCTION("""COMPUTED_VALUE"""),1.2)</f>
        <v>1.2</v>
      </c>
      <c r="P91" s="15">
        <f>IFERROR(__xludf.DUMMYFUNCTION("""COMPUTED_VALUE"""),0.641)</f>
        <v>0.641</v>
      </c>
      <c r="Q91" s="15">
        <f>IFERROR(__xludf.DUMMYFUNCTION("""COMPUTED_VALUE"""),0.704)</f>
        <v>0.704</v>
      </c>
      <c r="R91" s="11">
        <f>IFERROR(__xludf.DUMMYFUNCTION("""COMPUTED_VALUE"""),1.1)</f>
        <v>1.1</v>
      </c>
      <c r="S91" s="11">
        <f>IFERROR(__xludf.DUMMYFUNCTION("""COMPUTED_VALUE"""),-0.8791935736956491)</f>
        <v>-0.8791935737</v>
      </c>
      <c r="T91" s="11">
        <f>IFERROR(__xludf.DUMMYFUNCTION("""COMPUTED_VALUE"""),-1.7406865810748415)</f>
        <v>-1.740686581</v>
      </c>
      <c r="U91" s="11">
        <f>IFERROR(__xludf.DUMMYFUNCTION("""COMPUTED_VALUE"""),1.4243588932332605)</f>
        <v>1.424358893</v>
      </c>
      <c r="V91" s="11">
        <f>IFERROR(__xludf.DUMMYFUNCTION("""COMPUTED_VALUE"""),-1.428708496349665)</f>
        <v>-1.428708496</v>
      </c>
      <c r="W91" s="11">
        <f>IFERROR(__xludf.DUMMYFUNCTION("""COMPUTED_VALUE"""),-0.25279641051880714)</f>
        <v>-0.2527964105</v>
      </c>
      <c r="X91" s="11">
        <f>IFERROR(__xludf.DUMMYFUNCTION("""COMPUTED_VALUE"""),0.8116322735773168)</f>
        <v>0.8116322736</v>
      </c>
      <c r="Y91" s="11">
        <f>IFERROR(__xludf.DUMMYFUNCTION("""COMPUTED_VALUE"""),1.3512627227726046)</f>
        <v>1.351262723</v>
      </c>
      <c r="Z91" s="11">
        <f>IFERROR(__xludf.DUMMYFUNCTION("""COMPUTED_VALUE"""),-1.0302853951548943)</f>
        <v>-1.030285395</v>
      </c>
      <c r="AA91" s="11">
        <f>IFERROR(__xludf.DUMMYFUNCTION("""COMPUTED_VALUE"""),0.16085774474756667)</f>
        <v>0.1608577447</v>
      </c>
      <c r="AB91" t="str">
        <f>IFERROR(__xludf.DUMMYFUNCTION("SUBSTITUTE(REGEXREPLACE(REGEXREPLACE(REGEXREPLACE(REGEXREPLACE(REGEXREPLACE(REGEXREPLACE(F91,"","",),IF(Projections!$T$17="""",""PG"",),),IF(Projections!$U$17="""",""SG"",),),IF(Projections!$V$17="""",""SF"",),),IF(Projections!$W$17="""",""PF"",),),IF(Pro"&amp;"jections!$X$17="""",""C"",),),""/"","""")"),"C")</f>
        <v>C</v>
      </c>
    </row>
    <row r="92">
      <c r="A92" t="str">
        <f>IF(Projections!$AC$17,Draft!K6,"")</f>
        <v/>
      </c>
      <c r="B92">
        <f>IFERROR(__xludf.DUMMYFUNCTION("""COMPUTED_VALUE"""),87.0)</f>
        <v>87</v>
      </c>
      <c r="C92">
        <f>IFERROR(__xludf.DUMMYFUNCTION("""COMPUTED_VALUE"""),80.8)</f>
        <v>80.8</v>
      </c>
      <c r="D92" t="str">
        <f>IFERROR(__xludf.DUMMYFUNCTION("""COMPUTED_VALUE"""),"Jabari Smith Jr.")</f>
        <v>Jabari Smith Jr.</v>
      </c>
      <c r="E92">
        <f>IFERROR(__xludf.DUMMYFUNCTION("""COMPUTED_VALUE"""),66.0)</f>
        <v>66</v>
      </c>
      <c r="F92" t="str">
        <f>IFERROR(__xludf.DUMMYFUNCTION("""COMPUTED_VALUE"""),"PF,C")</f>
        <v>PF,C</v>
      </c>
      <c r="G92" s="11">
        <f>IFERROR(__xludf.DUMMYFUNCTION("""COMPUTED_VALUE"""),0.0803540017618467)</f>
        <v>0.08035400176</v>
      </c>
      <c r="H92" s="11">
        <f>IFERROR(__xludf.DUMMYFUNCTION("""COMPUTED_VALUE"""),0.0803540017618467)</f>
        <v>0.08035400176</v>
      </c>
      <c r="I92" s="11">
        <f>IFERROR(__xludf.DUMMYFUNCTION("""COMPUTED_VALUE"""),0.0)</f>
        <v>0</v>
      </c>
      <c r="J92" s="11">
        <f>IFERROR(__xludf.DUMMYFUNCTION("""COMPUTED_VALUE"""),14.0)</f>
        <v>14</v>
      </c>
      <c r="K92" s="11">
        <f>IFERROR(__xludf.DUMMYFUNCTION("""COMPUTED_VALUE"""),1.9)</f>
        <v>1.9</v>
      </c>
      <c r="L92" s="11">
        <f>IFERROR(__xludf.DUMMYFUNCTION("""COMPUTED_VALUE"""),8.4)</f>
        <v>8.4</v>
      </c>
      <c r="M92" s="11">
        <f>IFERROR(__xludf.DUMMYFUNCTION("""COMPUTED_VALUE"""),1.5)</f>
        <v>1.5</v>
      </c>
      <c r="N92" s="11">
        <f>IFERROR(__xludf.DUMMYFUNCTION("""COMPUTED_VALUE"""),0.8)</f>
        <v>0.8</v>
      </c>
      <c r="O92" s="11">
        <f>IFERROR(__xludf.DUMMYFUNCTION("""COMPUTED_VALUE"""),0.9)</f>
        <v>0.9</v>
      </c>
      <c r="P92" s="15">
        <f>IFERROR(__xludf.DUMMYFUNCTION("""COMPUTED_VALUE"""),0.463)</f>
        <v>0.463</v>
      </c>
      <c r="Q92" s="15">
        <f>IFERROR(__xludf.DUMMYFUNCTION("""COMPUTED_VALUE"""),0.824)</f>
        <v>0.824</v>
      </c>
      <c r="R92" s="11">
        <f>IFERROR(__xludf.DUMMYFUNCTION("""COMPUTED_VALUE"""),1.3)</f>
        <v>1.3</v>
      </c>
      <c r="S92" s="11">
        <f>IFERROR(__xludf.DUMMYFUNCTION("""COMPUTED_VALUE"""),-0.6262863462099217)</f>
        <v>-0.6262863462</v>
      </c>
      <c r="T92" s="11">
        <f>IFERROR(__xludf.DUMMYFUNCTION("""COMPUTED_VALUE"""),0.15027510052444681)</f>
        <v>0.1502751005</v>
      </c>
      <c r="U92" s="11">
        <f>IFERROR(__xludf.DUMMYFUNCTION("""COMPUTED_VALUE"""),0.9144160686086232)</f>
        <v>0.9144160686</v>
      </c>
      <c r="V92" s="11">
        <f>IFERROR(__xludf.DUMMYFUNCTION("""COMPUTED_VALUE"""),-1.1097761033947346)</f>
        <v>-1.109776103</v>
      </c>
      <c r="W92" s="11">
        <f>IFERROR(__xludf.DUMMYFUNCTION("""COMPUTED_VALUE"""),-0.5847290886782864)</f>
        <v>-0.5847290887</v>
      </c>
      <c r="X92" s="11">
        <f>IFERROR(__xludf.DUMMYFUNCTION("""COMPUTED_VALUE"""),0.27645116741934783)</f>
        <v>0.2764511674</v>
      </c>
      <c r="Y92" s="11">
        <f>IFERROR(__xludf.DUMMYFUNCTION("""COMPUTED_VALUE"""),-0.4288498814953261)</f>
        <v>-0.4288498815</v>
      </c>
      <c r="Z92" s="11">
        <f>IFERROR(__xludf.DUMMYFUNCTION("""COMPUTED_VALUE"""),0.26781566379736976)</f>
        <v>0.2678156638</v>
      </c>
      <c r="AA92" s="11">
        <f>IFERROR(__xludf.DUMMYFUNCTION("""COMPUTED_VALUE"""),0.11126131779559338)</f>
        <v>0.1112613178</v>
      </c>
      <c r="AB92" t="str">
        <f>IFERROR(__xludf.DUMMYFUNCTION("SUBSTITUTE(REGEXREPLACE(REGEXREPLACE(REGEXREPLACE(REGEXREPLACE(REGEXREPLACE(REGEXREPLACE(F92,"","",),IF(Projections!$T$17="""",""PG"",),),IF(Projections!$U$17="""",""SG"",),),IF(Projections!$V$17="""",""SF"",),),IF(Projections!$W$17="""",""PF"",),),IF(Pro"&amp;"jections!$X$17="""",""C"",),),""/"","""")"),"PFC")</f>
        <v>PFC</v>
      </c>
    </row>
    <row r="93">
      <c r="A93" t="str">
        <f>IF(Projections!$AC$17,Draft!K7,"")</f>
        <v/>
      </c>
      <c r="B93">
        <f>IFERROR(__xludf.DUMMYFUNCTION("""COMPUTED_VALUE"""),88.0)</f>
        <v>88</v>
      </c>
      <c r="C93">
        <f>IFERROR(__xludf.DUMMYFUNCTION("""COMPUTED_VALUE"""),116.1)</f>
        <v>116.1</v>
      </c>
      <c r="D93" t="str">
        <f>IFERROR(__xludf.DUMMYFUNCTION("""COMPUTED_VALUE"""),"Tyus Jones")</f>
        <v>Tyus Jones</v>
      </c>
      <c r="E93">
        <f>IFERROR(__xludf.DUMMYFUNCTION("""COMPUTED_VALUE"""),54.0)</f>
        <v>54</v>
      </c>
      <c r="F93" t="str">
        <f>IFERROR(__xludf.DUMMYFUNCTION("""COMPUTED_VALUE"""),"PG")</f>
        <v>PG</v>
      </c>
      <c r="G93" s="11">
        <f>IFERROR(__xludf.DUMMYFUNCTION("""COMPUTED_VALUE"""),0.016760037027831576)</f>
        <v>0.01676003703</v>
      </c>
      <c r="H93" s="11">
        <f>IFERROR(__xludf.DUMMYFUNCTION("""COMPUTED_VALUE"""),0.016760037027831576)</f>
        <v>0.01676003703</v>
      </c>
      <c r="I93" s="11">
        <f>IFERROR(__xludf.DUMMYFUNCTION("""COMPUTED_VALUE"""),0.0)</f>
        <v>0</v>
      </c>
      <c r="J93" s="11">
        <f>IFERROR(__xludf.DUMMYFUNCTION("""COMPUTED_VALUE"""),12.2)</f>
        <v>12.2</v>
      </c>
      <c r="K93" s="11">
        <f>IFERROR(__xludf.DUMMYFUNCTION("""COMPUTED_VALUE"""),1.7)</f>
        <v>1.7</v>
      </c>
      <c r="L93" s="11">
        <f>IFERROR(__xludf.DUMMYFUNCTION("""COMPUTED_VALUE"""),2.9)</f>
        <v>2.9</v>
      </c>
      <c r="M93" s="11">
        <f>IFERROR(__xludf.DUMMYFUNCTION("""COMPUTED_VALUE"""),6.8)</f>
        <v>6.8</v>
      </c>
      <c r="N93" s="11">
        <f>IFERROR(__xludf.DUMMYFUNCTION("""COMPUTED_VALUE"""),1.2)</f>
        <v>1.2</v>
      </c>
      <c r="O93" s="11">
        <f>IFERROR(__xludf.DUMMYFUNCTION("""COMPUTED_VALUE"""),0.2)</f>
        <v>0.2</v>
      </c>
      <c r="P93" s="15">
        <f>IFERROR(__xludf.DUMMYFUNCTION("""COMPUTED_VALUE"""),0.476)</f>
        <v>0.476</v>
      </c>
      <c r="Q93" s="15">
        <f>IFERROR(__xludf.DUMMYFUNCTION("""COMPUTED_VALUE"""),0.802)</f>
        <v>0.802</v>
      </c>
      <c r="R93" s="11">
        <f>IFERROR(__xludf.DUMMYFUNCTION("""COMPUTED_VALUE"""),1.1)</f>
        <v>1.1</v>
      </c>
      <c r="S93" s="11">
        <f>IFERROR(__xludf.DUMMYFUNCTION("""COMPUTED_VALUE"""),-0.9514527815487142)</f>
        <v>-0.9514527815</v>
      </c>
      <c r="T93" s="11">
        <f>IFERROR(__xludf.DUMMYFUNCTION("""COMPUTED_VALUE"""),-0.04877349753863613)</f>
        <v>-0.04877349754</v>
      </c>
      <c r="U93" s="11">
        <f>IFERROR(__xludf.DUMMYFUNCTION("""COMPUTED_VALUE"""),-1.2430343432648439)</f>
        <v>-1.243034343</v>
      </c>
      <c r="V93" s="11">
        <f>IFERROR(__xludf.DUMMYFUNCTION("""COMPUTED_VALUE"""),1.3049977289783117)</f>
        <v>1.304997729</v>
      </c>
      <c r="W93" s="11">
        <f>IFERROR(__xludf.DUMMYFUNCTION("""COMPUTED_VALUE"""),0.7430016239596308)</f>
        <v>0.743001624</v>
      </c>
      <c r="X93" s="11">
        <f>IFERROR(__xludf.DUMMYFUNCTION("""COMPUTED_VALUE"""),-0.9723047469492465)</f>
        <v>-0.9723047469</v>
      </c>
      <c r="Y93" s="11">
        <f>IFERROR(__xludf.DUMMYFUNCTION("""COMPUTED_VALUE"""),-0.2471703358233998)</f>
        <v>-0.2471703358</v>
      </c>
      <c r="Z93" s="11">
        <f>IFERROR(__xludf.DUMMYFUNCTION("""COMPUTED_VALUE"""),0.02760430120231881)</f>
        <v>0.0276043012</v>
      </c>
      <c r="AA93" s="11">
        <f>IFERROR(__xludf.DUMMYFUNCTION("""COMPUTED_VALUE"""),0.16085774474756667)</f>
        <v>0.1608577447</v>
      </c>
      <c r="AB93" t="str">
        <f>IFERROR(__xludf.DUMMYFUNCTION("SUBSTITUTE(REGEXREPLACE(REGEXREPLACE(REGEXREPLACE(REGEXREPLACE(REGEXREPLACE(REGEXREPLACE(F93,"","",),IF(Projections!$T$17="""",""PG"",),),IF(Projections!$U$17="""",""SG"",),),IF(Projections!$V$17="""",""SF"",),),IF(Projections!$W$17="""",""PF"",),),IF(Pro"&amp;"jections!$X$17="""",""C"",),),""/"","""")"),"PG")</f>
        <v>PG</v>
      </c>
    </row>
    <row r="94">
      <c r="A94" t="str">
        <f>IF(Projections!$AC$17,Draft!K8,"")</f>
        <v/>
      </c>
      <c r="B94">
        <f>IFERROR(__xludf.DUMMYFUNCTION("""COMPUTED_VALUE"""),89.0)</f>
        <v>89</v>
      </c>
      <c r="C94">
        <f>IFERROR(__xludf.DUMMYFUNCTION("""COMPUTED_VALUE"""),73.3)</f>
        <v>73.3</v>
      </c>
      <c r="D94" t="str">
        <f>IFERROR(__xludf.DUMMYFUNCTION("""COMPUTED_VALUE"""),"Michael Porter Jr.")</f>
        <v>Michael Porter Jr.</v>
      </c>
      <c r="E94">
        <f>IFERROR(__xludf.DUMMYFUNCTION("""COMPUTED_VALUE"""),71.0)</f>
        <v>71</v>
      </c>
      <c r="F94" t="str">
        <f>IFERROR(__xludf.DUMMYFUNCTION("""COMPUTED_VALUE"""),"SF,PF")</f>
        <v>SF,PF</v>
      </c>
      <c r="G94" s="11">
        <f>IFERROR(__xludf.DUMMYFUNCTION("""COMPUTED_VALUE"""),-0.007776187497103848)</f>
        <v>-0.007776187497</v>
      </c>
      <c r="H94" s="11">
        <f>IFERROR(__xludf.DUMMYFUNCTION("""COMPUTED_VALUE"""),-0.007776187497103848)</f>
        <v>-0.007776187497</v>
      </c>
      <c r="I94" s="11">
        <f>IFERROR(__xludf.DUMMYFUNCTION("""COMPUTED_VALUE"""),0.0)</f>
        <v>0</v>
      </c>
      <c r="J94" s="11">
        <f>IFERROR(__xludf.DUMMYFUNCTION("""COMPUTED_VALUE"""),17.5)</f>
        <v>17.5</v>
      </c>
      <c r="K94" s="11">
        <f>IFERROR(__xludf.DUMMYFUNCTION("""COMPUTED_VALUE"""),2.9)</f>
        <v>2.9</v>
      </c>
      <c r="L94" s="11">
        <f>IFERROR(__xludf.DUMMYFUNCTION("""COMPUTED_VALUE"""),6.5)</f>
        <v>6.5</v>
      </c>
      <c r="M94" s="11">
        <f>IFERROR(__xludf.DUMMYFUNCTION("""COMPUTED_VALUE"""),1.4)</f>
        <v>1.4</v>
      </c>
      <c r="N94" s="11">
        <f>IFERROR(__xludf.DUMMYFUNCTION("""COMPUTED_VALUE"""),0.6)</f>
        <v>0.6</v>
      </c>
      <c r="O94" s="11">
        <f>IFERROR(__xludf.DUMMYFUNCTION("""COMPUTED_VALUE"""),0.6)</f>
        <v>0.6</v>
      </c>
      <c r="P94" s="15">
        <f>IFERROR(__xludf.DUMMYFUNCTION("""COMPUTED_VALUE"""),0.485)</f>
        <v>0.485</v>
      </c>
      <c r="Q94" s="15">
        <f>IFERROR(__xludf.DUMMYFUNCTION("""COMPUTED_VALUE"""),0.818)</f>
        <v>0.818</v>
      </c>
      <c r="R94" s="11">
        <f>IFERROR(__xludf.DUMMYFUNCTION("""COMPUTED_VALUE"""),1.2)</f>
        <v>1.2</v>
      </c>
      <c r="S94" s="11">
        <f>IFERROR(__xludf.DUMMYFUNCTION("""COMPUTED_VALUE"""),0.005981722504396474)</f>
        <v>0.005981722504</v>
      </c>
      <c r="T94" s="11">
        <f>IFERROR(__xludf.DUMMYFUNCTION("""COMPUTED_VALUE"""),1.145518090839862)</f>
        <v>1.145518091</v>
      </c>
      <c r="U94" s="11">
        <f>IFERROR(__xludf.DUMMYFUNCTION("""COMPUTED_VALUE"""),0.16911501723415273)</f>
        <v>0.1691150172</v>
      </c>
      <c r="V94" s="11">
        <f>IFERROR(__xludf.DUMMYFUNCTION("""COMPUTED_VALUE"""),-1.1553378738168676)</f>
        <v>-1.155337874</v>
      </c>
      <c r="W94" s="11">
        <f>IFERROR(__xludf.DUMMYFUNCTION("""COMPUTED_VALUE"""),-1.2485944449972455)</f>
        <v>-1.248594445</v>
      </c>
      <c r="X94" s="11">
        <f>IFERROR(__xludf.DUMMYFUNCTION("""COMPUTED_VALUE"""),-0.25872993873862127)</f>
        <v>-0.2587299387</v>
      </c>
      <c r="Y94" s="11">
        <f>IFERROR(__xludf.DUMMYFUNCTION("""COMPUTED_VALUE"""),-0.1893705106107856)</f>
        <v>-0.1893705106</v>
      </c>
      <c r="Z94" s="11">
        <f>IFERROR(__xludf.DUMMYFUNCTION("""COMPUTED_VALUE"""),0.13898777381917968)</f>
        <v>0.1389877738</v>
      </c>
      <c r="AA94" s="11">
        <f>IFERROR(__xludf.DUMMYFUNCTION("""COMPUTED_VALUE"""),0.13605953127158005)</f>
        <v>0.1360595313</v>
      </c>
      <c r="AB94" t="str">
        <f>IFERROR(__xludf.DUMMYFUNCTION("SUBSTITUTE(REGEXREPLACE(REGEXREPLACE(REGEXREPLACE(REGEXREPLACE(REGEXREPLACE(REGEXREPLACE(F94,"","",),IF(Projections!$T$17="""",""PG"",),),IF(Projections!$U$17="""",""SG"",),),IF(Projections!$V$17="""",""SF"",),),IF(Projections!$W$17="""",""PF"",),),IF(Pro"&amp;"jections!$X$17="""",""C"",),),""/"","""")"),"SFPF")</f>
        <v>SFPF</v>
      </c>
    </row>
    <row r="95">
      <c r="A95" t="str">
        <f>IF(Projections!$AC$17,Draft!K9,"")</f>
        <v/>
      </c>
      <c r="B95">
        <f>IFERROR(__xludf.DUMMYFUNCTION("""COMPUTED_VALUE"""),90.0)</f>
        <v>90</v>
      </c>
      <c r="C95">
        <f>IFERROR(__xludf.DUMMYFUNCTION("""COMPUTED_VALUE"""),82.5)</f>
        <v>82.5</v>
      </c>
      <c r="D95" t="str">
        <f>IFERROR(__xludf.DUMMYFUNCTION("""COMPUTED_VALUE"""),"Kyle Kuzma")</f>
        <v>Kyle Kuzma</v>
      </c>
      <c r="E95">
        <f>IFERROR(__xludf.DUMMYFUNCTION("""COMPUTED_VALUE"""),71.0)</f>
        <v>71</v>
      </c>
      <c r="F95" t="str">
        <f>IFERROR(__xludf.DUMMYFUNCTION("""COMPUTED_VALUE"""),"PF")</f>
        <v>PF</v>
      </c>
      <c r="G95" s="11">
        <f>IFERROR(__xludf.DUMMYFUNCTION("""COMPUTED_VALUE"""),-0.015738148850119593)</f>
        <v>-0.01573814885</v>
      </c>
      <c r="H95" s="11">
        <f>IFERROR(__xludf.DUMMYFUNCTION("""COMPUTED_VALUE"""),-0.015738148850119593)</f>
        <v>-0.01573814885</v>
      </c>
      <c r="I95" s="11">
        <f>IFERROR(__xludf.DUMMYFUNCTION("""COMPUTED_VALUE"""),0.0)</f>
        <v>0</v>
      </c>
      <c r="J95" s="11">
        <f>IFERROR(__xludf.DUMMYFUNCTION("""COMPUTED_VALUE"""),21.6)</f>
        <v>21.6</v>
      </c>
      <c r="K95" s="11">
        <f>IFERROR(__xludf.DUMMYFUNCTION("""COMPUTED_VALUE"""),2.3)</f>
        <v>2.3</v>
      </c>
      <c r="L95" s="11">
        <f>IFERROR(__xludf.DUMMYFUNCTION("""COMPUTED_VALUE"""),6.9)</f>
        <v>6.9</v>
      </c>
      <c r="M95" s="11">
        <f>IFERROR(__xludf.DUMMYFUNCTION("""COMPUTED_VALUE"""),4.0)</f>
        <v>4</v>
      </c>
      <c r="N95" s="11">
        <f>IFERROR(__xludf.DUMMYFUNCTION("""COMPUTED_VALUE"""),0.5)</f>
        <v>0.5</v>
      </c>
      <c r="O95" s="11">
        <f>IFERROR(__xludf.DUMMYFUNCTION("""COMPUTED_VALUE"""),0.6)</f>
        <v>0.6</v>
      </c>
      <c r="P95" s="15">
        <f>IFERROR(__xludf.DUMMYFUNCTION("""COMPUTED_VALUE"""),0.456)</f>
        <v>0.456</v>
      </c>
      <c r="Q95" s="15">
        <f>IFERROR(__xludf.DUMMYFUNCTION("""COMPUTED_VALUE"""),0.773)</f>
        <v>0.773</v>
      </c>
      <c r="R95" s="11">
        <f>IFERROR(__xludf.DUMMYFUNCTION("""COMPUTED_VALUE"""),2.8)</f>
        <v>2.8</v>
      </c>
      <c r="S95" s="11">
        <f>IFERROR(__xludf.DUMMYFUNCTION("""COMPUTED_VALUE"""),0.7466386029983124)</f>
        <v>0.746638603</v>
      </c>
      <c r="T95" s="11">
        <f>IFERROR(__xludf.DUMMYFUNCTION("""COMPUTED_VALUE"""),0.5483722966506127)</f>
        <v>0.5483722967</v>
      </c>
      <c r="U95" s="11">
        <f>IFERROR(__xludf.DUMMYFUNCTION("""COMPUTED_VALUE"""),0.3260205017340414)</f>
        <v>0.3260205017</v>
      </c>
      <c r="V95" s="11">
        <f>IFERROR(__xludf.DUMMYFUNCTION("""COMPUTED_VALUE"""),0.029268157158589138)</f>
        <v>0.02926815716</v>
      </c>
      <c r="W95" s="11">
        <f>IFERROR(__xludf.DUMMYFUNCTION("""COMPUTED_VALUE"""),-1.5805271231567248)</f>
        <v>-1.580527123</v>
      </c>
      <c r="X95" s="11">
        <f>IFERROR(__xludf.DUMMYFUNCTION("""COMPUTED_VALUE"""),-0.25872993873862127)</f>
        <v>-0.2587299387</v>
      </c>
      <c r="Y95" s="11">
        <f>IFERROR(__xludf.DUMMYFUNCTION("""COMPUTED_VALUE"""),-0.8672131505429359)</f>
        <v>-0.8672131505</v>
      </c>
      <c r="Z95" s="11">
        <f>IFERROR(__xludf.DUMMYFUNCTION("""COMPUTED_VALUE"""),-0.2793827337659116)</f>
        <v>-0.2793827338</v>
      </c>
      <c r="AA95" s="11">
        <f>IFERROR(__xludf.DUMMYFUNCTION("""COMPUTED_VALUE"""),-0.2607118843442064)</f>
        <v>-0.2607118843</v>
      </c>
      <c r="AB95" t="str">
        <f>IFERROR(__xludf.DUMMYFUNCTION("SUBSTITUTE(REGEXREPLACE(REGEXREPLACE(REGEXREPLACE(REGEXREPLACE(REGEXREPLACE(REGEXREPLACE(F95,"","",),IF(Projections!$T$17="""",""PG"",),),IF(Projections!$U$17="""",""SG"",),),IF(Projections!$V$17="""",""SF"",),),IF(Projections!$W$17="""",""PF"",),),IF(Pro"&amp;"jections!$X$17="""",""C"",),),""/"","""")"),"PF")</f>
        <v>PF</v>
      </c>
    </row>
    <row r="96">
      <c r="A96" t="str">
        <f>IF(Projections!$AC$17,Draft!K10,"")</f>
        <v/>
      </c>
      <c r="B96">
        <f>IFERROR(__xludf.DUMMYFUNCTION("""COMPUTED_VALUE"""),91.0)</f>
        <v>91</v>
      </c>
      <c r="C96">
        <f>IFERROR(__xludf.DUMMYFUNCTION("""COMPUTED_VALUE"""),84.2)</f>
        <v>84.2</v>
      </c>
      <c r="D96" t="str">
        <f>IFERROR(__xludf.DUMMYFUNCTION("""COMPUTED_VALUE"""),"Jusuf Nurkic")</f>
        <v>Jusuf Nurkic</v>
      </c>
      <c r="E96">
        <f>IFERROR(__xludf.DUMMYFUNCTION("""COMPUTED_VALUE"""),66.0)</f>
        <v>66</v>
      </c>
      <c r="F96" t="str">
        <f>IFERROR(__xludf.DUMMYFUNCTION("""COMPUTED_VALUE"""),"C")</f>
        <v>C</v>
      </c>
      <c r="G96" s="11">
        <f>IFERROR(__xludf.DUMMYFUNCTION("""COMPUTED_VALUE"""),-0.054284932345338266)</f>
        <v>-0.05428493235</v>
      </c>
      <c r="H96" s="11">
        <f>IFERROR(__xludf.DUMMYFUNCTION("""COMPUTED_VALUE"""),-0.054284932345338266)</f>
        <v>-0.05428493235</v>
      </c>
      <c r="I96" s="11">
        <f>IFERROR(__xludf.DUMMYFUNCTION("""COMPUTED_VALUE"""),0.0)</f>
        <v>0</v>
      </c>
      <c r="J96" s="11">
        <f>IFERROR(__xludf.DUMMYFUNCTION("""COMPUTED_VALUE"""),12.2)</f>
        <v>12.2</v>
      </c>
      <c r="K96" s="11">
        <f>IFERROR(__xludf.DUMMYFUNCTION("""COMPUTED_VALUE"""),0.5)</f>
        <v>0.5</v>
      </c>
      <c r="L96" s="11">
        <f>IFERROR(__xludf.DUMMYFUNCTION("""COMPUTED_VALUE"""),10.5)</f>
        <v>10.5</v>
      </c>
      <c r="M96" s="11">
        <f>IFERROR(__xludf.DUMMYFUNCTION("""COMPUTED_VALUE"""),3.6)</f>
        <v>3.6</v>
      </c>
      <c r="N96" s="11">
        <f>IFERROR(__xludf.DUMMYFUNCTION("""COMPUTED_VALUE"""),1.0)</f>
        <v>1</v>
      </c>
      <c r="O96" s="11">
        <f>IFERROR(__xludf.DUMMYFUNCTION("""COMPUTED_VALUE"""),1.0)</f>
        <v>1</v>
      </c>
      <c r="P96" s="15">
        <f>IFERROR(__xludf.DUMMYFUNCTION("""COMPUTED_VALUE"""),0.514)</f>
        <v>0.514</v>
      </c>
      <c r="Q96" s="15">
        <f>IFERROR(__xludf.DUMMYFUNCTION("""COMPUTED_VALUE"""),0.647)</f>
        <v>0.647</v>
      </c>
      <c r="R96" s="11">
        <f>IFERROR(__xludf.DUMMYFUNCTION("""COMPUTED_VALUE"""),2.4)</f>
        <v>2.4</v>
      </c>
      <c r="S96" s="11">
        <f>IFERROR(__xludf.DUMMYFUNCTION("""COMPUTED_VALUE"""),-0.9514527815487142)</f>
        <v>-0.9514527815</v>
      </c>
      <c r="T96" s="11">
        <f>IFERROR(__xludf.DUMMYFUNCTION("""COMPUTED_VALUE"""),-1.2430650859171342)</f>
        <v>-1.243065086</v>
      </c>
      <c r="U96" s="11">
        <f>IFERROR(__xludf.DUMMYFUNCTION("""COMPUTED_VALUE"""),1.7381698622330377)</f>
        <v>1.738169862</v>
      </c>
      <c r="V96" s="11">
        <f>IFERROR(__xludf.DUMMYFUNCTION("""COMPUTED_VALUE"""),-0.1529789245299426)</f>
        <v>-0.1529789245</v>
      </c>
      <c r="W96" s="11">
        <f>IFERROR(__xludf.DUMMYFUNCTION("""COMPUTED_VALUE"""),0.07913626764067216)</f>
        <v>0.07913626764</v>
      </c>
      <c r="X96" s="11">
        <f>IFERROR(__xludf.DUMMYFUNCTION("""COMPUTED_VALUE"""),0.45484486947200414)</f>
        <v>0.4548448695</v>
      </c>
      <c r="Y96" s="11">
        <f>IFERROR(__xludf.DUMMYFUNCTION("""COMPUTED_VALUE"""),0.1825798907449986)</f>
        <v>0.1825798907</v>
      </c>
      <c r="Z96" s="11">
        <f>IFERROR(__xludf.DUMMYFUNCTION("""COMPUTED_VALUE"""),-1.8857701295441909)</f>
        <v>-1.88577013</v>
      </c>
      <c r="AA96" s="11">
        <f>IFERROR(__xludf.DUMMYFUNCTION("""COMPUTED_VALUE"""),-0.1615190304402598)</f>
        <v>-0.1615190304</v>
      </c>
      <c r="AB96" t="str">
        <f>IFERROR(__xludf.DUMMYFUNCTION("SUBSTITUTE(REGEXREPLACE(REGEXREPLACE(REGEXREPLACE(REGEXREPLACE(REGEXREPLACE(REGEXREPLACE(F96,"","",),IF(Projections!$T$17="""",""PG"",),),IF(Projections!$U$17="""",""SG"",),),IF(Projections!$V$17="""",""SF"",),),IF(Projections!$W$17="""",""PF"",),),IF(Pro"&amp;"jections!$X$17="""",""C"",),),""/"","""")"),"C")</f>
        <v>C</v>
      </c>
    </row>
    <row r="97">
      <c r="A97" t="str">
        <f>IF(Projections!$AC$17,Draft!K11,"")</f>
        <v/>
      </c>
      <c r="B97">
        <f>IFERROR(__xludf.DUMMYFUNCTION("""COMPUTED_VALUE"""),92.0)</f>
        <v>92</v>
      </c>
      <c r="C97">
        <f>IFERROR(__xludf.DUMMYFUNCTION("""COMPUTED_VALUE"""),132.8)</f>
        <v>132.8</v>
      </c>
      <c r="D97" t="str">
        <f>IFERROR(__xludf.DUMMYFUNCTION("""COMPUTED_VALUE"""),"Mike Conley")</f>
        <v>Mike Conley</v>
      </c>
      <c r="E97">
        <f>IFERROR(__xludf.DUMMYFUNCTION("""COMPUTED_VALUE"""),79.0)</f>
        <v>79</v>
      </c>
      <c r="F97" t="str">
        <f>IFERROR(__xludf.DUMMYFUNCTION("""COMPUTED_VALUE"""),"PG")</f>
        <v>PG</v>
      </c>
      <c r="G97" s="11">
        <f>IFERROR(__xludf.DUMMYFUNCTION("""COMPUTED_VALUE"""),-0.09868785686054338)</f>
        <v>-0.09868785686</v>
      </c>
      <c r="H97" s="11">
        <f>IFERROR(__xludf.DUMMYFUNCTION("""COMPUTED_VALUE"""),-0.09868785686054338)</f>
        <v>-0.09868785686</v>
      </c>
      <c r="I97" s="11">
        <f>IFERROR(__xludf.DUMMYFUNCTION("""COMPUTED_VALUE"""),0.0)</f>
        <v>0</v>
      </c>
      <c r="J97" s="11">
        <f>IFERROR(__xludf.DUMMYFUNCTION("""COMPUTED_VALUE"""),11.6)</f>
        <v>11.6</v>
      </c>
      <c r="K97" s="11">
        <f>IFERROR(__xludf.DUMMYFUNCTION("""COMPUTED_VALUE"""),2.2)</f>
        <v>2.2</v>
      </c>
      <c r="L97" s="11">
        <f>IFERROR(__xludf.DUMMYFUNCTION("""COMPUTED_VALUE"""),2.8)</f>
        <v>2.8</v>
      </c>
      <c r="M97" s="11">
        <f>IFERROR(__xludf.DUMMYFUNCTION("""COMPUTED_VALUE"""),6.0)</f>
        <v>6</v>
      </c>
      <c r="N97" s="11">
        <f>IFERROR(__xludf.DUMMYFUNCTION("""COMPUTED_VALUE"""),1.1)</f>
        <v>1.1</v>
      </c>
      <c r="O97" s="11">
        <f>IFERROR(__xludf.DUMMYFUNCTION("""COMPUTED_VALUE"""),0.2)</f>
        <v>0.2</v>
      </c>
      <c r="P97" s="15">
        <f>IFERROR(__xludf.DUMMYFUNCTION("""COMPUTED_VALUE"""),0.442)</f>
        <v>0.442</v>
      </c>
      <c r="Q97" s="15">
        <f>IFERROR(__xludf.DUMMYFUNCTION("""COMPUTED_VALUE"""),0.885)</f>
        <v>0.885</v>
      </c>
      <c r="R97" s="11">
        <f>IFERROR(__xludf.DUMMYFUNCTION("""COMPUTED_VALUE"""),1.4)</f>
        <v>1.4</v>
      </c>
      <c r="S97" s="11">
        <f>IFERROR(__xludf.DUMMYFUNCTION("""COMPUTED_VALUE"""),-1.0598415933283114)</f>
        <v>-1.059841593</v>
      </c>
      <c r="T97" s="11">
        <f>IFERROR(__xludf.DUMMYFUNCTION("""COMPUTED_VALUE"""),0.44884799761907157)</f>
        <v>0.4488479976</v>
      </c>
      <c r="U97" s="11">
        <f>IFERROR(__xludf.DUMMYFUNCTION("""COMPUTED_VALUE"""),-1.282260714389816)</f>
        <v>-1.282260714</v>
      </c>
      <c r="V97" s="11">
        <f>IFERROR(__xludf.DUMMYFUNCTION("""COMPUTED_VALUE"""),0.940503565601248)</f>
        <v>0.9405035656</v>
      </c>
      <c r="W97" s="11">
        <f>IFERROR(__xludf.DUMMYFUNCTION("""COMPUTED_VALUE"""),0.41106894580015185)</f>
        <v>0.4110689458</v>
      </c>
      <c r="X97" s="11">
        <f>IFERROR(__xludf.DUMMYFUNCTION("""COMPUTED_VALUE"""),-0.9723047469492465)</f>
        <v>-0.9723047469</v>
      </c>
      <c r="Y97" s="11">
        <f>IFERROR(__xludf.DUMMYFUNCTION("""COMPUTED_VALUE"""),-0.5595869715413584)</f>
        <v>-0.5595869715</v>
      </c>
      <c r="Z97" s="11">
        <f>IFERROR(__xludf.DUMMYFUNCTION("""COMPUTED_VALUE"""),0.6061618416182949)</f>
        <v>0.6061618416</v>
      </c>
      <c r="AA97" s="11">
        <f>IFERROR(__xludf.DUMMYFUNCTION("""COMPUTED_VALUE"""),0.08646310431960676)</f>
        <v>0.08646310432</v>
      </c>
      <c r="AB97" t="str">
        <f>IFERROR(__xludf.DUMMYFUNCTION("SUBSTITUTE(REGEXREPLACE(REGEXREPLACE(REGEXREPLACE(REGEXREPLACE(REGEXREPLACE(REGEXREPLACE(F97,"","",),IF(Projections!$T$17="""",""PG"",),),IF(Projections!$U$17="""",""SG"",),),IF(Projections!$V$17="""",""SF"",),),IF(Projections!$W$17="""",""PF"",),),IF(Pro"&amp;"jections!$X$17="""",""C"",),),""/"","""")"),"PG")</f>
        <v>PG</v>
      </c>
    </row>
    <row r="98">
      <c r="A98" t="str">
        <f>IF(Projections!$AC$17,Draft!K12,"")</f>
        <v/>
      </c>
      <c r="B98">
        <f>IFERROR(__xludf.DUMMYFUNCTION("""COMPUTED_VALUE"""),93.0)</f>
        <v>93</v>
      </c>
      <c r="C98">
        <f>IFERROR(__xludf.DUMMYFUNCTION("""COMPUTED_VALUE"""),142.0)</f>
        <v>142</v>
      </c>
      <c r="D98" t="str">
        <f>IFERROR(__xludf.DUMMYFUNCTION("""COMPUTED_VALUE"""),"De'Anthony Melton")</f>
        <v>De'Anthony Melton</v>
      </c>
      <c r="E98">
        <f>IFERROR(__xludf.DUMMYFUNCTION("""COMPUTED_VALUE"""),58.0)</f>
        <v>58</v>
      </c>
      <c r="F98" t="str">
        <f>IFERROR(__xludf.DUMMYFUNCTION("""COMPUTED_VALUE"""),"PG,SG")</f>
        <v>PG,SG</v>
      </c>
      <c r="G98" s="11">
        <f>IFERROR(__xludf.DUMMYFUNCTION("""COMPUTED_VALUE"""),-0.10757370168310865)</f>
        <v>-0.1075737017</v>
      </c>
      <c r="H98" s="11">
        <f>IFERROR(__xludf.DUMMYFUNCTION("""COMPUTED_VALUE"""),-0.10757370168310865)</f>
        <v>-0.1075737017</v>
      </c>
      <c r="I98" s="11">
        <f>IFERROR(__xludf.DUMMYFUNCTION("""COMPUTED_VALUE"""),0.0)</f>
        <v>0</v>
      </c>
      <c r="J98" s="11">
        <f>IFERROR(__xludf.DUMMYFUNCTION("""COMPUTED_VALUE"""),10.1)</f>
        <v>10.1</v>
      </c>
      <c r="K98" s="11">
        <f>IFERROR(__xludf.DUMMYFUNCTION("""COMPUTED_VALUE"""),2.0)</f>
        <v>2</v>
      </c>
      <c r="L98" s="11">
        <f>IFERROR(__xludf.DUMMYFUNCTION("""COMPUTED_VALUE"""),3.8)</f>
        <v>3.8</v>
      </c>
      <c r="M98" s="11">
        <f>IFERROR(__xludf.DUMMYFUNCTION("""COMPUTED_VALUE"""),2.6)</f>
        <v>2.6</v>
      </c>
      <c r="N98" s="11">
        <f>IFERROR(__xludf.DUMMYFUNCTION("""COMPUTED_VALUE"""),1.6)</f>
        <v>1.6</v>
      </c>
      <c r="O98" s="11">
        <f>IFERROR(__xludf.DUMMYFUNCTION("""COMPUTED_VALUE"""),0.5)</f>
        <v>0.5</v>
      </c>
      <c r="P98" s="15">
        <f>IFERROR(__xludf.DUMMYFUNCTION("""COMPUTED_VALUE"""),0.42)</f>
        <v>0.42</v>
      </c>
      <c r="Q98" s="15">
        <f>IFERROR(__xludf.DUMMYFUNCTION("""COMPUTED_VALUE"""),0.819)</f>
        <v>0.819</v>
      </c>
      <c r="R98" s="11">
        <f>IFERROR(__xludf.DUMMYFUNCTION("""COMPUTED_VALUE"""),1.2)</f>
        <v>1.2</v>
      </c>
      <c r="S98" s="11">
        <f>IFERROR(__xludf.DUMMYFUNCTION("""COMPUTED_VALUE"""),-1.330813622777305)</f>
        <v>-1.330813623</v>
      </c>
      <c r="T98" s="11">
        <f>IFERROR(__xludf.DUMMYFUNCTION("""COMPUTED_VALUE"""),0.2497993995559884)</f>
        <v>0.2497993996</v>
      </c>
      <c r="U98" s="11">
        <f>IFERROR(__xludf.DUMMYFUNCTION("""COMPUTED_VALUE"""),-0.8899970031400947)</f>
        <v>-0.8899970031</v>
      </c>
      <c r="V98" s="11">
        <f>IFERROR(__xludf.DUMMYFUNCTION("""COMPUTED_VALUE"""),-0.6085966287512721)</f>
        <v>-0.6085966288</v>
      </c>
      <c r="W98" s="11">
        <f>IFERROR(__xludf.DUMMYFUNCTION("""COMPUTED_VALUE"""),2.0707323365975485)</f>
        <v>2.070732337</v>
      </c>
      <c r="X98" s="11">
        <f>IFERROR(__xludf.DUMMYFUNCTION("""COMPUTED_VALUE"""),-0.4371236407912776)</f>
        <v>-0.4371236408</v>
      </c>
      <c r="Y98" s="11">
        <f>IFERROR(__xludf.DUMMYFUNCTION("""COMPUTED_VALUE"""),-0.7478662018308158)</f>
        <v>-0.7478662018</v>
      </c>
      <c r="Z98" s="11">
        <f>IFERROR(__xludf.DUMMYFUNCTION("""COMPUTED_VALUE"""),0.11941850540523417)</f>
        <v>0.1194185054</v>
      </c>
      <c r="AA98" s="11">
        <f>IFERROR(__xludf.DUMMYFUNCTION("""COMPUTED_VALUE"""),0.13605953127158005)</f>
        <v>0.1360595313</v>
      </c>
      <c r="AB98" t="str">
        <f>IFERROR(__xludf.DUMMYFUNCTION("SUBSTITUTE(REGEXREPLACE(REGEXREPLACE(REGEXREPLACE(REGEXREPLACE(REGEXREPLACE(REGEXREPLACE(F98,"","",),IF(Projections!$T$17="""",""PG"",),),IF(Projections!$U$17="""",""SG"",),),IF(Projections!$V$17="""",""SF"",),),IF(Projections!$W$17="""",""PF"",),),IF(Pro"&amp;"jections!$X$17="""",""C"",),),""/"","""")"),"PGSG")</f>
        <v>PGSG</v>
      </c>
    </row>
    <row r="99">
      <c r="A99" t="str">
        <f>IF(Projections!$AC$17,Draft!K13,"")</f>
        <v/>
      </c>
      <c r="B99">
        <f>IFERROR(__xludf.DUMMYFUNCTION("""COMPUTED_VALUE"""),94.0)</f>
        <v>94</v>
      </c>
      <c r="C99">
        <f>IFERROR(__xludf.DUMMYFUNCTION("""COMPUTED_VALUE"""),94.9)</f>
        <v>94.9</v>
      </c>
      <c r="D99" t="str">
        <f>IFERROR(__xludf.DUMMYFUNCTION("""COMPUTED_VALUE"""),"Collin Sexton")</f>
        <v>Collin Sexton</v>
      </c>
      <c r="E99">
        <f>IFERROR(__xludf.DUMMYFUNCTION("""COMPUTED_VALUE"""),56.0)</f>
        <v>56</v>
      </c>
      <c r="F99" t="str">
        <f>IFERROR(__xludf.DUMMYFUNCTION("""COMPUTED_VALUE"""),"PG,SG")</f>
        <v>PG,SG</v>
      </c>
      <c r="G99" s="11">
        <f>IFERROR(__xludf.DUMMYFUNCTION("""COMPUTED_VALUE"""),-0.11525870456412024)</f>
        <v>-0.1152587046</v>
      </c>
      <c r="H99" s="11">
        <f>IFERROR(__xludf.DUMMYFUNCTION("""COMPUTED_VALUE"""),-0.11525870456412024)</f>
        <v>-0.1152587046</v>
      </c>
      <c r="I99" s="11">
        <f>IFERROR(__xludf.DUMMYFUNCTION("""COMPUTED_VALUE"""),0.0)</f>
        <v>0</v>
      </c>
      <c r="J99" s="11">
        <f>IFERROR(__xludf.DUMMYFUNCTION("""COMPUTED_VALUE"""),20.0)</f>
        <v>20</v>
      </c>
      <c r="K99" s="11">
        <f>IFERROR(__xludf.DUMMYFUNCTION("""COMPUTED_VALUE"""),1.7)</f>
        <v>1.7</v>
      </c>
      <c r="L99" s="11">
        <f>IFERROR(__xludf.DUMMYFUNCTION("""COMPUTED_VALUE"""),2.9)</f>
        <v>2.9</v>
      </c>
      <c r="M99" s="11">
        <f>IFERROR(__xludf.DUMMYFUNCTION("""COMPUTED_VALUE"""),4.9)</f>
        <v>4.9</v>
      </c>
      <c r="N99" s="11">
        <f>IFERROR(__xludf.DUMMYFUNCTION("""COMPUTED_VALUE"""),0.8)</f>
        <v>0.8</v>
      </c>
      <c r="O99" s="11">
        <f>IFERROR(__xludf.DUMMYFUNCTION("""COMPUTED_VALUE"""),0.2)</f>
        <v>0.2</v>
      </c>
      <c r="P99" s="15">
        <f>IFERROR(__xludf.DUMMYFUNCTION("""COMPUTED_VALUE"""),0.487)</f>
        <v>0.487</v>
      </c>
      <c r="Q99" s="15">
        <f>IFERROR(__xludf.DUMMYFUNCTION("""COMPUTED_VALUE"""),0.843)</f>
        <v>0.843</v>
      </c>
      <c r="R99" s="11">
        <f>IFERROR(__xludf.DUMMYFUNCTION("""COMPUTED_VALUE"""),2.4)</f>
        <v>2.4</v>
      </c>
      <c r="S99" s="11">
        <f>IFERROR(__xludf.DUMMYFUNCTION("""COMPUTED_VALUE"""),0.45760177158605236)</f>
        <v>0.4576017716</v>
      </c>
      <c r="T99" s="11">
        <f>IFERROR(__xludf.DUMMYFUNCTION("""COMPUTED_VALUE"""),-0.04877349753863613)</f>
        <v>-0.04877349754</v>
      </c>
      <c r="U99" s="11">
        <f>IFERROR(__xludf.DUMMYFUNCTION("""COMPUTED_VALUE"""),-1.2430343432648439)</f>
        <v>-1.243034343</v>
      </c>
      <c r="V99" s="11">
        <f>IFERROR(__xludf.DUMMYFUNCTION("""COMPUTED_VALUE"""),0.43932409095778585)</f>
        <v>0.439324091</v>
      </c>
      <c r="W99" s="11">
        <f>IFERROR(__xludf.DUMMYFUNCTION("""COMPUTED_VALUE"""),-0.5847290886782864)</f>
        <v>-0.5847290887</v>
      </c>
      <c r="X99" s="11">
        <f>IFERROR(__xludf.DUMMYFUNCTION("""COMPUTED_VALUE"""),-0.9723047469492465)</f>
        <v>-0.9723047469</v>
      </c>
      <c r="Y99" s="11">
        <f>IFERROR(__xludf.DUMMYFUNCTION("""COMPUTED_VALUE"""),-0.1644402660012277)</f>
        <v>-0.164440266</v>
      </c>
      <c r="Z99" s="11">
        <f>IFERROR(__xludf.DUMMYFUNCTION("""COMPUTED_VALUE"""),0.9195820624996979)</f>
        <v>0.9195820625</v>
      </c>
      <c r="AA99" s="11">
        <f>IFERROR(__xludf.DUMMYFUNCTION("""COMPUTED_VALUE"""),-0.1615190304402598)</f>
        <v>-0.1615190304</v>
      </c>
      <c r="AB99" t="str">
        <f>IFERROR(__xludf.DUMMYFUNCTION("SUBSTITUTE(REGEXREPLACE(REGEXREPLACE(REGEXREPLACE(REGEXREPLACE(REGEXREPLACE(REGEXREPLACE(F99,"","",),IF(Projections!$T$17="""",""PG"",),),IF(Projections!$U$17="""",""SG"",),),IF(Projections!$V$17="""",""SF"",),),IF(Projections!$W$17="""",""PF"",),),IF(Pro"&amp;"jections!$X$17="""",""C"",),),""/"","""")"),"PGSG")</f>
        <v>PGSG</v>
      </c>
    </row>
    <row r="100">
      <c r="A100" t="str">
        <f>IF(Projections!$AC$17,Draft!K14,"")</f>
        <v/>
      </c>
      <c r="B100">
        <f>IFERROR(__xludf.DUMMYFUNCTION("""COMPUTED_VALUE"""),95.0)</f>
        <v>95</v>
      </c>
      <c r="C100">
        <f>IFERROR(__xludf.DUMMYFUNCTION("""COMPUTED_VALUE"""),63.0)</f>
        <v>63</v>
      </c>
      <c r="D100" t="str">
        <f>IFERROR(__xludf.DUMMYFUNCTION("""COMPUTED_VALUE"""),"Brandon Miller")</f>
        <v>Brandon Miller</v>
      </c>
      <c r="E100">
        <f>IFERROR(__xludf.DUMMYFUNCTION("""COMPUTED_VALUE"""),59.0)</f>
        <v>59</v>
      </c>
      <c r="F100" t="str">
        <f>IFERROR(__xludf.DUMMYFUNCTION("""COMPUTED_VALUE"""),"SG,SF")</f>
        <v>SG,SF</v>
      </c>
      <c r="G100" s="11">
        <f>IFERROR(__xludf.DUMMYFUNCTION("""COMPUTED_VALUE"""),-0.1919919216656777)</f>
        <v>-0.1919919217</v>
      </c>
      <c r="H100" s="11">
        <f>IFERROR(__xludf.DUMMYFUNCTION("""COMPUTED_VALUE"""),-0.1919919216656777)</f>
        <v>-0.1919919217</v>
      </c>
      <c r="I100" s="11">
        <f>IFERROR(__xludf.DUMMYFUNCTION("""COMPUTED_VALUE"""),0.0)</f>
        <v>0</v>
      </c>
      <c r="J100" s="11">
        <f>IFERROR(__xludf.DUMMYFUNCTION("""COMPUTED_VALUE"""),18.1)</f>
        <v>18.1</v>
      </c>
      <c r="K100" s="11">
        <f>IFERROR(__xludf.DUMMYFUNCTION("""COMPUTED_VALUE"""),2.6)</f>
        <v>2.6</v>
      </c>
      <c r="L100" s="11">
        <f>IFERROR(__xludf.DUMMYFUNCTION("""COMPUTED_VALUE"""),4.4)</f>
        <v>4.4</v>
      </c>
      <c r="M100" s="11">
        <f>IFERROR(__xludf.DUMMYFUNCTION("""COMPUTED_VALUE"""),2.5)</f>
        <v>2.5</v>
      </c>
      <c r="N100" s="11">
        <f>IFERROR(__xludf.DUMMYFUNCTION("""COMPUTED_VALUE"""),1.0)</f>
        <v>1</v>
      </c>
      <c r="O100" s="11">
        <f>IFERROR(__xludf.DUMMYFUNCTION("""COMPUTED_VALUE"""),0.6)</f>
        <v>0.6</v>
      </c>
      <c r="P100" s="15">
        <f>IFERROR(__xludf.DUMMYFUNCTION("""COMPUTED_VALUE"""),0.445)</f>
        <v>0.445</v>
      </c>
      <c r="Q100" s="15">
        <f>IFERROR(__xludf.DUMMYFUNCTION("""COMPUTED_VALUE"""),0.837)</f>
        <v>0.837</v>
      </c>
      <c r="R100" s="11">
        <f>IFERROR(__xludf.DUMMYFUNCTION("""COMPUTED_VALUE"""),1.9)</f>
        <v>1.9</v>
      </c>
      <c r="S100" s="11">
        <f>IFERROR(__xludf.DUMMYFUNCTION("""COMPUTED_VALUE"""),0.11437053428399414)</f>
        <v>0.1143705343</v>
      </c>
      <c r="T100" s="11">
        <f>IFERROR(__xludf.DUMMYFUNCTION("""COMPUTED_VALUE"""),0.8469451937452375)</f>
        <v>0.8469451937</v>
      </c>
      <c r="U100" s="11">
        <f>IFERROR(__xludf.DUMMYFUNCTION("""COMPUTED_VALUE"""),-0.6546387763902618)</f>
        <v>-0.6546387764</v>
      </c>
      <c r="V100" s="11">
        <f>IFERROR(__xludf.DUMMYFUNCTION("""COMPUTED_VALUE"""),-0.6541583991734051)</f>
        <v>-0.6541583992</v>
      </c>
      <c r="W100" s="11">
        <f>IFERROR(__xludf.DUMMYFUNCTION("""COMPUTED_VALUE"""),0.07913626764067216)</f>
        <v>0.07913626764</v>
      </c>
      <c r="X100" s="11">
        <f>IFERROR(__xludf.DUMMYFUNCTION("""COMPUTED_VALUE"""),-0.25872993873862127)</f>
        <v>-0.2587299387</v>
      </c>
      <c r="Y100" s="11">
        <f>IFERROR(__xludf.DUMMYFUNCTION("""COMPUTED_VALUE"""),-0.9181455160947355)</f>
        <v>-0.9181455161</v>
      </c>
      <c r="Z100" s="11">
        <f>IFERROR(__xludf.DUMMYFUNCTION("""COMPUTED_VALUE"""),0.3726111600270333)</f>
        <v>0.37261116</v>
      </c>
      <c r="AA100" s="11">
        <f>IFERROR(__xludf.DUMMYFUNCTION("""COMPUTED_VALUE"""),-0.037527963060326526)</f>
        <v>-0.03752796306</v>
      </c>
      <c r="AB100" t="str">
        <f>IFERROR(__xludf.DUMMYFUNCTION("SUBSTITUTE(REGEXREPLACE(REGEXREPLACE(REGEXREPLACE(REGEXREPLACE(REGEXREPLACE(REGEXREPLACE(F100,"","",),IF(Projections!$T$17="""",""PG"",),),IF(Projections!$U$17="""",""SG"",),),IF(Projections!$V$17="""",""SF"",),),IF(Projections!$W$17="""",""PF"",),),IF(Pr"&amp;"ojections!$X$17="""",""C"",),),""/"","""")"),"SGSF")</f>
        <v>SGSF</v>
      </c>
    </row>
    <row r="101">
      <c r="A101" t="str">
        <f>IF(Projections!$AC$17,Draft!L3,"")</f>
        <v/>
      </c>
      <c r="B101">
        <f>IFERROR(__xludf.DUMMYFUNCTION("""COMPUTED_VALUE"""),96.0)</f>
        <v>96</v>
      </c>
      <c r="C101">
        <f>IFERROR(__xludf.DUMMYFUNCTION("""COMPUTED_VALUE"""),87.2)</f>
        <v>87.2</v>
      </c>
      <c r="D101" t="str">
        <f>IFERROR(__xludf.DUMMYFUNCTION("""COMPUTED_VALUE"""),"Austin Reaves")</f>
        <v>Austin Reaves</v>
      </c>
      <c r="E101">
        <f>IFERROR(__xludf.DUMMYFUNCTION("""COMPUTED_VALUE"""),71.0)</f>
        <v>71</v>
      </c>
      <c r="F101" t="str">
        <f>IFERROR(__xludf.DUMMYFUNCTION("""COMPUTED_VALUE"""),"PG,SG")</f>
        <v>PG,SG</v>
      </c>
      <c r="G101" s="11">
        <f>IFERROR(__xludf.DUMMYFUNCTION("""COMPUTED_VALUE"""),-0.28313217534611734)</f>
        <v>-0.2831321753</v>
      </c>
      <c r="H101" s="11">
        <f>IFERROR(__xludf.DUMMYFUNCTION("""COMPUTED_VALUE"""),-0.28313217534611734)</f>
        <v>-0.2831321753</v>
      </c>
      <c r="I101" s="11">
        <f>IFERROR(__xludf.DUMMYFUNCTION("""COMPUTED_VALUE"""),0.0)</f>
        <v>0</v>
      </c>
      <c r="J101" s="11">
        <f>IFERROR(__xludf.DUMMYFUNCTION("""COMPUTED_VALUE"""),15.7)</f>
        <v>15.7</v>
      </c>
      <c r="K101" s="11">
        <f>IFERROR(__xludf.DUMMYFUNCTION("""COMPUTED_VALUE"""),2.0)</f>
        <v>2</v>
      </c>
      <c r="L101" s="11">
        <f>IFERROR(__xludf.DUMMYFUNCTION("""COMPUTED_VALUE"""),4.0)</f>
        <v>4</v>
      </c>
      <c r="M101" s="11">
        <f>IFERROR(__xludf.DUMMYFUNCTION("""COMPUTED_VALUE"""),5.1)</f>
        <v>5.1</v>
      </c>
      <c r="N101" s="11">
        <f>IFERROR(__xludf.DUMMYFUNCTION("""COMPUTED_VALUE"""),0.8)</f>
        <v>0.8</v>
      </c>
      <c r="O101" s="11">
        <f>IFERROR(__xludf.DUMMYFUNCTION("""COMPUTED_VALUE"""),0.3)</f>
        <v>0.3</v>
      </c>
      <c r="P101" s="15">
        <f>IFERROR(__xludf.DUMMYFUNCTION("""COMPUTED_VALUE"""),0.482)</f>
        <v>0.482</v>
      </c>
      <c r="Q101" s="15">
        <f>IFERROR(__xludf.DUMMYFUNCTION("""COMPUTED_VALUE"""),0.859)</f>
        <v>0.859</v>
      </c>
      <c r="R101" s="11">
        <f>IFERROR(__xludf.DUMMYFUNCTION("""COMPUTED_VALUE"""),2.0)</f>
        <v>2</v>
      </c>
      <c r="S101" s="11">
        <f>IFERROR(__xludf.DUMMYFUNCTION("""COMPUTED_VALUE"""),-0.3191847128343959)</f>
        <v>-0.3191847128</v>
      </c>
      <c r="T101" s="11">
        <f>IFERROR(__xludf.DUMMYFUNCTION("""COMPUTED_VALUE"""),0.2497993995559884)</f>
        <v>0.2497993996</v>
      </c>
      <c r="U101" s="11">
        <f>IFERROR(__xludf.DUMMYFUNCTION("""COMPUTED_VALUE"""),-0.8115442608901504)</f>
        <v>-0.8115442609</v>
      </c>
      <c r="V101" s="11">
        <f>IFERROR(__xludf.DUMMYFUNCTION("""COMPUTED_VALUE"""),0.5304476318020513)</f>
        <v>0.5304476318</v>
      </c>
      <c r="W101" s="11">
        <f>IFERROR(__xludf.DUMMYFUNCTION("""COMPUTED_VALUE"""),-0.5847290886782864)</f>
        <v>-0.5847290887</v>
      </c>
      <c r="X101" s="11">
        <f>IFERROR(__xludf.DUMMYFUNCTION("""COMPUTED_VALUE"""),-0.7939110448965904)</f>
        <v>-0.7939110449</v>
      </c>
      <c r="Y101" s="11">
        <f>IFERROR(__xludf.DUMMYFUNCTION("""COMPUTED_VALUE"""),-0.18835529392494169)</f>
        <v>-0.1883552939</v>
      </c>
      <c r="Z101" s="11">
        <f>IFERROR(__xludf.DUMMYFUNCTION("""COMPUTED_VALUE"""),0.8851271101663706)</f>
        <v>0.8851271102</v>
      </c>
      <c r="AA101" s="11">
        <f>IFERROR(__xludf.DUMMYFUNCTION("""COMPUTED_VALUE"""),-0.062326176536313206)</f>
        <v>-0.06232617654</v>
      </c>
      <c r="AB101" t="str">
        <f>IFERROR(__xludf.DUMMYFUNCTION("SUBSTITUTE(REGEXREPLACE(REGEXREPLACE(REGEXREPLACE(REGEXREPLACE(REGEXREPLACE(REGEXREPLACE(F101,"","",),IF(Projections!$T$17="""",""PG"",),),IF(Projections!$U$17="""",""SG"",),),IF(Projections!$V$17="""",""SF"",),),IF(Projections!$W$17="""",""PF"",),),IF(Pr"&amp;"ojections!$X$17="""",""C"",),),""/"","""")"),"PGSG")</f>
        <v>PGSG</v>
      </c>
    </row>
    <row r="102">
      <c r="A102" t="str">
        <f>IF(Projections!$AC$17,Draft!L4,"")</f>
        <v/>
      </c>
      <c r="B102">
        <f>IFERROR(__xludf.DUMMYFUNCTION("""COMPUTED_VALUE"""),97.0)</f>
        <v>97</v>
      </c>
      <c r="C102">
        <f>IFERROR(__xludf.DUMMYFUNCTION("""COMPUTED_VALUE"""),108.3)</f>
        <v>108.3</v>
      </c>
      <c r="D102" t="str">
        <f>IFERROR(__xludf.DUMMYFUNCTION("""COMPUTED_VALUE"""),"Dereck Lively II")</f>
        <v>Dereck Lively II</v>
      </c>
      <c r="E102">
        <f>IFERROR(__xludf.DUMMYFUNCTION("""COMPUTED_VALUE"""),71.0)</f>
        <v>71</v>
      </c>
      <c r="F102" t="str">
        <f>IFERROR(__xludf.DUMMYFUNCTION("""COMPUTED_VALUE"""),"C")</f>
        <v>C</v>
      </c>
      <c r="G102" s="11">
        <f>IFERROR(__xludf.DUMMYFUNCTION("""COMPUTED_VALUE"""),-0.28858464769727754)</f>
        <v>-0.2885846477</v>
      </c>
      <c r="H102" s="11">
        <f>IFERROR(__xludf.DUMMYFUNCTION("""COMPUTED_VALUE"""),-0.28858464769727754)</f>
        <v>-0.2885846477</v>
      </c>
      <c r="I102" s="11">
        <f>IFERROR(__xludf.DUMMYFUNCTION("""COMPUTED_VALUE"""),0.0)</f>
        <v>0</v>
      </c>
      <c r="J102" s="11">
        <f>IFERROR(__xludf.DUMMYFUNCTION("""COMPUTED_VALUE"""),10.1)</f>
        <v>10.1</v>
      </c>
      <c r="K102" s="11">
        <f>IFERROR(__xludf.DUMMYFUNCTION("""COMPUTED_VALUE"""),0.0)</f>
        <v>0</v>
      </c>
      <c r="L102" s="11">
        <f>IFERROR(__xludf.DUMMYFUNCTION("""COMPUTED_VALUE"""),7.9)</f>
        <v>7.9</v>
      </c>
      <c r="M102" s="11">
        <f>IFERROR(__xludf.DUMMYFUNCTION("""COMPUTED_VALUE"""),1.5)</f>
        <v>1.5</v>
      </c>
      <c r="N102" s="11">
        <f>IFERROR(__xludf.DUMMYFUNCTION("""COMPUTED_VALUE"""),0.8)</f>
        <v>0.8</v>
      </c>
      <c r="O102" s="11">
        <f>IFERROR(__xludf.DUMMYFUNCTION("""COMPUTED_VALUE"""),1.6)</f>
        <v>1.6</v>
      </c>
      <c r="P102" s="15">
        <f>IFERROR(__xludf.DUMMYFUNCTION("""COMPUTED_VALUE"""),0.738)</f>
        <v>0.738</v>
      </c>
      <c r="Q102" s="15">
        <f>IFERROR(__xludf.DUMMYFUNCTION("""COMPUTED_VALUE"""),0.535)</f>
        <v>0.535</v>
      </c>
      <c r="R102" s="11">
        <f>IFERROR(__xludf.DUMMYFUNCTION("""COMPUTED_VALUE"""),1.0)</f>
        <v>1</v>
      </c>
      <c r="S102" s="11">
        <f>IFERROR(__xludf.DUMMYFUNCTION("""COMPUTED_VALUE"""),-1.330813622777305)</f>
        <v>-1.330813623</v>
      </c>
      <c r="T102" s="11">
        <f>IFERROR(__xludf.DUMMYFUNCTION("""COMPUTED_VALUE"""),-1.7406865810748415)</f>
        <v>-1.740686581</v>
      </c>
      <c r="U102" s="11">
        <f>IFERROR(__xludf.DUMMYFUNCTION("""COMPUTED_VALUE"""),0.7182842129837627)</f>
        <v>0.718284213</v>
      </c>
      <c r="V102" s="11">
        <f>IFERROR(__xludf.DUMMYFUNCTION("""COMPUTED_VALUE"""),-1.1097761033947346)</f>
        <v>-1.109776103</v>
      </c>
      <c r="W102" s="11">
        <f>IFERROR(__xludf.DUMMYFUNCTION("""COMPUTED_VALUE"""),-0.5847290886782864)</f>
        <v>-0.5847290887</v>
      </c>
      <c r="X102" s="11">
        <f>IFERROR(__xludf.DUMMYFUNCTION("""COMPUTED_VALUE"""),1.5252070817879424)</f>
        <v>1.525207082</v>
      </c>
      <c r="Y102" s="11">
        <f>IFERROR(__xludf.DUMMYFUNCTION("""COMPUTED_VALUE"""),1.780329152781195)</f>
        <v>1.780329153</v>
      </c>
      <c r="Z102" s="11">
        <f>IFERROR(__xludf.DUMMYFUNCTION("""COMPUTED_VALUE"""),-1.472742238623405)</f>
        <v>-1.472742239</v>
      </c>
      <c r="AA102" s="11">
        <f>IFERROR(__xludf.DUMMYFUNCTION("""COMPUTED_VALUE"""),0.18565595822355335)</f>
        <v>0.1856559582</v>
      </c>
      <c r="AB102" t="str">
        <f>IFERROR(__xludf.DUMMYFUNCTION("SUBSTITUTE(REGEXREPLACE(REGEXREPLACE(REGEXREPLACE(REGEXREPLACE(REGEXREPLACE(REGEXREPLACE(F102,"","",),IF(Projections!$T$17="""",""PG"",),),IF(Projections!$U$17="""",""SG"",),),IF(Projections!$V$17="""",""SF"",),),IF(Projections!$W$17="""",""PF"",),),IF(Pr"&amp;"ojections!$X$17="""",""C"",),),""/"","""")"),"C")</f>
        <v>C</v>
      </c>
    </row>
    <row r="103">
      <c r="A103" t="str">
        <f>IF(Projections!$AC$17,Draft!L5,"")</f>
        <v/>
      </c>
      <c r="B103">
        <f>IFERROR(__xludf.DUMMYFUNCTION("""COMPUTED_VALUE"""),98.0)</f>
        <v>98</v>
      </c>
      <c r="C103">
        <f>IFERROR(__xludf.DUMMYFUNCTION("""COMPUTED_VALUE"""),88.2)</f>
        <v>88.2</v>
      </c>
      <c r="D103" t="str">
        <f>IFERROR(__xludf.DUMMYFUNCTION("""COMPUTED_VALUE"""),"Jonas Valanciunas")</f>
        <v>Jonas Valanciunas</v>
      </c>
      <c r="E103">
        <f>IFERROR(__xludf.DUMMYFUNCTION("""COMPUTED_VALUE"""),71.0)</f>
        <v>71</v>
      </c>
      <c r="F103" t="str">
        <f>IFERROR(__xludf.DUMMYFUNCTION("""COMPUTED_VALUE"""),"C")</f>
        <v>C</v>
      </c>
      <c r="G103" s="11">
        <f>IFERROR(__xludf.DUMMYFUNCTION("""COMPUTED_VALUE"""),-0.29034592242517765)</f>
        <v>-0.2903459224</v>
      </c>
      <c r="H103" s="11">
        <f>IFERROR(__xludf.DUMMYFUNCTION("""COMPUTED_VALUE"""),-0.29034592242517765)</f>
        <v>-0.2903459224</v>
      </c>
      <c r="I103" s="11">
        <f>IFERROR(__xludf.DUMMYFUNCTION("""COMPUTED_VALUE"""),0.0)</f>
        <v>0</v>
      </c>
      <c r="J103" s="11">
        <f>IFERROR(__xludf.DUMMYFUNCTION("""COMPUTED_VALUE"""),14.2)</f>
        <v>14.2</v>
      </c>
      <c r="K103" s="11">
        <f>IFERROR(__xludf.DUMMYFUNCTION("""COMPUTED_VALUE"""),0.5)</f>
        <v>0.5</v>
      </c>
      <c r="L103" s="11">
        <f>IFERROR(__xludf.DUMMYFUNCTION("""COMPUTED_VALUE"""),10.3)</f>
        <v>10.3</v>
      </c>
      <c r="M103" s="11">
        <f>IFERROR(__xludf.DUMMYFUNCTION("""COMPUTED_VALUE"""),2.1)</f>
        <v>2.1</v>
      </c>
      <c r="N103" s="11">
        <f>IFERROR(__xludf.DUMMYFUNCTION("""COMPUTED_VALUE"""),0.4)</f>
        <v>0.4</v>
      </c>
      <c r="O103" s="11">
        <f>IFERROR(__xludf.DUMMYFUNCTION("""COMPUTED_VALUE"""),0.8)</f>
        <v>0.8</v>
      </c>
      <c r="P103" s="15">
        <f>IFERROR(__xludf.DUMMYFUNCTION("""COMPUTED_VALUE"""),0.548)</f>
        <v>0.548</v>
      </c>
      <c r="Q103" s="15">
        <f>IFERROR(__xludf.DUMMYFUNCTION("""COMPUTED_VALUE"""),0.796)</f>
        <v>0.796</v>
      </c>
      <c r="R103" s="11">
        <f>IFERROR(__xludf.DUMMYFUNCTION("""COMPUTED_VALUE"""),1.8)</f>
        <v>1.8</v>
      </c>
      <c r="S103" s="11">
        <f>IFERROR(__xludf.DUMMYFUNCTION("""COMPUTED_VALUE"""),-0.5901567422833894)</f>
        <v>-0.5901567423</v>
      </c>
      <c r="T103" s="11">
        <f>IFERROR(__xludf.DUMMYFUNCTION("""COMPUTED_VALUE"""),-1.2430650859171342)</f>
        <v>-1.243065086</v>
      </c>
      <c r="U103" s="11">
        <f>IFERROR(__xludf.DUMMYFUNCTION("""COMPUTED_VALUE"""),1.6597171199830938)</f>
        <v>1.65971712</v>
      </c>
      <c r="V103" s="11">
        <f>IFERROR(__xludf.DUMMYFUNCTION("""COMPUTED_VALUE"""),-0.8364054808619368)</f>
        <v>-0.8364054809</v>
      </c>
      <c r="W103" s="11">
        <f>IFERROR(__xludf.DUMMYFUNCTION("""COMPUTED_VALUE"""),-1.912459801316204)</f>
        <v>-1.912459801</v>
      </c>
      <c r="X103" s="11">
        <f>IFERROR(__xludf.DUMMYFUNCTION("""COMPUTED_VALUE"""),0.09805746536669153)</f>
        <v>0.09805746537</v>
      </c>
      <c r="Y103" s="11">
        <f>IFERROR(__xludf.DUMMYFUNCTION("""COMPUTED_VALUE"""),0.6230822555007011)</f>
        <v>0.6230822555</v>
      </c>
      <c r="Z103" s="11">
        <f>IFERROR(__xludf.DUMMYFUNCTION("""COMPUTED_VALUE"""),0.011154295371135875)</f>
        <v>0.01115429537</v>
      </c>
      <c r="AA103" s="11">
        <f>IFERROR(__xludf.DUMMYFUNCTION("""COMPUTED_VALUE"""),-0.012729749584339901)</f>
        <v>-0.01272974958</v>
      </c>
      <c r="AB103" t="str">
        <f>IFERROR(__xludf.DUMMYFUNCTION("SUBSTITUTE(REGEXREPLACE(REGEXREPLACE(REGEXREPLACE(REGEXREPLACE(REGEXREPLACE(REGEXREPLACE(F103,"","",),IF(Projections!$T$17="""",""PG"",),),IF(Projections!$U$17="""",""SG"",),),IF(Projections!$V$17="""",""SF"",),),IF(Projections!$W$17="""",""PF"",),),IF(Pr"&amp;"ojections!$X$17="""",""C"",),),""/"","""")"),"C")</f>
        <v>C</v>
      </c>
    </row>
    <row r="104">
      <c r="A104" t="str">
        <f>IF(Projections!$AC$17,Draft!L6,"")</f>
        <v/>
      </c>
      <c r="B104">
        <f>IFERROR(__xludf.DUMMYFUNCTION("""COMPUTED_VALUE"""),99.0)</f>
        <v>99</v>
      </c>
      <c r="C104">
        <f>IFERROR(__xludf.DUMMYFUNCTION("""COMPUTED_VALUE"""),67.4)</f>
        <v>67.4</v>
      </c>
      <c r="D104" t="str">
        <f>IFERROR(__xludf.DUMMYFUNCTION("""COMPUTED_VALUE"""),"Josh Giddey")</f>
        <v>Josh Giddey</v>
      </c>
      <c r="E104">
        <f>IFERROR(__xludf.DUMMYFUNCTION("""COMPUTED_VALUE"""),71.0)</f>
        <v>71</v>
      </c>
      <c r="F104" t="str">
        <f>IFERROR(__xludf.DUMMYFUNCTION("""COMPUTED_VALUE"""),"SG,SF")</f>
        <v>SG,SF</v>
      </c>
      <c r="G104" s="11">
        <f>IFERROR(__xludf.DUMMYFUNCTION("""COMPUTED_VALUE"""),-0.2913788593821486)</f>
        <v>-0.2913788594</v>
      </c>
      <c r="H104" s="11">
        <f>IFERROR(__xludf.DUMMYFUNCTION("""COMPUTED_VALUE"""),-0.2913788593821486)</f>
        <v>-0.2913788594</v>
      </c>
      <c r="I104" s="11">
        <f>IFERROR(__xludf.DUMMYFUNCTION("""COMPUTED_VALUE"""),0.0)</f>
        <v>0</v>
      </c>
      <c r="J104" s="11">
        <f>IFERROR(__xludf.DUMMYFUNCTION("""COMPUTED_VALUE"""),16.1)</f>
        <v>16.1</v>
      </c>
      <c r="K104" s="11">
        <f>IFERROR(__xludf.DUMMYFUNCTION("""COMPUTED_VALUE"""),1.1)</f>
        <v>1.1</v>
      </c>
      <c r="L104" s="11">
        <f>IFERROR(__xludf.DUMMYFUNCTION("""COMPUTED_VALUE"""),7.4)</f>
        <v>7.4</v>
      </c>
      <c r="M104" s="11">
        <f>IFERROR(__xludf.DUMMYFUNCTION("""COMPUTED_VALUE"""),6.1)</f>
        <v>6.1</v>
      </c>
      <c r="N104" s="11">
        <f>IFERROR(__xludf.DUMMYFUNCTION("""COMPUTED_VALUE"""),0.8)</f>
        <v>0.8</v>
      </c>
      <c r="O104" s="11">
        <f>IFERROR(__xludf.DUMMYFUNCTION("""COMPUTED_VALUE"""),0.5)</f>
        <v>0.5</v>
      </c>
      <c r="P104" s="15">
        <f>IFERROR(__xludf.DUMMYFUNCTION("""COMPUTED_VALUE"""),0.479)</f>
        <v>0.479</v>
      </c>
      <c r="Q104" s="15">
        <f>IFERROR(__xludf.DUMMYFUNCTION("""COMPUTED_VALUE"""),0.795)</f>
        <v>0.795</v>
      </c>
      <c r="R104" s="11">
        <f>IFERROR(__xludf.DUMMYFUNCTION("""COMPUTED_VALUE"""),2.7)</f>
        <v>2.7</v>
      </c>
      <c r="S104" s="11">
        <f>IFERROR(__xludf.DUMMYFUNCTION("""COMPUTED_VALUE"""),-0.24692550498133056)</f>
        <v>-0.246925505</v>
      </c>
      <c r="T104" s="11">
        <f>IFERROR(__xludf.DUMMYFUNCTION("""COMPUTED_VALUE"""),-0.645919291727885)</f>
        <v>-0.6459192917</v>
      </c>
      <c r="U104" s="11">
        <f>IFERROR(__xludf.DUMMYFUNCTION("""COMPUTED_VALUE"""),0.522152357358902)</f>
        <v>0.5221523574</v>
      </c>
      <c r="V104" s="11">
        <f>IFERROR(__xludf.DUMMYFUNCTION("""COMPUTED_VALUE"""),0.9860653360233809)</f>
        <v>0.986065336</v>
      </c>
      <c r="W104" s="11">
        <f>IFERROR(__xludf.DUMMYFUNCTION("""COMPUTED_VALUE"""),-0.5847290886782864)</f>
        <v>-0.5847290887</v>
      </c>
      <c r="X104" s="11">
        <f>IFERROR(__xludf.DUMMYFUNCTION("""COMPUTED_VALUE"""),-0.4371236407912776)</f>
        <v>-0.4371236408</v>
      </c>
      <c r="Y104" s="11">
        <f>IFERROR(__xludf.DUMMYFUNCTION("""COMPUTED_VALUE"""),-0.29548393906783216)</f>
        <v>-0.2954839391</v>
      </c>
      <c r="Z104" s="11">
        <f>IFERROR(__xludf.DUMMYFUNCTION("""COMPUTED_VALUE"""),5.79291622515216E-4)</f>
        <v>0.0005792916225</v>
      </c>
      <c r="AA104" s="11">
        <f>IFERROR(__xludf.DUMMYFUNCTION("""COMPUTED_VALUE"""),-0.23591367086821985)</f>
        <v>-0.2359136709</v>
      </c>
      <c r="AB104" t="str">
        <f>IFERROR(__xludf.DUMMYFUNCTION("SUBSTITUTE(REGEXREPLACE(REGEXREPLACE(REGEXREPLACE(REGEXREPLACE(REGEXREPLACE(REGEXREPLACE(F104,"","",),IF(Projections!$T$17="""",""PG"",),),IF(Projections!$U$17="""",""SG"",),),IF(Projections!$V$17="""",""SF"",),),IF(Projections!$W$17="""",""PF"",),),IF(Pr"&amp;"ojections!$X$17="""",""C"",),),""/"","""")"),"SGSF")</f>
        <v>SGSF</v>
      </c>
    </row>
    <row r="105">
      <c r="A105" t="str">
        <f>IF(Projections!$AC$17,Draft!L7,"")</f>
        <v/>
      </c>
      <c r="B105">
        <f>IFERROR(__xludf.DUMMYFUNCTION("""COMPUTED_VALUE"""),100.0)</f>
        <v>100</v>
      </c>
      <c r="C105">
        <f>IFERROR(__xludf.DUMMYFUNCTION("""COMPUTED_VALUE"""),92.2)</f>
        <v>92.2</v>
      </c>
      <c r="D105" t="str">
        <f>IFERROR(__xludf.DUMMYFUNCTION("""COMPUTED_VALUE"""),"Jalen Green")</f>
        <v>Jalen Green</v>
      </c>
      <c r="E105">
        <f>IFERROR(__xludf.DUMMYFUNCTION("""COMPUTED_VALUE"""),66.0)</f>
        <v>66</v>
      </c>
      <c r="F105" t="str">
        <f>IFERROR(__xludf.DUMMYFUNCTION("""COMPUTED_VALUE"""),"PG,SG")</f>
        <v>PG,SG</v>
      </c>
      <c r="G105" s="11">
        <f>IFERROR(__xludf.DUMMYFUNCTION("""COMPUTED_VALUE"""),-0.3643186267444549)</f>
        <v>-0.3643186267</v>
      </c>
      <c r="H105" s="11">
        <f>IFERROR(__xludf.DUMMYFUNCTION("""COMPUTED_VALUE"""),-0.3643186267444549)</f>
        <v>-0.3643186267</v>
      </c>
      <c r="I105" s="11">
        <f>IFERROR(__xludf.DUMMYFUNCTION("""COMPUTED_VALUE"""),0.0)</f>
        <v>0</v>
      </c>
      <c r="J105" s="11">
        <f>IFERROR(__xludf.DUMMYFUNCTION("""COMPUTED_VALUE"""),20.5)</f>
        <v>20.5</v>
      </c>
      <c r="K105" s="11">
        <f>IFERROR(__xludf.DUMMYFUNCTION("""COMPUTED_VALUE"""),2.4)</f>
        <v>2.4</v>
      </c>
      <c r="L105" s="11">
        <f>IFERROR(__xludf.DUMMYFUNCTION("""COMPUTED_VALUE"""),4.9)</f>
        <v>4.9</v>
      </c>
      <c r="M105" s="11">
        <f>IFERROR(__xludf.DUMMYFUNCTION("""COMPUTED_VALUE"""),3.7)</f>
        <v>3.7</v>
      </c>
      <c r="N105" s="11">
        <f>IFERROR(__xludf.DUMMYFUNCTION("""COMPUTED_VALUE"""),0.9)</f>
        <v>0.9</v>
      </c>
      <c r="O105" s="11">
        <f>IFERROR(__xludf.DUMMYFUNCTION("""COMPUTED_VALUE"""),0.3)</f>
        <v>0.3</v>
      </c>
      <c r="P105" s="15">
        <f>IFERROR(__xludf.DUMMYFUNCTION("""COMPUTED_VALUE"""),0.429)</f>
        <v>0.429</v>
      </c>
      <c r="Q105" s="15">
        <f>IFERROR(__xludf.DUMMYFUNCTION("""COMPUTED_VALUE"""),0.807)</f>
        <v>0.807</v>
      </c>
      <c r="R105" s="11">
        <f>IFERROR(__xludf.DUMMYFUNCTION("""COMPUTED_VALUE"""),2.4)</f>
        <v>2.4</v>
      </c>
      <c r="S105" s="11">
        <f>IFERROR(__xludf.DUMMYFUNCTION("""COMPUTED_VALUE"""),0.5479257814023836)</f>
        <v>0.5479257814</v>
      </c>
      <c r="T105" s="11">
        <f>IFERROR(__xludf.DUMMYFUNCTION("""COMPUTED_VALUE"""),0.6478965956821543)</f>
        <v>0.6478965957</v>
      </c>
      <c r="U105" s="11">
        <f>IFERROR(__xludf.DUMMYFUNCTION("""COMPUTED_VALUE"""),-0.4585069207654011)</f>
        <v>-0.4585069208</v>
      </c>
      <c r="V105" s="11">
        <f>IFERROR(__xludf.DUMMYFUNCTION("""COMPUTED_VALUE"""),-0.10741715410780962)</f>
        <v>-0.1074171541</v>
      </c>
      <c r="W105" s="11">
        <f>IFERROR(__xludf.DUMMYFUNCTION("""COMPUTED_VALUE"""),-0.25279641051880714)</f>
        <v>-0.2527964105</v>
      </c>
      <c r="X105" s="11">
        <f>IFERROR(__xludf.DUMMYFUNCTION("""COMPUTED_VALUE"""),-0.7939110448965904)</f>
        <v>-0.7939110449</v>
      </c>
      <c r="Y105" s="11">
        <f>IFERROR(__xludf.DUMMYFUNCTION("""COMPUTED_VALUE"""),-1.3047241964093097)</f>
        <v>-1.304724196</v>
      </c>
      <c r="Z105" s="11">
        <f>IFERROR(__xludf.DUMMYFUNCTION("""COMPUTED_VALUE"""),0.2140095568998753)</f>
        <v>0.2140095569</v>
      </c>
      <c r="AA105" s="11">
        <f>IFERROR(__xludf.DUMMYFUNCTION("""COMPUTED_VALUE"""),-0.1615190304402598)</f>
        <v>-0.1615190304</v>
      </c>
      <c r="AB105" t="str">
        <f>IFERROR(__xludf.DUMMYFUNCTION("SUBSTITUTE(REGEXREPLACE(REGEXREPLACE(REGEXREPLACE(REGEXREPLACE(REGEXREPLACE(REGEXREPLACE(F105,"","",),IF(Projections!$T$17="""",""PG"",),),IF(Projections!$U$17="""",""SG"",),),IF(Projections!$V$17="""",""SF"",),),IF(Projections!$W$17="""",""PF"",),),IF(Pr"&amp;"ojections!$X$17="""",""C"",),),""/"","""")"),"PGSG")</f>
        <v>PGSG</v>
      </c>
    </row>
    <row r="106">
      <c r="A106" t="str">
        <f>IF(Projections!$AC$17,Draft!L8,"")</f>
        <v/>
      </c>
      <c r="B106">
        <f>IFERROR(__xludf.DUMMYFUNCTION("""COMPUTED_VALUE"""),101.0)</f>
        <v>101</v>
      </c>
      <c r="C106">
        <f>IFERROR(__xludf.DUMMYFUNCTION("""COMPUTED_VALUE"""),69.9)</f>
        <v>69.9</v>
      </c>
      <c r="D106" t="str">
        <f>IFERROR(__xludf.DUMMYFUNCTION("""COMPUTED_VALUE"""),"Brandon Ingram")</f>
        <v>Brandon Ingram</v>
      </c>
      <c r="E106">
        <f>IFERROR(__xludf.DUMMYFUNCTION("""COMPUTED_VALUE"""),66.0)</f>
        <v>66</v>
      </c>
      <c r="F106" t="str">
        <f>IFERROR(__xludf.DUMMYFUNCTION("""COMPUTED_VALUE"""),"SG,SF,PF")</f>
        <v>SG,SF,PF</v>
      </c>
      <c r="G106" s="11">
        <f>IFERROR(__xludf.DUMMYFUNCTION("""COMPUTED_VALUE"""),-0.3648775981758804)</f>
        <v>-0.3648775982</v>
      </c>
      <c r="H106" s="11">
        <f>IFERROR(__xludf.DUMMYFUNCTION("""COMPUTED_VALUE"""),-0.3648775981758804)</f>
        <v>-0.3648775982</v>
      </c>
      <c r="I106" s="11">
        <f>IFERROR(__xludf.DUMMYFUNCTION("""COMPUTED_VALUE"""),0.0)</f>
        <v>0</v>
      </c>
      <c r="J106" s="11">
        <f>IFERROR(__xludf.DUMMYFUNCTION("""COMPUTED_VALUE"""),20.1)</f>
        <v>20.1</v>
      </c>
      <c r="K106" s="11">
        <f>IFERROR(__xludf.DUMMYFUNCTION("""COMPUTED_VALUE"""),1.3)</f>
        <v>1.3</v>
      </c>
      <c r="L106" s="11">
        <f>IFERROR(__xludf.DUMMYFUNCTION("""COMPUTED_VALUE"""),4.8)</f>
        <v>4.8</v>
      </c>
      <c r="M106" s="11">
        <f>IFERROR(__xludf.DUMMYFUNCTION("""COMPUTED_VALUE"""),4.6)</f>
        <v>4.6</v>
      </c>
      <c r="N106" s="11">
        <f>IFERROR(__xludf.DUMMYFUNCTION("""COMPUTED_VALUE"""),0.8)</f>
        <v>0.8</v>
      </c>
      <c r="O106" s="11">
        <f>IFERROR(__xludf.DUMMYFUNCTION("""COMPUTED_VALUE"""),0.6)</f>
        <v>0.6</v>
      </c>
      <c r="P106" s="15">
        <f>IFERROR(__xludf.DUMMYFUNCTION("""COMPUTED_VALUE"""),0.492)</f>
        <v>0.492</v>
      </c>
      <c r="Q106" s="15">
        <f>IFERROR(__xludf.DUMMYFUNCTION("""COMPUTED_VALUE"""),0.812)</f>
        <v>0.812</v>
      </c>
      <c r="R106" s="11">
        <f>IFERROR(__xludf.DUMMYFUNCTION("""COMPUTED_VALUE"""),2.3)</f>
        <v>2.3</v>
      </c>
      <c r="S106" s="11">
        <f>IFERROR(__xludf.DUMMYFUNCTION("""COMPUTED_VALUE"""),0.47566657354931885)</f>
        <v>0.4756665735</v>
      </c>
      <c r="T106" s="11">
        <f>IFERROR(__xludf.DUMMYFUNCTION("""COMPUTED_VALUE"""),-0.44687069366480203)</f>
        <v>-0.4468706937</v>
      </c>
      <c r="U106" s="11">
        <f>IFERROR(__xludf.DUMMYFUNCTION("""COMPUTED_VALUE"""),-0.49773329189037346)</f>
        <v>-0.4977332919</v>
      </c>
      <c r="V106" s="11">
        <f>IFERROR(__xludf.DUMMYFUNCTION("""COMPUTED_VALUE"""),0.30263877969138664)</f>
        <v>0.3026387797</v>
      </c>
      <c r="W106" s="11">
        <f>IFERROR(__xludf.DUMMYFUNCTION("""COMPUTED_VALUE"""),-0.5847290886782864)</f>
        <v>-0.5847290887</v>
      </c>
      <c r="X106" s="11">
        <f>IFERROR(__xludf.DUMMYFUNCTION("""COMPUTED_VALUE"""),-0.25872993873862127)</f>
        <v>-0.2587299387</v>
      </c>
      <c r="Y106" s="11">
        <f>IFERROR(__xludf.DUMMYFUNCTION("""COMPUTED_VALUE"""),-0.08752052653855567)</f>
        <v>-0.08752052654</v>
      </c>
      <c r="Z106" s="11">
        <f>IFERROR(__xludf.DUMMYFUNCTION("""COMPUTED_VALUE"""),0.28439231638003976)</f>
        <v>0.2843923164</v>
      </c>
      <c r="AA106" s="11">
        <f>IFERROR(__xludf.DUMMYFUNCTION("""COMPUTED_VALUE"""),-0.13672081696427313)</f>
        <v>-0.136720817</v>
      </c>
      <c r="AB106" t="str">
        <f>IFERROR(__xludf.DUMMYFUNCTION("SUBSTITUTE(REGEXREPLACE(REGEXREPLACE(REGEXREPLACE(REGEXREPLACE(REGEXREPLACE(REGEXREPLACE(F106,"","",),IF(Projections!$T$17="""",""PG"",),),IF(Projections!$U$17="""",""SG"",),),IF(Projections!$V$17="""",""SF"",),),IF(Projections!$W$17="""",""PF"",),),IF(Pr"&amp;"ojections!$X$17="""",""C"",),),""/"","""")"),"SGSFPF")</f>
        <v>SGSFPF</v>
      </c>
    </row>
    <row r="107">
      <c r="A107" t="str">
        <f>IF(Projections!$AC$17,Draft!L9,"")</f>
        <v/>
      </c>
      <c r="B107">
        <f>IFERROR(__xludf.DUMMYFUNCTION("""COMPUTED_VALUE"""),102.0)</f>
        <v>102</v>
      </c>
      <c r="C107">
        <f>IFERROR(__xludf.DUMMYFUNCTION("""COMPUTED_VALUE"""),136.7)</f>
        <v>136.7</v>
      </c>
      <c r="D107" t="str">
        <f>IFERROR(__xludf.DUMMYFUNCTION("""COMPUTED_VALUE"""),"Al Horford")</f>
        <v>Al Horford</v>
      </c>
      <c r="E107">
        <f>IFERROR(__xludf.DUMMYFUNCTION("""COMPUTED_VALUE"""),71.0)</f>
        <v>71</v>
      </c>
      <c r="F107" t="str">
        <f>IFERROR(__xludf.DUMMYFUNCTION("""COMPUTED_VALUE"""),"PF,C")</f>
        <v>PF,C</v>
      </c>
      <c r="G107" s="11">
        <f>IFERROR(__xludf.DUMMYFUNCTION("""COMPUTED_VALUE"""),-0.4023587617494251)</f>
        <v>-0.4023587617</v>
      </c>
      <c r="H107" s="11">
        <f>IFERROR(__xludf.DUMMYFUNCTION("""COMPUTED_VALUE"""),-0.4023587617494251)</f>
        <v>-0.4023587617</v>
      </c>
      <c r="I107" s="11">
        <f>IFERROR(__xludf.DUMMYFUNCTION("""COMPUTED_VALUE"""),0.0)</f>
        <v>0</v>
      </c>
      <c r="J107" s="11">
        <f>IFERROR(__xludf.DUMMYFUNCTION("""COMPUTED_VALUE"""),9.8)</f>
        <v>9.8</v>
      </c>
      <c r="K107" s="11">
        <f>IFERROR(__xludf.DUMMYFUNCTION("""COMPUTED_VALUE"""),2.1)</f>
        <v>2.1</v>
      </c>
      <c r="L107" s="11">
        <f>IFERROR(__xludf.DUMMYFUNCTION("""COMPUTED_VALUE"""),6.7)</f>
        <v>6.7</v>
      </c>
      <c r="M107" s="11">
        <f>IFERROR(__xludf.DUMMYFUNCTION("""COMPUTED_VALUE"""),3.0)</f>
        <v>3</v>
      </c>
      <c r="N107" s="11">
        <f>IFERROR(__xludf.DUMMYFUNCTION("""COMPUTED_VALUE"""),0.6)</f>
        <v>0.6</v>
      </c>
      <c r="O107" s="11">
        <f>IFERROR(__xludf.DUMMYFUNCTION("""COMPUTED_VALUE"""),1.0)</f>
        <v>1</v>
      </c>
      <c r="P107" s="15">
        <f>IFERROR(__xludf.DUMMYFUNCTION("""COMPUTED_VALUE"""),0.493)</f>
        <v>0.493</v>
      </c>
      <c r="Q107" s="15">
        <f>IFERROR(__xludf.DUMMYFUNCTION("""COMPUTED_VALUE"""),0.791)</f>
        <v>0.791</v>
      </c>
      <c r="R107" s="11">
        <f>IFERROR(__xludf.DUMMYFUNCTION("""COMPUTED_VALUE"""),0.7)</f>
        <v>0.7</v>
      </c>
      <c r="S107" s="11">
        <f>IFERROR(__xludf.DUMMYFUNCTION("""COMPUTED_VALUE"""),-1.3850080286671036)</f>
        <v>-1.385008029</v>
      </c>
      <c r="T107" s="11">
        <f>IFERROR(__xludf.DUMMYFUNCTION("""COMPUTED_VALUE"""),0.34932369858753)</f>
        <v>0.3493236986</v>
      </c>
      <c r="U107" s="11">
        <f>IFERROR(__xludf.DUMMYFUNCTION("""COMPUTED_VALUE"""),0.24756775948409707)</f>
        <v>0.2475677595</v>
      </c>
      <c r="V107" s="11">
        <f>IFERROR(__xludf.DUMMYFUNCTION("""COMPUTED_VALUE"""),-0.42634954706274036)</f>
        <v>-0.4263495471</v>
      </c>
      <c r="W107" s="11">
        <f>IFERROR(__xludf.DUMMYFUNCTION("""COMPUTED_VALUE"""),-1.2485944449972455)</f>
        <v>-1.248594445</v>
      </c>
      <c r="X107" s="11">
        <f>IFERROR(__xludf.DUMMYFUNCTION("""COMPUTED_VALUE"""),0.45484486947200414)</f>
        <v>0.4548448695</v>
      </c>
      <c r="Y107" s="11">
        <f>IFERROR(__xludf.DUMMYFUNCTION("""COMPUTED_VALUE"""),-0.03365738254199538)</f>
        <v>-0.03365738254</v>
      </c>
      <c r="Z107" s="11">
        <f>IFERROR(__xludf.DUMMYFUNCTION("""COMPUTED_VALUE"""),-0.005544313342588894)</f>
        <v>-0.005544313343</v>
      </c>
      <c r="AA107" s="11">
        <f>IFERROR(__xludf.DUMMYFUNCTION("""COMPUTED_VALUE"""),0.26005059865151336)</f>
        <v>0.2600505987</v>
      </c>
      <c r="AB107" t="str">
        <f>IFERROR(__xludf.DUMMYFUNCTION("SUBSTITUTE(REGEXREPLACE(REGEXREPLACE(REGEXREPLACE(REGEXREPLACE(REGEXREPLACE(REGEXREPLACE(F107,"","",),IF(Projections!$T$17="""",""PG"",),),IF(Projections!$U$17="""",""SG"",),),IF(Projections!$V$17="""",""SF"",),),IF(Projections!$W$17="""",""PF"",),),IF(Pr"&amp;"ojections!$X$17="""",""C"",),),""/"","""")"),"PFC")</f>
        <v>PFC</v>
      </c>
    </row>
    <row r="108">
      <c r="A108" t="str">
        <f>IF(Projections!$AC$17,Draft!L10,"")</f>
        <v/>
      </c>
      <c r="B108">
        <f>IFERROR(__xludf.DUMMYFUNCTION("""COMPUTED_VALUE"""),103.0)</f>
        <v>103</v>
      </c>
      <c r="C108">
        <f>IFERROR(__xludf.DUMMYFUNCTION("""COMPUTED_VALUE"""),93.2)</f>
        <v>93.2</v>
      </c>
      <c r="D108" t="str">
        <f>IFERROR(__xludf.DUMMYFUNCTION("""COMPUTED_VALUE"""),"Walker Kessler")</f>
        <v>Walker Kessler</v>
      </c>
      <c r="E108">
        <f>IFERROR(__xludf.DUMMYFUNCTION("""COMPUTED_VALUE"""),65.0)</f>
        <v>65</v>
      </c>
      <c r="F108" t="str">
        <f>IFERROR(__xludf.DUMMYFUNCTION("""COMPUTED_VALUE"""),"C")</f>
        <v>C</v>
      </c>
      <c r="G108" s="11">
        <f>IFERROR(__xludf.DUMMYFUNCTION("""COMPUTED_VALUE"""),-0.41607353391850066)</f>
        <v>-0.4160735339</v>
      </c>
      <c r="H108" s="11">
        <f>IFERROR(__xludf.DUMMYFUNCTION("""COMPUTED_VALUE"""),-0.41607353391850066)</f>
        <v>-0.4160735339</v>
      </c>
      <c r="I108" s="11">
        <f>IFERROR(__xludf.DUMMYFUNCTION("""COMPUTED_VALUE"""),0.0)</f>
        <v>0</v>
      </c>
      <c r="J108" s="11">
        <f>IFERROR(__xludf.DUMMYFUNCTION("""COMPUTED_VALUE"""),9.5)</f>
        <v>9.5</v>
      </c>
      <c r="K108" s="11">
        <f>IFERROR(__xludf.DUMMYFUNCTION("""COMPUTED_VALUE"""),0.0)</f>
        <v>0</v>
      </c>
      <c r="L108" s="11">
        <f>IFERROR(__xludf.DUMMYFUNCTION("""COMPUTED_VALUE"""),8.7)</f>
        <v>8.7</v>
      </c>
      <c r="M108" s="11">
        <f>IFERROR(__xludf.DUMMYFUNCTION("""COMPUTED_VALUE"""),1.0)</f>
        <v>1</v>
      </c>
      <c r="N108" s="11">
        <f>IFERROR(__xludf.DUMMYFUNCTION("""COMPUTED_VALUE"""),0.4)</f>
        <v>0.4</v>
      </c>
      <c r="O108" s="11">
        <f>IFERROR(__xludf.DUMMYFUNCTION("""COMPUTED_VALUE"""),2.5)</f>
        <v>2.5</v>
      </c>
      <c r="P108" s="15">
        <f>IFERROR(__xludf.DUMMYFUNCTION("""COMPUTED_VALUE"""),0.662)</f>
        <v>0.662</v>
      </c>
      <c r="Q108" s="15">
        <f>IFERROR(__xludf.DUMMYFUNCTION("""COMPUTED_VALUE"""),0.577)</f>
        <v>0.577</v>
      </c>
      <c r="R108" s="11">
        <f>IFERROR(__xludf.DUMMYFUNCTION("""COMPUTED_VALUE"""),1.0)</f>
        <v>1</v>
      </c>
      <c r="S108" s="11">
        <f>IFERROR(__xludf.DUMMYFUNCTION("""COMPUTED_VALUE"""),-1.4392024345569023)</f>
        <v>-1.439202435</v>
      </c>
      <c r="T108" s="11">
        <f>IFERROR(__xludf.DUMMYFUNCTION("""COMPUTED_VALUE"""),-1.7406865810748415)</f>
        <v>-1.740686581</v>
      </c>
      <c r="U108" s="11">
        <f>IFERROR(__xludf.DUMMYFUNCTION("""COMPUTED_VALUE"""),1.0320951819835393)</f>
        <v>1.032095182</v>
      </c>
      <c r="V108" s="11">
        <f>IFERROR(__xludf.DUMMYFUNCTION("""COMPUTED_VALUE"""),-1.3375849555053994)</f>
        <v>-1.337584956</v>
      </c>
      <c r="W108" s="11">
        <f>IFERROR(__xludf.DUMMYFUNCTION("""COMPUTED_VALUE"""),-1.912459801316204)</f>
        <v>-1.912459801</v>
      </c>
      <c r="X108" s="11">
        <f>IFERROR(__xludf.DUMMYFUNCTION("""COMPUTED_VALUE"""),3.1307504002618494)</f>
        <v>3.1307504</v>
      </c>
      <c r="Y108" s="11">
        <f>IFERROR(__xludf.DUMMYFUNCTION("""COMPUTED_VALUE"""),1.219175115116964)</f>
        <v>1.219175115</v>
      </c>
      <c r="Z108" s="11">
        <f>IFERROR(__xludf.DUMMYFUNCTION("""COMPUTED_VALUE"""),-1.4662762183672633)</f>
        <v>-1.466276218</v>
      </c>
      <c r="AA108" s="11">
        <f>IFERROR(__xludf.DUMMYFUNCTION("""COMPUTED_VALUE"""),0.18565595822355335)</f>
        <v>0.1856559582</v>
      </c>
      <c r="AB108" t="str">
        <f>IFERROR(__xludf.DUMMYFUNCTION("SUBSTITUTE(REGEXREPLACE(REGEXREPLACE(REGEXREPLACE(REGEXREPLACE(REGEXREPLACE(REGEXREPLACE(F108,"","",),IF(Projections!$T$17="""",""PG"",),),IF(Projections!$U$17="""",""SG"",),),IF(Projections!$V$17="""",""SF"",),),IF(Projections!$W$17="""",""PF"",),),IF(Pr"&amp;"ojections!$X$17="""",""C"",),),""/"","""")"),"C")</f>
        <v>C</v>
      </c>
    </row>
    <row r="109">
      <c r="A109" t="str">
        <f>IF(Projections!$AC$17,Draft!L11,"")</f>
        <v/>
      </c>
      <c r="B109">
        <f>IFERROR(__xludf.DUMMYFUNCTION("""COMPUTED_VALUE"""),104.0)</f>
        <v>104</v>
      </c>
      <c r="C109">
        <f>IFERROR(__xludf.DUMMYFUNCTION("""COMPUTED_VALUE"""),86.9)</f>
        <v>86.9</v>
      </c>
      <c r="D109" t="str">
        <f>IFERROR(__xludf.DUMMYFUNCTION("""COMPUTED_VALUE"""),"CJ McCollum")</f>
        <v>CJ McCollum</v>
      </c>
      <c r="E109">
        <f>IFERROR(__xludf.DUMMYFUNCTION("""COMPUTED_VALUE"""),71.0)</f>
        <v>71</v>
      </c>
      <c r="F109" t="str">
        <f>IFERROR(__xludf.DUMMYFUNCTION("""COMPUTED_VALUE"""),"PG,SG")</f>
        <v>PG,SG</v>
      </c>
      <c r="G109" s="11">
        <f>IFERROR(__xludf.DUMMYFUNCTION("""COMPUTED_VALUE"""),-0.4391806021234307)</f>
        <v>-0.4391806021</v>
      </c>
      <c r="H109" s="11">
        <f>IFERROR(__xludf.DUMMYFUNCTION("""COMPUTED_VALUE"""),-0.4391806021234307)</f>
        <v>-0.4391806021</v>
      </c>
      <c r="I109" s="11">
        <f>IFERROR(__xludf.DUMMYFUNCTION("""COMPUTED_VALUE"""),0.0)</f>
        <v>0</v>
      </c>
      <c r="J109" s="11">
        <f>IFERROR(__xludf.DUMMYFUNCTION("""COMPUTED_VALUE"""),18.3)</f>
        <v>18.3</v>
      </c>
      <c r="K109" s="11">
        <f>IFERROR(__xludf.DUMMYFUNCTION("""COMPUTED_VALUE"""),2.8)</f>
        <v>2.8</v>
      </c>
      <c r="L109" s="11">
        <f>IFERROR(__xludf.DUMMYFUNCTION("""COMPUTED_VALUE"""),3.9)</f>
        <v>3.9</v>
      </c>
      <c r="M109" s="11">
        <f>IFERROR(__xludf.DUMMYFUNCTION("""COMPUTED_VALUE"""),4.1)</f>
        <v>4.1</v>
      </c>
      <c r="N109" s="11">
        <f>IFERROR(__xludf.DUMMYFUNCTION("""COMPUTED_VALUE"""),0.8)</f>
        <v>0.8</v>
      </c>
      <c r="O109" s="11">
        <f>IFERROR(__xludf.DUMMYFUNCTION("""COMPUTED_VALUE"""),0.5)</f>
        <v>0.5</v>
      </c>
      <c r="P109" s="15">
        <f>IFERROR(__xludf.DUMMYFUNCTION("""COMPUTED_VALUE"""),0.451)</f>
        <v>0.451</v>
      </c>
      <c r="Q109" s="15">
        <f>IFERROR(__xludf.DUMMYFUNCTION("""COMPUTED_VALUE"""),0.814)</f>
        <v>0.814</v>
      </c>
      <c r="R109" s="11">
        <f>IFERROR(__xludf.DUMMYFUNCTION("""COMPUTED_VALUE"""),1.9)</f>
        <v>1.9</v>
      </c>
      <c r="S109" s="11">
        <f>IFERROR(__xludf.DUMMYFUNCTION("""COMPUTED_VALUE"""),0.1505001382105265)</f>
        <v>0.1505001382</v>
      </c>
      <c r="T109" s="11">
        <f>IFERROR(__xludf.DUMMYFUNCTION("""COMPUTED_VALUE"""),1.0459937918083202)</f>
        <v>1.045993792</v>
      </c>
      <c r="U109" s="11">
        <f>IFERROR(__xludf.DUMMYFUNCTION("""COMPUTED_VALUE"""),-0.8507706320151226)</f>
        <v>-0.850770632</v>
      </c>
      <c r="V109" s="11">
        <f>IFERROR(__xludf.DUMMYFUNCTION("""COMPUTED_VALUE"""),0.07482992758072192)</f>
        <v>0.07482992758</v>
      </c>
      <c r="W109" s="11">
        <f>IFERROR(__xludf.DUMMYFUNCTION("""COMPUTED_VALUE"""),-0.5847290886782864)</f>
        <v>-0.5847290887</v>
      </c>
      <c r="X109" s="11">
        <f>IFERROR(__xludf.DUMMYFUNCTION("""COMPUTED_VALUE"""),-0.4371236407912776)</f>
        <v>-0.4371236408</v>
      </c>
      <c r="Y109" s="11">
        <f>IFERROR(__xludf.DUMMYFUNCTION("""COMPUTED_VALUE"""),-0.8065849999456005)</f>
        <v>-0.8065849999</v>
      </c>
      <c r="Z109" s="11">
        <f>IFERROR(__xludf.DUMMYFUNCTION("""COMPUTED_VALUE"""),0.1554612327524918)</f>
        <v>0.1554612328</v>
      </c>
      <c r="AA109" s="11">
        <f>IFERROR(__xludf.DUMMYFUNCTION("""COMPUTED_VALUE"""),-0.037527963060326526)</f>
        <v>-0.03752796306</v>
      </c>
      <c r="AB109" t="str">
        <f>IFERROR(__xludf.DUMMYFUNCTION("SUBSTITUTE(REGEXREPLACE(REGEXREPLACE(REGEXREPLACE(REGEXREPLACE(REGEXREPLACE(REGEXREPLACE(F109,"","",),IF(Projections!$T$17="""",""PG"",),),IF(Projections!$U$17="""",""SG"",),),IF(Projections!$V$17="""",""SF"",),),IF(Projections!$W$17="""",""PF"",),),IF(Pr"&amp;"ojections!$X$17="""",""C"",),),""/"","""")"),"PGSG")</f>
        <v>PGSG</v>
      </c>
    </row>
    <row r="110">
      <c r="A110" t="str">
        <f>IF(Projections!$AC$17,Draft!L12,"")</f>
        <v/>
      </c>
      <c r="B110">
        <f>IFERROR(__xludf.DUMMYFUNCTION("""COMPUTED_VALUE"""),105.0)</f>
        <v>105</v>
      </c>
      <c r="C110">
        <f>IFERROR(__xludf.DUMMYFUNCTION("""COMPUTED_VALUE"""),146.3)</f>
        <v>146.3</v>
      </c>
      <c r="D110" t="str">
        <f>IFERROR(__xludf.DUMMYFUNCTION("""COMPUTED_VALUE"""),"Keon Ellis")</f>
        <v>Keon Ellis</v>
      </c>
      <c r="E110">
        <f>IFERROR(__xludf.DUMMYFUNCTION("""COMPUTED_VALUE"""),43.0)</f>
        <v>43</v>
      </c>
      <c r="F110" t="str">
        <f>IFERROR(__xludf.DUMMYFUNCTION("""COMPUTED_VALUE"""),"SG,SF")</f>
        <v>SG,SF</v>
      </c>
      <c r="G110" s="11">
        <f>IFERROR(__xludf.DUMMYFUNCTION("""COMPUTED_VALUE"""),-0.46345991929425123)</f>
        <v>-0.4634599193</v>
      </c>
      <c r="H110" s="11">
        <f>IFERROR(__xludf.DUMMYFUNCTION("""COMPUTED_VALUE"""),-0.46345991929425123)</f>
        <v>-0.4634599193</v>
      </c>
      <c r="I110" s="11">
        <f>IFERROR(__xludf.DUMMYFUNCTION("""COMPUTED_VALUE"""),0.0)</f>
        <v>0</v>
      </c>
      <c r="J110" s="11">
        <f>IFERROR(__xludf.DUMMYFUNCTION("""COMPUTED_VALUE"""),8.4)</f>
        <v>8.4</v>
      </c>
      <c r="K110" s="11">
        <f>IFERROR(__xludf.DUMMYFUNCTION("""COMPUTED_VALUE"""),1.9)</f>
        <v>1.9</v>
      </c>
      <c r="L110" s="11">
        <f>IFERROR(__xludf.DUMMYFUNCTION("""COMPUTED_VALUE"""),3.3)</f>
        <v>3.3</v>
      </c>
      <c r="M110" s="11">
        <f>IFERROR(__xludf.DUMMYFUNCTION("""COMPUTED_VALUE"""),2.3)</f>
        <v>2.3</v>
      </c>
      <c r="N110" s="11">
        <f>IFERROR(__xludf.DUMMYFUNCTION("""COMPUTED_VALUE"""),1.4)</f>
        <v>1.4</v>
      </c>
      <c r="O110" s="11">
        <f>IFERROR(__xludf.DUMMYFUNCTION("""COMPUTED_VALUE"""),0.8)</f>
        <v>0.8</v>
      </c>
      <c r="P110" s="15">
        <f>IFERROR(__xludf.DUMMYFUNCTION("""COMPUTED_VALUE"""),0.461)</f>
        <v>0.461</v>
      </c>
      <c r="Q110" s="15">
        <f>IFERROR(__xludf.DUMMYFUNCTION("""COMPUTED_VALUE"""),0.735)</f>
        <v>0.735</v>
      </c>
      <c r="R110" s="11">
        <f>IFERROR(__xludf.DUMMYFUNCTION("""COMPUTED_VALUE"""),1.0)</f>
        <v>1</v>
      </c>
      <c r="S110" s="11">
        <f>IFERROR(__xludf.DUMMYFUNCTION("""COMPUTED_VALUE"""),-1.637915256152831)</f>
        <v>-1.637915256</v>
      </c>
      <c r="T110" s="11">
        <f>IFERROR(__xludf.DUMMYFUNCTION("""COMPUTED_VALUE"""),0.15027510052444681)</f>
        <v>0.1502751005</v>
      </c>
      <c r="U110" s="11">
        <f>IFERROR(__xludf.DUMMYFUNCTION("""COMPUTED_VALUE"""),-1.0861288587649554)</f>
        <v>-1.086128859</v>
      </c>
      <c r="V110" s="11">
        <f>IFERROR(__xludf.DUMMYFUNCTION("""COMPUTED_VALUE"""),-0.745281940017671)</f>
        <v>-0.74528194</v>
      </c>
      <c r="W110" s="11">
        <f>IFERROR(__xludf.DUMMYFUNCTION("""COMPUTED_VALUE"""),1.4068669802785894)</f>
        <v>1.40686698</v>
      </c>
      <c r="X110" s="11">
        <f>IFERROR(__xludf.DUMMYFUNCTION("""COMPUTED_VALUE"""),0.09805746536669153)</f>
        <v>0.09805746537</v>
      </c>
      <c r="Y110" s="11">
        <f>IFERROR(__xludf.DUMMYFUNCTION("""COMPUTED_VALUE"""),-0.2607244099708684)</f>
        <v>-0.26072441</v>
      </c>
      <c r="Z110" s="11">
        <f>IFERROR(__xludf.DUMMYFUNCTION("""COMPUTED_VALUE"""),-0.21218021493403777)</f>
        <v>-0.2121802149</v>
      </c>
      <c r="AA110" s="11">
        <f>IFERROR(__xludf.DUMMYFUNCTION("""COMPUTED_VALUE"""),0.18565595822355335)</f>
        <v>0.1856559582</v>
      </c>
      <c r="AB110" t="str">
        <f>IFERROR(__xludf.DUMMYFUNCTION("SUBSTITUTE(REGEXREPLACE(REGEXREPLACE(REGEXREPLACE(REGEXREPLACE(REGEXREPLACE(REGEXREPLACE(F110,"","",),IF(Projections!$T$17="""",""PG"",),),IF(Projections!$U$17="""",""SG"",),),IF(Projections!$V$17="""",""SF"",),),IF(Projections!$W$17="""",""PF"",),),IF(Pr"&amp;"ojections!$X$17="""",""C"",),),""/"","""")"),"SGSF")</f>
        <v>SGSF</v>
      </c>
    </row>
    <row r="111">
      <c r="A111" t="str">
        <f>IF(Projections!$AC$17,Draft!L13,"")</f>
        <v/>
      </c>
      <c r="B111">
        <f>IFERROR(__xludf.DUMMYFUNCTION("""COMPUTED_VALUE"""),106.0)</f>
        <v>106</v>
      </c>
      <c r="C111">
        <f>IFERROR(__xludf.DUMMYFUNCTION("""COMPUTED_VALUE"""),105.4)</f>
        <v>105.4</v>
      </c>
      <c r="D111" t="str">
        <f>IFERROR(__xludf.DUMMYFUNCTION("""COMPUTED_VALUE"""),"Terry Rozier")</f>
        <v>Terry Rozier</v>
      </c>
      <c r="E111">
        <f>IFERROR(__xludf.DUMMYFUNCTION("""COMPUTED_VALUE"""),66.0)</f>
        <v>66</v>
      </c>
      <c r="F111" t="str">
        <f>IFERROR(__xludf.DUMMYFUNCTION("""COMPUTED_VALUE"""),"PG")</f>
        <v>PG</v>
      </c>
      <c r="G111" s="11">
        <f>IFERROR(__xludf.DUMMYFUNCTION("""COMPUTED_VALUE"""),-0.478766583823764)</f>
        <v>-0.4787665838</v>
      </c>
      <c r="H111" s="11">
        <f>IFERROR(__xludf.DUMMYFUNCTION("""COMPUTED_VALUE"""),-0.478766583823764)</f>
        <v>-0.4787665838</v>
      </c>
      <c r="I111" s="11">
        <f>IFERROR(__xludf.DUMMYFUNCTION("""COMPUTED_VALUE"""),0.0)</f>
        <v>0</v>
      </c>
      <c r="J111" s="11">
        <f>IFERROR(__xludf.DUMMYFUNCTION("""COMPUTED_VALUE"""),17.7)</f>
        <v>17.7</v>
      </c>
      <c r="K111" s="11">
        <f>IFERROR(__xludf.DUMMYFUNCTION("""COMPUTED_VALUE"""),2.2)</f>
        <v>2.2</v>
      </c>
      <c r="L111" s="11">
        <f>IFERROR(__xludf.DUMMYFUNCTION("""COMPUTED_VALUE"""),3.5)</f>
        <v>3.5</v>
      </c>
      <c r="M111" s="11">
        <f>IFERROR(__xludf.DUMMYFUNCTION("""COMPUTED_VALUE"""),4.5)</f>
        <v>4.5</v>
      </c>
      <c r="N111" s="11">
        <f>IFERROR(__xludf.DUMMYFUNCTION("""COMPUTED_VALUE"""),1.0)</f>
        <v>1</v>
      </c>
      <c r="O111" s="11">
        <f>IFERROR(__xludf.DUMMYFUNCTION("""COMPUTED_VALUE"""),0.3)</f>
        <v>0.3</v>
      </c>
      <c r="P111" s="15">
        <f>IFERROR(__xludf.DUMMYFUNCTION("""COMPUTED_VALUE"""),0.435)</f>
        <v>0.435</v>
      </c>
      <c r="Q111" s="15">
        <f>IFERROR(__xludf.DUMMYFUNCTION("""COMPUTED_VALUE"""),0.842)</f>
        <v>0.842</v>
      </c>
      <c r="R111" s="11">
        <f>IFERROR(__xludf.DUMMYFUNCTION("""COMPUTED_VALUE"""),1.7)</f>
        <v>1.7</v>
      </c>
      <c r="S111" s="11">
        <f>IFERROR(__xludf.DUMMYFUNCTION("""COMPUTED_VALUE"""),0.04211132643092882)</f>
        <v>0.04211132643</v>
      </c>
      <c r="T111" s="11">
        <f>IFERROR(__xludf.DUMMYFUNCTION("""COMPUTED_VALUE"""),0.44884799761907157)</f>
        <v>0.4488479976</v>
      </c>
      <c r="U111" s="11">
        <f>IFERROR(__xludf.DUMMYFUNCTION("""COMPUTED_VALUE"""),-1.007676116515011)</f>
        <v>-1.007676117</v>
      </c>
      <c r="V111" s="11">
        <f>IFERROR(__xludf.DUMMYFUNCTION("""COMPUTED_VALUE"""),0.25707700926925386)</f>
        <v>0.2570770093</v>
      </c>
      <c r="W111" s="11">
        <f>IFERROR(__xludf.DUMMYFUNCTION("""COMPUTED_VALUE"""),0.07913626764067216)</f>
        <v>0.07913626764</v>
      </c>
      <c r="X111" s="11">
        <f>IFERROR(__xludf.DUMMYFUNCTION("""COMPUTED_VALUE"""),-0.7939110448965904)</f>
        <v>-0.7939110449</v>
      </c>
      <c r="Y111" s="11">
        <f>IFERROR(__xludf.DUMMYFUNCTION("""COMPUTED_VALUE"""),-1.087865219326168)</f>
        <v>-1.087865219</v>
      </c>
      <c r="Z111" s="11">
        <f>IFERROR(__xludf.DUMMYFUNCTION("""COMPUTED_VALUE"""),0.48357951273626404)</f>
        <v>0.4835795127</v>
      </c>
      <c r="AA111" s="11">
        <f>IFERROR(__xludf.DUMMYFUNCTION("""COMPUTED_VALUE"""),0.012068463891646777)</f>
        <v>0.01206846389</v>
      </c>
      <c r="AB111" t="str">
        <f>IFERROR(__xludf.DUMMYFUNCTION("SUBSTITUTE(REGEXREPLACE(REGEXREPLACE(REGEXREPLACE(REGEXREPLACE(REGEXREPLACE(REGEXREPLACE(F111,"","",),IF(Projections!$T$17="""",""PG"",),),IF(Projections!$U$17="""",""SG"",),),IF(Projections!$V$17="""",""SF"",),),IF(Projections!$W$17="""",""PF"",),),IF(Pr"&amp;"ojections!$X$17="""",""C"",),),""/"","""")"),"PG")</f>
        <v>PG</v>
      </c>
    </row>
    <row r="112">
      <c r="A112" t="str">
        <f>IF(Projections!$AC$17,Draft!L14,"")</f>
        <v/>
      </c>
      <c r="B112">
        <f>IFERROR(__xludf.DUMMYFUNCTION("""COMPUTED_VALUE"""),107.0)</f>
        <v>107</v>
      </c>
      <c r="C112">
        <f>IFERROR(__xludf.DUMMYFUNCTION("""COMPUTED_VALUE"""),76.9)</f>
        <v>76.9</v>
      </c>
      <c r="D112" t="str">
        <f>IFERROR(__xludf.DUMMYFUNCTION("""COMPUTED_VALUE"""),"Brook Lopez")</f>
        <v>Brook Lopez</v>
      </c>
      <c r="E112">
        <f>IFERROR(__xludf.DUMMYFUNCTION("""COMPUTED_VALUE"""),66.0)</f>
        <v>66</v>
      </c>
      <c r="F112" t="str">
        <f>IFERROR(__xludf.DUMMYFUNCTION("""COMPUTED_VALUE"""),"C")</f>
        <v>C</v>
      </c>
      <c r="G112" s="11">
        <f>IFERROR(__xludf.DUMMYFUNCTION("""COMPUTED_VALUE"""),-0.5469646132653434)</f>
        <v>-0.5469646133</v>
      </c>
      <c r="H112" s="11">
        <f>IFERROR(__xludf.DUMMYFUNCTION("""COMPUTED_VALUE"""),-0.5469646132653434)</f>
        <v>-0.5469646133</v>
      </c>
      <c r="I112" s="11">
        <f>IFERROR(__xludf.DUMMYFUNCTION("""COMPUTED_VALUE"""),0.0)</f>
        <v>0</v>
      </c>
      <c r="J112" s="11">
        <f>IFERROR(__xludf.DUMMYFUNCTION("""COMPUTED_VALUE"""),11.7)</f>
        <v>11.7</v>
      </c>
      <c r="K112" s="11">
        <f>IFERROR(__xludf.DUMMYFUNCTION("""COMPUTED_VALUE"""),1.7)</f>
        <v>1.7</v>
      </c>
      <c r="L112" s="11">
        <f>IFERROR(__xludf.DUMMYFUNCTION("""COMPUTED_VALUE"""),4.9)</f>
        <v>4.9</v>
      </c>
      <c r="M112" s="11">
        <f>IFERROR(__xludf.DUMMYFUNCTION("""COMPUTED_VALUE"""),1.3)</f>
        <v>1.3</v>
      </c>
      <c r="N112" s="11">
        <f>IFERROR(__xludf.DUMMYFUNCTION("""COMPUTED_VALUE"""),0.5)</f>
        <v>0.5</v>
      </c>
      <c r="O112" s="11">
        <f>IFERROR(__xludf.DUMMYFUNCTION("""COMPUTED_VALUE"""),2.0)</f>
        <v>2</v>
      </c>
      <c r="P112" s="15">
        <f>IFERROR(__xludf.DUMMYFUNCTION("""COMPUTED_VALUE"""),0.471)</f>
        <v>0.471</v>
      </c>
      <c r="Q112" s="15">
        <f>IFERROR(__xludf.DUMMYFUNCTION("""COMPUTED_VALUE"""),0.803)</f>
        <v>0.803</v>
      </c>
      <c r="R112" s="11">
        <f>IFERROR(__xludf.DUMMYFUNCTION("""COMPUTED_VALUE"""),1.0)</f>
        <v>1</v>
      </c>
      <c r="S112" s="11">
        <f>IFERROR(__xludf.DUMMYFUNCTION("""COMPUTED_VALUE"""),-1.0417767913650453)</f>
        <v>-1.041776791</v>
      </c>
      <c r="T112" s="11">
        <f>IFERROR(__xludf.DUMMYFUNCTION("""COMPUTED_VALUE"""),-0.04877349753863613)</f>
        <v>-0.04877349754</v>
      </c>
      <c r="U112" s="11">
        <f>IFERROR(__xludf.DUMMYFUNCTION("""COMPUTED_VALUE"""),-0.4585069207654011)</f>
        <v>-0.4585069208</v>
      </c>
      <c r="V112" s="11">
        <f>IFERROR(__xludf.DUMMYFUNCTION("""COMPUTED_VALUE"""),-1.2008996442390003)</f>
        <v>-1.200899644</v>
      </c>
      <c r="W112" s="11">
        <f>IFERROR(__xludf.DUMMYFUNCTION("""COMPUTED_VALUE"""),-1.5805271231567248)</f>
        <v>-1.580527123</v>
      </c>
      <c r="X112" s="11">
        <f>IFERROR(__xludf.DUMMYFUNCTION("""COMPUTED_VALUE"""),2.2387818899985676)</f>
        <v>2.23878189</v>
      </c>
      <c r="Y112" s="11">
        <f>IFERROR(__xludf.DUMMYFUNCTION("""COMPUTED_VALUE"""),-0.2729908354319355)</f>
        <v>-0.2729908354</v>
      </c>
      <c r="Z112" s="11">
        <f>IFERROR(__xludf.DUMMYFUNCTION("""COMPUTED_VALUE"""),0.051545227852553825)</f>
        <v>0.05154522785</v>
      </c>
      <c r="AA112" s="11">
        <f>IFERROR(__xludf.DUMMYFUNCTION("""COMPUTED_VALUE"""),0.18565595822355335)</f>
        <v>0.1856559582</v>
      </c>
      <c r="AB112" t="str">
        <f>IFERROR(__xludf.DUMMYFUNCTION("SUBSTITUTE(REGEXREPLACE(REGEXREPLACE(REGEXREPLACE(REGEXREPLACE(REGEXREPLACE(REGEXREPLACE(F112,"","",),IF(Projections!$T$17="""",""PG"",),),IF(Projections!$U$17="""",""SG"",),),IF(Projections!$V$17="""",""SF"",),),IF(Projections!$W$17="""",""PF"",),),IF(Pr"&amp;"ojections!$X$17="""",""C"",),),""/"","""")"),"C")</f>
        <v>C</v>
      </c>
    </row>
    <row r="113">
      <c r="A113" t="str">
        <f>IF(Projections!$AC$17,Draft!M3,"")</f>
        <v/>
      </c>
      <c r="B113">
        <f>IFERROR(__xludf.DUMMYFUNCTION("""COMPUTED_VALUE"""),108.0)</f>
        <v>108</v>
      </c>
      <c r="C113">
        <f>IFERROR(__xludf.DUMMYFUNCTION("""COMPUTED_VALUE"""),103.8)</f>
        <v>103.8</v>
      </c>
      <c r="D113" t="str">
        <f>IFERROR(__xludf.DUMMYFUNCTION("""COMPUTED_VALUE"""),"Chris Paul")</f>
        <v>Chris Paul</v>
      </c>
      <c r="E113">
        <f>IFERROR(__xludf.DUMMYFUNCTION("""COMPUTED_VALUE"""),66.0)</f>
        <v>66</v>
      </c>
      <c r="F113" t="str">
        <f>IFERROR(__xludf.DUMMYFUNCTION("""COMPUTED_VALUE"""),"PG")</f>
        <v>PG</v>
      </c>
      <c r="G113" s="11">
        <f>IFERROR(__xludf.DUMMYFUNCTION("""COMPUTED_VALUE"""),-0.5663615779958193)</f>
        <v>-0.566361578</v>
      </c>
      <c r="H113" s="11">
        <f>IFERROR(__xludf.DUMMYFUNCTION("""COMPUTED_VALUE"""),-0.5663615779958193)</f>
        <v>-0.566361578</v>
      </c>
      <c r="I113" s="11">
        <f>IFERROR(__xludf.DUMMYFUNCTION("""COMPUTED_VALUE"""),0.0)</f>
        <v>0</v>
      </c>
      <c r="J113" s="11">
        <f>IFERROR(__xludf.DUMMYFUNCTION("""COMPUTED_VALUE"""),10.2)</f>
        <v>10.2</v>
      </c>
      <c r="K113" s="11">
        <f>IFERROR(__xludf.DUMMYFUNCTION("""COMPUTED_VALUE"""),1.3)</f>
        <v>1.3</v>
      </c>
      <c r="L113" s="11">
        <f>IFERROR(__xludf.DUMMYFUNCTION("""COMPUTED_VALUE"""),3.6)</f>
        <v>3.6</v>
      </c>
      <c r="M113" s="11">
        <f>IFERROR(__xludf.DUMMYFUNCTION("""COMPUTED_VALUE"""),6.9)</f>
        <v>6.9</v>
      </c>
      <c r="N113" s="11">
        <f>IFERROR(__xludf.DUMMYFUNCTION("""COMPUTED_VALUE"""),1.2)</f>
        <v>1.2</v>
      </c>
      <c r="O113" s="11">
        <f>IFERROR(__xludf.DUMMYFUNCTION("""COMPUTED_VALUE"""),0.2)</f>
        <v>0.2</v>
      </c>
      <c r="P113" s="15">
        <f>IFERROR(__xludf.DUMMYFUNCTION("""COMPUTED_VALUE"""),0.441)</f>
        <v>0.441</v>
      </c>
      <c r="Q113" s="15">
        <f>IFERROR(__xludf.DUMMYFUNCTION("""COMPUTED_VALUE"""),0.831)</f>
        <v>0.831</v>
      </c>
      <c r="R113" s="11">
        <f>IFERROR(__xludf.DUMMYFUNCTION("""COMPUTED_VALUE"""),1.4)</f>
        <v>1.4</v>
      </c>
      <c r="S113" s="11">
        <f>IFERROR(__xludf.DUMMYFUNCTION("""COMPUTED_VALUE"""),-1.3127488208140388)</f>
        <v>-1.312748821</v>
      </c>
      <c r="T113" s="11">
        <f>IFERROR(__xludf.DUMMYFUNCTION("""COMPUTED_VALUE"""),-0.44687069366480203)</f>
        <v>-0.4468706937</v>
      </c>
      <c r="U113" s="11">
        <f>IFERROR(__xludf.DUMMYFUNCTION("""COMPUTED_VALUE"""),-0.9684497453900388)</f>
        <v>-0.9684497454</v>
      </c>
      <c r="V113" s="11">
        <f>IFERROR(__xludf.DUMMYFUNCTION("""COMPUTED_VALUE"""),1.3505594994004448)</f>
        <v>1.350559499</v>
      </c>
      <c r="W113" s="11">
        <f>IFERROR(__xludf.DUMMYFUNCTION("""COMPUTED_VALUE"""),0.7430016239596308)</f>
        <v>0.743001624</v>
      </c>
      <c r="X113" s="11">
        <f>IFERROR(__xludf.DUMMYFUNCTION("""COMPUTED_VALUE"""),-0.9723047469492465)</f>
        <v>-0.9723047469</v>
      </c>
      <c r="Y113" s="11">
        <f>IFERROR(__xludf.DUMMYFUNCTION("""COMPUTED_VALUE"""),-0.5632341452468476)</f>
        <v>-0.5632341452</v>
      </c>
      <c r="Z113" s="11">
        <f>IFERROR(__xludf.DUMMYFUNCTION("""COMPUTED_VALUE"""),0.20447352557543297)</f>
        <v>0.2044735256</v>
      </c>
      <c r="AA113" s="11">
        <f>IFERROR(__xludf.DUMMYFUNCTION("""COMPUTED_VALUE"""),0.08646310431960676)</f>
        <v>0.08646310432</v>
      </c>
      <c r="AB113" t="str">
        <f>IFERROR(__xludf.DUMMYFUNCTION("SUBSTITUTE(REGEXREPLACE(REGEXREPLACE(REGEXREPLACE(REGEXREPLACE(REGEXREPLACE(REGEXREPLACE(F113,"","",),IF(Projections!$T$17="""",""PG"",),),IF(Projections!$U$17="""",""SG"",),),IF(Projections!$V$17="""",""SF"",),),IF(Projections!$W$17="""",""PF"",),),IF(Pr"&amp;"ojections!$X$17="""",""C"",),),""/"","""")"),"PG")</f>
        <v>PG</v>
      </c>
    </row>
    <row r="114">
      <c r="A114" t="str">
        <f>IF(Projections!$AC$17,Draft!M4,"")</f>
        <v/>
      </c>
      <c r="B114">
        <f>IFERROR(__xludf.DUMMYFUNCTION("""COMPUTED_VALUE"""),109.0)</f>
        <v>109</v>
      </c>
      <c r="C114">
        <f>IFERROR(__xludf.DUMMYFUNCTION("""COMPUTED_VALUE"""),110.3)</f>
        <v>110.3</v>
      </c>
      <c r="D114" t="str">
        <f>IFERROR(__xludf.DUMMYFUNCTION("""COMPUTED_VALUE"""),"Donte DiVincenzo")</f>
        <v>Donte DiVincenzo</v>
      </c>
      <c r="E114">
        <f>IFERROR(__xludf.DUMMYFUNCTION("""COMPUTED_VALUE"""),53.0)</f>
        <v>53</v>
      </c>
      <c r="F114" t="str">
        <f>IFERROR(__xludf.DUMMYFUNCTION("""COMPUTED_VALUE"""),"SG,SF")</f>
        <v>SG,SF</v>
      </c>
      <c r="G114" s="11">
        <f>IFERROR(__xludf.DUMMYFUNCTION("""COMPUTED_VALUE"""),-0.6270068065687882)</f>
        <v>-0.6270068066</v>
      </c>
      <c r="H114" s="11">
        <f>IFERROR(__xludf.DUMMYFUNCTION("""COMPUTED_VALUE"""),-0.6270068065687882)</f>
        <v>-0.6270068066</v>
      </c>
      <c r="I114" s="11">
        <f>IFERROR(__xludf.DUMMYFUNCTION("""COMPUTED_VALUE"""),0.0)</f>
        <v>0</v>
      </c>
      <c r="J114" s="11">
        <f>IFERROR(__xludf.DUMMYFUNCTION("""COMPUTED_VALUE"""),12.7)</f>
        <v>12.7</v>
      </c>
      <c r="K114" s="11">
        <f>IFERROR(__xludf.DUMMYFUNCTION("""COMPUTED_VALUE"""),2.7)</f>
        <v>2.7</v>
      </c>
      <c r="L114" s="11">
        <f>IFERROR(__xludf.DUMMYFUNCTION("""COMPUTED_VALUE"""),3.9)</f>
        <v>3.9</v>
      </c>
      <c r="M114" s="11">
        <f>IFERROR(__xludf.DUMMYFUNCTION("""COMPUTED_VALUE"""),3.0)</f>
        <v>3</v>
      </c>
      <c r="N114" s="11">
        <f>IFERROR(__xludf.DUMMYFUNCTION("""COMPUTED_VALUE"""),1.3)</f>
        <v>1.3</v>
      </c>
      <c r="O114" s="11">
        <f>IFERROR(__xludf.DUMMYFUNCTION("""COMPUTED_VALUE"""),0.3)</f>
        <v>0.3</v>
      </c>
      <c r="P114" s="15">
        <f>IFERROR(__xludf.DUMMYFUNCTION("""COMPUTED_VALUE"""),0.444)</f>
        <v>0.444</v>
      </c>
      <c r="Q114" s="15">
        <f>IFERROR(__xludf.DUMMYFUNCTION("""COMPUTED_VALUE"""),0.786)</f>
        <v>0.786</v>
      </c>
      <c r="R114" s="11">
        <f>IFERROR(__xludf.DUMMYFUNCTION("""COMPUTED_VALUE"""),1.4)</f>
        <v>1.4</v>
      </c>
      <c r="S114" s="11">
        <f>IFERROR(__xludf.DUMMYFUNCTION("""COMPUTED_VALUE"""),-0.861128771732383)</f>
        <v>-0.8611287717</v>
      </c>
      <c r="T114" s="11">
        <f>IFERROR(__xludf.DUMMYFUNCTION("""COMPUTED_VALUE"""),0.946469492776779)</f>
        <v>0.9464694928</v>
      </c>
      <c r="U114" s="11">
        <f>IFERROR(__xludf.DUMMYFUNCTION("""COMPUTED_VALUE"""),-0.8507706320151226)</f>
        <v>-0.850770632</v>
      </c>
      <c r="V114" s="11">
        <f>IFERROR(__xludf.DUMMYFUNCTION("""COMPUTED_VALUE"""),-0.42634954706274036)</f>
        <v>-0.4263495471</v>
      </c>
      <c r="W114" s="11">
        <f>IFERROR(__xludf.DUMMYFUNCTION("""COMPUTED_VALUE"""),1.0749343021191105)</f>
        <v>1.074934302</v>
      </c>
      <c r="X114" s="11">
        <f>IFERROR(__xludf.DUMMYFUNCTION("""COMPUTED_VALUE"""),-0.7939110448965904)</f>
        <v>-0.7939110449</v>
      </c>
      <c r="Y114" s="11">
        <f>IFERROR(__xludf.DUMMYFUNCTION("""COMPUTED_VALUE"""),-0.6259610312558965)</f>
        <v>-0.6259610313</v>
      </c>
      <c r="Z114" s="11">
        <f>IFERROR(__xludf.DUMMYFUNCTION("""COMPUTED_VALUE"""),-0.037881450553934416)</f>
        <v>-0.03788145055</v>
      </c>
      <c r="AA114" s="11">
        <f>IFERROR(__xludf.DUMMYFUNCTION("""COMPUTED_VALUE"""),0.08646310431960676)</f>
        <v>0.08646310432</v>
      </c>
      <c r="AB114" t="str">
        <f>IFERROR(__xludf.DUMMYFUNCTION("SUBSTITUTE(REGEXREPLACE(REGEXREPLACE(REGEXREPLACE(REGEXREPLACE(REGEXREPLACE(REGEXREPLACE(F114,"","",),IF(Projections!$T$17="""",""PG"",),),IF(Projections!$U$17="""",""SG"",),),IF(Projections!$V$17="""",""SF"",),),IF(Projections!$W$17="""",""PF"",),),IF(Pr"&amp;"ojections!$X$17="""",""C"",),),""/"","""")"),"SGSF")</f>
        <v>SGSF</v>
      </c>
    </row>
    <row r="115">
      <c r="A115" t="str">
        <f>IF(Projections!$AC$17,Draft!M5,"")</f>
        <v/>
      </c>
      <c r="B115">
        <f>IFERROR(__xludf.DUMMYFUNCTION("""COMPUTED_VALUE"""),110.0)</f>
        <v>110</v>
      </c>
      <c r="C115">
        <f>IFERROR(__xludf.DUMMYFUNCTION("""COMPUTED_VALUE"""),130.7)</f>
        <v>130.7</v>
      </c>
      <c r="D115" t="str">
        <f>IFERROR(__xludf.DUMMYFUNCTION("""COMPUTED_VALUE"""),"Marcus Smart")</f>
        <v>Marcus Smart</v>
      </c>
      <c r="E115">
        <f>IFERROR(__xludf.DUMMYFUNCTION("""COMPUTED_VALUE"""),71.0)</f>
        <v>71</v>
      </c>
      <c r="F115" t="str">
        <f>IFERROR(__xludf.DUMMYFUNCTION("""COMPUTED_VALUE"""),"PG,SG")</f>
        <v>PG,SG</v>
      </c>
      <c r="G115" s="11">
        <f>IFERROR(__xludf.DUMMYFUNCTION("""COMPUTED_VALUE"""),-0.6351996026677842)</f>
        <v>-0.6351996027</v>
      </c>
      <c r="H115" s="11">
        <f>IFERROR(__xludf.DUMMYFUNCTION("""COMPUTED_VALUE"""),-0.6351996026677842)</f>
        <v>-0.6351996027</v>
      </c>
      <c r="I115" s="11">
        <f>IFERROR(__xludf.DUMMYFUNCTION("""COMPUTED_VALUE"""),0.0)</f>
        <v>0</v>
      </c>
      <c r="J115" s="11">
        <f>IFERROR(__xludf.DUMMYFUNCTION("""COMPUTED_VALUE"""),12.1)</f>
        <v>12.1</v>
      </c>
      <c r="K115" s="11">
        <f>IFERROR(__xludf.DUMMYFUNCTION("""COMPUTED_VALUE"""),1.9)</f>
        <v>1.9</v>
      </c>
      <c r="L115" s="11">
        <f>IFERROR(__xludf.DUMMYFUNCTION("""COMPUTED_VALUE"""),3.0)</f>
        <v>3</v>
      </c>
      <c r="M115" s="11">
        <f>IFERROR(__xludf.DUMMYFUNCTION("""COMPUTED_VALUE"""),4.7)</f>
        <v>4.7</v>
      </c>
      <c r="N115" s="11">
        <f>IFERROR(__xludf.DUMMYFUNCTION("""COMPUTED_VALUE"""),1.6)</f>
        <v>1.6</v>
      </c>
      <c r="O115" s="11">
        <f>IFERROR(__xludf.DUMMYFUNCTION("""COMPUTED_VALUE"""),0.3)</f>
        <v>0.3</v>
      </c>
      <c r="P115" s="15">
        <f>IFERROR(__xludf.DUMMYFUNCTION("""COMPUTED_VALUE"""),0.42)</f>
        <v>0.42</v>
      </c>
      <c r="Q115" s="15">
        <f>IFERROR(__xludf.DUMMYFUNCTION("""COMPUTED_VALUE"""),0.751)</f>
        <v>0.751</v>
      </c>
      <c r="R115" s="11">
        <f>IFERROR(__xludf.DUMMYFUNCTION("""COMPUTED_VALUE"""),2.5)</f>
        <v>2.5</v>
      </c>
      <c r="S115" s="11">
        <f>IFERROR(__xludf.DUMMYFUNCTION("""COMPUTED_VALUE"""),-0.9695175835119804)</f>
        <v>-0.9695175835</v>
      </c>
      <c r="T115" s="11">
        <f>IFERROR(__xludf.DUMMYFUNCTION("""COMPUTED_VALUE"""),0.15027510052444681)</f>
        <v>0.1502751005</v>
      </c>
      <c r="U115" s="11">
        <f>IFERROR(__xludf.DUMMYFUNCTION("""COMPUTED_VALUE"""),-1.2038079721398716)</f>
        <v>-1.203807972</v>
      </c>
      <c r="V115" s="11">
        <f>IFERROR(__xludf.DUMMYFUNCTION("""COMPUTED_VALUE"""),0.34820055011351986)</f>
        <v>0.3482005501</v>
      </c>
      <c r="W115" s="11">
        <f>IFERROR(__xludf.DUMMYFUNCTION("""COMPUTED_VALUE"""),2.0707323365975485)</f>
        <v>2.070732337</v>
      </c>
      <c r="X115" s="11">
        <f>IFERROR(__xludf.DUMMYFUNCTION("""COMPUTED_VALUE"""),-0.7939110448965904)</f>
        <v>-0.7939110449</v>
      </c>
      <c r="Y115" s="11">
        <f>IFERROR(__xludf.DUMMYFUNCTION("""COMPUTED_VALUE"""),-0.9280749251635424)</f>
        <v>-0.9280749252</v>
      </c>
      <c r="Z115" s="11">
        <f>IFERROR(__xludf.DUMMYFUNCTION("""COMPUTED_VALUE"""),-0.32658679241494)</f>
        <v>-0.3265867924</v>
      </c>
      <c r="AA115" s="11">
        <f>IFERROR(__xludf.DUMMYFUNCTION("""COMPUTED_VALUE"""),-0.1863172439162465)</f>
        <v>-0.1863172439</v>
      </c>
      <c r="AB115" t="str">
        <f>IFERROR(__xludf.DUMMYFUNCTION("SUBSTITUTE(REGEXREPLACE(REGEXREPLACE(REGEXREPLACE(REGEXREPLACE(REGEXREPLACE(REGEXREPLACE(F115,"","",),IF(Projections!$T$17="""",""PG"",),),IF(Projections!$U$17="""",""SG"",),),IF(Projections!$V$17="""",""SF"",),),IF(Projections!$W$17="""",""PF"",),),IF(Pr"&amp;"ojections!$X$17="""",""C"",),),""/"","""")"),"PGSG")</f>
        <v>PGSG</v>
      </c>
    </row>
    <row r="116">
      <c r="A116" t="str">
        <f>IF(Projections!$AC$17,Draft!M6,"")</f>
        <v/>
      </c>
      <c r="B116">
        <f>IFERROR(__xludf.DUMMYFUNCTION("""COMPUTED_VALUE"""),111.0)</f>
        <v>111</v>
      </c>
      <c r="C116">
        <f>IFERROR(__xludf.DUMMYFUNCTION("""COMPUTED_VALUE"""),91.6)</f>
        <v>91.6</v>
      </c>
      <c r="D116" t="str">
        <f>IFERROR(__xludf.DUMMYFUNCTION("""COMPUTED_VALUE"""),"Ivica Zubac")</f>
        <v>Ivica Zubac</v>
      </c>
      <c r="E116">
        <f>IFERROR(__xludf.DUMMYFUNCTION("""COMPUTED_VALUE"""),66.0)</f>
        <v>66</v>
      </c>
      <c r="F116" t="str">
        <f>IFERROR(__xludf.DUMMYFUNCTION("""COMPUTED_VALUE"""),"C")</f>
        <v>C</v>
      </c>
      <c r="G116" s="11">
        <f>IFERROR(__xludf.DUMMYFUNCTION("""COMPUTED_VALUE"""),-0.6631915037110361)</f>
        <v>-0.6631915037</v>
      </c>
      <c r="H116" s="11">
        <f>IFERROR(__xludf.DUMMYFUNCTION("""COMPUTED_VALUE"""),-0.6631915037110361)</f>
        <v>-0.6631915037</v>
      </c>
      <c r="I116" s="11">
        <f>IFERROR(__xludf.DUMMYFUNCTION("""COMPUTED_VALUE"""),0.0)</f>
        <v>0</v>
      </c>
      <c r="J116" s="11">
        <f>IFERROR(__xludf.DUMMYFUNCTION("""COMPUTED_VALUE"""),12.3)</f>
        <v>12.3</v>
      </c>
      <c r="K116" s="11">
        <f>IFERROR(__xludf.DUMMYFUNCTION("""COMPUTED_VALUE"""),0.0)</f>
        <v>0</v>
      </c>
      <c r="L116" s="11">
        <f>IFERROR(__xludf.DUMMYFUNCTION("""COMPUTED_VALUE"""),10.1)</f>
        <v>10.1</v>
      </c>
      <c r="M116" s="11">
        <f>IFERROR(__xludf.DUMMYFUNCTION("""COMPUTED_VALUE"""),1.3)</f>
        <v>1.3</v>
      </c>
      <c r="N116" s="11">
        <f>IFERROR(__xludf.DUMMYFUNCTION("""COMPUTED_VALUE"""),0.4)</f>
        <v>0.4</v>
      </c>
      <c r="O116" s="11">
        <f>IFERROR(__xludf.DUMMYFUNCTION("""COMPUTED_VALUE"""),1.4)</f>
        <v>1.4</v>
      </c>
      <c r="P116" s="15">
        <f>IFERROR(__xludf.DUMMYFUNCTION("""COMPUTED_VALUE"""),0.642)</f>
        <v>0.642</v>
      </c>
      <c r="Q116" s="15">
        <f>IFERROR(__xludf.DUMMYFUNCTION("""COMPUTED_VALUE"""),0.709)</f>
        <v>0.709</v>
      </c>
      <c r="R116" s="11">
        <f>IFERROR(__xludf.DUMMYFUNCTION("""COMPUTED_VALUE"""),1.5)</f>
        <v>1.5</v>
      </c>
      <c r="S116" s="11">
        <f>IFERROR(__xludf.DUMMYFUNCTION("""COMPUTED_VALUE"""),-0.9333879795854476)</f>
        <v>-0.9333879796</v>
      </c>
      <c r="T116" s="11">
        <f>IFERROR(__xludf.DUMMYFUNCTION("""COMPUTED_VALUE"""),-1.7406865810748415)</f>
        <v>-1.740686581</v>
      </c>
      <c r="U116" s="11">
        <f>IFERROR(__xludf.DUMMYFUNCTION("""COMPUTED_VALUE"""),1.5812643777331492)</f>
        <v>1.581264378</v>
      </c>
      <c r="V116" s="11">
        <f>IFERROR(__xludf.DUMMYFUNCTION("""COMPUTED_VALUE"""),-1.2008996442390003)</f>
        <v>-1.200899644</v>
      </c>
      <c r="W116" s="11">
        <f>IFERROR(__xludf.DUMMYFUNCTION("""COMPUTED_VALUE"""),-1.912459801316204)</f>
        <v>-1.912459801</v>
      </c>
      <c r="X116" s="11">
        <f>IFERROR(__xludf.DUMMYFUNCTION("""COMPUTED_VALUE"""),1.1684196776826294)</f>
        <v>1.168419678</v>
      </c>
      <c r="Y116" s="11">
        <f>IFERROR(__xludf.DUMMYFUNCTION("""COMPUTED_VALUE"""),1.3436307459592243)</f>
        <v>1.343630746</v>
      </c>
      <c r="Z116" s="11">
        <f>IFERROR(__xludf.DUMMYFUNCTION("""COMPUTED_VALUE"""),-0.9431969910303704)</f>
        <v>-0.943196991</v>
      </c>
      <c r="AA116" s="11">
        <f>IFERROR(__xludf.DUMMYFUNCTION("""COMPUTED_VALUE"""),0.06166489084362008)</f>
        <v>0.06166489084</v>
      </c>
      <c r="AB116" t="str">
        <f>IFERROR(__xludf.DUMMYFUNCTION("SUBSTITUTE(REGEXREPLACE(REGEXREPLACE(REGEXREPLACE(REGEXREPLACE(REGEXREPLACE(REGEXREPLACE(F116,"","",),IF(Projections!$T$17="""",""PG"",),),IF(Projections!$U$17="""",""SG"",),),IF(Projections!$V$17="""",""SF"",),),IF(Projections!$W$17="""",""PF"",),),IF(Pr"&amp;"ojections!$X$17="""",""C"",),),""/"","""")"),"C")</f>
        <v>C</v>
      </c>
    </row>
    <row r="117">
      <c r="A117" t="str">
        <f>IF(Projections!$AC$17,Draft!M7,"")</f>
        <v/>
      </c>
      <c r="B117">
        <f>IFERROR(__xludf.DUMMYFUNCTION("""COMPUTED_VALUE"""),112.0)</f>
        <v>112</v>
      </c>
      <c r="C117">
        <f>IFERROR(__xludf.DUMMYFUNCTION("""COMPUTED_VALUE"""),104.5)</f>
        <v>104.5</v>
      </c>
      <c r="D117" t="str">
        <f>IFERROR(__xludf.DUMMYFUNCTION("""COMPUTED_VALUE"""),"Daniel Gafford")</f>
        <v>Daniel Gafford</v>
      </c>
      <c r="E117">
        <f>IFERROR(__xludf.DUMMYFUNCTION("""COMPUTED_VALUE"""),66.0)</f>
        <v>66</v>
      </c>
      <c r="F117" t="str">
        <f>IFERROR(__xludf.DUMMYFUNCTION("""COMPUTED_VALUE"""),"PF,C")</f>
        <v>PF,C</v>
      </c>
      <c r="G117" s="11">
        <f>IFERROR(__xludf.DUMMYFUNCTION("""COMPUTED_VALUE"""),-0.6720351681593695)</f>
        <v>-0.6720351682</v>
      </c>
      <c r="H117" s="11">
        <f>IFERROR(__xludf.DUMMYFUNCTION("""COMPUTED_VALUE"""),-0.6720351681593695)</f>
        <v>-0.6720351682</v>
      </c>
      <c r="I117" s="11">
        <f>IFERROR(__xludf.DUMMYFUNCTION("""COMPUTED_VALUE"""),0.0)</f>
        <v>0</v>
      </c>
      <c r="J117" s="11">
        <f>IFERROR(__xludf.DUMMYFUNCTION("""COMPUTED_VALUE"""),10.3)</f>
        <v>10.3</v>
      </c>
      <c r="K117" s="11">
        <f>IFERROR(__xludf.DUMMYFUNCTION("""COMPUTED_VALUE"""),0.0)</f>
        <v>0</v>
      </c>
      <c r="L117" s="11">
        <f>IFERROR(__xludf.DUMMYFUNCTION("""COMPUTED_VALUE"""),6.8)</f>
        <v>6.8</v>
      </c>
      <c r="M117" s="11">
        <f>IFERROR(__xludf.DUMMYFUNCTION("""COMPUTED_VALUE"""),1.4)</f>
        <v>1.4</v>
      </c>
      <c r="N117" s="11">
        <f>IFERROR(__xludf.DUMMYFUNCTION("""COMPUTED_VALUE"""),0.7)</f>
        <v>0.7</v>
      </c>
      <c r="O117" s="11">
        <f>IFERROR(__xludf.DUMMYFUNCTION("""COMPUTED_VALUE"""),1.7)</f>
        <v>1.7</v>
      </c>
      <c r="P117" s="15">
        <f>IFERROR(__xludf.DUMMYFUNCTION("""COMPUTED_VALUE"""),0.729)</f>
        <v>0.729</v>
      </c>
      <c r="Q117" s="15">
        <f>IFERROR(__xludf.DUMMYFUNCTION("""COMPUTED_VALUE"""),0.675)</f>
        <v>0.675</v>
      </c>
      <c r="R117" s="11">
        <f>IFERROR(__xludf.DUMMYFUNCTION("""COMPUTED_VALUE"""),1.1)</f>
        <v>1.1</v>
      </c>
      <c r="S117" s="11">
        <f>IFERROR(__xludf.DUMMYFUNCTION("""COMPUTED_VALUE"""),-1.2946840188507724)</f>
        <v>-1.294684019</v>
      </c>
      <c r="T117" s="11">
        <f>IFERROR(__xludf.DUMMYFUNCTION("""COMPUTED_VALUE"""),-1.7406865810748415)</f>
        <v>-1.740686581</v>
      </c>
      <c r="U117" s="11">
        <f>IFERROR(__xludf.DUMMYFUNCTION("""COMPUTED_VALUE"""),0.28679413060906905)</f>
        <v>0.2867941306</v>
      </c>
      <c r="V117" s="11">
        <f>IFERROR(__xludf.DUMMYFUNCTION("""COMPUTED_VALUE"""),-1.1553378738168676)</f>
        <v>-1.155337874</v>
      </c>
      <c r="W117" s="11">
        <f>IFERROR(__xludf.DUMMYFUNCTION("""COMPUTED_VALUE"""),-0.9166617668377661)</f>
        <v>-0.9166617668</v>
      </c>
      <c r="X117" s="11">
        <f>IFERROR(__xludf.DUMMYFUNCTION("""COMPUTED_VALUE"""),1.7036007838405984)</f>
        <v>1.703600784</v>
      </c>
      <c r="Y117" s="11">
        <f>IFERROR(__xludf.DUMMYFUNCTION("""COMPUTED_VALUE"""),1.6050591326380894)</f>
        <v>1.605059133</v>
      </c>
      <c r="Z117" s="11">
        <f>IFERROR(__xludf.DUMMYFUNCTION("""COMPUTED_VALUE"""),-1.0616633004892868)</f>
        <v>-1.0616633</v>
      </c>
      <c r="AA117" s="11">
        <f>IFERROR(__xludf.DUMMYFUNCTION("""COMPUTED_VALUE"""),0.16085774474756667)</f>
        <v>0.1608577447</v>
      </c>
      <c r="AB117" t="str">
        <f>IFERROR(__xludf.DUMMYFUNCTION("SUBSTITUTE(REGEXREPLACE(REGEXREPLACE(REGEXREPLACE(REGEXREPLACE(REGEXREPLACE(REGEXREPLACE(F117,"","",),IF(Projections!$T$17="""",""PG"",),),IF(Projections!$U$17="""",""SG"",),),IF(Projections!$V$17="""",""SF"",),),IF(Projections!$W$17="""",""PF"",),),IF(Pr"&amp;"ojections!$X$17="""",""C"",),),""/"","""")"),"PFC")</f>
        <v>PFC</v>
      </c>
    </row>
    <row r="118">
      <c r="A118" t="str">
        <f>IF(Projections!$AC$17,Draft!M8,"")</f>
        <v/>
      </c>
      <c r="B118">
        <f>IFERROR(__xludf.DUMMYFUNCTION("""COMPUTED_VALUE"""),113.0)</f>
        <v>113</v>
      </c>
      <c r="C118">
        <f>IFERROR(__xludf.DUMMYFUNCTION("""COMPUTED_VALUE"""),63.6)</f>
        <v>63.6</v>
      </c>
      <c r="D118" t="str">
        <f>IFERROR(__xludf.DUMMYFUNCTION("""COMPUTED_VALUE"""),"Julius Randle")</f>
        <v>Julius Randle</v>
      </c>
      <c r="E118">
        <f>IFERROR(__xludf.DUMMYFUNCTION("""COMPUTED_VALUE"""),66.0)</f>
        <v>66</v>
      </c>
      <c r="F118" t="str">
        <f>IFERROR(__xludf.DUMMYFUNCTION("""COMPUTED_VALUE"""),"PF")</f>
        <v>PF</v>
      </c>
      <c r="G118" s="11">
        <f>IFERROR(__xludf.DUMMYFUNCTION("""COMPUTED_VALUE"""),-0.7233248156840717)</f>
        <v>-0.7233248157</v>
      </c>
      <c r="H118" s="11">
        <f>IFERROR(__xludf.DUMMYFUNCTION("""COMPUTED_VALUE"""),-0.7233248156840717)</f>
        <v>-0.7233248157</v>
      </c>
      <c r="I118" s="11">
        <f>IFERROR(__xludf.DUMMYFUNCTION("""COMPUTED_VALUE"""),0.0)</f>
        <v>0</v>
      </c>
      <c r="J118" s="11">
        <f>IFERROR(__xludf.DUMMYFUNCTION("""COMPUTED_VALUE"""),20.3)</f>
        <v>20.3</v>
      </c>
      <c r="K118" s="11">
        <f>IFERROR(__xludf.DUMMYFUNCTION("""COMPUTED_VALUE"""),1.4)</f>
        <v>1.4</v>
      </c>
      <c r="L118" s="11">
        <f>IFERROR(__xludf.DUMMYFUNCTION("""COMPUTED_VALUE"""),8.5)</f>
        <v>8.5</v>
      </c>
      <c r="M118" s="11">
        <f>IFERROR(__xludf.DUMMYFUNCTION("""COMPUTED_VALUE"""),3.9)</f>
        <v>3.9</v>
      </c>
      <c r="N118" s="11">
        <f>IFERROR(__xludf.DUMMYFUNCTION("""COMPUTED_VALUE"""),0.5)</f>
        <v>0.5</v>
      </c>
      <c r="O118" s="11">
        <f>IFERROR(__xludf.DUMMYFUNCTION("""COMPUTED_VALUE"""),0.2)</f>
        <v>0.2</v>
      </c>
      <c r="P118" s="15">
        <f>IFERROR(__xludf.DUMMYFUNCTION("""COMPUTED_VALUE"""),0.477)</f>
        <v>0.477</v>
      </c>
      <c r="Q118" s="15">
        <f>IFERROR(__xludf.DUMMYFUNCTION("""COMPUTED_VALUE"""),0.78)</f>
        <v>0.78</v>
      </c>
      <c r="R118" s="11">
        <f>IFERROR(__xludf.DUMMYFUNCTION("""COMPUTED_VALUE"""),2.6)</f>
        <v>2.6</v>
      </c>
      <c r="S118" s="11">
        <f>IFERROR(__xludf.DUMMYFUNCTION("""COMPUTED_VALUE"""),0.5117961774758512)</f>
        <v>0.5117961775</v>
      </c>
      <c r="T118" s="11">
        <f>IFERROR(__xludf.DUMMYFUNCTION("""COMPUTED_VALUE"""),-0.34734639463326067)</f>
        <v>-0.3473463946</v>
      </c>
      <c r="U118" s="11">
        <f>IFERROR(__xludf.DUMMYFUNCTION("""COMPUTED_VALUE"""),0.9536424397335953)</f>
        <v>0.9536424397</v>
      </c>
      <c r="V118" s="11">
        <f>IFERROR(__xludf.DUMMYFUNCTION("""COMPUTED_VALUE"""),-0.016293613263543852)</f>
        <v>-0.01629361326</v>
      </c>
      <c r="W118" s="11">
        <f>IFERROR(__xludf.DUMMYFUNCTION("""COMPUTED_VALUE"""),-1.5805271231567248)</f>
        <v>-1.580527123</v>
      </c>
      <c r="X118" s="11">
        <f>IFERROR(__xludf.DUMMYFUNCTION("""COMPUTED_VALUE"""),-0.9723047469492465)</f>
        <v>-0.9723047469</v>
      </c>
      <c r="Y118" s="11">
        <f>IFERROR(__xludf.DUMMYFUNCTION("""COMPUTED_VALUE"""),-0.3564947363212232)</f>
        <v>-0.3564947363</v>
      </c>
      <c r="Z118" s="11">
        <f>IFERROR(__xludf.DUMMYFUNCTION("""COMPUTED_VALUE"""),-0.2852084843340107)</f>
        <v>-0.2852084843</v>
      </c>
      <c r="AA118" s="11">
        <f>IFERROR(__xludf.DUMMYFUNCTION("""COMPUTED_VALUE"""),-0.21111545739223317)</f>
        <v>-0.2111154574</v>
      </c>
      <c r="AB118" t="str">
        <f>IFERROR(__xludf.DUMMYFUNCTION("SUBSTITUTE(REGEXREPLACE(REGEXREPLACE(REGEXREPLACE(REGEXREPLACE(REGEXREPLACE(REGEXREPLACE(F118,"","",),IF(Projections!$T$17="""",""PG"",),),IF(Projections!$U$17="""",""SG"",),),IF(Projections!$V$17="""",""SF"",),),IF(Projections!$W$17="""",""PF"",),),IF(Pr"&amp;"ojections!$X$17="""",""C"",),),""/"","""")"),"PF")</f>
        <v>PF</v>
      </c>
    </row>
    <row r="119">
      <c r="A119" t="str">
        <f>IF(Projections!$AC$17,Draft!M9,"")</f>
        <v/>
      </c>
      <c r="B119">
        <f>IFERROR(__xludf.DUMMYFUNCTION("""COMPUTED_VALUE"""),114.0)</f>
        <v>114</v>
      </c>
      <c r="C119">
        <f>IFERROR(__xludf.DUMMYFUNCTION("""COMPUTED_VALUE"""),117.6)</f>
        <v>117.6</v>
      </c>
      <c r="D119" t="str">
        <f>IFERROR(__xludf.DUMMYFUNCTION("""COMPUTED_VALUE"""),"Onyeka Okongwu")</f>
        <v>Onyeka Okongwu</v>
      </c>
      <c r="E119">
        <f>IFERROR(__xludf.DUMMYFUNCTION("""COMPUTED_VALUE"""),71.0)</f>
        <v>71</v>
      </c>
      <c r="F119" t="str">
        <f>IFERROR(__xludf.DUMMYFUNCTION("""COMPUTED_VALUE"""),"PF,C")</f>
        <v>PF,C</v>
      </c>
      <c r="G119" s="11">
        <f>IFERROR(__xludf.DUMMYFUNCTION("""COMPUTED_VALUE"""),-0.7686995666499936)</f>
        <v>-0.7686995666</v>
      </c>
      <c r="H119" s="11">
        <f>IFERROR(__xludf.DUMMYFUNCTION("""COMPUTED_VALUE"""),-0.7686995666499936)</f>
        <v>-0.7686995666</v>
      </c>
      <c r="I119" s="11">
        <f>IFERROR(__xludf.DUMMYFUNCTION("""COMPUTED_VALUE"""),0.0)</f>
        <v>0</v>
      </c>
      <c r="J119" s="11">
        <f>IFERROR(__xludf.DUMMYFUNCTION("""COMPUTED_VALUE"""),10.6)</f>
        <v>10.6</v>
      </c>
      <c r="K119" s="11">
        <f>IFERROR(__xludf.DUMMYFUNCTION("""COMPUTED_VALUE"""),0.5)</f>
        <v>0.5</v>
      </c>
      <c r="L119" s="11">
        <f>IFERROR(__xludf.DUMMYFUNCTION("""COMPUTED_VALUE"""),7.6)</f>
        <v>7.6</v>
      </c>
      <c r="M119" s="11">
        <f>IFERROR(__xludf.DUMMYFUNCTION("""COMPUTED_VALUE"""),1.3)</f>
        <v>1.3</v>
      </c>
      <c r="N119" s="11">
        <f>IFERROR(__xludf.DUMMYFUNCTION("""COMPUTED_VALUE"""),0.7)</f>
        <v>0.7</v>
      </c>
      <c r="O119" s="11">
        <f>IFERROR(__xludf.DUMMYFUNCTION("""COMPUTED_VALUE"""),1.3)</f>
        <v>1.3</v>
      </c>
      <c r="P119" s="15">
        <f>IFERROR(__xludf.DUMMYFUNCTION("""COMPUTED_VALUE"""),0.617)</f>
        <v>0.617</v>
      </c>
      <c r="Q119" s="15">
        <f>IFERROR(__xludf.DUMMYFUNCTION("""COMPUTED_VALUE"""),0.785)</f>
        <v>0.785</v>
      </c>
      <c r="R119" s="11">
        <f>IFERROR(__xludf.DUMMYFUNCTION("""COMPUTED_VALUE"""),1.1)</f>
        <v>1.1</v>
      </c>
      <c r="S119" s="11">
        <f>IFERROR(__xludf.DUMMYFUNCTION("""COMPUTED_VALUE"""),-1.240489612960974)</f>
        <v>-1.240489613</v>
      </c>
      <c r="T119" s="11">
        <f>IFERROR(__xludf.DUMMYFUNCTION("""COMPUTED_VALUE"""),-1.2430650859171342)</f>
        <v>-1.243065086</v>
      </c>
      <c r="U119" s="11">
        <f>IFERROR(__xludf.DUMMYFUNCTION("""COMPUTED_VALUE"""),0.600605099608846)</f>
        <v>0.6006050996</v>
      </c>
      <c r="V119" s="11">
        <f>IFERROR(__xludf.DUMMYFUNCTION("""COMPUTED_VALUE"""),-1.2008996442390003)</f>
        <v>-1.200899644</v>
      </c>
      <c r="W119" s="11">
        <f>IFERROR(__xludf.DUMMYFUNCTION("""COMPUTED_VALUE"""),-0.9166617668377661)</f>
        <v>-0.9166617668</v>
      </c>
      <c r="X119" s="11">
        <f>IFERROR(__xludf.DUMMYFUNCTION("""COMPUTED_VALUE"""),0.9900259756299733)</f>
        <v>0.9900259756</v>
      </c>
      <c r="Y119" s="11">
        <f>IFERROR(__xludf.DUMMYFUNCTION("""COMPUTED_VALUE"""),0.9291468014962244)</f>
        <v>0.9291468015</v>
      </c>
      <c r="Z119" s="11">
        <f>IFERROR(__xludf.DUMMYFUNCTION("""COMPUTED_VALUE"""),-0.09128416409486391)</f>
        <v>-0.09128416409</v>
      </c>
      <c r="AA119" s="11">
        <f>IFERROR(__xludf.DUMMYFUNCTION("""COMPUTED_VALUE"""),0.16085774474756667)</f>
        <v>0.1608577447</v>
      </c>
      <c r="AB119" t="str">
        <f>IFERROR(__xludf.DUMMYFUNCTION("SUBSTITUTE(REGEXREPLACE(REGEXREPLACE(REGEXREPLACE(REGEXREPLACE(REGEXREPLACE(REGEXREPLACE(F119,"","",),IF(Projections!$T$17="""",""PG"",),),IF(Projections!$U$17="""",""SG"",),),IF(Projections!$V$17="""",""SF"",),),IF(Projections!$W$17="""",""PF"",),),IF(Pr"&amp;"ojections!$X$17="""",""C"",),),""/"","""")"),"PFC")</f>
        <v>PFC</v>
      </c>
    </row>
    <row r="120">
      <c r="A120" t="str">
        <f>IF(Projections!$AC$17,Draft!M10,"")</f>
        <v/>
      </c>
      <c r="B120">
        <f>IFERROR(__xludf.DUMMYFUNCTION("""COMPUTED_VALUE"""),115.0)</f>
        <v>115</v>
      </c>
      <c r="C120">
        <f>IFERROR(__xludf.DUMMYFUNCTION("""COMPUTED_VALUE"""),96.4)</f>
        <v>96.4</v>
      </c>
      <c r="D120" t="str">
        <f>IFERROR(__xludf.DUMMYFUNCTION("""COMPUTED_VALUE"""),"Naz Reid")</f>
        <v>Naz Reid</v>
      </c>
      <c r="E120">
        <f>IFERROR(__xludf.DUMMYFUNCTION("""COMPUTED_VALUE"""),71.0)</f>
        <v>71</v>
      </c>
      <c r="F120" t="str">
        <f>IFERROR(__xludf.DUMMYFUNCTION("""COMPUTED_VALUE"""),"PF,C")</f>
        <v>PF,C</v>
      </c>
      <c r="G120" s="11">
        <f>IFERROR(__xludf.DUMMYFUNCTION("""COMPUTED_VALUE"""),-0.7924526544285861)</f>
        <v>-0.7924526544</v>
      </c>
      <c r="H120" s="11">
        <f>IFERROR(__xludf.DUMMYFUNCTION("""COMPUTED_VALUE"""),-0.7924526544285861)</f>
        <v>-0.7924526544</v>
      </c>
      <c r="I120" s="11">
        <f>IFERROR(__xludf.DUMMYFUNCTION("""COMPUTED_VALUE"""),0.0)</f>
        <v>0</v>
      </c>
      <c r="J120" s="11">
        <f>IFERROR(__xludf.DUMMYFUNCTION("""COMPUTED_VALUE"""),14.7)</f>
        <v>14.7</v>
      </c>
      <c r="K120" s="11">
        <f>IFERROR(__xludf.DUMMYFUNCTION("""COMPUTED_VALUE"""),2.0)</f>
        <v>2</v>
      </c>
      <c r="L120" s="11">
        <f>IFERROR(__xludf.DUMMYFUNCTION("""COMPUTED_VALUE"""),6.2)</f>
        <v>6.2</v>
      </c>
      <c r="M120" s="11">
        <f>IFERROR(__xludf.DUMMYFUNCTION("""COMPUTED_VALUE"""),1.5)</f>
        <v>1.5</v>
      </c>
      <c r="N120" s="11">
        <f>IFERROR(__xludf.DUMMYFUNCTION("""COMPUTED_VALUE"""),0.9)</f>
        <v>0.9</v>
      </c>
      <c r="O120" s="11">
        <f>IFERROR(__xludf.DUMMYFUNCTION("""COMPUTED_VALUE"""),1.0)</f>
        <v>1</v>
      </c>
      <c r="P120" s="15">
        <f>IFERROR(__xludf.DUMMYFUNCTION("""COMPUTED_VALUE"""),0.472)</f>
        <v>0.472</v>
      </c>
      <c r="Q120" s="15">
        <f>IFERROR(__xludf.DUMMYFUNCTION("""COMPUTED_VALUE"""),0.735)</f>
        <v>0.735</v>
      </c>
      <c r="R120" s="11">
        <f>IFERROR(__xludf.DUMMYFUNCTION("""COMPUTED_VALUE"""),1.7)</f>
        <v>1.7</v>
      </c>
      <c r="S120" s="11">
        <f>IFERROR(__xludf.DUMMYFUNCTION("""COMPUTED_VALUE"""),-0.4998327324670583)</f>
        <v>-0.4998327325</v>
      </c>
      <c r="T120" s="11">
        <f>IFERROR(__xludf.DUMMYFUNCTION("""COMPUTED_VALUE"""),0.2497993995559884)</f>
        <v>0.2497993996</v>
      </c>
      <c r="U120" s="11">
        <f>IFERROR(__xludf.DUMMYFUNCTION("""COMPUTED_VALUE"""),0.05143590385923644)</f>
        <v>0.05143590386</v>
      </c>
      <c r="V120" s="11">
        <f>IFERROR(__xludf.DUMMYFUNCTION("""COMPUTED_VALUE"""),-1.1097761033947346)</f>
        <v>-1.109776103</v>
      </c>
      <c r="W120" s="11">
        <f>IFERROR(__xludf.DUMMYFUNCTION("""COMPUTED_VALUE"""),-0.25279641051880714)</f>
        <v>-0.2527964105</v>
      </c>
      <c r="X120" s="11">
        <f>IFERROR(__xludf.DUMMYFUNCTION("""COMPUTED_VALUE"""),0.45484486947200414)</f>
        <v>0.4548448695</v>
      </c>
      <c r="Y120" s="11">
        <f>IFERROR(__xludf.DUMMYFUNCTION("""COMPUTED_VALUE"""),-0.3411756753667134)</f>
        <v>-0.3411756754</v>
      </c>
      <c r="Z120" s="11">
        <f>IFERROR(__xludf.DUMMYFUNCTION("""COMPUTED_VALUE"""),-0.4667964728548831)</f>
        <v>-0.4667964729</v>
      </c>
      <c r="AA120" s="11">
        <f>IFERROR(__xludf.DUMMYFUNCTION("""COMPUTED_VALUE"""),0.012068463891646777)</f>
        <v>0.01206846389</v>
      </c>
      <c r="AB120" t="str">
        <f>IFERROR(__xludf.DUMMYFUNCTION("SUBSTITUTE(REGEXREPLACE(REGEXREPLACE(REGEXREPLACE(REGEXREPLACE(REGEXREPLACE(REGEXREPLACE(F120,"","",),IF(Projections!$T$17="""",""PG"",),),IF(Projections!$U$17="""",""SG"",),),IF(Projections!$V$17="""",""SF"",),),IF(Projections!$W$17="""",""PF"",),),IF(Pr"&amp;"ojections!$X$17="""",""C"",),),""/"","""")"),"PFC")</f>
        <v>PFC</v>
      </c>
    </row>
    <row r="121">
      <c r="A121" t="str">
        <f>IF(Projections!$AC$17,Draft!M11,"")</f>
        <v/>
      </c>
      <c r="B121">
        <f>IFERROR(__xludf.DUMMYFUNCTION("""COMPUTED_VALUE"""),116.0)</f>
        <v>116</v>
      </c>
      <c r="C121">
        <f>IFERROR(__xludf.DUMMYFUNCTION("""COMPUTED_VALUE"""),109.6)</f>
        <v>109.6</v>
      </c>
      <c r="D121" t="str">
        <f>IFERROR(__xludf.DUMMYFUNCTION("""COMPUTED_VALUE"""),"Jerami Grant")</f>
        <v>Jerami Grant</v>
      </c>
      <c r="E121">
        <f>IFERROR(__xludf.DUMMYFUNCTION("""COMPUTED_VALUE"""),66.0)</f>
        <v>66</v>
      </c>
      <c r="F121" t="str">
        <f>IFERROR(__xludf.DUMMYFUNCTION("""COMPUTED_VALUE"""),"SF,PF")</f>
        <v>SF,PF</v>
      </c>
      <c r="G121" s="11">
        <f>IFERROR(__xludf.DUMMYFUNCTION("""COMPUTED_VALUE"""),-0.813612879337897)</f>
        <v>-0.8136128793</v>
      </c>
      <c r="H121" s="11">
        <f>IFERROR(__xludf.DUMMYFUNCTION("""COMPUTED_VALUE"""),-0.813612879337897)</f>
        <v>-0.8136128793</v>
      </c>
      <c r="I121" s="11">
        <f>IFERROR(__xludf.DUMMYFUNCTION("""COMPUTED_VALUE"""),0.0)</f>
        <v>0</v>
      </c>
      <c r="J121" s="11">
        <f>IFERROR(__xludf.DUMMYFUNCTION("""COMPUTED_VALUE"""),19.7)</f>
        <v>19.7</v>
      </c>
      <c r="K121" s="11">
        <f>IFERROR(__xludf.DUMMYFUNCTION("""COMPUTED_VALUE"""),2.1)</f>
        <v>2.1</v>
      </c>
      <c r="L121" s="11">
        <f>IFERROR(__xludf.DUMMYFUNCTION("""COMPUTED_VALUE"""),3.9)</f>
        <v>3.9</v>
      </c>
      <c r="M121" s="11">
        <f>IFERROR(__xludf.DUMMYFUNCTION("""COMPUTED_VALUE"""),2.5)</f>
        <v>2.5</v>
      </c>
      <c r="N121" s="11">
        <f>IFERROR(__xludf.DUMMYFUNCTION("""COMPUTED_VALUE"""),0.8)</f>
        <v>0.8</v>
      </c>
      <c r="O121" s="11">
        <f>IFERROR(__xludf.DUMMYFUNCTION("""COMPUTED_VALUE"""),0.7)</f>
        <v>0.7</v>
      </c>
      <c r="P121" s="15">
        <f>IFERROR(__xludf.DUMMYFUNCTION("""COMPUTED_VALUE"""),0.463)</f>
        <v>0.463</v>
      </c>
      <c r="Q121" s="15">
        <f>IFERROR(__xludf.DUMMYFUNCTION("""COMPUTED_VALUE"""),0.814)</f>
        <v>0.814</v>
      </c>
      <c r="R121" s="11">
        <f>IFERROR(__xludf.DUMMYFUNCTION("""COMPUTED_VALUE"""),1.9)</f>
        <v>1.9</v>
      </c>
      <c r="S121" s="11">
        <f>IFERROR(__xludf.DUMMYFUNCTION("""COMPUTED_VALUE"""),0.4034073656962535)</f>
        <v>0.4034073657</v>
      </c>
      <c r="T121" s="11">
        <f>IFERROR(__xludf.DUMMYFUNCTION("""COMPUTED_VALUE"""),0.34932369858753)</f>
        <v>0.3493236986</v>
      </c>
      <c r="U121" s="11">
        <f>IFERROR(__xludf.DUMMYFUNCTION("""COMPUTED_VALUE"""),-0.8507706320151226)</f>
        <v>-0.850770632</v>
      </c>
      <c r="V121" s="11">
        <f>IFERROR(__xludf.DUMMYFUNCTION("""COMPUTED_VALUE"""),-0.6541583991734051)</f>
        <v>-0.6541583992</v>
      </c>
      <c r="W121" s="11">
        <f>IFERROR(__xludf.DUMMYFUNCTION("""COMPUTED_VALUE"""),-0.5847290886782864)</f>
        <v>-0.5847290887</v>
      </c>
      <c r="X121" s="11">
        <f>IFERROR(__xludf.DUMMYFUNCTION("""COMPUTED_VALUE"""),-0.08033623668596498)</f>
        <v>-0.08033623669</v>
      </c>
      <c r="Y121" s="11">
        <f>IFERROR(__xludf.DUMMYFUNCTION("""COMPUTED_VALUE"""),-0.5678290097577002)</f>
        <v>-0.5678290098</v>
      </c>
      <c r="Z121" s="11">
        <f>IFERROR(__xludf.DUMMYFUNCTION("""COMPUTED_VALUE"""),0.3582367537340028)</f>
        <v>0.3582367537</v>
      </c>
      <c r="AA121" s="11">
        <f>IFERROR(__xludf.DUMMYFUNCTION("""COMPUTED_VALUE"""),-0.037527963060326526)</f>
        <v>-0.03752796306</v>
      </c>
      <c r="AB121" t="str">
        <f>IFERROR(__xludf.DUMMYFUNCTION("SUBSTITUTE(REGEXREPLACE(REGEXREPLACE(REGEXREPLACE(REGEXREPLACE(REGEXREPLACE(REGEXREPLACE(F121,"","",),IF(Projections!$T$17="""",""PG"",),),IF(Projections!$U$17="""",""SG"",),),IF(Projections!$V$17="""",""SF"",),),IF(Projections!$W$17="""",""PF"",),),IF(Pr"&amp;"ojections!$X$17="""",""C"",),),""/"","""")"),"SFPF")</f>
        <v>SFPF</v>
      </c>
    </row>
    <row r="122">
      <c r="A122" t="str">
        <f>IF(Projections!$AC$17,Draft!M12,"")</f>
        <v/>
      </c>
      <c r="B122">
        <f>IFERROR(__xludf.DUMMYFUNCTION("""COMPUTED_VALUE"""),117.0)</f>
        <v>117</v>
      </c>
      <c r="C122">
        <f>IFERROR(__xludf.DUMMYFUNCTION("""COMPUTED_VALUE"""),111.1)</f>
        <v>111.1</v>
      </c>
      <c r="D122" t="str">
        <f>IFERROR(__xludf.DUMMYFUNCTION("""COMPUTED_VALUE"""),"Khris Middleton")</f>
        <v>Khris Middleton</v>
      </c>
      <c r="E122">
        <f>IFERROR(__xludf.DUMMYFUNCTION("""COMPUTED_VALUE"""),71.0)</f>
        <v>71</v>
      </c>
      <c r="F122" t="str">
        <f>IFERROR(__xludf.DUMMYFUNCTION("""COMPUTED_VALUE"""),"SF")</f>
        <v>SF</v>
      </c>
      <c r="G122" s="11">
        <f>IFERROR(__xludf.DUMMYFUNCTION("""COMPUTED_VALUE"""),-0.8554246331675088)</f>
        <v>-0.8554246332</v>
      </c>
      <c r="H122" s="11">
        <f>IFERROR(__xludf.DUMMYFUNCTION("""COMPUTED_VALUE"""),-0.8554246331675088)</f>
        <v>-0.8554246332</v>
      </c>
      <c r="I122" s="11">
        <f>IFERROR(__xludf.DUMMYFUNCTION("""COMPUTED_VALUE"""),0.0)</f>
        <v>0</v>
      </c>
      <c r="J122" s="11">
        <f>IFERROR(__xludf.DUMMYFUNCTION("""COMPUTED_VALUE"""),16.4)</f>
        <v>16.4</v>
      </c>
      <c r="K122" s="11">
        <f>IFERROR(__xludf.DUMMYFUNCTION("""COMPUTED_VALUE"""),1.7)</f>
        <v>1.7</v>
      </c>
      <c r="L122" s="11">
        <f>IFERROR(__xludf.DUMMYFUNCTION("""COMPUTED_VALUE"""),4.4)</f>
        <v>4.4</v>
      </c>
      <c r="M122" s="11">
        <f>IFERROR(__xludf.DUMMYFUNCTION("""COMPUTED_VALUE"""),4.7)</f>
        <v>4.7</v>
      </c>
      <c r="N122" s="11">
        <f>IFERROR(__xludf.DUMMYFUNCTION("""COMPUTED_VALUE"""),0.8)</f>
        <v>0.8</v>
      </c>
      <c r="O122" s="11">
        <f>IFERROR(__xludf.DUMMYFUNCTION("""COMPUTED_VALUE"""),0.2)</f>
        <v>0.2</v>
      </c>
      <c r="P122" s="15">
        <f>IFERROR(__xludf.DUMMYFUNCTION("""COMPUTED_VALUE"""),0.482)</f>
        <v>0.482</v>
      </c>
      <c r="Q122" s="15">
        <f>IFERROR(__xludf.DUMMYFUNCTION("""COMPUTED_VALUE"""),0.867)</f>
        <v>0.867</v>
      </c>
      <c r="R122" s="11">
        <f>IFERROR(__xludf.DUMMYFUNCTION("""COMPUTED_VALUE"""),2.4)</f>
        <v>2.4</v>
      </c>
      <c r="S122" s="11">
        <f>IFERROR(__xludf.DUMMYFUNCTION("""COMPUTED_VALUE"""),-0.19273109909153238)</f>
        <v>-0.1927310991</v>
      </c>
      <c r="T122" s="11">
        <f>IFERROR(__xludf.DUMMYFUNCTION("""COMPUTED_VALUE"""),-0.04877349753863613)</f>
        <v>-0.04877349754</v>
      </c>
      <c r="U122" s="11">
        <f>IFERROR(__xludf.DUMMYFUNCTION("""COMPUTED_VALUE"""),-0.6546387763902618)</f>
        <v>-0.6546387764</v>
      </c>
      <c r="V122" s="11">
        <f>IFERROR(__xludf.DUMMYFUNCTION("""COMPUTED_VALUE"""),0.34820055011351986)</f>
        <v>0.3482005501</v>
      </c>
      <c r="W122" s="11">
        <f>IFERROR(__xludf.DUMMYFUNCTION("""COMPUTED_VALUE"""),-0.5847290886782864)</f>
        <v>-0.5847290887</v>
      </c>
      <c r="X122" s="11">
        <f>IFERROR(__xludf.DUMMYFUNCTION("""COMPUTED_VALUE"""),-0.9723047469492465)</f>
        <v>-0.9723047469</v>
      </c>
      <c r="Y122" s="11">
        <f>IFERROR(__xludf.DUMMYFUNCTION("""COMPUTED_VALUE"""),-0.224979934410347)</f>
        <v>-0.2249799344</v>
      </c>
      <c r="Z122" s="11">
        <f>IFERROR(__xludf.DUMMYFUNCTION("""COMPUTED_VALUE"""),0.6637462432682952)</f>
        <v>0.6637462433</v>
      </c>
      <c r="AA122" s="11">
        <f>IFERROR(__xludf.DUMMYFUNCTION("""COMPUTED_VALUE"""),-0.1615190304402598)</f>
        <v>-0.1615190304</v>
      </c>
      <c r="AB122" t="str">
        <f>IFERROR(__xludf.DUMMYFUNCTION("SUBSTITUTE(REGEXREPLACE(REGEXREPLACE(REGEXREPLACE(REGEXREPLACE(REGEXREPLACE(REGEXREPLACE(F122,"","",),IF(Projections!$T$17="""",""PG"",),),IF(Projections!$U$17="""",""SG"",),),IF(Projections!$V$17="""",""SF"",),),IF(Projections!$W$17="""",""PF"",),),IF(Pr"&amp;"ojections!$X$17="""",""C"",),),""/"","""")"),"SF")</f>
        <v>SF</v>
      </c>
    </row>
    <row r="123">
      <c r="A123" t="str">
        <f>IF(Projections!$AC$17,Draft!M13,"")</f>
        <v/>
      </c>
      <c r="B123">
        <f>IFERROR(__xludf.DUMMYFUNCTION("""COMPUTED_VALUE"""),118.0)</f>
        <v>118</v>
      </c>
      <c r="C123">
        <f>IFERROR(__xludf.DUMMYFUNCTION("""COMPUTED_VALUE"""),125.6)</f>
        <v>125.6</v>
      </c>
      <c r="D123" t="str">
        <f>IFERROR(__xludf.DUMMYFUNCTION("""COMPUTED_VALUE"""),"Trayce Jackson-Davis")</f>
        <v>Trayce Jackson-Davis</v>
      </c>
      <c r="E123">
        <f>IFERROR(__xludf.DUMMYFUNCTION("""COMPUTED_VALUE"""),66.0)</f>
        <v>66</v>
      </c>
      <c r="F123" t="str">
        <f>IFERROR(__xludf.DUMMYFUNCTION("""COMPUTED_VALUE"""),"PF,C")</f>
        <v>PF,C</v>
      </c>
      <c r="G123" s="11">
        <f>IFERROR(__xludf.DUMMYFUNCTION("""COMPUTED_VALUE"""),-0.8575874376208708)</f>
        <v>-0.8575874376</v>
      </c>
      <c r="H123" s="11">
        <f>IFERROR(__xludf.DUMMYFUNCTION("""COMPUTED_VALUE"""),-0.8575874376208708)</f>
        <v>-0.8575874376</v>
      </c>
      <c r="I123" s="11">
        <f>IFERROR(__xludf.DUMMYFUNCTION("""COMPUTED_VALUE"""),0.0)</f>
        <v>0</v>
      </c>
      <c r="J123" s="11">
        <f>IFERROR(__xludf.DUMMYFUNCTION("""COMPUTED_VALUE"""),12.1)</f>
        <v>12.1</v>
      </c>
      <c r="K123" s="11">
        <f>IFERROR(__xludf.DUMMYFUNCTION("""COMPUTED_VALUE"""),0.0)</f>
        <v>0</v>
      </c>
      <c r="L123" s="11">
        <f>IFERROR(__xludf.DUMMYFUNCTION("""COMPUTED_VALUE"""),7.6)</f>
        <v>7.6</v>
      </c>
      <c r="M123" s="11">
        <f>IFERROR(__xludf.DUMMYFUNCTION("""COMPUTED_VALUE"""),1.8)</f>
        <v>1.8</v>
      </c>
      <c r="N123" s="11">
        <f>IFERROR(__xludf.DUMMYFUNCTION("""COMPUTED_VALUE"""),0.6)</f>
        <v>0.6</v>
      </c>
      <c r="O123" s="11">
        <f>IFERROR(__xludf.DUMMYFUNCTION("""COMPUTED_VALUE"""),1.6)</f>
        <v>1.6</v>
      </c>
      <c r="P123" s="15">
        <f>IFERROR(__xludf.DUMMYFUNCTION("""COMPUTED_VALUE"""),0.703)</f>
        <v>0.703</v>
      </c>
      <c r="Q123" s="15">
        <f>IFERROR(__xludf.DUMMYFUNCTION("""COMPUTED_VALUE"""),0.563)</f>
        <v>0.563</v>
      </c>
      <c r="R123" s="11">
        <f>IFERROR(__xludf.DUMMYFUNCTION("""COMPUTED_VALUE"""),1.1)</f>
        <v>1.1</v>
      </c>
      <c r="S123" s="11">
        <f>IFERROR(__xludf.DUMMYFUNCTION("""COMPUTED_VALUE"""),-0.9695175835119804)</f>
        <v>-0.9695175835</v>
      </c>
      <c r="T123" s="11">
        <f>IFERROR(__xludf.DUMMYFUNCTION("""COMPUTED_VALUE"""),-1.7406865810748415)</f>
        <v>-1.740686581</v>
      </c>
      <c r="U123" s="11">
        <f>IFERROR(__xludf.DUMMYFUNCTION("""COMPUTED_VALUE"""),0.600605099608846)</f>
        <v>0.6006050996</v>
      </c>
      <c r="V123" s="11">
        <f>IFERROR(__xludf.DUMMYFUNCTION("""COMPUTED_VALUE"""),-0.9730907921283356)</f>
        <v>-0.9730907921</v>
      </c>
      <c r="W123" s="11">
        <f>IFERROR(__xludf.DUMMYFUNCTION("""COMPUTED_VALUE"""),-1.2485944449972455)</f>
        <v>-1.248594445</v>
      </c>
      <c r="X123" s="11">
        <f>IFERROR(__xludf.DUMMYFUNCTION("""COMPUTED_VALUE"""),1.5252070817879424)</f>
        <v>1.525207082</v>
      </c>
      <c r="Y123" s="11">
        <f>IFERROR(__xludf.DUMMYFUNCTION("""COMPUTED_VALUE"""),1.7876320379471764)</f>
        <v>1.787632038</v>
      </c>
      <c r="Z123" s="11">
        <f>IFERROR(__xludf.DUMMYFUNCTION("""COMPUTED_VALUE"""),-2.4639125500525374)</f>
        <v>-2.46391255</v>
      </c>
      <c r="AA123" s="11">
        <f>IFERROR(__xludf.DUMMYFUNCTION("""COMPUTED_VALUE"""),0.16085774474756667)</f>
        <v>0.1608577447</v>
      </c>
      <c r="AB123" t="str">
        <f>IFERROR(__xludf.DUMMYFUNCTION("SUBSTITUTE(REGEXREPLACE(REGEXREPLACE(REGEXREPLACE(REGEXREPLACE(REGEXREPLACE(REGEXREPLACE(F123,"","",),IF(Projections!$T$17="""",""PG"",),),IF(Projections!$U$17="""",""SG"",),),IF(Projections!$V$17="""",""SF"",),),IF(Projections!$W$17="""",""PF"",),),IF(Pr"&amp;"ojections!$X$17="""",""C"",),),""/"","""")"),"PFC")</f>
        <v>PFC</v>
      </c>
    </row>
    <row r="124">
      <c r="A124" t="str">
        <f>IF(Projections!$AC$17,Draft!M14,"")</f>
        <v/>
      </c>
      <c r="B124">
        <f>IFERROR(__xludf.DUMMYFUNCTION("""COMPUTED_VALUE"""),119.0)</f>
        <v>119</v>
      </c>
      <c r="C124">
        <f>IFERROR(__xludf.DUMMYFUNCTION("""COMPUTED_VALUE"""),116.6)</f>
        <v>116.6</v>
      </c>
      <c r="D124" t="str">
        <f>IFERROR(__xludf.DUMMYFUNCTION("""COMPUTED_VALUE"""),"Brandin Podziemski")</f>
        <v>Brandin Podziemski</v>
      </c>
      <c r="E124">
        <f>IFERROR(__xludf.DUMMYFUNCTION("""COMPUTED_VALUE"""),71.0)</f>
        <v>71</v>
      </c>
      <c r="F124" t="str">
        <f>IFERROR(__xludf.DUMMYFUNCTION("""COMPUTED_VALUE"""),"SG")</f>
        <v>SG</v>
      </c>
      <c r="G124" s="11">
        <f>IFERROR(__xludf.DUMMYFUNCTION("""COMPUTED_VALUE"""),-0.8864779357307995)</f>
        <v>-0.8864779357</v>
      </c>
      <c r="H124" s="11">
        <f>IFERROR(__xludf.DUMMYFUNCTION("""COMPUTED_VALUE"""),-0.8864779357307995)</f>
        <v>-0.8864779357</v>
      </c>
      <c r="I124" s="11">
        <f>IFERROR(__xludf.DUMMYFUNCTION("""COMPUTED_VALUE"""),0.0)</f>
        <v>0</v>
      </c>
      <c r="J124" s="11">
        <f>IFERROR(__xludf.DUMMYFUNCTION("""COMPUTED_VALUE"""),11.2)</f>
        <v>11.2</v>
      </c>
      <c r="K124" s="11">
        <f>IFERROR(__xludf.DUMMYFUNCTION("""COMPUTED_VALUE"""),1.5)</f>
        <v>1.5</v>
      </c>
      <c r="L124" s="11">
        <f>IFERROR(__xludf.DUMMYFUNCTION("""COMPUTED_VALUE"""),6.9)</f>
        <v>6.9</v>
      </c>
      <c r="M124" s="11">
        <f>IFERROR(__xludf.DUMMYFUNCTION("""COMPUTED_VALUE"""),4.4)</f>
        <v>4.4</v>
      </c>
      <c r="N124" s="11">
        <f>IFERROR(__xludf.DUMMYFUNCTION("""COMPUTED_VALUE"""),1.2)</f>
        <v>1.2</v>
      </c>
      <c r="O124" s="11">
        <f>IFERROR(__xludf.DUMMYFUNCTION("""COMPUTED_VALUE"""),0.2)</f>
        <v>0.2</v>
      </c>
      <c r="P124" s="15">
        <f>IFERROR(__xludf.DUMMYFUNCTION("""COMPUTED_VALUE"""),0.459)</f>
        <v>0.459</v>
      </c>
      <c r="Q124" s="15">
        <f>IFERROR(__xludf.DUMMYFUNCTION("""COMPUTED_VALUE"""),0.664)</f>
        <v>0.664</v>
      </c>
      <c r="R124" s="11">
        <f>IFERROR(__xludf.DUMMYFUNCTION("""COMPUTED_VALUE"""),1.4)</f>
        <v>1.4</v>
      </c>
      <c r="S124" s="11">
        <f>IFERROR(__xludf.DUMMYFUNCTION("""COMPUTED_VALUE"""),-1.1321008011813765)</f>
        <v>-1.132100801</v>
      </c>
      <c r="T124" s="11">
        <f>IFERROR(__xludf.DUMMYFUNCTION("""COMPUTED_VALUE"""),-0.24782209560171908)</f>
        <v>-0.2478220956</v>
      </c>
      <c r="U124" s="11">
        <f>IFERROR(__xludf.DUMMYFUNCTION("""COMPUTED_VALUE"""),0.3260205017340414)</f>
        <v>0.3260205017</v>
      </c>
      <c r="V124" s="11">
        <f>IFERROR(__xludf.DUMMYFUNCTION("""COMPUTED_VALUE"""),0.2115152388471211)</f>
        <v>0.2115152388</v>
      </c>
      <c r="W124" s="11">
        <f>IFERROR(__xludf.DUMMYFUNCTION("""COMPUTED_VALUE"""),0.7430016239596308)</f>
        <v>0.743001624</v>
      </c>
      <c r="X124" s="11">
        <f>IFERROR(__xludf.DUMMYFUNCTION("""COMPUTED_VALUE"""),-0.9723047469492465)</f>
        <v>-0.9723047469</v>
      </c>
      <c r="Y124" s="11">
        <f>IFERROR(__xludf.DUMMYFUNCTION("""COMPUTED_VALUE"""),-0.43064436236510495)</f>
        <v>-0.4306443624</v>
      </c>
      <c r="Z124" s="11">
        <f>IFERROR(__xludf.DUMMYFUNCTION("""COMPUTED_VALUE"""),-0.602707199675129)</f>
        <v>-0.6027071997</v>
      </c>
      <c r="AA124" s="11">
        <f>IFERROR(__xludf.DUMMYFUNCTION("""COMPUTED_VALUE"""),0.08646310431960676)</f>
        <v>0.08646310432</v>
      </c>
      <c r="AB124" t="str">
        <f>IFERROR(__xludf.DUMMYFUNCTION("SUBSTITUTE(REGEXREPLACE(REGEXREPLACE(REGEXREPLACE(REGEXREPLACE(REGEXREPLACE(REGEXREPLACE(F124,"","",),IF(Projections!$T$17="""",""PG"",),),IF(Projections!$U$17="""",""SG"",),),IF(Projections!$V$17="""",""SF"",),),IF(Projections!$W$17="""",""PF"",),),IF(Pr"&amp;"ojections!$X$17="""",""C"",),),""/"","""")"),"SG")</f>
        <v>SG</v>
      </c>
    </row>
    <row r="125">
      <c r="A125" t="str">
        <f>IF(Projections!$AC$17,Draft!N3,"")</f>
        <v/>
      </c>
      <c r="B125">
        <f>IFERROR(__xludf.DUMMYFUNCTION("""COMPUTED_VALUE"""),120.0)</f>
        <v>120</v>
      </c>
      <c r="C125">
        <f>IFERROR(__xludf.DUMMYFUNCTION("""COMPUTED_VALUE"""),132.1)</f>
        <v>132.1</v>
      </c>
      <c r="D125" t="str">
        <f>IFERROR(__xludf.DUMMYFUNCTION("""COMPUTED_VALUE"""),"Norman Powell")</f>
        <v>Norman Powell</v>
      </c>
      <c r="E125">
        <f>IFERROR(__xludf.DUMMYFUNCTION("""COMPUTED_VALUE"""),66.0)</f>
        <v>66</v>
      </c>
      <c r="F125" t="str">
        <f>IFERROR(__xludf.DUMMYFUNCTION("""COMPUTED_VALUE"""),"SG,SF")</f>
        <v>SG,SF</v>
      </c>
      <c r="G125" s="11">
        <f>IFERROR(__xludf.DUMMYFUNCTION("""COMPUTED_VALUE"""),-0.9243995943389454)</f>
        <v>-0.9243995943</v>
      </c>
      <c r="H125" s="11">
        <f>IFERROR(__xludf.DUMMYFUNCTION("""COMPUTED_VALUE"""),-0.9243995943389454)</f>
        <v>-0.9243995943</v>
      </c>
      <c r="I125" s="11">
        <f>IFERROR(__xludf.DUMMYFUNCTION("""COMPUTED_VALUE"""),0.0)</f>
        <v>0</v>
      </c>
      <c r="J125" s="11">
        <f>IFERROR(__xludf.DUMMYFUNCTION("""COMPUTED_VALUE"""),18.8)</f>
        <v>18.8</v>
      </c>
      <c r="K125" s="11">
        <f>IFERROR(__xludf.DUMMYFUNCTION("""COMPUTED_VALUE"""),2.6)</f>
        <v>2.6</v>
      </c>
      <c r="L125" s="11">
        <f>IFERROR(__xludf.DUMMYFUNCTION("""COMPUTED_VALUE"""),3.4)</f>
        <v>3.4</v>
      </c>
      <c r="M125" s="11">
        <f>IFERROR(__xludf.DUMMYFUNCTION("""COMPUTED_VALUE"""),1.7)</f>
        <v>1.7</v>
      </c>
      <c r="N125" s="11">
        <f>IFERROR(__xludf.DUMMYFUNCTION("""COMPUTED_VALUE"""),0.8)</f>
        <v>0.8</v>
      </c>
      <c r="O125" s="11">
        <f>IFERROR(__xludf.DUMMYFUNCTION("""COMPUTED_VALUE"""),0.4)</f>
        <v>0.4</v>
      </c>
      <c r="P125" s="15">
        <f>IFERROR(__xludf.DUMMYFUNCTION("""COMPUTED_VALUE"""),0.482)</f>
        <v>0.482</v>
      </c>
      <c r="Q125" s="15">
        <f>IFERROR(__xludf.DUMMYFUNCTION("""COMPUTED_VALUE"""),0.821)</f>
        <v>0.821</v>
      </c>
      <c r="R125" s="11">
        <f>IFERROR(__xludf.DUMMYFUNCTION("""COMPUTED_VALUE"""),1.5)</f>
        <v>1.5</v>
      </c>
      <c r="S125" s="11">
        <f>IFERROR(__xludf.DUMMYFUNCTION("""COMPUTED_VALUE"""),0.24082414802685767)</f>
        <v>0.240824148</v>
      </c>
      <c r="T125" s="11">
        <f>IFERROR(__xludf.DUMMYFUNCTION("""COMPUTED_VALUE"""),0.8469451937452375)</f>
        <v>0.8469451937</v>
      </c>
      <c r="U125" s="11">
        <f>IFERROR(__xludf.DUMMYFUNCTION("""COMPUTED_VALUE"""),-1.0469024876399833)</f>
        <v>-1.046902488</v>
      </c>
      <c r="V125" s="11">
        <f>IFERROR(__xludf.DUMMYFUNCTION("""COMPUTED_VALUE"""),-1.0186525625504688)</f>
        <v>-1.018652563</v>
      </c>
      <c r="W125" s="11">
        <f>IFERROR(__xludf.DUMMYFUNCTION("""COMPUTED_VALUE"""),-0.5847290886782864)</f>
        <v>-0.5847290887</v>
      </c>
      <c r="X125" s="11">
        <f>IFERROR(__xludf.DUMMYFUNCTION("""COMPUTED_VALUE"""),-0.6155173428439339)</f>
        <v>-0.6155173428</v>
      </c>
      <c r="Y125" s="11">
        <f>IFERROR(__xludf.DUMMYFUNCTION("""COMPUTED_VALUE"""),-0.23370008690687208)</f>
        <v>-0.2337000869</v>
      </c>
      <c r="Z125" s="11">
        <f>IFERROR(__xludf.DUMMYFUNCTION("""COMPUTED_VALUE"""),0.37876525402490074)</f>
        <v>0.378765254</v>
      </c>
      <c r="AA125" s="11">
        <f>IFERROR(__xludf.DUMMYFUNCTION("""COMPUTED_VALUE"""),0.06166489084362008)</f>
        <v>0.06166489084</v>
      </c>
      <c r="AB125" t="str">
        <f>IFERROR(__xludf.DUMMYFUNCTION("SUBSTITUTE(REGEXREPLACE(REGEXREPLACE(REGEXREPLACE(REGEXREPLACE(REGEXREPLACE(REGEXREPLACE(F125,"","",),IF(Projections!$T$17="""",""PG"",),),IF(Projections!$U$17="""",""SG"",),),IF(Projections!$V$17="""",""SF"",),),IF(Projections!$W$17="""",""PF"",),),IF(Pr"&amp;"ojections!$X$17="""",""C"",),),""/"","""")"),"SGSF")</f>
        <v>SGSF</v>
      </c>
    </row>
    <row r="126">
      <c r="A126" t="str">
        <f>IF(Projections!$AC$17,Draft!N4,"")</f>
        <v/>
      </c>
      <c r="B126">
        <f>IFERROR(__xludf.DUMMYFUNCTION("""COMPUTED_VALUE"""),121.0)</f>
        <v>121</v>
      </c>
      <c r="C126">
        <f>IFERROR(__xludf.DUMMYFUNCTION("""COMPUTED_VALUE"""),102.7)</f>
        <v>102.7</v>
      </c>
      <c r="D126" t="str">
        <f>IFERROR(__xludf.DUMMYFUNCTION("""COMPUTED_VALUE"""),"Clint Capela")</f>
        <v>Clint Capela</v>
      </c>
      <c r="E126">
        <f>IFERROR(__xludf.DUMMYFUNCTION("""COMPUTED_VALUE"""),66.0)</f>
        <v>66</v>
      </c>
      <c r="F126" t="str">
        <f>IFERROR(__xludf.DUMMYFUNCTION("""COMPUTED_VALUE"""),"C")</f>
        <v>C</v>
      </c>
      <c r="G126" s="11">
        <f>IFERROR(__xludf.DUMMYFUNCTION("""COMPUTED_VALUE"""),-1.008937506224701)</f>
        <v>-1.008937506</v>
      </c>
      <c r="H126" s="11">
        <f>IFERROR(__xludf.DUMMYFUNCTION("""COMPUTED_VALUE"""),-1.008937506224701)</f>
        <v>-1.008937506</v>
      </c>
      <c r="I126" s="11">
        <f>IFERROR(__xludf.DUMMYFUNCTION("""COMPUTED_VALUE"""),0.0)</f>
        <v>0</v>
      </c>
      <c r="J126" s="11">
        <f>IFERROR(__xludf.DUMMYFUNCTION("""COMPUTED_VALUE"""),11.5)</f>
        <v>11.5</v>
      </c>
      <c r="K126" s="11">
        <f>IFERROR(__xludf.DUMMYFUNCTION("""COMPUTED_VALUE"""),0.0)</f>
        <v>0</v>
      </c>
      <c r="L126" s="11">
        <f>IFERROR(__xludf.DUMMYFUNCTION("""COMPUTED_VALUE"""),10.7)</f>
        <v>10.7</v>
      </c>
      <c r="M126" s="11">
        <f>IFERROR(__xludf.DUMMYFUNCTION("""COMPUTED_VALUE"""),1.1)</f>
        <v>1.1</v>
      </c>
      <c r="N126" s="11">
        <f>IFERROR(__xludf.DUMMYFUNCTION("""COMPUTED_VALUE"""),0.6)</f>
        <v>0.6</v>
      </c>
      <c r="O126" s="11">
        <f>IFERROR(__xludf.DUMMYFUNCTION("""COMPUTED_VALUE"""),1.3)</f>
        <v>1.3</v>
      </c>
      <c r="P126" s="15">
        <f>IFERROR(__xludf.DUMMYFUNCTION("""COMPUTED_VALUE"""),0.597)</f>
        <v>0.597</v>
      </c>
      <c r="Q126" s="15">
        <f>IFERROR(__xludf.DUMMYFUNCTION("""COMPUTED_VALUE"""),0.631)</f>
        <v>0.631</v>
      </c>
      <c r="R126" s="11">
        <f>IFERROR(__xludf.DUMMYFUNCTION("""COMPUTED_VALUE"""),0.9)</f>
        <v>0.9</v>
      </c>
      <c r="S126" s="11">
        <f>IFERROR(__xludf.DUMMYFUNCTION("""COMPUTED_VALUE"""),-1.0779063952915777)</f>
        <v>-1.077906395</v>
      </c>
      <c r="T126" s="11">
        <f>IFERROR(__xludf.DUMMYFUNCTION("""COMPUTED_VALUE"""),-1.7406865810748415)</f>
        <v>-1.740686581</v>
      </c>
      <c r="U126" s="11">
        <f>IFERROR(__xludf.DUMMYFUNCTION("""COMPUTED_VALUE"""),1.8166226044829816)</f>
        <v>1.816622604</v>
      </c>
      <c r="V126" s="11">
        <f>IFERROR(__xludf.DUMMYFUNCTION("""COMPUTED_VALUE"""),-1.2920231850832664)</f>
        <v>-1.292023185</v>
      </c>
      <c r="W126" s="11">
        <f>IFERROR(__xludf.DUMMYFUNCTION("""COMPUTED_VALUE"""),-1.2485944449972455)</f>
        <v>-1.248594445</v>
      </c>
      <c r="X126" s="11">
        <f>IFERROR(__xludf.DUMMYFUNCTION("""COMPUTED_VALUE"""),0.9900259756299733)</f>
        <v>0.9900259756</v>
      </c>
      <c r="Y126" s="11">
        <f>IFERROR(__xludf.DUMMYFUNCTION("""COMPUTED_VALUE"""),0.9856543210651613)</f>
        <v>0.9856543211</v>
      </c>
      <c r="Z126" s="11">
        <f>IFERROR(__xludf.DUMMYFUNCTION("""COMPUTED_VALUE"""),-1.3931705537302674)</f>
        <v>-1.393170554</v>
      </c>
      <c r="AA126" s="11">
        <f>IFERROR(__xludf.DUMMYFUNCTION("""COMPUTED_VALUE"""),0.21045417169954)</f>
        <v>0.2104541717</v>
      </c>
      <c r="AB126" t="str">
        <f>IFERROR(__xludf.DUMMYFUNCTION("SUBSTITUTE(REGEXREPLACE(REGEXREPLACE(REGEXREPLACE(REGEXREPLACE(REGEXREPLACE(REGEXREPLACE(F126,"","",),IF(Projections!$T$17="""",""PG"",),),IF(Projections!$U$17="""",""SG"",),),IF(Projections!$V$17="""",""SF"",),),IF(Projections!$W$17="""",""PF"",),),IF(Pr"&amp;"ojections!$X$17="""",""C"",),),""/"","""")"),"C")</f>
        <v>C</v>
      </c>
    </row>
    <row r="127">
      <c r="A127" t="str">
        <f>IF(Projections!$AC$17,Draft!N5,"")</f>
        <v/>
      </c>
      <c r="B127">
        <f>IFERROR(__xludf.DUMMYFUNCTION("""COMPUTED_VALUE"""),122.0)</f>
        <v>122</v>
      </c>
      <c r="C127">
        <f>IFERROR(__xludf.DUMMYFUNCTION("""COMPUTED_VALUE"""),124.0)</f>
        <v>124</v>
      </c>
      <c r="D127" t="str">
        <f>IFERROR(__xludf.DUMMYFUNCTION("""COMPUTED_VALUE"""),"Cameron Johnson")</f>
        <v>Cameron Johnson</v>
      </c>
      <c r="E127">
        <f>IFERROR(__xludf.DUMMYFUNCTION("""COMPUTED_VALUE"""),66.0)</f>
        <v>66</v>
      </c>
      <c r="F127" t="str">
        <f>IFERROR(__xludf.DUMMYFUNCTION("""COMPUTED_VALUE"""),"SF,PF")</f>
        <v>SF,PF</v>
      </c>
      <c r="G127" s="11">
        <f>IFERROR(__xludf.DUMMYFUNCTION("""COMPUTED_VALUE"""),-1.2258233986178286)</f>
        <v>-1.225823399</v>
      </c>
      <c r="H127" s="11">
        <f>IFERROR(__xludf.DUMMYFUNCTION("""COMPUTED_VALUE"""),-1.2258233986178286)</f>
        <v>-1.225823399</v>
      </c>
      <c r="I127" s="11">
        <f>IFERROR(__xludf.DUMMYFUNCTION("""COMPUTED_VALUE"""),0.0)</f>
        <v>0</v>
      </c>
      <c r="J127" s="11">
        <f>IFERROR(__xludf.DUMMYFUNCTION("""COMPUTED_VALUE"""),14.7)</f>
        <v>14.7</v>
      </c>
      <c r="K127" s="11">
        <f>IFERROR(__xludf.DUMMYFUNCTION("""COMPUTED_VALUE"""),2.5)</f>
        <v>2.5</v>
      </c>
      <c r="L127" s="11">
        <f>IFERROR(__xludf.DUMMYFUNCTION("""COMPUTED_VALUE"""),4.5)</f>
        <v>4.5</v>
      </c>
      <c r="M127" s="11">
        <f>IFERROR(__xludf.DUMMYFUNCTION("""COMPUTED_VALUE"""),2.2)</f>
        <v>2.2</v>
      </c>
      <c r="N127" s="11">
        <f>IFERROR(__xludf.DUMMYFUNCTION("""COMPUTED_VALUE"""),1.0)</f>
        <v>1</v>
      </c>
      <c r="O127" s="11">
        <f>IFERROR(__xludf.DUMMYFUNCTION("""COMPUTED_VALUE"""),0.3)</f>
        <v>0.3</v>
      </c>
      <c r="P127" s="15">
        <f>IFERROR(__xludf.DUMMYFUNCTION("""COMPUTED_VALUE"""),0.457)</f>
        <v>0.457</v>
      </c>
      <c r="Q127" s="15">
        <f>IFERROR(__xludf.DUMMYFUNCTION("""COMPUTED_VALUE"""),0.818)</f>
        <v>0.818</v>
      </c>
      <c r="R127" s="11">
        <f>IFERROR(__xludf.DUMMYFUNCTION("""COMPUTED_VALUE"""),1.0)</f>
        <v>1</v>
      </c>
      <c r="S127" s="11">
        <f>IFERROR(__xludf.DUMMYFUNCTION("""COMPUTED_VALUE"""),-0.4998327324670583)</f>
        <v>-0.4998327325</v>
      </c>
      <c r="T127" s="11">
        <f>IFERROR(__xludf.DUMMYFUNCTION("""COMPUTED_VALUE"""),0.7474208947136959)</f>
        <v>0.7474208947</v>
      </c>
      <c r="U127" s="11">
        <f>IFERROR(__xludf.DUMMYFUNCTION("""COMPUTED_VALUE"""),-0.6154124052652897)</f>
        <v>-0.6154124053</v>
      </c>
      <c r="V127" s="11">
        <f>IFERROR(__xludf.DUMMYFUNCTION("""COMPUTED_VALUE"""),-0.7908437104398038)</f>
        <v>-0.7908437104</v>
      </c>
      <c r="W127" s="11">
        <f>IFERROR(__xludf.DUMMYFUNCTION("""COMPUTED_VALUE"""),0.07913626764067216)</f>
        <v>0.07913626764</v>
      </c>
      <c r="X127" s="11">
        <f>IFERROR(__xludf.DUMMYFUNCTION("""COMPUTED_VALUE"""),-0.7939110448965904)</f>
        <v>-0.7939110449</v>
      </c>
      <c r="Y127" s="11">
        <f>IFERROR(__xludf.DUMMYFUNCTION("""COMPUTED_VALUE"""),-0.5281657046506756)</f>
        <v>-0.5281657047</v>
      </c>
      <c r="Z127" s="11">
        <f>IFERROR(__xludf.DUMMYFUNCTION("""COMPUTED_VALUE"""),0.1962180336270772)</f>
        <v>0.1962180336</v>
      </c>
      <c r="AA127" s="11">
        <f>IFERROR(__xludf.DUMMYFUNCTION("""COMPUTED_VALUE"""),0.18565595822355335)</f>
        <v>0.1856559582</v>
      </c>
      <c r="AB127" t="str">
        <f>IFERROR(__xludf.DUMMYFUNCTION("SUBSTITUTE(REGEXREPLACE(REGEXREPLACE(REGEXREPLACE(REGEXREPLACE(REGEXREPLACE(REGEXREPLACE(F127,"","",),IF(Projections!$T$17="""",""PG"",),),IF(Projections!$U$17="""",""SG"",),),IF(Projections!$V$17="""",""SF"",),),IF(Projections!$W$17="""",""PF"",),),IF(Pr"&amp;"ojections!$X$17="""",""C"",),),""/"","""")"),"SFPF")</f>
        <v>SFPF</v>
      </c>
    </row>
    <row r="128">
      <c r="A128" t="str">
        <f>IF(Projections!$AC$17,Draft!N6,"")</f>
        <v/>
      </c>
      <c r="B128">
        <f>IFERROR(__xludf.DUMMYFUNCTION("""COMPUTED_VALUE"""),123.0)</f>
        <v>123</v>
      </c>
      <c r="C128">
        <f>IFERROR(__xludf.DUMMYFUNCTION("""COMPUTED_VALUE"""),144.4)</f>
        <v>144.4</v>
      </c>
      <c r="D128" t="str">
        <f>IFERROR(__xludf.DUMMYFUNCTION("""COMPUTED_VALUE"""),"Dyson Daniels")</f>
        <v>Dyson Daniels</v>
      </c>
      <c r="E128">
        <f>IFERROR(__xludf.DUMMYFUNCTION("""COMPUTED_VALUE"""),61.0)</f>
        <v>61</v>
      </c>
      <c r="F128" t="str">
        <f>IFERROR(__xludf.DUMMYFUNCTION("""COMPUTED_VALUE"""),"PG,SG")</f>
        <v>PG,SG</v>
      </c>
      <c r="G128" s="11">
        <f>IFERROR(__xludf.DUMMYFUNCTION("""COMPUTED_VALUE"""),-1.2269061341910616)</f>
        <v>-1.226906134</v>
      </c>
      <c r="H128" s="11">
        <f>IFERROR(__xludf.DUMMYFUNCTION("""COMPUTED_VALUE"""),-1.2269061341910616)</f>
        <v>-1.226906134</v>
      </c>
      <c r="I128" s="11">
        <f>IFERROR(__xludf.DUMMYFUNCTION("""COMPUTED_VALUE"""),0.0)</f>
        <v>0</v>
      </c>
      <c r="J128" s="11">
        <f>IFERROR(__xludf.DUMMYFUNCTION("""COMPUTED_VALUE"""),7.1)</f>
        <v>7.1</v>
      </c>
      <c r="K128" s="11">
        <f>IFERROR(__xludf.DUMMYFUNCTION("""COMPUTED_VALUE"""),0.8)</f>
        <v>0.8</v>
      </c>
      <c r="L128" s="11">
        <f>IFERROR(__xludf.DUMMYFUNCTION("""COMPUTED_VALUE"""),5.0)</f>
        <v>5</v>
      </c>
      <c r="M128" s="11">
        <f>IFERROR(__xludf.DUMMYFUNCTION("""COMPUTED_VALUE"""),3.5)</f>
        <v>3.5</v>
      </c>
      <c r="N128" s="11">
        <f>IFERROR(__xludf.DUMMYFUNCTION("""COMPUTED_VALUE"""),1.5)</f>
        <v>1.5</v>
      </c>
      <c r="O128" s="11">
        <f>IFERROR(__xludf.DUMMYFUNCTION("""COMPUTED_VALUE"""),0.4)</f>
        <v>0.4</v>
      </c>
      <c r="P128" s="15">
        <f>IFERROR(__xludf.DUMMYFUNCTION("""COMPUTED_VALUE"""),0.453)</f>
        <v>0.453</v>
      </c>
      <c r="Q128" s="15">
        <f>IFERROR(__xludf.DUMMYFUNCTION("""COMPUTED_VALUE"""),0.651)</f>
        <v>0.651</v>
      </c>
      <c r="R128" s="11">
        <f>IFERROR(__xludf.DUMMYFUNCTION("""COMPUTED_VALUE"""),1.4)</f>
        <v>1.4</v>
      </c>
      <c r="S128" s="11">
        <f>IFERROR(__xludf.DUMMYFUNCTION("""COMPUTED_VALUE"""),-1.872757681675292)</f>
        <v>-1.872757682</v>
      </c>
      <c r="T128" s="11">
        <f>IFERROR(__xludf.DUMMYFUNCTION("""COMPUTED_VALUE"""),-0.9444921888225095)</f>
        <v>-0.9444921888</v>
      </c>
      <c r="U128" s="11">
        <f>IFERROR(__xludf.DUMMYFUNCTION("""COMPUTED_VALUE"""),-0.41928054964042916)</f>
        <v>-0.4192805496</v>
      </c>
      <c r="V128" s="11">
        <f>IFERROR(__xludf.DUMMYFUNCTION("""COMPUTED_VALUE"""),-0.1985406949520756)</f>
        <v>-0.198540695</v>
      </c>
      <c r="W128" s="11">
        <f>IFERROR(__xludf.DUMMYFUNCTION("""COMPUTED_VALUE"""),1.738799658438069)</f>
        <v>1.738799658</v>
      </c>
      <c r="X128" s="11">
        <f>IFERROR(__xludf.DUMMYFUNCTION("""COMPUTED_VALUE"""),-0.6155173428439339)</f>
        <v>-0.6155173428</v>
      </c>
      <c r="Y128" s="11">
        <f>IFERROR(__xludf.DUMMYFUNCTION("""COMPUTED_VALUE"""),-0.3137128221593654)</f>
        <v>-0.3137128222</v>
      </c>
      <c r="Z128" s="11">
        <f>IFERROR(__xludf.DUMMYFUNCTION("""COMPUTED_VALUE"""),-0.5606252985304242)</f>
        <v>-0.5606252985</v>
      </c>
      <c r="AA128" s="11">
        <f>IFERROR(__xludf.DUMMYFUNCTION("""COMPUTED_VALUE"""),0.08646310431960676)</f>
        <v>0.08646310432</v>
      </c>
      <c r="AB128" t="str">
        <f>IFERROR(__xludf.DUMMYFUNCTION("SUBSTITUTE(REGEXREPLACE(REGEXREPLACE(REGEXREPLACE(REGEXREPLACE(REGEXREPLACE(REGEXREPLACE(F128,"","",),IF(Projections!$T$17="""",""PG"",),),IF(Projections!$U$17="""",""SG"",),),IF(Projections!$V$17="""",""SF"",),),IF(Projections!$W$17="""",""PF"",),),IF(Pr"&amp;"ojections!$X$17="""",""C"",),),""/"","""")"),"PGSG")</f>
        <v>PGSG</v>
      </c>
    </row>
    <row r="129">
      <c r="A129" t="str">
        <f>IF(Projections!$AC$17,Draft!N7,"")</f>
        <v/>
      </c>
      <c r="B129">
        <f>IFERROR(__xludf.DUMMYFUNCTION("""COMPUTED_VALUE"""),124.0)</f>
        <v>124</v>
      </c>
      <c r="C129">
        <f>IFERROR(__xludf.DUMMYFUNCTION("""COMPUTED_VALUE"""),140.4)</f>
        <v>140.4</v>
      </c>
      <c r="D129" t="str">
        <f>IFERROR(__xludf.DUMMYFUNCTION("""COMPUTED_VALUE"""),"Kentavious Caldwell-Pope")</f>
        <v>Kentavious Caldwell-Pope</v>
      </c>
      <c r="E129">
        <f>IFERROR(__xludf.DUMMYFUNCTION("""COMPUTED_VALUE"""),66.0)</f>
        <v>66</v>
      </c>
      <c r="F129" t="str">
        <f>IFERROR(__xludf.DUMMYFUNCTION("""COMPUTED_VALUE"""),"SG,SF")</f>
        <v>SG,SF</v>
      </c>
      <c r="G129" s="11">
        <f>IFERROR(__xludf.DUMMYFUNCTION("""COMPUTED_VALUE"""),-1.278352810282027)</f>
        <v>-1.27835281</v>
      </c>
      <c r="H129" s="11">
        <f>IFERROR(__xludf.DUMMYFUNCTION("""COMPUTED_VALUE"""),-1.278352810282027)</f>
        <v>-1.27835281</v>
      </c>
      <c r="I129" s="11">
        <f>IFERROR(__xludf.DUMMYFUNCTION("""COMPUTED_VALUE"""),0.0)</f>
        <v>0</v>
      </c>
      <c r="J129" s="11">
        <f>IFERROR(__xludf.DUMMYFUNCTION("""COMPUTED_VALUE"""),10.1)</f>
        <v>10.1</v>
      </c>
      <c r="K129" s="11">
        <f>IFERROR(__xludf.DUMMYFUNCTION("""COMPUTED_VALUE"""),1.7)</f>
        <v>1.7</v>
      </c>
      <c r="L129" s="11">
        <f>IFERROR(__xludf.DUMMYFUNCTION("""COMPUTED_VALUE"""),2.5)</f>
        <v>2.5</v>
      </c>
      <c r="M129" s="11">
        <f>IFERROR(__xludf.DUMMYFUNCTION("""COMPUTED_VALUE"""),2.3)</f>
        <v>2.3</v>
      </c>
      <c r="N129" s="11">
        <f>IFERROR(__xludf.DUMMYFUNCTION("""COMPUTED_VALUE"""),1.3)</f>
        <v>1.3</v>
      </c>
      <c r="O129" s="11">
        <f>IFERROR(__xludf.DUMMYFUNCTION("""COMPUTED_VALUE"""),0.5)</f>
        <v>0.5</v>
      </c>
      <c r="P129" s="15">
        <f>IFERROR(__xludf.DUMMYFUNCTION("""COMPUTED_VALUE"""),0.461)</f>
        <v>0.461</v>
      </c>
      <c r="Q129" s="15">
        <f>IFERROR(__xludf.DUMMYFUNCTION("""COMPUTED_VALUE"""),0.861)</f>
        <v>0.861</v>
      </c>
      <c r="R129" s="11">
        <f>IFERROR(__xludf.DUMMYFUNCTION("""COMPUTED_VALUE"""),1.0)</f>
        <v>1</v>
      </c>
      <c r="S129" s="11">
        <f>IFERROR(__xludf.DUMMYFUNCTION("""COMPUTED_VALUE"""),-1.330813622777305)</f>
        <v>-1.330813623</v>
      </c>
      <c r="T129" s="11">
        <f>IFERROR(__xludf.DUMMYFUNCTION("""COMPUTED_VALUE"""),-0.04877349753863613)</f>
        <v>-0.04877349754</v>
      </c>
      <c r="U129" s="11">
        <f>IFERROR(__xludf.DUMMYFUNCTION("""COMPUTED_VALUE"""),-1.3999398277647324)</f>
        <v>-1.399939828</v>
      </c>
      <c r="V129" s="11">
        <f>IFERROR(__xludf.DUMMYFUNCTION("""COMPUTED_VALUE"""),-0.745281940017671)</f>
        <v>-0.74528194</v>
      </c>
      <c r="W129" s="11">
        <f>IFERROR(__xludf.DUMMYFUNCTION("""COMPUTED_VALUE"""),1.0749343021191105)</f>
        <v>1.074934302</v>
      </c>
      <c r="X129" s="11">
        <f>IFERROR(__xludf.DUMMYFUNCTION("""COMPUTED_VALUE"""),-0.4371236407912776)</f>
        <v>-0.4371236408</v>
      </c>
      <c r="Y129" s="11">
        <f>IFERROR(__xludf.DUMMYFUNCTION("""COMPUTED_VALUE"""),-0.3280081286730279)</f>
        <v>-0.3280081287</v>
      </c>
      <c r="Z129" s="11">
        <f>IFERROR(__xludf.DUMMYFUNCTION("""COMPUTED_VALUE"""),0.35105775917322646)</f>
        <v>0.3510577592</v>
      </c>
      <c r="AA129" s="11">
        <f>IFERROR(__xludf.DUMMYFUNCTION("""COMPUTED_VALUE"""),0.18565595822355335)</f>
        <v>0.1856559582</v>
      </c>
      <c r="AB129" t="str">
        <f>IFERROR(__xludf.DUMMYFUNCTION("SUBSTITUTE(REGEXREPLACE(REGEXREPLACE(REGEXREPLACE(REGEXREPLACE(REGEXREPLACE(REGEXREPLACE(F129,"","",),IF(Projections!$T$17="""",""PG"",),),IF(Projections!$U$17="""",""SG"",),),IF(Projections!$V$17="""",""SF"",),),IF(Projections!$W$17="""",""PF"",),),IF(Pr"&amp;"ojections!$X$17="""",""C"",),),""/"","""")"),"SGSF")</f>
        <v>SGSF</v>
      </c>
    </row>
    <row r="130">
      <c r="A130" t="str">
        <f>IF(Projections!$AC$17,Draft!N8,"")</f>
        <v/>
      </c>
      <c r="B130">
        <f>IFERROR(__xludf.DUMMYFUNCTION("""COMPUTED_VALUE"""),125.0)</f>
        <v>125</v>
      </c>
      <c r="C130">
        <f>IFERROR(__xludf.DUMMYFUNCTION("""COMPUTED_VALUE"""),140.1)</f>
        <v>140.1</v>
      </c>
      <c r="D130" t="str">
        <f>IFERROR(__xludf.DUMMYFUNCTION("""COMPUTED_VALUE"""),"Mitchell Robinson")</f>
        <v>Mitchell Robinson</v>
      </c>
      <c r="E130">
        <f>IFERROR(__xludf.DUMMYFUNCTION("""COMPUTED_VALUE"""),75.0)</f>
        <v>75</v>
      </c>
      <c r="F130" t="str">
        <f>IFERROR(__xludf.DUMMYFUNCTION("""COMPUTED_VALUE"""),"C")</f>
        <v>C</v>
      </c>
      <c r="G130" s="11">
        <f>IFERROR(__xludf.DUMMYFUNCTION("""COMPUTED_VALUE"""),-1.288141272979836)</f>
        <v>-1.288141273</v>
      </c>
      <c r="H130" s="11">
        <f>IFERROR(__xludf.DUMMYFUNCTION("""COMPUTED_VALUE"""),-1.288141272979836)</f>
        <v>-1.288141273</v>
      </c>
      <c r="I130" s="11">
        <f>IFERROR(__xludf.DUMMYFUNCTION("""COMPUTED_VALUE"""),0.0)</f>
        <v>0</v>
      </c>
      <c r="J130" s="11">
        <f>IFERROR(__xludf.DUMMYFUNCTION("""COMPUTED_VALUE"""),6.8)</f>
        <v>6.8</v>
      </c>
      <c r="K130" s="11">
        <f>IFERROR(__xludf.DUMMYFUNCTION("""COMPUTED_VALUE"""),0.0)</f>
        <v>0</v>
      </c>
      <c r="L130" s="11">
        <f>IFERROR(__xludf.DUMMYFUNCTION("""COMPUTED_VALUE"""),9.1)</f>
        <v>9.1</v>
      </c>
      <c r="M130" s="11">
        <f>IFERROR(__xludf.DUMMYFUNCTION("""COMPUTED_VALUE"""),0.8)</f>
        <v>0.8</v>
      </c>
      <c r="N130" s="11">
        <f>IFERROR(__xludf.DUMMYFUNCTION("""COMPUTED_VALUE"""),1.0)</f>
        <v>1</v>
      </c>
      <c r="O130" s="11">
        <f>IFERROR(__xludf.DUMMYFUNCTION("""COMPUTED_VALUE"""),1.6)</f>
        <v>1.6</v>
      </c>
      <c r="P130" s="15">
        <f>IFERROR(__xludf.DUMMYFUNCTION("""COMPUTED_VALUE"""),0.64)</f>
        <v>0.64</v>
      </c>
      <c r="Q130" s="15">
        <f>IFERROR(__xludf.DUMMYFUNCTION("""COMPUTED_VALUE"""),0.459)</f>
        <v>0.459</v>
      </c>
      <c r="R130" s="11">
        <f>IFERROR(__xludf.DUMMYFUNCTION("""COMPUTED_VALUE"""),0.7)</f>
        <v>0.7</v>
      </c>
      <c r="S130" s="11">
        <f>IFERROR(__xludf.DUMMYFUNCTION("""COMPUTED_VALUE"""),-1.9269520875650907)</f>
        <v>-1.926952088</v>
      </c>
      <c r="T130" s="11">
        <f>IFERROR(__xludf.DUMMYFUNCTION("""COMPUTED_VALUE"""),-1.7406865810748415)</f>
        <v>-1.740686581</v>
      </c>
      <c r="U130" s="11">
        <f>IFERROR(__xludf.DUMMYFUNCTION("""COMPUTED_VALUE"""),1.1890006664834278)</f>
        <v>1.189000666</v>
      </c>
      <c r="V130" s="11">
        <f>IFERROR(__xludf.DUMMYFUNCTION("""COMPUTED_VALUE"""),-1.428708496349665)</f>
        <v>-1.428708496</v>
      </c>
      <c r="W130" s="11">
        <f>IFERROR(__xludf.DUMMYFUNCTION("""COMPUTED_VALUE"""),0.07913626764067216)</f>
        <v>0.07913626764</v>
      </c>
      <c r="X130" s="11">
        <f>IFERROR(__xludf.DUMMYFUNCTION("""COMPUTED_VALUE"""),1.5252070817879424)</f>
        <v>1.525207082</v>
      </c>
      <c r="Y130" s="11">
        <f>IFERROR(__xludf.DUMMYFUNCTION("""COMPUTED_VALUE"""),0.7548112774462045)</f>
        <v>0.7548112774</v>
      </c>
      <c r="Z130" s="11">
        <f>IFERROR(__xludf.DUMMYFUNCTION("""COMPUTED_VALUE"""),-2.4981845681892807)</f>
        <v>-2.498184568</v>
      </c>
      <c r="AA130" s="11">
        <f>IFERROR(__xludf.DUMMYFUNCTION("""COMPUTED_VALUE"""),0.26005059865151336)</f>
        <v>0.2600505987</v>
      </c>
      <c r="AB130" t="str">
        <f>IFERROR(__xludf.DUMMYFUNCTION("SUBSTITUTE(REGEXREPLACE(REGEXREPLACE(REGEXREPLACE(REGEXREPLACE(REGEXREPLACE(REGEXREPLACE(F130,"","",),IF(Projections!$T$17="""",""PG"",),),IF(Projections!$U$17="""",""SG"",),),IF(Projections!$V$17="""",""SF"",),),IF(Projections!$W$17="""",""PF"",),),IF(Pr"&amp;"ojections!$X$17="""",""C"",),),""/"","""")"),"C")</f>
        <v>C</v>
      </c>
    </row>
    <row r="131">
      <c r="A131" t="str">
        <f>IF(Projections!$AC$17,Draft!N9,"")</f>
        <v/>
      </c>
      <c r="B131">
        <f>IFERROR(__xludf.DUMMYFUNCTION("""COMPUTED_VALUE"""),126.0)</f>
        <v>126</v>
      </c>
      <c r="C131">
        <f>IFERROR(__xludf.DUMMYFUNCTION("""COMPUTED_VALUE"""),116.7)</f>
        <v>116.7</v>
      </c>
      <c r="D131" t="str">
        <f>IFERROR(__xludf.DUMMYFUNCTION("""COMPUTED_VALUE"""),"Aaron Gordon")</f>
        <v>Aaron Gordon</v>
      </c>
      <c r="E131">
        <f>IFERROR(__xludf.DUMMYFUNCTION("""COMPUTED_VALUE"""),64.0)</f>
        <v>64</v>
      </c>
      <c r="F131" t="str">
        <f>IFERROR(__xludf.DUMMYFUNCTION("""COMPUTED_VALUE"""),"PF,C")</f>
        <v>PF,C</v>
      </c>
      <c r="G131" s="11">
        <f>IFERROR(__xludf.DUMMYFUNCTION("""COMPUTED_VALUE"""),-1.3360405676596367)</f>
        <v>-1.336040568</v>
      </c>
      <c r="H131" s="11">
        <f>IFERROR(__xludf.DUMMYFUNCTION("""COMPUTED_VALUE"""),-1.3360405676596367)</f>
        <v>-1.336040568</v>
      </c>
      <c r="I131" s="11">
        <f>IFERROR(__xludf.DUMMYFUNCTION("""COMPUTED_VALUE"""),0.0)</f>
        <v>0</v>
      </c>
      <c r="J131" s="11">
        <f>IFERROR(__xludf.DUMMYFUNCTION("""COMPUTED_VALUE"""),15.3)</f>
        <v>15.3</v>
      </c>
      <c r="K131" s="11">
        <f>IFERROR(__xludf.DUMMYFUNCTION("""COMPUTED_VALUE"""),0.7)</f>
        <v>0.7</v>
      </c>
      <c r="L131" s="11">
        <f>IFERROR(__xludf.DUMMYFUNCTION("""COMPUTED_VALUE"""),6.6)</f>
        <v>6.6</v>
      </c>
      <c r="M131" s="11">
        <f>IFERROR(__xludf.DUMMYFUNCTION("""COMPUTED_VALUE"""),3.3)</f>
        <v>3.3</v>
      </c>
      <c r="N131" s="11">
        <f>IFERROR(__xludf.DUMMYFUNCTION("""COMPUTED_VALUE"""),0.8)</f>
        <v>0.8</v>
      </c>
      <c r="O131" s="11">
        <f>IFERROR(__xludf.DUMMYFUNCTION("""COMPUTED_VALUE"""),0.7)</f>
        <v>0.7</v>
      </c>
      <c r="P131" s="15">
        <f>IFERROR(__xludf.DUMMYFUNCTION("""COMPUTED_VALUE"""),0.56)</f>
        <v>0.56</v>
      </c>
      <c r="Q131" s="15">
        <f>IFERROR(__xludf.DUMMYFUNCTION("""COMPUTED_VALUE"""),0.632)</f>
        <v>0.632</v>
      </c>
      <c r="R131" s="11">
        <f>IFERROR(__xludf.DUMMYFUNCTION("""COMPUTED_VALUE"""),1.5)</f>
        <v>1.5</v>
      </c>
      <c r="S131" s="11">
        <f>IFERROR(__xludf.DUMMYFUNCTION("""COMPUTED_VALUE"""),-0.3914439206874606)</f>
        <v>-0.3914439207</v>
      </c>
      <c r="T131" s="11">
        <f>IFERROR(__xludf.DUMMYFUNCTION("""COMPUTED_VALUE"""),-1.0440164878540512)</f>
        <v>-1.044016488</v>
      </c>
      <c r="U131" s="11">
        <f>IFERROR(__xludf.DUMMYFUNCTION("""COMPUTED_VALUE"""),0.20834138835912472)</f>
        <v>0.2083413884</v>
      </c>
      <c r="V131" s="11">
        <f>IFERROR(__xludf.DUMMYFUNCTION("""COMPUTED_VALUE"""),-0.2896642357963416)</f>
        <v>-0.2896642358</v>
      </c>
      <c r="W131" s="11">
        <f>IFERROR(__xludf.DUMMYFUNCTION("""COMPUTED_VALUE"""),-0.5847290886782864)</f>
        <v>-0.5847290887</v>
      </c>
      <c r="X131" s="11">
        <f>IFERROR(__xludf.DUMMYFUNCTION("""COMPUTED_VALUE"""),-0.08033623668596498)</f>
        <v>-0.08033623669</v>
      </c>
      <c r="Y131" s="11">
        <f>IFERROR(__xludf.DUMMYFUNCTION("""COMPUTED_VALUE"""),0.7841431228397229)</f>
        <v>0.7841431228</v>
      </c>
      <c r="Z131" s="11">
        <f>IFERROR(__xludf.DUMMYFUNCTION("""COMPUTED_VALUE"""),-2.423174511659651)</f>
        <v>-2.423174512</v>
      </c>
      <c r="AA131" s="11">
        <f>IFERROR(__xludf.DUMMYFUNCTION("""COMPUTED_VALUE"""),0.06166489084362008)</f>
        <v>0.06166489084</v>
      </c>
      <c r="AB131" t="str">
        <f>IFERROR(__xludf.DUMMYFUNCTION("SUBSTITUTE(REGEXREPLACE(REGEXREPLACE(REGEXREPLACE(REGEXREPLACE(REGEXREPLACE(REGEXREPLACE(F131,"","",),IF(Projections!$T$17="""",""PG"",),),IF(Projections!$U$17="""",""SG"",),),IF(Projections!$V$17="""",""SF"",),),IF(Projections!$W$17="""",""PF"",),),IF(Pr"&amp;"ojections!$X$17="""",""C"",),),""/"","""")"),"PFC")</f>
        <v>PFC</v>
      </c>
    </row>
    <row r="132">
      <c r="A132" t="str">
        <f>IF(Projections!$AC$17,Draft!N10,"")</f>
        <v/>
      </c>
      <c r="B132">
        <f>IFERROR(__xludf.DUMMYFUNCTION("""COMPUTED_VALUE"""),127.0)</f>
        <v>127</v>
      </c>
      <c r="C132">
        <f>IFERROR(__xludf.DUMMYFUNCTION("""COMPUTED_VALUE"""),142.5)</f>
        <v>142.5</v>
      </c>
      <c r="D132" t="str">
        <f>IFERROR(__xludf.DUMMYFUNCTION("""COMPUTED_VALUE"""),"Kelly Oubre Jr.")</f>
        <v>Kelly Oubre Jr.</v>
      </c>
      <c r="E132">
        <f>IFERROR(__xludf.DUMMYFUNCTION("""COMPUTED_VALUE"""),75.0)</f>
        <v>75</v>
      </c>
      <c r="F132" t="str">
        <f>IFERROR(__xludf.DUMMYFUNCTION("""COMPUTED_VALUE"""),"SG,SF")</f>
        <v>SG,SF</v>
      </c>
      <c r="G132" s="11">
        <f>IFERROR(__xludf.DUMMYFUNCTION("""COMPUTED_VALUE"""),-1.37258371145087)</f>
        <v>-1.372583711</v>
      </c>
      <c r="H132" s="11">
        <f>IFERROR(__xludf.DUMMYFUNCTION("""COMPUTED_VALUE"""),-1.37258371145087)</f>
        <v>-1.372583711</v>
      </c>
      <c r="I132" s="11">
        <f>IFERROR(__xludf.DUMMYFUNCTION("""COMPUTED_VALUE"""),0.0)</f>
        <v>0</v>
      </c>
      <c r="J132" s="11">
        <f>IFERROR(__xludf.DUMMYFUNCTION("""COMPUTED_VALUE"""),16.6)</f>
        <v>16.6</v>
      </c>
      <c r="K132" s="11">
        <f>IFERROR(__xludf.DUMMYFUNCTION("""COMPUTED_VALUE"""),1.8)</f>
        <v>1.8</v>
      </c>
      <c r="L132" s="11">
        <f>IFERROR(__xludf.DUMMYFUNCTION("""COMPUTED_VALUE"""),5.0)</f>
        <v>5</v>
      </c>
      <c r="M132" s="11">
        <f>IFERROR(__xludf.DUMMYFUNCTION("""COMPUTED_VALUE"""),1.3)</f>
        <v>1.3</v>
      </c>
      <c r="N132" s="11">
        <f>IFERROR(__xludf.DUMMYFUNCTION("""COMPUTED_VALUE"""),1.2)</f>
        <v>1.2</v>
      </c>
      <c r="O132" s="11">
        <f>IFERROR(__xludf.DUMMYFUNCTION("""COMPUTED_VALUE"""),0.6)</f>
        <v>0.6</v>
      </c>
      <c r="P132" s="15">
        <f>IFERROR(__xludf.DUMMYFUNCTION("""COMPUTED_VALUE"""),0.435)</f>
        <v>0.435</v>
      </c>
      <c r="Q132" s="15">
        <f>IFERROR(__xludf.DUMMYFUNCTION("""COMPUTED_VALUE"""),0.76)</f>
        <v>0.76</v>
      </c>
      <c r="R132" s="11">
        <f>IFERROR(__xludf.DUMMYFUNCTION("""COMPUTED_VALUE"""),1.3)</f>
        <v>1.3</v>
      </c>
      <c r="S132" s="11">
        <f>IFERROR(__xludf.DUMMYFUNCTION("""COMPUTED_VALUE"""),-0.15660149516499938)</f>
        <v>-0.1566014952</v>
      </c>
      <c r="T132" s="11">
        <f>IFERROR(__xludf.DUMMYFUNCTION("""COMPUTED_VALUE"""),0.05075080149290546)</f>
        <v>0.05075080149</v>
      </c>
      <c r="U132" s="11">
        <f>IFERROR(__xludf.DUMMYFUNCTION("""COMPUTED_VALUE"""),-0.41928054964042916)</f>
        <v>-0.4192805496</v>
      </c>
      <c r="V132" s="11">
        <f>IFERROR(__xludf.DUMMYFUNCTION("""COMPUTED_VALUE"""),-1.2008996442390003)</f>
        <v>-1.200899644</v>
      </c>
      <c r="W132" s="11">
        <f>IFERROR(__xludf.DUMMYFUNCTION("""COMPUTED_VALUE"""),0.7430016239596308)</f>
        <v>0.743001624</v>
      </c>
      <c r="X132" s="11">
        <f>IFERROR(__xludf.DUMMYFUNCTION("""COMPUTED_VALUE"""),-0.25872993873862127)</f>
        <v>-0.2587299387</v>
      </c>
      <c r="Y132" s="11">
        <f>IFERROR(__xludf.DUMMYFUNCTION("""COMPUTED_VALUE"""),-1.022593306166598)</f>
        <v>-1.022593306</v>
      </c>
      <c r="Z132" s="11">
        <f>IFERROR(__xludf.DUMMYFUNCTION("""COMPUTED_VALUE"""),-0.42039216498835213)</f>
        <v>-0.420392165</v>
      </c>
      <c r="AA132" s="11">
        <f>IFERROR(__xludf.DUMMYFUNCTION("""COMPUTED_VALUE"""),0.11126131779559338)</f>
        <v>0.1112613178</v>
      </c>
      <c r="AB132" t="str">
        <f>IFERROR(__xludf.DUMMYFUNCTION("SUBSTITUTE(REGEXREPLACE(REGEXREPLACE(REGEXREPLACE(REGEXREPLACE(REGEXREPLACE(REGEXREPLACE(F132,"","",),IF(Projections!$T$17="""",""PG"",),),IF(Projections!$U$17="""",""SG"",),),IF(Projections!$V$17="""",""SF"",),),IF(Projections!$W$17="""",""PF"",),),IF(Pr"&amp;"ojections!$X$17="""",""C"",),),""/"","""")"),"SGSF")</f>
        <v>SGSF</v>
      </c>
    </row>
    <row r="133">
      <c r="A133" t="str">
        <f>IF(Projections!$AC$17,Draft!N11,"")</f>
        <v/>
      </c>
      <c r="B133">
        <f>IFERROR(__xludf.DUMMYFUNCTION("""COMPUTED_VALUE"""),128.0)</f>
        <v>128</v>
      </c>
      <c r="C133">
        <f>IFERROR(__xludf.DUMMYFUNCTION("""COMPUTED_VALUE"""),116.3)</f>
        <v>116.3</v>
      </c>
      <c r="D133" t="str">
        <f>IFERROR(__xludf.DUMMYFUNCTION("""COMPUTED_VALUE"""),"Josh Hart")</f>
        <v>Josh Hart</v>
      </c>
      <c r="E133">
        <f>IFERROR(__xludf.DUMMYFUNCTION("""COMPUTED_VALUE"""),71.0)</f>
        <v>71</v>
      </c>
      <c r="F133" t="str">
        <f>IFERROR(__xludf.DUMMYFUNCTION("""COMPUTED_VALUE"""),"SF,PF")</f>
        <v>SF,PF</v>
      </c>
      <c r="G133" s="11">
        <f>IFERROR(__xludf.DUMMYFUNCTION("""COMPUTED_VALUE"""),-1.3869238544197227)</f>
        <v>-1.386923854</v>
      </c>
      <c r="H133" s="11">
        <f>IFERROR(__xludf.DUMMYFUNCTION("""COMPUTED_VALUE"""),-1.3869238544197227)</f>
        <v>-1.386923854</v>
      </c>
      <c r="I133" s="11">
        <f>IFERROR(__xludf.DUMMYFUNCTION("""COMPUTED_VALUE"""),0.0)</f>
        <v>0</v>
      </c>
      <c r="J133" s="11">
        <f>IFERROR(__xludf.DUMMYFUNCTION("""COMPUTED_VALUE"""),9.1)</f>
        <v>9.1</v>
      </c>
      <c r="K133" s="11">
        <f>IFERROR(__xludf.DUMMYFUNCTION("""COMPUTED_VALUE"""),0.9)</f>
        <v>0.9</v>
      </c>
      <c r="L133" s="11">
        <f>IFERROR(__xludf.DUMMYFUNCTION("""COMPUTED_VALUE"""),7.9)</f>
        <v>7.9</v>
      </c>
      <c r="M133" s="11">
        <f>IFERROR(__xludf.DUMMYFUNCTION("""COMPUTED_VALUE"""),3.9)</f>
        <v>3.9</v>
      </c>
      <c r="N133" s="11">
        <f>IFERROR(__xludf.DUMMYFUNCTION("""COMPUTED_VALUE"""),1.0)</f>
        <v>1</v>
      </c>
      <c r="O133" s="11">
        <f>IFERROR(__xludf.DUMMYFUNCTION("""COMPUTED_VALUE"""),0.3)</f>
        <v>0.3</v>
      </c>
      <c r="P133" s="15">
        <f>IFERROR(__xludf.DUMMYFUNCTION("""COMPUTED_VALUE"""),0.457)</f>
        <v>0.457</v>
      </c>
      <c r="Q133" s="15">
        <f>IFERROR(__xludf.DUMMYFUNCTION("""COMPUTED_VALUE"""),0.765)</f>
        <v>0.765</v>
      </c>
      <c r="R133" s="11">
        <f>IFERROR(__xludf.DUMMYFUNCTION("""COMPUTED_VALUE"""),1.7)</f>
        <v>1.7</v>
      </c>
      <c r="S133" s="11">
        <f>IFERROR(__xludf.DUMMYFUNCTION("""COMPUTED_VALUE"""),-1.5114616424099674)</f>
        <v>-1.511461642</v>
      </c>
      <c r="T133" s="11">
        <f>IFERROR(__xludf.DUMMYFUNCTION("""COMPUTED_VALUE"""),-0.844967889790968)</f>
        <v>-0.8449678898</v>
      </c>
      <c r="U133" s="11">
        <f>IFERROR(__xludf.DUMMYFUNCTION("""COMPUTED_VALUE"""),0.7182842129837627)</f>
        <v>0.718284213</v>
      </c>
      <c r="V133" s="11">
        <f>IFERROR(__xludf.DUMMYFUNCTION("""COMPUTED_VALUE"""),-0.016293613263543852)</f>
        <v>-0.01629361326</v>
      </c>
      <c r="W133" s="11">
        <f>IFERROR(__xludf.DUMMYFUNCTION("""COMPUTED_VALUE"""),0.07913626764067216)</f>
        <v>0.07913626764</v>
      </c>
      <c r="X133" s="11">
        <f>IFERROR(__xludf.DUMMYFUNCTION("""COMPUTED_VALUE"""),-0.7939110448965904)</f>
        <v>-0.7939110449</v>
      </c>
      <c r="Y133" s="11">
        <f>IFERROR(__xludf.DUMMYFUNCTION("""COMPUTED_VALUE"""),-0.3505524588389439)</f>
        <v>-0.3505524588</v>
      </c>
      <c r="Z133" s="11">
        <f>IFERROR(__xludf.DUMMYFUNCTION("""COMPUTED_VALUE"""),-0.19068779214575837)</f>
        <v>-0.1906877921</v>
      </c>
      <c r="AA133" s="11">
        <f>IFERROR(__xludf.DUMMYFUNCTION("""COMPUTED_VALUE"""),0.012068463891646777)</f>
        <v>0.01206846389</v>
      </c>
      <c r="AB133" t="str">
        <f>IFERROR(__xludf.DUMMYFUNCTION("SUBSTITUTE(REGEXREPLACE(REGEXREPLACE(REGEXREPLACE(REGEXREPLACE(REGEXREPLACE(REGEXREPLACE(F133,"","",),IF(Projections!$T$17="""",""PG"",),),IF(Projections!$U$17="""",""SG"",),),IF(Projections!$V$17="""",""SF"",),),IF(Projections!$W$17="""",""PF"",),),IF(Pr"&amp;"ojections!$X$17="""",""C"",),),""/"","""")"),"SFPF")</f>
        <v>SFPF</v>
      </c>
    </row>
    <row r="134">
      <c r="A134" t="str">
        <f>IF(Projections!$AC$17,Draft!N12,"")</f>
        <v/>
      </c>
      <c r="B134">
        <f>IFERROR(__xludf.DUMMYFUNCTION("""COMPUTED_VALUE"""),129.0)</f>
        <v>129</v>
      </c>
      <c r="C134">
        <f>IFERROR(__xludf.DUMMYFUNCTION("""COMPUTED_VALUE"""),106.7)</f>
        <v>106.7</v>
      </c>
      <c r="D134" t="str">
        <f>IFERROR(__xludf.DUMMYFUNCTION("""COMPUTED_VALUE"""),"John Collins")</f>
        <v>John Collins</v>
      </c>
      <c r="E134">
        <f>IFERROR(__xludf.DUMMYFUNCTION("""COMPUTED_VALUE"""),71.0)</f>
        <v>71</v>
      </c>
      <c r="F134" t="str">
        <f>IFERROR(__xludf.DUMMYFUNCTION("""COMPUTED_VALUE"""),"PF,C")</f>
        <v>PF,C</v>
      </c>
      <c r="G134" s="11">
        <f>IFERROR(__xludf.DUMMYFUNCTION("""COMPUTED_VALUE"""),-1.3931809577829535)</f>
        <v>-1.393180958</v>
      </c>
      <c r="H134" s="11">
        <f>IFERROR(__xludf.DUMMYFUNCTION("""COMPUTED_VALUE"""),-1.3931809577829535)</f>
        <v>-1.393180958</v>
      </c>
      <c r="I134" s="11">
        <f>IFERROR(__xludf.DUMMYFUNCTION("""COMPUTED_VALUE"""),0.0)</f>
        <v>0</v>
      </c>
      <c r="J134" s="11">
        <f>IFERROR(__xludf.DUMMYFUNCTION("""COMPUTED_VALUE"""),13.7)</f>
        <v>13.7</v>
      </c>
      <c r="K134" s="11">
        <f>IFERROR(__xludf.DUMMYFUNCTION("""COMPUTED_VALUE"""),1.1)</f>
        <v>1.1</v>
      </c>
      <c r="L134" s="11">
        <f>IFERROR(__xludf.DUMMYFUNCTION("""COMPUTED_VALUE"""),7.3)</f>
        <v>7.3</v>
      </c>
      <c r="M134" s="11">
        <f>IFERROR(__xludf.DUMMYFUNCTION("""COMPUTED_VALUE"""),1.1)</f>
        <v>1.1</v>
      </c>
      <c r="N134" s="11">
        <f>IFERROR(__xludf.DUMMYFUNCTION("""COMPUTED_VALUE"""),0.6)</f>
        <v>0.6</v>
      </c>
      <c r="O134" s="11">
        <f>IFERROR(__xludf.DUMMYFUNCTION("""COMPUTED_VALUE"""),0.9)</f>
        <v>0.9</v>
      </c>
      <c r="P134" s="15">
        <f>IFERROR(__xludf.DUMMYFUNCTION("""COMPUTED_VALUE"""),0.52)</f>
        <v>0.52</v>
      </c>
      <c r="Q134" s="15">
        <f>IFERROR(__xludf.DUMMYFUNCTION("""COMPUTED_VALUE"""),0.796)</f>
        <v>0.796</v>
      </c>
      <c r="R134" s="11">
        <f>IFERROR(__xludf.DUMMYFUNCTION("""COMPUTED_VALUE"""),1.2)</f>
        <v>1.2</v>
      </c>
      <c r="S134" s="11">
        <f>IFERROR(__xludf.DUMMYFUNCTION("""COMPUTED_VALUE"""),-0.6804807520997206)</f>
        <v>-0.6804807521</v>
      </c>
      <c r="T134" s="11">
        <f>IFERROR(__xludf.DUMMYFUNCTION("""COMPUTED_VALUE"""),-0.645919291727885)</f>
        <v>-0.6459192917</v>
      </c>
      <c r="U134" s="11">
        <f>IFERROR(__xludf.DUMMYFUNCTION("""COMPUTED_VALUE"""),0.4829259862339297)</f>
        <v>0.4829259862</v>
      </c>
      <c r="V134" s="11">
        <f>IFERROR(__xludf.DUMMYFUNCTION("""COMPUTED_VALUE"""),-1.2920231850832664)</f>
        <v>-1.292023185</v>
      </c>
      <c r="W134" s="11">
        <f>IFERROR(__xludf.DUMMYFUNCTION("""COMPUTED_VALUE"""),-1.2485944449972455)</f>
        <v>-1.248594445</v>
      </c>
      <c r="X134" s="11">
        <f>IFERROR(__xludf.DUMMYFUNCTION("""COMPUTED_VALUE"""),0.27645116741934783)</f>
        <v>0.2764511674</v>
      </c>
      <c r="Y134" s="11">
        <f>IFERROR(__xludf.DUMMYFUNCTION("""COMPUTED_VALUE"""),0.2763764433705047)</f>
        <v>0.2763764434</v>
      </c>
      <c r="Z134" s="11">
        <f>IFERROR(__xludf.DUMMYFUNCTION("""COMPUTED_VALUE"""),0.010000402746535613)</f>
        <v>0.01000040275</v>
      </c>
      <c r="AA134" s="11">
        <f>IFERROR(__xludf.DUMMYFUNCTION("""COMPUTED_VALUE"""),0.13605953127158005)</f>
        <v>0.1360595313</v>
      </c>
      <c r="AB134" t="str">
        <f>IFERROR(__xludf.DUMMYFUNCTION("SUBSTITUTE(REGEXREPLACE(REGEXREPLACE(REGEXREPLACE(REGEXREPLACE(REGEXREPLACE(REGEXREPLACE(F134,"","",),IF(Projections!$T$17="""",""PG"",),),IF(Projections!$U$17="""",""SG"",),),IF(Projections!$V$17="""",""SF"",),),IF(Projections!$W$17="""",""PF"",),),IF(Pr"&amp;"ojections!$X$17="""",""C"",),),""/"","""")"),"PFC")</f>
        <v>PFC</v>
      </c>
    </row>
    <row r="135">
      <c r="A135" t="str">
        <f>IF(Projections!$AC$17,Draft!N13,"")</f>
        <v/>
      </c>
      <c r="B135">
        <f>IFERROR(__xludf.DUMMYFUNCTION("""COMPUTED_VALUE"""),130.0)</f>
        <v>130</v>
      </c>
      <c r="C135">
        <f>IFERROR(__xludf.DUMMYFUNCTION("""COMPUTED_VALUE"""),106.5)</f>
        <v>106.5</v>
      </c>
      <c r="D135" t="str">
        <f>IFERROR(__xludf.DUMMYFUNCTION("""COMPUTED_VALUE"""),"Klay Thompson")</f>
        <v>Klay Thompson</v>
      </c>
      <c r="E135">
        <f>IFERROR(__xludf.DUMMYFUNCTION("""COMPUTED_VALUE"""),51.0)</f>
        <v>51</v>
      </c>
      <c r="F135" t="str">
        <f>IFERROR(__xludf.DUMMYFUNCTION("""COMPUTED_VALUE"""),"SG,SF")</f>
        <v>SG,SF</v>
      </c>
      <c r="G135" s="11">
        <f>IFERROR(__xludf.DUMMYFUNCTION("""COMPUTED_VALUE"""),-1.3941952171846328)</f>
        <v>-1.394195217</v>
      </c>
      <c r="H135" s="11">
        <f>IFERROR(__xludf.DUMMYFUNCTION("""COMPUTED_VALUE"""),-1.3941952171846328)</f>
        <v>-1.394195217</v>
      </c>
      <c r="I135" s="11">
        <f>IFERROR(__xludf.DUMMYFUNCTION("""COMPUTED_VALUE"""),0.0)</f>
        <v>0</v>
      </c>
      <c r="J135" s="11">
        <f>IFERROR(__xludf.DUMMYFUNCTION("""COMPUTED_VALUE"""),17.2)</f>
        <v>17.2</v>
      </c>
      <c r="K135" s="11">
        <f>IFERROR(__xludf.DUMMYFUNCTION("""COMPUTED_VALUE"""),3.4)</f>
        <v>3.4</v>
      </c>
      <c r="L135" s="11">
        <f>IFERROR(__xludf.DUMMYFUNCTION("""COMPUTED_VALUE"""),3.2)</f>
        <v>3.2</v>
      </c>
      <c r="M135" s="11">
        <f>IFERROR(__xludf.DUMMYFUNCTION("""COMPUTED_VALUE"""),2.0)</f>
        <v>2</v>
      </c>
      <c r="N135" s="11">
        <f>IFERROR(__xludf.DUMMYFUNCTION("""COMPUTED_VALUE"""),0.6)</f>
        <v>0.6</v>
      </c>
      <c r="O135" s="11">
        <f>IFERROR(__xludf.DUMMYFUNCTION("""COMPUTED_VALUE"""),0.4)</f>
        <v>0.4</v>
      </c>
      <c r="P135" s="15">
        <f>IFERROR(__xludf.DUMMYFUNCTION("""COMPUTED_VALUE"""),0.434)</f>
        <v>0.434</v>
      </c>
      <c r="Q135" s="15">
        <f>IFERROR(__xludf.DUMMYFUNCTION("""COMPUTED_VALUE"""),0.901)</f>
        <v>0.901</v>
      </c>
      <c r="R135" s="11">
        <f>IFERROR(__xludf.DUMMYFUNCTION("""COMPUTED_VALUE"""),1.4)</f>
        <v>1.4</v>
      </c>
      <c r="S135" s="11">
        <f>IFERROR(__xludf.DUMMYFUNCTION("""COMPUTED_VALUE"""),-0.04821268338540236)</f>
        <v>-0.04821268339</v>
      </c>
      <c r="T135" s="11">
        <f>IFERROR(__xludf.DUMMYFUNCTION("""COMPUTED_VALUE"""),1.6431395859975693)</f>
        <v>1.643139586</v>
      </c>
      <c r="U135" s="11">
        <f>IFERROR(__xludf.DUMMYFUNCTION("""COMPUTED_VALUE"""),-1.1253552298899274)</f>
        <v>-1.12535523</v>
      </c>
      <c r="V135" s="11">
        <f>IFERROR(__xludf.DUMMYFUNCTION("""COMPUTED_VALUE"""),-0.8819672512840698)</f>
        <v>-0.8819672513</v>
      </c>
      <c r="W135" s="11">
        <f>IFERROR(__xludf.DUMMYFUNCTION("""COMPUTED_VALUE"""),-1.2485944449972455)</f>
        <v>-1.248594445</v>
      </c>
      <c r="X135" s="11">
        <f>IFERROR(__xludf.DUMMYFUNCTION("""COMPUTED_VALUE"""),-0.6155173428439339)</f>
        <v>-0.6155173428</v>
      </c>
      <c r="Y135" s="11">
        <f>IFERROR(__xludf.DUMMYFUNCTION("""COMPUTED_VALUE"""),-1.053857788829039)</f>
        <v>-1.053857789</v>
      </c>
      <c r="Z135" s="11">
        <f>IFERROR(__xludf.DUMMYFUNCTION("""COMPUTED_VALUE"""),0.6011123887305639)</f>
        <v>0.6011123887</v>
      </c>
      <c r="AA135" s="11">
        <f>IFERROR(__xludf.DUMMYFUNCTION("""COMPUTED_VALUE"""),0.08646310431960676)</f>
        <v>0.08646310432</v>
      </c>
      <c r="AB135" t="str">
        <f>IFERROR(__xludf.DUMMYFUNCTION("SUBSTITUTE(REGEXREPLACE(REGEXREPLACE(REGEXREPLACE(REGEXREPLACE(REGEXREPLACE(REGEXREPLACE(F135,"","",),IF(Projections!$T$17="""",""PG"",),),IF(Projections!$U$17="""",""SG"",),),IF(Projections!$V$17="""",""SF"",),),IF(Projections!$W$17="""",""PF"",),),IF(Pr"&amp;"ojections!$X$17="""",""C"",),),""/"","""")"),"SGSF")</f>
        <v>SGSF</v>
      </c>
    </row>
    <row r="136">
      <c r="A136" t="str">
        <f>IF(Projections!$AC$17,Draft!O3,"")</f>
        <v/>
      </c>
      <c r="B136">
        <f>IFERROR(__xludf.DUMMYFUNCTION("""COMPUTED_VALUE"""),131.0)</f>
        <v>131</v>
      </c>
      <c r="C136">
        <f>IFERROR(__xludf.DUMMYFUNCTION("""COMPUTED_VALUE"""),139.0)</f>
        <v>139</v>
      </c>
      <c r="D136" t="str">
        <f>IFERROR(__xludf.DUMMYFUNCTION("""COMPUTED_VALUE"""),"Dennis Schröder")</f>
        <v>Dennis Schröder</v>
      </c>
      <c r="E136">
        <f>IFERROR(__xludf.DUMMYFUNCTION("""COMPUTED_VALUE"""),71.0)</f>
        <v>71</v>
      </c>
      <c r="F136" t="str">
        <f>IFERROR(__xludf.DUMMYFUNCTION("""COMPUTED_VALUE"""),"PG")</f>
        <v>PG</v>
      </c>
      <c r="G136" s="11">
        <f>IFERROR(__xludf.DUMMYFUNCTION("""COMPUTED_VALUE"""),-1.4254521458244693)</f>
        <v>-1.425452146</v>
      </c>
      <c r="H136" s="11">
        <f>IFERROR(__xludf.DUMMYFUNCTION("""COMPUTED_VALUE"""),-1.4254521458244693)</f>
        <v>-1.425452146</v>
      </c>
      <c r="I136" s="11">
        <f>IFERROR(__xludf.DUMMYFUNCTION("""COMPUTED_VALUE"""),0.0)</f>
        <v>0</v>
      </c>
      <c r="J136" s="11">
        <f>IFERROR(__xludf.DUMMYFUNCTION("""COMPUTED_VALUE"""),15.1)</f>
        <v>15.1</v>
      </c>
      <c r="K136" s="11">
        <f>IFERROR(__xludf.DUMMYFUNCTION("""COMPUTED_VALUE"""),1.7)</f>
        <v>1.7</v>
      </c>
      <c r="L136" s="11">
        <f>IFERROR(__xludf.DUMMYFUNCTION("""COMPUTED_VALUE"""),3.0)</f>
        <v>3</v>
      </c>
      <c r="M136" s="11">
        <f>IFERROR(__xludf.DUMMYFUNCTION("""COMPUTED_VALUE"""),5.9)</f>
        <v>5.9</v>
      </c>
      <c r="N136" s="11">
        <f>IFERROR(__xludf.DUMMYFUNCTION("""COMPUTED_VALUE"""),0.8)</f>
        <v>0.8</v>
      </c>
      <c r="O136" s="11">
        <f>IFERROR(__xludf.DUMMYFUNCTION("""COMPUTED_VALUE"""),0.2)</f>
        <v>0.2</v>
      </c>
      <c r="P136" s="15">
        <f>IFERROR(__xludf.DUMMYFUNCTION("""COMPUTED_VALUE"""),0.435)</f>
        <v>0.435</v>
      </c>
      <c r="Q136" s="15">
        <f>IFERROR(__xludf.DUMMYFUNCTION("""COMPUTED_VALUE"""),0.847)</f>
        <v>0.847</v>
      </c>
      <c r="R136" s="11">
        <f>IFERROR(__xludf.DUMMYFUNCTION("""COMPUTED_VALUE"""),2.0)</f>
        <v>2</v>
      </c>
      <c r="S136" s="11">
        <f>IFERROR(__xludf.DUMMYFUNCTION("""COMPUTED_VALUE"""),-0.4275735246139932)</f>
        <v>-0.4275735246</v>
      </c>
      <c r="T136" s="11">
        <f>IFERROR(__xludf.DUMMYFUNCTION("""COMPUTED_VALUE"""),-0.04877349753863613)</f>
        <v>-0.04877349754</v>
      </c>
      <c r="U136" s="11">
        <f>IFERROR(__xludf.DUMMYFUNCTION("""COMPUTED_VALUE"""),-1.2038079721398716)</f>
        <v>-1.203807972</v>
      </c>
      <c r="V136" s="11">
        <f>IFERROR(__xludf.DUMMYFUNCTION("""COMPUTED_VALUE"""),0.8949417951791153)</f>
        <v>0.8949417952</v>
      </c>
      <c r="W136" s="11">
        <f>IFERROR(__xludf.DUMMYFUNCTION("""COMPUTED_VALUE"""),-0.5847290886782864)</f>
        <v>-0.5847290887</v>
      </c>
      <c r="X136" s="11">
        <f>IFERROR(__xludf.DUMMYFUNCTION("""COMPUTED_VALUE"""),-0.9723047469492465)</f>
        <v>-0.9723047469</v>
      </c>
      <c r="Y136" s="11">
        <f>IFERROR(__xludf.DUMMYFUNCTION("""COMPUTED_VALUE"""),-0.8702921754609344)</f>
        <v>-0.8702921755</v>
      </c>
      <c r="Z136" s="11">
        <f>IFERROR(__xludf.DUMMYFUNCTION("""COMPUTED_VALUE"""),0.6456052687738252)</f>
        <v>0.6456052688</v>
      </c>
      <c r="AA136" s="11">
        <f>IFERROR(__xludf.DUMMYFUNCTION("""COMPUTED_VALUE"""),-0.062326176536313206)</f>
        <v>-0.06232617654</v>
      </c>
      <c r="AB136" t="str">
        <f>IFERROR(__xludf.DUMMYFUNCTION("SUBSTITUTE(REGEXREPLACE(REGEXREPLACE(REGEXREPLACE(REGEXREPLACE(REGEXREPLACE(REGEXREPLACE(F136,"","",),IF(Projections!$T$17="""",""PG"",),),IF(Projections!$U$17="""",""SG"",),),IF(Projections!$V$17="""",""SF"",),),IF(Projections!$W$17="""",""PF"",),),IF(Pr"&amp;"ojections!$X$17="""",""C"",),),""/"","""")"),"PG")</f>
        <v>PG</v>
      </c>
    </row>
    <row r="137">
      <c r="A137" t="str">
        <f>IF(Projections!$AC$17,Draft!O4,"")</f>
        <v/>
      </c>
      <c r="B137">
        <f>IFERROR(__xludf.DUMMYFUNCTION("""COMPUTED_VALUE"""),132.0)</f>
        <v>132</v>
      </c>
      <c r="C137">
        <f>IFERROR(__xludf.DUMMYFUNCTION("""COMPUTED_VALUE"""),144.0)</f>
        <v>144</v>
      </c>
      <c r="D137" t="str">
        <f>IFERROR(__xludf.DUMMYFUNCTION("""COMPUTED_VALUE"""),"Tari Eason")</f>
        <v>Tari Eason</v>
      </c>
      <c r="E137">
        <f>IFERROR(__xludf.DUMMYFUNCTION("""COMPUTED_VALUE"""),66.0)</f>
        <v>66</v>
      </c>
      <c r="F137" t="str">
        <f>IFERROR(__xludf.DUMMYFUNCTION("""COMPUTED_VALUE"""),"SF,PF")</f>
        <v>SF,PF</v>
      </c>
      <c r="G137" s="11">
        <f>IFERROR(__xludf.DUMMYFUNCTION("""COMPUTED_VALUE"""),-1.4541635958338877)</f>
        <v>-1.454163596</v>
      </c>
      <c r="H137" s="11">
        <f>IFERROR(__xludf.DUMMYFUNCTION("""COMPUTED_VALUE"""),-1.4541635958338877)</f>
        <v>-1.454163596</v>
      </c>
      <c r="I137" s="11">
        <f>IFERROR(__xludf.DUMMYFUNCTION("""COMPUTED_VALUE"""),0.0)</f>
        <v>0</v>
      </c>
      <c r="J137" s="11">
        <f>IFERROR(__xludf.DUMMYFUNCTION("""COMPUTED_VALUE"""),9.8)</f>
        <v>9.8</v>
      </c>
      <c r="K137" s="11">
        <f>IFERROR(__xludf.DUMMYFUNCTION("""COMPUTED_VALUE"""),0.8)</f>
        <v>0.8</v>
      </c>
      <c r="L137" s="11">
        <f>IFERROR(__xludf.DUMMYFUNCTION("""COMPUTED_VALUE"""),7.1)</f>
        <v>7.1</v>
      </c>
      <c r="M137" s="11">
        <f>IFERROR(__xludf.DUMMYFUNCTION("""COMPUTED_VALUE"""),1.2)</f>
        <v>1.2</v>
      </c>
      <c r="N137" s="11">
        <f>IFERROR(__xludf.DUMMYFUNCTION("""COMPUTED_VALUE"""),1.3)</f>
        <v>1.3</v>
      </c>
      <c r="O137" s="11">
        <f>IFERROR(__xludf.DUMMYFUNCTION("""COMPUTED_VALUE"""),0.7)</f>
        <v>0.7</v>
      </c>
      <c r="P137" s="15">
        <f>IFERROR(__xludf.DUMMYFUNCTION("""COMPUTED_VALUE"""),0.457)</f>
        <v>0.457</v>
      </c>
      <c r="Q137" s="15">
        <f>IFERROR(__xludf.DUMMYFUNCTION("""COMPUTED_VALUE"""),0.732)</f>
        <v>0.732</v>
      </c>
      <c r="R137" s="11">
        <f>IFERROR(__xludf.DUMMYFUNCTION("""COMPUTED_VALUE"""),1.2)</f>
        <v>1.2</v>
      </c>
      <c r="S137" s="11">
        <f>IFERROR(__xludf.DUMMYFUNCTION("""COMPUTED_VALUE"""),-1.3850080286671036)</f>
        <v>-1.385008029</v>
      </c>
      <c r="T137" s="11">
        <f>IFERROR(__xludf.DUMMYFUNCTION("""COMPUTED_VALUE"""),-0.9444921888225095)</f>
        <v>-0.9444921888</v>
      </c>
      <c r="U137" s="11">
        <f>IFERROR(__xludf.DUMMYFUNCTION("""COMPUTED_VALUE"""),0.4044732439839854)</f>
        <v>0.404473244</v>
      </c>
      <c r="V137" s="11">
        <f>IFERROR(__xludf.DUMMYFUNCTION("""COMPUTED_VALUE"""),-1.2464614146611335)</f>
        <v>-1.246461415</v>
      </c>
      <c r="W137" s="11">
        <f>IFERROR(__xludf.DUMMYFUNCTION("""COMPUTED_VALUE"""),1.0749343021191105)</f>
        <v>1.074934302</v>
      </c>
      <c r="X137" s="11">
        <f>IFERROR(__xludf.DUMMYFUNCTION("""COMPUTED_VALUE"""),-0.08033623668596498)</f>
        <v>-0.08033623669</v>
      </c>
      <c r="Y137" s="11">
        <f>IFERROR(__xludf.DUMMYFUNCTION("""COMPUTED_VALUE"""),-0.3972927866841364)</f>
        <v>-0.3972927867</v>
      </c>
      <c r="Z137" s="11">
        <f>IFERROR(__xludf.DUMMYFUNCTION("""COMPUTED_VALUE"""),-0.40104804635481894)</f>
        <v>-0.4010480464</v>
      </c>
      <c r="AA137" s="11">
        <f>IFERROR(__xludf.DUMMYFUNCTION("""COMPUTED_VALUE"""),0.13605953127158005)</f>
        <v>0.1360595313</v>
      </c>
      <c r="AB137" t="str">
        <f>IFERROR(__xludf.DUMMYFUNCTION("SUBSTITUTE(REGEXREPLACE(REGEXREPLACE(REGEXREPLACE(REGEXREPLACE(REGEXREPLACE(REGEXREPLACE(F137,"","",),IF(Projections!$T$17="""",""PG"",),),IF(Projections!$U$17="""",""SG"",),),IF(Projections!$V$17="""",""SF"",),),IF(Projections!$W$17="""",""PF"",),),IF(Pr"&amp;"ojections!$X$17="""",""C"",),),""/"","""")"),"SFPF")</f>
        <v>SFPF</v>
      </c>
    </row>
    <row r="138">
      <c r="A138" t="str">
        <f>IF(Projections!$AC$17,Draft!O5,"")</f>
        <v/>
      </c>
      <c r="B138">
        <f>IFERROR(__xludf.DUMMYFUNCTION("""COMPUTED_VALUE"""),133.0)</f>
        <v>133</v>
      </c>
      <c r="C138">
        <f>IFERROR(__xludf.DUMMYFUNCTION("""COMPUTED_VALUE"""),138.1)</f>
        <v>138.1</v>
      </c>
      <c r="D138" t="str">
        <f>IFERROR(__xludf.DUMMYFUNCTION("""COMPUTED_VALUE"""),"Ausar Thompson")</f>
        <v>Ausar Thompson</v>
      </c>
      <c r="E138">
        <f>IFERROR(__xludf.DUMMYFUNCTION("""COMPUTED_VALUE"""),66.0)</f>
        <v>66</v>
      </c>
      <c r="F138" t="str">
        <f>IFERROR(__xludf.DUMMYFUNCTION("""COMPUTED_VALUE"""),"SF,PF")</f>
        <v>SF,PF</v>
      </c>
      <c r="G138" s="11">
        <f>IFERROR(__xludf.DUMMYFUNCTION("""COMPUTED_VALUE"""),-1.4617463617099717)</f>
        <v>-1.461746362</v>
      </c>
      <c r="H138" s="11">
        <f>IFERROR(__xludf.DUMMYFUNCTION("""COMPUTED_VALUE"""),-1.4617463617099717)</f>
        <v>-1.461746362</v>
      </c>
      <c r="I138" s="11">
        <f>IFERROR(__xludf.DUMMYFUNCTION("""COMPUTED_VALUE"""),0.0)</f>
        <v>0</v>
      </c>
      <c r="J138" s="11">
        <f>IFERROR(__xludf.DUMMYFUNCTION("""COMPUTED_VALUE"""),10.6)</f>
        <v>10.6</v>
      </c>
      <c r="K138" s="11">
        <f>IFERROR(__xludf.DUMMYFUNCTION("""COMPUTED_VALUE"""),0.4)</f>
        <v>0.4</v>
      </c>
      <c r="L138" s="11">
        <f>IFERROR(__xludf.DUMMYFUNCTION("""COMPUTED_VALUE"""),7.2)</f>
        <v>7.2</v>
      </c>
      <c r="M138" s="11">
        <f>IFERROR(__xludf.DUMMYFUNCTION("""COMPUTED_VALUE"""),2.2)</f>
        <v>2.2</v>
      </c>
      <c r="N138" s="11">
        <f>IFERROR(__xludf.DUMMYFUNCTION("""COMPUTED_VALUE"""),1.2)</f>
        <v>1.2</v>
      </c>
      <c r="O138" s="11">
        <f>IFERROR(__xludf.DUMMYFUNCTION("""COMPUTED_VALUE"""),1.1)</f>
        <v>1.1</v>
      </c>
      <c r="P138" s="15">
        <f>IFERROR(__xludf.DUMMYFUNCTION("""COMPUTED_VALUE"""),0.493)</f>
        <v>0.493</v>
      </c>
      <c r="Q138" s="15">
        <f>IFERROR(__xludf.DUMMYFUNCTION("""COMPUTED_VALUE"""),0.624)</f>
        <v>0.624</v>
      </c>
      <c r="R138" s="11">
        <f>IFERROR(__xludf.DUMMYFUNCTION("""COMPUTED_VALUE"""),1.5)</f>
        <v>1.5</v>
      </c>
      <c r="S138" s="11">
        <f>IFERROR(__xludf.DUMMYFUNCTION("""COMPUTED_VALUE"""),-1.240489612960974)</f>
        <v>-1.240489613</v>
      </c>
      <c r="T138" s="11">
        <f>IFERROR(__xludf.DUMMYFUNCTION("""COMPUTED_VALUE"""),-1.3425893849486756)</f>
        <v>-1.342589385</v>
      </c>
      <c r="U138" s="11">
        <f>IFERROR(__xludf.DUMMYFUNCTION("""COMPUTED_VALUE"""),0.44369961510895767)</f>
        <v>0.4436996151</v>
      </c>
      <c r="V138" s="11">
        <f>IFERROR(__xludf.DUMMYFUNCTION("""COMPUTED_VALUE"""),-0.7908437104398038)</f>
        <v>-0.7908437104</v>
      </c>
      <c r="W138" s="11">
        <f>IFERROR(__xludf.DUMMYFUNCTION("""COMPUTED_VALUE"""),0.7430016239596308)</f>
        <v>0.743001624</v>
      </c>
      <c r="X138" s="11">
        <f>IFERROR(__xludf.DUMMYFUNCTION("""COMPUTED_VALUE"""),0.6332385715246607)</f>
        <v>0.6332385715</v>
      </c>
      <c r="Y138" s="11">
        <f>IFERROR(__xludf.DUMMYFUNCTION("""COMPUTED_VALUE"""),-0.04093465444296735)</f>
        <v>-0.04093465444</v>
      </c>
      <c r="Z138" s="11">
        <f>IFERROR(__xludf.DUMMYFUNCTION("""COMPUTED_VALUE"""),-1.2710830853030952)</f>
        <v>-1.271083085</v>
      </c>
      <c r="AA138" s="11">
        <f>IFERROR(__xludf.DUMMYFUNCTION("""COMPUTED_VALUE"""),0.06166489084362008)</f>
        <v>0.06166489084</v>
      </c>
      <c r="AB138" t="str">
        <f>IFERROR(__xludf.DUMMYFUNCTION("SUBSTITUTE(REGEXREPLACE(REGEXREPLACE(REGEXREPLACE(REGEXREPLACE(REGEXREPLACE(REGEXREPLACE(F138,"","",),IF(Projections!$T$17="""",""PG"",),),IF(Projections!$U$17="""",""SG"",),),IF(Projections!$V$17="""",""SF"",),),IF(Projections!$W$17="""",""PF"",),),IF(Pr"&amp;"ojections!$X$17="""",""C"",),),""/"","""")"),"SFPF")</f>
        <v>SFPF</v>
      </c>
    </row>
    <row r="139">
      <c r="A139" t="str">
        <f>IF(Projections!$AC$17,Draft!O6,"")</f>
        <v/>
      </c>
      <c r="B139">
        <f>IFERROR(__xludf.DUMMYFUNCTION("""COMPUTED_VALUE"""),134.0)</f>
        <v>134</v>
      </c>
      <c r="C139">
        <f>IFERROR(__xludf.DUMMYFUNCTION("""COMPUTED_VALUE"""),144.3)</f>
        <v>144.3</v>
      </c>
      <c r="D139" t="str">
        <f>IFERROR(__xludf.DUMMYFUNCTION("""COMPUTED_VALUE"""),"Jalen Smith")</f>
        <v>Jalen Smith</v>
      </c>
      <c r="E139">
        <f>IFERROR(__xludf.DUMMYFUNCTION("""COMPUTED_VALUE"""),71.0)</f>
        <v>71</v>
      </c>
      <c r="F139" t="str">
        <f>IFERROR(__xludf.DUMMYFUNCTION("""COMPUTED_VALUE"""),"PF,C")</f>
        <v>PF,C</v>
      </c>
      <c r="G139" s="11">
        <f>IFERROR(__xludf.DUMMYFUNCTION("""COMPUTED_VALUE"""),-1.5618965656588222)</f>
        <v>-1.561896566</v>
      </c>
      <c r="H139" s="11">
        <f>IFERROR(__xludf.DUMMYFUNCTION("""COMPUTED_VALUE"""),-1.5618965656588222)</f>
        <v>-1.561896566</v>
      </c>
      <c r="I139" s="11">
        <f>IFERROR(__xludf.DUMMYFUNCTION("""COMPUTED_VALUE"""),0.0)</f>
        <v>0</v>
      </c>
      <c r="J139" s="11">
        <f>IFERROR(__xludf.DUMMYFUNCTION("""COMPUTED_VALUE"""),12.9)</f>
        <v>12.9</v>
      </c>
      <c r="K139" s="11">
        <f>IFERROR(__xludf.DUMMYFUNCTION("""COMPUTED_VALUE"""),1.3)</f>
        <v>1.3</v>
      </c>
      <c r="L139" s="11">
        <f>IFERROR(__xludf.DUMMYFUNCTION("""COMPUTED_VALUE"""),7.6)</f>
        <v>7.6</v>
      </c>
      <c r="M139" s="11">
        <f>IFERROR(__xludf.DUMMYFUNCTION("""COMPUTED_VALUE"""),1.3)</f>
        <v>1.3</v>
      </c>
      <c r="N139" s="11">
        <f>IFERROR(__xludf.DUMMYFUNCTION("""COMPUTED_VALUE"""),0.4)</f>
        <v>0.4</v>
      </c>
      <c r="O139" s="11">
        <f>IFERROR(__xludf.DUMMYFUNCTION("""COMPUTED_VALUE"""),1.0)</f>
        <v>1</v>
      </c>
      <c r="P139" s="15">
        <f>IFERROR(__xludf.DUMMYFUNCTION("""COMPUTED_VALUE"""),0.537)</f>
        <v>0.537</v>
      </c>
      <c r="Q139" s="15">
        <f>IFERROR(__xludf.DUMMYFUNCTION("""COMPUTED_VALUE"""),0.711)</f>
        <v>0.711</v>
      </c>
      <c r="R139" s="11">
        <f>IFERROR(__xludf.DUMMYFUNCTION("""COMPUTED_VALUE"""),1.2)</f>
        <v>1.2</v>
      </c>
      <c r="S139" s="11">
        <f>IFERROR(__xludf.DUMMYFUNCTION("""COMPUTED_VALUE"""),-0.8249991678058503)</f>
        <v>-0.8249991678</v>
      </c>
      <c r="T139" s="11">
        <f>IFERROR(__xludf.DUMMYFUNCTION("""COMPUTED_VALUE"""),-0.44687069366480203)</f>
        <v>-0.4468706937</v>
      </c>
      <c r="U139" s="11">
        <f>IFERROR(__xludf.DUMMYFUNCTION("""COMPUTED_VALUE"""),0.600605099608846)</f>
        <v>0.6006050996</v>
      </c>
      <c r="V139" s="11">
        <f>IFERROR(__xludf.DUMMYFUNCTION("""COMPUTED_VALUE"""),-1.2008996442390003)</f>
        <v>-1.200899644</v>
      </c>
      <c r="W139" s="11">
        <f>IFERROR(__xludf.DUMMYFUNCTION("""COMPUTED_VALUE"""),-1.912459801316204)</f>
        <v>-1.912459801</v>
      </c>
      <c r="X139" s="11">
        <f>IFERROR(__xludf.DUMMYFUNCTION("""COMPUTED_VALUE"""),0.45484486947200414)</f>
        <v>0.4548448695</v>
      </c>
      <c r="Y139" s="11">
        <f>IFERROR(__xludf.DUMMYFUNCTION("""COMPUTED_VALUE"""),0.43258165659130143)</f>
        <v>0.4325816566</v>
      </c>
      <c r="Z139" s="11">
        <f>IFERROR(__xludf.DUMMYFUNCTION("""COMPUTED_VALUE"""),-0.7132182168929008)</f>
        <v>-0.7132182169</v>
      </c>
      <c r="AA139" s="11">
        <f>IFERROR(__xludf.DUMMYFUNCTION("""COMPUTED_VALUE"""),0.13605953127158005)</f>
        <v>0.1360595313</v>
      </c>
      <c r="AB139" t="str">
        <f>IFERROR(__xludf.DUMMYFUNCTION("SUBSTITUTE(REGEXREPLACE(REGEXREPLACE(REGEXREPLACE(REGEXREPLACE(REGEXREPLACE(REGEXREPLACE(F139,"","",),IF(Projections!$T$17="""",""PG"",),),IF(Projections!$U$17="""",""SG"",),),IF(Projections!$V$17="""",""SF"",),),IF(Projections!$W$17="""",""PF"",),),IF(Pr"&amp;"ojections!$X$17="""",""C"",),),""/"","""")"),"PFC")</f>
        <v>PFC</v>
      </c>
    </row>
    <row r="140">
      <c r="A140" t="str">
        <f>IF(Projections!$AC$17,Draft!O7,"")</f>
        <v/>
      </c>
      <c r="B140">
        <f>IFERROR(__xludf.DUMMYFUNCTION("""COMPUTED_VALUE"""),135.0)</f>
        <v>135</v>
      </c>
      <c r="C140">
        <f>IFERROR(__xludf.DUMMYFUNCTION("""COMPUTED_VALUE"""),130.8)</f>
        <v>130.8</v>
      </c>
      <c r="D140" t="str">
        <f>IFERROR(__xludf.DUMMYFUNCTION("""COMPUTED_VALUE"""),"Scoot Henderson")</f>
        <v>Scoot Henderson</v>
      </c>
      <c r="E140">
        <f>IFERROR(__xludf.DUMMYFUNCTION("""COMPUTED_VALUE"""),66.0)</f>
        <v>66</v>
      </c>
      <c r="F140" t="str">
        <f>IFERROR(__xludf.DUMMYFUNCTION("""COMPUTED_VALUE"""),"PG")</f>
        <v>PG</v>
      </c>
      <c r="G140" s="11">
        <f>IFERROR(__xludf.DUMMYFUNCTION("""COMPUTED_VALUE"""),-1.579897178963865)</f>
        <v>-1.579897179</v>
      </c>
      <c r="H140" s="11">
        <f>IFERROR(__xludf.DUMMYFUNCTION("""COMPUTED_VALUE"""),-1.579897178963865)</f>
        <v>-1.579897179</v>
      </c>
      <c r="I140" s="11">
        <f>IFERROR(__xludf.DUMMYFUNCTION("""COMPUTED_VALUE"""),0.0)</f>
        <v>0</v>
      </c>
      <c r="J140" s="11">
        <f>IFERROR(__xludf.DUMMYFUNCTION("""COMPUTED_VALUE"""),15.7)</f>
        <v>15.7</v>
      </c>
      <c r="K140" s="11">
        <f>IFERROR(__xludf.DUMMYFUNCTION("""COMPUTED_VALUE"""),1.5)</f>
        <v>1.5</v>
      </c>
      <c r="L140" s="11">
        <f>IFERROR(__xludf.DUMMYFUNCTION("""COMPUTED_VALUE"""),3.3)</f>
        <v>3.3</v>
      </c>
      <c r="M140" s="11">
        <f>IFERROR(__xludf.DUMMYFUNCTION("""COMPUTED_VALUE"""),5.8)</f>
        <v>5.8</v>
      </c>
      <c r="N140" s="11">
        <f>IFERROR(__xludf.DUMMYFUNCTION("""COMPUTED_VALUE"""),1.0)</f>
        <v>1</v>
      </c>
      <c r="O140" s="11">
        <f>IFERROR(__xludf.DUMMYFUNCTION("""COMPUTED_VALUE"""),0.3)</f>
        <v>0.3</v>
      </c>
      <c r="P140" s="15">
        <f>IFERROR(__xludf.DUMMYFUNCTION("""COMPUTED_VALUE"""),0.409)</f>
        <v>0.409</v>
      </c>
      <c r="Q140" s="15">
        <f>IFERROR(__xludf.DUMMYFUNCTION("""COMPUTED_VALUE"""),0.821)</f>
        <v>0.821</v>
      </c>
      <c r="R140" s="11">
        <f>IFERROR(__xludf.DUMMYFUNCTION("""COMPUTED_VALUE"""),3.3)</f>
        <v>3.3</v>
      </c>
      <c r="S140" s="11">
        <f>IFERROR(__xludf.DUMMYFUNCTION("""COMPUTED_VALUE"""),-0.3191847128343959)</f>
        <v>-0.3191847128</v>
      </c>
      <c r="T140" s="11">
        <f>IFERROR(__xludf.DUMMYFUNCTION("""COMPUTED_VALUE"""),-0.24782209560171908)</f>
        <v>-0.2478220956</v>
      </c>
      <c r="U140" s="11">
        <f>IFERROR(__xludf.DUMMYFUNCTION("""COMPUTED_VALUE"""),-1.0861288587649554)</f>
        <v>-1.086128859</v>
      </c>
      <c r="V140" s="11">
        <f>IFERROR(__xludf.DUMMYFUNCTION("""COMPUTED_VALUE"""),0.8493800247569822)</f>
        <v>0.8493800248</v>
      </c>
      <c r="W140" s="11">
        <f>IFERROR(__xludf.DUMMYFUNCTION("""COMPUTED_VALUE"""),0.07913626764067216)</f>
        <v>0.07913626764</v>
      </c>
      <c r="X140" s="11">
        <f>IFERROR(__xludf.DUMMYFUNCTION("""COMPUTED_VALUE"""),-0.7939110448965904)</f>
        <v>-0.7939110449</v>
      </c>
      <c r="Y140" s="11">
        <f>IFERROR(__xludf.DUMMYFUNCTION("""COMPUTED_VALUE"""),-1.4213499297540229)</f>
        <v>-1.42134993</v>
      </c>
      <c r="Z140" s="11">
        <f>IFERROR(__xludf.DUMMYFUNCTION("""COMPUTED_VALUE"""),0.32333619246028117)</f>
        <v>0.3233361925</v>
      </c>
      <c r="AA140" s="11">
        <f>IFERROR(__xludf.DUMMYFUNCTION("""COMPUTED_VALUE"""),-0.3847029517241397)</f>
        <v>-0.3847029517</v>
      </c>
      <c r="AB140" t="str">
        <f>IFERROR(__xludf.DUMMYFUNCTION("SUBSTITUTE(REGEXREPLACE(REGEXREPLACE(REGEXREPLACE(REGEXREPLACE(REGEXREPLACE(REGEXREPLACE(F140,"","",),IF(Projections!$T$17="""",""PG"",),),IF(Projections!$U$17="""",""SG"",),),IF(Projections!$V$17="""",""SF"",),),IF(Projections!$W$17="""",""PF"",),),IF(Pr"&amp;"ojections!$X$17="""",""C"",),),""/"","""")"),"PG")</f>
        <v>PG</v>
      </c>
    </row>
    <row r="141">
      <c r="A141" t="str">
        <f>IF(Projections!$AC$17,Draft!O8,"")</f>
        <v/>
      </c>
      <c r="B141">
        <f>IFERROR(__xludf.DUMMYFUNCTION("""COMPUTED_VALUE"""),136.0)</f>
        <v>136</v>
      </c>
      <c r="C141">
        <f>IFERROR(__xludf.DUMMYFUNCTION("""COMPUTED_VALUE"""),134.2)</f>
        <v>134.2</v>
      </c>
      <c r="D141" t="str">
        <f>IFERROR(__xludf.DUMMYFUNCTION("""COMPUTED_VALUE"""),"P.J. Washington")</f>
        <v>P.J. Washington</v>
      </c>
      <c r="E141">
        <f>IFERROR(__xludf.DUMMYFUNCTION("""COMPUTED_VALUE"""),68.0)</f>
        <v>68</v>
      </c>
      <c r="F141" t="str">
        <f>IFERROR(__xludf.DUMMYFUNCTION("""COMPUTED_VALUE"""),"PF")</f>
        <v>PF</v>
      </c>
      <c r="G141" s="11">
        <f>IFERROR(__xludf.DUMMYFUNCTION("""COMPUTED_VALUE"""),-1.6072763819359503)</f>
        <v>-1.607276382</v>
      </c>
      <c r="H141" s="11">
        <f>IFERROR(__xludf.DUMMYFUNCTION("""COMPUTED_VALUE"""),-1.6072763819359503)</f>
        <v>-1.607276382</v>
      </c>
      <c r="I141" s="11">
        <f>IFERROR(__xludf.DUMMYFUNCTION("""COMPUTED_VALUE"""),0.0)</f>
        <v>0</v>
      </c>
      <c r="J141" s="11">
        <f>IFERROR(__xludf.DUMMYFUNCTION("""COMPUTED_VALUE"""),12.4)</f>
        <v>12.4</v>
      </c>
      <c r="K141" s="11">
        <f>IFERROR(__xludf.DUMMYFUNCTION("""COMPUTED_VALUE"""),1.9)</f>
        <v>1.9</v>
      </c>
      <c r="L141" s="11">
        <f>IFERROR(__xludf.DUMMYFUNCTION("""COMPUTED_VALUE"""),5.5)</f>
        <v>5.5</v>
      </c>
      <c r="M141" s="11">
        <f>IFERROR(__xludf.DUMMYFUNCTION("""COMPUTED_VALUE"""),2.1)</f>
        <v>2.1</v>
      </c>
      <c r="N141" s="11">
        <f>IFERROR(__xludf.DUMMYFUNCTION("""COMPUTED_VALUE"""),1.1)</f>
        <v>1.1</v>
      </c>
      <c r="O141" s="11">
        <f>IFERROR(__xludf.DUMMYFUNCTION("""COMPUTED_VALUE"""),0.9)</f>
        <v>0.9</v>
      </c>
      <c r="P141" s="15">
        <f>IFERROR(__xludf.DUMMYFUNCTION("""COMPUTED_VALUE"""),0.431)</f>
        <v>0.431</v>
      </c>
      <c r="Q141" s="15">
        <f>IFERROR(__xludf.DUMMYFUNCTION("""COMPUTED_VALUE"""),0.706)</f>
        <v>0.706</v>
      </c>
      <c r="R141" s="11">
        <f>IFERROR(__xludf.DUMMYFUNCTION("""COMPUTED_VALUE"""),1.4)</f>
        <v>1.4</v>
      </c>
      <c r="S141" s="11">
        <f>IFERROR(__xludf.DUMMYFUNCTION("""COMPUTED_VALUE"""),-0.9153231776221815)</f>
        <v>-0.9153231776</v>
      </c>
      <c r="T141" s="11">
        <f>IFERROR(__xludf.DUMMYFUNCTION("""COMPUTED_VALUE"""),0.15027510052444681)</f>
        <v>0.1502751005</v>
      </c>
      <c r="U141" s="11">
        <f>IFERROR(__xludf.DUMMYFUNCTION("""COMPUTED_VALUE"""),-0.2231486940155685)</f>
        <v>-0.223148694</v>
      </c>
      <c r="V141" s="11">
        <f>IFERROR(__xludf.DUMMYFUNCTION("""COMPUTED_VALUE"""),-0.8364054808619368)</f>
        <v>-0.8364054809</v>
      </c>
      <c r="W141" s="11">
        <f>IFERROR(__xludf.DUMMYFUNCTION("""COMPUTED_VALUE"""),0.41106894580015185)</f>
        <v>0.4110689458</v>
      </c>
      <c r="X141" s="11">
        <f>IFERROR(__xludf.DUMMYFUNCTION("""COMPUTED_VALUE"""),0.27645116741934783)</f>
        <v>0.2764511674</v>
      </c>
      <c r="Y141" s="11">
        <f>IFERROR(__xludf.DUMMYFUNCTION("""COMPUTED_VALUE"""),-0.8107296919199168)</f>
        <v>-0.8107296919</v>
      </c>
      <c r="Z141" s="11">
        <f>IFERROR(__xludf.DUMMYFUNCTION("""COMPUTED_VALUE"""),-0.6612508332020818)</f>
        <v>-0.6612508332</v>
      </c>
      <c r="AA141" s="11">
        <f>IFERROR(__xludf.DUMMYFUNCTION("""COMPUTED_VALUE"""),0.08646310431960676)</f>
        <v>0.08646310432</v>
      </c>
      <c r="AB141" t="str">
        <f>IFERROR(__xludf.DUMMYFUNCTION("SUBSTITUTE(REGEXREPLACE(REGEXREPLACE(REGEXREPLACE(REGEXREPLACE(REGEXREPLACE(REGEXREPLACE(F141,"","",),IF(Projections!$T$17="""",""PG"",),),IF(Projections!$U$17="""",""SG"",),),IF(Projections!$V$17="""",""SF"",),),IF(Projections!$W$17="""",""PF"",),),IF(Pr"&amp;"ojections!$X$17="""",""C"",),),""/"","""")"),"PF")</f>
        <v>PF</v>
      </c>
    </row>
    <row r="142">
      <c r="A142" t="str">
        <f>IF(Projections!$AC$17,Draft!O9,"")</f>
        <v/>
      </c>
      <c r="B142">
        <f>IFERROR(__xludf.DUMMYFUNCTION("""COMPUTED_VALUE"""),137.0)</f>
        <v>137</v>
      </c>
      <c r="C142">
        <f>IFERROR(__xludf.DUMMYFUNCTION("""COMPUTED_VALUE"""),139.1)</f>
        <v>139.1</v>
      </c>
      <c r="D142" t="str">
        <f>IFERROR(__xludf.DUMMYFUNCTION("""COMPUTED_VALUE"""),"Russell Westbrook")</f>
        <v>Russell Westbrook</v>
      </c>
      <c r="E142">
        <f>IFERROR(__xludf.DUMMYFUNCTION("""COMPUTED_VALUE"""),71.0)</f>
        <v>71</v>
      </c>
      <c r="F142" t="str">
        <f>IFERROR(__xludf.DUMMYFUNCTION("""COMPUTED_VALUE"""),"PG")</f>
        <v>PG</v>
      </c>
      <c r="G142" s="11">
        <f>IFERROR(__xludf.DUMMYFUNCTION("""COMPUTED_VALUE"""),-1.6272411798892419)</f>
        <v>-1.62724118</v>
      </c>
      <c r="H142" s="11">
        <f>IFERROR(__xludf.DUMMYFUNCTION("""COMPUTED_VALUE"""),-1.6272411798892419)</f>
        <v>-1.62724118</v>
      </c>
      <c r="I142" s="11">
        <f>IFERROR(__xludf.DUMMYFUNCTION("""COMPUTED_VALUE"""),0.0)</f>
        <v>0</v>
      </c>
      <c r="J142" s="11">
        <f>IFERROR(__xludf.DUMMYFUNCTION("""COMPUTED_VALUE"""),14.8)</f>
        <v>14.8</v>
      </c>
      <c r="K142" s="11">
        <f>IFERROR(__xludf.DUMMYFUNCTION("""COMPUTED_VALUE"""),1.0)</f>
        <v>1</v>
      </c>
      <c r="L142" s="11">
        <f>IFERROR(__xludf.DUMMYFUNCTION("""COMPUTED_VALUE"""),5.9)</f>
        <v>5.9</v>
      </c>
      <c r="M142" s="11">
        <f>IFERROR(__xludf.DUMMYFUNCTION("""COMPUTED_VALUE"""),5.4)</f>
        <v>5.4</v>
      </c>
      <c r="N142" s="11">
        <f>IFERROR(__xludf.DUMMYFUNCTION("""COMPUTED_VALUE"""),1.2)</f>
        <v>1.2</v>
      </c>
      <c r="O142" s="11">
        <f>IFERROR(__xludf.DUMMYFUNCTION("""COMPUTED_VALUE"""),0.4)</f>
        <v>0.4</v>
      </c>
      <c r="P142" s="15">
        <f>IFERROR(__xludf.DUMMYFUNCTION("""COMPUTED_VALUE"""),0.444)</f>
        <v>0.444</v>
      </c>
      <c r="Q142" s="15">
        <f>IFERROR(__xludf.DUMMYFUNCTION("""COMPUTED_VALUE"""),0.668)</f>
        <v>0.668</v>
      </c>
      <c r="R142" s="11">
        <f>IFERROR(__xludf.DUMMYFUNCTION("""COMPUTED_VALUE"""),3.1)</f>
        <v>3.1</v>
      </c>
      <c r="S142" s="11">
        <f>IFERROR(__xludf.DUMMYFUNCTION("""COMPUTED_VALUE"""),-0.48176793050379174)</f>
        <v>-0.4817679305</v>
      </c>
      <c r="T142" s="11">
        <f>IFERROR(__xludf.DUMMYFUNCTION("""COMPUTED_VALUE"""),-0.7454435907594266)</f>
        <v>-0.7454435908</v>
      </c>
      <c r="U142" s="11">
        <f>IFERROR(__xludf.DUMMYFUNCTION("""COMPUTED_VALUE"""),-0.06624320951567987)</f>
        <v>-0.06624320952</v>
      </c>
      <c r="V142" s="11">
        <f>IFERROR(__xludf.DUMMYFUNCTION("""COMPUTED_VALUE"""),0.6671329430684506)</f>
        <v>0.6671329431</v>
      </c>
      <c r="W142" s="11">
        <f>IFERROR(__xludf.DUMMYFUNCTION("""COMPUTED_VALUE"""),0.7430016239596308)</f>
        <v>0.743001624</v>
      </c>
      <c r="X142" s="11">
        <f>IFERROR(__xludf.DUMMYFUNCTION("""COMPUTED_VALUE"""),-0.6155173428439339)</f>
        <v>-0.6155173428</v>
      </c>
      <c r="Y142" s="11">
        <f>IFERROR(__xludf.DUMMYFUNCTION("""COMPUTED_VALUE"""),-0.7932971485223245)</f>
        <v>-0.7932971485</v>
      </c>
      <c r="Z142" s="11">
        <f>IFERROR(__xludf.DUMMYFUNCTION("""COMPUTED_VALUE"""),-1.6629844218287686)</f>
        <v>-1.662984422</v>
      </c>
      <c r="AA142" s="11">
        <f>IFERROR(__xludf.DUMMYFUNCTION("""COMPUTED_VALUE"""),-0.33510652477216646)</f>
        <v>-0.3351065248</v>
      </c>
      <c r="AB142" t="str">
        <f>IFERROR(__xludf.DUMMYFUNCTION("SUBSTITUTE(REGEXREPLACE(REGEXREPLACE(REGEXREPLACE(REGEXREPLACE(REGEXREPLACE(REGEXREPLACE(F142,"","",),IF(Projections!$T$17="""",""PG"",),),IF(Projections!$U$17="""",""SG"",),),IF(Projections!$V$17="""",""SF"",),),IF(Projections!$W$17="""",""PF"",),),IF(Pr"&amp;"ojections!$X$17="""",""C"",),),""/"","""")"),"PG")</f>
        <v>PG</v>
      </c>
    </row>
    <row r="143">
      <c r="A143" t="str">
        <f>IF(Projections!$AC$17,Draft!O10,"")</f>
        <v/>
      </c>
      <c r="B143">
        <f>IFERROR(__xludf.DUMMYFUNCTION("""COMPUTED_VALUE"""),138.0)</f>
        <v>138</v>
      </c>
      <c r="C143">
        <f>IFERROR(__xludf.DUMMYFUNCTION("""COMPUTED_VALUE"""),132.1)</f>
        <v>132.1</v>
      </c>
      <c r="D143" t="str">
        <f>IFERROR(__xludf.DUMMYFUNCTION("""COMPUTED_VALUE"""),"Jaden Ivey")</f>
        <v>Jaden Ivey</v>
      </c>
      <c r="E143">
        <f>IFERROR(__xludf.DUMMYFUNCTION("""COMPUTED_VALUE"""),59.0)</f>
        <v>59</v>
      </c>
      <c r="F143" t="str">
        <f>IFERROR(__xludf.DUMMYFUNCTION("""COMPUTED_VALUE"""),"PG,SG")</f>
        <v>PG,SG</v>
      </c>
      <c r="G143" s="11">
        <f>IFERROR(__xludf.DUMMYFUNCTION("""COMPUTED_VALUE"""),-1.6481635155151575)</f>
        <v>-1.648163516</v>
      </c>
      <c r="H143" s="11">
        <f>IFERROR(__xludf.DUMMYFUNCTION("""COMPUTED_VALUE"""),-1.6481635155151575)</f>
        <v>-1.648163516</v>
      </c>
      <c r="I143" s="11">
        <f>IFERROR(__xludf.DUMMYFUNCTION("""COMPUTED_VALUE"""),0.0)</f>
        <v>0</v>
      </c>
      <c r="J143" s="11">
        <f>IFERROR(__xludf.DUMMYFUNCTION("""COMPUTED_VALUE"""),18.4)</f>
        <v>18.4</v>
      </c>
      <c r="K143" s="11">
        <f>IFERROR(__xludf.DUMMYFUNCTION("""COMPUTED_VALUE"""),2.2)</f>
        <v>2.2</v>
      </c>
      <c r="L143" s="11">
        <f>IFERROR(__xludf.DUMMYFUNCTION("""COMPUTED_VALUE"""),3.7)</f>
        <v>3.7</v>
      </c>
      <c r="M143" s="11">
        <f>IFERROR(__xludf.DUMMYFUNCTION("""COMPUTED_VALUE"""),4.6)</f>
        <v>4.6</v>
      </c>
      <c r="N143" s="11">
        <f>IFERROR(__xludf.DUMMYFUNCTION("""COMPUTED_VALUE"""),0.8)</f>
        <v>0.8</v>
      </c>
      <c r="O143" s="11">
        <f>IFERROR(__xludf.DUMMYFUNCTION("""COMPUTED_VALUE"""),0.6)</f>
        <v>0.6</v>
      </c>
      <c r="P143" s="15">
        <f>IFERROR(__xludf.DUMMYFUNCTION("""COMPUTED_VALUE"""),0.435)</f>
        <v>0.435</v>
      </c>
      <c r="Q143" s="15">
        <f>IFERROR(__xludf.DUMMYFUNCTION("""COMPUTED_VALUE"""),0.759)</f>
        <v>0.759</v>
      </c>
      <c r="R143" s="11">
        <f>IFERROR(__xludf.DUMMYFUNCTION("""COMPUTED_VALUE"""),2.7)</f>
        <v>2.7</v>
      </c>
      <c r="S143" s="11">
        <f>IFERROR(__xludf.DUMMYFUNCTION("""COMPUTED_VALUE"""),0.16856494017379234)</f>
        <v>0.1685649402</v>
      </c>
      <c r="T143" s="11">
        <f>IFERROR(__xludf.DUMMYFUNCTION("""COMPUTED_VALUE"""),0.44884799761907157)</f>
        <v>0.4488479976</v>
      </c>
      <c r="U143" s="11">
        <f>IFERROR(__xludf.DUMMYFUNCTION("""COMPUTED_VALUE"""),-0.9292233742650667)</f>
        <v>-0.9292233743</v>
      </c>
      <c r="V143" s="11">
        <f>IFERROR(__xludf.DUMMYFUNCTION("""COMPUTED_VALUE"""),0.30263877969138664)</f>
        <v>0.3026387797</v>
      </c>
      <c r="W143" s="11">
        <f>IFERROR(__xludf.DUMMYFUNCTION("""COMPUTED_VALUE"""),-0.5847290886782864)</f>
        <v>-0.5847290887</v>
      </c>
      <c r="X143" s="11">
        <f>IFERROR(__xludf.DUMMYFUNCTION("""COMPUTED_VALUE"""),-0.25872993873862127)</f>
        <v>-0.2587299387</v>
      </c>
      <c r="Y143" s="11">
        <f>IFERROR(__xludf.DUMMYFUNCTION("""COMPUTED_VALUE"""),-1.0733603497351525)</f>
        <v>-1.07336035</v>
      </c>
      <c r="Z143" s="11">
        <f>IFERROR(__xludf.DUMMYFUNCTION("""COMPUTED_VALUE"""),-0.559619160449214)</f>
        <v>-0.5596191604</v>
      </c>
      <c r="AA143" s="11">
        <f>IFERROR(__xludf.DUMMYFUNCTION("""COMPUTED_VALUE"""),-0.23591367086821985)</f>
        <v>-0.2359136709</v>
      </c>
      <c r="AB143" t="str">
        <f>IFERROR(__xludf.DUMMYFUNCTION("SUBSTITUTE(REGEXREPLACE(REGEXREPLACE(REGEXREPLACE(REGEXREPLACE(REGEXREPLACE(REGEXREPLACE(F143,"","",),IF(Projections!$T$17="""",""PG"",),),IF(Projections!$U$17="""",""SG"",),),IF(Projections!$V$17="""",""SF"",),),IF(Projections!$W$17="""",""PF"",),),IF(Pr"&amp;"ojections!$X$17="""",""C"",),),""/"","""")"),"PGSG")</f>
        <v>PGSG</v>
      </c>
    </row>
    <row r="144">
      <c r="A144" t="str">
        <f>IF(Projections!$AC$17,Draft!O11,"")</f>
        <v/>
      </c>
      <c r="B144">
        <f>IFERROR(__xludf.DUMMYFUNCTION("""COMPUTED_VALUE"""),139.0)</f>
        <v>139</v>
      </c>
      <c r="C144">
        <f>IFERROR(__xludf.DUMMYFUNCTION("""COMPUTED_VALUE"""),133.4)</f>
        <v>133.4</v>
      </c>
      <c r="D144" t="str">
        <f>IFERROR(__xludf.DUMMYFUNCTION("""COMPUTED_VALUE"""),"Alexandre Sarr")</f>
        <v>Alexandre Sarr</v>
      </c>
      <c r="E144">
        <f>IFERROR(__xludf.DUMMYFUNCTION("""COMPUTED_VALUE"""),75.0)</f>
        <v>75</v>
      </c>
      <c r="F144" t="str">
        <f>IFERROR(__xludf.DUMMYFUNCTION("""COMPUTED_VALUE"""),"PF")</f>
        <v>PF</v>
      </c>
      <c r="G144" s="11">
        <f>IFERROR(__xludf.DUMMYFUNCTION("""COMPUTED_VALUE"""),-1.662887442818531)</f>
        <v>-1.662887443</v>
      </c>
      <c r="H144" s="11">
        <f>IFERROR(__xludf.DUMMYFUNCTION("""COMPUTED_VALUE"""),-1.662887442818531)</f>
        <v>-1.662887443</v>
      </c>
      <c r="I144" s="11">
        <f>IFERROR(__xludf.DUMMYFUNCTION("""COMPUTED_VALUE"""),0.0)</f>
        <v>0</v>
      </c>
      <c r="J144" s="11">
        <f>IFERROR(__xludf.DUMMYFUNCTION("""COMPUTED_VALUE"""),12.2)</f>
        <v>12.2</v>
      </c>
      <c r="K144" s="11">
        <f>IFERROR(__xludf.DUMMYFUNCTION("""COMPUTED_VALUE"""),0.9)</f>
        <v>0.9</v>
      </c>
      <c r="L144" s="11">
        <f>IFERROR(__xludf.DUMMYFUNCTION("""COMPUTED_VALUE"""),6.4)</f>
        <v>6.4</v>
      </c>
      <c r="M144" s="11">
        <f>IFERROR(__xludf.DUMMYFUNCTION("""COMPUTED_VALUE"""),1.3)</f>
        <v>1.3</v>
      </c>
      <c r="N144" s="11">
        <f>IFERROR(__xludf.DUMMYFUNCTION("""COMPUTED_VALUE"""),0.8)</f>
        <v>0.8</v>
      </c>
      <c r="O144" s="11">
        <f>IFERROR(__xludf.DUMMYFUNCTION("""COMPUTED_VALUE"""),1.9)</f>
        <v>1.9</v>
      </c>
      <c r="P144" s="15">
        <f>IFERROR(__xludf.DUMMYFUNCTION("""COMPUTED_VALUE"""),0.448)</f>
        <v>0.448</v>
      </c>
      <c r="Q144" s="15">
        <f>IFERROR(__xludf.DUMMYFUNCTION("""COMPUTED_VALUE"""),0.711)</f>
        <v>0.711</v>
      </c>
      <c r="R144" s="11">
        <f>IFERROR(__xludf.DUMMYFUNCTION("""COMPUTED_VALUE"""),1.3)</f>
        <v>1.3</v>
      </c>
      <c r="S144" s="11">
        <f>IFERROR(__xludf.DUMMYFUNCTION("""COMPUTED_VALUE"""),-0.9514527815487142)</f>
        <v>-0.9514527815</v>
      </c>
      <c r="T144" s="11">
        <f>IFERROR(__xludf.DUMMYFUNCTION("""COMPUTED_VALUE"""),-0.844967889790968)</f>
        <v>-0.8449678898</v>
      </c>
      <c r="U144" s="11">
        <f>IFERROR(__xludf.DUMMYFUNCTION("""COMPUTED_VALUE"""),0.12988864610918074)</f>
        <v>0.1298886461</v>
      </c>
      <c r="V144" s="11">
        <f>IFERROR(__xludf.DUMMYFUNCTION("""COMPUTED_VALUE"""),-1.2008996442390003)</f>
        <v>-1.200899644</v>
      </c>
      <c r="W144" s="11">
        <f>IFERROR(__xludf.DUMMYFUNCTION("""COMPUTED_VALUE"""),-0.5847290886782864)</f>
        <v>-0.5847290887</v>
      </c>
      <c r="X144" s="11">
        <f>IFERROR(__xludf.DUMMYFUNCTION("""COMPUTED_VALUE"""),2.0603881879459114)</f>
        <v>2.060388188</v>
      </c>
      <c r="Y144" s="11">
        <f>IFERROR(__xludf.DUMMYFUNCTION("""COMPUTED_VALUE"""),-0.572883360719638)</f>
        <v>-0.5728833607</v>
      </c>
      <c r="Z144" s="11">
        <f>IFERROR(__xludf.DUMMYFUNCTION("""COMPUTED_VALUE"""),-1.0103924739316095)</f>
        <v>-1.010392474</v>
      </c>
      <c r="AA144" s="11">
        <f>IFERROR(__xludf.DUMMYFUNCTION("""COMPUTED_VALUE"""),0.11126131779559338)</f>
        <v>0.1112613178</v>
      </c>
      <c r="AB144" t="str">
        <f>IFERROR(__xludf.DUMMYFUNCTION("SUBSTITUTE(REGEXREPLACE(REGEXREPLACE(REGEXREPLACE(REGEXREPLACE(REGEXREPLACE(REGEXREPLACE(F144,"","",),IF(Projections!$T$17="""",""PG"",),),IF(Projections!$U$17="""",""SG"",),),IF(Projections!$V$17="""",""SF"",),),IF(Projections!$W$17="""",""PF"",),),IF(Pr"&amp;"ojections!$X$17="""",""C"",),),""/"","""")"),"PF")</f>
        <v>PF</v>
      </c>
    </row>
    <row r="145">
      <c r="A145" t="str">
        <f>IF(Projections!$AC$17,Draft!O12,"")</f>
        <v/>
      </c>
      <c r="B145">
        <f>IFERROR(__xludf.DUMMYFUNCTION("""COMPUTED_VALUE"""),140.0)</f>
        <v>140</v>
      </c>
      <c r="C145">
        <f>IFERROR(__xludf.DUMMYFUNCTION("""COMPUTED_VALUE"""),126.5)</f>
        <v>126.5</v>
      </c>
      <c r="D145" t="str">
        <f>IFERROR(__xludf.DUMMYFUNCTION("""COMPUTED_VALUE"""),"Buddy Hield")</f>
        <v>Buddy Hield</v>
      </c>
      <c r="E145">
        <f>IFERROR(__xludf.DUMMYFUNCTION("""COMPUTED_VALUE"""),66.0)</f>
        <v>66</v>
      </c>
      <c r="F145" t="str">
        <f>IFERROR(__xludf.DUMMYFUNCTION("""COMPUTED_VALUE"""),"SG,SF")</f>
        <v>SG,SF</v>
      </c>
      <c r="G145" s="11">
        <f>IFERROR(__xludf.DUMMYFUNCTION("""COMPUTED_VALUE"""),-1.6636694119380766)</f>
        <v>-1.663669412</v>
      </c>
      <c r="H145" s="11">
        <f>IFERROR(__xludf.DUMMYFUNCTION("""COMPUTED_VALUE"""),-1.6636694119380766)</f>
        <v>-1.663669412</v>
      </c>
      <c r="I145" s="11">
        <f>IFERROR(__xludf.DUMMYFUNCTION("""COMPUTED_VALUE"""),0.0)</f>
        <v>0</v>
      </c>
      <c r="J145" s="11">
        <f>IFERROR(__xludf.DUMMYFUNCTION("""COMPUTED_VALUE"""),13.2)</f>
        <v>13.2</v>
      </c>
      <c r="K145" s="11">
        <f>IFERROR(__xludf.DUMMYFUNCTION("""COMPUTED_VALUE"""),2.7)</f>
        <v>2.7</v>
      </c>
      <c r="L145" s="11">
        <f>IFERROR(__xludf.DUMMYFUNCTION("""COMPUTED_VALUE"""),3.8)</f>
        <v>3.8</v>
      </c>
      <c r="M145" s="11">
        <f>IFERROR(__xludf.DUMMYFUNCTION("""COMPUTED_VALUE"""),2.7)</f>
        <v>2.7</v>
      </c>
      <c r="N145" s="11">
        <f>IFERROR(__xludf.DUMMYFUNCTION("""COMPUTED_VALUE"""),0.9)</f>
        <v>0.9</v>
      </c>
      <c r="O145" s="11">
        <f>IFERROR(__xludf.DUMMYFUNCTION("""COMPUTED_VALUE"""),0.4)</f>
        <v>0.4</v>
      </c>
      <c r="P145" s="15">
        <f>IFERROR(__xludf.DUMMYFUNCTION("""COMPUTED_VALUE"""),0.445)</f>
        <v>0.445</v>
      </c>
      <c r="Q145" s="15">
        <f>IFERROR(__xludf.DUMMYFUNCTION("""COMPUTED_VALUE"""),0.835)</f>
        <v>0.835</v>
      </c>
      <c r="R145" s="11">
        <f>IFERROR(__xludf.DUMMYFUNCTION("""COMPUTED_VALUE"""),1.4)</f>
        <v>1.4</v>
      </c>
      <c r="S145" s="11">
        <f>IFERROR(__xludf.DUMMYFUNCTION("""COMPUTED_VALUE"""),-0.7708047619160517)</f>
        <v>-0.7708047619</v>
      </c>
      <c r="T145" s="11">
        <f>IFERROR(__xludf.DUMMYFUNCTION("""COMPUTED_VALUE"""),0.946469492776779)</f>
        <v>0.9464694928</v>
      </c>
      <c r="U145" s="11">
        <f>IFERROR(__xludf.DUMMYFUNCTION("""COMPUTED_VALUE"""),-0.8899970031400947)</f>
        <v>-0.8899970031</v>
      </c>
      <c r="V145" s="11">
        <f>IFERROR(__xludf.DUMMYFUNCTION("""COMPUTED_VALUE"""),-0.5630348583291391)</f>
        <v>-0.5630348583</v>
      </c>
      <c r="W145" s="11">
        <f>IFERROR(__xludf.DUMMYFUNCTION("""COMPUTED_VALUE"""),-0.25279641051880714)</f>
        <v>-0.2527964105</v>
      </c>
      <c r="X145" s="11">
        <f>IFERROR(__xludf.DUMMYFUNCTION("""COMPUTED_VALUE"""),-0.6155173428439339)</f>
        <v>-0.6155173428</v>
      </c>
      <c r="Y145" s="11">
        <f>IFERROR(__xludf.DUMMYFUNCTION("""COMPUTED_VALUE"""),-0.6506064253121635)</f>
        <v>-0.6506064253</v>
      </c>
      <c r="Z145" s="11">
        <f>IFERROR(__xludf.DUMMYFUNCTION("""COMPUTED_VALUE"""),0.15615778988563317)</f>
        <v>0.1561577899</v>
      </c>
      <c r="AA145" s="11">
        <f>IFERROR(__xludf.DUMMYFUNCTION("""COMPUTED_VALUE"""),0.08646310431960676)</f>
        <v>0.08646310432</v>
      </c>
      <c r="AB145" t="str">
        <f>IFERROR(__xludf.DUMMYFUNCTION("SUBSTITUTE(REGEXREPLACE(REGEXREPLACE(REGEXREPLACE(REGEXREPLACE(REGEXREPLACE(REGEXREPLACE(F145,"","",),IF(Projections!$T$17="""",""PG"",),),IF(Projections!$U$17="""",""SG"",),),IF(Projections!$V$17="""",""SF"",),),IF(Projections!$W$17="""",""PF"",),),IF(Pr"&amp;"ojections!$X$17="""",""C"",),),""/"","""")"),"SGSF")</f>
        <v>SGSF</v>
      </c>
    </row>
    <row r="146">
      <c r="A146" t="str">
        <f>IF(Projections!$AC$17,Draft!O13,"")</f>
        <v/>
      </c>
      <c r="B146">
        <f>IFERROR(__xludf.DUMMYFUNCTION("""COMPUTED_VALUE"""),141.0)</f>
        <v>141</v>
      </c>
      <c r="C146">
        <f>IFERROR(__xludf.DUMMYFUNCTION("""COMPUTED_VALUE"""),138.5)</f>
        <v>138.5</v>
      </c>
      <c r="D146" t="str">
        <f>IFERROR(__xludf.DUMMYFUNCTION("""COMPUTED_VALUE"""),"Ben Simmons")</f>
        <v>Ben Simmons</v>
      </c>
      <c r="E146">
        <f>IFERROR(__xludf.DUMMYFUNCTION("""COMPUTED_VALUE"""),71.0)</f>
        <v>71</v>
      </c>
      <c r="F146" t="str">
        <f>IFERROR(__xludf.DUMMYFUNCTION("""COMPUTED_VALUE"""),"PG")</f>
        <v>PG</v>
      </c>
      <c r="G146" s="11">
        <f>IFERROR(__xludf.DUMMYFUNCTION("""COMPUTED_VALUE"""),-1.6877372817983987)</f>
        <v>-1.687737282</v>
      </c>
      <c r="H146" s="11">
        <f>IFERROR(__xludf.DUMMYFUNCTION("""COMPUTED_VALUE"""),-1.6877372817983987)</f>
        <v>-1.687737282</v>
      </c>
      <c r="I146" s="11">
        <f>IFERROR(__xludf.DUMMYFUNCTION("""COMPUTED_VALUE"""),0.0)</f>
        <v>0</v>
      </c>
      <c r="J146" s="11">
        <f>IFERROR(__xludf.DUMMYFUNCTION("""COMPUTED_VALUE"""),6.6)</f>
        <v>6.6</v>
      </c>
      <c r="K146" s="11">
        <f>IFERROR(__xludf.DUMMYFUNCTION("""COMPUTED_VALUE"""),0.0)</f>
        <v>0</v>
      </c>
      <c r="L146" s="11">
        <f>IFERROR(__xludf.DUMMYFUNCTION("""COMPUTED_VALUE"""),6.6)</f>
        <v>6.6</v>
      </c>
      <c r="M146" s="11">
        <f>IFERROR(__xludf.DUMMYFUNCTION("""COMPUTED_VALUE"""),5.9)</f>
        <v>5.9</v>
      </c>
      <c r="N146" s="11">
        <f>IFERROR(__xludf.DUMMYFUNCTION("""COMPUTED_VALUE"""),1.1)</f>
        <v>1.1</v>
      </c>
      <c r="O146" s="11">
        <f>IFERROR(__xludf.DUMMYFUNCTION("""COMPUTED_VALUE"""),0.6)</f>
        <v>0.6</v>
      </c>
      <c r="P146" s="15">
        <f>IFERROR(__xludf.DUMMYFUNCTION("""COMPUTED_VALUE"""),0.569)</f>
        <v>0.569</v>
      </c>
      <c r="Q146" s="15">
        <f>IFERROR(__xludf.DUMMYFUNCTION("""COMPUTED_VALUE"""),0.427)</f>
        <v>0.427</v>
      </c>
      <c r="R146" s="11">
        <f>IFERROR(__xludf.DUMMYFUNCTION("""COMPUTED_VALUE"""),2.1)</f>
        <v>2.1</v>
      </c>
      <c r="S146" s="11">
        <f>IFERROR(__xludf.DUMMYFUNCTION("""COMPUTED_VALUE"""),-1.9630816914916234)</f>
        <v>-1.963081691</v>
      </c>
      <c r="T146" s="11">
        <f>IFERROR(__xludf.DUMMYFUNCTION("""COMPUTED_VALUE"""),-1.7406865810748415)</f>
        <v>-1.740686581</v>
      </c>
      <c r="U146" s="11">
        <f>IFERROR(__xludf.DUMMYFUNCTION("""COMPUTED_VALUE"""),0.20834138835912472)</f>
        <v>0.2083413884</v>
      </c>
      <c r="V146" s="11">
        <f>IFERROR(__xludf.DUMMYFUNCTION("""COMPUTED_VALUE"""),0.8949417951791153)</f>
        <v>0.8949417952</v>
      </c>
      <c r="W146" s="11">
        <f>IFERROR(__xludf.DUMMYFUNCTION("""COMPUTED_VALUE"""),0.41106894580015185)</f>
        <v>0.4110689458</v>
      </c>
      <c r="X146" s="11">
        <f>IFERROR(__xludf.DUMMYFUNCTION("""COMPUTED_VALUE"""),-0.25872993873862127)</f>
        <v>-0.2587299387</v>
      </c>
      <c r="Y146" s="11">
        <f>IFERROR(__xludf.DUMMYFUNCTION("""COMPUTED_VALUE"""),0.44797600502174856)</f>
        <v>0.447976005</v>
      </c>
      <c r="Z146" s="11">
        <f>IFERROR(__xludf.DUMMYFUNCTION("""COMPUTED_VALUE"""),-1.5635245063327765)</f>
        <v>-1.563524506</v>
      </c>
      <c r="AA146" s="11">
        <f>IFERROR(__xludf.DUMMYFUNCTION("""COMPUTED_VALUE"""),-0.08712439001229988)</f>
        <v>-0.08712439001</v>
      </c>
      <c r="AB146" t="str">
        <f>IFERROR(__xludf.DUMMYFUNCTION("SUBSTITUTE(REGEXREPLACE(REGEXREPLACE(REGEXREPLACE(REGEXREPLACE(REGEXREPLACE(REGEXREPLACE(F146,"","",),IF(Projections!$T$17="""",""PG"",),),IF(Projections!$U$17="""",""SG"",),),IF(Projections!$V$17="""",""SF"",),),IF(Projections!$W$17="""",""PF"",),),IF(Pr"&amp;"ojections!$X$17="""",""C"",),),""/"","""")"),"PG")</f>
        <v>PG</v>
      </c>
    </row>
    <row r="147">
      <c r="A147" t="str">
        <f>IF(Projections!$AC$17,Draft!O14,"")</f>
        <v/>
      </c>
      <c r="B147">
        <f>IFERROR(__xludf.DUMMYFUNCTION("""COMPUTED_VALUE"""),142.0)</f>
        <v>142</v>
      </c>
      <c r="C147">
        <f>IFERROR(__xludf.DUMMYFUNCTION("""COMPUTED_VALUE"""),107.7)</f>
        <v>107.7</v>
      </c>
      <c r="D147" t="str">
        <f>IFERROR(__xludf.DUMMYFUNCTION("""COMPUTED_VALUE"""),"RJ Barrett")</f>
        <v>RJ Barrett</v>
      </c>
      <c r="E147">
        <f>IFERROR(__xludf.DUMMYFUNCTION("""COMPUTED_VALUE"""),66.0)</f>
        <v>66</v>
      </c>
      <c r="F147" t="str">
        <f>IFERROR(__xludf.DUMMYFUNCTION("""COMPUTED_VALUE"""),"SF,PF")</f>
        <v>SF,PF</v>
      </c>
      <c r="G147" s="11">
        <f>IFERROR(__xludf.DUMMYFUNCTION("""COMPUTED_VALUE"""),-1.6909947151935965)</f>
        <v>-1.690994715</v>
      </c>
      <c r="H147" s="11">
        <f>IFERROR(__xludf.DUMMYFUNCTION("""COMPUTED_VALUE"""),-1.6909947151935965)</f>
        <v>-1.690994715</v>
      </c>
      <c r="I147" s="11">
        <f>IFERROR(__xludf.DUMMYFUNCTION("""COMPUTED_VALUE"""),0.0)</f>
        <v>0</v>
      </c>
      <c r="J147" s="11">
        <f>IFERROR(__xludf.DUMMYFUNCTION("""COMPUTED_VALUE"""),21.2)</f>
        <v>21.2</v>
      </c>
      <c r="K147" s="11">
        <f>IFERROR(__xludf.DUMMYFUNCTION("""COMPUTED_VALUE"""),1.6)</f>
        <v>1.6</v>
      </c>
      <c r="L147" s="11">
        <f>IFERROR(__xludf.DUMMYFUNCTION("""COMPUTED_VALUE"""),6.4)</f>
        <v>6.4</v>
      </c>
      <c r="M147" s="11">
        <f>IFERROR(__xludf.DUMMYFUNCTION("""COMPUTED_VALUE"""),3.8)</f>
        <v>3.8</v>
      </c>
      <c r="N147" s="11">
        <f>IFERROR(__xludf.DUMMYFUNCTION("""COMPUTED_VALUE"""),0.6)</f>
        <v>0.6</v>
      </c>
      <c r="O147" s="11">
        <f>IFERROR(__xludf.DUMMYFUNCTION("""COMPUTED_VALUE"""),0.4)</f>
        <v>0.4</v>
      </c>
      <c r="P147" s="15">
        <f>IFERROR(__xludf.DUMMYFUNCTION("""COMPUTED_VALUE"""),0.482)</f>
        <v>0.482</v>
      </c>
      <c r="Q147" s="15">
        <f>IFERROR(__xludf.DUMMYFUNCTION("""COMPUTED_VALUE"""),0.726)</f>
        <v>0.726</v>
      </c>
      <c r="R147" s="11">
        <f>IFERROR(__xludf.DUMMYFUNCTION("""COMPUTED_VALUE"""),2.3)</f>
        <v>2.3</v>
      </c>
      <c r="S147" s="11">
        <f>IFERROR(__xludf.DUMMYFUNCTION("""COMPUTED_VALUE"""),0.674379395145247)</f>
        <v>0.6743793951</v>
      </c>
      <c r="T147" s="11">
        <f>IFERROR(__xludf.DUMMYFUNCTION("""COMPUTED_VALUE"""),-0.1482977965701775)</f>
        <v>-0.1482977966</v>
      </c>
      <c r="U147" s="11">
        <f>IFERROR(__xludf.DUMMYFUNCTION("""COMPUTED_VALUE"""),0.12988864610918074)</f>
        <v>0.1298886461</v>
      </c>
      <c r="V147" s="11">
        <f>IFERROR(__xludf.DUMMYFUNCTION("""COMPUTED_VALUE"""),-0.06185538368567684)</f>
        <v>-0.06185538369</v>
      </c>
      <c r="W147" s="11">
        <f>IFERROR(__xludf.DUMMYFUNCTION("""COMPUTED_VALUE"""),-1.2485944449972455)</f>
        <v>-1.248594445</v>
      </c>
      <c r="X147" s="11">
        <f>IFERROR(__xludf.DUMMYFUNCTION("""COMPUTED_VALUE"""),-0.6155173428439339)</f>
        <v>-0.6155173428</v>
      </c>
      <c r="Y147" s="11">
        <f>IFERROR(__xludf.DUMMYFUNCTION("""COMPUTED_VALUE"""),-0.28427697138671754)</f>
        <v>-0.2842769714</v>
      </c>
      <c r="Z147" s="11">
        <f>IFERROR(__xludf.DUMMYFUNCTION("""COMPUTED_VALUE"""),-1.3178860959057628)</f>
        <v>-1.317886096</v>
      </c>
      <c r="AA147" s="11">
        <f>IFERROR(__xludf.DUMMYFUNCTION("""COMPUTED_VALUE"""),-0.13672081696427313)</f>
        <v>-0.136720817</v>
      </c>
      <c r="AB147" t="str">
        <f>IFERROR(__xludf.DUMMYFUNCTION("SUBSTITUTE(REGEXREPLACE(REGEXREPLACE(REGEXREPLACE(REGEXREPLACE(REGEXREPLACE(REGEXREPLACE(F147,"","",),IF(Projections!$T$17="""",""PG"",),),IF(Projections!$U$17="""",""SG"",),),IF(Projections!$V$17="""",""SF"",),),IF(Projections!$W$17="""",""PF"",),),IF(Pr"&amp;"ojections!$X$17="""",""C"",),),""/"","""")"),"SFPF")</f>
        <v>SFPF</v>
      </c>
    </row>
    <row r="148">
      <c r="A148" t="str">
        <f>IF(Projections!$AC$17,Draft!P14,"")</f>
        <v/>
      </c>
      <c r="B148">
        <f>IFERROR(__xludf.DUMMYFUNCTION("""COMPUTED_VALUE"""),143.0)</f>
        <v>143</v>
      </c>
      <c r="C148">
        <f>IFERROR(__xludf.DUMMYFUNCTION("""COMPUTED_VALUE"""),118.7)</f>
        <v>118.7</v>
      </c>
      <c r="D148" t="str">
        <f>IFERROR(__xludf.DUMMYFUNCTION("""COMPUTED_VALUE"""),"Keyonte George")</f>
        <v>Keyonte George</v>
      </c>
      <c r="E148">
        <f>IFERROR(__xludf.DUMMYFUNCTION("""COMPUTED_VALUE"""),71.0)</f>
        <v>71</v>
      </c>
      <c r="F148" t="str">
        <f>IFERROR(__xludf.DUMMYFUNCTION("""COMPUTED_VALUE"""),"PG,SG")</f>
        <v>PG,SG</v>
      </c>
      <c r="G148" s="11">
        <f>IFERROR(__xludf.DUMMYFUNCTION("""COMPUTED_VALUE"""),-1.6933624814993538)</f>
        <v>-1.693362481</v>
      </c>
      <c r="H148" s="11">
        <f>IFERROR(__xludf.DUMMYFUNCTION("""COMPUTED_VALUE"""),-1.6933624814993538)</f>
        <v>-1.693362481</v>
      </c>
      <c r="I148" s="11">
        <f>IFERROR(__xludf.DUMMYFUNCTION("""COMPUTED_VALUE"""),0.0)</f>
        <v>0</v>
      </c>
      <c r="J148" s="11">
        <f>IFERROR(__xludf.DUMMYFUNCTION("""COMPUTED_VALUE"""),16.3)</f>
        <v>16.3</v>
      </c>
      <c r="K148" s="11">
        <f>IFERROR(__xludf.DUMMYFUNCTION("""COMPUTED_VALUE"""),2.4)</f>
        <v>2.4</v>
      </c>
      <c r="L148" s="11">
        <f>IFERROR(__xludf.DUMMYFUNCTION("""COMPUTED_VALUE"""),3.3)</f>
        <v>3.3</v>
      </c>
      <c r="M148" s="11">
        <f>IFERROR(__xludf.DUMMYFUNCTION("""COMPUTED_VALUE"""),5.2)</f>
        <v>5.2</v>
      </c>
      <c r="N148" s="11">
        <f>IFERROR(__xludf.DUMMYFUNCTION("""COMPUTED_VALUE"""),0.6)</f>
        <v>0.6</v>
      </c>
      <c r="O148" s="11">
        <f>IFERROR(__xludf.DUMMYFUNCTION("""COMPUTED_VALUE"""),0.2)</f>
        <v>0.2</v>
      </c>
      <c r="P148" s="15">
        <f>IFERROR(__xludf.DUMMYFUNCTION("""COMPUTED_VALUE"""),0.422)</f>
        <v>0.422</v>
      </c>
      <c r="Q148" s="15">
        <f>IFERROR(__xludf.DUMMYFUNCTION("""COMPUTED_VALUE"""),0.851)</f>
        <v>0.851</v>
      </c>
      <c r="R148" s="11">
        <f>IFERROR(__xludf.DUMMYFUNCTION("""COMPUTED_VALUE"""),2.6)</f>
        <v>2.6</v>
      </c>
      <c r="S148" s="11">
        <f>IFERROR(__xludf.DUMMYFUNCTION("""COMPUTED_VALUE"""),-0.21079590105479823)</f>
        <v>-0.2107959011</v>
      </c>
      <c r="T148" s="11">
        <f>IFERROR(__xludf.DUMMYFUNCTION("""COMPUTED_VALUE"""),0.6478965956821543)</f>
        <v>0.6478965957</v>
      </c>
      <c r="U148" s="11">
        <f>IFERROR(__xludf.DUMMYFUNCTION("""COMPUTED_VALUE"""),-1.0861288587649554)</f>
        <v>-1.086128859</v>
      </c>
      <c r="V148" s="11">
        <f>IFERROR(__xludf.DUMMYFUNCTION("""COMPUTED_VALUE"""),0.5760094022241846)</f>
        <v>0.5760094022</v>
      </c>
      <c r="W148" s="11">
        <f>IFERROR(__xludf.DUMMYFUNCTION("""COMPUTED_VALUE"""),-1.2485944449972455)</f>
        <v>-1.248594445</v>
      </c>
      <c r="X148" s="11">
        <f>IFERROR(__xludf.DUMMYFUNCTION("""COMPUTED_VALUE"""),-0.9723047469492465)</f>
        <v>-0.9723047469</v>
      </c>
      <c r="Y148" s="11">
        <f>IFERROR(__xludf.DUMMYFUNCTION("""COMPUTED_VALUE"""),-1.1321086419126758)</f>
        <v>-1.132108642</v>
      </c>
      <c r="Z148" s="11">
        <f>IFERROR(__xludf.DUMMYFUNCTION("""COMPUTED_VALUE"""),0.6951851266682165)</f>
        <v>0.6951851267</v>
      </c>
      <c r="AA148" s="11">
        <f>IFERROR(__xludf.DUMMYFUNCTION("""COMPUTED_VALUE"""),-0.21111545739223317)</f>
        <v>-0.2111154574</v>
      </c>
      <c r="AB148" t="str">
        <f>IFERROR(__xludf.DUMMYFUNCTION("SUBSTITUTE(REGEXREPLACE(REGEXREPLACE(REGEXREPLACE(REGEXREPLACE(REGEXREPLACE(REGEXREPLACE(F148,"","",),IF(Projections!$T$17="""",""PG"",),),IF(Projections!$U$17="""",""SG"",),),IF(Projections!$V$17="""",""SF"",),),IF(Projections!$W$17="""",""PF"",),),IF(Pr"&amp;"ojections!$X$17="""",""C"",),),""/"","""")"),"PGSG")</f>
        <v>PGSG</v>
      </c>
    </row>
    <row r="149">
      <c r="A149" t="str">
        <f>IF(Projections!$AC$17,Draft!P13,"")</f>
        <v/>
      </c>
      <c r="B149">
        <f>IFERROR(__xludf.DUMMYFUNCTION("""COMPUTED_VALUE"""),144.0)</f>
        <v>144</v>
      </c>
      <c r="C149">
        <f>IFERROR(__xludf.DUMMYFUNCTION("""COMPUTED_VALUE"""),144.6)</f>
        <v>144.6</v>
      </c>
      <c r="D149" t="str">
        <f>IFERROR(__xludf.DUMMYFUNCTION("""COMPUTED_VALUE"""),"Bilal Coulibaly")</f>
        <v>Bilal Coulibaly</v>
      </c>
      <c r="E149">
        <f>IFERROR(__xludf.DUMMYFUNCTION("""COMPUTED_VALUE"""),66.0)</f>
        <v>66</v>
      </c>
      <c r="F149" t="str">
        <f>IFERROR(__xludf.DUMMYFUNCTION("""COMPUTED_VALUE"""),"SG,SF")</f>
        <v>SG,SF</v>
      </c>
      <c r="G149" s="11">
        <f>IFERROR(__xludf.DUMMYFUNCTION("""COMPUTED_VALUE"""),-1.7482480510241551)</f>
        <v>-1.748248051</v>
      </c>
      <c r="H149" s="11">
        <f>IFERROR(__xludf.DUMMYFUNCTION("""COMPUTED_VALUE"""),-1.7482480510241551)</f>
        <v>-1.748248051</v>
      </c>
      <c r="I149" s="11">
        <f>IFERROR(__xludf.DUMMYFUNCTION("""COMPUTED_VALUE"""),0.0)</f>
        <v>0</v>
      </c>
      <c r="J149" s="11">
        <f>IFERROR(__xludf.DUMMYFUNCTION("""COMPUTED_VALUE"""),11.2)</f>
        <v>11.2</v>
      </c>
      <c r="K149" s="11">
        <f>IFERROR(__xludf.DUMMYFUNCTION("""COMPUTED_VALUE"""),1.3)</f>
        <v>1.3</v>
      </c>
      <c r="L149" s="11">
        <f>IFERROR(__xludf.DUMMYFUNCTION("""COMPUTED_VALUE"""),5.3)</f>
        <v>5.3</v>
      </c>
      <c r="M149" s="11">
        <f>IFERROR(__xludf.DUMMYFUNCTION("""COMPUTED_VALUE"""),2.3)</f>
        <v>2.3</v>
      </c>
      <c r="N149" s="11">
        <f>IFERROR(__xludf.DUMMYFUNCTION("""COMPUTED_VALUE"""),1.2)</f>
        <v>1.2</v>
      </c>
      <c r="O149" s="11">
        <f>IFERROR(__xludf.DUMMYFUNCTION("""COMPUTED_VALUE"""),1.0)</f>
        <v>1</v>
      </c>
      <c r="P149" s="15">
        <f>IFERROR(__xludf.DUMMYFUNCTION("""COMPUTED_VALUE"""),0.441)</f>
        <v>0.441</v>
      </c>
      <c r="Q149" s="15">
        <f>IFERROR(__xludf.DUMMYFUNCTION("""COMPUTED_VALUE"""),0.706)</f>
        <v>0.706</v>
      </c>
      <c r="R149" s="11">
        <f>IFERROR(__xludf.DUMMYFUNCTION("""COMPUTED_VALUE"""),1.8)</f>
        <v>1.8</v>
      </c>
      <c r="S149" s="11">
        <f>IFERROR(__xludf.DUMMYFUNCTION("""COMPUTED_VALUE"""),-1.1321008011813765)</f>
        <v>-1.132100801</v>
      </c>
      <c r="T149" s="11">
        <f>IFERROR(__xludf.DUMMYFUNCTION("""COMPUTED_VALUE"""),-0.44687069366480203)</f>
        <v>-0.4468706937</v>
      </c>
      <c r="U149" s="11">
        <f>IFERROR(__xludf.DUMMYFUNCTION("""COMPUTED_VALUE"""),-0.30160143626551283)</f>
        <v>-0.3016014363</v>
      </c>
      <c r="V149" s="11">
        <f>IFERROR(__xludf.DUMMYFUNCTION("""COMPUTED_VALUE"""),-0.745281940017671)</f>
        <v>-0.74528194</v>
      </c>
      <c r="W149" s="11">
        <f>IFERROR(__xludf.DUMMYFUNCTION("""COMPUTED_VALUE"""),0.7430016239596308)</f>
        <v>0.743001624</v>
      </c>
      <c r="X149" s="11">
        <f>IFERROR(__xludf.DUMMYFUNCTION("""COMPUTED_VALUE"""),0.45484486947200414)</f>
        <v>0.4548448695</v>
      </c>
      <c r="Y149" s="11">
        <f>IFERROR(__xludf.DUMMYFUNCTION("""COMPUTED_VALUE"""),-0.5894310822350731)</f>
        <v>-0.5894310822</v>
      </c>
      <c r="Z149" s="11">
        <f>IFERROR(__xludf.DUMMYFUNCTION("""COMPUTED_VALUE"""),-0.850179642688391)</f>
        <v>-0.8501796427</v>
      </c>
      <c r="AA149" s="11">
        <f>IFERROR(__xludf.DUMMYFUNCTION("""COMPUTED_VALUE"""),-0.012729749584339901)</f>
        <v>-0.01272974958</v>
      </c>
      <c r="AB149" t="str">
        <f>IFERROR(__xludf.DUMMYFUNCTION("SUBSTITUTE(REGEXREPLACE(REGEXREPLACE(REGEXREPLACE(REGEXREPLACE(REGEXREPLACE(REGEXREPLACE(F149,"","",),IF(Projections!$T$17="""",""PG"",),),IF(Projections!$U$17="""",""SG"",),),IF(Projections!$V$17="""",""SF"",),),IF(Projections!$W$17="""",""PF"",),),IF(Pr"&amp;"ojections!$X$17="""",""C"",),),""/"","""")"),"SGSF")</f>
        <v>SGSF</v>
      </c>
    </row>
    <row r="150">
      <c r="A150" t="str">
        <f>IF(Projections!$AC$17,Draft!P12,"")</f>
        <v/>
      </c>
      <c r="B150">
        <f>IFERROR(__xludf.DUMMYFUNCTION("""COMPUTED_VALUE"""),145.0)</f>
        <v>145</v>
      </c>
      <c r="D150" t="str">
        <f>IFERROR(__xludf.DUMMYFUNCTION("""COMPUTED_VALUE"""),"Miles McBride")</f>
        <v>Miles McBride</v>
      </c>
      <c r="E150">
        <f>IFERROR(__xludf.DUMMYFUNCTION("""COMPUTED_VALUE"""),71.0)</f>
        <v>71</v>
      </c>
      <c r="F150" t="str">
        <f>IFERROR(__xludf.DUMMYFUNCTION("""COMPUTED_VALUE"""),"PG,SG")</f>
        <v>PG,SG</v>
      </c>
      <c r="G150" s="11">
        <f>IFERROR(__xludf.DUMMYFUNCTION("""COMPUTED_VALUE"""),-1.7636340430886046)</f>
        <v>-1.763634043</v>
      </c>
      <c r="H150" s="11">
        <f>IFERROR(__xludf.DUMMYFUNCTION("""COMPUTED_VALUE"""),-1.7636340430886046)</f>
        <v>-1.763634043</v>
      </c>
      <c r="I150" s="11">
        <f>IFERROR(__xludf.DUMMYFUNCTION("""COMPUTED_VALUE"""),0.0)</f>
        <v>0</v>
      </c>
      <c r="J150" s="11">
        <f>IFERROR(__xludf.DUMMYFUNCTION("""COMPUTED_VALUE"""),10.8)</f>
        <v>10.8</v>
      </c>
      <c r="K150" s="11">
        <f>IFERROR(__xludf.DUMMYFUNCTION("""COMPUTED_VALUE"""),2.1)</f>
        <v>2.1</v>
      </c>
      <c r="L150" s="11">
        <f>IFERROR(__xludf.DUMMYFUNCTION("""COMPUTED_VALUE"""),2.1)</f>
        <v>2.1</v>
      </c>
      <c r="M150" s="11">
        <f>IFERROR(__xludf.DUMMYFUNCTION("""COMPUTED_VALUE"""),2.6)</f>
        <v>2.6</v>
      </c>
      <c r="N150" s="11">
        <f>IFERROR(__xludf.DUMMYFUNCTION("""COMPUTED_VALUE"""),1.2)</f>
        <v>1.2</v>
      </c>
      <c r="O150" s="11">
        <f>IFERROR(__xludf.DUMMYFUNCTION("""COMPUTED_VALUE"""),0.2)</f>
        <v>0.2</v>
      </c>
      <c r="P150" s="15">
        <f>IFERROR(__xludf.DUMMYFUNCTION("""COMPUTED_VALUE"""),0.446)</f>
        <v>0.446</v>
      </c>
      <c r="Q150" s="15">
        <f>IFERROR(__xludf.DUMMYFUNCTION("""COMPUTED_VALUE"""),0.845)</f>
        <v>0.845</v>
      </c>
      <c r="R150" s="11">
        <f>IFERROR(__xludf.DUMMYFUNCTION("""COMPUTED_VALUE"""),0.8)</f>
        <v>0.8</v>
      </c>
      <c r="S150" s="11">
        <f>IFERROR(__xludf.DUMMYFUNCTION("""COMPUTED_VALUE"""),-1.2043600090344413)</f>
        <v>-1.204360009</v>
      </c>
      <c r="T150" s="11">
        <f>IFERROR(__xludf.DUMMYFUNCTION("""COMPUTED_VALUE"""),0.34932369858753)</f>
        <v>0.3493236986</v>
      </c>
      <c r="U150" s="11">
        <f>IFERROR(__xludf.DUMMYFUNCTION("""COMPUTED_VALUE"""),-1.5568453122646206)</f>
        <v>-1.556845312</v>
      </c>
      <c r="V150" s="11">
        <f>IFERROR(__xludf.DUMMYFUNCTION("""COMPUTED_VALUE"""),-0.6085966287512721)</f>
        <v>-0.6085966288</v>
      </c>
      <c r="W150" s="11">
        <f>IFERROR(__xludf.DUMMYFUNCTION("""COMPUTED_VALUE"""),0.7430016239596308)</f>
        <v>0.743001624</v>
      </c>
      <c r="X150" s="11">
        <f>IFERROR(__xludf.DUMMYFUNCTION("""COMPUTED_VALUE"""),-0.9723047469492465)</f>
        <v>-0.9723047469</v>
      </c>
      <c r="Y150" s="11">
        <f>IFERROR(__xludf.DUMMYFUNCTION("""COMPUTED_VALUE"""),-0.5188013397311761)</f>
        <v>-0.5188013397</v>
      </c>
      <c r="Z150" s="11">
        <f>IFERROR(__xludf.DUMMYFUNCTION("""COMPUTED_VALUE"""),0.2128509736548444)</f>
        <v>0.2128509737</v>
      </c>
      <c r="AA150" s="11">
        <f>IFERROR(__xludf.DUMMYFUNCTION("""COMPUTED_VALUE"""),0.23525238517552666)</f>
        <v>0.2352523852</v>
      </c>
      <c r="AB150" t="str">
        <f>IFERROR(__xludf.DUMMYFUNCTION("SUBSTITUTE(REGEXREPLACE(REGEXREPLACE(REGEXREPLACE(REGEXREPLACE(REGEXREPLACE(REGEXREPLACE(F150,"","",),IF(Projections!$T$17="""",""PG"",),),IF(Projections!$U$17="""",""SG"",),),IF(Projections!$V$17="""",""SF"",),),IF(Projections!$W$17="""",""PF"",),),IF(Pr"&amp;"ojections!$X$17="""",""C"",),),""/"","""")"),"PGSG")</f>
        <v>PGSG</v>
      </c>
    </row>
    <row r="151">
      <c r="A151" t="str">
        <f>IF(Projections!$AC$17,Draft!P11,"")</f>
        <v/>
      </c>
      <c r="B151">
        <f>IFERROR(__xludf.DUMMYFUNCTION("""COMPUTED_VALUE"""),146.0)</f>
        <v>146</v>
      </c>
      <c r="C151">
        <f>IFERROR(__xludf.DUMMYFUNCTION("""COMPUTED_VALUE"""),115.9)</f>
        <v>115.9</v>
      </c>
      <c r="D151" t="str">
        <f>IFERROR(__xludf.DUMMYFUNCTION("""COMPUTED_VALUE"""),"Bobby Portis")</f>
        <v>Bobby Portis</v>
      </c>
      <c r="E151">
        <f>IFERROR(__xludf.DUMMYFUNCTION("""COMPUTED_VALUE"""),66.0)</f>
        <v>66</v>
      </c>
      <c r="F151" t="str">
        <f>IFERROR(__xludf.DUMMYFUNCTION("""COMPUTED_VALUE"""),"PF,C")</f>
        <v>PF,C</v>
      </c>
      <c r="G151" s="11">
        <f>IFERROR(__xludf.DUMMYFUNCTION("""COMPUTED_VALUE"""),-1.7684699947214306)</f>
        <v>-1.768469995</v>
      </c>
      <c r="H151" s="11">
        <f>IFERROR(__xludf.DUMMYFUNCTION("""COMPUTED_VALUE"""),-1.7684699947214306)</f>
        <v>-1.768469995</v>
      </c>
      <c r="I151" s="11">
        <f>IFERROR(__xludf.DUMMYFUNCTION("""COMPUTED_VALUE"""),0.0)</f>
        <v>0</v>
      </c>
      <c r="J151" s="11">
        <f>IFERROR(__xludf.DUMMYFUNCTION("""COMPUTED_VALUE"""),14.1)</f>
        <v>14.1</v>
      </c>
      <c r="K151" s="11">
        <f>IFERROR(__xludf.DUMMYFUNCTION("""COMPUTED_VALUE"""),1.3)</f>
        <v>1.3</v>
      </c>
      <c r="L151" s="11">
        <f>IFERROR(__xludf.DUMMYFUNCTION("""COMPUTED_VALUE"""),8.3)</f>
        <v>8.3</v>
      </c>
      <c r="M151" s="11">
        <f>IFERROR(__xludf.DUMMYFUNCTION("""COMPUTED_VALUE"""),1.4)</f>
        <v>1.4</v>
      </c>
      <c r="N151" s="11">
        <f>IFERROR(__xludf.DUMMYFUNCTION("""COMPUTED_VALUE"""),0.7)</f>
        <v>0.7</v>
      </c>
      <c r="O151" s="11">
        <f>IFERROR(__xludf.DUMMYFUNCTION("""COMPUTED_VALUE"""),0.3)</f>
        <v>0.3</v>
      </c>
      <c r="P151" s="15">
        <f>IFERROR(__xludf.DUMMYFUNCTION("""COMPUTED_VALUE"""),0.502)</f>
        <v>0.502</v>
      </c>
      <c r="Q151" s="15">
        <f>IFERROR(__xludf.DUMMYFUNCTION("""COMPUTED_VALUE"""),0.777)</f>
        <v>0.777</v>
      </c>
      <c r="R151" s="11">
        <f>IFERROR(__xludf.DUMMYFUNCTION("""COMPUTED_VALUE"""),1.1)</f>
        <v>1.1</v>
      </c>
      <c r="S151" s="11">
        <f>IFERROR(__xludf.DUMMYFUNCTION("""COMPUTED_VALUE"""),-0.6082215442466556)</f>
        <v>-0.6082215442</v>
      </c>
      <c r="T151" s="11">
        <f>IFERROR(__xludf.DUMMYFUNCTION("""COMPUTED_VALUE"""),-0.44687069366480203)</f>
        <v>-0.4468706937</v>
      </c>
      <c r="U151" s="11">
        <f>IFERROR(__xludf.DUMMYFUNCTION("""COMPUTED_VALUE"""),0.8751896974836513)</f>
        <v>0.8751896975</v>
      </c>
      <c r="V151" s="11">
        <f>IFERROR(__xludf.DUMMYFUNCTION("""COMPUTED_VALUE"""),-1.1553378738168676)</f>
        <v>-1.155337874</v>
      </c>
      <c r="W151" s="11">
        <f>IFERROR(__xludf.DUMMYFUNCTION("""COMPUTED_VALUE"""),-0.9166617668377661)</f>
        <v>-0.9166617668</v>
      </c>
      <c r="X151" s="11">
        <f>IFERROR(__xludf.DUMMYFUNCTION("""COMPUTED_VALUE"""),-0.7939110448965904)</f>
        <v>-0.7939110449</v>
      </c>
      <c r="Y151" s="11">
        <f>IFERROR(__xludf.DUMMYFUNCTION("""COMPUTED_VALUE"""),0.06899670281963362)</f>
        <v>0.06899670282</v>
      </c>
      <c r="Z151" s="11">
        <f>IFERROR(__xludf.DUMMYFUNCTION("""COMPUTED_VALUE"""),-0.10784909012646815)</f>
        <v>-0.1078490901</v>
      </c>
      <c r="AA151" s="11">
        <f>IFERROR(__xludf.DUMMYFUNCTION("""COMPUTED_VALUE"""),0.16085774474756667)</f>
        <v>0.1608577447</v>
      </c>
      <c r="AB151" t="str">
        <f>IFERROR(__xludf.DUMMYFUNCTION("SUBSTITUTE(REGEXREPLACE(REGEXREPLACE(REGEXREPLACE(REGEXREPLACE(REGEXREPLACE(REGEXREPLACE(F151,"","",),IF(Projections!$T$17="""",""PG"",),),IF(Projections!$U$17="""",""SG"",),),IF(Projections!$V$17="""",""SF"",),),IF(Projections!$W$17="""",""PF"",),),IF(Pr"&amp;"ojections!$X$17="""",""C"",),),""/"","""")"),"PFC")</f>
        <v>PFC</v>
      </c>
    </row>
    <row r="152">
      <c r="A152" t="str">
        <f>IF(Projections!$AC$17,Draft!P10,"")</f>
        <v/>
      </c>
      <c r="B152">
        <f>IFERROR(__xludf.DUMMYFUNCTION("""COMPUTED_VALUE"""),147.0)</f>
        <v>147</v>
      </c>
      <c r="C152">
        <f>IFERROR(__xludf.DUMMYFUNCTION("""COMPUTED_VALUE"""),139.5)</f>
        <v>139.5</v>
      </c>
      <c r="D152" t="str">
        <f>IFERROR(__xludf.DUMMYFUNCTION("""COMPUTED_VALUE"""),"Luguentz Dort")</f>
        <v>Luguentz Dort</v>
      </c>
      <c r="E152">
        <f>IFERROR(__xludf.DUMMYFUNCTION("""COMPUTED_VALUE"""),71.0)</f>
        <v>71</v>
      </c>
      <c r="F152" t="str">
        <f>IFERROR(__xludf.DUMMYFUNCTION("""COMPUTED_VALUE"""),"SG,SF")</f>
        <v>SG,SF</v>
      </c>
      <c r="G152" s="11">
        <f>IFERROR(__xludf.DUMMYFUNCTION("""COMPUTED_VALUE"""),-1.8066354768791526)</f>
        <v>-1.806635477</v>
      </c>
      <c r="H152" s="11">
        <f>IFERROR(__xludf.DUMMYFUNCTION("""COMPUTED_VALUE"""),-1.8066354768791526)</f>
        <v>-1.806635477</v>
      </c>
      <c r="I152" s="11">
        <f>IFERROR(__xludf.DUMMYFUNCTION("""COMPUTED_VALUE"""),0.0)</f>
        <v>0</v>
      </c>
      <c r="J152" s="11">
        <f>IFERROR(__xludf.DUMMYFUNCTION("""COMPUTED_VALUE"""),12.0)</f>
        <v>12</v>
      </c>
      <c r="K152" s="11">
        <f>IFERROR(__xludf.DUMMYFUNCTION("""COMPUTED_VALUE"""),2.0)</f>
        <v>2</v>
      </c>
      <c r="L152" s="11">
        <f>IFERROR(__xludf.DUMMYFUNCTION("""COMPUTED_VALUE"""),4.2)</f>
        <v>4.2</v>
      </c>
      <c r="M152" s="11">
        <f>IFERROR(__xludf.DUMMYFUNCTION("""COMPUTED_VALUE"""),1.8)</f>
        <v>1.8</v>
      </c>
      <c r="N152" s="11">
        <f>IFERROR(__xludf.DUMMYFUNCTION("""COMPUTED_VALUE"""),1.0)</f>
        <v>1</v>
      </c>
      <c r="O152" s="11">
        <f>IFERROR(__xludf.DUMMYFUNCTION("""COMPUTED_VALUE"""),0.7)</f>
        <v>0.7</v>
      </c>
      <c r="P152" s="15">
        <f>IFERROR(__xludf.DUMMYFUNCTION("""COMPUTED_VALUE"""),0.433)</f>
        <v>0.433</v>
      </c>
      <c r="Q152" s="15">
        <f>IFERROR(__xludf.DUMMYFUNCTION("""COMPUTED_VALUE"""),0.824)</f>
        <v>0.824</v>
      </c>
      <c r="R152" s="11">
        <f>IFERROR(__xludf.DUMMYFUNCTION("""COMPUTED_VALUE"""),1.1)</f>
        <v>1.1</v>
      </c>
      <c r="S152" s="11">
        <f>IFERROR(__xludf.DUMMYFUNCTION("""COMPUTED_VALUE"""),-0.9875823854752465)</f>
        <v>-0.9875823855</v>
      </c>
      <c r="T152" s="11">
        <f>IFERROR(__xludf.DUMMYFUNCTION("""COMPUTED_VALUE"""),0.2497993995559884)</f>
        <v>0.2497993996</v>
      </c>
      <c r="U152" s="11">
        <f>IFERROR(__xludf.DUMMYFUNCTION("""COMPUTED_VALUE"""),-0.733091518640206)</f>
        <v>-0.7330915186</v>
      </c>
      <c r="V152" s="11">
        <f>IFERROR(__xludf.DUMMYFUNCTION("""COMPUTED_VALUE"""),-0.9730907921283356)</f>
        <v>-0.9730907921</v>
      </c>
      <c r="W152" s="11">
        <f>IFERROR(__xludf.DUMMYFUNCTION("""COMPUTED_VALUE"""),0.07913626764067216)</f>
        <v>0.07913626764</v>
      </c>
      <c r="X152" s="11">
        <f>IFERROR(__xludf.DUMMYFUNCTION("""COMPUTED_VALUE"""),-0.08033623668596498)</f>
        <v>-0.08033623669</v>
      </c>
      <c r="Y152" s="11">
        <f>IFERROR(__xludf.DUMMYFUNCTION("""COMPUTED_VALUE"""),-0.7262229928975177)</f>
        <v>-0.7262229929</v>
      </c>
      <c r="Z152" s="11">
        <f>IFERROR(__xludf.DUMMYFUNCTION("""COMPUTED_VALUE"""),0.21631265152864484)</f>
        <v>0.2163126515</v>
      </c>
      <c r="AA152" s="11">
        <f>IFERROR(__xludf.DUMMYFUNCTION("""COMPUTED_VALUE"""),0.16085774474756667)</f>
        <v>0.1608577447</v>
      </c>
      <c r="AB152" t="str">
        <f>IFERROR(__xludf.DUMMYFUNCTION("SUBSTITUTE(REGEXREPLACE(REGEXREPLACE(REGEXREPLACE(REGEXREPLACE(REGEXREPLACE(REGEXREPLACE(F152,"","",),IF(Projections!$T$17="""",""PG"",),),IF(Projections!$U$17="""",""SG"",),),IF(Projections!$V$17="""",""SF"",),),IF(Projections!$W$17="""",""PF"",),),IF(Pr"&amp;"ojections!$X$17="""",""C"",),),""/"","""")"),"SGSF")</f>
        <v>SGSF</v>
      </c>
    </row>
    <row r="153">
      <c r="A153" t="str">
        <f>IF(Projections!$AC$17,Draft!P9,"")</f>
        <v/>
      </c>
      <c r="B153">
        <f>IFERROR(__xludf.DUMMYFUNCTION("""COMPUTED_VALUE"""),148.0)</f>
        <v>148</v>
      </c>
      <c r="D153" t="str">
        <f>IFERROR(__xludf.DUMMYFUNCTION("""COMPUTED_VALUE"""),"Lonzo Ball")</f>
        <v>Lonzo Ball</v>
      </c>
      <c r="E153">
        <f>IFERROR(__xludf.DUMMYFUNCTION("""COMPUTED_VALUE"""),52.0)</f>
        <v>52</v>
      </c>
      <c r="F153" t="str">
        <f>IFERROR(__xludf.DUMMYFUNCTION("""COMPUTED_VALUE"""),"PG")</f>
        <v>PG</v>
      </c>
      <c r="G153" s="11">
        <f>IFERROR(__xludf.DUMMYFUNCTION("""COMPUTED_VALUE"""),-1.8269538791285516)</f>
        <v>-1.826953879</v>
      </c>
      <c r="H153" s="11">
        <f>IFERROR(__xludf.DUMMYFUNCTION("""COMPUTED_VALUE"""),-1.8269538791285516)</f>
        <v>-1.826953879</v>
      </c>
      <c r="I153" s="11">
        <f>IFERROR(__xludf.DUMMYFUNCTION("""COMPUTED_VALUE"""),0.0)</f>
        <v>0</v>
      </c>
      <c r="J153" s="11">
        <f>IFERROR(__xludf.DUMMYFUNCTION("""COMPUTED_VALUE"""),7.6)</f>
        <v>7.6</v>
      </c>
      <c r="K153" s="11">
        <f>IFERROR(__xludf.DUMMYFUNCTION("""COMPUTED_VALUE"""),1.8)</f>
        <v>1.8</v>
      </c>
      <c r="L153" s="11">
        <f>IFERROR(__xludf.DUMMYFUNCTION("""COMPUTED_VALUE"""),3.2)</f>
        <v>3.2</v>
      </c>
      <c r="M153" s="11">
        <f>IFERROR(__xludf.DUMMYFUNCTION("""COMPUTED_VALUE"""),3.5)</f>
        <v>3.5</v>
      </c>
      <c r="N153" s="11">
        <f>IFERROR(__xludf.DUMMYFUNCTION("""COMPUTED_VALUE"""),1.1)</f>
        <v>1.1</v>
      </c>
      <c r="O153" s="11">
        <f>IFERROR(__xludf.DUMMYFUNCTION("""COMPUTED_VALUE"""),0.5)</f>
        <v>0.5</v>
      </c>
      <c r="P153" s="15">
        <f>IFERROR(__xludf.DUMMYFUNCTION("""COMPUTED_VALUE"""),0.423)</f>
        <v>0.423</v>
      </c>
      <c r="Q153" s="15">
        <f>IFERROR(__xludf.DUMMYFUNCTION("""COMPUTED_VALUE"""),0.761)</f>
        <v>0.761</v>
      </c>
      <c r="R153" s="11">
        <f>IFERROR(__xludf.DUMMYFUNCTION("""COMPUTED_VALUE"""),1.4)</f>
        <v>1.4</v>
      </c>
      <c r="S153" s="11">
        <f>IFERROR(__xludf.DUMMYFUNCTION("""COMPUTED_VALUE"""),-1.7824336718589608)</f>
        <v>-1.782433672</v>
      </c>
      <c r="T153" s="11">
        <f>IFERROR(__xludf.DUMMYFUNCTION("""COMPUTED_VALUE"""),0.05075080149290546)</f>
        <v>0.05075080149</v>
      </c>
      <c r="U153" s="11">
        <f>IFERROR(__xludf.DUMMYFUNCTION("""COMPUTED_VALUE"""),-1.1253552298899274)</f>
        <v>-1.12535523</v>
      </c>
      <c r="V153" s="11">
        <f>IFERROR(__xludf.DUMMYFUNCTION("""COMPUTED_VALUE"""),-0.1985406949520756)</f>
        <v>-0.198540695</v>
      </c>
      <c r="W153" s="11">
        <f>IFERROR(__xludf.DUMMYFUNCTION("""COMPUTED_VALUE"""),0.41106894580015185)</f>
        <v>0.4110689458</v>
      </c>
      <c r="X153" s="11">
        <f>IFERROR(__xludf.DUMMYFUNCTION("""COMPUTED_VALUE"""),-0.4371236407912776)</f>
        <v>-0.4371236408</v>
      </c>
      <c r="Y153" s="11">
        <f>IFERROR(__xludf.DUMMYFUNCTION("""COMPUTED_VALUE"""),-0.5541654971142799)</f>
        <v>-0.5541654971</v>
      </c>
      <c r="Z153" s="11">
        <f>IFERROR(__xludf.DUMMYFUNCTION("""COMPUTED_VALUE"""),-0.06005166799365545)</f>
        <v>-0.06005166799</v>
      </c>
      <c r="AA153" s="11">
        <f>IFERROR(__xludf.DUMMYFUNCTION("""COMPUTED_VALUE"""),0.08646310431960676)</f>
        <v>0.08646310432</v>
      </c>
      <c r="AB153" t="str">
        <f>IFERROR(__xludf.DUMMYFUNCTION("SUBSTITUTE(REGEXREPLACE(REGEXREPLACE(REGEXREPLACE(REGEXREPLACE(REGEXREPLACE(REGEXREPLACE(F153,"","",),IF(Projections!$T$17="""",""PG"",),),IF(Projections!$U$17="""",""SG"",),),IF(Projections!$V$17="""",""SF"",),),IF(Projections!$W$17="""",""PF"",),),IF(Pr"&amp;"ojections!$X$17="""",""C"",),),""/"","""")"),"PG")</f>
        <v>PG</v>
      </c>
    </row>
    <row r="154">
      <c r="A154" t="str">
        <f>IF(Projections!$AC$17,Draft!P8,"")</f>
        <v/>
      </c>
      <c r="B154">
        <f>IFERROR(__xludf.DUMMYFUNCTION("""COMPUTED_VALUE"""),149.0)</f>
        <v>149</v>
      </c>
      <c r="C154">
        <f>IFERROR(__xludf.DUMMYFUNCTION("""COMPUTED_VALUE"""),139.1)</f>
        <v>139.1</v>
      </c>
      <c r="D154" t="str">
        <f>IFERROR(__xludf.DUMMYFUNCTION("""COMPUTED_VALUE"""),"Andre Drummond")</f>
        <v>Andre Drummond</v>
      </c>
      <c r="E154">
        <f>IFERROR(__xludf.DUMMYFUNCTION("""COMPUTED_VALUE"""),71.0)</f>
        <v>71</v>
      </c>
      <c r="F154" t="str">
        <f>IFERROR(__xludf.DUMMYFUNCTION("""COMPUTED_VALUE"""),"C")</f>
        <v>C</v>
      </c>
      <c r="G154" s="11">
        <f>IFERROR(__xludf.DUMMYFUNCTION("""COMPUTED_VALUE"""),-1.8272865243345193)</f>
        <v>-1.827286524</v>
      </c>
      <c r="H154" s="11">
        <f>IFERROR(__xludf.DUMMYFUNCTION("""COMPUTED_VALUE"""),-1.8272865243345193)</f>
        <v>-1.827286524</v>
      </c>
      <c r="I154" s="11">
        <f>IFERROR(__xludf.DUMMYFUNCTION("""COMPUTED_VALUE"""),0.0)</f>
        <v>0</v>
      </c>
      <c r="J154" s="11">
        <f>IFERROR(__xludf.DUMMYFUNCTION("""COMPUTED_VALUE"""),9.8)</f>
        <v>9.8</v>
      </c>
      <c r="K154" s="11">
        <f>IFERROR(__xludf.DUMMYFUNCTION("""COMPUTED_VALUE"""),0.0)</f>
        <v>0</v>
      </c>
      <c r="L154" s="11">
        <f>IFERROR(__xludf.DUMMYFUNCTION("""COMPUTED_VALUE"""),10.6)</f>
        <v>10.6</v>
      </c>
      <c r="M154" s="11">
        <f>IFERROR(__xludf.DUMMYFUNCTION("""COMPUTED_VALUE"""),0.6)</f>
        <v>0.6</v>
      </c>
      <c r="N154" s="11">
        <f>IFERROR(__xludf.DUMMYFUNCTION("""COMPUTED_VALUE"""),1.1)</f>
        <v>1.1</v>
      </c>
      <c r="O154" s="11">
        <f>IFERROR(__xludf.DUMMYFUNCTION("""COMPUTED_VALUE"""),0.7)</f>
        <v>0.7</v>
      </c>
      <c r="P154" s="15">
        <f>IFERROR(__xludf.DUMMYFUNCTION("""COMPUTED_VALUE"""),0.574)</f>
        <v>0.574</v>
      </c>
      <c r="Q154" s="15">
        <f>IFERROR(__xludf.DUMMYFUNCTION("""COMPUTED_VALUE"""),0.604)</f>
        <v>0.604</v>
      </c>
      <c r="R154" s="11">
        <f>IFERROR(__xludf.DUMMYFUNCTION("""COMPUTED_VALUE"""),1.4)</f>
        <v>1.4</v>
      </c>
      <c r="S154" s="11">
        <f>IFERROR(__xludf.DUMMYFUNCTION("""COMPUTED_VALUE"""),-1.3850080286671036)</f>
        <v>-1.385008029</v>
      </c>
      <c r="T154" s="11">
        <f>IFERROR(__xludf.DUMMYFUNCTION("""COMPUTED_VALUE"""),-1.7406865810748415)</f>
        <v>-1.740686581</v>
      </c>
      <c r="U154" s="11">
        <f>IFERROR(__xludf.DUMMYFUNCTION("""COMPUTED_VALUE"""),1.7773962333580098)</f>
        <v>1.777396233</v>
      </c>
      <c r="V154" s="11">
        <f>IFERROR(__xludf.DUMMYFUNCTION("""COMPUTED_VALUE"""),-1.5198320371939311)</f>
        <v>-1.519832037</v>
      </c>
      <c r="W154" s="11">
        <f>IFERROR(__xludf.DUMMYFUNCTION("""COMPUTED_VALUE"""),0.41106894580015185)</f>
        <v>0.4110689458</v>
      </c>
      <c r="X154" s="11">
        <f>IFERROR(__xludf.DUMMYFUNCTION("""COMPUTED_VALUE"""),-0.08033623668596498)</f>
        <v>-0.08033623669</v>
      </c>
      <c r="Y154" s="11">
        <f>IFERROR(__xludf.DUMMYFUNCTION("""COMPUTED_VALUE"""),0.6236480758095537)</f>
        <v>0.6236480758</v>
      </c>
      <c r="Z154" s="11">
        <f>IFERROR(__xludf.DUMMYFUNCTION("""COMPUTED_VALUE"""),-2.0283180842660986)</f>
        <v>-2.028318084</v>
      </c>
      <c r="AA154" s="11">
        <f>IFERROR(__xludf.DUMMYFUNCTION("""COMPUTED_VALUE"""),0.08646310431960676)</f>
        <v>0.08646310432</v>
      </c>
      <c r="AB154" t="str">
        <f>IFERROR(__xludf.DUMMYFUNCTION("SUBSTITUTE(REGEXREPLACE(REGEXREPLACE(REGEXREPLACE(REGEXREPLACE(REGEXREPLACE(REGEXREPLACE(F154,"","",),IF(Projections!$T$17="""",""PG"",),),IF(Projections!$U$17="""",""SG"",),),IF(Projections!$V$17="""",""SF"",),),IF(Projections!$W$17="""",""PF"",),),IF(Pr"&amp;"ojections!$X$17="""",""C"",),),""/"","""")"),"C")</f>
        <v>C</v>
      </c>
    </row>
    <row r="155">
      <c r="A155" t="str">
        <f>IF(Projections!$AC$17,Draft!P7,"")</f>
        <v/>
      </c>
      <c r="B155">
        <f>IFERROR(__xludf.DUMMYFUNCTION("""COMPUTED_VALUE"""),150.0)</f>
        <v>150</v>
      </c>
      <c r="C155">
        <f>IFERROR(__xludf.DUMMYFUNCTION("""COMPUTED_VALUE"""),140.2)</f>
        <v>140.2</v>
      </c>
      <c r="D155" t="str">
        <f>IFERROR(__xludf.DUMMYFUNCTION("""COMPUTED_VALUE"""),"Kyle Lowry")</f>
        <v>Kyle Lowry</v>
      </c>
      <c r="E155">
        <f>IFERROR(__xludf.DUMMYFUNCTION("""COMPUTED_VALUE"""),71.0)</f>
        <v>71</v>
      </c>
      <c r="F155" t="str">
        <f>IFERROR(__xludf.DUMMYFUNCTION("""COMPUTED_VALUE"""),"PG")</f>
        <v>PG</v>
      </c>
      <c r="G155" s="11">
        <f>IFERROR(__xludf.DUMMYFUNCTION("""COMPUTED_VALUE"""),-1.8402322275431635)</f>
        <v>-1.840232228</v>
      </c>
      <c r="H155" s="11">
        <f>IFERROR(__xludf.DUMMYFUNCTION("""COMPUTED_VALUE"""),-1.8402322275431635)</f>
        <v>-1.840232228</v>
      </c>
      <c r="I155" s="11">
        <f>IFERROR(__xludf.DUMMYFUNCTION("""COMPUTED_VALUE"""),0.0)</f>
        <v>0</v>
      </c>
      <c r="J155" s="11">
        <f>IFERROR(__xludf.DUMMYFUNCTION("""COMPUTED_VALUE"""),9.1)</f>
        <v>9.1</v>
      </c>
      <c r="K155" s="11">
        <f>IFERROR(__xludf.DUMMYFUNCTION("""COMPUTED_VALUE"""),1.7)</f>
        <v>1.7</v>
      </c>
      <c r="L155" s="11">
        <f>IFERROR(__xludf.DUMMYFUNCTION("""COMPUTED_VALUE"""),3.4)</f>
        <v>3.4</v>
      </c>
      <c r="M155" s="11">
        <f>IFERROR(__xludf.DUMMYFUNCTION("""COMPUTED_VALUE"""),4.4)</f>
        <v>4.4</v>
      </c>
      <c r="N155" s="11">
        <f>IFERROR(__xludf.DUMMYFUNCTION("""COMPUTED_VALUE"""),1.0)</f>
        <v>1</v>
      </c>
      <c r="O155" s="11">
        <f>IFERROR(__xludf.DUMMYFUNCTION("""COMPUTED_VALUE"""),0.3)</f>
        <v>0.3</v>
      </c>
      <c r="P155" s="15">
        <f>IFERROR(__xludf.DUMMYFUNCTION("""COMPUTED_VALUE"""),0.417)</f>
        <v>0.417</v>
      </c>
      <c r="Q155" s="15">
        <f>IFERROR(__xludf.DUMMYFUNCTION("""COMPUTED_VALUE"""),0.855)</f>
        <v>0.855</v>
      </c>
      <c r="R155" s="11">
        <f>IFERROR(__xludf.DUMMYFUNCTION("""COMPUTED_VALUE"""),1.5)</f>
        <v>1.5</v>
      </c>
      <c r="S155" s="11">
        <f>IFERROR(__xludf.DUMMYFUNCTION("""COMPUTED_VALUE"""),-1.5114616424099674)</f>
        <v>-1.511461642</v>
      </c>
      <c r="T155" s="11">
        <f>IFERROR(__xludf.DUMMYFUNCTION("""COMPUTED_VALUE"""),-0.04877349753863613)</f>
        <v>-0.04877349754</v>
      </c>
      <c r="U155" s="11">
        <f>IFERROR(__xludf.DUMMYFUNCTION("""COMPUTED_VALUE"""),-1.0469024876399833)</f>
        <v>-1.046902488</v>
      </c>
      <c r="V155" s="11">
        <f>IFERROR(__xludf.DUMMYFUNCTION("""COMPUTED_VALUE"""),0.2115152388471211)</f>
        <v>0.2115152388</v>
      </c>
      <c r="W155" s="11">
        <f>IFERROR(__xludf.DUMMYFUNCTION("""COMPUTED_VALUE"""),0.07913626764067216)</f>
        <v>0.07913626764</v>
      </c>
      <c r="X155" s="11">
        <f>IFERROR(__xludf.DUMMYFUNCTION("""COMPUTED_VALUE"""),-0.7939110448965904)</f>
        <v>-0.7939110449</v>
      </c>
      <c r="Y155" s="11">
        <f>IFERROR(__xludf.DUMMYFUNCTION("""COMPUTED_VALUE"""),-0.664704587301205)</f>
        <v>-0.6647045873</v>
      </c>
      <c r="Z155" s="11">
        <f>IFERROR(__xludf.DUMMYFUNCTION("""COMPUTED_VALUE"""),0.3617429925018381)</f>
        <v>0.3617429925</v>
      </c>
      <c r="AA155" s="11">
        <f>IFERROR(__xludf.DUMMYFUNCTION("""COMPUTED_VALUE"""),0.06166489084362008)</f>
        <v>0.06166489084</v>
      </c>
      <c r="AB155" t="str">
        <f>IFERROR(__xludf.DUMMYFUNCTION("SUBSTITUTE(REGEXREPLACE(REGEXREPLACE(REGEXREPLACE(REGEXREPLACE(REGEXREPLACE(REGEXREPLACE(F155,"","",),IF(Projections!$T$17="""",""PG"",),),IF(Projections!$U$17="""",""SG"",),),IF(Projections!$V$17="""",""SF"",),),IF(Projections!$W$17="""",""PF"",),),IF(Pr"&amp;"ojections!$X$17="""",""C"",),),""/"","""")"),"PG")</f>
        <v>PG</v>
      </c>
    </row>
    <row r="156">
      <c r="A156" t="str">
        <f>IF(Projections!$AC$17,Draft!P6,"")</f>
        <v/>
      </c>
      <c r="B156">
        <f>IFERROR(__xludf.DUMMYFUNCTION("""COMPUTED_VALUE"""),151.0)</f>
        <v>151</v>
      </c>
      <c r="C156">
        <f>IFERROR(__xludf.DUMMYFUNCTION("""COMPUTED_VALUE"""),138.2)</f>
        <v>138.2</v>
      </c>
      <c r="D156" t="str">
        <f>IFERROR(__xludf.DUMMYFUNCTION("""COMPUTED_VALUE"""),"Grayson Allen")</f>
        <v>Grayson Allen</v>
      </c>
      <c r="E156">
        <f>IFERROR(__xludf.DUMMYFUNCTION("""COMPUTED_VALUE"""),71.0)</f>
        <v>71</v>
      </c>
      <c r="F156" t="str">
        <f>IFERROR(__xludf.DUMMYFUNCTION("""COMPUTED_VALUE"""),"PG,SG")</f>
        <v>PG,SG</v>
      </c>
      <c r="G156" s="11">
        <f>IFERROR(__xludf.DUMMYFUNCTION("""COMPUTED_VALUE"""),-1.8724672995461888)</f>
        <v>-1.8724673</v>
      </c>
      <c r="H156" s="11">
        <f>IFERROR(__xludf.DUMMYFUNCTION("""COMPUTED_VALUE"""),-1.8724672995461888)</f>
        <v>-1.8724673</v>
      </c>
      <c r="I156" s="11">
        <f>IFERROR(__xludf.DUMMYFUNCTION("""COMPUTED_VALUE"""),0.0)</f>
        <v>0</v>
      </c>
      <c r="J156" s="11">
        <f>IFERROR(__xludf.DUMMYFUNCTION("""COMPUTED_VALUE"""),11.4)</f>
        <v>11.4</v>
      </c>
      <c r="K156" s="11">
        <f>IFERROR(__xludf.DUMMYFUNCTION("""COMPUTED_VALUE"""),2.2)</f>
        <v>2.2</v>
      </c>
      <c r="L156" s="11">
        <f>IFERROR(__xludf.DUMMYFUNCTION("""COMPUTED_VALUE"""),3.3)</f>
        <v>3.3</v>
      </c>
      <c r="M156" s="11">
        <f>IFERROR(__xludf.DUMMYFUNCTION("""COMPUTED_VALUE"""),2.4)</f>
        <v>2.4</v>
      </c>
      <c r="N156" s="11">
        <f>IFERROR(__xludf.DUMMYFUNCTION("""COMPUTED_VALUE"""),0.8)</f>
        <v>0.8</v>
      </c>
      <c r="O156" s="11">
        <f>IFERROR(__xludf.DUMMYFUNCTION("""COMPUTED_VALUE"""),0.4)</f>
        <v>0.4</v>
      </c>
      <c r="P156" s="15">
        <f>IFERROR(__xludf.DUMMYFUNCTION("""COMPUTED_VALUE"""),0.485)</f>
        <v>0.485</v>
      </c>
      <c r="Q156" s="15">
        <f>IFERROR(__xludf.DUMMYFUNCTION("""COMPUTED_VALUE"""),0.893)</f>
        <v>0.893</v>
      </c>
      <c r="R156" s="11">
        <f>IFERROR(__xludf.DUMMYFUNCTION("""COMPUTED_VALUE"""),1.0)</f>
        <v>1</v>
      </c>
      <c r="S156" s="11">
        <f>IFERROR(__xludf.DUMMYFUNCTION("""COMPUTED_VALUE"""),-1.0959711972548438)</f>
        <v>-1.095971197</v>
      </c>
      <c r="T156" s="11">
        <f>IFERROR(__xludf.DUMMYFUNCTION("""COMPUTED_VALUE"""),0.44884799761907157)</f>
        <v>0.4488479976</v>
      </c>
      <c r="U156" s="11">
        <f>IFERROR(__xludf.DUMMYFUNCTION("""COMPUTED_VALUE"""),-1.0861288587649554)</f>
        <v>-1.086128859</v>
      </c>
      <c r="V156" s="11">
        <f>IFERROR(__xludf.DUMMYFUNCTION("""COMPUTED_VALUE"""),-0.6997201695955381)</f>
        <v>-0.6997201696</v>
      </c>
      <c r="W156" s="11">
        <f>IFERROR(__xludf.DUMMYFUNCTION("""COMPUTED_VALUE"""),-0.5847290886782864)</f>
        <v>-0.5847290887</v>
      </c>
      <c r="X156" s="11">
        <f>IFERROR(__xludf.DUMMYFUNCTION("""COMPUTED_VALUE"""),-0.6155173428439339)</f>
        <v>-0.6155173428</v>
      </c>
      <c r="Y156" s="11">
        <f>IFERROR(__xludf.DUMMYFUNCTION("""COMPUTED_VALUE"""),-0.11139441800634449)</f>
        <v>-0.111394418</v>
      </c>
      <c r="Z156" s="11">
        <f>IFERROR(__xludf.DUMMYFUNCTION("""COMPUTED_VALUE"""),0.590518622500244)</f>
        <v>0.5905186225</v>
      </c>
      <c r="AA156" s="11">
        <f>IFERROR(__xludf.DUMMYFUNCTION("""COMPUTED_VALUE"""),0.18565595822355335)</f>
        <v>0.1856559582</v>
      </c>
      <c r="AB156" t="str">
        <f>IFERROR(__xludf.DUMMYFUNCTION("SUBSTITUTE(REGEXREPLACE(REGEXREPLACE(REGEXREPLACE(REGEXREPLACE(REGEXREPLACE(REGEXREPLACE(F156,"","",),IF(Projections!$T$17="""",""PG"",),),IF(Projections!$U$17="""",""SG"",),),IF(Projections!$V$17="""",""SF"",),),IF(Projections!$W$17="""",""PF"",),),IF(Pr"&amp;"ojections!$X$17="""",""C"",),),""/"","""")"),"PGSG")</f>
        <v>PGSG</v>
      </c>
    </row>
    <row r="157">
      <c r="A157" t="str">
        <f>IF(Projections!$AC$17,Draft!P5,"")</f>
        <v/>
      </c>
      <c r="B157">
        <f>IFERROR(__xludf.DUMMYFUNCTION("""COMPUTED_VALUE"""),152.0)</f>
        <v>152</v>
      </c>
      <c r="C157">
        <f>IFERROR(__xludf.DUMMYFUNCTION("""COMPUTED_VALUE"""),141.7)</f>
        <v>141.7</v>
      </c>
      <c r="D157" t="str">
        <f>IFERROR(__xludf.DUMMYFUNCTION("""COMPUTED_VALUE"""),"Jeremy Sochan")</f>
        <v>Jeremy Sochan</v>
      </c>
      <c r="E157">
        <f>IFERROR(__xludf.DUMMYFUNCTION("""COMPUTED_VALUE"""),25.0)</f>
        <v>25</v>
      </c>
      <c r="F157" t="str">
        <f>IFERROR(__xludf.DUMMYFUNCTION("""COMPUTED_VALUE"""),"SF,PF")</f>
        <v>SF,PF</v>
      </c>
      <c r="G157" s="11">
        <f>IFERROR(__xludf.DUMMYFUNCTION("""COMPUTED_VALUE"""),-1.9116423054501974)</f>
        <v>-1.911642305</v>
      </c>
      <c r="H157" s="11">
        <f>IFERROR(__xludf.DUMMYFUNCTION("""COMPUTED_VALUE"""),-1.9116423054501974)</f>
        <v>-1.911642305</v>
      </c>
      <c r="I157" s="11">
        <f>IFERROR(__xludf.DUMMYFUNCTION("""COMPUTED_VALUE"""),0.0)</f>
        <v>0</v>
      </c>
      <c r="J157" s="11">
        <f>IFERROR(__xludf.DUMMYFUNCTION("""COMPUTED_VALUE"""),12.4)</f>
        <v>12.4</v>
      </c>
      <c r="K157" s="11">
        <f>IFERROR(__xludf.DUMMYFUNCTION("""COMPUTED_VALUE"""),1.0)</f>
        <v>1</v>
      </c>
      <c r="L157" s="11">
        <f>IFERROR(__xludf.DUMMYFUNCTION("""COMPUTED_VALUE"""),6.8)</f>
        <v>6.8</v>
      </c>
      <c r="M157" s="11">
        <f>IFERROR(__xludf.DUMMYFUNCTION("""COMPUTED_VALUE"""),3.2)</f>
        <v>3.2</v>
      </c>
      <c r="N157" s="11">
        <f>IFERROR(__xludf.DUMMYFUNCTION("""COMPUTED_VALUE"""),1.0)</f>
        <v>1</v>
      </c>
      <c r="O157" s="11">
        <f>IFERROR(__xludf.DUMMYFUNCTION("""COMPUTED_VALUE"""),0.6)</f>
        <v>0.6</v>
      </c>
      <c r="P157" s="15">
        <f>IFERROR(__xludf.DUMMYFUNCTION("""COMPUTED_VALUE"""),0.444)</f>
        <v>0.444</v>
      </c>
      <c r="Q157" s="15">
        <f>IFERROR(__xludf.DUMMYFUNCTION("""COMPUTED_VALUE"""),0.77)</f>
        <v>0.77</v>
      </c>
      <c r="R157" s="11">
        <f>IFERROR(__xludf.DUMMYFUNCTION("""COMPUTED_VALUE"""),2.0)</f>
        <v>2</v>
      </c>
      <c r="S157" s="11">
        <f>IFERROR(__xludf.DUMMYFUNCTION("""COMPUTED_VALUE"""),-0.9153231776221815)</f>
        <v>-0.9153231776</v>
      </c>
      <c r="T157" s="11">
        <f>IFERROR(__xludf.DUMMYFUNCTION("""COMPUTED_VALUE"""),-0.7454435907594266)</f>
        <v>-0.7454435908</v>
      </c>
      <c r="U157" s="11">
        <f>IFERROR(__xludf.DUMMYFUNCTION("""COMPUTED_VALUE"""),0.28679413060906905)</f>
        <v>0.2867941306</v>
      </c>
      <c r="V157" s="11">
        <f>IFERROR(__xludf.DUMMYFUNCTION("""COMPUTED_VALUE"""),-0.33522600621847437)</f>
        <v>-0.3352260062</v>
      </c>
      <c r="W157" s="11">
        <f>IFERROR(__xludf.DUMMYFUNCTION("""COMPUTED_VALUE"""),0.07913626764067216)</f>
        <v>0.07913626764</v>
      </c>
      <c r="X157" s="11">
        <f>IFERROR(__xludf.DUMMYFUNCTION("""COMPUTED_VALUE"""),-0.25872993873862127)</f>
        <v>-0.2587299387</v>
      </c>
      <c r="Y157" s="11">
        <f>IFERROR(__xludf.DUMMYFUNCTION("""COMPUTED_VALUE"""),-0.6817397370113726)</f>
        <v>-0.681739737</v>
      </c>
      <c r="Z157" s="11">
        <f>IFERROR(__xludf.DUMMYFUNCTION("""COMPUTED_VALUE"""),-0.1941072544357305)</f>
        <v>-0.1941072544</v>
      </c>
      <c r="AA157" s="11">
        <f>IFERROR(__xludf.DUMMYFUNCTION("""COMPUTED_VALUE"""),-0.062326176536313206)</f>
        <v>-0.06232617654</v>
      </c>
      <c r="AB157" t="str">
        <f>IFERROR(__xludf.DUMMYFUNCTION("SUBSTITUTE(REGEXREPLACE(REGEXREPLACE(REGEXREPLACE(REGEXREPLACE(REGEXREPLACE(REGEXREPLACE(F157,"","",),IF(Projections!$T$17="""",""PG"",),),IF(Projections!$U$17="""",""SG"",),),IF(Projections!$V$17="""",""SF"",),),IF(Projections!$W$17="""",""PF"",),),IF(Pr"&amp;"ojections!$X$17="""",""C"",),),""/"","""")"),"SFPF")</f>
        <v>SFPF</v>
      </c>
    </row>
    <row r="158">
      <c r="A158" t="str">
        <f>IF(Projections!$AC$17,Draft!P4,"")</f>
        <v/>
      </c>
      <c r="B158">
        <f>IFERROR(__xludf.DUMMYFUNCTION("""COMPUTED_VALUE"""),153.0)</f>
        <v>153</v>
      </c>
      <c r="C158">
        <f>IFERROR(__xludf.DUMMYFUNCTION("""COMPUTED_VALUE"""),145.4)</f>
        <v>145.4</v>
      </c>
      <c r="D158" t="str">
        <f>IFERROR(__xludf.DUMMYFUNCTION("""COMPUTED_VALUE"""),"Corey Kispert")</f>
        <v>Corey Kispert</v>
      </c>
      <c r="E158">
        <f>IFERROR(__xludf.DUMMYFUNCTION("""COMPUTED_VALUE"""),58.0)</f>
        <v>58</v>
      </c>
      <c r="F158" t="str">
        <f>IFERROR(__xludf.DUMMYFUNCTION("""COMPUTED_VALUE"""),"SG,SF")</f>
        <v>SG,SF</v>
      </c>
      <c r="G158" s="11">
        <f>IFERROR(__xludf.DUMMYFUNCTION("""COMPUTED_VALUE"""),-1.916536610529607)</f>
        <v>-1.916536611</v>
      </c>
      <c r="H158" s="11">
        <f>IFERROR(__xludf.DUMMYFUNCTION("""COMPUTED_VALUE"""),-1.916536610529607)</f>
        <v>-1.916536611</v>
      </c>
      <c r="I158" s="11">
        <f>IFERROR(__xludf.DUMMYFUNCTION("""COMPUTED_VALUE"""),0.0)</f>
        <v>0</v>
      </c>
      <c r="J158" s="11">
        <f>IFERROR(__xludf.DUMMYFUNCTION("""COMPUTED_VALUE"""),15.1)</f>
        <v>15.1</v>
      </c>
      <c r="K158" s="11">
        <f>IFERROR(__xludf.DUMMYFUNCTION("""COMPUTED_VALUE"""),2.7)</f>
        <v>2.7</v>
      </c>
      <c r="L158" s="11">
        <f>IFERROR(__xludf.DUMMYFUNCTION("""COMPUTED_VALUE"""),3.4)</f>
        <v>3.4</v>
      </c>
      <c r="M158" s="11">
        <f>IFERROR(__xludf.DUMMYFUNCTION("""COMPUTED_VALUE"""),2.4)</f>
        <v>2.4</v>
      </c>
      <c r="N158" s="11">
        <f>IFERROR(__xludf.DUMMYFUNCTION("""COMPUTED_VALUE"""),0.7)</f>
        <v>0.7</v>
      </c>
      <c r="O158" s="11">
        <f>IFERROR(__xludf.DUMMYFUNCTION("""COMPUTED_VALUE"""),0.2)</f>
        <v>0.2</v>
      </c>
      <c r="P158" s="15">
        <f>IFERROR(__xludf.DUMMYFUNCTION("""COMPUTED_VALUE"""),0.484)</f>
        <v>0.484</v>
      </c>
      <c r="Q158" s="15">
        <f>IFERROR(__xludf.DUMMYFUNCTION("""COMPUTED_VALUE"""),0.821)</f>
        <v>0.821</v>
      </c>
      <c r="R158" s="11">
        <f>IFERROR(__xludf.DUMMYFUNCTION("""COMPUTED_VALUE"""),1.2)</f>
        <v>1.2</v>
      </c>
      <c r="S158" s="11">
        <f>IFERROR(__xludf.DUMMYFUNCTION("""COMPUTED_VALUE"""),-0.4275735246139932)</f>
        <v>-0.4275735246</v>
      </c>
      <c r="T158" s="11">
        <f>IFERROR(__xludf.DUMMYFUNCTION("""COMPUTED_VALUE"""),0.946469492776779)</f>
        <v>0.9464694928</v>
      </c>
      <c r="U158" s="11">
        <f>IFERROR(__xludf.DUMMYFUNCTION("""COMPUTED_VALUE"""),-1.0469024876399833)</f>
        <v>-1.046902488</v>
      </c>
      <c r="V158" s="11">
        <f>IFERROR(__xludf.DUMMYFUNCTION("""COMPUTED_VALUE"""),-0.6997201695955381)</f>
        <v>-0.6997201696</v>
      </c>
      <c r="W158" s="11">
        <f>IFERROR(__xludf.DUMMYFUNCTION("""COMPUTED_VALUE"""),-0.9166617668377661)</f>
        <v>-0.9166617668</v>
      </c>
      <c r="X158" s="11">
        <f>IFERROR(__xludf.DUMMYFUNCTION("""COMPUTED_VALUE"""),-0.9723047469492465)</f>
        <v>-0.9723047469</v>
      </c>
      <c r="Y158" s="11">
        <f>IFERROR(__xludf.DUMMYFUNCTION("""COMPUTED_VALUE"""),-0.1675689651301542)</f>
        <v>-0.1675689651</v>
      </c>
      <c r="Z158" s="11">
        <f>IFERROR(__xludf.DUMMYFUNCTION("""COMPUTED_VALUE"""),0.1847635385487321)</f>
        <v>0.1847635385</v>
      </c>
      <c r="AA158" s="11">
        <f>IFERROR(__xludf.DUMMYFUNCTION("""COMPUTED_VALUE"""),0.13605953127158005)</f>
        <v>0.1360595313</v>
      </c>
      <c r="AB158" t="str">
        <f>IFERROR(__xludf.DUMMYFUNCTION("SUBSTITUTE(REGEXREPLACE(REGEXREPLACE(REGEXREPLACE(REGEXREPLACE(REGEXREPLACE(REGEXREPLACE(F158,"","",),IF(Projections!$T$17="""",""PG"",),),IF(Projections!$U$17="""",""SG"",),),IF(Projections!$V$17="""",""SF"",),),IF(Projections!$W$17="""",""PF"",),),IF(Pr"&amp;"ojections!$X$17="""",""C"",),),""/"","""")"),"SGSF")</f>
        <v>SGSF</v>
      </c>
    </row>
    <row r="159">
      <c r="A159" t="str">
        <f>IF(Projections!$AC$17,Draft!P3,"")</f>
        <v/>
      </c>
      <c r="B159">
        <f>IFERROR(__xludf.DUMMYFUNCTION("""COMPUTED_VALUE"""),154.0)</f>
        <v>154</v>
      </c>
      <c r="C159">
        <f>IFERROR(__xludf.DUMMYFUNCTION("""COMPUTED_VALUE"""),143.9)</f>
        <v>143.9</v>
      </c>
      <c r="D159" t="str">
        <f>IFERROR(__xludf.DUMMYFUNCTION("""COMPUTED_VALUE"""),"Gary Trent Jr.")</f>
        <v>Gary Trent Jr.</v>
      </c>
      <c r="E159">
        <f>IFERROR(__xludf.DUMMYFUNCTION("""COMPUTED_VALUE"""),66.0)</f>
        <v>66</v>
      </c>
      <c r="F159" t="str">
        <f>IFERROR(__xludf.DUMMYFUNCTION("""COMPUTED_VALUE"""),"PG,SG")</f>
        <v>PG,SG</v>
      </c>
      <c r="G159" s="11">
        <f>IFERROR(__xludf.DUMMYFUNCTION("""COMPUTED_VALUE"""),-1.9217464116935556)</f>
        <v>-1.921746412</v>
      </c>
      <c r="H159" s="11">
        <f>IFERROR(__xludf.DUMMYFUNCTION("""COMPUTED_VALUE"""),-1.9217464116935556)</f>
        <v>-1.921746412</v>
      </c>
      <c r="I159" s="11">
        <f>IFERROR(__xludf.DUMMYFUNCTION("""COMPUTED_VALUE"""),0.0)</f>
        <v>0</v>
      </c>
      <c r="J159" s="11">
        <f>IFERROR(__xludf.DUMMYFUNCTION("""COMPUTED_VALUE"""),14.5)</f>
        <v>14.5</v>
      </c>
      <c r="K159" s="11">
        <f>IFERROR(__xludf.DUMMYFUNCTION("""COMPUTED_VALUE"""),2.4)</f>
        <v>2.4</v>
      </c>
      <c r="L159" s="11">
        <f>IFERROR(__xludf.DUMMYFUNCTION("""COMPUTED_VALUE"""),2.5)</f>
        <v>2.5</v>
      </c>
      <c r="M159" s="11">
        <f>IFERROR(__xludf.DUMMYFUNCTION("""COMPUTED_VALUE"""),1.6)</f>
        <v>1.6</v>
      </c>
      <c r="N159" s="11">
        <f>IFERROR(__xludf.DUMMYFUNCTION("""COMPUTED_VALUE"""),1.2)</f>
        <v>1.2</v>
      </c>
      <c r="O159" s="11">
        <f>IFERROR(__xludf.DUMMYFUNCTION("""COMPUTED_VALUE"""),0.2)</f>
        <v>0.2</v>
      </c>
      <c r="P159" s="15">
        <f>IFERROR(__xludf.DUMMYFUNCTION("""COMPUTED_VALUE"""),0.429)</f>
        <v>0.429</v>
      </c>
      <c r="Q159" s="15">
        <f>IFERROR(__xludf.DUMMYFUNCTION("""COMPUTED_VALUE"""),0.792)</f>
        <v>0.792</v>
      </c>
      <c r="R159" s="11">
        <f>IFERROR(__xludf.DUMMYFUNCTION("""COMPUTED_VALUE"""),0.7)</f>
        <v>0.7</v>
      </c>
      <c r="S159" s="11">
        <f>IFERROR(__xludf.DUMMYFUNCTION("""COMPUTED_VALUE"""),-0.5359623363935906)</f>
        <v>-0.5359623364</v>
      </c>
      <c r="T159" s="11">
        <f>IFERROR(__xludf.DUMMYFUNCTION("""COMPUTED_VALUE"""),0.6478965956821543)</f>
        <v>0.6478965957</v>
      </c>
      <c r="U159" s="11">
        <f>IFERROR(__xludf.DUMMYFUNCTION("""COMPUTED_VALUE"""),-1.3999398277647324)</f>
        <v>-1.399939828</v>
      </c>
      <c r="V159" s="11">
        <f>IFERROR(__xludf.DUMMYFUNCTION("""COMPUTED_VALUE"""),-1.0642143329726015)</f>
        <v>-1.064214333</v>
      </c>
      <c r="W159" s="11">
        <f>IFERROR(__xludf.DUMMYFUNCTION("""COMPUTED_VALUE"""),0.7430016239596308)</f>
        <v>0.743001624</v>
      </c>
      <c r="X159" s="11">
        <f>IFERROR(__xludf.DUMMYFUNCTION("""COMPUTED_VALUE"""),-0.9723047469492465)</f>
        <v>-0.9723047469</v>
      </c>
      <c r="Y159" s="11">
        <f>IFERROR(__xludf.DUMMYFUNCTION("""COMPUTED_VALUE"""),-0.9785431473069823)</f>
        <v>-0.9785431473</v>
      </c>
      <c r="Z159" s="11">
        <f>IFERROR(__xludf.DUMMYFUNCTION("""COMPUTED_VALUE"""),-0.02167066636443299)</f>
        <v>-0.02167066636</v>
      </c>
      <c r="AA159" s="11">
        <f>IFERROR(__xludf.DUMMYFUNCTION("""COMPUTED_VALUE"""),0.26005059865151336)</f>
        <v>0.2600505987</v>
      </c>
      <c r="AB159" t="str">
        <f>IFERROR(__xludf.DUMMYFUNCTION("SUBSTITUTE(REGEXREPLACE(REGEXREPLACE(REGEXREPLACE(REGEXREPLACE(REGEXREPLACE(REGEXREPLACE(F159,"","",),IF(Projections!$T$17="""",""PG"",),),IF(Projections!$U$17="""",""SG"",),),IF(Projections!$V$17="""",""SF"",),),IF(Projections!$W$17="""",""PF"",),),IF(Pr"&amp;"ojections!$X$17="""",""C"",),),""/"","""")"),"PGSG")</f>
        <v>PGSG</v>
      </c>
    </row>
    <row r="160">
      <c r="A160" t="str">
        <f>IF(Projections!$AC$17,Draft!P15,"")</f>
        <v/>
      </c>
      <c r="B160">
        <f>IFERROR(__xludf.DUMMYFUNCTION("""COMPUTED_VALUE"""),155.0)</f>
        <v>155</v>
      </c>
      <c r="C160">
        <f>IFERROR(__xludf.DUMMYFUNCTION("""COMPUTED_VALUE"""),140.9)</f>
        <v>140.9</v>
      </c>
      <c r="D160" t="str">
        <f>IFERROR(__xludf.DUMMYFUNCTION("""COMPUTED_VALUE"""),"Reed Sheppard")</f>
        <v>Reed Sheppard</v>
      </c>
      <c r="E160">
        <f>IFERROR(__xludf.DUMMYFUNCTION("""COMPUTED_VALUE"""),71.0)</f>
        <v>71</v>
      </c>
      <c r="F160" t="str">
        <f>IFERROR(__xludf.DUMMYFUNCTION("""COMPUTED_VALUE"""),"SG")</f>
        <v>SG</v>
      </c>
      <c r="G160" s="11">
        <f>IFERROR(__xludf.DUMMYFUNCTION("""COMPUTED_VALUE"""),-1.9242638676763257)</f>
        <v>-1.924263868</v>
      </c>
      <c r="H160" s="11">
        <f>IFERROR(__xludf.DUMMYFUNCTION("""COMPUTED_VALUE"""),-1.9242638676763257)</f>
        <v>-1.924263868</v>
      </c>
      <c r="I160" s="11">
        <f>IFERROR(__xludf.DUMMYFUNCTION("""COMPUTED_VALUE"""),0.0)</f>
        <v>0</v>
      </c>
      <c r="J160" s="11">
        <f>IFERROR(__xludf.DUMMYFUNCTION("""COMPUTED_VALUE"""),6.7)</f>
        <v>6.7</v>
      </c>
      <c r="K160" s="11">
        <f>IFERROR(__xludf.DUMMYFUNCTION("""COMPUTED_VALUE"""),1.3)</f>
        <v>1.3</v>
      </c>
      <c r="L160" s="11">
        <f>IFERROR(__xludf.DUMMYFUNCTION("""COMPUTED_VALUE"""),2.5)</f>
        <v>2.5</v>
      </c>
      <c r="M160" s="11">
        <f>IFERROR(__xludf.DUMMYFUNCTION("""COMPUTED_VALUE"""),2.4)</f>
        <v>2.4</v>
      </c>
      <c r="N160" s="11">
        <f>IFERROR(__xludf.DUMMYFUNCTION("""COMPUTED_VALUE"""),1.3)</f>
        <v>1.3</v>
      </c>
      <c r="O160" s="11">
        <f>IFERROR(__xludf.DUMMYFUNCTION("""COMPUTED_VALUE"""),0.4)</f>
        <v>0.4</v>
      </c>
      <c r="P160" s="15">
        <f>IFERROR(__xludf.DUMMYFUNCTION("""COMPUTED_VALUE"""),0.472)</f>
        <v>0.472</v>
      </c>
      <c r="Q160" s="15">
        <f>IFERROR(__xludf.DUMMYFUNCTION("""COMPUTED_VALUE"""),0.835)</f>
        <v>0.835</v>
      </c>
      <c r="R160" s="11">
        <f>IFERROR(__xludf.DUMMYFUNCTION("""COMPUTED_VALUE"""),1.1)</f>
        <v>1.1</v>
      </c>
      <c r="S160" s="11">
        <f>IFERROR(__xludf.DUMMYFUNCTION("""COMPUTED_VALUE"""),-1.945016889528357)</f>
        <v>-1.94501689</v>
      </c>
      <c r="T160" s="11">
        <f>IFERROR(__xludf.DUMMYFUNCTION("""COMPUTED_VALUE"""),-0.44687069366480203)</f>
        <v>-0.4468706937</v>
      </c>
      <c r="U160" s="11">
        <f>IFERROR(__xludf.DUMMYFUNCTION("""COMPUTED_VALUE"""),-1.3999398277647324)</f>
        <v>-1.399939828</v>
      </c>
      <c r="V160" s="11">
        <f>IFERROR(__xludf.DUMMYFUNCTION("""COMPUTED_VALUE"""),-0.6997201695955381)</f>
        <v>-0.6997201696</v>
      </c>
      <c r="W160" s="11">
        <f>IFERROR(__xludf.DUMMYFUNCTION("""COMPUTED_VALUE"""),1.0749343021191105)</f>
        <v>1.074934302</v>
      </c>
      <c r="X160" s="11">
        <f>IFERROR(__xludf.DUMMYFUNCTION("""COMPUTED_VALUE"""),-0.6155173428439339)</f>
        <v>-0.6155173428</v>
      </c>
      <c r="Y160" s="11">
        <f>IFERROR(__xludf.DUMMYFUNCTION("""COMPUTED_VALUE"""),-0.1399695078427542)</f>
        <v>-0.1399695078</v>
      </c>
      <c r="Z160" s="11">
        <f>IFERROR(__xludf.DUMMYFUNCTION("""COMPUTED_VALUE"""),0.14196162716875743)</f>
        <v>0.1419616272</v>
      </c>
      <c r="AA160" s="11">
        <f>IFERROR(__xludf.DUMMYFUNCTION("""COMPUTED_VALUE"""),0.16085774474756667)</f>
        <v>0.1608577447</v>
      </c>
      <c r="AB160" t="str">
        <f>IFERROR(__xludf.DUMMYFUNCTION("SUBSTITUTE(REGEXREPLACE(REGEXREPLACE(REGEXREPLACE(REGEXREPLACE(REGEXREPLACE(REGEXREPLACE(F160,"","",),IF(Projections!$T$17="""",""PG"",),),IF(Projections!$U$17="""",""SG"",),),IF(Projections!$V$17="""",""SF"",),),IF(Projections!$W$17="""",""PF"",),),IF(Pr"&amp;"ojections!$X$17="""",""C"",),),""/"","""")"),"SG")</f>
        <v>SG</v>
      </c>
    </row>
    <row r="161">
      <c r="B161">
        <f>IFERROR(__xludf.DUMMYFUNCTION("""COMPUTED_VALUE"""),156.0)</f>
        <v>156</v>
      </c>
      <c r="C161">
        <f>IFERROR(__xludf.DUMMYFUNCTION("""COMPUTED_VALUE"""),129.5)</f>
        <v>129.5</v>
      </c>
      <c r="D161" t="str">
        <f>IFERROR(__xludf.DUMMYFUNCTION("""COMPUTED_VALUE"""),"Malik Monk")</f>
        <v>Malik Monk</v>
      </c>
      <c r="E161">
        <f>IFERROR(__xludf.DUMMYFUNCTION("""COMPUTED_VALUE"""),48.0)</f>
        <v>48</v>
      </c>
      <c r="F161" t="str">
        <f>IFERROR(__xludf.DUMMYFUNCTION("""COMPUTED_VALUE"""),"SG,SF")</f>
        <v>SG,SF</v>
      </c>
      <c r="G161" s="11">
        <f>IFERROR(__xludf.DUMMYFUNCTION("""COMPUTED_VALUE"""),-1.9899406984629044)</f>
        <v>-1.989940698</v>
      </c>
      <c r="H161" s="11">
        <f>IFERROR(__xludf.DUMMYFUNCTION("""COMPUTED_VALUE"""),-1.9899406984629044)</f>
        <v>-1.989940698</v>
      </c>
      <c r="I161" s="11">
        <f>IFERROR(__xludf.DUMMYFUNCTION("""COMPUTED_VALUE"""),0.0)</f>
        <v>0</v>
      </c>
      <c r="J161" s="11">
        <f>IFERROR(__xludf.DUMMYFUNCTION("""COMPUTED_VALUE"""),14.5)</f>
        <v>14.5</v>
      </c>
      <c r="K161" s="11">
        <f>IFERROR(__xludf.DUMMYFUNCTION("""COMPUTED_VALUE"""),2.0)</f>
        <v>2</v>
      </c>
      <c r="L161" s="11">
        <f>IFERROR(__xludf.DUMMYFUNCTION("""COMPUTED_VALUE"""),2.8)</f>
        <v>2.8</v>
      </c>
      <c r="M161" s="11">
        <f>IFERROR(__xludf.DUMMYFUNCTION("""COMPUTED_VALUE"""),4.5)</f>
        <v>4.5</v>
      </c>
      <c r="N161" s="11">
        <f>IFERROR(__xludf.DUMMYFUNCTION("""COMPUTED_VALUE"""),0.6)</f>
        <v>0.6</v>
      </c>
      <c r="O161" s="11">
        <f>IFERROR(__xludf.DUMMYFUNCTION("""COMPUTED_VALUE"""),0.4)</f>
        <v>0.4</v>
      </c>
      <c r="P161" s="15">
        <f>IFERROR(__xludf.DUMMYFUNCTION("""COMPUTED_VALUE"""),0.446)</f>
        <v>0.446</v>
      </c>
      <c r="Q161" s="15">
        <f>IFERROR(__xludf.DUMMYFUNCTION("""COMPUTED_VALUE"""),0.86)</f>
        <v>0.86</v>
      </c>
      <c r="R161" s="11">
        <f>IFERROR(__xludf.DUMMYFUNCTION("""COMPUTED_VALUE"""),2.0)</f>
        <v>2</v>
      </c>
      <c r="S161" s="11">
        <f>IFERROR(__xludf.DUMMYFUNCTION("""COMPUTED_VALUE"""),-0.5359623363935906)</f>
        <v>-0.5359623364</v>
      </c>
      <c r="T161" s="11">
        <f>IFERROR(__xludf.DUMMYFUNCTION("""COMPUTED_VALUE"""),0.2497993995559884)</f>
        <v>0.2497993996</v>
      </c>
      <c r="U161" s="11">
        <f>IFERROR(__xludf.DUMMYFUNCTION("""COMPUTED_VALUE"""),-1.282260714389816)</f>
        <v>-1.282260714</v>
      </c>
      <c r="V161" s="11">
        <f>IFERROR(__xludf.DUMMYFUNCTION("""COMPUTED_VALUE"""),0.25707700926925386)</f>
        <v>0.2570770093</v>
      </c>
      <c r="W161" s="11">
        <f>IFERROR(__xludf.DUMMYFUNCTION("""COMPUTED_VALUE"""),-1.2485944449972455)</f>
        <v>-1.248594445</v>
      </c>
      <c r="X161" s="11">
        <f>IFERROR(__xludf.DUMMYFUNCTION("""COMPUTED_VALUE"""),-0.6155173428439339)</f>
        <v>-0.6155173428</v>
      </c>
      <c r="Y161" s="11">
        <f>IFERROR(__xludf.DUMMYFUNCTION("""COMPUTED_VALUE"""),-0.6798086520615412)</f>
        <v>-0.6798086521</v>
      </c>
      <c r="Z161" s="11">
        <f>IFERROR(__xludf.DUMMYFUNCTION("""COMPUTED_VALUE"""),0.6453918455444777)</f>
        <v>0.6453918455</v>
      </c>
      <c r="AA161" s="11">
        <f>IFERROR(__xludf.DUMMYFUNCTION("""COMPUTED_VALUE"""),-0.062326176536313206)</f>
        <v>-0.06232617654</v>
      </c>
      <c r="AB161" t="str">
        <f>IFERROR(__xludf.DUMMYFUNCTION("SUBSTITUTE(REGEXREPLACE(REGEXREPLACE(REGEXREPLACE(REGEXREPLACE(REGEXREPLACE(REGEXREPLACE(F161,"","",),IF(Projections!$T$17="""",""PG"",),),IF(Projections!$U$17="""",""SG"",),),IF(Projections!$V$17="""",""SF"",),),IF(Projections!$W$17="""",""PF"",),),IF(Pr"&amp;"ojections!$X$17="""",""C"",),),""/"","""")"),"SGSF")</f>
        <v>SGSF</v>
      </c>
    </row>
    <row r="162">
      <c r="B162">
        <f>IFERROR(__xludf.DUMMYFUNCTION("""COMPUTED_VALUE"""),157.0)</f>
        <v>157</v>
      </c>
      <c r="D162" t="str">
        <f>IFERROR(__xludf.DUMMYFUNCTION("""COMPUTED_VALUE"""),"Jarred Vanderbilt")</f>
        <v>Jarred Vanderbilt</v>
      </c>
      <c r="E162">
        <f>IFERROR(__xludf.DUMMYFUNCTION("""COMPUTED_VALUE"""),66.0)</f>
        <v>66</v>
      </c>
      <c r="F162" t="str">
        <f>IFERROR(__xludf.DUMMYFUNCTION("""COMPUTED_VALUE"""),"PF")</f>
        <v>PF</v>
      </c>
      <c r="G162" s="11">
        <f>IFERROR(__xludf.DUMMYFUNCTION("""COMPUTED_VALUE"""),-1.9913488391261585)</f>
        <v>-1.991348839</v>
      </c>
      <c r="H162" s="11">
        <f>IFERROR(__xludf.DUMMYFUNCTION("""COMPUTED_VALUE"""),-1.9913488391261585)</f>
        <v>-1.991348839</v>
      </c>
      <c r="I162" s="11">
        <f>IFERROR(__xludf.DUMMYFUNCTION("""COMPUTED_VALUE"""),0.0)</f>
        <v>0</v>
      </c>
      <c r="J162" s="11">
        <f>IFERROR(__xludf.DUMMYFUNCTION("""COMPUTED_VALUE"""),7.6)</f>
        <v>7.6</v>
      </c>
      <c r="K162" s="11">
        <f>IFERROR(__xludf.DUMMYFUNCTION("""COMPUTED_VALUE"""),0.4)</f>
        <v>0.4</v>
      </c>
      <c r="L162" s="11">
        <f>IFERROR(__xludf.DUMMYFUNCTION("""COMPUTED_VALUE"""),7.1)</f>
        <v>7.1</v>
      </c>
      <c r="M162" s="11">
        <f>IFERROR(__xludf.DUMMYFUNCTION("""COMPUTED_VALUE"""),2.2)</f>
        <v>2.2</v>
      </c>
      <c r="N162" s="11">
        <f>IFERROR(__xludf.DUMMYFUNCTION("""COMPUTED_VALUE"""),1.2)</f>
        <v>1.2</v>
      </c>
      <c r="O162" s="11">
        <f>IFERROR(__xludf.DUMMYFUNCTION("""COMPUTED_VALUE"""),0.3)</f>
        <v>0.3</v>
      </c>
      <c r="P162" s="15">
        <f>IFERROR(__xludf.DUMMYFUNCTION("""COMPUTED_VALUE"""),0.542)</f>
        <v>0.542</v>
      </c>
      <c r="Q162" s="15">
        <f>IFERROR(__xludf.DUMMYFUNCTION("""COMPUTED_VALUE"""),0.688)</f>
        <v>0.688</v>
      </c>
      <c r="R162" s="11">
        <f>IFERROR(__xludf.DUMMYFUNCTION("""COMPUTED_VALUE"""),1.2)</f>
        <v>1.2</v>
      </c>
      <c r="S162" s="11">
        <f>IFERROR(__xludf.DUMMYFUNCTION("""COMPUTED_VALUE"""),-1.7824336718589608)</f>
        <v>-1.782433672</v>
      </c>
      <c r="T162" s="11">
        <f>IFERROR(__xludf.DUMMYFUNCTION("""COMPUTED_VALUE"""),-1.3425893849486756)</f>
        <v>-1.342589385</v>
      </c>
      <c r="U162" s="11">
        <f>IFERROR(__xludf.DUMMYFUNCTION("""COMPUTED_VALUE"""),0.4044732439839854)</f>
        <v>0.404473244</v>
      </c>
      <c r="V162" s="11">
        <f>IFERROR(__xludf.DUMMYFUNCTION("""COMPUTED_VALUE"""),-0.7908437104398038)</f>
        <v>-0.7908437104</v>
      </c>
      <c r="W162" s="11">
        <f>IFERROR(__xludf.DUMMYFUNCTION("""COMPUTED_VALUE"""),0.7430016239596308)</f>
        <v>0.743001624</v>
      </c>
      <c r="X162" s="11">
        <f>IFERROR(__xludf.DUMMYFUNCTION("""COMPUTED_VALUE"""),-0.7939110448965904)</f>
        <v>-0.7939110449</v>
      </c>
      <c r="Y162" s="11">
        <f>IFERROR(__xludf.DUMMYFUNCTION("""COMPUTED_VALUE"""),0.2961265991717134)</f>
        <v>0.2961265992</v>
      </c>
      <c r="Z162" s="11">
        <f>IFERROR(__xludf.DUMMYFUNCTION("""COMPUTED_VALUE"""),-0.6436656972279979)</f>
        <v>-0.6436656972</v>
      </c>
      <c r="AA162" s="11">
        <f>IFERROR(__xludf.DUMMYFUNCTION("""COMPUTED_VALUE"""),0.13605953127158005)</f>
        <v>0.1360595313</v>
      </c>
      <c r="AB162" t="str">
        <f>IFERROR(__xludf.DUMMYFUNCTION("SUBSTITUTE(REGEXREPLACE(REGEXREPLACE(REGEXREPLACE(REGEXREPLACE(REGEXREPLACE(REGEXREPLACE(F162,"","",),IF(Projections!$T$17="""",""PG"",),),IF(Projections!$U$17="""",""SG"",),),IF(Projections!$V$17="""",""SF"",),),IF(Projections!$W$17="""",""PF"",),),IF(Pr"&amp;"ojections!$X$17="""",""C"",),),""/"","""")"),"PF")</f>
        <v>PF</v>
      </c>
    </row>
    <row r="163">
      <c r="B163">
        <f>IFERROR(__xludf.DUMMYFUNCTION("""COMPUTED_VALUE"""),158.0)</f>
        <v>158</v>
      </c>
      <c r="C163">
        <f>IFERROR(__xludf.DUMMYFUNCTION("""COMPUTED_VALUE"""),140.6)</f>
        <v>140.6</v>
      </c>
      <c r="D163" t="str">
        <f>IFERROR(__xludf.DUMMYFUNCTION("""COMPUTED_VALUE"""),"Andrew Nembhard")</f>
        <v>Andrew Nembhard</v>
      </c>
      <c r="E163">
        <f>IFERROR(__xludf.DUMMYFUNCTION("""COMPUTED_VALUE"""),66.0)</f>
        <v>66</v>
      </c>
      <c r="F163" t="str">
        <f>IFERROR(__xludf.DUMMYFUNCTION("""COMPUTED_VALUE"""),"PG,SG")</f>
        <v>PG,SG</v>
      </c>
      <c r="G163" s="11">
        <f>IFERROR(__xludf.DUMMYFUNCTION("""COMPUTED_VALUE"""),-2.0542503585987903)</f>
        <v>-2.054250359</v>
      </c>
      <c r="H163" s="11">
        <f>IFERROR(__xludf.DUMMYFUNCTION("""COMPUTED_VALUE"""),-2.0542503585987903)</f>
        <v>-2.054250359</v>
      </c>
      <c r="I163" s="11">
        <f>IFERROR(__xludf.DUMMYFUNCTION("""COMPUTED_VALUE"""),0.0)</f>
        <v>0</v>
      </c>
      <c r="J163" s="11">
        <f>IFERROR(__xludf.DUMMYFUNCTION("""COMPUTED_VALUE"""),10.7)</f>
        <v>10.7</v>
      </c>
      <c r="K163" s="11">
        <f>IFERROR(__xludf.DUMMYFUNCTION("""COMPUTED_VALUE"""),1.2)</f>
        <v>1.2</v>
      </c>
      <c r="L163" s="11">
        <f>IFERROR(__xludf.DUMMYFUNCTION("""COMPUTED_VALUE"""),2.7)</f>
        <v>2.7</v>
      </c>
      <c r="M163" s="11">
        <f>IFERROR(__xludf.DUMMYFUNCTION("""COMPUTED_VALUE"""),5.0)</f>
        <v>5</v>
      </c>
      <c r="N163" s="11">
        <f>IFERROR(__xludf.DUMMYFUNCTION("""COMPUTED_VALUE"""),1.1)</f>
        <v>1.1</v>
      </c>
      <c r="O163" s="11">
        <f>IFERROR(__xludf.DUMMYFUNCTION("""COMPUTED_VALUE"""),0.2)</f>
        <v>0.2</v>
      </c>
      <c r="P163" s="15">
        <f>IFERROR(__xludf.DUMMYFUNCTION("""COMPUTED_VALUE"""),0.477)</f>
        <v>0.477</v>
      </c>
      <c r="Q163" s="15">
        <f>IFERROR(__xludf.DUMMYFUNCTION("""COMPUTED_VALUE"""),0.8)</f>
        <v>0.8</v>
      </c>
      <c r="R163" s="11">
        <f>IFERROR(__xludf.DUMMYFUNCTION("""COMPUTED_VALUE"""),1.8)</f>
        <v>1.8</v>
      </c>
      <c r="S163" s="11">
        <f>IFERROR(__xludf.DUMMYFUNCTION("""COMPUTED_VALUE"""),-1.2224248109977076)</f>
        <v>-1.222424811</v>
      </c>
      <c r="T163" s="11">
        <f>IFERROR(__xludf.DUMMYFUNCTION("""COMPUTED_VALUE"""),-0.5463949926963436)</f>
        <v>-0.5463949927</v>
      </c>
      <c r="U163" s="11">
        <f>IFERROR(__xludf.DUMMYFUNCTION("""COMPUTED_VALUE"""),-1.321487085514788)</f>
        <v>-1.321487086</v>
      </c>
      <c r="V163" s="11">
        <f>IFERROR(__xludf.DUMMYFUNCTION("""COMPUTED_VALUE"""),0.4848858613799186)</f>
        <v>0.4848858614</v>
      </c>
      <c r="W163" s="11">
        <f>IFERROR(__xludf.DUMMYFUNCTION("""COMPUTED_VALUE"""),0.41106894580015185)</f>
        <v>0.4110689458</v>
      </c>
      <c r="X163" s="11">
        <f>IFERROR(__xludf.DUMMYFUNCTION("""COMPUTED_VALUE"""),-0.9723047469492465)</f>
        <v>-0.9723047469</v>
      </c>
      <c r="Y163" s="11">
        <f>IFERROR(__xludf.DUMMYFUNCTION("""COMPUTED_VALUE"""),-0.21436284798400346)</f>
        <v>-0.214362848</v>
      </c>
      <c r="Z163" s="11">
        <f>IFERROR(__xludf.DUMMYFUNCTION("""COMPUTED_VALUE"""),0.018011982432779367)</f>
        <v>0.01801198243</v>
      </c>
      <c r="AA163" s="11">
        <f>IFERROR(__xludf.DUMMYFUNCTION("""COMPUTED_VALUE"""),-0.012729749584339901)</f>
        <v>-0.01272974958</v>
      </c>
      <c r="AB163" t="str">
        <f>IFERROR(__xludf.DUMMYFUNCTION("SUBSTITUTE(REGEXREPLACE(REGEXREPLACE(REGEXREPLACE(REGEXREPLACE(REGEXREPLACE(REGEXREPLACE(F163,"","",),IF(Projections!$T$17="""",""PG"",),),IF(Projections!$U$17="""",""SG"",),),IF(Projections!$V$17="""",""SF"",),),IF(Projections!$W$17="""",""PF"",),),IF(Pr"&amp;"ojections!$X$17="""",""C"",),),""/"","""")"),"PGSG")</f>
        <v>PGSG</v>
      </c>
    </row>
    <row r="164">
      <c r="B164">
        <f>IFERROR(__xludf.DUMMYFUNCTION("""COMPUTED_VALUE"""),159.0)</f>
        <v>159</v>
      </c>
      <c r="C164">
        <f>IFERROR(__xludf.DUMMYFUNCTION("""COMPUTED_VALUE"""),143.7)</f>
        <v>143.7</v>
      </c>
      <c r="D164" t="str">
        <f>IFERROR(__xludf.DUMMYFUNCTION("""COMPUTED_VALUE"""),"Jonathan Isaac")</f>
        <v>Jonathan Isaac</v>
      </c>
      <c r="E164">
        <f>IFERROR(__xludf.DUMMYFUNCTION("""COMPUTED_VALUE"""),71.0)</f>
        <v>71</v>
      </c>
      <c r="F164" t="str">
        <f>IFERROR(__xludf.DUMMYFUNCTION("""COMPUTED_VALUE"""),"SF,PF")</f>
        <v>SF,PF</v>
      </c>
      <c r="G164" s="11">
        <f>IFERROR(__xludf.DUMMYFUNCTION("""COMPUTED_VALUE"""),-2.132793182205627)</f>
        <v>-2.132793182</v>
      </c>
      <c r="H164" s="11">
        <f>IFERROR(__xludf.DUMMYFUNCTION("""COMPUTED_VALUE"""),-2.132793182205627)</f>
        <v>-2.132793182</v>
      </c>
      <c r="I164" s="11">
        <f>IFERROR(__xludf.DUMMYFUNCTION("""COMPUTED_VALUE"""),0.0)</f>
        <v>0</v>
      </c>
      <c r="J164" s="11">
        <f>IFERROR(__xludf.DUMMYFUNCTION("""COMPUTED_VALUE"""),7.5)</f>
        <v>7.5</v>
      </c>
      <c r="K164" s="11">
        <f>IFERROR(__xludf.DUMMYFUNCTION("""COMPUTED_VALUE"""),0.8)</f>
        <v>0.8</v>
      </c>
      <c r="L164" s="11">
        <f>IFERROR(__xludf.DUMMYFUNCTION("""COMPUTED_VALUE"""),5.1)</f>
        <v>5.1</v>
      </c>
      <c r="M164" s="11">
        <f>IFERROR(__xludf.DUMMYFUNCTION("""COMPUTED_VALUE"""),0.6)</f>
        <v>0.6</v>
      </c>
      <c r="N164" s="11">
        <f>IFERROR(__xludf.DUMMYFUNCTION("""COMPUTED_VALUE"""),1.0)</f>
        <v>1</v>
      </c>
      <c r="O164" s="11">
        <f>IFERROR(__xludf.DUMMYFUNCTION("""COMPUTED_VALUE"""),1.2)</f>
        <v>1.2</v>
      </c>
      <c r="P164" s="15">
        <f>IFERROR(__xludf.DUMMYFUNCTION("""COMPUTED_VALUE"""),0.496)</f>
        <v>0.496</v>
      </c>
      <c r="Q164" s="15">
        <f>IFERROR(__xludf.DUMMYFUNCTION("""COMPUTED_VALUE"""),0.704)</f>
        <v>0.704</v>
      </c>
      <c r="R164" s="11">
        <f>IFERROR(__xludf.DUMMYFUNCTION("""COMPUTED_VALUE"""),0.5)</f>
        <v>0.5</v>
      </c>
      <c r="S164" s="11">
        <f>IFERROR(__xludf.DUMMYFUNCTION("""COMPUTED_VALUE"""),-1.8004984738222272)</f>
        <v>-1.800498474</v>
      </c>
      <c r="T164" s="11">
        <f>IFERROR(__xludf.DUMMYFUNCTION("""COMPUTED_VALUE"""),-0.9444921888225095)</f>
        <v>-0.9444921888</v>
      </c>
      <c r="U164" s="11">
        <f>IFERROR(__xludf.DUMMYFUNCTION("""COMPUTED_VALUE"""),-0.38005417851545714)</f>
        <v>-0.3800541785</v>
      </c>
      <c r="V164" s="11">
        <f>IFERROR(__xludf.DUMMYFUNCTION("""COMPUTED_VALUE"""),-1.5198320371939311)</f>
        <v>-1.519832037</v>
      </c>
      <c r="W164" s="11">
        <f>IFERROR(__xludf.DUMMYFUNCTION("""COMPUTED_VALUE"""),0.07913626764067216)</f>
        <v>0.07913626764</v>
      </c>
      <c r="X164" s="11">
        <f>IFERROR(__xludf.DUMMYFUNCTION("""COMPUTED_VALUE"""),0.8116322735773168)</f>
        <v>0.8116322736</v>
      </c>
      <c r="Y164" s="11">
        <f>IFERROR(__xludf.DUMMYFUNCTION("""COMPUTED_VALUE"""),-0.005884065516347231)</f>
        <v>-0.005884065516</v>
      </c>
      <c r="Z164" s="11">
        <f>IFERROR(__xludf.DUMMYFUNCTION("""COMPUTED_VALUE"""),-0.4829462789788566)</f>
        <v>-0.482946279</v>
      </c>
      <c r="AA164" s="11">
        <f>IFERROR(__xludf.DUMMYFUNCTION("""COMPUTED_VALUE"""),0.3096470256034866)</f>
        <v>0.3096470256</v>
      </c>
      <c r="AB164" t="str">
        <f>IFERROR(__xludf.DUMMYFUNCTION("SUBSTITUTE(REGEXREPLACE(REGEXREPLACE(REGEXREPLACE(REGEXREPLACE(REGEXREPLACE(REGEXREPLACE(F164,"","",),IF(Projections!$T$17="""",""PG"",),),IF(Projections!$U$17="""",""SG"",),),IF(Projections!$V$17="""",""SF"",),),IF(Projections!$W$17="""",""PF"",),),IF(Pr"&amp;"ojections!$X$17="""",""C"",),),""/"","""")"),"SFPF")</f>
        <v>SFPF</v>
      </c>
    </row>
    <row r="165">
      <c r="B165">
        <f>IFERROR(__xludf.DUMMYFUNCTION("""COMPUTED_VALUE"""),160.0)</f>
        <v>160</v>
      </c>
      <c r="C165">
        <f>IFERROR(__xludf.DUMMYFUNCTION("""COMPUTED_VALUE"""),144.2)</f>
        <v>144.2</v>
      </c>
      <c r="D165" t="str">
        <f>IFERROR(__xludf.DUMMYFUNCTION("""COMPUTED_VALUE"""),"Kevin Porter Jr.")</f>
        <v>Kevin Porter Jr.</v>
      </c>
      <c r="E165">
        <f>IFERROR(__xludf.DUMMYFUNCTION("""COMPUTED_VALUE"""),71.0)</f>
        <v>71</v>
      </c>
      <c r="F165" t="str">
        <f>IFERROR(__xludf.DUMMYFUNCTION("""COMPUTED_VALUE"""),"PG")</f>
        <v>PG</v>
      </c>
      <c r="G165" s="11">
        <f>IFERROR(__xludf.DUMMYFUNCTION("""COMPUTED_VALUE"""),-2.1364223282698243)</f>
        <v>-2.136422328</v>
      </c>
      <c r="H165" s="11">
        <f>IFERROR(__xludf.DUMMYFUNCTION("""COMPUTED_VALUE"""),-2.1364223282698243)</f>
        <v>-2.136422328</v>
      </c>
      <c r="I165" s="11">
        <f>IFERROR(__xludf.DUMMYFUNCTION("""COMPUTED_VALUE"""),0.0)</f>
        <v>0</v>
      </c>
      <c r="J165" s="11">
        <f>IFERROR(__xludf.DUMMYFUNCTION("""COMPUTED_VALUE"""),14.2)</f>
        <v>14.2</v>
      </c>
      <c r="K165" s="11">
        <f>IFERROR(__xludf.DUMMYFUNCTION("""COMPUTED_VALUE"""),1.8)</f>
        <v>1.8</v>
      </c>
      <c r="L165" s="11">
        <f>IFERROR(__xludf.DUMMYFUNCTION("""COMPUTED_VALUE"""),3.9)</f>
        <v>3.9</v>
      </c>
      <c r="M165" s="11">
        <f>IFERROR(__xludf.DUMMYFUNCTION("""COMPUTED_VALUE"""),4.3)</f>
        <v>4.3</v>
      </c>
      <c r="N165" s="11">
        <f>IFERROR(__xludf.DUMMYFUNCTION("""COMPUTED_VALUE"""),1.0)</f>
        <v>1</v>
      </c>
      <c r="O165" s="11">
        <f>IFERROR(__xludf.DUMMYFUNCTION("""COMPUTED_VALUE"""),0.2)</f>
        <v>0.2</v>
      </c>
      <c r="P165" s="15">
        <f>IFERROR(__xludf.DUMMYFUNCTION("""COMPUTED_VALUE"""),0.442)</f>
        <v>0.442</v>
      </c>
      <c r="Q165" s="15">
        <f>IFERROR(__xludf.DUMMYFUNCTION("""COMPUTED_VALUE"""),0.785)</f>
        <v>0.785</v>
      </c>
      <c r="R165" s="11">
        <f>IFERROR(__xludf.DUMMYFUNCTION("""COMPUTED_VALUE"""),2.4)</f>
        <v>2.4</v>
      </c>
      <c r="S165" s="11">
        <f>IFERROR(__xludf.DUMMYFUNCTION("""COMPUTED_VALUE"""),-0.5901567422833894)</f>
        <v>-0.5901567423</v>
      </c>
      <c r="T165" s="11">
        <f>IFERROR(__xludf.DUMMYFUNCTION("""COMPUTED_VALUE"""),0.05075080149290546)</f>
        <v>0.05075080149</v>
      </c>
      <c r="U165" s="11">
        <f>IFERROR(__xludf.DUMMYFUNCTION("""COMPUTED_VALUE"""),-0.8507706320151226)</f>
        <v>-0.850770632</v>
      </c>
      <c r="V165" s="11">
        <f>IFERROR(__xludf.DUMMYFUNCTION("""COMPUTED_VALUE"""),0.1659534684249879)</f>
        <v>0.1659534684</v>
      </c>
      <c r="W165" s="11">
        <f>IFERROR(__xludf.DUMMYFUNCTION("""COMPUTED_VALUE"""),0.07913626764067216)</f>
        <v>0.07913626764</v>
      </c>
      <c r="X165" s="11">
        <f>IFERROR(__xludf.DUMMYFUNCTION("""COMPUTED_VALUE"""),-0.9723047469492465)</f>
        <v>-0.9723047469</v>
      </c>
      <c r="Y165" s="11">
        <f>IFERROR(__xludf.DUMMYFUNCTION("""COMPUTED_VALUE"""),-0.7139557912769056)</f>
        <v>-0.7139557913</v>
      </c>
      <c r="Z165" s="11">
        <f>IFERROR(__xludf.DUMMYFUNCTION("""COMPUTED_VALUE"""),-0.11586066981271188)</f>
        <v>-0.1158606698</v>
      </c>
      <c r="AA165" s="11">
        <f>IFERROR(__xludf.DUMMYFUNCTION("""COMPUTED_VALUE"""),-0.1615190304402598)</f>
        <v>-0.1615190304</v>
      </c>
      <c r="AB165" t="str">
        <f>IFERROR(__xludf.DUMMYFUNCTION("SUBSTITUTE(REGEXREPLACE(REGEXREPLACE(REGEXREPLACE(REGEXREPLACE(REGEXREPLACE(REGEXREPLACE(F165,"","",),IF(Projections!$T$17="""",""PG"",),),IF(Projections!$U$17="""",""SG"",),),IF(Projections!$V$17="""",""SF"",),),IF(Projections!$W$17="""",""PF"",),),IF(Pr"&amp;"ojections!$X$17="""",""C"",),),""/"","""")"),"PG")</f>
        <v>PG</v>
      </c>
    </row>
    <row r="166">
      <c r="B166">
        <f>IFERROR(__xludf.DUMMYFUNCTION("""COMPUTED_VALUE"""),161.0)</f>
        <v>161</v>
      </c>
      <c r="C166">
        <f>IFERROR(__xludf.DUMMYFUNCTION("""COMPUTED_VALUE"""),137.4)</f>
        <v>137.4</v>
      </c>
      <c r="D166" t="str">
        <f>IFERROR(__xludf.DUMMYFUNCTION("""COMPUTED_VALUE"""),"Aaron Nesmith")</f>
        <v>Aaron Nesmith</v>
      </c>
      <c r="E166">
        <f>IFERROR(__xludf.DUMMYFUNCTION("""COMPUTED_VALUE"""),59.0)</f>
        <v>59</v>
      </c>
      <c r="F166" t="str">
        <f>IFERROR(__xludf.DUMMYFUNCTION("""COMPUTED_VALUE"""),"SF,PF")</f>
        <v>SF,PF</v>
      </c>
      <c r="G166" s="11">
        <f>IFERROR(__xludf.DUMMYFUNCTION("""COMPUTED_VALUE"""),-2.150910474374396)</f>
        <v>-2.150910474</v>
      </c>
      <c r="H166" s="11">
        <f>IFERROR(__xludf.DUMMYFUNCTION("""COMPUTED_VALUE"""),-2.150910474374396)</f>
        <v>-2.150910474</v>
      </c>
      <c r="I166" s="11">
        <f>IFERROR(__xludf.DUMMYFUNCTION("""COMPUTED_VALUE"""),0.0)</f>
        <v>0</v>
      </c>
      <c r="J166" s="11">
        <f>IFERROR(__xludf.DUMMYFUNCTION("""COMPUTED_VALUE"""),11.9)</f>
        <v>11.9</v>
      </c>
      <c r="K166" s="11">
        <f>IFERROR(__xludf.DUMMYFUNCTION("""COMPUTED_VALUE"""),1.9)</f>
        <v>1.9</v>
      </c>
      <c r="L166" s="11">
        <f>IFERROR(__xludf.DUMMYFUNCTION("""COMPUTED_VALUE"""),4.1)</f>
        <v>4.1</v>
      </c>
      <c r="M166" s="11">
        <f>IFERROR(__xludf.DUMMYFUNCTION("""COMPUTED_VALUE"""),1.5)</f>
        <v>1.5</v>
      </c>
      <c r="N166" s="11">
        <f>IFERROR(__xludf.DUMMYFUNCTION("""COMPUTED_VALUE"""),0.9)</f>
        <v>0.9</v>
      </c>
      <c r="O166" s="11">
        <f>IFERROR(__xludf.DUMMYFUNCTION("""COMPUTED_VALUE"""),0.6)</f>
        <v>0.6</v>
      </c>
      <c r="P166" s="15">
        <f>IFERROR(__xludf.DUMMYFUNCTION("""COMPUTED_VALUE"""),0.477)</f>
        <v>0.477</v>
      </c>
      <c r="Q166" s="15">
        <f>IFERROR(__xludf.DUMMYFUNCTION("""COMPUTED_VALUE"""),0.796)</f>
        <v>0.796</v>
      </c>
      <c r="R166" s="11">
        <f>IFERROR(__xludf.DUMMYFUNCTION("""COMPUTED_VALUE"""),1.0)</f>
        <v>1</v>
      </c>
      <c r="S166" s="11">
        <f>IFERROR(__xludf.DUMMYFUNCTION("""COMPUTED_VALUE"""),-1.0056471874385127)</f>
        <v>-1.005647187</v>
      </c>
      <c r="T166" s="11">
        <f>IFERROR(__xludf.DUMMYFUNCTION("""COMPUTED_VALUE"""),0.15027510052444681)</f>
        <v>0.1502751005</v>
      </c>
      <c r="U166" s="11">
        <f>IFERROR(__xludf.DUMMYFUNCTION("""COMPUTED_VALUE"""),-0.7723178897651785)</f>
        <v>-0.7723178898</v>
      </c>
      <c r="V166" s="11">
        <f>IFERROR(__xludf.DUMMYFUNCTION("""COMPUTED_VALUE"""),-1.1097761033947346)</f>
        <v>-1.109776103</v>
      </c>
      <c r="W166" s="11">
        <f>IFERROR(__xludf.DUMMYFUNCTION("""COMPUTED_VALUE"""),-0.25279641051880714)</f>
        <v>-0.2527964105</v>
      </c>
      <c r="X166" s="11">
        <f>IFERROR(__xludf.DUMMYFUNCTION("""COMPUTED_VALUE"""),-0.25872993873862127)</f>
        <v>-0.2587299387</v>
      </c>
      <c r="Y166" s="11">
        <f>IFERROR(__xludf.DUMMYFUNCTION("""COMPUTED_VALUE"""),-0.20504272415861202)</f>
        <v>-0.2050427242</v>
      </c>
      <c r="Z166" s="11">
        <f>IFERROR(__xludf.DUMMYFUNCTION("""COMPUTED_VALUE"""),0.007692617497335086)</f>
        <v>0.007692617497</v>
      </c>
      <c r="AA166" s="11">
        <f>IFERROR(__xludf.DUMMYFUNCTION("""COMPUTED_VALUE"""),0.18565595822355335)</f>
        <v>0.1856559582</v>
      </c>
      <c r="AB166" t="str">
        <f>IFERROR(__xludf.DUMMYFUNCTION("SUBSTITUTE(REGEXREPLACE(REGEXREPLACE(REGEXREPLACE(REGEXREPLACE(REGEXREPLACE(REGEXREPLACE(F166,"","",),IF(Projections!$T$17="""",""PG"",),),IF(Projections!$U$17="""",""SG"",),),IF(Projections!$V$17="""",""SF"",),),IF(Projections!$W$17="""",""PF"",),),IF(Pr"&amp;"ojections!$X$17="""",""C"",),),""/"","""")"),"SFPF")</f>
        <v>SFPF</v>
      </c>
    </row>
    <row r="167">
      <c r="B167">
        <f>IFERROR(__xludf.DUMMYFUNCTION("""COMPUTED_VALUE"""),162.0)</f>
        <v>162</v>
      </c>
      <c r="C167">
        <f>IFERROR(__xludf.DUMMYFUNCTION("""COMPUTED_VALUE"""),140.3)</f>
        <v>140.3</v>
      </c>
      <c r="D167" t="str">
        <f>IFERROR(__xludf.DUMMYFUNCTION("""COMPUTED_VALUE"""),"Kelly Olynyk")</f>
        <v>Kelly Olynyk</v>
      </c>
      <c r="E167">
        <f>IFERROR(__xludf.DUMMYFUNCTION("""COMPUTED_VALUE"""),71.0)</f>
        <v>71</v>
      </c>
      <c r="F167" t="str">
        <f>IFERROR(__xludf.DUMMYFUNCTION("""COMPUTED_VALUE"""),"C")</f>
        <v>C</v>
      </c>
      <c r="G167" s="11">
        <f>IFERROR(__xludf.DUMMYFUNCTION("""COMPUTED_VALUE"""),-2.1989120664652635)</f>
        <v>-2.198912066</v>
      </c>
      <c r="H167" s="11">
        <f>IFERROR(__xludf.DUMMYFUNCTION("""COMPUTED_VALUE"""),-2.1989120664652635)</f>
        <v>-2.198912066</v>
      </c>
      <c r="I167" s="11">
        <f>IFERROR(__xludf.DUMMYFUNCTION("""COMPUTED_VALUE"""),0.0)</f>
        <v>0</v>
      </c>
      <c r="J167" s="11">
        <f>IFERROR(__xludf.DUMMYFUNCTION("""COMPUTED_VALUE"""),9.6)</f>
        <v>9.6</v>
      </c>
      <c r="K167" s="11">
        <f>IFERROR(__xludf.DUMMYFUNCTION("""COMPUTED_VALUE"""),0.9)</f>
        <v>0.9</v>
      </c>
      <c r="L167" s="11">
        <f>IFERROR(__xludf.DUMMYFUNCTION("""COMPUTED_VALUE"""),5.0)</f>
        <v>5</v>
      </c>
      <c r="M167" s="11">
        <f>IFERROR(__xludf.DUMMYFUNCTION("""COMPUTED_VALUE"""),3.4)</f>
        <v>3.4</v>
      </c>
      <c r="N167" s="11">
        <f>IFERROR(__xludf.DUMMYFUNCTION("""COMPUTED_VALUE"""),0.8)</f>
        <v>0.8</v>
      </c>
      <c r="O167" s="11">
        <f>IFERROR(__xludf.DUMMYFUNCTION("""COMPUTED_VALUE"""),0.4)</f>
        <v>0.4</v>
      </c>
      <c r="P167" s="15">
        <f>IFERROR(__xludf.DUMMYFUNCTION("""COMPUTED_VALUE"""),0.526)</f>
        <v>0.526</v>
      </c>
      <c r="Q167" s="15">
        <f>IFERROR(__xludf.DUMMYFUNCTION("""COMPUTED_VALUE"""),0.834)</f>
        <v>0.834</v>
      </c>
      <c r="R167" s="11">
        <f>IFERROR(__xludf.DUMMYFUNCTION("""COMPUTED_VALUE"""),1.9)</f>
        <v>1.9</v>
      </c>
      <c r="S167" s="11">
        <f>IFERROR(__xludf.DUMMYFUNCTION("""COMPUTED_VALUE"""),-1.4211376325936362)</f>
        <v>-1.421137633</v>
      </c>
      <c r="T167" s="11">
        <f>IFERROR(__xludf.DUMMYFUNCTION("""COMPUTED_VALUE"""),-0.844967889790968)</f>
        <v>-0.8449678898</v>
      </c>
      <c r="U167" s="11">
        <f>IFERROR(__xludf.DUMMYFUNCTION("""COMPUTED_VALUE"""),-0.41928054964042916)</f>
        <v>-0.4192805496</v>
      </c>
      <c r="V167" s="11">
        <f>IFERROR(__xludf.DUMMYFUNCTION("""COMPUTED_VALUE"""),-0.2441024653742086)</f>
        <v>-0.2441024654</v>
      </c>
      <c r="W167" s="11">
        <f>IFERROR(__xludf.DUMMYFUNCTION("""COMPUTED_VALUE"""),-0.5847290886782864)</f>
        <v>-0.5847290887</v>
      </c>
      <c r="X167" s="11">
        <f>IFERROR(__xludf.DUMMYFUNCTION("""COMPUTED_VALUE"""),-0.6155173428439339)</f>
        <v>-0.6155173428</v>
      </c>
      <c r="Y167" s="11">
        <f>IFERROR(__xludf.DUMMYFUNCTION("""COMPUTED_VALUE"""),0.2150047319283393)</f>
        <v>0.2150047319</v>
      </c>
      <c r="Z167" s="11">
        <f>IFERROR(__xludf.DUMMYFUNCTION("""COMPUTED_VALUE"""),0.3322085009945508)</f>
        <v>0.332208501</v>
      </c>
      <c r="AA167" s="11">
        <f>IFERROR(__xludf.DUMMYFUNCTION("""COMPUTED_VALUE"""),-0.037527963060326526)</f>
        <v>-0.03752796306</v>
      </c>
      <c r="AB167" t="str">
        <f>IFERROR(__xludf.DUMMYFUNCTION("SUBSTITUTE(REGEXREPLACE(REGEXREPLACE(REGEXREPLACE(REGEXREPLACE(REGEXREPLACE(REGEXREPLACE(F167,"","",),IF(Projections!$T$17="""",""PG"",),),IF(Projections!$U$17="""",""SG"",),),IF(Projections!$V$17="""",""SF"",),),IF(Projections!$W$17="""",""PF"",),),IF(Pr"&amp;"ojections!$X$17="""",""C"",),),""/"","""")"),"C")</f>
        <v>C</v>
      </c>
    </row>
    <row r="168">
      <c r="B168">
        <f>IFERROR(__xludf.DUMMYFUNCTION("""COMPUTED_VALUE"""),163.0)</f>
        <v>163</v>
      </c>
      <c r="C168">
        <f>IFERROR(__xludf.DUMMYFUNCTION("""COMPUTED_VALUE"""),141.5)</f>
        <v>141.5</v>
      </c>
      <c r="D168" t="str">
        <f>IFERROR(__xludf.DUMMYFUNCTION("""COMPUTED_VALUE"""),"Tre Jones")</f>
        <v>Tre Jones</v>
      </c>
      <c r="E168">
        <f>IFERROR(__xludf.DUMMYFUNCTION("""COMPUTED_VALUE"""),66.0)</f>
        <v>66</v>
      </c>
      <c r="F168" t="str">
        <f>IFERROR(__xludf.DUMMYFUNCTION("""COMPUTED_VALUE"""),"PG")</f>
        <v>PG</v>
      </c>
      <c r="G168" s="11">
        <f>IFERROR(__xludf.DUMMYFUNCTION("""COMPUTED_VALUE"""),-2.211561082781154)</f>
        <v>-2.211561083</v>
      </c>
      <c r="H168" s="11">
        <f>IFERROR(__xludf.DUMMYFUNCTION("""COMPUTED_VALUE"""),-2.211561082781154)</f>
        <v>-2.211561083</v>
      </c>
      <c r="I168" s="11">
        <f>IFERROR(__xludf.DUMMYFUNCTION("""COMPUTED_VALUE"""),0.0)</f>
        <v>0</v>
      </c>
      <c r="J168" s="11">
        <f>IFERROR(__xludf.DUMMYFUNCTION("""COMPUTED_VALUE"""),9.8)</f>
        <v>9.8</v>
      </c>
      <c r="K168" s="11">
        <f>IFERROR(__xludf.DUMMYFUNCTION("""COMPUTED_VALUE"""),0.7)</f>
        <v>0.7</v>
      </c>
      <c r="L168" s="11">
        <f>IFERROR(__xludf.DUMMYFUNCTION("""COMPUTED_VALUE"""),3.2)</f>
        <v>3.2</v>
      </c>
      <c r="M168" s="11">
        <f>IFERROR(__xludf.DUMMYFUNCTION("""COMPUTED_VALUE"""),5.5)</f>
        <v>5.5</v>
      </c>
      <c r="N168" s="11">
        <f>IFERROR(__xludf.DUMMYFUNCTION("""COMPUTED_VALUE"""),1.0)</f>
        <v>1</v>
      </c>
      <c r="O168" s="11">
        <f>IFERROR(__xludf.DUMMYFUNCTION("""COMPUTED_VALUE"""),0.1)</f>
        <v>0.1</v>
      </c>
      <c r="P168" s="15">
        <f>IFERROR(__xludf.DUMMYFUNCTION("""COMPUTED_VALUE"""),0.479)</f>
        <v>0.479</v>
      </c>
      <c r="Q168" s="15">
        <f>IFERROR(__xludf.DUMMYFUNCTION("""COMPUTED_VALUE"""),0.861)</f>
        <v>0.861</v>
      </c>
      <c r="R168" s="11">
        <f>IFERROR(__xludf.DUMMYFUNCTION("""COMPUTED_VALUE"""),1.4)</f>
        <v>1.4</v>
      </c>
      <c r="S168" s="11">
        <f>IFERROR(__xludf.DUMMYFUNCTION("""COMPUTED_VALUE"""),-1.3850080286671036)</f>
        <v>-1.385008029</v>
      </c>
      <c r="T168" s="11">
        <f>IFERROR(__xludf.DUMMYFUNCTION("""COMPUTED_VALUE"""),-1.0440164878540512)</f>
        <v>-1.044016488</v>
      </c>
      <c r="U168" s="11">
        <f>IFERROR(__xludf.DUMMYFUNCTION("""COMPUTED_VALUE"""),-1.1253552298899274)</f>
        <v>-1.12535523</v>
      </c>
      <c r="V168" s="11">
        <f>IFERROR(__xludf.DUMMYFUNCTION("""COMPUTED_VALUE"""),0.7126947134905833)</f>
        <v>0.7126947135</v>
      </c>
      <c r="W168" s="11">
        <f>IFERROR(__xludf.DUMMYFUNCTION("""COMPUTED_VALUE"""),0.07913626764067216)</f>
        <v>0.07913626764</v>
      </c>
      <c r="X168" s="11">
        <f>IFERROR(__xludf.DUMMYFUNCTION("""COMPUTED_VALUE"""),-1.150698449001903)</f>
        <v>-1.150698449</v>
      </c>
      <c r="Y168" s="11">
        <f>IFERROR(__xludf.DUMMYFUNCTION("""COMPUTED_VALUE"""),-0.167650461882458)</f>
        <v>-0.1676504619</v>
      </c>
      <c r="Z168" s="11">
        <f>IFERROR(__xludf.DUMMYFUNCTION("""COMPUTED_VALUE"""),0.39786546039632326)</f>
        <v>0.3978654604</v>
      </c>
      <c r="AA168" s="11">
        <f>IFERROR(__xludf.DUMMYFUNCTION("""COMPUTED_VALUE"""),0.08646310431960676)</f>
        <v>0.08646310432</v>
      </c>
      <c r="AB168" t="str">
        <f>IFERROR(__xludf.DUMMYFUNCTION("SUBSTITUTE(REGEXREPLACE(REGEXREPLACE(REGEXREPLACE(REGEXREPLACE(REGEXREPLACE(REGEXREPLACE(F168,"","",),IF(Projections!$T$17="""",""PG"",),),IF(Projections!$U$17="""",""SG"",),),IF(Projections!$V$17="""",""SF"",),),IF(Projections!$W$17="""",""PF"",),),IF(Pr"&amp;"ojections!$X$17="""",""C"",),),""/"","""")"),"PG")</f>
        <v>PG</v>
      </c>
    </row>
    <row r="169">
      <c r="B169">
        <f>IFERROR(__xludf.DUMMYFUNCTION("""COMPUTED_VALUE"""),164.0)</f>
        <v>164</v>
      </c>
      <c r="C169">
        <f>IFERROR(__xludf.DUMMYFUNCTION("""COMPUTED_VALUE"""),91.0)</f>
        <v>91</v>
      </c>
      <c r="D169" t="str">
        <f>IFERROR(__xludf.DUMMYFUNCTION("""COMPUTED_VALUE"""),"Jonathan Kuminga")</f>
        <v>Jonathan Kuminga</v>
      </c>
      <c r="E169">
        <f>IFERROR(__xludf.DUMMYFUNCTION("""COMPUTED_VALUE"""),75.0)</f>
        <v>75</v>
      </c>
      <c r="F169" t="str">
        <f>IFERROR(__xludf.DUMMYFUNCTION("""COMPUTED_VALUE"""),"PF")</f>
        <v>PF</v>
      </c>
      <c r="G169" s="11">
        <f>IFERROR(__xludf.DUMMYFUNCTION("""COMPUTED_VALUE"""),-2.214360815088322)</f>
        <v>-2.214360815</v>
      </c>
      <c r="H169" s="11">
        <f>IFERROR(__xludf.DUMMYFUNCTION("""COMPUTED_VALUE"""),-2.214360815088322)</f>
        <v>-2.214360815</v>
      </c>
      <c r="I169" s="11">
        <f>IFERROR(__xludf.DUMMYFUNCTION("""COMPUTED_VALUE"""),0.0)</f>
        <v>0</v>
      </c>
      <c r="J169" s="11">
        <f>IFERROR(__xludf.DUMMYFUNCTION("""COMPUTED_VALUE"""),16.2)</f>
        <v>16.2</v>
      </c>
      <c r="K169" s="11">
        <f>IFERROR(__xludf.DUMMYFUNCTION("""COMPUTED_VALUE"""),0.9)</f>
        <v>0.9</v>
      </c>
      <c r="L169" s="11">
        <f>IFERROR(__xludf.DUMMYFUNCTION("""COMPUTED_VALUE"""),5.1)</f>
        <v>5.1</v>
      </c>
      <c r="M169" s="11">
        <f>IFERROR(__xludf.DUMMYFUNCTION("""COMPUTED_VALUE"""),2.5)</f>
        <v>2.5</v>
      </c>
      <c r="N169" s="11">
        <f>IFERROR(__xludf.DUMMYFUNCTION("""COMPUTED_VALUE"""),0.8)</f>
        <v>0.8</v>
      </c>
      <c r="O169" s="11">
        <f>IFERROR(__xludf.DUMMYFUNCTION("""COMPUTED_VALUE"""),0.6)</f>
        <v>0.6</v>
      </c>
      <c r="P169" s="15">
        <f>IFERROR(__xludf.DUMMYFUNCTION("""COMPUTED_VALUE"""),0.527)</f>
        <v>0.527</v>
      </c>
      <c r="Q169" s="15">
        <f>IFERROR(__xludf.DUMMYFUNCTION("""COMPUTED_VALUE"""),0.759)</f>
        <v>0.759</v>
      </c>
      <c r="R169" s="11">
        <f>IFERROR(__xludf.DUMMYFUNCTION("""COMPUTED_VALUE"""),1.9)</f>
        <v>1.9</v>
      </c>
      <c r="S169" s="11">
        <f>IFERROR(__xludf.DUMMYFUNCTION("""COMPUTED_VALUE"""),-0.22886070301806472)</f>
        <v>-0.228860703</v>
      </c>
      <c r="T169" s="11">
        <f>IFERROR(__xludf.DUMMYFUNCTION("""COMPUTED_VALUE"""),-0.844967889790968)</f>
        <v>-0.8449678898</v>
      </c>
      <c r="U169" s="11">
        <f>IFERROR(__xludf.DUMMYFUNCTION("""COMPUTED_VALUE"""),-0.38005417851545714)</f>
        <v>-0.3800541785</v>
      </c>
      <c r="V169" s="11">
        <f>IFERROR(__xludf.DUMMYFUNCTION("""COMPUTED_VALUE"""),-0.6541583991734051)</f>
        <v>-0.6541583992</v>
      </c>
      <c r="W169" s="11">
        <f>IFERROR(__xludf.DUMMYFUNCTION("""COMPUTED_VALUE"""),-0.5847290886782864)</f>
        <v>-0.5847290887</v>
      </c>
      <c r="X169" s="11">
        <f>IFERROR(__xludf.DUMMYFUNCTION("""COMPUTED_VALUE"""),-0.25872993873862127)</f>
        <v>-0.2587299387</v>
      </c>
      <c r="Y169" s="11">
        <f>IFERROR(__xludf.DUMMYFUNCTION("""COMPUTED_VALUE"""),0.41300691284743285)</f>
        <v>0.4130069128</v>
      </c>
      <c r="Z169" s="11">
        <f>IFERROR(__xludf.DUMMYFUNCTION("""COMPUTED_VALUE"""),-0.4833074567515939)</f>
        <v>-0.4833074568</v>
      </c>
      <c r="AA169" s="11">
        <f>IFERROR(__xludf.DUMMYFUNCTION("""COMPUTED_VALUE"""),-0.037527963060326526)</f>
        <v>-0.03752796306</v>
      </c>
      <c r="AB169" t="str">
        <f>IFERROR(__xludf.DUMMYFUNCTION("SUBSTITUTE(REGEXREPLACE(REGEXREPLACE(REGEXREPLACE(REGEXREPLACE(REGEXREPLACE(REGEXREPLACE(F169,"","",),IF(Projections!$T$17="""",""PG"",),),IF(Projections!$U$17="""",""SG"",),),IF(Projections!$V$17="""",""SF"",),),IF(Projections!$W$17="""",""PF"",),),IF(Pr"&amp;"ojections!$X$17="""",""C"",),),""/"","""")"),"PF")</f>
        <v>PF</v>
      </c>
    </row>
    <row r="170">
      <c r="B170">
        <f>IFERROR(__xludf.DUMMYFUNCTION("""COMPUTED_VALUE"""),165.0)</f>
        <v>165</v>
      </c>
      <c r="C170">
        <f>IFERROR(__xludf.DUMMYFUNCTION("""COMPUTED_VALUE"""),149.5)</f>
        <v>149.5</v>
      </c>
      <c r="D170" t="str">
        <f>IFERROR(__xludf.DUMMYFUNCTION("""COMPUTED_VALUE"""),"Bruce Brown")</f>
        <v>Bruce Brown</v>
      </c>
      <c r="E170">
        <f>IFERROR(__xludf.DUMMYFUNCTION("""COMPUTED_VALUE"""),75.0)</f>
        <v>75</v>
      </c>
      <c r="F170" t="str">
        <f>IFERROR(__xludf.DUMMYFUNCTION("""COMPUTED_VALUE"""),"SG,SF")</f>
        <v>SG,SF</v>
      </c>
      <c r="G170" s="11">
        <f>IFERROR(__xludf.DUMMYFUNCTION("""COMPUTED_VALUE"""),-2.27863506487852)</f>
        <v>-2.278635065</v>
      </c>
      <c r="H170" s="11">
        <f>IFERROR(__xludf.DUMMYFUNCTION("""COMPUTED_VALUE"""),-2.27863506487852)</f>
        <v>-2.278635065</v>
      </c>
      <c r="I170" s="11">
        <f>IFERROR(__xludf.DUMMYFUNCTION("""COMPUTED_VALUE"""),0.0)</f>
        <v>0</v>
      </c>
      <c r="J170" s="11">
        <f>IFERROR(__xludf.DUMMYFUNCTION("""COMPUTED_VALUE"""),11.5)</f>
        <v>11.5</v>
      </c>
      <c r="K170" s="11">
        <f>IFERROR(__xludf.DUMMYFUNCTION("""COMPUTED_VALUE"""),1.0)</f>
        <v>1</v>
      </c>
      <c r="L170" s="11">
        <f>IFERROR(__xludf.DUMMYFUNCTION("""COMPUTED_VALUE"""),4.3)</f>
        <v>4.3</v>
      </c>
      <c r="M170" s="11">
        <f>IFERROR(__xludf.DUMMYFUNCTION("""COMPUTED_VALUE"""),3.2)</f>
        <v>3.2</v>
      </c>
      <c r="N170" s="11">
        <f>IFERROR(__xludf.DUMMYFUNCTION("""COMPUTED_VALUE"""),1.0)</f>
        <v>1</v>
      </c>
      <c r="O170" s="11">
        <f>IFERROR(__xludf.DUMMYFUNCTION("""COMPUTED_VALUE"""),0.5)</f>
        <v>0.5</v>
      </c>
      <c r="P170" s="15">
        <f>IFERROR(__xludf.DUMMYFUNCTION("""COMPUTED_VALUE"""),0.481)</f>
        <v>0.481</v>
      </c>
      <c r="Q170" s="15">
        <f>IFERROR(__xludf.DUMMYFUNCTION("""COMPUTED_VALUE"""),0.79)</f>
        <v>0.79</v>
      </c>
      <c r="R170" s="11">
        <f>IFERROR(__xludf.DUMMYFUNCTION("""COMPUTED_VALUE"""),1.5)</f>
        <v>1.5</v>
      </c>
      <c r="S170" s="11">
        <f>IFERROR(__xludf.DUMMYFUNCTION("""COMPUTED_VALUE"""),-1.0779063952915777)</f>
        <v>-1.077906395</v>
      </c>
      <c r="T170" s="11">
        <f>IFERROR(__xludf.DUMMYFUNCTION("""COMPUTED_VALUE"""),-0.7454435907594266)</f>
        <v>-0.7454435908</v>
      </c>
      <c r="U170" s="11">
        <f>IFERROR(__xludf.DUMMYFUNCTION("""COMPUTED_VALUE"""),-0.6938651475152341)</f>
        <v>-0.6938651475</v>
      </c>
      <c r="V170" s="11">
        <f>IFERROR(__xludf.DUMMYFUNCTION("""COMPUTED_VALUE"""),-0.33522600621847437)</f>
        <v>-0.3352260062</v>
      </c>
      <c r="W170" s="11">
        <f>IFERROR(__xludf.DUMMYFUNCTION("""COMPUTED_VALUE"""),0.07913626764067216)</f>
        <v>0.07913626764</v>
      </c>
      <c r="X170" s="11">
        <f>IFERROR(__xludf.DUMMYFUNCTION("""COMPUTED_VALUE"""),-0.4371236407912776)</f>
        <v>-0.4371236408</v>
      </c>
      <c r="Y170" s="11">
        <f>IFERROR(__xludf.DUMMYFUNCTION("""COMPUTED_VALUE"""),-0.17123321434564984)</f>
        <v>-0.1712332143</v>
      </c>
      <c r="Z170" s="11">
        <f>IFERROR(__xludf.DUMMYFUNCTION("""COMPUTED_VALUE"""),-0.03654462373275041)</f>
        <v>-0.03654462373</v>
      </c>
      <c r="AA170" s="11">
        <f>IFERROR(__xludf.DUMMYFUNCTION("""COMPUTED_VALUE"""),0.06166489084362008)</f>
        <v>0.06166489084</v>
      </c>
      <c r="AB170" t="str">
        <f>IFERROR(__xludf.DUMMYFUNCTION("SUBSTITUTE(REGEXREPLACE(REGEXREPLACE(REGEXREPLACE(REGEXREPLACE(REGEXREPLACE(REGEXREPLACE(F170,"","",),IF(Projections!$T$17="""",""PG"",),),IF(Projections!$U$17="""",""SG"",),),IF(Projections!$V$17="""",""SF"",),),IF(Projections!$W$17="""",""PF"",),),IF(Pr"&amp;"ojections!$X$17="""",""C"",),),""/"","""")"),"SGSF")</f>
        <v>SGSF</v>
      </c>
    </row>
    <row r="171">
      <c r="B171">
        <f>IFERROR(__xludf.DUMMYFUNCTION("""COMPUTED_VALUE"""),166.0)</f>
        <v>166</v>
      </c>
      <c r="C171">
        <f>IFERROR(__xludf.DUMMYFUNCTION("""COMPUTED_VALUE"""),144.9)</f>
        <v>144.9</v>
      </c>
      <c r="D171" t="str">
        <f>IFERROR(__xludf.DUMMYFUNCTION("""COMPUTED_VALUE"""),"Terance Mann")</f>
        <v>Terance Mann</v>
      </c>
      <c r="E171">
        <f>IFERROR(__xludf.DUMMYFUNCTION("""COMPUTED_VALUE"""),71.0)</f>
        <v>71</v>
      </c>
      <c r="F171" t="str">
        <f>IFERROR(__xludf.DUMMYFUNCTION("""COMPUTED_VALUE"""),"SG,SF")</f>
        <v>SG,SF</v>
      </c>
      <c r="G171" s="11">
        <f>IFERROR(__xludf.DUMMYFUNCTION("""COMPUTED_VALUE"""),-2.287293705269625)</f>
        <v>-2.287293705</v>
      </c>
      <c r="H171" s="11">
        <f>IFERROR(__xludf.DUMMYFUNCTION("""COMPUTED_VALUE"""),-2.287293705269625)</f>
        <v>-2.287293705</v>
      </c>
      <c r="I171" s="11">
        <f>IFERROR(__xludf.DUMMYFUNCTION("""COMPUTED_VALUE"""),0.0)</f>
        <v>0</v>
      </c>
      <c r="J171" s="11">
        <f>IFERROR(__xludf.DUMMYFUNCTION("""COMPUTED_VALUE"""),12.9)</f>
        <v>12.9</v>
      </c>
      <c r="K171" s="11">
        <f>IFERROR(__xludf.DUMMYFUNCTION("""COMPUTED_VALUE"""),1.3)</f>
        <v>1.3</v>
      </c>
      <c r="L171" s="11">
        <f>IFERROR(__xludf.DUMMYFUNCTION("""COMPUTED_VALUE"""),4.8)</f>
        <v>4.8</v>
      </c>
      <c r="M171" s="11">
        <f>IFERROR(__xludf.DUMMYFUNCTION("""COMPUTED_VALUE"""),2.7)</f>
        <v>2.7</v>
      </c>
      <c r="N171" s="11">
        <f>IFERROR(__xludf.DUMMYFUNCTION("""COMPUTED_VALUE"""),0.8)</f>
        <v>0.8</v>
      </c>
      <c r="O171" s="11">
        <f>IFERROR(__xludf.DUMMYFUNCTION("""COMPUTED_VALUE"""),0.4)</f>
        <v>0.4</v>
      </c>
      <c r="P171" s="15">
        <f>IFERROR(__xludf.DUMMYFUNCTION("""COMPUTED_VALUE"""),0.513)</f>
        <v>0.513</v>
      </c>
      <c r="Q171" s="15">
        <f>IFERROR(__xludf.DUMMYFUNCTION("""COMPUTED_VALUE"""),0.806)</f>
        <v>0.806</v>
      </c>
      <c r="R171" s="11">
        <f>IFERROR(__xludf.DUMMYFUNCTION("""COMPUTED_VALUE"""),1.1)</f>
        <v>1.1</v>
      </c>
      <c r="S171" s="11">
        <f>IFERROR(__xludf.DUMMYFUNCTION("""COMPUTED_VALUE"""),-0.8249991678058503)</f>
        <v>-0.8249991678</v>
      </c>
      <c r="T171" s="11">
        <f>IFERROR(__xludf.DUMMYFUNCTION("""COMPUTED_VALUE"""),-0.44687069366480203)</f>
        <v>-0.4468706937</v>
      </c>
      <c r="U171" s="11">
        <f>IFERROR(__xludf.DUMMYFUNCTION("""COMPUTED_VALUE"""),-0.49773329189037346)</f>
        <v>-0.4977332919</v>
      </c>
      <c r="V171" s="11">
        <f>IFERROR(__xludf.DUMMYFUNCTION("""COMPUTED_VALUE"""),-0.5630348583291391)</f>
        <v>-0.5630348583</v>
      </c>
      <c r="W171" s="11">
        <f>IFERROR(__xludf.DUMMYFUNCTION("""COMPUTED_VALUE"""),-0.5847290886782864)</f>
        <v>-0.5847290887</v>
      </c>
      <c r="X171" s="11">
        <f>IFERROR(__xludf.DUMMYFUNCTION("""COMPUTED_VALUE"""),-0.6155173428439339)</f>
        <v>-0.6155173428</v>
      </c>
      <c r="Y171" s="11">
        <f>IFERROR(__xludf.DUMMYFUNCTION("""COMPUTED_VALUE"""),0.18513888876734336)</f>
        <v>0.1851388888</v>
      </c>
      <c r="Z171" s="11">
        <f>IFERROR(__xludf.DUMMYFUNCTION("""COMPUTED_VALUE"""),0.07459493662199948)</f>
        <v>0.07459493662</v>
      </c>
      <c r="AA171" s="11">
        <f>IFERROR(__xludf.DUMMYFUNCTION("""COMPUTED_VALUE"""),0.16085774474756667)</f>
        <v>0.1608577447</v>
      </c>
      <c r="AB171" t="str">
        <f>IFERROR(__xludf.DUMMYFUNCTION("SUBSTITUTE(REGEXREPLACE(REGEXREPLACE(REGEXREPLACE(REGEXREPLACE(REGEXREPLACE(REGEXREPLACE(F171,"","",),IF(Projections!$T$17="""",""PG"",),),IF(Projections!$U$17="""",""SG"",),),IF(Projections!$V$17="""",""SF"",),),IF(Projections!$W$17="""",""PF"",),),IF(Pr"&amp;"ojections!$X$17="""",""C"",),),""/"","""")"),"SGSF")</f>
        <v>SGSF</v>
      </c>
    </row>
    <row r="172">
      <c r="B172">
        <f>IFERROR(__xludf.DUMMYFUNCTION("""COMPUTED_VALUE"""),167.0)</f>
        <v>167</v>
      </c>
      <c r="C172">
        <f>IFERROR(__xludf.DUMMYFUNCTION("""COMPUTED_VALUE"""),142.1)</f>
        <v>142.1</v>
      </c>
      <c r="D172" t="str">
        <f>IFERROR(__xludf.DUMMYFUNCTION("""COMPUTED_VALUE"""),"Wendell Carter Jr.")</f>
        <v>Wendell Carter Jr.</v>
      </c>
      <c r="E172">
        <f>IFERROR(__xludf.DUMMYFUNCTION("""COMPUTED_VALUE"""),75.0)</f>
        <v>75</v>
      </c>
      <c r="F172" t="str">
        <f>IFERROR(__xludf.DUMMYFUNCTION("""COMPUTED_VALUE"""),"C")</f>
        <v>C</v>
      </c>
      <c r="G172" s="11">
        <f>IFERROR(__xludf.DUMMYFUNCTION("""COMPUTED_VALUE"""),-2.317040932110518)</f>
        <v>-2.317040932</v>
      </c>
      <c r="H172" s="11">
        <f>IFERROR(__xludf.DUMMYFUNCTION("""COMPUTED_VALUE"""),-2.317040932110518)</f>
        <v>-2.317040932</v>
      </c>
      <c r="I172" s="11">
        <f>IFERROR(__xludf.DUMMYFUNCTION("""COMPUTED_VALUE"""),0.0)</f>
        <v>0</v>
      </c>
      <c r="J172" s="11">
        <f>IFERROR(__xludf.DUMMYFUNCTION("""COMPUTED_VALUE"""),13.0)</f>
        <v>13</v>
      </c>
      <c r="K172" s="11">
        <f>IFERROR(__xludf.DUMMYFUNCTION("""COMPUTED_VALUE"""),1.3)</f>
        <v>1.3</v>
      </c>
      <c r="L172" s="11">
        <f>IFERROR(__xludf.DUMMYFUNCTION("""COMPUTED_VALUE"""),7.7)</f>
        <v>7.7</v>
      </c>
      <c r="M172" s="11">
        <f>IFERROR(__xludf.DUMMYFUNCTION("""COMPUTED_VALUE"""),2.0)</f>
        <v>2</v>
      </c>
      <c r="N172" s="11">
        <f>IFERROR(__xludf.DUMMYFUNCTION("""COMPUTED_VALUE"""),0.6)</f>
        <v>0.6</v>
      </c>
      <c r="O172" s="11">
        <f>IFERROR(__xludf.DUMMYFUNCTION("""COMPUTED_VALUE"""),0.5)</f>
        <v>0.5</v>
      </c>
      <c r="P172" s="15">
        <f>IFERROR(__xludf.DUMMYFUNCTION("""COMPUTED_VALUE"""),0.525)</f>
        <v>0.525</v>
      </c>
      <c r="Q172" s="15">
        <f>IFERROR(__xludf.DUMMYFUNCTION("""COMPUTED_VALUE"""),0.722)</f>
        <v>0.722</v>
      </c>
      <c r="R172" s="11">
        <f>IFERROR(__xludf.DUMMYFUNCTION("""COMPUTED_VALUE"""),1.5)</f>
        <v>1.5</v>
      </c>
      <c r="S172" s="11">
        <f>IFERROR(__xludf.DUMMYFUNCTION("""COMPUTED_VALUE"""),-0.8069343658425842)</f>
        <v>-0.8069343658</v>
      </c>
      <c r="T172" s="11">
        <f>IFERROR(__xludf.DUMMYFUNCTION("""COMPUTED_VALUE"""),-0.44687069366480203)</f>
        <v>-0.4468706937</v>
      </c>
      <c r="U172" s="11">
        <f>IFERROR(__xludf.DUMMYFUNCTION("""COMPUTED_VALUE"""),0.6398314707338183)</f>
        <v>0.6398314707</v>
      </c>
      <c r="V172" s="11">
        <f>IFERROR(__xludf.DUMMYFUNCTION("""COMPUTED_VALUE"""),-0.8819672512840698)</f>
        <v>-0.8819672513</v>
      </c>
      <c r="W172" s="11">
        <f>IFERROR(__xludf.DUMMYFUNCTION("""COMPUTED_VALUE"""),-1.2485944449972455)</f>
        <v>-1.248594445</v>
      </c>
      <c r="X172" s="11">
        <f>IFERROR(__xludf.DUMMYFUNCTION("""COMPUTED_VALUE"""),-0.4371236407912776)</f>
        <v>-0.4371236408</v>
      </c>
      <c r="Y172" s="11">
        <f>IFERROR(__xludf.DUMMYFUNCTION("""COMPUTED_VALUE"""),0.30319275567624043)</f>
        <v>0.3031927557</v>
      </c>
      <c r="Z172" s="11">
        <f>IFERROR(__xludf.DUMMYFUNCTION("""COMPUTED_VALUE"""),-0.7488340977814634)</f>
        <v>-0.7488340978</v>
      </c>
      <c r="AA172" s="11">
        <f>IFERROR(__xludf.DUMMYFUNCTION("""COMPUTED_VALUE"""),0.06166489084362008)</f>
        <v>0.06166489084</v>
      </c>
      <c r="AB172" t="str">
        <f>IFERROR(__xludf.DUMMYFUNCTION("SUBSTITUTE(REGEXREPLACE(REGEXREPLACE(REGEXREPLACE(REGEXREPLACE(REGEXREPLACE(REGEXREPLACE(F172,"","",),IF(Projections!$T$17="""",""PG"",),),IF(Projections!$U$17="""",""SG"",),),IF(Projections!$V$17="""",""SF"",),),IF(Projections!$W$17="""",""PF"",),),IF(Pr"&amp;"ojections!$X$17="""",""C"",),),""/"","""")"),"C")</f>
        <v>C</v>
      </c>
    </row>
    <row r="173">
      <c r="B173">
        <f>IFERROR(__xludf.DUMMYFUNCTION("""COMPUTED_VALUE"""),168.0)</f>
        <v>168</v>
      </c>
      <c r="D173" t="str">
        <f>IFERROR(__xludf.DUMMYFUNCTION("""COMPUTED_VALUE"""),"Matisse Thybulle")</f>
        <v>Matisse Thybulle</v>
      </c>
      <c r="E173">
        <f>IFERROR(__xludf.DUMMYFUNCTION("""COMPUTED_VALUE"""),60.0)</f>
        <v>60</v>
      </c>
      <c r="F173" t="str">
        <f>IFERROR(__xludf.DUMMYFUNCTION("""COMPUTED_VALUE"""),"SG,SF")</f>
        <v>SG,SF</v>
      </c>
      <c r="G173" s="11">
        <f>IFERROR(__xludf.DUMMYFUNCTION("""COMPUTED_VALUE"""),-2.3269857506845244)</f>
        <v>-2.326985751</v>
      </c>
      <c r="H173" s="11">
        <f>IFERROR(__xludf.DUMMYFUNCTION("""COMPUTED_VALUE"""),-2.3269857506845244)</f>
        <v>-2.326985751</v>
      </c>
      <c r="I173" s="11">
        <f>IFERROR(__xludf.DUMMYFUNCTION("""COMPUTED_VALUE"""),0.0)</f>
        <v>0</v>
      </c>
      <c r="J173" s="11">
        <f>IFERROR(__xludf.DUMMYFUNCTION("""COMPUTED_VALUE"""),4.9)</f>
        <v>4.9</v>
      </c>
      <c r="K173" s="11">
        <f>IFERROR(__xludf.DUMMYFUNCTION("""COMPUTED_VALUE"""),1.0)</f>
        <v>1</v>
      </c>
      <c r="L173" s="11">
        <f>IFERROR(__xludf.DUMMYFUNCTION("""COMPUTED_VALUE"""),2.1)</f>
        <v>2.1</v>
      </c>
      <c r="M173" s="11">
        <f>IFERROR(__xludf.DUMMYFUNCTION("""COMPUTED_VALUE"""),1.1)</f>
        <v>1.1</v>
      </c>
      <c r="N173" s="11">
        <f>IFERROR(__xludf.DUMMYFUNCTION("""COMPUTED_VALUE"""),1.5)</f>
        <v>1.5</v>
      </c>
      <c r="O173" s="11">
        <f>IFERROR(__xludf.DUMMYFUNCTION("""COMPUTED_VALUE"""),0.6)</f>
        <v>0.6</v>
      </c>
      <c r="P173" s="15">
        <f>IFERROR(__xludf.DUMMYFUNCTION("""COMPUTED_VALUE"""),0.414)</f>
        <v>0.414</v>
      </c>
      <c r="Q173" s="15">
        <f>IFERROR(__xludf.DUMMYFUNCTION("""COMPUTED_VALUE"""),0.721)</f>
        <v>0.721</v>
      </c>
      <c r="R173" s="11">
        <f>IFERROR(__xludf.DUMMYFUNCTION("""COMPUTED_VALUE"""),0.5)</f>
        <v>0.5</v>
      </c>
      <c r="S173" s="11">
        <f>IFERROR(__xludf.DUMMYFUNCTION("""COMPUTED_VALUE"""),-2.270183324867149)</f>
        <v>-2.270183325</v>
      </c>
      <c r="T173" s="11">
        <f>IFERROR(__xludf.DUMMYFUNCTION("""COMPUTED_VALUE"""),-0.7454435907594266)</f>
        <v>-0.7454435908</v>
      </c>
      <c r="U173" s="11">
        <f>IFERROR(__xludf.DUMMYFUNCTION("""COMPUTED_VALUE"""),-1.5568453122646206)</f>
        <v>-1.556845312</v>
      </c>
      <c r="V173" s="11">
        <f>IFERROR(__xludf.DUMMYFUNCTION("""COMPUTED_VALUE"""),-1.2920231850832664)</f>
        <v>-1.292023185</v>
      </c>
      <c r="W173" s="11">
        <f>IFERROR(__xludf.DUMMYFUNCTION("""COMPUTED_VALUE"""),1.738799658438069)</f>
        <v>1.738799658</v>
      </c>
      <c r="X173" s="11">
        <f>IFERROR(__xludf.DUMMYFUNCTION("""COMPUTED_VALUE"""),-0.25872993873862127)</f>
        <v>-0.2587299387</v>
      </c>
      <c r="Y173" s="11">
        <f>IFERROR(__xludf.DUMMYFUNCTION("""COMPUTED_VALUE"""),-0.41768637874877323)</f>
        <v>-0.4176863787</v>
      </c>
      <c r="Z173" s="11">
        <f>IFERROR(__xludf.DUMMYFUNCTION("""COMPUTED_VALUE"""),-0.10470402913137167)</f>
        <v>-0.1047040291</v>
      </c>
      <c r="AA173" s="11">
        <f>IFERROR(__xludf.DUMMYFUNCTION("""COMPUTED_VALUE"""),0.3096470256034866)</f>
        <v>0.3096470256</v>
      </c>
      <c r="AB173" t="str">
        <f>IFERROR(__xludf.DUMMYFUNCTION("SUBSTITUTE(REGEXREPLACE(REGEXREPLACE(REGEXREPLACE(REGEXREPLACE(REGEXREPLACE(REGEXREPLACE(F173,"","",),IF(Projections!$T$17="""",""PG"",),),IF(Projections!$U$17="""",""SG"",),),IF(Projections!$V$17="""",""SF"",),),IF(Projections!$W$17="""",""PF"",),),IF(Pr"&amp;"ojections!$X$17="""",""C"",),),""/"","""")"),"SGSF")</f>
        <v>SGSF</v>
      </c>
    </row>
    <row r="174">
      <c r="B174">
        <f>IFERROR(__xludf.DUMMYFUNCTION("""COMPUTED_VALUE"""),169.0)</f>
        <v>169</v>
      </c>
      <c r="C174">
        <f>IFERROR(__xludf.DUMMYFUNCTION("""COMPUTED_VALUE"""),138.9)</f>
        <v>138.9</v>
      </c>
      <c r="D174" t="str">
        <f>IFERROR(__xludf.DUMMYFUNCTION("""COMPUTED_VALUE"""),"Jordan Clarkson")</f>
        <v>Jordan Clarkson</v>
      </c>
      <c r="E174">
        <f>IFERROR(__xludf.DUMMYFUNCTION("""COMPUTED_VALUE"""),71.0)</f>
        <v>71</v>
      </c>
      <c r="F174" t="str">
        <f>IFERROR(__xludf.DUMMYFUNCTION("""COMPUTED_VALUE"""),"SG,SF")</f>
        <v>SG,SF</v>
      </c>
      <c r="G174" s="11">
        <f>IFERROR(__xludf.DUMMYFUNCTION("""COMPUTED_VALUE"""),-2.412545996556271)</f>
        <v>-2.412545997</v>
      </c>
      <c r="H174" s="11">
        <f>IFERROR(__xludf.DUMMYFUNCTION("""COMPUTED_VALUE"""),-2.412545996556271)</f>
        <v>-2.412545997</v>
      </c>
      <c r="I174" s="11">
        <f>IFERROR(__xludf.DUMMYFUNCTION("""COMPUTED_VALUE"""),0.0)</f>
        <v>0</v>
      </c>
      <c r="J174" s="11">
        <f>IFERROR(__xludf.DUMMYFUNCTION("""COMPUTED_VALUE"""),17.4)</f>
        <v>17.4</v>
      </c>
      <c r="K174" s="11">
        <f>IFERROR(__xludf.DUMMYFUNCTION("""COMPUTED_VALUE"""),1.9)</f>
        <v>1.9</v>
      </c>
      <c r="L174" s="11">
        <f>IFERROR(__xludf.DUMMYFUNCTION("""COMPUTED_VALUE"""),3.4)</f>
        <v>3.4</v>
      </c>
      <c r="M174" s="11">
        <f>IFERROR(__xludf.DUMMYFUNCTION("""COMPUTED_VALUE"""),4.3)</f>
        <v>4.3</v>
      </c>
      <c r="N174" s="11">
        <f>IFERROR(__xludf.DUMMYFUNCTION("""COMPUTED_VALUE"""),0.5)</f>
        <v>0.5</v>
      </c>
      <c r="O174" s="11">
        <f>IFERROR(__xludf.DUMMYFUNCTION("""COMPUTED_VALUE"""),0.2)</f>
        <v>0.2</v>
      </c>
      <c r="P174" s="15">
        <f>IFERROR(__xludf.DUMMYFUNCTION("""COMPUTED_VALUE"""),0.431)</f>
        <v>0.431</v>
      </c>
      <c r="Q174" s="15">
        <f>IFERROR(__xludf.DUMMYFUNCTION("""COMPUTED_VALUE"""),0.846)</f>
        <v>0.846</v>
      </c>
      <c r="R174" s="11">
        <f>IFERROR(__xludf.DUMMYFUNCTION("""COMPUTED_VALUE"""),2.6)</f>
        <v>2.6</v>
      </c>
      <c r="S174" s="11">
        <f>IFERROR(__xludf.DUMMYFUNCTION("""COMPUTED_VALUE"""),-0.012083079458870018)</f>
        <v>-0.01208307946</v>
      </c>
      <c r="T174" s="11">
        <f>IFERROR(__xludf.DUMMYFUNCTION("""COMPUTED_VALUE"""),0.15027510052444681)</f>
        <v>0.1502751005</v>
      </c>
      <c r="U174" s="11">
        <f>IFERROR(__xludf.DUMMYFUNCTION("""COMPUTED_VALUE"""),-1.0469024876399833)</f>
        <v>-1.046902488</v>
      </c>
      <c r="V174" s="11">
        <f>IFERROR(__xludf.DUMMYFUNCTION("""COMPUTED_VALUE"""),0.1659534684249879)</f>
        <v>0.1659534684</v>
      </c>
      <c r="W174" s="11">
        <f>IFERROR(__xludf.DUMMYFUNCTION("""COMPUTED_VALUE"""),-1.5805271231567248)</f>
        <v>-1.580527123</v>
      </c>
      <c r="X174" s="11">
        <f>IFERROR(__xludf.DUMMYFUNCTION("""COMPUTED_VALUE"""),-0.9723047469492465)</f>
        <v>-0.9723047469</v>
      </c>
      <c r="Y174" s="11">
        <f>IFERROR(__xludf.DUMMYFUNCTION("""COMPUTED_VALUE"""),-1.1195790983655995)</f>
        <v>-1.119579098</v>
      </c>
      <c r="Z174" s="11">
        <f>IFERROR(__xludf.DUMMYFUNCTION("""COMPUTED_VALUE"""),0.6332103043002272)</f>
        <v>0.6332103043</v>
      </c>
      <c r="AA174" s="11">
        <f>IFERROR(__xludf.DUMMYFUNCTION("""COMPUTED_VALUE"""),-0.21111545739223317)</f>
        <v>-0.2111154574</v>
      </c>
      <c r="AB174" t="str">
        <f>IFERROR(__xludf.DUMMYFUNCTION("SUBSTITUTE(REGEXREPLACE(REGEXREPLACE(REGEXREPLACE(REGEXREPLACE(REGEXREPLACE(REGEXREPLACE(F174,"","",),IF(Projections!$T$17="""",""PG"",),),IF(Projections!$U$17="""",""SG"",),),IF(Projections!$V$17="""",""SF"",),),IF(Projections!$W$17="""",""PF"",),),IF(Pr"&amp;"ojections!$X$17="""",""C"",),),""/"","""")"),"SGSF")</f>
        <v>SGSF</v>
      </c>
    </row>
    <row r="175">
      <c r="B175">
        <f>IFERROR(__xludf.DUMMYFUNCTION("""COMPUTED_VALUE"""),170.0)</f>
        <v>170</v>
      </c>
      <c r="C175">
        <f>IFERROR(__xludf.DUMMYFUNCTION("""COMPUTED_VALUE"""),136.5)</f>
        <v>136.5</v>
      </c>
      <c r="D175" t="str">
        <f>IFERROR(__xludf.DUMMYFUNCTION("""COMPUTED_VALUE"""),"Rui Hachimura")</f>
        <v>Rui Hachimura</v>
      </c>
      <c r="E175">
        <f>IFERROR(__xludf.DUMMYFUNCTION("""COMPUTED_VALUE"""),71.0)</f>
        <v>71</v>
      </c>
      <c r="F175" t="str">
        <f>IFERROR(__xludf.DUMMYFUNCTION("""COMPUTED_VALUE"""),"SF,PF")</f>
        <v>SF,PF</v>
      </c>
      <c r="G175" s="11">
        <f>IFERROR(__xludf.DUMMYFUNCTION("""COMPUTED_VALUE"""),-2.434317167820044)</f>
        <v>-2.434317168</v>
      </c>
      <c r="H175" s="11">
        <f>IFERROR(__xludf.DUMMYFUNCTION("""COMPUTED_VALUE"""),-2.434317167820044)</f>
        <v>-2.434317168</v>
      </c>
      <c r="I175" s="11">
        <f>IFERROR(__xludf.DUMMYFUNCTION("""COMPUTED_VALUE"""),0.0)</f>
        <v>0</v>
      </c>
      <c r="J175" s="11">
        <f>IFERROR(__xludf.DUMMYFUNCTION("""COMPUTED_VALUE"""),14.8)</f>
        <v>14.8</v>
      </c>
      <c r="K175" s="11">
        <f>IFERROR(__xludf.DUMMYFUNCTION("""COMPUTED_VALUE"""),1.5)</f>
        <v>1.5</v>
      </c>
      <c r="L175" s="11">
        <f>IFERROR(__xludf.DUMMYFUNCTION("""COMPUTED_VALUE"""),5.2)</f>
        <v>5.2</v>
      </c>
      <c r="M175" s="11">
        <f>IFERROR(__xludf.DUMMYFUNCTION("""COMPUTED_VALUE"""),1.3)</f>
        <v>1.3</v>
      </c>
      <c r="N175" s="11">
        <f>IFERROR(__xludf.DUMMYFUNCTION("""COMPUTED_VALUE"""),0.7)</f>
        <v>0.7</v>
      </c>
      <c r="O175" s="11">
        <f>IFERROR(__xludf.DUMMYFUNCTION("""COMPUTED_VALUE"""),0.5)</f>
        <v>0.5</v>
      </c>
      <c r="P175" s="15">
        <f>IFERROR(__xludf.DUMMYFUNCTION("""COMPUTED_VALUE"""),0.514)</f>
        <v>0.514</v>
      </c>
      <c r="Q175" s="15">
        <f>IFERROR(__xludf.DUMMYFUNCTION("""COMPUTED_VALUE"""),0.74)</f>
        <v>0.74</v>
      </c>
      <c r="R175" s="11">
        <f>IFERROR(__xludf.DUMMYFUNCTION("""COMPUTED_VALUE"""),0.9)</f>
        <v>0.9</v>
      </c>
      <c r="S175" s="11">
        <f>IFERROR(__xludf.DUMMYFUNCTION("""COMPUTED_VALUE"""),-0.48176793050379174)</f>
        <v>-0.4817679305</v>
      </c>
      <c r="T175" s="11">
        <f>IFERROR(__xludf.DUMMYFUNCTION("""COMPUTED_VALUE"""),-0.24782209560171908)</f>
        <v>-0.2478220956</v>
      </c>
      <c r="U175" s="11">
        <f>IFERROR(__xludf.DUMMYFUNCTION("""COMPUTED_VALUE"""),-0.3408278073904848)</f>
        <v>-0.3408278074</v>
      </c>
      <c r="V175" s="11">
        <f>IFERROR(__xludf.DUMMYFUNCTION("""COMPUTED_VALUE"""),-1.2008996442390003)</f>
        <v>-1.200899644</v>
      </c>
      <c r="W175" s="11">
        <f>IFERROR(__xludf.DUMMYFUNCTION("""COMPUTED_VALUE"""),-0.9166617668377661)</f>
        <v>-0.9166617668</v>
      </c>
      <c r="X175" s="11">
        <f>IFERROR(__xludf.DUMMYFUNCTION("""COMPUTED_VALUE"""),-0.4371236407912776)</f>
        <v>-0.4371236408</v>
      </c>
      <c r="Y175" s="11">
        <f>IFERROR(__xludf.DUMMYFUNCTION("""COMPUTED_VALUE"""),0.2267200841119214)</f>
        <v>0.2267200841</v>
      </c>
      <c r="Z175" s="11">
        <f>IFERROR(__xludf.DUMMYFUNCTION("""COMPUTED_VALUE"""),-0.4472881825064653)</f>
        <v>-0.4472881825</v>
      </c>
      <c r="AA175" s="11">
        <f>IFERROR(__xludf.DUMMYFUNCTION("""COMPUTED_VALUE"""),0.21045417169954)</f>
        <v>0.2104541717</v>
      </c>
      <c r="AB175" t="str">
        <f>IFERROR(__xludf.DUMMYFUNCTION("SUBSTITUTE(REGEXREPLACE(REGEXREPLACE(REGEXREPLACE(REGEXREPLACE(REGEXREPLACE(REGEXREPLACE(F175,"","",),IF(Projections!$T$17="""",""PG"",),),IF(Projections!$U$17="""",""SG"",),),IF(Projections!$V$17="""",""SF"",),),IF(Projections!$W$17="""",""PF"",),),IF(Pr"&amp;"ojections!$X$17="""",""C"",),),""/"","""")"),"SFPF")</f>
        <v>SFPF</v>
      </c>
    </row>
    <row r="176">
      <c r="B176">
        <f>IFERROR(__xludf.DUMMYFUNCTION("""COMPUTED_VALUE"""),171.0)</f>
        <v>171</v>
      </c>
      <c r="C176">
        <f>IFERROR(__xludf.DUMMYFUNCTION("""COMPUTED_VALUE"""),145.5)</f>
        <v>145.5</v>
      </c>
      <c r="D176" t="str">
        <f>IFERROR(__xludf.DUMMYFUNCTION("""COMPUTED_VALUE"""),"Nick Richards")</f>
        <v>Nick Richards</v>
      </c>
      <c r="E176">
        <f>IFERROR(__xludf.DUMMYFUNCTION("""COMPUTED_VALUE"""),55.0)</f>
        <v>55</v>
      </c>
      <c r="F176" t="str">
        <f>IFERROR(__xludf.DUMMYFUNCTION("""COMPUTED_VALUE"""),"C")</f>
        <v>C</v>
      </c>
      <c r="G176" s="11">
        <f>IFERROR(__xludf.DUMMYFUNCTION("""COMPUTED_VALUE"""),-2.472713254872496)</f>
        <v>-2.472713255</v>
      </c>
      <c r="H176" s="11">
        <f>IFERROR(__xludf.DUMMYFUNCTION("""COMPUTED_VALUE"""),-2.472713254872496)</f>
        <v>-2.472713255</v>
      </c>
      <c r="I176" s="11">
        <f>IFERROR(__xludf.DUMMYFUNCTION("""COMPUTED_VALUE"""),0.0)</f>
        <v>0</v>
      </c>
      <c r="J176" s="11">
        <f>IFERROR(__xludf.DUMMYFUNCTION("""COMPUTED_VALUE"""),9.8)</f>
        <v>9.8</v>
      </c>
      <c r="K176" s="11">
        <f>IFERROR(__xludf.DUMMYFUNCTION("""COMPUTED_VALUE"""),0.0)</f>
        <v>0</v>
      </c>
      <c r="L176" s="11">
        <f>IFERROR(__xludf.DUMMYFUNCTION("""COMPUTED_VALUE"""),8.0)</f>
        <v>8</v>
      </c>
      <c r="M176" s="11">
        <f>IFERROR(__xludf.DUMMYFUNCTION("""COMPUTED_VALUE"""),0.8)</f>
        <v>0.8</v>
      </c>
      <c r="N176" s="11">
        <f>IFERROR(__xludf.DUMMYFUNCTION("""COMPUTED_VALUE"""),0.3)</f>
        <v>0.3</v>
      </c>
      <c r="O176" s="11">
        <f>IFERROR(__xludf.DUMMYFUNCTION("""COMPUTED_VALUE"""),1.1)</f>
        <v>1.1</v>
      </c>
      <c r="P176" s="15">
        <f>IFERROR(__xludf.DUMMYFUNCTION("""COMPUTED_VALUE"""),0.656)</f>
        <v>0.656</v>
      </c>
      <c r="Q176" s="15">
        <f>IFERROR(__xludf.DUMMYFUNCTION("""COMPUTED_VALUE"""),0.743)</f>
        <v>0.743</v>
      </c>
      <c r="R176" s="11">
        <f>IFERROR(__xludf.DUMMYFUNCTION("""COMPUTED_VALUE"""),1.1)</f>
        <v>1.1</v>
      </c>
      <c r="S176" s="11">
        <f>IFERROR(__xludf.DUMMYFUNCTION("""COMPUTED_VALUE"""),-1.3850080286671036)</f>
        <v>-1.385008029</v>
      </c>
      <c r="T176" s="11">
        <f>IFERROR(__xludf.DUMMYFUNCTION("""COMPUTED_VALUE"""),-1.7406865810748415)</f>
        <v>-1.740686581</v>
      </c>
      <c r="U176" s="11">
        <f>IFERROR(__xludf.DUMMYFUNCTION("""COMPUTED_VALUE"""),0.7575105841087346)</f>
        <v>0.7575105841</v>
      </c>
      <c r="V176" s="11">
        <f>IFERROR(__xludf.DUMMYFUNCTION("""COMPUTED_VALUE"""),-1.428708496349665)</f>
        <v>-1.428708496</v>
      </c>
      <c r="W176" s="11">
        <f>IFERROR(__xludf.DUMMYFUNCTION("""COMPUTED_VALUE"""),-2.2443924794756835)</f>
        <v>-2.244392479</v>
      </c>
      <c r="X176" s="11">
        <f>IFERROR(__xludf.DUMMYFUNCTION("""COMPUTED_VALUE"""),0.6332385715246607)</f>
        <v>0.6332385715</v>
      </c>
      <c r="Y176" s="11">
        <f>IFERROR(__xludf.DUMMYFUNCTION("""COMPUTED_VALUE"""),1.081629553535594)</f>
        <v>1.081629554</v>
      </c>
      <c r="Z176" s="11">
        <f>IFERROR(__xludf.DUMMYFUNCTION("""COMPUTED_VALUE"""),-0.5515466026974424)</f>
        <v>-0.5515466027</v>
      </c>
      <c r="AA176" s="11">
        <f>IFERROR(__xludf.DUMMYFUNCTION("""COMPUTED_VALUE"""),0.16085774474756667)</f>
        <v>0.1608577447</v>
      </c>
      <c r="AB176" t="str">
        <f>IFERROR(__xludf.DUMMYFUNCTION("SUBSTITUTE(REGEXREPLACE(REGEXREPLACE(REGEXREPLACE(REGEXREPLACE(REGEXREPLACE(REGEXREPLACE(F176,"","",),IF(Projections!$T$17="""",""PG"",),),IF(Projections!$U$17="""",""SG"",),),IF(Projections!$V$17="""",""SF"",),),IF(Projections!$W$17="""",""PF"",),),IF(Pr"&amp;"ojections!$X$17="""",""C"",),),""/"","""")"),"C")</f>
        <v>C</v>
      </c>
    </row>
    <row r="177">
      <c r="B177">
        <f>IFERROR(__xludf.DUMMYFUNCTION("""COMPUTED_VALUE"""),172.0)</f>
        <v>172</v>
      </c>
      <c r="C177">
        <f>IFERROR(__xludf.DUMMYFUNCTION("""COMPUTED_VALUE"""),138.0)</f>
        <v>138</v>
      </c>
      <c r="D177" t="str">
        <f>IFERROR(__xludf.DUMMYFUNCTION("""COMPUTED_VALUE"""),"Brandon Clarke")</f>
        <v>Brandon Clarke</v>
      </c>
      <c r="E177">
        <f>IFERROR(__xludf.DUMMYFUNCTION("""COMPUTED_VALUE"""),53.0)</f>
        <v>53</v>
      </c>
      <c r="F177" t="str">
        <f>IFERROR(__xludf.DUMMYFUNCTION("""COMPUTED_VALUE"""),"PF,C")</f>
        <v>PF,C</v>
      </c>
      <c r="G177" s="11">
        <f>IFERROR(__xludf.DUMMYFUNCTION("""COMPUTED_VALUE"""),-2.473443202800362)</f>
        <v>-2.473443203</v>
      </c>
      <c r="H177" s="11">
        <f>IFERROR(__xludf.DUMMYFUNCTION("""COMPUTED_VALUE"""),-2.473443202800362)</f>
        <v>-2.473443203</v>
      </c>
      <c r="I177" s="11">
        <f>IFERROR(__xludf.DUMMYFUNCTION("""COMPUTED_VALUE"""),0.0)</f>
        <v>0</v>
      </c>
      <c r="J177" s="11">
        <f>IFERROR(__xludf.DUMMYFUNCTION("""COMPUTED_VALUE"""),11.4)</f>
        <v>11.4</v>
      </c>
      <c r="K177" s="11">
        <f>IFERROR(__xludf.DUMMYFUNCTION("""COMPUTED_VALUE"""),0.0)</f>
        <v>0</v>
      </c>
      <c r="L177" s="11">
        <f>IFERROR(__xludf.DUMMYFUNCTION("""COMPUTED_VALUE"""),6.2)</f>
        <v>6.2</v>
      </c>
      <c r="M177" s="11">
        <f>IFERROR(__xludf.DUMMYFUNCTION("""COMPUTED_VALUE"""),1.5)</f>
        <v>1.5</v>
      </c>
      <c r="N177" s="11">
        <f>IFERROR(__xludf.DUMMYFUNCTION("""COMPUTED_VALUE"""),0.7)</f>
        <v>0.7</v>
      </c>
      <c r="O177" s="11">
        <f>IFERROR(__xludf.DUMMYFUNCTION("""COMPUTED_VALUE"""),0.8)</f>
        <v>0.8</v>
      </c>
      <c r="P177" s="15">
        <f>IFERROR(__xludf.DUMMYFUNCTION("""COMPUTED_VALUE"""),0.642)</f>
        <v>0.642</v>
      </c>
      <c r="Q177" s="15">
        <f>IFERROR(__xludf.DUMMYFUNCTION("""COMPUTED_VALUE"""),0.695)</f>
        <v>0.695</v>
      </c>
      <c r="R177" s="11">
        <f>IFERROR(__xludf.DUMMYFUNCTION("""COMPUTED_VALUE"""),1.1)</f>
        <v>1.1</v>
      </c>
      <c r="S177" s="11">
        <f>IFERROR(__xludf.DUMMYFUNCTION("""COMPUTED_VALUE"""),-1.0959711972548438)</f>
        <v>-1.095971197</v>
      </c>
      <c r="T177" s="11">
        <f>IFERROR(__xludf.DUMMYFUNCTION("""COMPUTED_VALUE"""),-1.7406865810748415)</f>
        <v>-1.740686581</v>
      </c>
      <c r="U177" s="11">
        <f>IFERROR(__xludf.DUMMYFUNCTION("""COMPUTED_VALUE"""),0.05143590385923644)</f>
        <v>0.05143590386</v>
      </c>
      <c r="V177" s="11">
        <f>IFERROR(__xludf.DUMMYFUNCTION("""COMPUTED_VALUE"""),-1.1097761033947346)</f>
        <v>-1.109776103</v>
      </c>
      <c r="W177" s="11">
        <f>IFERROR(__xludf.DUMMYFUNCTION("""COMPUTED_VALUE"""),-0.9166617668377661)</f>
        <v>-0.9166617668</v>
      </c>
      <c r="X177" s="11">
        <f>IFERROR(__xludf.DUMMYFUNCTION("""COMPUTED_VALUE"""),0.09805746536669153)</f>
        <v>0.09805746537</v>
      </c>
      <c r="Y177" s="11">
        <f>IFERROR(__xludf.DUMMYFUNCTION("""COMPUTED_VALUE"""),1.2585908253288933)</f>
        <v>1.258590825</v>
      </c>
      <c r="Z177" s="11">
        <f>IFERROR(__xludf.DUMMYFUNCTION("""COMPUTED_VALUE"""),-0.9199760746154056)</f>
        <v>-0.9199760746</v>
      </c>
      <c r="AA177" s="11">
        <f>IFERROR(__xludf.DUMMYFUNCTION("""COMPUTED_VALUE"""),0.16085774474756667)</f>
        <v>0.1608577447</v>
      </c>
      <c r="AB177" t="str">
        <f>IFERROR(__xludf.DUMMYFUNCTION("SUBSTITUTE(REGEXREPLACE(REGEXREPLACE(REGEXREPLACE(REGEXREPLACE(REGEXREPLACE(REGEXREPLACE(F177,"","",),IF(Projections!$T$17="""",""PG"",),),IF(Projections!$U$17="""",""SG"",),),IF(Projections!$V$17="""",""SF"",),),IF(Projections!$W$17="""",""PF"",),),IF(Pr"&amp;"ojections!$X$17="""",""C"",),),""/"","""")"),"PFC")</f>
        <v>PFC</v>
      </c>
    </row>
    <row r="178">
      <c r="B178">
        <f>IFERROR(__xludf.DUMMYFUNCTION("""COMPUTED_VALUE"""),173.0)</f>
        <v>173</v>
      </c>
      <c r="C178">
        <f>IFERROR(__xludf.DUMMYFUNCTION("""COMPUTED_VALUE"""),140.6)</f>
        <v>140.6</v>
      </c>
      <c r="D178" t="str">
        <f>IFERROR(__xludf.DUMMYFUNCTION("""COMPUTED_VALUE"""),"Shaedon Sharpe")</f>
        <v>Shaedon Sharpe</v>
      </c>
      <c r="E178">
        <f>IFERROR(__xludf.DUMMYFUNCTION("""COMPUTED_VALUE"""),71.0)</f>
        <v>71</v>
      </c>
      <c r="F178" t="str">
        <f>IFERROR(__xludf.DUMMYFUNCTION("""COMPUTED_VALUE"""),"SG,SF")</f>
        <v>SG,SF</v>
      </c>
      <c r="G178" s="11">
        <f>IFERROR(__xludf.DUMMYFUNCTION("""COMPUTED_VALUE"""),-2.501004421872196)</f>
        <v>-2.501004422</v>
      </c>
      <c r="H178" s="11">
        <f>IFERROR(__xludf.DUMMYFUNCTION("""COMPUTED_VALUE"""),-2.501004421872196)</f>
        <v>-2.501004422</v>
      </c>
      <c r="I178" s="11">
        <f>IFERROR(__xludf.DUMMYFUNCTION("""COMPUTED_VALUE"""),0.0)</f>
        <v>0</v>
      </c>
      <c r="J178" s="11">
        <f>IFERROR(__xludf.DUMMYFUNCTION("""COMPUTED_VALUE"""),15.9)</f>
        <v>15.9</v>
      </c>
      <c r="K178" s="11">
        <f>IFERROR(__xludf.DUMMYFUNCTION("""COMPUTED_VALUE"""),1.9)</f>
        <v>1.9</v>
      </c>
      <c r="L178" s="11">
        <f>IFERROR(__xludf.DUMMYFUNCTION("""COMPUTED_VALUE"""),4.6)</f>
        <v>4.6</v>
      </c>
      <c r="M178" s="11">
        <f>IFERROR(__xludf.DUMMYFUNCTION("""COMPUTED_VALUE"""),2.2)</f>
        <v>2.2</v>
      </c>
      <c r="N178" s="11">
        <f>IFERROR(__xludf.DUMMYFUNCTION("""COMPUTED_VALUE"""),0.8)</f>
        <v>0.8</v>
      </c>
      <c r="O178" s="11">
        <f>IFERROR(__xludf.DUMMYFUNCTION("""COMPUTED_VALUE"""),0.4)</f>
        <v>0.4</v>
      </c>
      <c r="P178" s="15">
        <f>IFERROR(__xludf.DUMMYFUNCTION("""COMPUTED_VALUE"""),0.434)</f>
        <v>0.434</v>
      </c>
      <c r="Q178" s="15">
        <f>IFERROR(__xludf.DUMMYFUNCTION("""COMPUTED_VALUE"""),0.812)</f>
        <v>0.812</v>
      </c>
      <c r="R178" s="11">
        <f>IFERROR(__xludf.DUMMYFUNCTION("""COMPUTED_VALUE"""),1.8)</f>
        <v>1.8</v>
      </c>
      <c r="S178" s="11">
        <f>IFERROR(__xludf.DUMMYFUNCTION("""COMPUTED_VALUE"""),-0.28305510890786323)</f>
        <v>-0.2830551089</v>
      </c>
      <c r="T178" s="11">
        <f>IFERROR(__xludf.DUMMYFUNCTION("""COMPUTED_VALUE"""),0.15027510052444681)</f>
        <v>0.1502751005</v>
      </c>
      <c r="U178" s="11">
        <f>IFERROR(__xludf.DUMMYFUNCTION("""COMPUTED_VALUE"""),-0.5761860341403178)</f>
        <v>-0.5761860341</v>
      </c>
      <c r="V178" s="11">
        <f>IFERROR(__xludf.DUMMYFUNCTION("""COMPUTED_VALUE"""),-0.7908437104398038)</f>
        <v>-0.7908437104</v>
      </c>
      <c r="W178" s="11">
        <f>IFERROR(__xludf.DUMMYFUNCTION("""COMPUTED_VALUE"""),-0.5847290886782864)</f>
        <v>-0.5847290887</v>
      </c>
      <c r="X178" s="11">
        <f>IFERROR(__xludf.DUMMYFUNCTION("""COMPUTED_VALUE"""),-0.6155173428439339)</f>
        <v>-0.6155173428</v>
      </c>
      <c r="Y178" s="11">
        <f>IFERROR(__xludf.DUMMYFUNCTION("""COMPUTED_VALUE"""),-0.9506829004122099)</f>
        <v>-0.9506829004</v>
      </c>
      <c r="Z178" s="11">
        <f>IFERROR(__xludf.DUMMYFUNCTION("""COMPUTED_VALUE"""),0.21178151219790192)</f>
        <v>0.2117815122</v>
      </c>
      <c r="AA178" s="11">
        <f>IFERROR(__xludf.DUMMYFUNCTION("""COMPUTED_VALUE"""),-0.012729749584339901)</f>
        <v>-0.01272974958</v>
      </c>
      <c r="AB178" t="str">
        <f>IFERROR(__xludf.DUMMYFUNCTION("SUBSTITUTE(REGEXREPLACE(REGEXREPLACE(REGEXREPLACE(REGEXREPLACE(REGEXREPLACE(REGEXREPLACE(F178,"","",),IF(Projections!$T$17="""",""PG"",),),IF(Projections!$U$17="""",""SG"",),),IF(Projections!$V$17="""",""SF"",),),IF(Projections!$W$17="""",""PF"",),),IF(Pr"&amp;"ojections!$X$17="""",""C"",),),""/"","""")"),"SGSF")</f>
        <v>SGSF</v>
      </c>
    </row>
    <row r="179">
      <c r="B179">
        <f>IFERROR(__xludf.DUMMYFUNCTION("""COMPUTED_VALUE"""),174.0)</f>
        <v>174</v>
      </c>
      <c r="C179">
        <f>IFERROR(__xludf.DUMMYFUNCTION("""COMPUTED_VALUE"""),146.7)</f>
        <v>146.7</v>
      </c>
      <c r="D179" t="str">
        <f>IFERROR(__xludf.DUMMYFUNCTION("""COMPUTED_VALUE"""),"Vince Williams Jr.")</f>
        <v>Vince Williams Jr.</v>
      </c>
      <c r="E179">
        <f>IFERROR(__xludf.DUMMYFUNCTION("""COMPUTED_VALUE"""),58.0)</f>
        <v>58</v>
      </c>
      <c r="F179" t="str">
        <f>IFERROR(__xludf.DUMMYFUNCTION("""COMPUTED_VALUE"""),"PG,SG,SF")</f>
        <v>PG,SG,SF</v>
      </c>
      <c r="G179" s="11">
        <f>IFERROR(__xludf.DUMMYFUNCTION("""COMPUTED_VALUE"""),-2.5154268927513246)</f>
        <v>-2.515426893</v>
      </c>
      <c r="H179" s="11">
        <f>IFERROR(__xludf.DUMMYFUNCTION("""COMPUTED_VALUE"""),-2.5154268927513246)</f>
        <v>-2.515426893</v>
      </c>
      <c r="I179" s="11">
        <f>IFERROR(__xludf.DUMMYFUNCTION("""COMPUTED_VALUE"""),0.0)</f>
        <v>0</v>
      </c>
      <c r="J179" s="11">
        <f>IFERROR(__xludf.DUMMYFUNCTION("""COMPUTED_VALUE"""),9.0)</f>
        <v>9</v>
      </c>
      <c r="K179" s="11">
        <f>IFERROR(__xludf.DUMMYFUNCTION("""COMPUTED_VALUE"""),1.3)</f>
        <v>1.3</v>
      </c>
      <c r="L179" s="11">
        <f>IFERROR(__xludf.DUMMYFUNCTION("""COMPUTED_VALUE"""),4.8)</f>
        <v>4.8</v>
      </c>
      <c r="M179" s="11">
        <f>IFERROR(__xludf.DUMMYFUNCTION("""COMPUTED_VALUE"""),2.8)</f>
        <v>2.8</v>
      </c>
      <c r="N179" s="11">
        <f>IFERROR(__xludf.DUMMYFUNCTION("""COMPUTED_VALUE"""),0.8)</f>
        <v>0.8</v>
      </c>
      <c r="O179" s="11">
        <f>IFERROR(__xludf.DUMMYFUNCTION("""COMPUTED_VALUE"""),0.6)</f>
        <v>0.6</v>
      </c>
      <c r="P179" s="15">
        <f>IFERROR(__xludf.DUMMYFUNCTION("""COMPUTED_VALUE"""),0.454)</f>
        <v>0.454</v>
      </c>
      <c r="Q179" s="15">
        <f>IFERROR(__xludf.DUMMYFUNCTION("""COMPUTED_VALUE"""),0.803)</f>
        <v>0.803</v>
      </c>
      <c r="R179" s="11">
        <f>IFERROR(__xludf.DUMMYFUNCTION("""COMPUTED_VALUE"""),1.5)</f>
        <v>1.5</v>
      </c>
      <c r="S179" s="11">
        <f>IFERROR(__xludf.DUMMYFUNCTION("""COMPUTED_VALUE"""),-1.5295264443732335)</f>
        <v>-1.529526444</v>
      </c>
      <c r="T179" s="11">
        <f>IFERROR(__xludf.DUMMYFUNCTION("""COMPUTED_VALUE"""),-0.44687069366480203)</f>
        <v>-0.4468706937</v>
      </c>
      <c r="U179" s="11">
        <f>IFERROR(__xludf.DUMMYFUNCTION("""COMPUTED_VALUE"""),-0.49773329189037346)</f>
        <v>-0.4977332919</v>
      </c>
      <c r="V179" s="11">
        <f>IFERROR(__xludf.DUMMYFUNCTION("""COMPUTED_VALUE"""),-0.5174730879070063)</f>
        <v>-0.5174730879</v>
      </c>
      <c r="W179" s="11">
        <f>IFERROR(__xludf.DUMMYFUNCTION("""COMPUTED_VALUE"""),-0.5847290886782864)</f>
        <v>-0.5847290887</v>
      </c>
      <c r="X179" s="11">
        <f>IFERROR(__xludf.DUMMYFUNCTION("""COMPUTED_VALUE"""),-0.25872993873862127)</f>
        <v>-0.2587299387</v>
      </c>
      <c r="Y179" s="11">
        <f>IFERROR(__xludf.DUMMYFUNCTION("""COMPUTED_VALUE"""),-0.3316917818771674)</f>
        <v>-0.3316917819</v>
      </c>
      <c r="Z179" s="11">
        <f>IFERROR(__xludf.DUMMYFUNCTION("""COMPUTED_VALUE"""),0.060136099161312795)</f>
        <v>0.06013609916</v>
      </c>
      <c r="AA179" s="11">
        <f>IFERROR(__xludf.DUMMYFUNCTION("""COMPUTED_VALUE"""),0.06166489084362008)</f>
        <v>0.06166489084</v>
      </c>
      <c r="AB179" t="str">
        <f>IFERROR(__xludf.DUMMYFUNCTION("SUBSTITUTE(REGEXREPLACE(REGEXREPLACE(REGEXREPLACE(REGEXREPLACE(REGEXREPLACE(REGEXREPLACE(F179,"","",),IF(Projections!$T$17="""",""PG"",),),IF(Projections!$U$17="""",""SG"",),),IF(Projections!$V$17="""",""SF"",),),IF(Projections!$W$17="""",""PF"",),),IF(Pr"&amp;"ojections!$X$17="""",""C"",),),""/"","""")"),"PGSGSF")</f>
        <v>PGSGSF</v>
      </c>
    </row>
    <row r="180">
      <c r="B180">
        <f>IFERROR(__xludf.DUMMYFUNCTION("""COMPUTED_VALUE"""),175.0)</f>
        <v>175</v>
      </c>
      <c r="C180">
        <f>IFERROR(__xludf.DUMMYFUNCTION("""COMPUTED_VALUE"""),144.8)</f>
        <v>144.8</v>
      </c>
      <c r="D180" t="str">
        <f>IFERROR(__xludf.DUMMYFUNCTION("""COMPUTED_VALUE"""),"Max Strus")</f>
        <v>Max Strus</v>
      </c>
      <c r="E180">
        <f>IFERROR(__xludf.DUMMYFUNCTION("""COMPUTED_VALUE"""),66.0)</f>
        <v>66</v>
      </c>
      <c r="F180" t="str">
        <f>IFERROR(__xludf.DUMMYFUNCTION("""COMPUTED_VALUE"""),"SG,SF")</f>
        <v>SG,SF</v>
      </c>
      <c r="G180" s="11">
        <f>IFERROR(__xludf.DUMMYFUNCTION("""COMPUTED_VALUE"""),-2.5160650355481415)</f>
        <v>-2.516065036</v>
      </c>
      <c r="H180" s="11">
        <f>IFERROR(__xludf.DUMMYFUNCTION("""COMPUTED_VALUE"""),-2.5160650355481415)</f>
        <v>-2.516065036</v>
      </c>
      <c r="I180" s="11">
        <f>IFERROR(__xludf.DUMMYFUNCTION("""COMPUTED_VALUE"""),0.0)</f>
        <v>0</v>
      </c>
      <c r="J180" s="11">
        <f>IFERROR(__xludf.DUMMYFUNCTION("""COMPUTED_VALUE"""),11.7)</f>
        <v>11.7</v>
      </c>
      <c r="K180" s="11">
        <f>IFERROR(__xludf.DUMMYFUNCTION("""COMPUTED_VALUE"""),2.4)</f>
        <v>2.4</v>
      </c>
      <c r="L180" s="11">
        <f>IFERROR(__xludf.DUMMYFUNCTION("""COMPUTED_VALUE"""),3.9)</f>
        <v>3.9</v>
      </c>
      <c r="M180" s="11">
        <f>IFERROR(__xludf.DUMMYFUNCTION("""COMPUTED_VALUE"""),3.4)</f>
        <v>3.4</v>
      </c>
      <c r="N180" s="11">
        <f>IFERROR(__xludf.DUMMYFUNCTION("""COMPUTED_VALUE"""),0.8)</f>
        <v>0.8</v>
      </c>
      <c r="O180" s="11">
        <f>IFERROR(__xludf.DUMMYFUNCTION("""COMPUTED_VALUE"""),0.3)</f>
        <v>0.3</v>
      </c>
      <c r="P180" s="15">
        <f>IFERROR(__xludf.DUMMYFUNCTION("""COMPUTED_VALUE"""),0.414)</f>
        <v>0.414</v>
      </c>
      <c r="Q180" s="15">
        <f>IFERROR(__xludf.DUMMYFUNCTION("""COMPUTED_VALUE"""),0.829)</f>
        <v>0.829</v>
      </c>
      <c r="R180" s="11">
        <f>IFERROR(__xludf.DUMMYFUNCTION("""COMPUTED_VALUE"""),1.2)</f>
        <v>1.2</v>
      </c>
      <c r="S180" s="11">
        <f>IFERROR(__xludf.DUMMYFUNCTION("""COMPUTED_VALUE"""),-1.0417767913650453)</f>
        <v>-1.041776791</v>
      </c>
      <c r="T180" s="11">
        <f>IFERROR(__xludf.DUMMYFUNCTION("""COMPUTED_VALUE"""),0.6478965956821543)</f>
        <v>0.6478965957</v>
      </c>
      <c r="U180" s="11">
        <f>IFERROR(__xludf.DUMMYFUNCTION("""COMPUTED_VALUE"""),-0.8507706320151226)</f>
        <v>-0.850770632</v>
      </c>
      <c r="V180" s="11">
        <f>IFERROR(__xludf.DUMMYFUNCTION("""COMPUTED_VALUE"""),-0.2441024653742086)</f>
        <v>-0.2441024654</v>
      </c>
      <c r="W180" s="11">
        <f>IFERROR(__xludf.DUMMYFUNCTION("""COMPUTED_VALUE"""),-0.5847290886782864)</f>
        <v>-0.5847290887</v>
      </c>
      <c r="X180" s="11">
        <f>IFERROR(__xludf.DUMMYFUNCTION("""COMPUTED_VALUE"""),-0.7939110448965904)</f>
        <v>-0.7939110449</v>
      </c>
      <c r="Y180" s="11">
        <f>IFERROR(__xludf.DUMMYFUNCTION("""COMPUTED_VALUE"""),-0.971363671508775)</f>
        <v>-0.9713636715</v>
      </c>
      <c r="Z180" s="11">
        <f>IFERROR(__xludf.DUMMYFUNCTION("""COMPUTED_VALUE"""),0.1448557399711076)</f>
        <v>0.14485574</v>
      </c>
      <c r="AA180" s="11">
        <f>IFERROR(__xludf.DUMMYFUNCTION("""COMPUTED_VALUE"""),0.13605953127158005)</f>
        <v>0.1360595313</v>
      </c>
      <c r="AB180" t="str">
        <f>IFERROR(__xludf.DUMMYFUNCTION("SUBSTITUTE(REGEXREPLACE(REGEXREPLACE(REGEXREPLACE(REGEXREPLACE(REGEXREPLACE(REGEXREPLACE(F180,"","",),IF(Projections!$T$17="""",""PG"",),),IF(Projections!$U$17="""",""SG"",),),IF(Projections!$V$17="""",""SF"",),),IF(Projections!$W$17="""",""PF"",),),IF(Pr"&amp;"ojections!$X$17="""",""C"",),),""/"","""")"),"SGSF")</f>
        <v>SGSF</v>
      </c>
    </row>
    <row r="181">
      <c r="B181">
        <f>IFERROR(__xludf.DUMMYFUNCTION("""COMPUTED_VALUE"""),176.0)</f>
        <v>176</v>
      </c>
      <c r="C181">
        <f>IFERROR(__xludf.DUMMYFUNCTION("""COMPUTED_VALUE"""),143.1)</f>
        <v>143.1</v>
      </c>
      <c r="D181" t="str">
        <f>IFERROR(__xludf.DUMMYFUNCTION("""COMPUTED_VALUE"""),"Marvin Bagley III")</f>
        <v>Marvin Bagley III</v>
      </c>
      <c r="E181">
        <f>IFERROR(__xludf.DUMMYFUNCTION("""COMPUTED_VALUE"""),71.0)</f>
        <v>71</v>
      </c>
      <c r="F181" t="str">
        <f>IFERROR(__xludf.DUMMYFUNCTION("""COMPUTED_VALUE"""),"PF,C")</f>
        <v>PF,C</v>
      </c>
      <c r="G181" s="11">
        <f>IFERROR(__xludf.DUMMYFUNCTION("""COMPUTED_VALUE"""),-2.523722691791712)</f>
        <v>-2.523722692</v>
      </c>
      <c r="H181" s="11">
        <f>IFERROR(__xludf.DUMMYFUNCTION("""COMPUTED_VALUE"""),-2.523722691791712)</f>
        <v>-2.523722692</v>
      </c>
      <c r="I181" s="11">
        <f>IFERROR(__xludf.DUMMYFUNCTION("""COMPUTED_VALUE"""),0.0)</f>
        <v>0</v>
      </c>
      <c r="J181" s="11">
        <f>IFERROR(__xludf.DUMMYFUNCTION("""COMPUTED_VALUE"""),13.4)</f>
        <v>13.4</v>
      </c>
      <c r="K181" s="11">
        <f>IFERROR(__xludf.DUMMYFUNCTION("""COMPUTED_VALUE"""),0.3)</f>
        <v>0.3</v>
      </c>
      <c r="L181" s="11">
        <f>IFERROR(__xludf.DUMMYFUNCTION("""COMPUTED_VALUE"""),7.2)</f>
        <v>7.2</v>
      </c>
      <c r="M181" s="11">
        <f>IFERROR(__xludf.DUMMYFUNCTION("""COMPUTED_VALUE"""),1.1)</f>
        <v>1.1</v>
      </c>
      <c r="N181" s="11">
        <f>IFERROR(__xludf.DUMMYFUNCTION("""COMPUTED_VALUE"""),0.5)</f>
        <v>0.5</v>
      </c>
      <c r="O181" s="11">
        <f>IFERROR(__xludf.DUMMYFUNCTION("""COMPUTED_VALUE"""),0.8)</f>
        <v>0.8</v>
      </c>
      <c r="P181" s="15">
        <f>IFERROR(__xludf.DUMMYFUNCTION("""COMPUTED_VALUE"""),0.558)</f>
        <v>0.558</v>
      </c>
      <c r="Q181" s="15">
        <f>IFERROR(__xludf.DUMMYFUNCTION("""COMPUTED_VALUE"""),0.755)</f>
        <v>0.755</v>
      </c>
      <c r="R181" s="11">
        <f>IFERROR(__xludf.DUMMYFUNCTION("""COMPUTED_VALUE"""),1.3)</f>
        <v>1.3</v>
      </c>
      <c r="S181" s="11">
        <f>IFERROR(__xludf.DUMMYFUNCTION("""COMPUTED_VALUE"""),-0.7346751579895191)</f>
        <v>-0.734675158</v>
      </c>
      <c r="T181" s="11">
        <f>IFERROR(__xludf.DUMMYFUNCTION("""COMPUTED_VALUE"""),-1.442113683980217)</f>
        <v>-1.442113684</v>
      </c>
      <c r="U181" s="11">
        <f>IFERROR(__xludf.DUMMYFUNCTION("""COMPUTED_VALUE"""),0.44369961510895767)</f>
        <v>0.4436996151</v>
      </c>
      <c r="V181" s="11">
        <f>IFERROR(__xludf.DUMMYFUNCTION("""COMPUTED_VALUE"""),-1.2920231850832664)</f>
        <v>-1.292023185</v>
      </c>
      <c r="W181" s="11">
        <f>IFERROR(__xludf.DUMMYFUNCTION("""COMPUTED_VALUE"""),-1.5805271231567248)</f>
        <v>-1.580527123</v>
      </c>
      <c r="X181" s="11">
        <f>IFERROR(__xludf.DUMMYFUNCTION("""COMPUTED_VALUE"""),0.09805746536669153)</f>
        <v>0.09805746537</v>
      </c>
      <c r="Y181" s="11">
        <f>IFERROR(__xludf.DUMMYFUNCTION("""COMPUTED_VALUE"""),0.7019912918791359)</f>
        <v>0.7019912919</v>
      </c>
      <c r="Z181" s="11">
        <f>IFERROR(__xludf.DUMMYFUNCTION("""COMPUTED_VALUE"""),-0.4099203548890881)</f>
        <v>-0.4099203549</v>
      </c>
      <c r="AA181" s="11">
        <f>IFERROR(__xludf.DUMMYFUNCTION("""COMPUTED_VALUE"""),0.11126131779559338)</f>
        <v>0.1112613178</v>
      </c>
      <c r="AB181" t="str">
        <f>IFERROR(__xludf.DUMMYFUNCTION("SUBSTITUTE(REGEXREPLACE(REGEXREPLACE(REGEXREPLACE(REGEXREPLACE(REGEXREPLACE(REGEXREPLACE(F181,"","",),IF(Projections!$T$17="""",""PG"",),),IF(Projections!$U$17="""",""SG"",),),IF(Projections!$V$17="""",""SF"",),),IF(Projections!$W$17="""",""PF"",),),IF(Pr"&amp;"ojections!$X$17="""",""C"",),),""/"","""")"),"PFC")</f>
        <v>PFC</v>
      </c>
    </row>
    <row r="182">
      <c r="B182">
        <f>IFERROR(__xludf.DUMMYFUNCTION("""COMPUTED_VALUE"""),177.0)</f>
        <v>177</v>
      </c>
      <c r="C182">
        <f>IFERROR(__xludf.DUMMYFUNCTION("""COMPUTED_VALUE"""),103.5)</f>
        <v>103.5</v>
      </c>
      <c r="D182" t="str">
        <f>IFERROR(__xludf.DUMMYFUNCTION("""COMPUTED_VALUE"""),"Zach Edey")</f>
        <v>Zach Edey</v>
      </c>
      <c r="E182">
        <f>IFERROR(__xludf.DUMMYFUNCTION("""COMPUTED_VALUE"""),66.0)</f>
        <v>66</v>
      </c>
      <c r="F182" t="str">
        <f>IFERROR(__xludf.DUMMYFUNCTION("""COMPUTED_VALUE"""),"C")</f>
        <v>C</v>
      </c>
      <c r="G182" s="11">
        <f>IFERROR(__xludf.DUMMYFUNCTION("""COMPUTED_VALUE"""),-2.5501681166923964)</f>
        <v>-2.550168117</v>
      </c>
      <c r="H182" s="11">
        <f>IFERROR(__xludf.DUMMYFUNCTION("""COMPUTED_VALUE"""),-2.5501681166923964)</f>
        <v>-2.550168117</v>
      </c>
      <c r="I182" s="11">
        <f>IFERROR(__xludf.DUMMYFUNCTION("""COMPUTED_VALUE"""),0.0)</f>
        <v>0</v>
      </c>
      <c r="J182" s="11">
        <f>IFERROR(__xludf.DUMMYFUNCTION("""COMPUTED_VALUE"""),10.2)</f>
        <v>10.2</v>
      </c>
      <c r="K182" s="11">
        <f>IFERROR(__xludf.DUMMYFUNCTION("""COMPUTED_VALUE"""),0.0)</f>
        <v>0</v>
      </c>
      <c r="L182" s="11">
        <f>IFERROR(__xludf.DUMMYFUNCTION("""COMPUTED_VALUE"""),7.2)</f>
        <v>7.2</v>
      </c>
      <c r="M182" s="11">
        <f>IFERROR(__xludf.DUMMYFUNCTION("""COMPUTED_VALUE"""),1.3)</f>
        <v>1.3</v>
      </c>
      <c r="N182" s="11">
        <f>IFERROR(__xludf.DUMMYFUNCTION("""COMPUTED_VALUE"""),0.3)</f>
        <v>0.3</v>
      </c>
      <c r="O182" s="11">
        <f>IFERROR(__xludf.DUMMYFUNCTION("""COMPUTED_VALUE"""),1.3)</f>
        <v>1.3</v>
      </c>
      <c r="P182" s="15">
        <f>IFERROR(__xludf.DUMMYFUNCTION("""COMPUTED_VALUE"""),0.575)</f>
        <v>0.575</v>
      </c>
      <c r="Q182" s="15">
        <f>IFERROR(__xludf.DUMMYFUNCTION("""COMPUTED_VALUE"""),0.729)</f>
        <v>0.729</v>
      </c>
      <c r="R182" s="11">
        <f>IFERROR(__xludf.DUMMYFUNCTION("""COMPUTED_VALUE"""),1.0)</f>
        <v>1</v>
      </c>
      <c r="S182" s="11">
        <f>IFERROR(__xludf.DUMMYFUNCTION("""COMPUTED_VALUE"""),-1.3127488208140388)</f>
        <v>-1.312748821</v>
      </c>
      <c r="T182" s="11">
        <f>IFERROR(__xludf.DUMMYFUNCTION("""COMPUTED_VALUE"""),-1.7406865810748415)</f>
        <v>-1.740686581</v>
      </c>
      <c r="U182" s="11">
        <f>IFERROR(__xludf.DUMMYFUNCTION("""COMPUTED_VALUE"""),0.44369961510895767)</f>
        <v>0.4436996151</v>
      </c>
      <c r="V182" s="11">
        <f>IFERROR(__xludf.DUMMYFUNCTION("""COMPUTED_VALUE"""),-1.2008996442390003)</f>
        <v>-1.200899644</v>
      </c>
      <c r="W182" s="11">
        <f>IFERROR(__xludf.DUMMYFUNCTION("""COMPUTED_VALUE"""),-2.2443924794756835)</f>
        <v>-2.244392479</v>
      </c>
      <c r="X182" s="11">
        <f>IFERROR(__xludf.DUMMYFUNCTION("""COMPUTED_VALUE"""),0.9900259756299733)</f>
        <v>0.9900259756</v>
      </c>
      <c r="Y182" s="11">
        <f>IFERROR(__xludf.DUMMYFUNCTION("""COMPUTED_VALUE"""),0.6683571941235128)</f>
        <v>0.6683571941</v>
      </c>
      <c r="Z182" s="11">
        <f>IFERROR(__xludf.DUMMYFUNCTION("""COMPUTED_VALUE"""),-0.5835718136505137)</f>
        <v>-0.5835718137</v>
      </c>
      <c r="AA182" s="11">
        <f>IFERROR(__xludf.DUMMYFUNCTION("""COMPUTED_VALUE"""),0.18565595822355335)</f>
        <v>0.1856559582</v>
      </c>
      <c r="AB182" t="str">
        <f>IFERROR(__xludf.DUMMYFUNCTION("SUBSTITUTE(REGEXREPLACE(REGEXREPLACE(REGEXREPLACE(REGEXREPLACE(REGEXREPLACE(REGEXREPLACE(F182,"","",),IF(Projections!$T$17="""",""PG"",),),IF(Projections!$U$17="""",""SG"",),),IF(Projections!$V$17="""",""SF"",),),IF(Projections!$W$17="""",""PF"",),),IF(Pr"&amp;"ojections!$X$17="""",""C"",),),""/"","""")"),"C")</f>
        <v>C</v>
      </c>
    </row>
    <row r="183">
      <c r="B183">
        <f>IFERROR(__xludf.DUMMYFUNCTION("""COMPUTED_VALUE"""),178.0)</f>
        <v>178</v>
      </c>
      <c r="C183">
        <f>IFERROR(__xludf.DUMMYFUNCTION("""COMPUTED_VALUE"""),139.0)</f>
        <v>139</v>
      </c>
      <c r="D183" t="str">
        <f>IFERROR(__xludf.DUMMYFUNCTION("""COMPUTED_VALUE"""),"Zaccharie Risacher")</f>
        <v>Zaccharie Risacher</v>
      </c>
      <c r="E183">
        <f>IFERROR(__xludf.DUMMYFUNCTION("""COMPUTED_VALUE"""),66.0)</f>
        <v>66</v>
      </c>
      <c r="F183" t="str">
        <f>IFERROR(__xludf.DUMMYFUNCTION("""COMPUTED_VALUE"""),"SF")</f>
        <v>SF</v>
      </c>
      <c r="G183" s="11">
        <f>IFERROR(__xludf.DUMMYFUNCTION("""COMPUTED_VALUE"""),-2.5842589189554754)</f>
        <v>-2.584258919</v>
      </c>
      <c r="H183" s="11">
        <f>IFERROR(__xludf.DUMMYFUNCTION("""COMPUTED_VALUE"""),-2.5842589189554754)</f>
        <v>-2.584258919</v>
      </c>
      <c r="I183" s="11">
        <f>IFERROR(__xludf.DUMMYFUNCTION("""COMPUTED_VALUE"""),0.0)</f>
        <v>0</v>
      </c>
      <c r="J183" s="11">
        <f>IFERROR(__xludf.DUMMYFUNCTION("""COMPUTED_VALUE"""),13.6)</f>
        <v>13.6</v>
      </c>
      <c r="K183" s="11">
        <f>IFERROR(__xludf.DUMMYFUNCTION("""COMPUTED_VALUE"""),1.4)</f>
        <v>1.4</v>
      </c>
      <c r="L183" s="11">
        <f>IFERROR(__xludf.DUMMYFUNCTION("""COMPUTED_VALUE"""),4.1)</f>
        <v>4.1</v>
      </c>
      <c r="M183" s="11">
        <f>IFERROR(__xludf.DUMMYFUNCTION("""COMPUTED_VALUE"""),1.5)</f>
        <v>1.5</v>
      </c>
      <c r="N183" s="11">
        <f>IFERROR(__xludf.DUMMYFUNCTION("""COMPUTED_VALUE"""),1.1)</f>
        <v>1.1</v>
      </c>
      <c r="O183" s="11">
        <f>IFERROR(__xludf.DUMMYFUNCTION("""COMPUTED_VALUE"""),0.7)</f>
        <v>0.7</v>
      </c>
      <c r="P183" s="15">
        <f>IFERROR(__xludf.DUMMYFUNCTION("""COMPUTED_VALUE"""),0.452)</f>
        <v>0.452</v>
      </c>
      <c r="Q183" s="15">
        <f>IFERROR(__xludf.DUMMYFUNCTION("""COMPUTED_VALUE"""),0.74)</f>
        <v>0.74</v>
      </c>
      <c r="R183" s="11">
        <f>IFERROR(__xludf.DUMMYFUNCTION("""COMPUTED_VALUE"""),1.6)</f>
        <v>1.6</v>
      </c>
      <c r="S183" s="11">
        <f>IFERROR(__xludf.DUMMYFUNCTION("""COMPUTED_VALUE"""),-0.6985455540629868)</f>
        <v>-0.6985455541</v>
      </c>
      <c r="T183" s="11">
        <f>IFERROR(__xludf.DUMMYFUNCTION("""COMPUTED_VALUE"""),-0.34734639463326067)</f>
        <v>-0.3473463946</v>
      </c>
      <c r="U183" s="11">
        <f>IFERROR(__xludf.DUMMYFUNCTION("""COMPUTED_VALUE"""),-0.7723178897651785)</f>
        <v>-0.7723178898</v>
      </c>
      <c r="V183" s="11">
        <f>IFERROR(__xludf.DUMMYFUNCTION("""COMPUTED_VALUE"""),-1.1097761033947346)</f>
        <v>-1.109776103</v>
      </c>
      <c r="W183" s="11">
        <f>IFERROR(__xludf.DUMMYFUNCTION("""COMPUTED_VALUE"""),0.41106894580015185)</f>
        <v>0.4110689458</v>
      </c>
      <c r="X183" s="11">
        <f>IFERROR(__xludf.DUMMYFUNCTION("""COMPUTED_VALUE"""),-0.08033623668596498)</f>
        <v>-0.08033623669</v>
      </c>
      <c r="Y183" s="11">
        <f>IFERROR(__xludf.DUMMYFUNCTION("""COMPUTED_VALUE"""),-0.5891237230549553)</f>
        <v>-0.5891237231</v>
      </c>
      <c r="Z183" s="11">
        <f>IFERROR(__xludf.DUMMYFUNCTION("""COMPUTED_VALUE"""),-0.5445247439209143)</f>
        <v>-0.5445247439</v>
      </c>
      <c r="AA183" s="11">
        <f>IFERROR(__xludf.DUMMYFUNCTION("""COMPUTED_VALUE"""),0.036866677367633396)</f>
        <v>0.03686667737</v>
      </c>
      <c r="AB183" t="str">
        <f>IFERROR(__xludf.DUMMYFUNCTION("SUBSTITUTE(REGEXREPLACE(REGEXREPLACE(REGEXREPLACE(REGEXREPLACE(REGEXREPLACE(REGEXREPLACE(F183,"","",),IF(Projections!$T$17="""",""PG"",),),IF(Projections!$U$17="""",""SG"",),),IF(Projections!$V$17="""",""SF"",),),IF(Projections!$W$17="""",""PF"",),),IF(Pr"&amp;"ojections!$X$17="""",""C"",),),""/"","""")"),"SF")</f>
        <v>SF</v>
      </c>
    </row>
    <row r="184">
      <c r="B184">
        <f>IFERROR(__xludf.DUMMYFUNCTION("""COMPUTED_VALUE"""),179.0)</f>
        <v>179</v>
      </c>
      <c r="C184">
        <f>IFERROR(__xludf.DUMMYFUNCTION("""COMPUTED_VALUE"""),147.0)</f>
        <v>147</v>
      </c>
      <c r="D184" t="str">
        <f>IFERROR(__xludf.DUMMYFUNCTION("""COMPUTED_VALUE"""),"Patrick Williams")</f>
        <v>Patrick Williams</v>
      </c>
      <c r="E184">
        <f>IFERROR(__xludf.DUMMYFUNCTION("""COMPUTED_VALUE"""),56.0)</f>
        <v>56</v>
      </c>
      <c r="F184" t="str">
        <f>IFERROR(__xludf.DUMMYFUNCTION("""COMPUTED_VALUE"""),"PF")</f>
        <v>PF</v>
      </c>
      <c r="G184" s="11">
        <f>IFERROR(__xludf.DUMMYFUNCTION("""COMPUTED_VALUE"""),-2.586000580081312)</f>
        <v>-2.58600058</v>
      </c>
      <c r="H184" s="11">
        <f>IFERROR(__xludf.DUMMYFUNCTION("""COMPUTED_VALUE"""),-2.586000580081312)</f>
        <v>-2.58600058</v>
      </c>
      <c r="I184" s="11">
        <f>IFERROR(__xludf.DUMMYFUNCTION("""COMPUTED_VALUE"""),0.0)</f>
        <v>0</v>
      </c>
      <c r="J184" s="11">
        <f>IFERROR(__xludf.DUMMYFUNCTION("""COMPUTED_VALUE"""),10.3)</f>
        <v>10.3</v>
      </c>
      <c r="K184" s="11">
        <f>IFERROR(__xludf.DUMMYFUNCTION("""COMPUTED_VALUE"""),1.4)</f>
        <v>1.4</v>
      </c>
      <c r="L184" s="11">
        <f>IFERROR(__xludf.DUMMYFUNCTION("""COMPUTED_VALUE"""),4.0)</f>
        <v>4</v>
      </c>
      <c r="M184" s="11">
        <f>IFERROR(__xludf.DUMMYFUNCTION("""COMPUTED_VALUE"""),1.4)</f>
        <v>1.4</v>
      </c>
      <c r="N184" s="11">
        <f>IFERROR(__xludf.DUMMYFUNCTION("""COMPUTED_VALUE"""),0.9)</f>
        <v>0.9</v>
      </c>
      <c r="O184" s="11">
        <f>IFERROR(__xludf.DUMMYFUNCTION("""COMPUTED_VALUE"""),0.8)</f>
        <v>0.8</v>
      </c>
      <c r="P184" s="15">
        <f>IFERROR(__xludf.DUMMYFUNCTION("""COMPUTED_VALUE"""),0.457)</f>
        <v>0.457</v>
      </c>
      <c r="Q184" s="15">
        <f>IFERROR(__xludf.DUMMYFUNCTION("""COMPUTED_VALUE"""),0.829)</f>
        <v>0.829</v>
      </c>
      <c r="R184" s="11">
        <f>IFERROR(__xludf.DUMMYFUNCTION("""COMPUTED_VALUE"""),1.3)</f>
        <v>1.3</v>
      </c>
      <c r="S184" s="11">
        <f>IFERROR(__xludf.DUMMYFUNCTION("""COMPUTED_VALUE"""),-1.2946840188507724)</f>
        <v>-1.294684019</v>
      </c>
      <c r="T184" s="11">
        <f>IFERROR(__xludf.DUMMYFUNCTION("""COMPUTED_VALUE"""),-0.34734639463326067)</f>
        <v>-0.3473463946</v>
      </c>
      <c r="U184" s="11">
        <f>IFERROR(__xludf.DUMMYFUNCTION("""COMPUTED_VALUE"""),-0.8115442608901504)</f>
        <v>-0.8115442609</v>
      </c>
      <c r="V184" s="11">
        <f>IFERROR(__xludf.DUMMYFUNCTION("""COMPUTED_VALUE"""),-1.1553378738168676)</f>
        <v>-1.155337874</v>
      </c>
      <c r="W184" s="11">
        <f>IFERROR(__xludf.DUMMYFUNCTION("""COMPUTED_VALUE"""),-0.25279641051880714)</f>
        <v>-0.2527964105</v>
      </c>
      <c r="X184" s="11">
        <f>IFERROR(__xludf.DUMMYFUNCTION("""COMPUTED_VALUE"""),0.09805746536669153)</f>
        <v>0.09805746537</v>
      </c>
      <c r="Y184" s="11">
        <f>IFERROR(__xludf.DUMMYFUNCTION("""COMPUTED_VALUE"""),-0.3972927866841364)</f>
        <v>-0.3972927867</v>
      </c>
      <c r="Z184" s="11">
        <f>IFERROR(__xludf.DUMMYFUNCTION("""COMPUTED_VALUE"""),0.16899836329962553)</f>
        <v>0.1689983633</v>
      </c>
      <c r="AA184" s="11">
        <f>IFERROR(__xludf.DUMMYFUNCTION("""COMPUTED_VALUE"""),0.11126131779559338)</f>
        <v>0.1112613178</v>
      </c>
      <c r="AB184" t="str">
        <f>IFERROR(__xludf.DUMMYFUNCTION("SUBSTITUTE(REGEXREPLACE(REGEXREPLACE(REGEXREPLACE(REGEXREPLACE(REGEXREPLACE(REGEXREPLACE(F184,"","",),IF(Projections!$T$17="""",""PG"",),),IF(Projections!$U$17="""",""SG"",),),IF(Projections!$V$17="""",""SF"",),),IF(Projections!$W$17="""",""PF"",),),IF(Pr"&amp;"ojections!$X$17="""",""C"",),),""/"","""")"),"PF")</f>
        <v>PF</v>
      </c>
    </row>
    <row r="185">
      <c r="B185">
        <f>IFERROR(__xludf.DUMMYFUNCTION("""COMPUTED_VALUE"""),180.0)</f>
        <v>180</v>
      </c>
      <c r="C185">
        <f>IFERROR(__xludf.DUMMYFUNCTION("""COMPUTED_VALUE"""),143.4)</f>
        <v>143.4</v>
      </c>
      <c r="D185" t="str">
        <f>IFERROR(__xludf.DUMMYFUNCTION("""COMPUTED_VALUE"""),"T.J. McConnell")</f>
        <v>T.J. McConnell</v>
      </c>
      <c r="E185">
        <f>IFERROR(__xludf.DUMMYFUNCTION("""COMPUTED_VALUE"""),71.0)</f>
        <v>71</v>
      </c>
      <c r="F185" t="str">
        <f>IFERROR(__xludf.DUMMYFUNCTION("""COMPUTED_VALUE"""),"PG")</f>
        <v>PG</v>
      </c>
      <c r="G185" s="11">
        <f>IFERROR(__xludf.DUMMYFUNCTION("""COMPUTED_VALUE"""),-2.634397130721645)</f>
        <v>-2.634397131</v>
      </c>
      <c r="H185" s="11">
        <f>IFERROR(__xludf.DUMMYFUNCTION("""COMPUTED_VALUE"""),-2.634397130721645)</f>
        <v>-2.634397131</v>
      </c>
      <c r="I185" s="11">
        <f>IFERROR(__xludf.DUMMYFUNCTION("""COMPUTED_VALUE"""),0.0)</f>
        <v>0</v>
      </c>
      <c r="J185" s="11">
        <f>IFERROR(__xludf.DUMMYFUNCTION("""COMPUTED_VALUE"""),9.2)</f>
        <v>9.2</v>
      </c>
      <c r="K185" s="11">
        <f>IFERROR(__xludf.DUMMYFUNCTION("""COMPUTED_VALUE"""),0.3)</f>
        <v>0.3</v>
      </c>
      <c r="L185" s="11">
        <f>IFERROR(__xludf.DUMMYFUNCTION("""COMPUTED_VALUE"""),2.8)</f>
        <v>2.8</v>
      </c>
      <c r="M185" s="11">
        <f>IFERROR(__xludf.DUMMYFUNCTION("""COMPUTED_VALUE"""),5.3)</f>
        <v>5.3</v>
      </c>
      <c r="N185" s="11">
        <f>IFERROR(__xludf.DUMMYFUNCTION("""COMPUTED_VALUE"""),1.0)</f>
        <v>1</v>
      </c>
      <c r="O185" s="11">
        <f>IFERROR(__xludf.DUMMYFUNCTION("""COMPUTED_VALUE"""),0.1)</f>
        <v>0.1</v>
      </c>
      <c r="P185" s="15">
        <f>IFERROR(__xludf.DUMMYFUNCTION("""COMPUTED_VALUE"""),0.55)</f>
        <v>0.55</v>
      </c>
      <c r="Q185" s="15">
        <f>IFERROR(__xludf.DUMMYFUNCTION("""COMPUTED_VALUE"""),0.816)</f>
        <v>0.816</v>
      </c>
      <c r="R185" s="11">
        <f>IFERROR(__xludf.DUMMYFUNCTION("""COMPUTED_VALUE"""),1.7)</f>
        <v>1.7</v>
      </c>
      <c r="S185" s="11">
        <f>IFERROR(__xludf.DUMMYFUNCTION("""COMPUTED_VALUE"""),-1.4933968404467013)</f>
        <v>-1.49339684</v>
      </c>
      <c r="T185" s="11">
        <f>IFERROR(__xludf.DUMMYFUNCTION("""COMPUTED_VALUE"""),-1.442113683980217)</f>
        <v>-1.442113684</v>
      </c>
      <c r="U185" s="11">
        <f>IFERROR(__xludf.DUMMYFUNCTION("""COMPUTED_VALUE"""),-1.282260714389816)</f>
        <v>-1.282260714</v>
      </c>
      <c r="V185" s="11">
        <f>IFERROR(__xludf.DUMMYFUNCTION("""COMPUTED_VALUE"""),0.6215711726463173)</f>
        <v>0.6215711726</v>
      </c>
      <c r="W185" s="11">
        <f>IFERROR(__xludf.DUMMYFUNCTION("""COMPUTED_VALUE"""),0.07913626764067216)</f>
        <v>0.07913626764</v>
      </c>
      <c r="X185" s="11">
        <f>IFERROR(__xludf.DUMMYFUNCTION("""COMPUTED_VALUE"""),-1.150698449001903)</f>
        <v>-1.150698449</v>
      </c>
      <c r="Y185" s="11">
        <f>IFERROR(__xludf.DUMMYFUNCTION("""COMPUTED_VALUE"""),0.46069260301935183)</f>
        <v>0.460692603</v>
      </c>
      <c r="Z185" s="11">
        <f>IFERROR(__xludf.DUMMYFUNCTION("""COMPUTED_VALUE"""),0.06720720945230364)</f>
        <v>0.06720720945</v>
      </c>
      <c r="AA185" s="11">
        <f>IFERROR(__xludf.DUMMYFUNCTION("""COMPUTED_VALUE"""),0.012068463891646777)</f>
        <v>0.01206846389</v>
      </c>
      <c r="AB185" t="str">
        <f>IFERROR(__xludf.DUMMYFUNCTION("SUBSTITUTE(REGEXREPLACE(REGEXREPLACE(REGEXREPLACE(REGEXREPLACE(REGEXREPLACE(REGEXREPLACE(F185,"","",),IF(Projections!$T$17="""",""PG"",),),IF(Projections!$U$17="""",""SG"",),),IF(Projections!$V$17="""",""SF"",),),IF(Projections!$W$17="""",""PF"",),),IF(Pr"&amp;"ojections!$X$17="""",""C"",),),""/"","""")"),"PG")</f>
        <v>PG</v>
      </c>
    </row>
    <row r="186">
      <c r="B186">
        <f>IFERROR(__xludf.DUMMYFUNCTION("""COMPUTED_VALUE"""),181.0)</f>
        <v>181</v>
      </c>
      <c r="C186">
        <f>IFERROR(__xludf.DUMMYFUNCTION("""COMPUTED_VALUE"""),144.2)</f>
        <v>144.2</v>
      </c>
      <c r="D186" t="str">
        <f>IFERROR(__xludf.DUMMYFUNCTION("""COMPUTED_VALUE"""),"Noah Clowney")</f>
        <v>Noah Clowney</v>
      </c>
      <c r="E186">
        <f>IFERROR(__xludf.DUMMYFUNCTION("""COMPUTED_VALUE"""),71.0)</f>
        <v>71</v>
      </c>
      <c r="F186" t="str">
        <f>IFERROR(__xludf.DUMMYFUNCTION("""COMPUTED_VALUE"""),"SF,PF,C")</f>
        <v>SF,PF,C</v>
      </c>
      <c r="G186" s="11">
        <f>IFERROR(__xludf.DUMMYFUNCTION("""COMPUTED_VALUE"""),-2.6771141361927673)</f>
        <v>-2.677114136</v>
      </c>
      <c r="H186" s="11">
        <f>IFERROR(__xludf.DUMMYFUNCTION("""COMPUTED_VALUE"""),-2.6771141361927673)</f>
        <v>-2.677114136</v>
      </c>
      <c r="I186" s="11">
        <f>IFERROR(__xludf.DUMMYFUNCTION("""COMPUTED_VALUE"""),0.0)</f>
        <v>0</v>
      </c>
      <c r="J186" s="11">
        <f>IFERROR(__xludf.DUMMYFUNCTION("""COMPUTED_VALUE"""),9.7)</f>
        <v>9.7</v>
      </c>
      <c r="K186" s="11">
        <f>IFERROR(__xludf.DUMMYFUNCTION("""COMPUTED_VALUE"""),0.9)</f>
        <v>0.9</v>
      </c>
      <c r="L186" s="11">
        <f>IFERROR(__xludf.DUMMYFUNCTION("""COMPUTED_VALUE"""),5.8)</f>
        <v>5.8</v>
      </c>
      <c r="M186" s="11">
        <f>IFERROR(__xludf.DUMMYFUNCTION("""COMPUTED_VALUE"""),1.3)</f>
        <v>1.3</v>
      </c>
      <c r="N186" s="11">
        <f>IFERROR(__xludf.DUMMYFUNCTION("""COMPUTED_VALUE"""),0.6)</f>
        <v>0.6</v>
      </c>
      <c r="O186" s="11">
        <f>IFERROR(__xludf.DUMMYFUNCTION("""COMPUTED_VALUE"""),1.1)</f>
        <v>1.1</v>
      </c>
      <c r="P186" s="15">
        <f>IFERROR(__xludf.DUMMYFUNCTION("""COMPUTED_VALUE"""),0.552)</f>
        <v>0.552</v>
      </c>
      <c r="Q186" s="15">
        <f>IFERROR(__xludf.DUMMYFUNCTION("""COMPUTED_VALUE"""),0.728)</f>
        <v>0.728</v>
      </c>
      <c r="R186" s="11">
        <f>IFERROR(__xludf.DUMMYFUNCTION("""COMPUTED_VALUE"""),1.1)</f>
        <v>1.1</v>
      </c>
      <c r="S186" s="11">
        <f>IFERROR(__xludf.DUMMYFUNCTION("""COMPUTED_VALUE"""),-1.4030728306303701)</f>
        <v>-1.403072831</v>
      </c>
      <c r="T186" s="11">
        <f>IFERROR(__xludf.DUMMYFUNCTION("""COMPUTED_VALUE"""),-0.844967889790968)</f>
        <v>-0.8449678898</v>
      </c>
      <c r="U186" s="11">
        <f>IFERROR(__xludf.DUMMYFUNCTION("""COMPUTED_VALUE"""),-0.1054695806406522)</f>
        <v>-0.1054695806</v>
      </c>
      <c r="V186" s="11">
        <f>IFERROR(__xludf.DUMMYFUNCTION("""COMPUTED_VALUE"""),-1.2008996442390003)</f>
        <v>-1.200899644</v>
      </c>
      <c r="W186" s="11">
        <f>IFERROR(__xludf.DUMMYFUNCTION("""COMPUTED_VALUE"""),-1.2485944449972455)</f>
        <v>-1.248594445</v>
      </c>
      <c r="X186" s="11">
        <f>IFERROR(__xludf.DUMMYFUNCTION("""COMPUTED_VALUE"""),0.6332385715246607)</f>
        <v>0.6332385715</v>
      </c>
      <c r="Y186" s="11">
        <f>IFERROR(__xludf.DUMMYFUNCTION("""COMPUTED_VALUE"""),0.4263584093534611)</f>
        <v>0.4263584094</v>
      </c>
      <c r="Z186" s="11">
        <f>IFERROR(__xludf.DUMMYFUNCTION("""COMPUTED_VALUE"""),-0.49763730215059027)</f>
        <v>-0.4976373022</v>
      </c>
      <c r="AA186" s="11">
        <f>IFERROR(__xludf.DUMMYFUNCTION("""COMPUTED_VALUE"""),0.16085774474756667)</f>
        <v>0.1608577447</v>
      </c>
      <c r="AB186" t="str">
        <f>IFERROR(__xludf.DUMMYFUNCTION("SUBSTITUTE(REGEXREPLACE(REGEXREPLACE(REGEXREPLACE(REGEXREPLACE(REGEXREPLACE(REGEXREPLACE(F186,"","",),IF(Projections!$T$17="""",""PG"",),),IF(Projections!$U$17="""",""SG"",),),IF(Projections!$V$17="""",""SF"",),),IF(Projections!$W$17="""",""PF"",),),IF(Pr"&amp;"ojections!$X$17="""",""C"",),),""/"","""")"),"SFPFC")</f>
        <v>SFPFC</v>
      </c>
    </row>
    <row r="187">
      <c r="B187">
        <f>IFERROR(__xludf.DUMMYFUNCTION("""COMPUTED_VALUE"""),182.0)</f>
        <v>182</v>
      </c>
      <c r="C187">
        <f>IFERROR(__xludf.DUMMYFUNCTION("""COMPUTED_VALUE"""),143.3)</f>
        <v>143.3</v>
      </c>
      <c r="D187" t="str">
        <f>IFERROR(__xludf.DUMMYFUNCTION("""COMPUTED_VALUE"""),"Donovan Clingan")</f>
        <v>Donovan Clingan</v>
      </c>
      <c r="E187">
        <f>IFERROR(__xludf.DUMMYFUNCTION("""COMPUTED_VALUE"""),66.0)</f>
        <v>66</v>
      </c>
      <c r="F187" t="str">
        <f>IFERROR(__xludf.DUMMYFUNCTION("""COMPUTED_VALUE"""),"C")</f>
        <v>C</v>
      </c>
      <c r="G187" s="11">
        <f>IFERROR(__xludf.DUMMYFUNCTION("""COMPUTED_VALUE"""),-2.686460477070991)</f>
        <v>-2.686460477</v>
      </c>
      <c r="H187" s="11">
        <f>IFERROR(__xludf.DUMMYFUNCTION("""COMPUTED_VALUE"""),-2.686460477070991)</f>
        <v>-2.686460477</v>
      </c>
      <c r="I187" s="11">
        <f>IFERROR(__xludf.DUMMYFUNCTION("""COMPUTED_VALUE"""),0.0)</f>
        <v>0</v>
      </c>
      <c r="J187" s="11">
        <f>IFERROR(__xludf.DUMMYFUNCTION("""COMPUTED_VALUE"""),10.2)</f>
        <v>10.2</v>
      </c>
      <c r="K187" s="11">
        <f>IFERROR(__xludf.DUMMYFUNCTION("""COMPUTED_VALUE"""),0.3)</f>
        <v>0.3</v>
      </c>
      <c r="L187" s="11">
        <f>IFERROR(__xludf.DUMMYFUNCTION("""COMPUTED_VALUE"""),5.6)</f>
        <v>5.6</v>
      </c>
      <c r="M187" s="11">
        <f>IFERROR(__xludf.DUMMYFUNCTION("""COMPUTED_VALUE"""),1.2)</f>
        <v>1.2</v>
      </c>
      <c r="N187" s="11">
        <f>IFERROR(__xludf.DUMMYFUNCTION("""COMPUTED_VALUE"""),0.4)</f>
        <v>0.4</v>
      </c>
      <c r="O187" s="11">
        <f>IFERROR(__xludf.DUMMYFUNCTION("""COMPUTED_VALUE"""),1.9)</f>
        <v>1.9</v>
      </c>
      <c r="P187" s="15">
        <f>IFERROR(__xludf.DUMMYFUNCTION("""COMPUTED_VALUE"""),0.639)</f>
        <v>0.639</v>
      </c>
      <c r="Q187" s="15">
        <f>IFERROR(__xludf.DUMMYFUNCTION("""COMPUTED_VALUE"""),0.608)</f>
        <v>0.608</v>
      </c>
      <c r="R187" s="11">
        <f>IFERROR(__xludf.DUMMYFUNCTION("""COMPUTED_VALUE"""),0.6)</f>
        <v>0.6</v>
      </c>
      <c r="S187" s="11">
        <f>IFERROR(__xludf.DUMMYFUNCTION("""COMPUTED_VALUE"""),-1.3127488208140388)</f>
        <v>-1.312748821</v>
      </c>
      <c r="T187" s="11">
        <f>IFERROR(__xludf.DUMMYFUNCTION("""COMPUTED_VALUE"""),-1.442113683980217)</f>
        <v>-1.442113684</v>
      </c>
      <c r="U187" s="11">
        <f>IFERROR(__xludf.DUMMYFUNCTION("""COMPUTED_VALUE"""),-0.1839223228905965)</f>
        <v>-0.1839223229</v>
      </c>
      <c r="V187" s="11">
        <f>IFERROR(__xludf.DUMMYFUNCTION("""COMPUTED_VALUE"""),-1.2464614146611335)</f>
        <v>-1.246461415</v>
      </c>
      <c r="W187" s="11">
        <f>IFERROR(__xludf.DUMMYFUNCTION("""COMPUTED_VALUE"""),-1.912459801316204)</f>
        <v>-1.912459801</v>
      </c>
      <c r="X187" s="11">
        <f>IFERROR(__xludf.DUMMYFUNCTION("""COMPUTED_VALUE"""),2.0603881879459114)</f>
        <v>2.060388188</v>
      </c>
      <c r="Y187" s="11">
        <f>IFERROR(__xludf.DUMMYFUNCTION("""COMPUTED_VALUE"""),1.066008566517787)</f>
        <v>1.066008567</v>
      </c>
      <c r="Z187" s="11">
        <f>IFERROR(__xludf.DUMMYFUNCTION("""COMPUTED_VALUE"""),-1.9196270277733045)</f>
        <v>-1.919627028</v>
      </c>
      <c r="AA187" s="11">
        <f>IFERROR(__xludf.DUMMYFUNCTION("""COMPUTED_VALUE"""),0.28484881212749996)</f>
        <v>0.2848488121</v>
      </c>
      <c r="AB187" t="str">
        <f>IFERROR(__xludf.DUMMYFUNCTION("SUBSTITUTE(REGEXREPLACE(REGEXREPLACE(REGEXREPLACE(REGEXREPLACE(REGEXREPLACE(REGEXREPLACE(F187,"","",),IF(Projections!$T$17="""",""PG"",),),IF(Projections!$U$17="""",""SG"",),),IF(Projections!$V$17="""",""SF"",),),IF(Projections!$W$17="""",""PF"",),),IF(Pr"&amp;"ojections!$X$17="""",""C"",),),""/"","""")"),"C")</f>
        <v>C</v>
      </c>
    </row>
    <row r="188">
      <c r="B188">
        <f>IFERROR(__xludf.DUMMYFUNCTION("""COMPUTED_VALUE"""),183.0)</f>
        <v>183</v>
      </c>
      <c r="C188">
        <f>IFERROR(__xludf.DUMMYFUNCTION("""COMPUTED_VALUE"""),142.6)</f>
        <v>142.6</v>
      </c>
      <c r="D188" t="str">
        <f>IFERROR(__xludf.DUMMYFUNCTION("""COMPUTED_VALUE"""),"Nikola Jovic")</f>
        <v>Nikola Jovic</v>
      </c>
      <c r="E188">
        <f>IFERROR(__xludf.DUMMYFUNCTION("""COMPUTED_VALUE"""),71.0)</f>
        <v>71</v>
      </c>
      <c r="F188" t="str">
        <f>IFERROR(__xludf.DUMMYFUNCTION("""COMPUTED_VALUE"""),"PF,C")</f>
        <v>PF,C</v>
      </c>
      <c r="G188" s="11">
        <f>IFERROR(__xludf.DUMMYFUNCTION("""COMPUTED_VALUE"""),-2.709037756226355)</f>
        <v>-2.709037756</v>
      </c>
      <c r="H188" s="11">
        <f>IFERROR(__xludf.DUMMYFUNCTION("""COMPUTED_VALUE"""),-2.709037756226355)</f>
        <v>-2.709037756</v>
      </c>
      <c r="I188" s="11">
        <f>IFERROR(__xludf.DUMMYFUNCTION("""COMPUTED_VALUE"""),0.0)</f>
        <v>0</v>
      </c>
      <c r="J188" s="11">
        <f>IFERROR(__xludf.DUMMYFUNCTION("""COMPUTED_VALUE"""),10.4)</f>
        <v>10.4</v>
      </c>
      <c r="K188" s="11">
        <f>IFERROR(__xludf.DUMMYFUNCTION("""COMPUTED_VALUE"""),1.8)</f>
        <v>1.8</v>
      </c>
      <c r="L188" s="11">
        <f>IFERROR(__xludf.DUMMYFUNCTION("""COMPUTED_VALUE"""),5.3)</f>
        <v>5.3</v>
      </c>
      <c r="M188" s="11">
        <f>IFERROR(__xludf.DUMMYFUNCTION("""COMPUTED_VALUE"""),2.4)</f>
        <v>2.4</v>
      </c>
      <c r="N188" s="11">
        <f>IFERROR(__xludf.DUMMYFUNCTION("""COMPUTED_VALUE"""),0.8)</f>
        <v>0.8</v>
      </c>
      <c r="O188" s="11">
        <f>IFERROR(__xludf.DUMMYFUNCTION("""COMPUTED_VALUE"""),0.4)</f>
        <v>0.4</v>
      </c>
      <c r="P188" s="15">
        <f>IFERROR(__xludf.DUMMYFUNCTION("""COMPUTED_VALUE"""),0.443)</f>
        <v>0.443</v>
      </c>
      <c r="Q188" s="15">
        <f>IFERROR(__xludf.DUMMYFUNCTION("""COMPUTED_VALUE"""),0.766)</f>
        <v>0.766</v>
      </c>
      <c r="R188" s="11">
        <f>IFERROR(__xludf.DUMMYFUNCTION("""COMPUTED_VALUE"""),1.2)</f>
        <v>1.2</v>
      </c>
      <c r="S188" s="11">
        <f>IFERROR(__xludf.DUMMYFUNCTION("""COMPUTED_VALUE"""),-1.2766192168875061)</f>
        <v>-1.276619217</v>
      </c>
      <c r="T188" s="11">
        <f>IFERROR(__xludf.DUMMYFUNCTION("""COMPUTED_VALUE"""),0.05075080149290546)</f>
        <v>0.05075080149</v>
      </c>
      <c r="U188" s="11">
        <f>IFERROR(__xludf.DUMMYFUNCTION("""COMPUTED_VALUE"""),-0.30160143626551283)</f>
        <v>-0.3016014363</v>
      </c>
      <c r="V188" s="11">
        <f>IFERROR(__xludf.DUMMYFUNCTION("""COMPUTED_VALUE"""),-0.6997201695955381)</f>
        <v>-0.6997201696</v>
      </c>
      <c r="W188" s="11">
        <f>IFERROR(__xludf.DUMMYFUNCTION("""COMPUTED_VALUE"""),-0.5847290886782864)</f>
        <v>-0.5847290887</v>
      </c>
      <c r="X188" s="11">
        <f>IFERROR(__xludf.DUMMYFUNCTION("""COMPUTED_VALUE"""),-0.6155173428439339)</f>
        <v>-0.6155173428</v>
      </c>
      <c r="Y188" s="11">
        <f>IFERROR(__xludf.DUMMYFUNCTION("""COMPUTED_VALUE"""),-0.5304460613960953)</f>
        <v>-0.5304460614</v>
      </c>
      <c r="Z188" s="11">
        <f>IFERROR(__xludf.DUMMYFUNCTION("""COMPUTED_VALUE"""),-0.16383399021147382)</f>
        <v>-0.1638339902</v>
      </c>
      <c r="AA188" s="11">
        <f>IFERROR(__xludf.DUMMYFUNCTION("""COMPUTED_VALUE"""),0.13605953127158005)</f>
        <v>0.1360595313</v>
      </c>
      <c r="AB188" t="str">
        <f>IFERROR(__xludf.DUMMYFUNCTION("SUBSTITUTE(REGEXREPLACE(REGEXREPLACE(REGEXREPLACE(REGEXREPLACE(REGEXREPLACE(REGEXREPLACE(F188,"","",),IF(Projections!$T$17="""",""PG"",),),IF(Projections!$U$17="""",""SG"",),),IF(Projections!$V$17="""",""SF"",),),IF(Projections!$W$17="""",""PF"",),),IF(Pr"&amp;"ojections!$X$17="""",""C"",),),""/"","""")"),"PFC")</f>
        <v>PFC</v>
      </c>
    </row>
    <row r="189">
      <c r="B189">
        <f>IFERROR(__xludf.DUMMYFUNCTION("""COMPUTED_VALUE"""),184.0)</f>
        <v>184</v>
      </c>
      <c r="C189">
        <f>IFERROR(__xludf.DUMMYFUNCTION("""COMPUTED_VALUE"""),144.9)</f>
        <v>144.9</v>
      </c>
      <c r="D189" t="str">
        <f>IFERROR(__xludf.DUMMYFUNCTION("""COMPUTED_VALUE"""),"Caris LeVert")</f>
        <v>Caris LeVert</v>
      </c>
      <c r="E189">
        <f>IFERROR(__xludf.DUMMYFUNCTION("""COMPUTED_VALUE"""),53.0)</f>
        <v>53</v>
      </c>
      <c r="F189" t="str">
        <f>IFERROR(__xludf.DUMMYFUNCTION("""COMPUTED_VALUE"""),"SG,SF")</f>
        <v>SG,SF</v>
      </c>
      <c r="G189" s="11">
        <f>IFERROR(__xludf.DUMMYFUNCTION("""COMPUTED_VALUE"""),-2.7205524566219026)</f>
        <v>-2.720552457</v>
      </c>
      <c r="H189" s="11">
        <f>IFERROR(__xludf.DUMMYFUNCTION("""COMPUTED_VALUE"""),-2.7205524566219026)</f>
        <v>-2.720552457</v>
      </c>
      <c r="I189" s="11">
        <f>IFERROR(__xludf.DUMMYFUNCTION("""COMPUTED_VALUE"""),0.0)</f>
        <v>0</v>
      </c>
      <c r="J189" s="11">
        <f>IFERROR(__xludf.DUMMYFUNCTION("""COMPUTED_VALUE"""),12.2)</f>
        <v>12.2</v>
      </c>
      <c r="K189" s="11">
        <f>IFERROR(__xludf.DUMMYFUNCTION("""COMPUTED_VALUE"""),1.6)</f>
        <v>1.6</v>
      </c>
      <c r="L189" s="11">
        <f>IFERROR(__xludf.DUMMYFUNCTION("""COMPUTED_VALUE"""),3.7)</f>
        <v>3.7</v>
      </c>
      <c r="M189" s="11">
        <f>IFERROR(__xludf.DUMMYFUNCTION("""COMPUTED_VALUE"""),4.2)</f>
        <v>4.2</v>
      </c>
      <c r="N189" s="11">
        <f>IFERROR(__xludf.DUMMYFUNCTION("""COMPUTED_VALUE"""),1.0)</f>
        <v>1</v>
      </c>
      <c r="O189" s="11">
        <f>IFERROR(__xludf.DUMMYFUNCTION("""COMPUTED_VALUE"""),0.4)</f>
        <v>0.4</v>
      </c>
      <c r="P189" s="15">
        <f>IFERROR(__xludf.DUMMYFUNCTION("""COMPUTED_VALUE"""),0.426)</f>
        <v>0.426</v>
      </c>
      <c r="Q189" s="15">
        <f>IFERROR(__xludf.DUMMYFUNCTION("""COMPUTED_VALUE"""),0.746)</f>
        <v>0.746</v>
      </c>
      <c r="R189" s="11">
        <f>IFERROR(__xludf.DUMMYFUNCTION("""COMPUTED_VALUE"""),1.5)</f>
        <v>1.5</v>
      </c>
      <c r="S189" s="11">
        <f>IFERROR(__xludf.DUMMYFUNCTION("""COMPUTED_VALUE"""),-0.9514527815487142)</f>
        <v>-0.9514527815</v>
      </c>
      <c r="T189" s="11">
        <f>IFERROR(__xludf.DUMMYFUNCTION("""COMPUTED_VALUE"""),-0.1482977965701775)</f>
        <v>-0.1482977966</v>
      </c>
      <c r="U189" s="11">
        <f>IFERROR(__xludf.DUMMYFUNCTION("""COMPUTED_VALUE"""),-0.9292233742650667)</f>
        <v>-0.9292233743</v>
      </c>
      <c r="V189" s="11">
        <f>IFERROR(__xludf.DUMMYFUNCTION("""COMPUTED_VALUE"""),0.12039169800285511)</f>
        <v>0.120391698</v>
      </c>
      <c r="W189" s="11">
        <f>IFERROR(__xludf.DUMMYFUNCTION("""COMPUTED_VALUE"""),0.07913626764067216)</f>
        <v>0.07913626764</v>
      </c>
      <c r="X189" s="11">
        <f>IFERROR(__xludf.DUMMYFUNCTION("""COMPUTED_VALUE"""),-0.6155173428439339)</f>
        <v>-0.6155173428</v>
      </c>
      <c r="Y189" s="11">
        <f>IFERROR(__xludf.DUMMYFUNCTION("""COMPUTED_VALUE"""),-0.8556452686730461)</f>
        <v>-0.8556452687</v>
      </c>
      <c r="Z189" s="11">
        <f>IFERROR(__xludf.DUMMYFUNCTION("""COMPUTED_VALUE"""),-0.43306153075682563)</f>
        <v>-0.4330615308</v>
      </c>
      <c r="AA189" s="11">
        <f>IFERROR(__xludf.DUMMYFUNCTION("""COMPUTED_VALUE"""),0.06166489084362008)</f>
        <v>0.06166489084</v>
      </c>
      <c r="AB189" t="str">
        <f>IFERROR(__xludf.DUMMYFUNCTION("SUBSTITUTE(REGEXREPLACE(REGEXREPLACE(REGEXREPLACE(REGEXREPLACE(REGEXREPLACE(REGEXREPLACE(F189,"","",),IF(Projections!$T$17="""",""PG"",),),IF(Projections!$U$17="""",""SG"",),),IF(Projections!$V$17="""",""SF"",),),IF(Projections!$W$17="""",""PF"",),),IF(Pr"&amp;"ojections!$X$17="""",""C"",),),""/"","""")"),"SGSF")</f>
        <v>SGSF</v>
      </c>
    </row>
    <row r="190">
      <c r="B190">
        <f>IFERROR(__xludf.DUMMYFUNCTION("""COMPUTED_VALUE"""),185.0)</f>
        <v>185</v>
      </c>
      <c r="C190">
        <f>IFERROR(__xludf.DUMMYFUNCTION("""COMPUTED_VALUE"""),146.9)</f>
        <v>146.9</v>
      </c>
      <c r="D190" t="str">
        <f>IFERROR(__xludf.DUMMYFUNCTION("""COMPUTED_VALUE"""),"Karlo Matkovic")</f>
        <v>Karlo Matkovic</v>
      </c>
      <c r="E190">
        <f>IFERROR(__xludf.DUMMYFUNCTION("""COMPUTED_VALUE"""),71.0)</f>
        <v>71</v>
      </c>
      <c r="F190" t="str">
        <f>IFERROR(__xludf.DUMMYFUNCTION("""COMPUTED_VALUE"""),"PF")</f>
        <v>PF</v>
      </c>
      <c r="G190" s="11">
        <f>IFERROR(__xludf.DUMMYFUNCTION("""COMPUTED_VALUE"""),-2.7229525229423692)</f>
        <v>-2.722952523</v>
      </c>
      <c r="H190" s="11">
        <f>IFERROR(__xludf.DUMMYFUNCTION("""COMPUTED_VALUE"""),-2.7229525229423692)</f>
        <v>-2.722952523</v>
      </c>
      <c r="I190" s="11">
        <f>IFERROR(__xludf.DUMMYFUNCTION("""COMPUTED_VALUE"""),0.0)</f>
        <v>0</v>
      </c>
      <c r="J190" s="11">
        <f>IFERROR(__xludf.DUMMYFUNCTION("""COMPUTED_VALUE"""),9.7)</f>
        <v>9.7</v>
      </c>
      <c r="K190" s="11">
        <f>IFERROR(__xludf.DUMMYFUNCTION("""COMPUTED_VALUE"""),1.1)</f>
        <v>1.1</v>
      </c>
      <c r="L190" s="11">
        <f>IFERROR(__xludf.DUMMYFUNCTION("""COMPUTED_VALUE"""),4.6)</f>
        <v>4.6</v>
      </c>
      <c r="M190" s="11">
        <f>IFERROR(__xludf.DUMMYFUNCTION("""COMPUTED_VALUE"""),1.5)</f>
        <v>1.5</v>
      </c>
      <c r="N190" s="11">
        <f>IFERROR(__xludf.DUMMYFUNCTION("""COMPUTED_VALUE"""),0.7)</f>
        <v>0.7</v>
      </c>
      <c r="O190" s="11">
        <f>IFERROR(__xludf.DUMMYFUNCTION("""COMPUTED_VALUE"""),1.2)</f>
        <v>1.2</v>
      </c>
      <c r="P190" s="15">
        <f>IFERROR(__xludf.DUMMYFUNCTION("""COMPUTED_VALUE"""),0.488)</f>
        <v>0.488</v>
      </c>
      <c r="Q190" s="15">
        <f>IFERROR(__xludf.DUMMYFUNCTION("""COMPUTED_VALUE"""),0.751)</f>
        <v>0.751</v>
      </c>
      <c r="R190" s="11">
        <f>IFERROR(__xludf.DUMMYFUNCTION("""COMPUTED_VALUE"""),1.4)</f>
        <v>1.4</v>
      </c>
      <c r="S190" s="11">
        <f>IFERROR(__xludf.DUMMYFUNCTION("""COMPUTED_VALUE"""),-1.4030728306303701)</f>
        <v>-1.403072831</v>
      </c>
      <c r="T190" s="11">
        <f>IFERROR(__xludf.DUMMYFUNCTION("""COMPUTED_VALUE"""),-0.645919291727885)</f>
        <v>-0.6459192917</v>
      </c>
      <c r="U190" s="11">
        <f>IFERROR(__xludf.DUMMYFUNCTION("""COMPUTED_VALUE"""),-0.5761860341403178)</f>
        <v>-0.5761860341</v>
      </c>
      <c r="V190" s="11">
        <f>IFERROR(__xludf.DUMMYFUNCTION("""COMPUTED_VALUE"""),-1.1097761033947346)</f>
        <v>-1.109776103</v>
      </c>
      <c r="W190" s="11">
        <f>IFERROR(__xludf.DUMMYFUNCTION("""COMPUTED_VALUE"""),-0.9166617668377661)</f>
        <v>-0.9166617668</v>
      </c>
      <c r="X190" s="11">
        <f>IFERROR(__xludf.DUMMYFUNCTION("""COMPUTED_VALUE"""),0.8116322735773168)</f>
        <v>0.8116322736</v>
      </c>
      <c r="Y190" s="11">
        <f>IFERROR(__xludf.DUMMYFUNCTION("""COMPUTED_VALUE"""),-0.07702141636316619)</f>
        <v>-0.07702141636</v>
      </c>
      <c r="Z190" s="11">
        <f>IFERROR(__xludf.DUMMYFUNCTION("""COMPUTED_VALUE"""),-0.2954832883754219)</f>
        <v>-0.2954832884</v>
      </c>
      <c r="AA190" s="11">
        <f>IFERROR(__xludf.DUMMYFUNCTION("""COMPUTED_VALUE"""),0.08646310431960676)</f>
        <v>0.08646310432</v>
      </c>
      <c r="AB190" t="str">
        <f>IFERROR(__xludf.DUMMYFUNCTION("SUBSTITUTE(REGEXREPLACE(REGEXREPLACE(REGEXREPLACE(REGEXREPLACE(REGEXREPLACE(REGEXREPLACE(F190,"","",),IF(Projections!$T$17="""",""PG"",),),IF(Projections!$U$17="""",""SG"",),),IF(Projections!$V$17="""",""SF"",),),IF(Projections!$W$17="""",""PF"",),),IF(Pr"&amp;"ojections!$X$17="""",""C"",),),""/"","""")"),"PF")</f>
        <v>PF</v>
      </c>
    </row>
    <row r="191">
      <c r="B191">
        <f>IFERROR(__xludf.DUMMYFUNCTION("""COMPUTED_VALUE"""),186.0)</f>
        <v>186</v>
      </c>
      <c r="D191" t="str">
        <f>IFERROR(__xludf.DUMMYFUNCTION("""COMPUTED_VALUE"""),"Kris Dunn")</f>
        <v>Kris Dunn</v>
      </c>
      <c r="E191">
        <f>IFERROR(__xludf.DUMMYFUNCTION("""COMPUTED_VALUE"""),66.0)</f>
        <v>66</v>
      </c>
      <c r="F191" t="str">
        <f>IFERROR(__xludf.DUMMYFUNCTION("""COMPUTED_VALUE"""),"PG,SG")</f>
        <v>PG,SG</v>
      </c>
      <c r="G191" s="11">
        <f>IFERROR(__xludf.DUMMYFUNCTION("""COMPUTED_VALUE"""),-2.760034459369198)</f>
        <v>-2.760034459</v>
      </c>
      <c r="H191" s="11">
        <f>IFERROR(__xludf.DUMMYFUNCTION("""COMPUTED_VALUE"""),-2.760034459369198)</f>
        <v>-2.760034459</v>
      </c>
      <c r="I191" s="11">
        <f>IFERROR(__xludf.DUMMYFUNCTION("""COMPUTED_VALUE"""),0.0)</f>
        <v>0</v>
      </c>
      <c r="J191" s="11">
        <f>IFERROR(__xludf.DUMMYFUNCTION("""COMPUTED_VALUE"""),7.2)</f>
        <v>7.2</v>
      </c>
      <c r="K191" s="11">
        <f>IFERROR(__xludf.DUMMYFUNCTION("""COMPUTED_VALUE"""),0.6)</f>
        <v>0.6</v>
      </c>
      <c r="L191" s="11">
        <f>IFERROR(__xludf.DUMMYFUNCTION("""COMPUTED_VALUE"""),3.2)</f>
        <v>3.2</v>
      </c>
      <c r="M191" s="11">
        <f>IFERROR(__xludf.DUMMYFUNCTION("""COMPUTED_VALUE"""),4.2)</f>
        <v>4.2</v>
      </c>
      <c r="N191" s="11">
        <f>IFERROR(__xludf.DUMMYFUNCTION("""COMPUTED_VALUE"""),1.0)</f>
        <v>1</v>
      </c>
      <c r="O191" s="11">
        <f>IFERROR(__xludf.DUMMYFUNCTION("""COMPUTED_VALUE"""),0.4)</f>
        <v>0.4</v>
      </c>
      <c r="P191" s="15">
        <f>IFERROR(__xludf.DUMMYFUNCTION("""COMPUTED_VALUE"""),0.498)</f>
        <v>0.498</v>
      </c>
      <c r="Q191" s="15">
        <f>IFERROR(__xludf.DUMMYFUNCTION("""COMPUTED_VALUE"""),0.734)</f>
        <v>0.734</v>
      </c>
      <c r="R191" s="11">
        <f>IFERROR(__xludf.DUMMYFUNCTION("""COMPUTED_VALUE"""),1.3)</f>
        <v>1.3</v>
      </c>
      <c r="S191" s="11">
        <f>IFERROR(__xludf.DUMMYFUNCTION("""COMPUTED_VALUE"""),-1.854692879712026)</f>
        <v>-1.85469288</v>
      </c>
      <c r="T191" s="11">
        <f>IFERROR(__xludf.DUMMYFUNCTION("""COMPUTED_VALUE"""),-1.1435407868855925)</f>
        <v>-1.143540787</v>
      </c>
      <c r="U191" s="11">
        <f>IFERROR(__xludf.DUMMYFUNCTION("""COMPUTED_VALUE"""),-1.1253552298899274)</f>
        <v>-1.12535523</v>
      </c>
      <c r="V191" s="11">
        <f>IFERROR(__xludf.DUMMYFUNCTION("""COMPUTED_VALUE"""),0.12039169800285511)</f>
        <v>0.120391698</v>
      </c>
      <c r="W191" s="11">
        <f>IFERROR(__xludf.DUMMYFUNCTION("""COMPUTED_VALUE"""),0.07913626764067216)</f>
        <v>0.07913626764</v>
      </c>
      <c r="X191" s="11">
        <f>IFERROR(__xludf.DUMMYFUNCTION("""COMPUTED_VALUE"""),-0.6155173428439339)</f>
        <v>-0.6155173428</v>
      </c>
      <c r="Y191" s="11">
        <f>IFERROR(__xludf.DUMMYFUNCTION("""COMPUTED_VALUE"""),0.007739086830693919)</f>
        <v>0.007739086831</v>
      </c>
      <c r="Z191" s="11">
        <f>IFERROR(__xludf.DUMMYFUNCTION("""COMPUTED_VALUE"""),-0.19414947001955915)</f>
        <v>-0.19414947</v>
      </c>
      <c r="AA191" s="11">
        <f>IFERROR(__xludf.DUMMYFUNCTION("""COMPUTED_VALUE"""),0.11126131779559338)</f>
        <v>0.1112613178</v>
      </c>
      <c r="AB191" t="str">
        <f>IFERROR(__xludf.DUMMYFUNCTION("SUBSTITUTE(REGEXREPLACE(REGEXREPLACE(REGEXREPLACE(REGEXREPLACE(REGEXREPLACE(REGEXREPLACE(F191,"","",),IF(Projections!$T$17="""",""PG"",),),IF(Projections!$U$17="""",""SG"",),),IF(Projections!$V$17="""",""SF"",),),IF(Projections!$W$17="""",""PF"",),),IF(Pr"&amp;"ojections!$X$17="""",""C"",),),""/"","""")"),"PGSG")</f>
        <v>PGSG</v>
      </c>
    </row>
    <row r="192">
      <c r="B192">
        <f>IFERROR(__xludf.DUMMYFUNCTION("""COMPUTED_VALUE"""),187.0)</f>
        <v>187</v>
      </c>
      <c r="C192">
        <f>IFERROR(__xludf.DUMMYFUNCTION("""COMPUTED_VALUE"""),143.3)</f>
        <v>143.3</v>
      </c>
      <c r="D192" t="str">
        <f>IFERROR(__xludf.DUMMYFUNCTION("""COMPUTED_VALUE"""),"Keldon Johnson")</f>
        <v>Keldon Johnson</v>
      </c>
      <c r="E192">
        <f>IFERROR(__xludf.DUMMYFUNCTION("""COMPUTED_VALUE"""),66.0)</f>
        <v>66</v>
      </c>
      <c r="F192" t="str">
        <f>IFERROR(__xludf.DUMMYFUNCTION("""COMPUTED_VALUE"""),"SG,SF,PF")</f>
        <v>SG,SF,PF</v>
      </c>
      <c r="G192" s="11">
        <f>IFERROR(__xludf.DUMMYFUNCTION("""COMPUTED_VALUE"""),-2.762931990939548)</f>
        <v>-2.762931991</v>
      </c>
      <c r="H192" s="11">
        <f>IFERROR(__xludf.DUMMYFUNCTION("""COMPUTED_VALUE"""),-2.762931990939548)</f>
        <v>-2.762931991</v>
      </c>
      <c r="I192" s="11">
        <f>IFERROR(__xludf.DUMMYFUNCTION("""COMPUTED_VALUE"""),0.0)</f>
        <v>0</v>
      </c>
      <c r="J192" s="11">
        <f>IFERROR(__xludf.DUMMYFUNCTION("""COMPUTED_VALUE"""),16.7)</f>
        <v>16.7</v>
      </c>
      <c r="K192" s="11">
        <f>IFERROR(__xludf.DUMMYFUNCTION("""COMPUTED_VALUE"""),1.8)</f>
        <v>1.8</v>
      </c>
      <c r="L192" s="11">
        <f>IFERROR(__xludf.DUMMYFUNCTION("""COMPUTED_VALUE"""),4.7)</f>
        <v>4.7</v>
      </c>
      <c r="M192" s="11">
        <f>IFERROR(__xludf.DUMMYFUNCTION("""COMPUTED_VALUE"""),2.6)</f>
        <v>2.6</v>
      </c>
      <c r="N192" s="11">
        <f>IFERROR(__xludf.DUMMYFUNCTION("""COMPUTED_VALUE"""),0.7)</f>
        <v>0.7</v>
      </c>
      <c r="O192" s="11">
        <f>IFERROR(__xludf.DUMMYFUNCTION("""COMPUTED_VALUE"""),0.2)</f>
        <v>0.2</v>
      </c>
      <c r="P192" s="15">
        <f>IFERROR(__xludf.DUMMYFUNCTION("""COMPUTED_VALUE"""),0.453)</f>
        <v>0.453</v>
      </c>
      <c r="Q192" s="15">
        <f>IFERROR(__xludf.DUMMYFUNCTION("""COMPUTED_VALUE"""),0.798)</f>
        <v>0.798</v>
      </c>
      <c r="R192" s="11">
        <f>IFERROR(__xludf.DUMMYFUNCTION("""COMPUTED_VALUE"""),1.6)</f>
        <v>1.6</v>
      </c>
      <c r="S192" s="11">
        <f>IFERROR(__xludf.DUMMYFUNCTION("""COMPUTED_VALUE"""),-0.13853669320173354)</f>
        <v>-0.1385366932</v>
      </c>
      <c r="T192" s="11">
        <f>IFERROR(__xludf.DUMMYFUNCTION("""COMPUTED_VALUE"""),0.05075080149290546)</f>
        <v>0.05075080149</v>
      </c>
      <c r="U192" s="11">
        <f>IFERROR(__xludf.DUMMYFUNCTION("""COMPUTED_VALUE"""),-0.5369596630153455)</f>
        <v>-0.536959663</v>
      </c>
      <c r="V192" s="11">
        <f>IFERROR(__xludf.DUMMYFUNCTION("""COMPUTED_VALUE"""),-0.6085966287512721)</f>
        <v>-0.6085966288</v>
      </c>
      <c r="W192" s="11">
        <f>IFERROR(__xludf.DUMMYFUNCTION("""COMPUTED_VALUE"""),-0.9166617668377661)</f>
        <v>-0.9166617668</v>
      </c>
      <c r="X192" s="11">
        <f>IFERROR(__xludf.DUMMYFUNCTION("""COMPUTED_VALUE"""),-0.9723047469492465)</f>
        <v>-0.9723047469</v>
      </c>
      <c r="Y192" s="11">
        <f>IFERROR(__xludf.DUMMYFUNCTION("""COMPUTED_VALUE"""),-0.6891396421205733)</f>
        <v>-0.6891396421</v>
      </c>
      <c r="Z192" s="11">
        <f>IFERROR(__xludf.DUMMYFUNCTION("""COMPUTED_VALUE"""),0.03934492412660443)</f>
        <v>0.03934492413</v>
      </c>
      <c r="AA192" s="11">
        <f>IFERROR(__xludf.DUMMYFUNCTION("""COMPUTED_VALUE"""),0.036866677367633396)</f>
        <v>0.03686667737</v>
      </c>
      <c r="AB192" t="str">
        <f>IFERROR(__xludf.DUMMYFUNCTION("SUBSTITUTE(REGEXREPLACE(REGEXREPLACE(REGEXREPLACE(REGEXREPLACE(REGEXREPLACE(REGEXREPLACE(F192,"","",),IF(Projections!$T$17="""",""PG"",),),IF(Projections!$U$17="""",""SG"",),),IF(Projections!$V$17="""",""SF"",),),IF(Projections!$W$17="""",""PF"",),),IF(Pr"&amp;"ojections!$X$17="""",""C"",),),""/"","""")"),"SGSFPF")</f>
        <v>SGSFPF</v>
      </c>
    </row>
    <row r="193">
      <c r="B193">
        <f>IFERROR(__xludf.DUMMYFUNCTION("""COMPUTED_VALUE"""),188.0)</f>
        <v>188</v>
      </c>
      <c r="C193">
        <f>IFERROR(__xludf.DUMMYFUNCTION("""COMPUTED_VALUE"""),141.2)</f>
        <v>141.2</v>
      </c>
      <c r="D193" t="str">
        <f>IFERROR(__xludf.DUMMYFUNCTION("""COMPUTED_VALUE"""),"Jaden McDaniels")</f>
        <v>Jaden McDaniels</v>
      </c>
      <c r="E193">
        <f>IFERROR(__xludf.DUMMYFUNCTION("""COMPUTED_VALUE"""),71.0)</f>
        <v>71</v>
      </c>
      <c r="F193" t="str">
        <f>IFERROR(__xludf.DUMMYFUNCTION("""COMPUTED_VALUE"""),"SF,PF")</f>
        <v>SF,PF</v>
      </c>
      <c r="G193" s="11">
        <f>IFERROR(__xludf.DUMMYFUNCTION("""COMPUTED_VALUE"""),-2.7757902693309697)</f>
        <v>-2.775790269</v>
      </c>
      <c r="H193" s="11">
        <f>IFERROR(__xludf.DUMMYFUNCTION("""COMPUTED_VALUE"""),-2.7757902693309697)</f>
        <v>-2.775790269</v>
      </c>
      <c r="I193" s="11">
        <f>IFERROR(__xludf.DUMMYFUNCTION("""COMPUTED_VALUE"""),0.0)</f>
        <v>0</v>
      </c>
      <c r="J193" s="11">
        <f>IFERROR(__xludf.DUMMYFUNCTION("""COMPUTED_VALUE"""),11.4)</f>
        <v>11.4</v>
      </c>
      <c r="K193" s="11">
        <f>IFERROR(__xludf.DUMMYFUNCTION("""COMPUTED_VALUE"""),1.3)</f>
        <v>1.3</v>
      </c>
      <c r="L193" s="11">
        <f>IFERROR(__xludf.DUMMYFUNCTION("""COMPUTED_VALUE"""),3.5)</f>
        <v>3.5</v>
      </c>
      <c r="M193" s="11">
        <f>IFERROR(__xludf.DUMMYFUNCTION("""COMPUTED_VALUE"""),1.7)</f>
        <v>1.7</v>
      </c>
      <c r="N193" s="11">
        <f>IFERROR(__xludf.DUMMYFUNCTION("""COMPUTED_VALUE"""),0.9)</f>
        <v>0.9</v>
      </c>
      <c r="O193" s="11">
        <f>IFERROR(__xludf.DUMMYFUNCTION("""COMPUTED_VALUE"""),0.8)</f>
        <v>0.8</v>
      </c>
      <c r="P193" s="15">
        <f>IFERROR(__xludf.DUMMYFUNCTION("""COMPUTED_VALUE"""),0.504)</f>
        <v>0.504</v>
      </c>
      <c r="Q193" s="15">
        <f>IFERROR(__xludf.DUMMYFUNCTION("""COMPUTED_VALUE"""),0.732)</f>
        <v>0.732</v>
      </c>
      <c r="R193" s="11">
        <f>IFERROR(__xludf.DUMMYFUNCTION("""COMPUTED_VALUE"""),1.3)</f>
        <v>1.3</v>
      </c>
      <c r="S193" s="11">
        <f>IFERROR(__xludf.DUMMYFUNCTION("""COMPUTED_VALUE"""),-1.0959711972548438)</f>
        <v>-1.095971197</v>
      </c>
      <c r="T193" s="11">
        <f>IFERROR(__xludf.DUMMYFUNCTION("""COMPUTED_VALUE"""),-0.44687069366480203)</f>
        <v>-0.4468706937</v>
      </c>
      <c r="U193" s="11">
        <f>IFERROR(__xludf.DUMMYFUNCTION("""COMPUTED_VALUE"""),-1.007676116515011)</f>
        <v>-1.007676117</v>
      </c>
      <c r="V193" s="11">
        <f>IFERROR(__xludf.DUMMYFUNCTION("""COMPUTED_VALUE"""),-1.0186525625504688)</f>
        <v>-1.018652563</v>
      </c>
      <c r="W193" s="11">
        <f>IFERROR(__xludf.DUMMYFUNCTION("""COMPUTED_VALUE"""),-0.25279641051880714)</f>
        <v>-0.2527964105</v>
      </c>
      <c r="X193" s="11">
        <f>IFERROR(__xludf.DUMMYFUNCTION("""COMPUTED_VALUE"""),0.09805746536669153)</f>
        <v>0.09805746537</v>
      </c>
      <c r="Y193" s="11">
        <f>IFERROR(__xludf.DUMMYFUNCTION("""COMPUTED_VALUE"""),0.07509343605151668)</f>
        <v>0.07509343605</v>
      </c>
      <c r="Z193" s="11">
        <f>IFERROR(__xludf.DUMMYFUNCTION("""COMPUTED_VALUE"""),-0.3342067052956824)</f>
        <v>-0.3342067053</v>
      </c>
      <c r="AA193" s="11">
        <f>IFERROR(__xludf.DUMMYFUNCTION("""COMPUTED_VALUE"""),0.11126131779559338)</f>
        <v>0.1112613178</v>
      </c>
      <c r="AB193" t="str">
        <f>IFERROR(__xludf.DUMMYFUNCTION("SUBSTITUTE(REGEXREPLACE(REGEXREPLACE(REGEXREPLACE(REGEXREPLACE(REGEXREPLACE(REGEXREPLACE(F193,"","",),IF(Projections!$T$17="""",""PG"",),),IF(Projections!$U$17="""",""SG"",),),IF(Projections!$V$17="""",""SF"",),),IF(Projections!$W$17="""",""PF"",),),IF(Pr"&amp;"ojections!$X$17="""",""C"",),),""/"","""")"),"SFPF")</f>
        <v>SFPF</v>
      </c>
    </row>
    <row r="194">
      <c r="B194">
        <f>IFERROR(__xludf.DUMMYFUNCTION("""COMPUTED_VALUE"""),189.0)</f>
        <v>189</v>
      </c>
      <c r="C194">
        <f>IFERROR(__xludf.DUMMYFUNCTION("""COMPUTED_VALUE"""),142.5)</f>
        <v>142.5</v>
      </c>
      <c r="D194" t="str">
        <f>IFERROR(__xludf.DUMMYFUNCTION("""COMPUTED_VALUE"""),"Christian Braun")</f>
        <v>Christian Braun</v>
      </c>
      <c r="E194">
        <f>IFERROR(__xludf.DUMMYFUNCTION("""COMPUTED_VALUE"""),50.0)</f>
        <v>50</v>
      </c>
      <c r="F194" t="str">
        <f>IFERROR(__xludf.DUMMYFUNCTION("""COMPUTED_VALUE"""),"SG,SF")</f>
        <v>SG,SF</v>
      </c>
      <c r="G194" s="11">
        <f>IFERROR(__xludf.DUMMYFUNCTION("""COMPUTED_VALUE"""),-2.7816082387312595)</f>
        <v>-2.781608239</v>
      </c>
      <c r="H194" s="11">
        <f>IFERROR(__xludf.DUMMYFUNCTION("""COMPUTED_VALUE"""),-2.7816082387312595)</f>
        <v>-2.781608239</v>
      </c>
      <c r="I194" s="11">
        <f>IFERROR(__xludf.DUMMYFUNCTION("""COMPUTED_VALUE"""),0.0)</f>
        <v>0</v>
      </c>
      <c r="J194" s="11">
        <f>IFERROR(__xludf.DUMMYFUNCTION("""COMPUTED_VALUE"""),11.0)</f>
        <v>11</v>
      </c>
      <c r="K194" s="11">
        <f>IFERROR(__xludf.DUMMYFUNCTION("""COMPUTED_VALUE"""),1.1)</f>
        <v>1.1</v>
      </c>
      <c r="L194" s="11">
        <f>IFERROR(__xludf.DUMMYFUNCTION("""COMPUTED_VALUE"""),5.5)</f>
        <v>5.5</v>
      </c>
      <c r="M194" s="11">
        <f>IFERROR(__xludf.DUMMYFUNCTION("""COMPUTED_VALUE"""),2.2)</f>
        <v>2.2</v>
      </c>
      <c r="N194" s="11">
        <f>IFERROR(__xludf.DUMMYFUNCTION("""COMPUTED_VALUE"""),0.9)</f>
        <v>0.9</v>
      </c>
      <c r="O194" s="11">
        <f>IFERROR(__xludf.DUMMYFUNCTION("""COMPUTED_VALUE"""),0.6)</f>
        <v>0.6</v>
      </c>
      <c r="P194" s="15">
        <f>IFERROR(__xludf.DUMMYFUNCTION("""COMPUTED_VALUE"""),0.468)</f>
        <v>0.468</v>
      </c>
      <c r="Q194" s="15">
        <f>IFERROR(__xludf.DUMMYFUNCTION("""COMPUTED_VALUE"""),0.731)</f>
        <v>0.731</v>
      </c>
      <c r="R194" s="11">
        <f>IFERROR(__xludf.DUMMYFUNCTION("""COMPUTED_VALUE"""),1.0)</f>
        <v>1</v>
      </c>
      <c r="S194" s="11">
        <f>IFERROR(__xludf.DUMMYFUNCTION("""COMPUTED_VALUE"""),-1.1682304051079089)</f>
        <v>-1.168230405</v>
      </c>
      <c r="T194" s="11">
        <f>IFERROR(__xludf.DUMMYFUNCTION("""COMPUTED_VALUE"""),-0.645919291727885)</f>
        <v>-0.6459192917</v>
      </c>
      <c r="U194" s="11">
        <f>IFERROR(__xludf.DUMMYFUNCTION("""COMPUTED_VALUE"""),-0.2231486940155685)</f>
        <v>-0.223148694</v>
      </c>
      <c r="V194" s="11">
        <f>IFERROR(__xludf.DUMMYFUNCTION("""COMPUTED_VALUE"""),-0.7908437104398038)</f>
        <v>-0.7908437104</v>
      </c>
      <c r="W194" s="11">
        <f>IFERROR(__xludf.DUMMYFUNCTION("""COMPUTED_VALUE"""),-0.25279641051880714)</f>
        <v>-0.2527964105</v>
      </c>
      <c r="X194" s="11">
        <f>IFERROR(__xludf.DUMMYFUNCTION("""COMPUTED_VALUE"""),-0.25872993873862127)</f>
        <v>-0.2587299387</v>
      </c>
      <c r="Y194" s="11">
        <f>IFERROR(__xludf.DUMMYFUNCTION("""COMPUTED_VALUE"""),-0.29786519655419874)</f>
        <v>-0.2978651966</v>
      </c>
      <c r="Z194" s="11">
        <f>IFERROR(__xludf.DUMMYFUNCTION("""COMPUTED_VALUE"""),-0.49796095495992915)</f>
        <v>-0.497960955</v>
      </c>
      <c r="AA194" s="11">
        <f>IFERROR(__xludf.DUMMYFUNCTION("""COMPUTED_VALUE"""),0.18565595822355335)</f>
        <v>0.1856559582</v>
      </c>
      <c r="AB194" t="str">
        <f>IFERROR(__xludf.DUMMYFUNCTION("SUBSTITUTE(REGEXREPLACE(REGEXREPLACE(REGEXREPLACE(REGEXREPLACE(REGEXREPLACE(REGEXREPLACE(F194,"","",),IF(Projections!$T$17="""",""PG"",),),IF(Projections!$U$17="""",""SG"",),),IF(Projections!$V$17="""",""SF"",),),IF(Projections!$W$17="""",""PF"",),),IF(Pr"&amp;"ojections!$X$17="""",""C"",),),""/"","""")"),"SGSF")</f>
        <v>SGSF</v>
      </c>
    </row>
    <row r="195">
      <c r="B195">
        <f>IFERROR(__xludf.DUMMYFUNCTION("""COMPUTED_VALUE"""),190.0)</f>
        <v>190</v>
      </c>
      <c r="D195" t="str">
        <f>IFERROR(__xludf.DUMMYFUNCTION("""COMPUTED_VALUE"""),"Caleb Martin")</f>
        <v>Caleb Martin</v>
      </c>
      <c r="E195">
        <f>IFERROR(__xludf.DUMMYFUNCTION("""COMPUTED_VALUE"""),71.0)</f>
        <v>71</v>
      </c>
      <c r="F195" t="str">
        <f>IFERROR(__xludf.DUMMYFUNCTION("""COMPUTED_VALUE"""),"SG,SF")</f>
        <v>SG,SF</v>
      </c>
      <c r="G195" s="11">
        <f>IFERROR(__xludf.DUMMYFUNCTION("""COMPUTED_VALUE"""),-2.8035558559351452)</f>
        <v>-2.803555856</v>
      </c>
      <c r="H195" s="11">
        <f>IFERROR(__xludf.DUMMYFUNCTION("""COMPUTED_VALUE"""),-2.8035558559351452)</f>
        <v>-2.803555856</v>
      </c>
      <c r="I195" s="11">
        <f>IFERROR(__xludf.DUMMYFUNCTION("""COMPUTED_VALUE"""),0.0)</f>
        <v>0</v>
      </c>
      <c r="J195" s="11">
        <f>IFERROR(__xludf.DUMMYFUNCTION("""COMPUTED_VALUE"""),10.5)</f>
        <v>10.5</v>
      </c>
      <c r="K195" s="11">
        <f>IFERROR(__xludf.DUMMYFUNCTION("""COMPUTED_VALUE"""),1.3)</f>
        <v>1.3</v>
      </c>
      <c r="L195" s="11">
        <f>IFERROR(__xludf.DUMMYFUNCTION("""COMPUTED_VALUE"""),4.9)</f>
        <v>4.9</v>
      </c>
      <c r="M195" s="11">
        <f>IFERROR(__xludf.DUMMYFUNCTION("""COMPUTED_VALUE"""),2.1)</f>
        <v>2.1</v>
      </c>
      <c r="N195" s="11">
        <f>IFERROR(__xludf.DUMMYFUNCTION("""COMPUTED_VALUE"""),0.9)</f>
        <v>0.9</v>
      </c>
      <c r="O195" s="11">
        <f>IFERROR(__xludf.DUMMYFUNCTION("""COMPUTED_VALUE"""),0.5)</f>
        <v>0.5</v>
      </c>
      <c r="P195" s="15">
        <f>IFERROR(__xludf.DUMMYFUNCTION("""COMPUTED_VALUE"""),0.447)</f>
        <v>0.447</v>
      </c>
      <c r="Q195" s="15">
        <f>IFERROR(__xludf.DUMMYFUNCTION("""COMPUTED_VALUE"""),0.796)</f>
        <v>0.796</v>
      </c>
      <c r="R195" s="11">
        <f>IFERROR(__xludf.DUMMYFUNCTION("""COMPUTED_VALUE"""),1.2)</f>
        <v>1.2</v>
      </c>
      <c r="S195" s="11">
        <f>IFERROR(__xludf.DUMMYFUNCTION("""COMPUTED_VALUE"""),-1.25855441492424)</f>
        <v>-1.258554415</v>
      </c>
      <c r="T195" s="11">
        <f>IFERROR(__xludf.DUMMYFUNCTION("""COMPUTED_VALUE"""),-0.44687069366480203)</f>
        <v>-0.4468706937</v>
      </c>
      <c r="U195" s="11">
        <f>IFERROR(__xludf.DUMMYFUNCTION("""COMPUTED_VALUE"""),-0.4585069207654011)</f>
        <v>-0.4585069208</v>
      </c>
      <c r="V195" s="11">
        <f>IFERROR(__xludf.DUMMYFUNCTION("""COMPUTED_VALUE"""),-0.8364054808619368)</f>
        <v>-0.8364054809</v>
      </c>
      <c r="W195" s="11">
        <f>IFERROR(__xludf.DUMMYFUNCTION("""COMPUTED_VALUE"""),-0.25279641051880714)</f>
        <v>-0.2527964105</v>
      </c>
      <c r="X195" s="11">
        <f>IFERROR(__xludf.DUMMYFUNCTION("""COMPUTED_VALUE"""),-0.4371236407912776)</f>
        <v>-0.4371236408</v>
      </c>
      <c r="Y195" s="11">
        <f>IFERROR(__xludf.DUMMYFUNCTION("""COMPUTED_VALUE"""),-0.5144509654772356)</f>
        <v>-0.5144509655</v>
      </c>
      <c r="Z195" s="11">
        <f>IFERROR(__xludf.DUMMYFUNCTION("""COMPUTED_VALUE"""),0.006538724872734823)</f>
        <v>0.006538724873</v>
      </c>
      <c r="AA195" s="11">
        <f>IFERROR(__xludf.DUMMYFUNCTION("""COMPUTED_VALUE"""),0.13605953127158005)</f>
        <v>0.1360595313</v>
      </c>
      <c r="AB195" t="str">
        <f>IFERROR(__xludf.DUMMYFUNCTION("SUBSTITUTE(REGEXREPLACE(REGEXREPLACE(REGEXREPLACE(REGEXREPLACE(REGEXREPLACE(REGEXREPLACE(F195,"","",),IF(Projections!$T$17="""",""PG"",),),IF(Projections!$U$17="""",""SG"",),),IF(Projections!$V$17="""",""SF"",),),IF(Projections!$W$17="""",""PF"",),),IF(Pr"&amp;"ojections!$X$17="""",""C"",),),""/"","""")"),"SGSF")</f>
        <v>SGSF</v>
      </c>
    </row>
    <row r="196">
      <c r="B196">
        <f>IFERROR(__xludf.DUMMYFUNCTION("""COMPUTED_VALUE"""),191.0)</f>
        <v>191</v>
      </c>
      <c r="D196" t="str">
        <f>IFERROR(__xludf.DUMMYFUNCTION("""COMPUTED_VALUE"""),"Kevin Huerter")</f>
        <v>Kevin Huerter</v>
      </c>
      <c r="E196">
        <f>IFERROR(__xludf.DUMMYFUNCTION("""COMPUTED_VALUE"""),57.0)</f>
        <v>57</v>
      </c>
      <c r="F196" t="str">
        <f>IFERROR(__xludf.DUMMYFUNCTION("""COMPUTED_VALUE"""),"SG,SF")</f>
        <v>SG,SF</v>
      </c>
      <c r="G196" s="11">
        <f>IFERROR(__xludf.DUMMYFUNCTION("""COMPUTED_VALUE"""),-2.8527449373084863)</f>
        <v>-2.852744937</v>
      </c>
      <c r="H196" s="11">
        <f>IFERROR(__xludf.DUMMYFUNCTION("""COMPUTED_VALUE"""),-2.8527449373084863)</f>
        <v>-2.852744937</v>
      </c>
      <c r="I196" s="11">
        <f>IFERROR(__xludf.DUMMYFUNCTION("""COMPUTED_VALUE"""),0.0)</f>
        <v>0</v>
      </c>
      <c r="J196" s="11">
        <f>IFERROR(__xludf.DUMMYFUNCTION("""COMPUTED_VALUE"""),12.0)</f>
        <v>12</v>
      </c>
      <c r="K196" s="11">
        <f>IFERROR(__xludf.DUMMYFUNCTION("""COMPUTED_VALUE"""),2.2)</f>
        <v>2.2</v>
      </c>
      <c r="L196" s="11">
        <f>IFERROR(__xludf.DUMMYFUNCTION("""COMPUTED_VALUE"""),3.2)</f>
        <v>3.2</v>
      </c>
      <c r="M196" s="11">
        <f>IFERROR(__xludf.DUMMYFUNCTION("""COMPUTED_VALUE"""),2.6)</f>
        <v>2.6</v>
      </c>
      <c r="N196" s="11">
        <f>IFERROR(__xludf.DUMMYFUNCTION("""COMPUTED_VALUE"""),0.8)</f>
        <v>0.8</v>
      </c>
      <c r="O196" s="11">
        <f>IFERROR(__xludf.DUMMYFUNCTION("""COMPUTED_VALUE"""),0.3)</f>
        <v>0.3</v>
      </c>
      <c r="P196" s="15">
        <f>IFERROR(__xludf.DUMMYFUNCTION("""COMPUTED_VALUE"""),0.468)</f>
        <v>0.468</v>
      </c>
      <c r="Q196" s="15">
        <f>IFERROR(__xludf.DUMMYFUNCTION("""COMPUTED_VALUE"""),0.75)</f>
        <v>0.75</v>
      </c>
      <c r="R196" s="11">
        <f>IFERROR(__xludf.DUMMYFUNCTION("""COMPUTED_VALUE"""),1.0)</f>
        <v>1</v>
      </c>
      <c r="S196" s="11">
        <f>IFERROR(__xludf.DUMMYFUNCTION("""COMPUTED_VALUE"""),-0.9875823854752465)</f>
        <v>-0.9875823855</v>
      </c>
      <c r="T196" s="11">
        <f>IFERROR(__xludf.DUMMYFUNCTION("""COMPUTED_VALUE"""),0.44884799761907157)</f>
        <v>0.4488479976</v>
      </c>
      <c r="U196" s="11">
        <f>IFERROR(__xludf.DUMMYFUNCTION("""COMPUTED_VALUE"""),-1.1253552298899274)</f>
        <v>-1.12535523</v>
      </c>
      <c r="V196" s="11">
        <f>IFERROR(__xludf.DUMMYFUNCTION("""COMPUTED_VALUE"""),-0.6085966287512721)</f>
        <v>-0.6085966288</v>
      </c>
      <c r="W196" s="11">
        <f>IFERROR(__xludf.DUMMYFUNCTION("""COMPUTED_VALUE"""),-0.5847290886782864)</f>
        <v>-0.5847290887</v>
      </c>
      <c r="X196" s="11">
        <f>IFERROR(__xludf.DUMMYFUNCTION("""COMPUTED_VALUE"""),-0.7939110448965904)</f>
        <v>-0.7939110449</v>
      </c>
      <c r="Y196" s="11">
        <f>IFERROR(__xludf.DUMMYFUNCTION("""COMPUTED_VALUE"""),-0.3215590190073736)</f>
        <v>-0.321559019</v>
      </c>
      <c r="Z196" s="11">
        <f>IFERROR(__xludf.DUMMYFUNCTION("""COMPUTED_VALUE"""),-0.1908707263423421)</f>
        <v>-0.1908707263</v>
      </c>
      <c r="AA196" s="11">
        <f>IFERROR(__xludf.DUMMYFUNCTION("""COMPUTED_VALUE"""),0.18565595822355335)</f>
        <v>0.1856559582</v>
      </c>
      <c r="AB196" t="str">
        <f>IFERROR(__xludf.DUMMYFUNCTION("SUBSTITUTE(REGEXREPLACE(REGEXREPLACE(REGEXREPLACE(REGEXREPLACE(REGEXREPLACE(REGEXREPLACE(F196,"","",),IF(Projections!$T$17="""",""PG"",),),IF(Projections!$U$17="""",""SG"",),),IF(Projections!$V$17="""",""SF"",),),IF(Projections!$W$17="""",""PF"",),),IF(Pr"&amp;"ojections!$X$17="""",""C"",),),""/"","""")"),"SGSF")</f>
        <v>SGSF</v>
      </c>
    </row>
    <row r="197">
      <c r="B197">
        <f>IFERROR(__xludf.DUMMYFUNCTION("""COMPUTED_VALUE"""),192.0)</f>
        <v>192</v>
      </c>
      <c r="D197" t="str">
        <f>IFERROR(__xludf.DUMMYFUNCTION("""COMPUTED_VALUE"""),"John Konchar")</f>
        <v>John Konchar</v>
      </c>
      <c r="E197">
        <f>IFERROR(__xludf.DUMMYFUNCTION("""COMPUTED_VALUE"""),58.0)</f>
        <v>58</v>
      </c>
      <c r="F197" t="str">
        <f>IFERROR(__xludf.DUMMYFUNCTION("""COMPUTED_VALUE"""),"SG,SF")</f>
        <v>SG,SF</v>
      </c>
      <c r="G197" s="11">
        <f>IFERROR(__xludf.DUMMYFUNCTION("""COMPUTED_VALUE"""),-2.8734725355274766)</f>
        <v>-2.873472536</v>
      </c>
      <c r="H197" s="11">
        <f>IFERROR(__xludf.DUMMYFUNCTION("""COMPUTED_VALUE"""),-2.8734725355274766)</f>
        <v>-2.873472536</v>
      </c>
      <c r="I197" s="11">
        <f>IFERROR(__xludf.DUMMYFUNCTION("""COMPUTED_VALUE"""),0.0)</f>
        <v>0</v>
      </c>
      <c r="J197" s="11">
        <f>IFERROR(__xludf.DUMMYFUNCTION("""COMPUTED_VALUE"""),4.7)</f>
        <v>4.7</v>
      </c>
      <c r="K197" s="11">
        <f>IFERROR(__xludf.DUMMYFUNCTION("""COMPUTED_VALUE"""),0.8)</f>
        <v>0.8</v>
      </c>
      <c r="L197" s="11">
        <f>IFERROR(__xludf.DUMMYFUNCTION("""COMPUTED_VALUE"""),4.4)</f>
        <v>4.4</v>
      </c>
      <c r="M197" s="11">
        <f>IFERROR(__xludf.DUMMYFUNCTION("""COMPUTED_VALUE"""),1.7)</f>
        <v>1.7</v>
      </c>
      <c r="N197" s="11">
        <f>IFERROR(__xludf.DUMMYFUNCTION("""COMPUTED_VALUE"""),1.0)</f>
        <v>1</v>
      </c>
      <c r="O197" s="11">
        <f>IFERROR(__xludf.DUMMYFUNCTION("""COMPUTED_VALUE"""),0.6)</f>
        <v>0.6</v>
      </c>
      <c r="P197" s="15">
        <f>IFERROR(__xludf.DUMMYFUNCTION("""COMPUTED_VALUE"""),0.428)</f>
        <v>0.428</v>
      </c>
      <c r="Q197" s="15">
        <f>IFERROR(__xludf.DUMMYFUNCTION("""COMPUTED_VALUE"""),0.792)</f>
        <v>0.792</v>
      </c>
      <c r="R197" s="11">
        <f>IFERROR(__xludf.DUMMYFUNCTION("""COMPUTED_VALUE"""),0.7)</f>
        <v>0.7</v>
      </c>
      <c r="S197" s="11">
        <f>IFERROR(__xludf.DUMMYFUNCTION("""COMPUTED_VALUE"""),-2.3063129287936817)</f>
        <v>-2.306312929</v>
      </c>
      <c r="T197" s="11">
        <f>IFERROR(__xludf.DUMMYFUNCTION("""COMPUTED_VALUE"""),-0.9444921888225095)</f>
        <v>-0.9444921888</v>
      </c>
      <c r="U197" s="11">
        <f>IFERROR(__xludf.DUMMYFUNCTION("""COMPUTED_VALUE"""),-0.6546387763902618)</f>
        <v>-0.6546387764</v>
      </c>
      <c r="V197" s="11">
        <f>IFERROR(__xludf.DUMMYFUNCTION("""COMPUTED_VALUE"""),-1.0186525625504688)</f>
        <v>-1.018652563</v>
      </c>
      <c r="W197" s="11">
        <f>IFERROR(__xludf.DUMMYFUNCTION("""COMPUTED_VALUE"""),0.07913626764067216)</f>
        <v>0.07913626764</v>
      </c>
      <c r="X197" s="11">
        <f>IFERROR(__xludf.DUMMYFUNCTION("""COMPUTED_VALUE"""),-0.25872993873862127)</f>
        <v>-0.2587299387</v>
      </c>
      <c r="Y197" s="11">
        <f>IFERROR(__xludf.DUMMYFUNCTION("""COMPUTED_VALUE"""),-0.33098625285007877)</f>
        <v>-0.3309862529</v>
      </c>
      <c r="Z197" s="11">
        <f>IFERROR(__xludf.DUMMYFUNCTION("""COMPUTED_VALUE"""),-0.00515968246772214)</f>
        <v>-0.005159682468</v>
      </c>
      <c r="AA197" s="11">
        <f>IFERROR(__xludf.DUMMYFUNCTION("""COMPUTED_VALUE"""),0.26005059865151336)</f>
        <v>0.2600505987</v>
      </c>
      <c r="AB197" t="str">
        <f>IFERROR(__xludf.DUMMYFUNCTION("SUBSTITUTE(REGEXREPLACE(REGEXREPLACE(REGEXREPLACE(REGEXREPLACE(REGEXREPLACE(REGEXREPLACE(F197,"","",),IF(Projections!$T$17="""",""PG"",),),IF(Projections!$U$17="""",""SG"",),),IF(Projections!$V$17="""",""SF"",),),IF(Projections!$W$17="""",""PF"",),),IF(Pr"&amp;"ojections!$X$17="""",""C"",),),""/"","""")"),"SGSF")</f>
        <v>SGSF</v>
      </c>
    </row>
    <row r="198">
      <c r="B198">
        <f>IFERROR(__xludf.DUMMYFUNCTION("""COMPUTED_VALUE"""),193.0)</f>
        <v>193</v>
      </c>
      <c r="D198" t="str">
        <f>IFERROR(__xludf.DUMMYFUNCTION("""COMPUTED_VALUE"""),"Delon Wright")</f>
        <v>Delon Wright</v>
      </c>
      <c r="E198">
        <f>IFERROR(__xludf.DUMMYFUNCTION("""COMPUTED_VALUE"""),71.0)</f>
        <v>71</v>
      </c>
      <c r="F198" t="str">
        <f>IFERROR(__xludf.DUMMYFUNCTION("""COMPUTED_VALUE"""),"PG,SG")</f>
        <v>PG,SG</v>
      </c>
      <c r="G198" s="11">
        <f>IFERROR(__xludf.DUMMYFUNCTION("""COMPUTED_VALUE"""),-2.87357952801756)</f>
        <v>-2.873579528</v>
      </c>
      <c r="H198" s="11">
        <f>IFERROR(__xludf.DUMMYFUNCTION("""COMPUTED_VALUE"""),-2.87357952801756)</f>
        <v>-2.873579528</v>
      </c>
      <c r="I198" s="11">
        <f>IFERROR(__xludf.DUMMYFUNCTION("""COMPUTED_VALUE"""),0.0)</f>
        <v>0</v>
      </c>
      <c r="J198" s="11">
        <f>IFERROR(__xludf.DUMMYFUNCTION("""COMPUTED_VALUE"""),5.0)</f>
        <v>5</v>
      </c>
      <c r="K198" s="11">
        <f>IFERROR(__xludf.DUMMYFUNCTION("""COMPUTED_VALUE"""),0.6)</f>
        <v>0.6</v>
      </c>
      <c r="L198" s="11">
        <f>IFERROR(__xludf.DUMMYFUNCTION("""COMPUTED_VALUE"""),2.3)</f>
        <v>2.3</v>
      </c>
      <c r="M198" s="11">
        <f>IFERROR(__xludf.DUMMYFUNCTION("""COMPUTED_VALUE"""),2.7)</f>
        <v>2.7</v>
      </c>
      <c r="N198" s="11">
        <f>IFERROR(__xludf.DUMMYFUNCTION("""COMPUTED_VALUE"""),1.3)</f>
        <v>1.3</v>
      </c>
      <c r="O198" s="11">
        <f>IFERROR(__xludf.DUMMYFUNCTION("""COMPUTED_VALUE"""),0.2)</f>
        <v>0.2</v>
      </c>
      <c r="P198" s="15">
        <f>IFERROR(__xludf.DUMMYFUNCTION("""COMPUTED_VALUE"""),0.442)</f>
        <v>0.442</v>
      </c>
      <c r="Q198" s="15">
        <f>IFERROR(__xludf.DUMMYFUNCTION("""COMPUTED_VALUE"""),0.846)</f>
        <v>0.846</v>
      </c>
      <c r="R198" s="11">
        <f>IFERROR(__xludf.DUMMYFUNCTION("""COMPUTED_VALUE"""),0.5)</f>
        <v>0.5</v>
      </c>
      <c r="S198" s="11">
        <f>IFERROR(__xludf.DUMMYFUNCTION("""COMPUTED_VALUE"""),-2.252118522903883)</f>
        <v>-2.252118523</v>
      </c>
      <c r="T198" s="11">
        <f>IFERROR(__xludf.DUMMYFUNCTION("""COMPUTED_VALUE"""),-1.1435407868855925)</f>
        <v>-1.143540787</v>
      </c>
      <c r="U198" s="11">
        <f>IFERROR(__xludf.DUMMYFUNCTION("""COMPUTED_VALUE"""),-1.4783925700146765)</f>
        <v>-1.47839257</v>
      </c>
      <c r="V198" s="11">
        <f>IFERROR(__xludf.DUMMYFUNCTION("""COMPUTED_VALUE"""),-0.5630348583291391)</f>
        <v>-0.5630348583</v>
      </c>
      <c r="W198" s="11">
        <f>IFERROR(__xludf.DUMMYFUNCTION("""COMPUTED_VALUE"""),1.0749343021191105)</f>
        <v>1.074934302</v>
      </c>
      <c r="X198" s="11">
        <f>IFERROR(__xludf.DUMMYFUNCTION("""COMPUTED_VALUE"""),-0.9723047469492465)</f>
        <v>-0.9723047469</v>
      </c>
      <c r="Y198" s="11">
        <f>IFERROR(__xludf.DUMMYFUNCTION("""COMPUTED_VALUE"""),-0.2637134003815597)</f>
        <v>-0.2637134004</v>
      </c>
      <c r="Z198" s="11">
        <f>IFERROR(__xludf.DUMMYFUNCTION("""COMPUTED_VALUE"""),0.16282550682005845)</f>
        <v>0.1628255068</v>
      </c>
      <c r="AA198" s="11">
        <f>IFERROR(__xludf.DUMMYFUNCTION("""COMPUTED_VALUE"""),0.3096470256034866)</f>
        <v>0.3096470256</v>
      </c>
      <c r="AB198" t="str">
        <f>IFERROR(__xludf.DUMMYFUNCTION("SUBSTITUTE(REGEXREPLACE(REGEXREPLACE(REGEXREPLACE(REGEXREPLACE(REGEXREPLACE(REGEXREPLACE(F198,"","",),IF(Projections!$T$17="""",""PG"",),),IF(Projections!$U$17="""",""SG"",),),IF(Projections!$V$17="""",""SF"",),),IF(Projections!$W$17="""",""PF"",),),IF(Pr"&amp;"ojections!$X$17="""",""C"",),),""/"","""")"),"PGSG")</f>
        <v>PGSG</v>
      </c>
    </row>
    <row r="199">
      <c r="B199">
        <f>IFERROR(__xludf.DUMMYFUNCTION("""COMPUTED_VALUE"""),194.0)</f>
        <v>194</v>
      </c>
      <c r="C199">
        <f>IFERROR(__xludf.DUMMYFUNCTION("""COMPUTED_VALUE"""),123.8)</f>
        <v>123.8</v>
      </c>
      <c r="D199" t="str">
        <f>IFERROR(__xludf.DUMMYFUNCTION("""COMPUTED_VALUE"""),"Deni Avdija")</f>
        <v>Deni Avdija</v>
      </c>
      <c r="E199">
        <f>IFERROR(__xludf.DUMMYFUNCTION("""COMPUTED_VALUE"""),71.0)</f>
        <v>71</v>
      </c>
      <c r="F199" t="str">
        <f>IFERROR(__xludf.DUMMYFUNCTION("""COMPUTED_VALUE"""),"SF,PF")</f>
        <v>SF,PF</v>
      </c>
      <c r="G199" s="11">
        <f>IFERROR(__xludf.DUMMYFUNCTION("""COMPUTED_VALUE"""),-2.900312303977584)</f>
        <v>-2.900312304</v>
      </c>
      <c r="H199" s="11">
        <f>IFERROR(__xludf.DUMMYFUNCTION("""COMPUTED_VALUE"""),-2.900312303977584)</f>
        <v>-2.900312304</v>
      </c>
      <c r="I199" s="11">
        <f>IFERROR(__xludf.DUMMYFUNCTION("""COMPUTED_VALUE"""),0.0)</f>
        <v>0</v>
      </c>
      <c r="J199" s="11">
        <f>IFERROR(__xludf.DUMMYFUNCTION("""COMPUTED_VALUE"""),11.9)</f>
        <v>11.9</v>
      </c>
      <c r="K199" s="11">
        <f>IFERROR(__xludf.DUMMYFUNCTION("""COMPUTED_VALUE"""),1.0)</f>
        <v>1</v>
      </c>
      <c r="L199" s="11">
        <f>IFERROR(__xludf.DUMMYFUNCTION("""COMPUTED_VALUE"""),6.5)</f>
        <v>6.5</v>
      </c>
      <c r="M199" s="11">
        <f>IFERROR(__xludf.DUMMYFUNCTION("""COMPUTED_VALUE"""),3.3)</f>
        <v>3.3</v>
      </c>
      <c r="N199" s="11">
        <f>IFERROR(__xludf.DUMMYFUNCTION("""COMPUTED_VALUE"""),0.8)</f>
        <v>0.8</v>
      </c>
      <c r="O199" s="11">
        <f>IFERROR(__xludf.DUMMYFUNCTION("""COMPUTED_VALUE"""),0.4)</f>
        <v>0.4</v>
      </c>
      <c r="P199" s="15">
        <f>IFERROR(__xludf.DUMMYFUNCTION("""COMPUTED_VALUE"""),0.477)</f>
        <v>0.477</v>
      </c>
      <c r="Q199" s="15">
        <f>IFERROR(__xludf.DUMMYFUNCTION("""COMPUTED_VALUE"""),0.738)</f>
        <v>0.738</v>
      </c>
      <c r="R199" s="11">
        <f>IFERROR(__xludf.DUMMYFUNCTION("""COMPUTED_VALUE"""),1.9)</f>
        <v>1.9</v>
      </c>
      <c r="S199" s="11">
        <f>IFERROR(__xludf.DUMMYFUNCTION("""COMPUTED_VALUE"""),-1.0056471874385127)</f>
        <v>-1.005647187</v>
      </c>
      <c r="T199" s="11">
        <f>IFERROR(__xludf.DUMMYFUNCTION("""COMPUTED_VALUE"""),-0.7454435907594266)</f>
        <v>-0.7454435908</v>
      </c>
      <c r="U199" s="11">
        <f>IFERROR(__xludf.DUMMYFUNCTION("""COMPUTED_VALUE"""),0.16911501723415273)</f>
        <v>0.1691150172</v>
      </c>
      <c r="V199" s="11">
        <f>IFERROR(__xludf.DUMMYFUNCTION("""COMPUTED_VALUE"""),-0.2896642357963416)</f>
        <v>-0.2896642358</v>
      </c>
      <c r="W199" s="11">
        <f>IFERROR(__xludf.DUMMYFUNCTION("""COMPUTED_VALUE"""),-0.5847290886782864)</f>
        <v>-0.5847290887</v>
      </c>
      <c r="X199" s="11">
        <f>IFERROR(__xludf.DUMMYFUNCTION("""COMPUTED_VALUE"""),-0.6155173428439339)</f>
        <v>-0.6155173428</v>
      </c>
      <c r="Y199" s="11">
        <f>IFERROR(__xludf.DUMMYFUNCTION("""COMPUTED_VALUE"""),-0.2120328170276556)</f>
        <v>-0.212032817</v>
      </c>
      <c r="Z199" s="11">
        <f>IFERROR(__xludf.DUMMYFUNCTION("""COMPUTED_VALUE"""),-0.5845122830457662)</f>
        <v>-0.584512283</v>
      </c>
      <c r="AA199" s="11">
        <f>IFERROR(__xludf.DUMMYFUNCTION("""COMPUTED_VALUE"""),-0.037527963060326526)</f>
        <v>-0.03752796306</v>
      </c>
      <c r="AB199" t="str">
        <f>IFERROR(__xludf.DUMMYFUNCTION("SUBSTITUTE(REGEXREPLACE(REGEXREPLACE(REGEXREPLACE(REGEXREPLACE(REGEXREPLACE(REGEXREPLACE(F199,"","",),IF(Projections!$T$17="""",""PG"",),),IF(Projections!$U$17="""",""SG"",),),IF(Projections!$V$17="""",""SF"",),),IF(Projections!$W$17="""",""PF"",),),IF(Pr"&amp;"ojections!$X$17="""",""C"",),),""/"","""")"),"SFPF")</f>
        <v>SFPF</v>
      </c>
    </row>
    <row r="200">
      <c r="B200">
        <f>IFERROR(__xludf.DUMMYFUNCTION("""COMPUTED_VALUE"""),195.0)</f>
        <v>195</v>
      </c>
      <c r="C200">
        <f>IFERROR(__xludf.DUMMYFUNCTION("""COMPUTED_VALUE"""),133.6)</f>
        <v>133.6</v>
      </c>
      <c r="D200" t="str">
        <f>IFERROR(__xludf.DUMMYFUNCTION("""COMPUTED_VALUE"""),"Jaime Jaquez Jr.")</f>
        <v>Jaime Jaquez Jr.</v>
      </c>
      <c r="E200">
        <f>IFERROR(__xludf.DUMMYFUNCTION("""COMPUTED_VALUE"""),71.0)</f>
        <v>71</v>
      </c>
      <c r="F200" t="str">
        <f>IFERROR(__xludf.DUMMYFUNCTION("""COMPUTED_VALUE"""),"SF")</f>
        <v>SF</v>
      </c>
      <c r="G200" s="11">
        <f>IFERROR(__xludf.DUMMYFUNCTION("""COMPUTED_VALUE"""),-2.9433982770072555)</f>
        <v>-2.943398277</v>
      </c>
      <c r="H200" s="11">
        <f>IFERROR(__xludf.DUMMYFUNCTION("""COMPUTED_VALUE"""),-2.9433982770072555)</f>
        <v>-2.943398277</v>
      </c>
      <c r="I200" s="11">
        <f>IFERROR(__xludf.DUMMYFUNCTION("""COMPUTED_VALUE"""),0.0)</f>
        <v>0</v>
      </c>
      <c r="J200" s="11">
        <f>IFERROR(__xludf.DUMMYFUNCTION("""COMPUTED_VALUE"""),11.9)</f>
        <v>11.9</v>
      </c>
      <c r="K200" s="11">
        <f>IFERROR(__xludf.DUMMYFUNCTION("""COMPUTED_VALUE"""),0.9)</f>
        <v>0.9</v>
      </c>
      <c r="L200" s="11">
        <f>IFERROR(__xludf.DUMMYFUNCTION("""COMPUTED_VALUE"""),3.8)</f>
        <v>3.8</v>
      </c>
      <c r="M200" s="11">
        <f>IFERROR(__xludf.DUMMYFUNCTION("""COMPUTED_VALUE"""),2.6)</f>
        <v>2.6</v>
      </c>
      <c r="N200" s="11">
        <f>IFERROR(__xludf.DUMMYFUNCTION("""COMPUTED_VALUE"""),1.0)</f>
        <v>1</v>
      </c>
      <c r="O200" s="11">
        <f>IFERROR(__xludf.DUMMYFUNCTION("""COMPUTED_VALUE"""),0.3)</f>
        <v>0.3</v>
      </c>
      <c r="P200" s="15">
        <f>IFERROR(__xludf.DUMMYFUNCTION("""COMPUTED_VALUE"""),0.489)</f>
        <v>0.489</v>
      </c>
      <c r="Q200" s="15">
        <f>IFERROR(__xludf.DUMMYFUNCTION("""COMPUTED_VALUE"""),0.812)</f>
        <v>0.812</v>
      </c>
      <c r="R200" s="11">
        <f>IFERROR(__xludf.DUMMYFUNCTION("""COMPUTED_VALUE"""),1.5)</f>
        <v>1.5</v>
      </c>
      <c r="S200" s="11">
        <f>IFERROR(__xludf.DUMMYFUNCTION("""COMPUTED_VALUE"""),-1.0056471874385127)</f>
        <v>-1.005647187</v>
      </c>
      <c r="T200" s="11">
        <f>IFERROR(__xludf.DUMMYFUNCTION("""COMPUTED_VALUE"""),-0.844967889790968)</f>
        <v>-0.8449678898</v>
      </c>
      <c r="U200" s="11">
        <f>IFERROR(__xludf.DUMMYFUNCTION("""COMPUTED_VALUE"""),-0.8899970031400947)</f>
        <v>-0.8899970031</v>
      </c>
      <c r="V200" s="11">
        <f>IFERROR(__xludf.DUMMYFUNCTION("""COMPUTED_VALUE"""),-0.6085966287512721)</f>
        <v>-0.6085966288</v>
      </c>
      <c r="W200" s="11">
        <f>IFERROR(__xludf.DUMMYFUNCTION("""COMPUTED_VALUE"""),0.07913626764067216)</f>
        <v>0.07913626764</v>
      </c>
      <c r="X200" s="11">
        <f>IFERROR(__xludf.DUMMYFUNCTION("""COMPUTED_VALUE"""),-0.7939110448965904)</f>
        <v>-0.7939110449</v>
      </c>
      <c r="Y200" s="11">
        <f>IFERROR(__xludf.DUMMYFUNCTION("""COMPUTED_VALUE"""),-0.08589757692838754)</f>
        <v>-0.08589757693</v>
      </c>
      <c r="Z200" s="11">
        <f>IFERROR(__xludf.DUMMYFUNCTION("""COMPUTED_VALUE"""),0.13917070801576412)</f>
        <v>0.139170708</v>
      </c>
      <c r="AA200" s="11">
        <f>IFERROR(__xludf.DUMMYFUNCTION("""COMPUTED_VALUE"""),0.06166489084362008)</f>
        <v>0.06166489084</v>
      </c>
      <c r="AB200" t="str">
        <f>IFERROR(__xludf.DUMMYFUNCTION("SUBSTITUTE(REGEXREPLACE(REGEXREPLACE(REGEXREPLACE(REGEXREPLACE(REGEXREPLACE(REGEXREPLACE(F200,"","",),IF(Projections!$T$17="""",""PG"",),),IF(Projections!$U$17="""",""SG"",),),IF(Projections!$V$17="""",""SF"",),),IF(Projections!$W$17="""",""PF"",),),IF(Pr"&amp;"ojections!$X$17="""",""C"",),),""/"","""")"),"SF")</f>
        <v>SF</v>
      </c>
    </row>
    <row r="201">
      <c r="B201">
        <f>IFERROR(__xludf.DUMMYFUNCTION("""COMPUTED_VALUE"""),196.0)</f>
        <v>196</v>
      </c>
      <c r="C201">
        <f>IFERROR(__xludf.DUMMYFUNCTION("""COMPUTED_VALUE"""),141.7)</f>
        <v>141.7</v>
      </c>
      <c r="D201" t="str">
        <f>IFERROR(__xludf.DUMMYFUNCTION("""COMPUTED_VALUE"""),"Cole Anthony")</f>
        <v>Cole Anthony</v>
      </c>
      <c r="E201">
        <f>IFERROR(__xludf.DUMMYFUNCTION("""COMPUTED_VALUE"""),71.0)</f>
        <v>71</v>
      </c>
      <c r="F201" t="str">
        <f>IFERROR(__xludf.DUMMYFUNCTION("""COMPUTED_VALUE"""),"PG")</f>
        <v>PG</v>
      </c>
      <c r="G201" s="11">
        <f>IFERROR(__xludf.DUMMYFUNCTION("""COMPUTED_VALUE"""),-2.9502844746525057)</f>
        <v>-2.950284475</v>
      </c>
      <c r="H201" s="11">
        <f>IFERROR(__xludf.DUMMYFUNCTION("""COMPUTED_VALUE"""),-2.9502844746525057)</f>
        <v>-2.950284475</v>
      </c>
      <c r="I201" s="11">
        <f>IFERROR(__xludf.DUMMYFUNCTION("""COMPUTED_VALUE"""),0.0)</f>
        <v>0</v>
      </c>
      <c r="J201" s="11">
        <f>IFERROR(__xludf.DUMMYFUNCTION("""COMPUTED_VALUE"""),11.5)</f>
        <v>11.5</v>
      </c>
      <c r="K201" s="11">
        <f>IFERROR(__xludf.DUMMYFUNCTION("""COMPUTED_VALUE"""),1.3)</f>
        <v>1.3</v>
      </c>
      <c r="L201" s="11">
        <f>IFERROR(__xludf.DUMMYFUNCTION("""COMPUTED_VALUE"""),3.9)</f>
        <v>3.9</v>
      </c>
      <c r="M201" s="11">
        <f>IFERROR(__xludf.DUMMYFUNCTION("""COMPUTED_VALUE"""),3.1)</f>
        <v>3.1</v>
      </c>
      <c r="N201" s="11">
        <f>IFERROR(__xludf.DUMMYFUNCTION("""COMPUTED_VALUE"""),0.7)</f>
        <v>0.7</v>
      </c>
      <c r="O201" s="11">
        <f>IFERROR(__xludf.DUMMYFUNCTION("""COMPUTED_VALUE"""),0.5)</f>
        <v>0.5</v>
      </c>
      <c r="P201" s="15">
        <f>IFERROR(__xludf.DUMMYFUNCTION("""COMPUTED_VALUE"""),0.444)</f>
        <v>0.444</v>
      </c>
      <c r="Q201" s="15">
        <f>IFERROR(__xludf.DUMMYFUNCTION("""COMPUTED_VALUE"""),0.855)</f>
        <v>0.855</v>
      </c>
      <c r="R201" s="11">
        <f>IFERROR(__xludf.DUMMYFUNCTION("""COMPUTED_VALUE"""),1.4)</f>
        <v>1.4</v>
      </c>
      <c r="S201" s="11">
        <f>IFERROR(__xludf.DUMMYFUNCTION("""COMPUTED_VALUE"""),-1.0779063952915777)</f>
        <v>-1.077906395</v>
      </c>
      <c r="T201" s="11">
        <f>IFERROR(__xludf.DUMMYFUNCTION("""COMPUTED_VALUE"""),-0.44687069366480203)</f>
        <v>-0.4468706937</v>
      </c>
      <c r="U201" s="11">
        <f>IFERROR(__xludf.DUMMYFUNCTION("""COMPUTED_VALUE"""),-0.8507706320151226)</f>
        <v>-0.850770632</v>
      </c>
      <c r="V201" s="11">
        <f>IFERROR(__xludf.DUMMYFUNCTION("""COMPUTED_VALUE"""),-0.38078777664060737)</f>
        <v>-0.3807877766</v>
      </c>
      <c r="W201" s="11">
        <f>IFERROR(__xludf.DUMMYFUNCTION("""COMPUTED_VALUE"""),-0.9166617668377661)</f>
        <v>-0.9166617668</v>
      </c>
      <c r="X201" s="11">
        <f>IFERROR(__xludf.DUMMYFUNCTION("""COMPUTED_VALUE"""),-0.4371236407912776)</f>
        <v>-0.4371236408</v>
      </c>
      <c r="Y201" s="11">
        <f>IFERROR(__xludf.DUMMYFUNCTION("""COMPUTED_VALUE"""),-0.5577870575547593)</f>
        <v>-0.5577870576</v>
      </c>
      <c r="Z201" s="11">
        <f>IFERROR(__xludf.DUMMYFUNCTION("""COMPUTED_VALUE"""),0.5532539885322231)</f>
        <v>0.5532539885</v>
      </c>
      <c r="AA201" s="11">
        <f>IFERROR(__xludf.DUMMYFUNCTION("""COMPUTED_VALUE"""),0.08646310431960676)</f>
        <v>0.08646310432</v>
      </c>
      <c r="AB201" t="str">
        <f>IFERROR(__xludf.DUMMYFUNCTION("SUBSTITUTE(REGEXREPLACE(REGEXREPLACE(REGEXREPLACE(REGEXREPLACE(REGEXREPLACE(REGEXREPLACE(F201,"","",),IF(Projections!$T$17="""",""PG"",),),IF(Projections!$U$17="""",""SG"",),),IF(Projections!$V$17="""",""SF"",),),IF(Projections!$W$17="""",""PF"",),),IF(Pr"&amp;"ojections!$X$17="""",""C"",),),""/"","""")"),"PG")</f>
        <v>PG</v>
      </c>
    </row>
    <row r="202">
      <c r="B202">
        <f>IFERROR(__xludf.DUMMYFUNCTION("""COMPUTED_VALUE"""),197.0)</f>
        <v>197</v>
      </c>
      <c r="D202" t="str">
        <f>IFERROR(__xludf.DUMMYFUNCTION("""COMPUTED_VALUE"""),"Luke Kennard")</f>
        <v>Luke Kennard</v>
      </c>
      <c r="E202">
        <f>IFERROR(__xludf.DUMMYFUNCTION("""COMPUTED_VALUE"""),66.0)</f>
        <v>66</v>
      </c>
      <c r="F202" t="str">
        <f>IFERROR(__xludf.DUMMYFUNCTION("""COMPUTED_VALUE"""),"SG")</f>
        <v>SG</v>
      </c>
      <c r="G202" s="11">
        <f>IFERROR(__xludf.DUMMYFUNCTION("""COMPUTED_VALUE"""),-2.950671696469391)</f>
        <v>-2.950671696</v>
      </c>
      <c r="H202" s="11">
        <f>IFERROR(__xludf.DUMMYFUNCTION("""COMPUTED_VALUE"""),-2.950671696469391)</f>
        <v>-2.950671696</v>
      </c>
      <c r="I202" s="11">
        <f>IFERROR(__xludf.DUMMYFUNCTION("""COMPUTED_VALUE"""),0.0)</f>
        <v>0</v>
      </c>
      <c r="J202" s="11">
        <f>IFERROR(__xludf.DUMMYFUNCTION("""COMPUTED_VALUE"""),10.8)</f>
        <v>10.8</v>
      </c>
      <c r="K202" s="11">
        <f>IFERROR(__xludf.DUMMYFUNCTION("""COMPUTED_VALUE"""),2.7)</f>
        <v>2.7</v>
      </c>
      <c r="L202" s="11">
        <f>IFERROR(__xludf.DUMMYFUNCTION("""COMPUTED_VALUE"""),3.0)</f>
        <v>3</v>
      </c>
      <c r="M202" s="11">
        <f>IFERROR(__xludf.DUMMYFUNCTION("""COMPUTED_VALUE"""),2.5)</f>
        <v>2.5</v>
      </c>
      <c r="N202" s="11">
        <f>IFERROR(__xludf.DUMMYFUNCTION("""COMPUTED_VALUE"""),0.6)</f>
        <v>0.6</v>
      </c>
      <c r="O202" s="11">
        <f>IFERROR(__xludf.DUMMYFUNCTION("""COMPUTED_VALUE"""),0.1)</f>
        <v>0.1</v>
      </c>
      <c r="P202" s="15">
        <f>IFERROR(__xludf.DUMMYFUNCTION("""COMPUTED_VALUE"""),0.472)</f>
        <v>0.472</v>
      </c>
      <c r="Q202" s="15">
        <f>IFERROR(__xludf.DUMMYFUNCTION("""COMPUTED_VALUE"""),0.914)</f>
        <v>0.914</v>
      </c>
      <c r="R202" s="11">
        <f>IFERROR(__xludf.DUMMYFUNCTION("""COMPUTED_VALUE"""),1.1)</f>
        <v>1.1</v>
      </c>
      <c r="S202" s="11">
        <f>IFERROR(__xludf.DUMMYFUNCTION("""COMPUTED_VALUE"""),-1.2043600090344413)</f>
        <v>-1.204360009</v>
      </c>
      <c r="T202" s="11">
        <f>IFERROR(__xludf.DUMMYFUNCTION("""COMPUTED_VALUE"""),0.946469492776779)</f>
        <v>0.9464694928</v>
      </c>
      <c r="U202" s="11">
        <f>IFERROR(__xludf.DUMMYFUNCTION("""COMPUTED_VALUE"""),-1.2038079721398716)</f>
        <v>-1.203807972</v>
      </c>
      <c r="V202" s="11">
        <f>IFERROR(__xludf.DUMMYFUNCTION("""COMPUTED_VALUE"""),-0.6541583991734051)</f>
        <v>-0.6541583992</v>
      </c>
      <c r="W202" s="11">
        <f>IFERROR(__xludf.DUMMYFUNCTION("""COMPUTED_VALUE"""),-1.2485944449972455)</f>
        <v>-1.248594445</v>
      </c>
      <c r="X202" s="11">
        <f>IFERROR(__xludf.DUMMYFUNCTION("""COMPUTED_VALUE"""),-1.150698449001903)</f>
        <v>-1.150698449</v>
      </c>
      <c r="Y202" s="11">
        <f>IFERROR(__xludf.DUMMYFUNCTION("""COMPUTED_VALUE"""),-0.2245344188310849)</f>
        <v>-0.2245344188</v>
      </c>
      <c r="Z202" s="11">
        <f>IFERROR(__xludf.DUMMYFUNCTION("""COMPUTED_VALUE"""),0.3795603141869694)</f>
        <v>0.3795603142</v>
      </c>
      <c r="AA202" s="11">
        <f>IFERROR(__xludf.DUMMYFUNCTION("""COMPUTED_VALUE"""),0.16085774474756667)</f>
        <v>0.1608577447</v>
      </c>
      <c r="AB202" t="str">
        <f>IFERROR(__xludf.DUMMYFUNCTION("SUBSTITUTE(REGEXREPLACE(REGEXREPLACE(REGEXREPLACE(REGEXREPLACE(REGEXREPLACE(REGEXREPLACE(F202,"","",),IF(Projections!$T$17="""",""PG"",),),IF(Projections!$U$17="""",""SG"",),),IF(Projections!$V$17="""",""SF"",),),IF(Projections!$W$17="""",""PF"",),),IF(Pr"&amp;"ojections!$X$17="""",""C"",),),""/"","""")"),"SG")</f>
        <v>SG</v>
      </c>
    </row>
    <row r="203">
      <c r="B203">
        <f>IFERROR(__xludf.DUMMYFUNCTION("""COMPUTED_VALUE"""),198.0)</f>
        <v>198</v>
      </c>
      <c r="C203">
        <f>IFERROR(__xludf.DUMMYFUNCTION("""COMPUTED_VALUE"""),144.6)</f>
        <v>144.6</v>
      </c>
      <c r="D203" t="str">
        <f>IFERROR(__xludf.DUMMYFUNCTION("""COMPUTED_VALUE"""),"Duncan Robinson")</f>
        <v>Duncan Robinson</v>
      </c>
      <c r="E203">
        <f>IFERROR(__xludf.DUMMYFUNCTION("""COMPUTED_VALUE"""),71.0)</f>
        <v>71</v>
      </c>
      <c r="F203" t="str">
        <f>IFERROR(__xludf.DUMMYFUNCTION("""COMPUTED_VALUE"""),"SG,SF")</f>
        <v>SG,SF</v>
      </c>
      <c r="G203" s="11">
        <f>IFERROR(__xludf.DUMMYFUNCTION("""COMPUTED_VALUE"""),-2.9538630692257195)</f>
        <v>-2.953863069</v>
      </c>
      <c r="H203" s="11">
        <f>IFERROR(__xludf.DUMMYFUNCTION("""COMPUTED_VALUE"""),-2.9538630692257195)</f>
        <v>-2.953863069</v>
      </c>
      <c r="I203" s="11">
        <f>IFERROR(__xludf.DUMMYFUNCTION("""COMPUTED_VALUE"""),0.0)</f>
        <v>0</v>
      </c>
      <c r="J203" s="11">
        <f>IFERROR(__xludf.DUMMYFUNCTION("""COMPUTED_VALUE"""),12.5)</f>
        <v>12.5</v>
      </c>
      <c r="K203" s="11">
        <f>IFERROR(__xludf.DUMMYFUNCTION("""COMPUTED_VALUE"""),2.6)</f>
        <v>2.6</v>
      </c>
      <c r="L203" s="11">
        <f>IFERROR(__xludf.DUMMYFUNCTION("""COMPUTED_VALUE"""),2.5)</f>
        <v>2.5</v>
      </c>
      <c r="M203" s="11">
        <f>IFERROR(__xludf.DUMMYFUNCTION("""COMPUTED_VALUE"""),2.5)</f>
        <v>2.5</v>
      </c>
      <c r="N203" s="11">
        <f>IFERROR(__xludf.DUMMYFUNCTION("""COMPUTED_VALUE"""),0.6)</f>
        <v>0.6</v>
      </c>
      <c r="O203" s="11">
        <f>IFERROR(__xludf.DUMMYFUNCTION("""COMPUTED_VALUE"""),0.2)</f>
        <v>0.2</v>
      </c>
      <c r="P203" s="15">
        <f>IFERROR(__xludf.DUMMYFUNCTION("""COMPUTED_VALUE"""),0.447)</f>
        <v>0.447</v>
      </c>
      <c r="Q203" s="15">
        <f>IFERROR(__xludf.DUMMYFUNCTION("""COMPUTED_VALUE"""),0.889)</f>
        <v>0.889</v>
      </c>
      <c r="R203" s="11">
        <f>IFERROR(__xludf.DUMMYFUNCTION("""COMPUTED_VALUE"""),1.3)</f>
        <v>1.3</v>
      </c>
      <c r="S203" s="11">
        <f>IFERROR(__xludf.DUMMYFUNCTION("""COMPUTED_VALUE"""),-0.8972583756589153)</f>
        <v>-0.8972583757</v>
      </c>
      <c r="T203" s="11">
        <f>IFERROR(__xludf.DUMMYFUNCTION("""COMPUTED_VALUE"""),0.8469451937452375)</f>
        <v>0.8469451937</v>
      </c>
      <c r="U203" s="11">
        <f>IFERROR(__xludf.DUMMYFUNCTION("""COMPUTED_VALUE"""),-1.3999398277647324)</f>
        <v>-1.399939828</v>
      </c>
      <c r="V203" s="11">
        <f>IFERROR(__xludf.DUMMYFUNCTION("""COMPUTED_VALUE"""),-0.6541583991734051)</f>
        <v>-0.6541583992</v>
      </c>
      <c r="W203" s="11">
        <f>IFERROR(__xludf.DUMMYFUNCTION("""COMPUTED_VALUE"""),-1.2485944449972455)</f>
        <v>-1.248594445</v>
      </c>
      <c r="X203" s="11">
        <f>IFERROR(__xludf.DUMMYFUNCTION("""COMPUTED_VALUE"""),-0.9723047469492465)</f>
        <v>-0.9723047469</v>
      </c>
      <c r="Y203" s="11">
        <f>IFERROR(__xludf.DUMMYFUNCTION("""COMPUTED_VALUE"""),-0.5729113024632851)</f>
        <v>-0.5729113025</v>
      </c>
      <c r="Z203" s="11">
        <f>IFERROR(__xludf.DUMMYFUNCTION("""COMPUTED_VALUE"""),0.43315768847554714)</f>
        <v>0.4331576885</v>
      </c>
      <c r="AA203" s="11">
        <f>IFERROR(__xludf.DUMMYFUNCTION("""COMPUTED_VALUE"""),0.11126131779559338)</f>
        <v>0.1112613178</v>
      </c>
      <c r="AB203" t="str">
        <f>IFERROR(__xludf.DUMMYFUNCTION("SUBSTITUTE(REGEXREPLACE(REGEXREPLACE(REGEXREPLACE(REGEXREPLACE(REGEXREPLACE(REGEXREPLACE(F203,"","",),IF(Projections!$T$17="""",""PG"",),),IF(Projections!$U$17="""",""SG"",),),IF(Projections!$V$17="""",""SF"",),),IF(Projections!$W$17="""",""PF"",),),IF(Pr"&amp;"ojections!$X$17="""",""C"",),),""/"","""")"),"SGSF")</f>
        <v>SGSF</v>
      </c>
    </row>
    <row r="204">
      <c r="B204">
        <f>IFERROR(__xludf.DUMMYFUNCTION("""COMPUTED_VALUE"""),199.0)</f>
        <v>199</v>
      </c>
      <c r="D204" t="str">
        <f>IFERROR(__xludf.DUMMYFUNCTION("""COMPUTED_VALUE"""),"Nickeil Alexander-Walker")</f>
        <v>Nickeil Alexander-Walker</v>
      </c>
      <c r="E204">
        <f>IFERROR(__xludf.DUMMYFUNCTION("""COMPUTED_VALUE"""),38.0)</f>
        <v>38</v>
      </c>
      <c r="F204" t="str">
        <f>IFERROR(__xludf.DUMMYFUNCTION("""COMPUTED_VALUE"""),"SG,SF")</f>
        <v>SG,SF</v>
      </c>
      <c r="G204" s="11">
        <f>IFERROR(__xludf.DUMMYFUNCTION("""COMPUTED_VALUE"""),-2.9639738608972017)</f>
        <v>-2.963973861</v>
      </c>
      <c r="H204" s="11">
        <f>IFERROR(__xludf.DUMMYFUNCTION("""COMPUTED_VALUE"""),-2.9639738608972017)</f>
        <v>-2.963973861</v>
      </c>
      <c r="I204" s="11">
        <f>IFERROR(__xludf.DUMMYFUNCTION("""COMPUTED_VALUE"""),0.0)</f>
        <v>0</v>
      </c>
      <c r="J204" s="11">
        <f>IFERROR(__xludf.DUMMYFUNCTION("""COMPUTED_VALUE"""),9.5)</f>
        <v>9.5</v>
      </c>
      <c r="K204" s="11">
        <f>IFERROR(__xludf.DUMMYFUNCTION("""COMPUTED_VALUE"""),1.8)</f>
        <v>1.8</v>
      </c>
      <c r="L204" s="11">
        <f>IFERROR(__xludf.DUMMYFUNCTION("""COMPUTED_VALUE"""),2.5)</f>
        <v>2.5</v>
      </c>
      <c r="M204" s="11">
        <f>IFERROR(__xludf.DUMMYFUNCTION("""COMPUTED_VALUE"""),2.9)</f>
        <v>2.9</v>
      </c>
      <c r="N204" s="11">
        <f>IFERROR(__xludf.DUMMYFUNCTION("""COMPUTED_VALUE"""),0.9)</f>
        <v>0.9</v>
      </c>
      <c r="O204" s="11">
        <f>IFERROR(__xludf.DUMMYFUNCTION("""COMPUTED_VALUE"""),0.6)</f>
        <v>0.6</v>
      </c>
      <c r="P204" s="15">
        <f>IFERROR(__xludf.DUMMYFUNCTION("""COMPUTED_VALUE"""),0.441)</f>
        <v>0.441</v>
      </c>
      <c r="Q204" s="15">
        <f>IFERROR(__xludf.DUMMYFUNCTION("""COMPUTED_VALUE"""),0.733)</f>
        <v>0.733</v>
      </c>
      <c r="R204" s="11">
        <f>IFERROR(__xludf.DUMMYFUNCTION("""COMPUTED_VALUE"""),1.2)</f>
        <v>1.2</v>
      </c>
      <c r="S204" s="11">
        <f>IFERROR(__xludf.DUMMYFUNCTION("""COMPUTED_VALUE"""),-1.4392024345569023)</f>
        <v>-1.439202435</v>
      </c>
      <c r="T204" s="11">
        <f>IFERROR(__xludf.DUMMYFUNCTION("""COMPUTED_VALUE"""),0.05075080149290546)</f>
        <v>0.05075080149</v>
      </c>
      <c r="U204" s="11">
        <f>IFERROR(__xludf.DUMMYFUNCTION("""COMPUTED_VALUE"""),-1.3999398277647324)</f>
        <v>-1.399939828</v>
      </c>
      <c r="V204" s="11">
        <f>IFERROR(__xludf.DUMMYFUNCTION("""COMPUTED_VALUE"""),-0.4719113174848733)</f>
        <v>-0.4719113175</v>
      </c>
      <c r="W204" s="11">
        <f>IFERROR(__xludf.DUMMYFUNCTION("""COMPUTED_VALUE"""),-0.25279641051880714)</f>
        <v>-0.2527964105</v>
      </c>
      <c r="X204" s="11">
        <f>IFERROR(__xludf.DUMMYFUNCTION("""COMPUTED_VALUE"""),-0.25872993873862127)</f>
        <v>-0.2587299387</v>
      </c>
      <c r="Y204" s="11">
        <f>IFERROR(__xludf.DUMMYFUNCTION("""COMPUTED_VALUE"""),-0.5042910370233403)</f>
        <v>-0.504291037</v>
      </c>
      <c r="Z204" s="11">
        <f>IFERROR(__xludf.DUMMYFUNCTION("""COMPUTED_VALUE"""),-0.2631156621313124)</f>
        <v>-0.2631156621</v>
      </c>
      <c r="AA204" s="11">
        <f>IFERROR(__xludf.DUMMYFUNCTION("""COMPUTED_VALUE"""),0.13605953127158005)</f>
        <v>0.1360595313</v>
      </c>
      <c r="AB204" t="str">
        <f>IFERROR(__xludf.DUMMYFUNCTION("SUBSTITUTE(REGEXREPLACE(REGEXREPLACE(REGEXREPLACE(REGEXREPLACE(REGEXREPLACE(REGEXREPLACE(F204,"","",),IF(Projections!$T$17="""",""PG"",),),IF(Projections!$U$17="""",""SG"",),),IF(Projections!$V$17="""",""SF"",),),IF(Projections!$W$17="""",""PF"",),),IF(Pr"&amp;"ojections!$X$17="""",""C"",),),""/"","""")"),"SGSF")</f>
        <v>SGSF</v>
      </c>
    </row>
    <row r="205">
      <c r="B205">
        <f>IFERROR(__xludf.DUMMYFUNCTION("""COMPUTED_VALUE"""),200.0)</f>
        <v>200</v>
      </c>
      <c r="D205" t="str">
        <f>IFERROR(__xludf.DUMMYFUNCTION("""COMPUTED_VALUE"""),"Josh Richardson")</f>
        <v>Josh Richardson</v>
      </c>
      <c r="E205">
        <f>IFERROR(__xludf.DUMMYFUNCTION("""COMPUTED_VALUE"""),71.0)</f>
        <v>71</v>
      </c>
      <c r="F205" t="str">
        <f>IFERROR(__xludf.DUMMYFUNCTION("""COMPUTED_VALUE"""),"PG,SG")</f>
        <v>PG,SG</v>
      </c>
      <c r="G205" s="11">
        <f>IFERROR(__xludf.DUMMYFUNCTION("""COMPUTED_VALUE"""),-2.9715137298468663)</f>
        <v>-2.97151373</v>
      </c>
      <c r="H205" s="11">
        <f>IFERROR(__xludf.DUMMYFUNCTION("""COMPUTED_VALUE"""),-2.9715137298468663)</f>
        <v>-2.97151373</v>
      </c>
      <c r="I205" s="11">
        <f>IFERROR(__xludf.DUMMYFUNCTION("""COMPUTED_VALUE"""),0.0)</f>
        <v>0</v>
      </c>
      <c r="J205" s="11">
        <f>IFERROR(__xludf.DUMMYFUNCTION("""COMPUTED_VALUE"""),10.4)</f>
        <v>10.4</v>
      </c>
      <c r="K205" s="11">
        <f>IFERROR(__xludf.DUMMYFUNCTION("""COMPUTED_VALUE"""),1.7)</f>
        <v>1.7</v>
      </c>
      <c r="L205" s="11">
        <f>IFERROR(__xludf.DUMMYFUNCTION("""COMPUTED_VALUE"""),2.9)</f>
        <v>2.9</v>
      </c>
      <c r="M205" s="11">
        <f>IFERROR(__xludf.DUMMYFUNCTION("""COMPUTED_VALUE"""),2.7)</f>
        <v>2.7</v>
      </c>
      <c r="N205" s="11">
        <f>IFERROR(__xludf.DUMMYFUNCTION("""COMPUTED_VALUE"""),0.9)</f>
        <v>0.9</v>
      </c>
      <c r="O205" s="11">
        <f>IFERROR(__xludf.DUMMYFUNCTION("""COMPUTED_VALUE"""),0.3)</f>
        <v>0.3</v>
      </c>
      <c r="P205" s="15">
        <f>IFERROR(__xludf.DUMMYFUNCTION("""COMPUTED_VALUE"""),0.436)</f>
        <v>0.436</v>
      </c>
      <c r="Q205" s="15">
        <f>IFERROR(__xludf.DUMMYFUNCTION("""COMPUTED_VALUE"""),0.885)</f>
        <v>0.885</v>
      </c>
      <c r="R205" s="11">
        <f>IFERROR(__xludf.DUMMYFUNCTION("""COMPUTED_VALUE"""),1.2)</f>
        <v>1.2</v>
      </c>
      <c r="S205" s="11">
        <f>IFERROR(__xludf.DUMMYFUNCTION("""COMPUTED_VALUE"""),-1.2766192168875061)</f>
        <v>-1.276619217</v>
      </c>
      <c r="T205" s="11">
        <f>IFERROR(__xludf.DUMMYFUNCTION("""COMPUTED_VALUE"""),-0.04877349753863613)</f>
        <v>-0.04877349754</v>
      </c>
      <c r="U205" s="11">
        <f>IFERROR(__xludf.DUMMYFUNCTION("""COMPUTED_VALUE"""),-1.2430343432648439)</f>
        <v>-1.243034343</v>
      </c>
      <c r="V205" s="11">
        <f>IFERROR(__xludf.DUMMYFUNCTION("""COMPUTED_VALUE"""),-0.5630348583291391)</f>
        <v>-0.5630348583</v>
      </c>
      <c r="W205" s="11">
        <f>IFERROR(__xludf.DUMMYFUNCTION("""COMPUTED_VALUE"""),-0.25279641051880714)</f>
        <v>-0.2527964105</v>
      </c>
      <c r="X205" s="11">
        <f>IFERROR(__xludf.DUMMYFUNCTION("""COMPUTED_VALUE"""),-0.7939110448965904)</f>
        <v>-0.7939110449</v>
      </c>
      <c r="Y205" s="11">
        <f>IFERROR(__xludf.DUMMYFUNCTION("""COMPUTED_VALUE"""),-0.6207654192566318)</f>
        <v>-0.6207654193</v>
      </c>
      <c r="Z205" s="11">
        <f>IFERROR(__xludf.DUMMYFUNCTION("""COMPUTED_VALUE"""),0.41474231268620176)</f>
        <v>0.4147423127</v>
      </c>
      <c r="AA205" s="11">
        <f>IFERROR(__xludf.DUMMYFUNCTION("""COMPUTED_VALUE"""),0.13605953127158005)</f>
        <v>0.1360595313</v>
      </c>
      <c r="AB205" t="str">
        <f>IFERROR(__xludf.DUMMYFUNCTION("SUBSTITUTE(REGEXREPLACE(REGEXREPLACE(REGEXREPLACE(REGEXREPLACE(REGEXREPLACE(REGEXREPLACE(F205,"","",),IF(Projections!$T$17="""",""PG"",),),IF(Projections!$U$17="""",""SG"",),),IF(Projections!$V$17="""",""SF"",),),IF(Projections!$W$17="""",""PF"",),),IF(Pr"&amp;"ojections!$X$17="""",""C"",),),""/"","""")"),"PGSG")</f>
        <v>PGSG</v>
      </c>
    </row>
    <row r="206">
      <c r="B206">
        <f>IFERROR(__xludf.DUMMYFUNCTION("""COMPUTED_VALUE"""),201.0)</f>
        <v>201</v>
      </c>
      <c r="D206" t="str">
        <f>IFERROR(__xludf.DUMMYFUNCTION("""COMPUTED_VALUE"""),"Nicolas Batum")</f>
        <v>Nicolas Batum</v>
      </c>
      <c r="E206">
        <f>IFERROR(__xludf.DUMMYFUNCTION("""COMPUTED_VALUE"""),59.0)</f>
        <v>59</v>
      </c>
      <c r="F206" t="str">
        <f>IFERROR(__xludf.DUMMYFUNCTION("""COMPUTED_VALUE"""),"SF,PF")</f>
        <v>SF,PF</v>
      </c>
      <c r="G206" s="11">
        <f>IFERROR(__xludf.DUMMYFUNCTION("""COMPUTED_VALUE"""),-3.002411656386733)</f>
        <v>-3.002411656</v>
      </c>
      <c r="H206" s="11">
        <f>IFERROR(__xludf.DUMMYFUNCTION("""COMPUTED_VALUE"""),-3.002411656386733)</f>
        <v>-3.002411656</v>
      </c>
      <c r="I206" s="11">
        <f>IFERROR(__xludf.DUMMYFUNCTION("""COMPUTED_VALUE"""),0.0)</f>
        <v>0</v>
      </c>
      <c r="J206" s="11">
        <f>IFERROR(__xludf.DUMMYFUNCTION("""COMPUTED_VALUE"""),6.2)</f>
        <v>6.2</v>
      </c>
      <c r="K206" s="11">
        <f>IFERROR(__xludf.DUMMYFUNCTION("""COMPUTED_VALUE"""),1.5)</f>
        <v>1.5</v>
      </c>
      <c r="L206" s="11">
        <f>IFERROR(__xludf.DUMMYFUNCTION("""COMPUTED_VALUE"""),4.2)</f>
        <v>4.2</v>
      </c>
      <c r="M206" s="11">
        <f>IFERROR(__xludf.DUMMYFUNCTION("""COMPUTED_VALUE"""),1.9)</f>
        <v>1.9</v>
      </c>
      <c r="N206" s="11">
        <f>IFERROR(__xludf.DUMMYFUNCTION("""COMPUTED_VALUE"""),0.8)</f>
        <v>0.8</v>
      </c>
      <c r="O206" s="11">
        <f>IFERROR(__xludf.DUMMYFUNCTION("""COMPUTED_VALUE"""),0.6)</f>
        <v>0.6</v>
      </c>
      <c r="P206" s="15">
        <f>IFERROR(__xludf.DUMMYFUNCTION("""COMPUTED_VALUE"""),0.432)</f>
        <v>0.432</v>
      </c>
      <c r="Q206" s="15">
        <f>IFERROR(__xludf.DUMMYFUNCTION("""COMPUTED_VALUE"""),0.717)</f>
        <v>0.717</v>
      </c>
      <c r="R206" s="11">
        <f>IFERROR(__xludf.DUMMYFUNCTION("""COMPUTED_VALUE"""),0.7)</f>
        <v>0.7</v>
      </c>
      <c r="S206" s="11">
        <f>IFERROR(__xludf.DUMMYFUNCTION("""COMPUTED_VALUE"""),-2.035340899344688)</f>
        <v>-2.035340899</v>
      </c>
      <c r="T206" s="11">
        <f>IFERROR(__xludf.DUMMYFUNCTION("""COMPUTED_VALUE"""),-0.24782209560171908)</f>
        <v>-0.2478220956</v>
      </c>
      <c r="U206" s="11">
        <f>IFERROR(__xludf.DUMMYFUNCTION("""COMPUTED_VALUE"""),-0.733091518640206)</f>
        <v>-0.7330915186</v>
      </c>
      <c r="V206" s="11">
        <f>IFERROR(__xludf.DUMMYFUNCTION("""COMPUTED_VALUE"""),-0.9275290217062028)</f>
        <v>-0.9275290217</v>
      </c>
      <c r="W206" s="11">
        <f>IFERROR(__xludf.DUMMYFUNCTION("""COMPUTED_VALUE"""),-0.5847290886782864)</f>
        <v>-0.5847290887</v>
      </c>
      <c r="X206" s="11">
        <f>IFERROR(__xludf.DUMMYFUNCTION("""COMPUTED_VALUE"""),-0.25872993873862127)</f>
        <v>-0.2587299387</v>
      </c>
      <c r="Y206" s="11">
        <f>IFERROR(__xludf.DUMMYFUNCTION("""COMPUTED_VALUE"""),-0.37259771841694134)</f>
        <v>-0.3725977184</v>
      </c>
      <c r="Z206" s="11">
        <f>IFERROR(__xludf.DUMMYFUNCTION("""COMPUTED_VALUE"""),-0.13796287325627046)</f>
        <v>-0.1379628733</v>
      </c>
      <c r="AA206" s="11">
        <f>IFERROR(__xludf.DUMMYFUNCTION("""COMPUTED_VALUE"""),0.26005059865151336)</f>
        <v>0.2600505987</v>
      </c>
      <c r="AB206" t="str">
        <f>IFERROR(__xludf.DUMMYFUNCTION("SUBSTITUTE(REGEXREPLACE(REGEXREPLACE(REGEXREPLACE(REGEXREPLACE(REGEXREPLACE(REGEXREPLACE(F206,"","",),IF(Projections!$T$17="""",""PG"",),),IF(Projections!$U$17="""",""SG"",),),IF(Projections!$V$17="""",""SF"",),),IF(Projections!$W$17="""",""PF"",),),IF(Pr"&amp;"ojections!$X$17="""",""C"",),),""/"","""")"),"SFPF")</f>
        <v>SFPF</v>
      </c>
    </row>
    <row r="207">
      <c r="B207">
        <f>IFERROR(__xludf.DUMMYFUNCTION("""COMPUTED_VALUE"""),202.0)</f>
        <v>202</v>
      </c>
      <c r="D207" t="str">
        <f>IFERROR(__xludf.DUMMYFUNCTION("""COMPUTED_VALUE"""),"Cason Wallace")</f>
        <v>Cason Wallace</v>
      </c>
      <c r="E207">
        <f>IFERROR(__xludf.DUMMYFUNCTION("""COMPUTED_VALUE"""),52.0)</f>
        <v>52</v>
      </c>
      <c r="F207" t="str">
        <f>IFERROR(__xludf.DUMMYFUNCTION("""COMPUTED_VALUE"""),"PG,SG")</f>
        <v>PG,SG</v>
      </c>
      <c r="G207" s="11">
        <f>IFERROR(__xludf.DUMMYFUNCTION("""COMPUTED_VALUE"""),-3.057629766505605)</f>
        <v>-3.057629767</v>
      </c>
      <c r="H207" s="11">
        <f>IFERROR(__xludf.DUMMYFUNCTION("""COMPUTED_VALUE"""),-3.057629766505605)</f>
        <v>-3.057629767</v>
      </c>
      <c r="I207" s="11">
        <f>IFERROR(__xludf.DUMMYFUNCTION("""COMPUTED_VALUE"""),0.0)</f>
        <v>0</v>
      </c>
      <c r="J207" s="11">
        <f>IFERROR(__xludf.DUMMYFUNCTION("""COMPUTED_VALUE"""),7.4)</f>
        <v>7.4</v>
      </c>
      <c r="K207" s="11">
        <f>IFERROR(__xludf.DUMMYFUNCTION("""COMPUTED_VALUE"""),1.3)</f>
        <v>1.3</v>
      </c>
      <c r="L207" s="11">
        <f>IFERROR(__xludf.DUMMYFUNCTION("""COMPUTED_VALUE"""),2.5)</f>
        <v>2.5</v>
      </c>
      <c r="M207" s="11">
        <f>IFERROR(__xludf.DUMMYFUNCTION("""COMPUTED_VALUE"""),1.6)</f>
        <v>1.6</v>
      </c>
      <c r="N207" s="11">
        <f>IFERROR(__xludf.DUMMYFUNCTION("""COMPUTED_VALUE"""),1.0)</f>
        <v>1</v>
      </c>
      <c r="O207" s="11">
        <f>IFERROR(__xludf.DUMMYFUNCTION("""COMPUTED_VALUE"""),0.5)</f>
        <v>0.5</v>
      </c>
      <c r="P207" s="15">
        <f>IFERROR(__xludf.DUMMYFUNCTION("""COMPUTED_VALUE"""),0.491)</f>
        <v>0.491</v>
      </c>
      <c r="Q207" s="15">
        <f>IFERROR(__xludf.DUMMYFUNCTION("""COMPUTED_VALUE"""),0.776)</f>
        <v>0.776</v>
      </c>
      <c r="R207" s="11">
        <f>IFERROR(__xludf.DUMMYFUNCTION("""COMPUTED_VALUE"""),0.6)</f>
        <v>0.6</v>
      </c>
      <c r="S207" s="11">
        <f>IFERROR(__xludf.DUMMYFUNCTION("""COMPUTED_VALUE"""),-1.8185632757854933)</f>
        <v>-1.818563276</v>
      </c>
      <c r="T207" s="11">
        <f>IFERROR(__xludf.DUMMYFUNCTION("""COMPUTED_VALUE"""),-0.44687069366480203)</f>
        <v>-0.4468706937</v>
      </c>
      <c r="U207" s="11">
        <f>IFERROR(__xludf.DUMMYFUNCTION("""COMPUTED_VALUE"""),-1.3999398277647324)</f>
        <v>-1.399939828</v>
      </c>
      <c r="V207" s="11">
        <f>IFERROR(__xludf.DUMMYFUNCTION("""COMPUTED_VALUE"""),-1.0642143329726015)</f>
        <v>-1.064214333</v>
      </c>
      <c r="W207" s="11">
        <f>IFERROR(__xludf.DUMMYFUNCTION("""COMPUTED_VALUE"""),0.07913626764067216)</f>
        <v>0.07913626764</v>
      </c>
      <c r="X207" s="11">
        <f>IFERROR(__xludf.DUMMYFUNCTION("""COMPUTED_VALUE"""),-0.4371236407912776)</f>
        <v>-0.4371236408</v>
      </c>
      <c r="Y207" s="11">
        <f>IFERROR(__xludf.DUMMYFUNCTION("""COMPUTED_VALUE"""),-0.039975321244417494)</f>
        <v>-0.03997532124</v>
      </c>
      <c r="Z207" s="11">
        <f>IFERROR(__xludf.DUMMYFUNCTION("""COMPUTED_VALUE"""),-0.03349102983594579)</f>
        <v>-0.03349102984</v>
      </c>
      <c r="AA207" s="11">
        <f>IFERROR(__xludf.DUMMYFUNCTION("""COMPUTED_VALUE"""),0.28484881212749996)</f>
        <v>0.2848488121</v>
      </c>
      <c r="AB207" t="str">
        <f>IFERROR(__xludf.DUMMYFUNCTION("SUBSTITUTE(REGEXREPLACE(REGEXREPLACE(REGEXREPLACE(REGEXREPLACE(REGEXREPLACE(REGEXREPLACE(F207,"","",),IF(Projections!$T$17="""",""PG"",),),IF(Projections!$U$17="""",""SG"",),),IF(Projections!$V$17="""",""SF"",),),IF(Projections!$W$17="""",""PF"",),),IF(Pr"&amp;"ojections!$X$17="""",""C"",),),""/"","""")"),"PGSG")</f>
        <v>PGSG</v>
      </c>
    </row>
    <row r="208">
      <c r="B208">
        <f>IFERROR(__xludf.DUMMYFUNCTION("""COMPUTED_VALUE"""),203.0)</f>
        <v>203</v>
      </c>
      <c r="C208">
        <f>IFERROR(__xludf.DUMMYFUNCTION("""COMPUTED_VALUE"""),139.4)</f>
        <v>139.4</v>
      </c>
      <c r="D208" t="str">
        <f>IFERROR(__xludf.DUMMYFUNCTION("""COMPUTED_VALUE"""),"Andrew Wiggins")</f>
        <v>Andrew Wiggins</v>
      </c>
      <c r="E208">
        <f>IFERROR(__xludf.DUMMYFUNCTION("""COMPUTED_VALUE"""),66.0)</f>
        <v>66</v>
      </c>
      <c r="F208" t="str">
        <f>IFERROR(__xludf.DUMMYFUNCTION("""COMPUTED_VALUE"""),"SF,PF")</f>
        <v>SF,PF</v>
      </c>
      <c r="G208" s="11">
        <f>IFERROR(__xludf.DUMMYFUNCTION("""COMPUTED_VALUE"""),-3.0578797441836025)</f>
        <v>-3.057879744</v>
      </c>
      <c r="H208" s="11">
        <f>IFERROR(__xludf.DUMMYFUNCTION("""COMPUTED_VALUE"""),-3.0578797441836025)</f>
        <v>-3.057879744</v>
      </c>
      <c r="I208" s="11">
        <f>IFERROR(__xludf.DUMMYFUNCTION("""COMPUTED_VALUE"""),0.0)</f>
        <v>0</v>
      </c>
      <c r="J208" s="11">
        <f>IFERROR(__xludf.DUMMYFUNCTION("""COMPUTED_VALUE"""),14.6)</f>
        <v>14.6</v>
      </c>
      <c r="K208" s="11">
        <f>IFERROR(__xludf.DUMMYFUNCTION("""COMPUTED_VALUE"""),1.7)</f>
        <v>1.7</v>
      </c>
      <c r="L208" s="11">
        <f>IFERROR(__xludf.DUMMYFUNCTION("""COMPUTED_VALUE"""),4.7)</f>
        <v>4.7</v>
      </c>
      <c r="M208" s="11">
        <f>IFERROR(__xludf.DUMMYFUNCTION("""COMPUTED_VALUE"""),1.9)</f>
        <v>1.9</v>
      </c>
      <c r="N208" s="11">
        <f>IFERROR(__xludf.DUMMYFUNCTION("""COMPUTED_VALUE"""),0.8)</f>
        <v>0.8</v>
      </c>
      <c r="O208" s="11">
        <f>IFERROR(__xludf.DUMMYFUNCTION("""COMPUTED_VALUE"""),0.6)</f>
        <v>0.6</v>
      </c>
      <c r="P208" s="15">
        <f>IFERROR(__xludf.DUMMYFUNCTION("""COMPUTED_VALUE"""),0.461)</f>
        <v>0.461</v>
      </c>
      <c r="Q208" s="15">
        <f>IFERROR(__xludf.DUMMYFUNCTION("""COMPUTED_VALUE"""),0.711)</f>
        <v>0.711</v>
      </c>
      <c r="R208" s="11">
        <f>IFERROR(__xludf.DUMMYFUNCTION("""COMPUTED_VALUE"""),1.3)</f>
        <v>1.3</v>
      </c>
      <c r="S208" s="11">
        <f>IFERROR(__xludf.DUMMYFUNCTION("""COMPUTED_VALUE"""),-0.5178975344303244)</f>
        <v>-0.5178975344</v>
      </c>
      <c r="T208" s="11">
        <f>IFERROR(__xludf.DUMMYFUNCTION("""COMPUTED_VALUE"""),-0.04877349753863613)</f>
        <v>-0.04877349754</v>
      </c>
      <c r="U208" s="11">
        <f>IFERROR(__xludf.DUMMYFUNCTION("""COMPUTED_VALUE"""),-0.5369596630153455)</f>
        <v>-0.536959663</v>
      </c>
      <c r="V208" s="11">
        <f>IFERROR(__xludf.DUMMYFUNCTION("""COMPUTED_VALUE"""),-0.9275290217062028)</f>
        <v>-0.9275290217</v>
      </c>
      <c r="W208" s="11">
        <f>IFERROR(__xludf.DUMMYFUNCTION("""COMPUTED_VALUE"""),-0.5847290886782864)</f>
        <v>-0.5847290887</v>
      </c>
      <c r="X208" s="11">
        <f>IFERROR(__xludf.DUMMYFUNCTION("""COMPUTED_VALUE"""),-0.25872993873862127)</f>
        <v>-0.2587299387</v>
      </c>
      <c r="Y208" s="11">
        <f>IFERROR(__xludf.DUMMYFUNCTION("""COMPUTED_VALUE"""),-0.5088331226850817)</f>
        <v>-0.5088331227</v>
      </c>
      <c r="Z208" s="11">
        <f>IFERROR(__xludf.DUMMYFUNCTION("""COMPUTED_VALUE"""),-0.7132182168929008)</f>
        <v>-0.7132182169</v>
      </c>
      <c r="AA208" s="11">
        <f>IFERROR(__xludf.DUMMYFUNCTION("""COMPUTED_VALUE"""),0.11126131779559338)</f>
        <v>0.1112613178</v>
      </c>
      <c r="AB208" t="str">
        <f>IFERROR(__xludf.DUMMYFUNCTION("SUBSTITUTE(REGEXREPLACE(REGEXREPLACE(REGEXREPLACE(REGEXREPLACE(REGEXREPLACE(REGEXREPLACE(F208,"","",),IF(Projections!$T$17="""",""PG"",),),IF(Projections!$U$17="""",""SG"",),),IF(Projections!$V$17="""",""SF"",),),IF(Projections!$W$17="""",""PF"",),),IF(Pr"&amp;"ojections!$X$17="""",""C"",),),""/"","""")"),"SFPF")</f>
        <v>SFPF</v>
      </c>
    </row>
    <row r="209">
      <c r="B209">
        <f>IFERROR(__xludf.DUMMYFUNCTION("""COMPUTED_VALUE"""),204.0)</f>
        <v>204</v>
      </c>
      <c r="D209" t="str">
        <f>IFERROR(__xludf.DUMMYFUNCTION("""COMPUTED_VALUE"""),"Eric Gordon")</f>
        <v>Eric Gordon</v>
      </c>
      <c r="E209">
        <f>IFERROR(__xludf.DUMMYFUNCTION("""COMPUTED_VALUE"""),66.0)</f>
        <v>66</v>
      </c>
      <c r="F209" t="str">
        <f>IFERROR(__xludf.DUMMYFUNCTION("""COMPUTED_VALUE"""),"SG,SF")</f>
        <v>SG,SF</v>
      </c>
      <c r="G209" s="11">
        <f>IFERROR(__xludf.DUMMYFUNCTION("""COMPUTED_VALUE"""),-3.1056058557765995)</f>
        <v>-3.105605856</v>
      </c>
      <c r="H209" s="11">
        <f>IFERROR(__xludf.DUMMYFUNCTION("""COMPUTED_VALUE"""),-3.1056058557765995)</f>
        <v>-3.105605856</v>
      </c>
      <c r="I209" s="11">
        <f>IFERROR(__xludf.DUMMYFUNCTION("""COMPUTED_VALUE"""),0.0)</f>
        <v>0</v>
      </c>
      <c r="J209" s="11">
        <f>IFERROR(__xludf.DUMMYFUNCTION("""COMPUTED_VALUE"""),11.6)</f>
        <v>11.6</v>
      </c>
      <c r="K209" s="11">
        <f>IFERROR(__xludf.DUMMYFUNCTION("""COMPUTED_VALUE"""),2.0)</f>
        <v>2</v>
      </c>
      <c r="L209" s="11">
        <f>IFERROR(__xludf.DUMMYFUNCTION("""COMPUTED_VALUE"""),1.9)</f>
        <v>1.9</v>
      </c>
      <c r="M209" s="11">
        <f>IFERROR(__xludf.DUMMYFUNCTION("""COMPUTED_VALUE"""),2.3)</f>
        <v>2.3</v>
      </c>
      <c r="N209" s="11">
        <f>IFERROR(__xludf.DUMMYFUNCTION("""COMPUTED_VALUE"""),0.8)</f>
        <v>0.8</v>
      </c>
      <c r="O209" s="11">
        <f>IFERROR(__xludf.DUMMYFUNCTION("""COMPUTED_VALUE"""),0.4)</f>
        <v>0.4</v>
      </c>
      <c r="P209" s="15">
        <f>IFERROR(__xludf.DUMMYFUNCTION("""COMPUTED_VALUE"""),0.444)</f>
        <v>0.444</v>
      </c>
      <c r="Q209" s="15">
        <f>IFERROR(__xludf.DUMMYFUNCTION("""COMPUTED_VALUE"""),0.813)</f>
        <v>0.813</v>
      </c>
      <c r="R209" s="11">
        <f>IFERROR(__xludf.DUMMYFUNCTION("""COMPUTED_VALUE"""),1.3)</f>
        <v>1.3</v>
      </c>
      <c r="S209" s="11">
        <f>IFERROR(__xludf.DUMMYFUNCTION("""COMPUTED_VALUE"""),-1.0598415933283114)</f>
        <v>-1.059841593</v>
      </c>
      <c r="T209" s="11">
        <f>IFERROR(__xludf.DUMMYFUNCTION("""COMPUTED_VALUE"""),0.2497993995559884)</f>
        <v>0.2497993996</v>
      </c>
      <c r="U209" s="11">
        <f>IFERROR(__xludf.DUMMYFUNCTION("""COMPUTED_VALUE"""),-1.6352980545145652)</f>
        <v>-1.635298055</v>
      </c>
      <c r="V209" s="11">
        <f>IFERROR(__xludf.DUMMYFUNCTION("""COMPUTED_VALUE"""),-0.745281940017671)</f>
        <v>-0.74528194</v>
      </c>
      <c r="W209" s="11">
        <f>IFERROR(__xludf.DUMMYFUNCTION("""COMPUTED_VALUE"""),-0.5847290886782864)</f>
        <v>-0.5847290887</v>
      </c>
      <c r="X209" s="11">
        <f>IFERROR(__xludf.DUMMYFUNCTION("""COMPUTED_VALUE"""),-0.6155173428439339)</f>
        <v>-0.6155173428</v>
      </c>
      <c r="Y209" s="11">
        <f>IFERROR(__xludf.DUMMYFUNCTION("""COMPUTED_VALUE"""),-0.5701823255004206)</f>
        <v>-0.5701823255</v>
      </c>
      <c r="Z209" s="11">
        <f>IFERROR(__xludf.DUMMYFUNCTION("""COMPUTED_VALUE"""),0.10888571724044208)</f>
        <v>0.1088857172</v>
      </c>
      <c r="AA209" s="11">
        <f>IFERROR(__xludf.DUMMYFUNCTION("""COMPUTED_VALUE"""),0.11126131779559338)</f>
        <v>0.1112613178</v>
      </c>
      <c r="AB209" t="str">
        <f>IFERROR(__xludf.DUMMYFUNCTION("SUBSTITUTE(REGEXREPLACE(REGEXREPLACE(REGEXREPLACE(REGEXREPLACE(REGEXREPLACE(REGEXREPLACE(F209,"","",),IF(Projections!$T$17="""",""PG"",),),IF(Projections!$U$17="""",""SG"",),),IF(Projections!$V$17="""",""SF"",),),IF(Projections!$W$17="""",""PF"",),),IF(Pr"&amp;"ojections!$X$17="""",""C"",),),""/"","""")"),"SGSF")</f>
        <v>SGSF</v>
      </c>
    </row>
    <row r="210">
      <c r="B210">
        <f>IFERROR(__xludf.DUMMYFUNCTION("""COMPUTED_VALUE"""),205.0)</f>
        <v>205</v>
      </c>
      <c r="C210">
        <f>IFERROR(__xludf.DUMMYFUNCTION("""COMPUTED_VALUE"""),138.6)</f>
        <v>138.6</v>
      </c>
      <c r="D210" t="str">
        <f>IFERROR(__xludf.DUMMYFUNCTION("""COMPUTED_VALUE"""),"Malcolm Brogdon")</f>
        <v>Malcolm Brogdon</v>
      </c>
      <c r="E210">
        <f>IFERROR(__xludf.DUMMYFUNCTION("""COMPUTED_VALUE"""),66.0)</f>
        <v>66</v>
      </c>
      <c r="F210" t="str">
        <f>IFERROR(__xludf.DUMMYFUNCTION("""COMPUTED_VALUE"""),"PG,SG")</f>
        <v>PG,SG</v>
      </c>
      <c r="G210" s="11">
        <f>IFERROR(__xludf.DUMMYFUNCTION("""COMPUTED_VALUE"""),-3.170380445446061)</f>
        <v>-3.170380445</v>
      </c>
      <c r="H210" s="11">
        <f>IFERROR(__xludf.DUMMYFUNCTION("""COMPUTED_VALUE"""),-3.170380445446061)</f>
        <v>-3.170380445</v>
      </c>
      <c r="I210" s="11">
        <f>IFERROR(__xludf.DUMMYFUNCTION("""COMPUTED_VALUE"""),0.0)</f>
        <v>0</v>
      </c>
      <c r="J210" s="11">
        <f>IFERROR(__xludf.DUMMYFUNCTION("""COMPUTED_VALUE"""),12.1)</f>
        <v>12.1</v>
      </c>
      <c r="K210" s="11">
        <f>IFERROR(__xludf.DUMMYFUNCTION("""COMPUTED_VALUE"""),1.6)</f>
        <v>1.6</v>
      </c>
      <c r="L210" s="11">
        <f>IFERROR(__xludf.DUMMYFUNCTION("""COMPUTED_VALUE"""),3.2)</f>
        <v>3.2</v>
      </c>
      <c r="M210" s="11">
        <f>IFERROR(__xludf.DUMMYFUNCTION("""COMPUTED_VALUE"""),3.5)</f>
        <v>3.5</v>
      </c>
      <c r="N210" s="11">
        <f>IFERROR(__xludf.DUMMYFUNCTION("""COMPUTED_VALUE"""),0.5)</f>
        <v>0.5</v>
      </c>
      <c r="O210" s="11">
        <f>IFERROR(__xludf.DUMMYFUNCTION("""COMPUTED_VALUE"""),0.2)</f>
        <v>0.2</v>
      </c>
      <c r="P210" s="15">
        <f>IFERROR(__xludf.DUMMYFUNCTION("""COMPUTED_VALUE"""),0.466)</f>
        <v>0.466</v>
      </c>
      <c r="Q210" s="15">
        <f>IFERROR(__xludf.DUMMYFUNCTION("""COMPUTED_VALUE"""),0.849)</f>
        <v>0.849</v>
      </c>
      <c r="R210" s="11">
        <f>IFERROR(__xludf.DUMMYFUNCTION("""COMPUTED_VALUE"""),1.2)</f>
        <v>1.2</v>
      </c>
      <c r="S210" s="11">
        <f>IFERROR(__xludf.DUMMYFUNCTION("""COMPUTED_VALUE"""),-0.9695175835119804)</f>
        <v>-0.9695175835</v>
      </c>
      <c r="T210" s="11">
        <f>IFERROR(__xludf.DUMMYFUNCTION("""COMPUTED_VALUE"""),-0.1482977965701775)</f>
        <v>-0.1482977966</v>
      </c>
      <c r="U210" s="11">
        <f>IFERROR(__xludf.DUMMYFUNCTION("""COMPUTED_VALUE"""),-1.1253552298899274)</f>
        <v>-1.12535523</v>
      </c>
      <c r="V210" s="11">
        <f>IFERROR(__xludf.DUMMYFUNCTION("""COMPUTED_VALUE"""),-0.1985406949520756)</f>
        <v>-0.198540695</v>
      </c>
      <c r="W210" s="11">
        <f>IFERROR(__xludf.DUMMYFUNCTION("""COMPUTED_VALUE"""),-1.5805271231567248)</f>
        <v>-1.580527123</v>
      </c>
      <c r="X210" s="11">
        <f>IFERROR(__xludf.DUMMYFUNCTION("""COMPUTED_VALUE"""),-0.9723047469492465)</f>
        <v>-0.9723047469</v>
      </c>
      <c r="Y210" s="11">
        <f>IFERROR(__xludf.DUMMYFUNCTION("""COMPUTED_VALUE"""),-0.33296934048947546)</f>
        <v>-0.3329693405</v>
      </c>
      <c r="Z210" s="11">
        <f>IFERROR(__xludf.DUMMYFUNCTION("""COMPUTED_VALUE"""),0.44054541564524224)</f>
        <v>0.4405454156</v>
      </c>
      <c r="AA210" s="11">
        <f>IFERROR(__xludf.DUMMYFUNCTION("""COMPUTED_VALUE"""),0.13605953127158005)</f>
        <v>0.1360595313</v>
      </c>
      <c r="AB210" t="str">
        <f>IFERROR(__xludf.DUMMYFUNCTION("SUBSTITUTE(REGEXREPLACE(REGEXREPLACE(REGEXREPLACE(REGEXREPLACE(REGEXREPLACE(REGEXREPLACE(F210,"","",),IF(Projections!$T$17="""",""PG"",),),IF(Projections!$U$17="""",""SG"",),),IF(Projections!$V$17="""",""SF"",),),IF(Projections!$W$17="""",""PF"",),),IF(Pr"&amp;"ojections!$X$17="""",""C"",),),""/"","""")"),"PGSG")</f>
        <v>PGSG</v>
      </c>
    </row>
    <row r="211">
      <c r="B211">
        <f>IFERROR(__xludf.DUMMYFUNCTION("""COMPUTED_VALUE"""),206.0)</f>
        <v>206</v>
      </c>
      <c r="D211" t="str">
        <f>IFERROR(__xludf.DUMMYFUNCTION("""COMPUTED_VALUE"""),"Josh Green")</f>
        <v>Josh Green</v>
      </c>
      <c r="E211">
        <f>IFERROR(__xludf.DUMMYFUNCTION("""COMPUTED_VALUE"""),71.0)</f>
        <v>71</v>
      </c>
      <c r="F211" t="str">
        <f>IFERROR(__xludf.DUMMYFUNCTION("""COMPUTED_VALUE"""),"SG,SF")</f>
        <v>SG,SF</v>
      </c>
      <c r="G211" s="11">
        <f>IFERROR(__xludf.DUMMYFUNCTION("""COMPUTED_VALUE"""),-3.1814553780511337)</f>
        <v>-3.181455378</v>
      </c>
      <c r="H211" s="11">
        <f>IFERROR(__xludf.DUMMYFUNCTION("""COMPUTED_VALUE"""),-3.1814553780511337)</f>
        <v>-3.181455378</v>
      </c>
      <c r="I211" s="11">
        <f>IFERROR(__xludf.DUMMYFUNCTION("""COMPUTED_VALUE"""),0.0)</f>
        <v>0</v>
      </c>
      <c r="J211" s="11">
        <f>IFERROR(__xludf.DUMMYFUNCTION("""COMPUTED_VALUE"""),11.0)</f>
        <v>11</v>
      </c>
      <c r="K211" s="11">
        <f>IFERROR(__xludf.DUMMYFUNCTION("""COMPUTED_VALUE"""),1.6)</f>
        <v>1.6</v>
      </c>
      <c r="L211" s="11">
        <f>IFERROR(__xludf.DUMMYFUNCTION("""COMPUTED_VALUE"""),3.6)</f>
        <v>3.6</v>
      </c>
      <c r="M211" s="11">
        <f>IFERROR(__xludf.DUMMYFUNCTION("""COMPUTED_VALUE"""),2.3)</f>
        <v>2.3</v>
      </c>
      <c r="N211" s="11">
        <f>IFERROR(__xludf.DUMMYFUNCTION("""COMPUTED_VALUE"""),1.0)</f>
        <v>1</v>
      </c>
      <c r="O211" s="11">
        <f>IFERROR(__xludf.DUMMYFUNCTION("""COMPUTED_VALUE"""),0.3)</f>
        <v>0.3</v>
      </c>
      <c r="P211" s="15">
        <f>IFERROR(__xludf.DUMMYFUNCTION("""COMPUTED_VALUE"""),0.472)</f>
        <v>0.472</v>
      </c>
      <c r="Q211" s="15">
        <f>IFERROR(__xludf.DUMMYFUNCTION("""COMPUTED_VALUE"""),0.709)</f>
        <v>0.709</v>
      </c>
      <c r="R211" s="11">
        <f>IFERROR(__xludf.DUMMYFUNCTION("""COMPUTED_VALUE"""),1.3)</f>
        <v>1.3</v>
      </c>
      <c r="S211" s="11">
        <f>IFERROR(__xludf.DUMMYFUNCTION("""COMPUTED_VALUE"""),-1.1682304051079089)</f>
        <v>-1.168230405</v>
      </c>
      <c r="T211" s="11">
        <f>IFERROR(__xludf.DUMMYFUNCTION("""COMPUTED_VALUE"""),-0.1482977965701775)</f>
        <v>-0.1482977966</v>
      </c>
      <c r="U211" s="11">
        <f>IFERROR(__xludf.DUMMYFUNCTION("""COMPUTED_VALUE"""),-0.9684497453900388)</f>
        <v>-0.9684497454</v>
      </c>
      <c r="V211" s="11">
        <f>IFERROR(__xludf.DUMMYFUNCTION("""COMPUTED_VALUE"""),-0.745281940017671)</f>
        <v>-0.74528194</v>
      </c>
      <c r="W211" s="11">
        <f>IFERROR(__xludf.DUMMYFUNCTION("""COMPUTED_VALUE"""),0.07913626764067216)</f>
        <v>0.07913626764</v>
      </c>
      <c r="X211" s="11">
        <f>IFERROR(__xludf.DUMMYFUNCTION("""COMPUTED_VALUE"""),-0.7939110448965904)</f>
        <v>-0.7939110449</v>
      </c>
      <c r="Y211" s="11">
        <f>IFERROR(__xludf.DUMMYFUNCTION("""COMPUTED_VALUE"""),-0.25952679579177346)</f>
        <v>-0.2595267958</v>
      </c>
      <c r="Z211" s="11">
        <f>IFERROR(__xludf.DUMMYFUNCTION("""COMPUTED_VALUE"""),-0.45638564082114697)</f>
        <v>-0.4563856408</v>
      </c>
      <c r="AA211" s="11">
        <f>IFERROR(__xludf.DUMMYFUNCTION("""COMPUTED_VALUE"""),0.11126131779559338)</f>
        <v>0.1112613178</v>
      </c>
      <c r="AB211" t="str">
        <f>IFERROR(__xludf.DUMMYFUNCTION("SUBSTITUTE(REGEXREPLACE(REGEXREPLACE(REGEXREPLACE(REGEXREPLACE(REGEXREPLACE(REGEXREPLACE(F211,"","",),IF(Projections!$T$17="""",""PG"",),),IF(Projections!$U$17="""",""SG"",),),IF(Projections!$V$17="""",""SF"",),),IF(Projections!$W$17="""",""PF"",),),IF(Pr"&amp;"ojections!$X$17="""",""C"",),),""/"","""")"),"SGSF")</f>
        <v>SGSF</v>
      </c>
    </row>
    <row r="212">
      <c r="B212">
        <f>IFERROR(__xludf.DUMMYFUNCTION("""COMPUTED_VALUE"""),207.0)</f>
        <v>207</v>
      </c>
      <c r="D212" t="str">
        <f>IFERROR(__xludf.DUMMYFUNCTION("""COMPUTED_VALUE"""),"Larry Nance Jr.")</f>
        <v>Larry Nance Jr.</v>
      </c>
      <c r="E212">
        <f>IFERROR(__xludf.DUMMYFUNCTION("""COMPUTED_VALUE"""),71.0)</f>
        <v>71</v>
      </c>
      <c r="F212" t="str">
        <f>IFERROR(__xludf.DUMMYFUNCTION("""COMPUTED_VALUE"""),"C")</f>
        <v>C</v>
      </c>
      <c r="G212" s="11">
        <f>IFERROR(__xludf.DUMMYFUNCTION("""COMPUTED_VALUE"""),-3.2424299872021787)</f>
        <v>-3.242429987</v>
      </c>
      <c r="H212" s="11">
        <f>IFERROR(__xludf.DUMMYFUNCTION("""COMPUTED_VALUE"""),-3.2424299872021787)</f>
        <v>-3.242429987</v>
      </c>
      <c r="I212" s="11">
        <f>IFERROR(__xludf.DUMMYFUNCTION("""COMPUTED_VALUE"""),0.0)</f>
        <v>0</v>
      </c>
      <c r="J212" s="11">
        <f>IFERROR(__xludf.DUMMYFUNCTION("""COMPUTED_VALUE"""),5.9)</f>
        <v>5.9</v>
      </c>
      <c r="K212" s="11">
        <f>IFERROR(__xludf.DUMMYFUNCTION("""COMPUTED_VALUE"""),0.3)</f>
        <v>0.3</v>
      </c>
      <c r="L212" s="11">
        <f>IFERROR(__xludf.DUMMYFUNCTION("""COMPUTED_VALUE"""),4.9)</f>
        <v>4.9</v>
      </c>
      <c r="M212" s="11">
        <f>IFERROR(__xludf.DUMMYFUNCTION("""COMPUTED_VALUE"""),1.7)</f>
        <v>1.7</v>
      </c>
      <c r="N212" s="11">
        <f>IFERROR(__xludf.DUMMYFUNCTION("""COMPUTED_VALUE"""),0.9)</f>
        <v>0.9</v>
      </c>
      <c r="O212" s="11">
        <f>IFERROR(__xludf.DUMMYFUNCTION("""COMPUTED_VALUE"""),0.4)</f>
        <v>0.4</v>
      </c>
      <c r="P212" s="15">
        <f>IFERROR(__xludf.DUMMYFUNCTION("""COMPUTED_VALUE"""),0.593)</f>
        <v>0.593</v>
      </c>
      <c r="Q212" s="15">
        <f>IFERROR(__xludf.DUMMYFUNCTION("""COMPUTED_VALUE"""),0.745)</f>
        <v>0.745</v>
      </c>
      <c r="R212" s="11">
        <f>IFERROR(__xludf.DUMMYFUNCTION("""COMPUTED_VALUE"""),0.7)</f>
        <v>0.7</v>
      </c>
      <c r="S212" s="11">
        <f>IFERROR(__xludf.DUMMYFUNCTION("""COMPUTED_VALUE"""),-2.0895353052344867)</f>
        <v>-2.089535305</v>
      </c>
      <c r="T212" s="11">
        <f>IFERROR(__xludf.DUMMYFUNCTION("""COMPUTED_VALUE"""),-1.442113683980217)</f>
        <v>-1.442113684</v>
      </c>
      <c r="U212" s="11">
        <f>IFERROR(__xludf.DUMMYFUNCTION("""COMPUTED_VALUE"""),-0.4585069207654011)</f>
        <v>-0.4585069208</v>
      </c>
      <c r="V212" s="11">
        <f>IFERROR(__xludf.DUMMYFUNCTION("""COMPUTED_VALUE"""),-1.0186525625504688)</f>
        <v>-1.018652563</v>
      </c>
      <c r="W212" s="11">
        <f>IFERROR(__xludf.DUMMYFUNCTION("""COMPUTED_VALUE"""),-0.25279641051880714)</f>
        <v>-0.2527964105</v>
      </c>
      <c r="X212" s="11">
        <f>IFERROR(__xludf.DUMMYFUNCTION("""COMPUTED_VALUE"""),-0.6155173428439339)</f>
        <v>-0.6155173428</v>
      </c>
      <c r="Y212" s="11">
        <f>IFERROR(__xludf.DUMMYFUNCTION("""COMPUTED_VALUE"""),0.46187236552889466)</f>
        <v>0.4618723655</v>
      </c>
      <c r="Z212" s="11">
        <f>IFERROR(__xludf.DUMMYFUNCTION("""COMPUTED_VALUE"""),-0.1767660307237582)</f>
        <v>-0.1767660307</v>
      </c>
      <c r="AA212" s="11">
        <f>IFERROR(__xludf.DUMMYFUNCTION("""COMPUTED_VALUE"""),0.26005059865151336)</f>
        <v>0.2600505987</v>
      </c>
      <c r="AB212" t="str">
        <f>IFERROR(__xludf.DUMMYFUNCTION("SUBSTITUTE(REGEXREPLACE(REGEXREPLACE(REGEXREPLACE(REGEXREPLACE(REGEXREPLACE(REGEXREPLACE(F212,"","",),IF(Projections!$T$17="""",""PG"",),),IF(Projections!$U$17="""",""SG"",),),IF(Projections!$V$17="""",""SF"",),),IF(Projections!$W$17="""",""PF"",),),IF(Pr"&amp;"ojections!$X$17="""",""C"",),),""/"","""")"),"C")</f>
        <v>C</v>
      </c>
    </row>
    <row r="213">
      <c r="B213">
        <f>IFERROR(__xludf.DUMMYFUNCTION("""COMPUTED_VALUE"""),208.0)</f>
        <v>208</v>
      </c>
      <c r="C213">
        <f>IFERROR(__xludf.DUMMYFUNCTION("""COMPUTED_VALUE"""),143.0)</f>
        <v>143</v>
      </c>
      <c r="D213" t="str">
        <f>IFERROR(__xludf.DUMMYFUNCTION("""COMPUTED_VALUE"""),"Bennedict Mathurin")</f>
        <v>Bennedict Mathurin</v>
      </c>
      <c r="E213">
        <f>IFERROR(__xludf.DUMMYFUNCTION("""COMPUTED_VALUE"""),66.0)</f>
        <v>66</v>
      </c>
      <c r="F213" t="str">
        <f>IFERROR(__xludf.DUMMYFUNCTION("""COMPUTED_VALUE"""),"SG,SF")</f>
        <v>SG,SF</v>
      </c>
      <c r="G213" s="11">
        <f>IFERROR(__xludf.DUMMYFUNCTION("""COMPUTED_VALUE"""),-3.2940612029528236)</f>
        <v>-3.294061203</v>
      </c>
      <c r="H213" s="11">
        <f>IFERROR(__xludf.DUMMYFUNCTION("""COMPUTED_VALUE"""),-3.2940612029528236)</f>
        <v>-3.294061203</v>
      </c>
      <c r="I213" s="11">
        <f>IFERROR(__xludf.DUMMYFUNCTION("""COMPUTED_VALUE"""),0.0)</f>
        <v>0</v>
      </c>
      <c r="J213" s="11">
        <f>IFERROR(__xludf.DUMMYFUNCTION("""COMPUTED_VALUE"""),16.8)</f>
        <v>16.8</v>
      </c>
      <c r="K213" s="11">
        <f>IFERROR(__xludf.DUMMYFUNCTION("""COMPUTED_VALUE"""),1.4)</f>
        <v>1.4</v>
      </c>
      <c r="L213" s="11">
        <f>IFERROR(__xludf.DUMMYFUNCTION("""COMPUTED_VALUE"""),4.3)</f>
        <v>4.3</v>
      </c>
      <c r="M213" s="11">
        <f>IFERROR(__xludf.DUMMYFUNCTION("""COMPUTED_VALUE"""),1.8)</f>
        <v>1.8</v>
      </c>
      <c r="N213" s="11">
        <f>IFERROR(__xludf.DUMMYFUNCTION("""COMPUTED_VALUE"""),0.7)</f>
        <v>0.7</v>
      </c>
      <c r="O213" s="11">
        <f>IFERROR(__xludf.DUMMYFUNCTION("""COMPUTED_VALUE"""),0.2)</f>
        <v>0.2</v>
      </c>
      <c r="P213" s="15">
        <f>IFERROR(__xludf.DUMMYFUNCTION("""COMPUTED_VALUE"""),0.443)</f>
        <v>0.443</v>
      </c>
      <c r="Q213" s="15">
        <f>IFERROR(__xludf.DUMMYFUNCTION("""COMPUTED_VALUE"""),0.826)</f>
        <v>0.826</v>
      </c>
      <c r="R213" s="11">
        <f>IFERROR(__xludf.DUMMYFUNCTION("""COMPUTED_VALUE"""),1.9)</f>
        <v>1.9</v>
      </c>
      <c r="S213" s="11">
        <f>IFERROR(__xludf.DUMMYFUNCTION("""COMPUTED_VALUE"""),-0.12047189123846705)</f>
        <v>-0.1204718912</v>
      </c>
      <c r="T213" s="11">
        <f>IFERROR(__xludf.DUMMYFUNCTION("""COMPUTED_VALUE"""),-0.34734639463326067)</f>
        <v>-0.3473463946</v>
      </c>
      <c r="U213" s="11">
        <f>IFERROR(__xludf.DUMMYFUNCTION("""COMPUTED_VALUE"""),-0.6938651475152341)</f>
        <v>-0.6938651475</v>
      </c>
      <c r="V213" s="11">
        <f>IFERROR(__xludf.DUMMYFUNCTION("""COMPUTED_VALUE"""),-0.9730907921283356)</f>
        <v>-0.9730907921</v>
      </c>
      <c r="W213" s="11">
        <f>IFERROR(__xludf.DUMMYFUNCTION("""COMPUTED_VALUE"""),-0.9166617668377661)</f>
        <v>-0.9166617668</v>
      </c>
      <c r="X213" s="11">
        <f>IFERROR(__xludf.DUMMYFUNCTION("""COMPUTED_VALUE"""),-0.9723047469492465)</f>
        <v>-0.9723047469</v>
      </c>
      <c r="Y213" s="11">
        <f>IFERROR(__xludf.DUMMYFUNCTION("""COMPUTED_VALUE"""),-0.7893542580299034)</f>
        <v>-0.789354258</v>
      </c>
      <c r="Z213" s="11">
        <f>IFERROR(__xludf.DUMMYFUNCTION("""COMPUTED_VALUE"""),0.5834709653113809)</f>
        <v>0.5834709653</v>
      </c>
      <c r="AA213" s="11">
        <f>IFERROR(__xludf.DUMMYFUNCTION("""COMPUTED_VALUE"""),-0.037527963060326526)</f>
        <v>-0.03752796306</v>
      </c>
      <c r="AB213" t="str">
        <f>IFERROR(__xludf.DUMMYFUNCTION("SUBSTITUTE(REGEXREPLACE(REGEXREPLACE(REGEXREPLACE(REGEXREPLACE(REGEXREPLACE(REGEXREPLACE(F213,"","",),IF(Projections!$T$17="""",""PG"",),),IF(Projections!$U$17="""",""SG"",),),IF(Projections!$V$17="""",""SF"",),),IF(Projections!$W$17="""",""PF"",),),IF(Pr"&amp;"ojections!$X$17="""",""C"",),),""/"","""")"),"SGSF")</f>
        <v>SGSF</v>
      </c>
    </row>
    <row r="214">
      <c r="B214">
        <f>IFERROR(__xludf.DUMMYFUNCTION("""COMPUTED_VALUE"""),209.0)</f>
        <v>209</v>
      </c>
      <c r="D214" t="str">
        <f>IFERROR(__xludf.DUMMYFUNCTION("""COMPUTED_VALUE"""),"Peyton Watson")</f>
        <v>Peyton Watson</v>
      </c>
      <c r="E214">
        <f>IFERROR(__xludf.DUMMYFUNCTION("""COMPUTED_VALUE"""),66.0)</f>
        <v>66</v>
      </c>
      <c r="F214" t="str">
        <f>IFERROR(__xludf.DUMMYFUNCTION("""COMPUTED_VALUE"""),"SF,PF")</f>
        <v>SF,PF</v>
      </c>
      <c r="G214" s="11">
        <f>IFERROR(__xludf.DUMMYFUNCTION("""COMPUTED_VALUE"""),-3.3177088344435663)</f>
        <v>-3.317708834</v>
      </c>
      <c r="H214" s="11">
        <f>IFERROR(__xludf.DUMMYFUNCTION("""COMPUTED_VALUE"""),-3.3177088344435663)</f>
        <v>-3.317708834</v>
      </c>
      <c r="I214" s="11">
        <f>IFERROR(__xludf.DUMMYFUNCTION("""COMPUTED_VALUE"""),0.0)</f>
        <v>0</v>
      </c>
      <c r="J214" s="11">
        <f>IFERROR(__xludf.DUMMYFUNCTION("""COMPUTED_VALUE"""),9.5)</f>
        <v>9.5</v>
      </c>
      <c r="K214" s="11">
        <f>IFERROR(__xludf.DUMMYFUNCTION("""COMPUTED_VALUE"""),0.8)</f>
        <v>0.8</v>
      </c>
      <c r="L214" s="11">
        <f>IFERROR(__xludf.DUMMYFUNCTION("""COMPUTED_VALUE"""),4.6)</f>
        <v>4.6</v>
      </c>
      <c r="M214" s="11">
        <f>IFERROR(__xludf.DUMMYFUNCTION("""COMPUTED_VALUE"""),1.5)</f>
        <v>1.5</v>
      </c>
      <c r="N214" s="11">
        <f>IFERROR(__xludf.DUMMYFUNCTION("""COMPUTED_VALUE"""),0.7)</f>
        <v>0.7</v>
      </c>
      <c r="O214" s="11">
        <f>IFERROR(__xludf.DUMMYFUNCTION("""COMPUTED_VALUE"""),1.5)</f>
        <v>1.5</v>
      </c>
      <c r="P214" s="15">
        <f>IFERROR(__xludf.DUMMYFUNCTION("""COMPUTED_VALUE"""),0.467)</f>
        <v>0.467</v>
      </c>
      <c r="Q214" s="15">
        <f>IFERROR(__xludf.DUMMYFUNCTION("""COMPUTED_VALUE"""),0.65)</f>
        <v>0.65</v>
      </c>
      <c r="R214" s="11">
        <f>IFERROR(__xludf.DUMMYFUNCTION("""COMPUTED_VALUE"""),1.0)</f>
        <v>1</v>
      </c>
      <c r="S214" s="11">
        <f>IFERROR(__xludf.DUMMYFUNCTION("""COMPUTED_VALUE"""),-1.4392024345569023)</f>
        <v>-1.439202435</v>
      </c>
      <c r="T214" s="11">
        <f>IFERROR(__xludf.DUMMYFUNCTION("""COMPUTED_VALUE"""),-0.9444921888225095)</f>
        <v>-0.9444921888</v>
      </c>
      <c r="U214" s="11">
        <f>IFERROR(__xludf.DUMMYFUNCTION("""COMPUTED_VALUE"""),-0.5761860341403178)</f>
        <v>-0.5761860341</v>
      </c>
      <c r="V214" s="11">
        <f>IFERROR(__xludf.DUMMYFUNCTION("""COMPUTED_VALUE"""),-1.1097761033947346)</f>
        <v>-1.109776103</v>
      </c>
      <c r="W214" s="11">
        <f>IFERROR(__xludf.DUMMYFUNCTION("""COMPUTED_VALUE"""),-0.9166617668377661)</f>
        <v>-0.9166617668</v>
      </c>
      <c r="X214" s="11">
        <f>IFERROR(__xludf.DUMMYFUNCTION("""COMPUTED_VALUE"""),1.346813379735286)</f>
        <v>1.34681338</v>
      </c>
      <c r="Y214" s="11">
        <f>IFERROR(__xludf.DUMMYFUNCTION("""COMPUTED_VALUE"""),-0.2766605177642508)</f>
        <v>-0.2766605178</v>
      </c>
      <c r="Z214" s="11">
        <f>IFERROR(__xludf.DUMMYFUNCTION("""COMPUTED_VALUE"""),-1.0264015614428272)</f>
        <v>-1.026401561</v>
      </c>
      <c r="AA214" s="11">
        <f>IFERROR(__xludf.DUMMYFUNCTION("""COMPUTED_VALUE"""),0.18565595822355335)</f>
        <v>0.1856559582</v>
      </c>
      <c r="AB214" t="str">
        <f>IFERROR(__xludf.DUMMYFUNCTION("SUBSTITUTE(REGEXREPLACE(REGEXREPLACE(REGEXREPLACE(REGEXREPLACE(REGEXREPLACE(REGEXREPLACE(F214,"","",),IF(Projections!$T$17="""",""PG"",),),IF(Projections!$U$17="""",""SG"",),),IF(Projections!$V$17="""",""SF"",),),IF(Projections!$W$17="""",""PF"",),),IF(Pr"&amp;"ojections!$X$17="""",""C"",),),""/"","""")"),"SFPF")</f>
        <v>SFPF</v>
      </c>
    </row>
    <row r="215">
      <c r="B215">
        <f>IFERROR(__xludf.DUMMYFUNCTION("""COMPUTED_VALUE"""),210.0)</f>
        <v>210</v>
      </c>
      <c r="D215" t="str">
        <f>IFERROR(__xludf.DUMMYFUNCTION("""COMPUTED_VALUE"""),"Royce O'Neale")</f>
        <v>Royce O'Neale</v>
      </c>
      <c r="E215">
        <f>IFERROR(__xludf.DUMMYFUNCTION("""COMPUTED_VALUE"""),75.0)</f>
        <v>75</v>
      </c>
      <c r="F215" t="str">
        <f>IFERROR(__xludf.DUMMYFUNCTION("""COMPUTED_VALUE"""),"SF,PF")</f>
        <v>SF,PF</v>
      </c>
      <c r="G215" s="11">
        <f>IFERROR(__xludf.DUMMYFUNCTION("""COMPUTED_VALUE"""),-3.3221011007460506)</f>
        <v>-3.322101101</v>
      </c>
      <c r="H215" s="11">
        <f>IFERROR(__xludf.DUMMYFUNCTION("""COMPUTED_VALUE"""),-3.3221011007460506)</f>
        <v>-3.322101101</v>
      </c>
      <c r="I215" s="11">
        <f>IFERROR(__xludf.DUMMYFUNCTION("""COMPUTED_VALUE"""),0.0)</f>
        <v>0</v>
      </c>
      <c r="J215" s="11">
        <f>IFERROR(__xludf.DUMMYFUNCTION("""COMPUTED_VALUE"""),7.2)</f>
        <v>7.2</v>
      </c>
      <c r="K215" s="11">
        <f>IFERROR(__xludf.DUMMYFUNCTION("""COMPUTED_VALUE"""),1.8)</f>
        <v>1.8</v>
      </c>
      <c r="L215" s="11">
        <f>IFERROR(__xludf.DUMMYFUNCTION("""COMPUTED_VALUE"""),4.3)</f>
        <v>4.3</v>
      </c>
      <c r="M215" s="11">
        <f>IFERROR(__xludf.DUMMYFUNCTION("""COMPUTED_VALUE"""),2.8)</f>
        <v>2.8</v>
      </c>
      <c r="N215" s="11">
        <f>IFERROR(__xludf.DUMMYFUNCTION("""COMPUTED_VALUE"""),0.7)</f>
        <v>0.7</v>
      </c>
      <c r="O215" s="11">
        <f>IFERROR(__xludf.DUMMYFUNCTION("""COMPUTED_VALUE"""),0.5)</f>
        <v>0.5</v>
      </c>
      <c r="P215" s="15">
        <f>IFERROR(__xludf.DUMMYFUNCTION("""COMPUTED_VALUE"""),0.391)</f>
        <v>0.391</v>
      </c>
      <c r="Q215" s="15">
        <f>IFERROR(__xludf.DUMMYFUNCTION("""COMPUTED_VALUE"""),0.707)</f>
        <v>0.707</v>
      </c>
      <c r="R215" s="11">
        <f>IFERROR(__xludf.DUMMYFUNCTION("""COMPUTED_VALUE"""),1.1)</f>
        <v>1.1</v>
      </c>
      <c r="S215" s="11">
        <f>IFERROR(__xludf.DUMMYFUNCTION("""COMPUTED_VALUE"""),-1.854692879712026)</f>
        <v>-1.85469288</v>
      </c>
      <c r="T215" s="11">
        <f>IFERROR(__xludf.DUMMYFUNCTION("""COMPUTED_VALUE"""),0.05075080149290546)</f>
        <v>0.05075080149</v>
      </c>
      <c r="U215" s="11">
        <f>IFERROR(__xludf.DUMMYFUNCTION("""COMPUTED_VALUE"""),-0.6938651475152341)</f>
        <v>-0.6938651475</v>
      </c>
      <c r="V215" s="11">
        <f>IFERROR(__xludf.DUMMYFUNCTION("""COMPUTED_VALUE"""),-0.5174730879070063)</f>
        <v>-0.5174730879</v>
      </c>
      <c r="W215" s="11">
        <f>IFERROR(__xludf.DUMMYFUNCTION("""COMPUTED_VALUE"""),-0.9166617668377661)</f>
        <v>-0.9166617668</v>
      </c>
      <c r="X215" s="11">
        <f>IFERROR(__xludf.DUMMYFUNCTION("""COMPUTED_VALUE"""),-0.4371236407912776)</f>
        <v>-0.4371236408</v>
      </c>
      <c r="Y215" s="11">
        <f>IFERROR(__xludf.DUMMYFUNCTION("""COMPUTED_VALUE"""),-0.7817820455015455)</f>
        <v>-0.7817820455</v>
      </c>
      <c r="Z215" s="11">
        <f>IFERROR(__xludf.DUMMYFUNCTION("""COMPUTED_VALUE"""),-0.1868039584336923)</f>
        <v>-0.1868039584</v>
      </c>
      <c r="AA215" s="11">
        <f>IFERROR(__xludf.DUMMYFUNCTION("""COMPUTED_VALUE"""),0.16085774474756667)</f>
        <v>0.1608577447</v>
      </c>
      <c r="AB215" t="str">
        <f>IFERROR(__xludf.DUMMYFUNCTION("SUBSTITUTE(REGEXREPLACE(REGEXREPLACE(REGEXREPLACE(REGEXREPLACE(REGEXREPLACE(REGEXREPLACE(F215,"","",),IF(Projections!$T$17="""",""PG"",),),IF(Projections!$U$17="""",""SG"",),),IF(Projections!$V$17="""",""SF"",),),IF(Projections!$W$17="""",""PF"",),),IF(Pr"&amp;"ojections!$X$17="""",""C"",),),""/"","""")"),"SFPF")</f>
        <v>SFPF</v>
      </c>
    </row>
    <row r="216">
      <c r="B216">
        <f>IFERROR(__xludf.DUMMYFUNCTION("""COMPUTED_VALUE"""),211.0)</f>
        <v>211</v>
      </c>
      <c r="C216">
        <f>IFERROR(__xludf.DUMMYFUNCTION("""COMPUTED_VALUE"""),146.0)</f>
        <v>146</v>
      </c>
      <c r="D216" t="str">
        <f>IFERROR(__xludf.DUMMYFUNCTION("""COMPUTED_VALUE"""),"Sam Hauser")</f>
        <v>Sam Hauser</v>
      </c>
      <c r="E216">
        <f>IFERROR(__xludf.DUMMYFUNCTION("""COMPUTED_VALUE"""),66.0)</f>
        <v>66</v>
      </c>
      <c r="F216" t="str">
        <f>IFERROR(__xludf.DUMMYFUNCTION("""COMPUTED_VALUE"""),"SF,PF")</f>
        <v>SF,PF</v>
      </c>
      <c r="G216" s="11">
        <f>IFERROR(__xludf.DUMMYFUNCTION("""COMPUTED_VALUE"""),-3.4008891499362077)</f>
        <v>-3.40088915</v>
      </c>
      <c r="H216" s="11">
        <f>IFERROR(__xludf.DUMMYFUNCTION("""COMPUTED_VALUE"""),-3.4008891499362077)</f>
        <v>-3.40088915</v>
      </c>
      <c r="I216" s="11">
        <f>IFERROR(__xludf.DUMMYFUNCTION("""COMPUTED_VALUE"""),0.0)</f>
        <v>0</v>
      </c>
      <c r="J216" s="11">
        <f>IFERROR(__xludf.DUMMYFUNCTION("""COMPUTED_VALUE"""),9.6)</f>
        <v>9.6</v>
      </c>
      <c r="K216" s="11">
        <f>IFERROR(__xludf.DUMMYFUNCTION("""COMPUTED_VALUE"""),2.6)</f>
        <v>2.6</v>
      </c>
      <c r="L216" s="11">
        <f>IFERROR(__xludf.DUMMYFUNCTION("""COMPUTED_VALUE"""),3.8)</f>
        <v>3.8</v>
      </c>
      <c r="M216" s="11">
        <f>IFERROR(__xludf.DUMMYFUNCTION("""COMPUTED_VALUE"""),1.2)</f>
        <v>1.2</v>
      </c>
      <c r="N216" s="11">
        <f>IFERROR(__xludf.DUMMYFUNCTION("""COMPUTED_VALUE"""),0.5)</f>
        <v>0.5</v>
      </c>
      <c r="O216" s="11">
        <f>IFERROR(__xludf.DUMMYFUNCTION("""COMPUTED_VALUE"""),0.4)</f>
        <v>0.4</v>
      </c>
      <c r="P216" s="15">
        <f>IFERROR(__xludf.DUMMYFUNCTION("""COMPUTED_VALUE"""),0.45)</f>
        <v>0.45</v>
      </c>
      <c r="Q216" s="15">
        <f>IFERROR(__xludf.DUMMYFUNCTION("""COMPUTED_VALUE"""),0.821)</f>
        <v>0.821</v>
      </c>
      <c r="R216" s="11">
        <f>IFERROR(__xludf.DUMMYFUNCTION("""COMPUTED_VALUE"""),0.5)</f>
        <v>0.5</v>
      </c>
      <c r="S216" s="11">
        <f>IFERROR(__xludf.DUMMYFUNCTION("""COMPUTED_VALUE"""),-1.4211376325936362)</f>
        <v>-1.421137633</v>
      </c>
      <c r="T216" s="11">
        <f>IFERROR(__xludf.DUMMYFUNCTION("""COMPUTED_VALUE"""),0.8469451937452375)</f>
        <v>0.8469451937</v>
      </c>
      <c r="U216" s="11">
        <f>IFERROR(__xludf.DUMMYFUNCTION("""COMPUTED_VALUE"""),-0.8899970031400947)</f>
        <v>-0.8899970031</v>
      </c>
      <c r="V216" s="11">
        <f>IFERROR(__xludf.DUMMYFUNCTION("""COMPUTED_VALUE"""),-1.2464614146611335)</f>
        <v>-1.246461415</v>
      </c>
      <c r="W216" s="11">
        <f>IFERROR(__xludf.DUMMYFUNCTION("""COMPUTED_VALUE"""),-1.5805271231567248)</f>
        <v>-1.580527123</v>
      </c>
      <c r="X216" s="11">
        <f>IFERROR(__xludf.DUMMYFUNCTION("""COMPUTED_VALUE"""),-0.6155173428439339)</f>
        <v>-0.6155173428</v>
      </c>
      <c r="Y216" s="11">
        <f>IFERROR(__xludf.DUMMYFUNCTION("""COMPUTED_VALUE"""),-0.41208250682844305)</f>
        <v>-0.4120825068</v>
      </c>
      <c r="Z216" s="11">
        <f>IFERROR(__xludf.DUMMYFUNCTION("""COMPUTED_VALUE"""),0.027714530782309815)</f>
        <v>0.02771453078</v>
      </c>
      <c r="AA216" s="11">
        <f>IFERROR(__xludf.DUMMYFUNCTION("""COMPUTED_VALUE"""),0.3096470256034866)</f>
        <v>0.3096470256</v>
      </c>
      <c r="AB216" t="str">
        <f>IFERROR(__xludf.DUMMYFUNCTION("SUBSTITUTE(REGEXREPLACE(REGEXREPLACE(REGEXREPLACE(REGEXREPLACE(REGEXREPLACE(REGEXREPLACE(F216,"","",),IF(Projections!$T$17="""",""PG"",),),IF(Projections!$U$17="""",""SG"",),),IF(Projections!$V$17="""",""SF"",),),IF(Projections!$W$17="""",""PF"",),),IF(Pr"&amp;"ojections!$X$17="""",""C"",),),""/"","""")"),"SFPF")</f>
        <v>SFPF</v>
      </c>
    </row>
    <row r="217">
      <c r="B217">
        <f>IFERROR(__xludf.DUMMYFUNCTION("""COMPUTED_VALUE"""),212.0)</f>
        <v>212</v>
      </c>
      <c r="C217">
        <f>IFERROR(__xludf.DUMMYFUNCTION("""COMPUTED_VALUE"""),139.1)</f>
        <v>139.1</v>
      </c>
      <c r="D217" t="str">
        <f>IFERROR(__xludf.DUMMYFUNCTION("""COMPUTED_VALUE"""),"Ayo Dosunmu")</f>
        <v>Ayo Dosunmu</v>
      </c>
      <c r="E217">
        <f>IFERROR(__xludf.DUMMYFUNCTION("""COMPUTED_VALUE"""),66.0)</f>
        <v>66</v>
      </c>
      <c r="F217" t="str">
        <f>IFERROR(__xludf.DUMMYFUNCTION("""COMPUTED_VALUE"""),"SG,SF")</f>
        <v>SG,SF</v>
      </c>
      <c r="G217" s="11">
        <f>IFERROR(__xludf.DUMMYFUNCTION("""COMPUTED_VALUE"""),-3.4427719803736982)</f>
        <v>-3.44277198</v>
      </c>
      <c r="H217" s="11">
        <f>IFERROR(__xludf.DUMMYFUNCTION("""COMPUTED_VALUE"""),-3.4427719803736982)</f>
        <v>-3.44277198</v>
      </c>
      <c r="I217" s="11">
        <f>IFERROR(__xludf.DUMMYFUNCTION("""COMPUTED_VALUE"""),0.0)</f>
        <v>0</v>
      </c>
      <c r="J217" s="11">
        <f>IFERROR(__xludf.DUMMYFUNCTION("""COMPUTED_VALUE"""),10.2)</f>
        <v>10.2</v>
      </c>
      <c r="K217" s="11">
        <f>IFERROR(__xludf.DUMMYFUNCTION("""COMPUTED_VALUE"""),1.1)</f>
        <v>1.1</v>
      </c>
      <c r="L217" s="11">
        <f>IFERROR(__xludf.DUMMYFUNCTION("""COMPUTED_VALUE"""),2.8)</f>
        <v>2.8</v>
      </c>
      <c r="M217" s="11">
        <f>IFERROR(__xludf.DUMMYFUNCTION("""COMPUTED_VALUE"""),2.8)</f>
        <v>2.8</v>
      </c>
      <c r="N217" s="11">
        <f>IFERROR(__xludf.DUMMYFUNCTION("""COMPUTED_VALUE"""),0.8)</f>
        <v>0.8</v>
      </c>
      <c r="O217" s="11">
        <f>IFERROR(__xludf.DUMMYFUNCTION("""COMPUTED_VALUE"""),0.4)</f>
        <v>0.4</v>
      </c>
      <c r="P217" s="15">
        <f>IFERROR(__xludf.DUMMYFUNCTION("""COMPUTED_VALUE"""),0.498)</f>
        <v>0.498</v>
      </c>
      <c r="Q217" s="15">
        <f>IFERROR(__xludf.DUMMYFUNCTION("""COMPUTED_VALUE"""),0.814)</f>
        <v>0.814</v>
      </c>
      <c r="R217" s="11">
        <f>IFERROR(__xludf.DUMMYFUNCTION("""COMPUTED_VALUE"""),1.3)</f>
        <v>1.3</v>
      </c>
      <c r="S217" s="11">
        <f>IFERROR(__xludf.DUMMYFUNCTION("""COMPUTED_VALUE"""),-1.3127488208140388)</f>
        <v>-1.312748821</v>
      </c>
      <c r="T217" s="11">
        <f>IFERROR(__xludf.DUMMYFUNCTION("""COMPUTED_VALUE"""),-0.645919291727885)</f>
        <v>-0.6459192917</v>
      </c>
      <c r="U217" s="11">
        <f>IFERROR(__xludf.DUMMYFUNCTION("""COMPUTED_VALUE"""),-1.282260714389816)</f>
        <v>-1.282260714</v>
      </c>
      <c r="V217" s="11">
        <f>IFERROR(__xludf.DUMMYFUNCTION("""COMPUTED_VALUE"""),-0.5174730879070063)</f>
        <v>-0.5174730879</v>
      </c>
      <c r="W217" s="11">
        <f>IFERROR(__xludf.DUMMYFUNCTION("""COMPUTED_VALUE"""),-0.5847290886782864)</f>
        <v>-0.5847290887</v>
      </c>
      <c r="X217" s="11">
        <f>IFERROR(__xludf.DUMMYFUNCTION("""COMPUTED_VALUE"""),-0.6155173428439339)</f>
        <v>-0.6155173428</v>
      </c>
      <c r="Y217" s="11">
        <f>IFERROR(__xludf.DUMMYFUNCTION("""COMPUTED_VALUE"""),0.010756018985032223)</f>
        <v>0.01075601899</v>
      </c>
      <c r="Z217" s="11">
        <f>IFERROR(__xludf.DUMMYFUNCTION("""COMPUTED_VALUE"""),0.08111020839260441)</f>
        <v>0.08111020839</v>
      </c>
      <c r="AA217" s="11">
        <f>IFERROR(__xludf.DUMMYFUNCTION("""COMPUTED_VALUE"""),0.11126131779559338)</f>
        <v>0.1112613178</v>
      </c>
      <c r="AB217" t="str">
        <f>IFERROR(__xludf.DUMMYFUNCTION("SUBSTITUTE(REGEXREPLACE(REGEXREPLACE(REGEXREPLACE(REGEXREPLACE(REGEXREPLACE(REGEXREPLACE(F217,"","",),IF(Projections!$T$17="""",""PG"",),),IF(Projections!$U$17="""",""SG"",),),IF(Projections!$V$17="""",""SF"",),),IF(Projections!$W$17="""",""PF"",),),IF(Pr"&amp;"ojections!$X$17="""",""C"",),),""/"","""")"),"SGSF")</f>
        <v>SGSF</v>
      </c>
    </row>
    <row r="218">
      <c r="B218">
        <f>IFERROR(__xludf.DUMMYFUNCTION("""COMPUTED_VALUE"""),213.0)</f>
        <v>213</v>
      </c>
      <c r="C218">
        <f>IFERROR(__xludf.DUMMYFUNCTION("""COMPUTED_VALUE"""),146.5)</f>
        <v>146.5</v>
      </c>
      <c r="D218" t="str">
        <f>IFERROR(__xludf.DUMMYFUNCTION("""COMPUTED_VALUE"""),"De'Andre Hunter")</f>
        <v>De'Andre Hunter</v>
      </c>
      <c r="E218">
        <f>IFERROR(__xludf.DUMMYFUNCTION("""COMPUTED_VALUE"""),62.0)</f>
        <v>62</v>
      </c>
      <c r="F218" t="str">
        <f>IFERROR(__xludf.DUMMYFUNCTION("""COMPUTED_VALUE"""),"SF,PF")</f>
        <v>SF,PF</v>
      </c>
      <c r="G218" s="11">
        <f>IFERROR(__xludf.DUMMYFUNCTION("""COMPUTED_VALUE"""),-3.4625345668352066)</f>
        <v>-3.462534567</v>
      </c>
      <c r="H218" s="11">
        <f>IFERROR(__xludf.DUMMYFUNCTION("""COMPUTED_VALUE"""),-3.4625345668352066)</f>
        <v>-3.462534567</v>
      </c>
      <c r="I218" s="11">
        <f>IFERROR(__xludf.DUMMYFUNCTION("""COMPUTED_VALUE"""),0.0)</f>
        <v>0</v>
      </c>
      <c r="J218" s="11">
        <f>IFERROR(__xludf.DUMMYFUNCTION("""COMPUTED_VALUE"""),14.3)</f>
        <v>14.3</v>
      </c>
      <c r="K218" s="11">
        <f>IFERROR(__xludf.DUMMYFUNCTION("""COMPUTED_VALUE"""),1.6)</f>
        <v>1.6</v>
      </c>
      <c r="L218" s="11">
        <f>IFERROR(__xludf.DUMMYFUNCTION("""COMPUTED_VALUE"""),3.8)</f>
        <v>3.8</v>
      </c>
      <c r="M218" s="11">
        <f>IFERROR(__xludf.DUMMYFUNCTION("""COMPUTED_VALUE"""),1.4)</f>
        <v>1.4</v>
      </c>
      <c r="N218" s="11">
        <f>IFERROR(__xludf.DUMMYFUNCTION("""COMPUTED_VALUE"""),0.6)</f>
        <v>0.6</v>
      </c>
      <c r="O218" s="11">
        <f>IFERROR(__xludf.DUMMYFUNCTION("""COMPUTED_VALUE"""),0.3)</f>
        <v>0.3</v>
      </c>
      <c r="P218" s="15">
        <f>IFERROR(__xludf.DUMMYFUNCTION("""COMPUTED_VALUE"""),0.46)</f>
        <v>0.46</v>
      </c>
      <c r="Q218" s="15">
        <f>IFERROR(__xludf.DUMMYFUNCTION("""COMPUTED_VALUE"""),0.836)</f>
        <v>0.836</v>
      </c>
      <c r="R218" s="11">
        <f>IFERROR(__xludf.DUMMYFUNCTION("""COMPUTED_VALUE"""),1.2)</f>
        <v>1.2</v>
      </c>
      <c r="S218" s="11">
        <f>IFERROR(__xludf.DUMMYFUNCTION("""COMPUTED_VALUE"""),-0.5720919403201229)</f>
        <v>-0.5720919403</v>
      </c>
      <c r="T218" s="11">
        <f>IFERROR(__xludf.DUMMYFUNCTION("""COMPUTED_VALUE"""),-0.1482977965701775)</f>
        <v>-0.1482977966</v>
      </c>
      <c r="U218" s="11">
        <f>IFERROR(__xludf.DUMMYFUNCTION("""COMPUTED_VALUE"""),-0.8899970031400947)</f>
        <v>-0.8899970031</v>
      </c>
      <c r="V218" s="11">
        <f>IFERROR(__xludf.DUMMYFUNCTION("""COMPUTED_VALUE"""),-1.1553378738168676)</f>
        <v>-1.155337874</v>
      </c>
      <c r="W218" s="11">
        <f>IFERROR(__xludf.DUMMYFUNCTION("""COMPUTED_VALUE"""),-1.2485944449972455)</f>
        <v>-1.248594445</v>
      </c>
      <c r="X218" s="11">
        <f>IFERROR(__xludf.DUMMYFUNCTION("""COMPUTED_VALUE"""),-0.7939110448965904)</f>
        <v>-0.7939110449</v>
      </c>
      <c r="Y218" s="11">
        <f>IFERROR(__xludf.DUMMYFUNCTION("""COMPUTED_VALUE"""),-0.4754675761322898)</f>
        <v>-0.4754675761</v>
      </c>
      <c r="Z218" s="11">
        <f>IFERROR(__xludf.DUMMYFUNCTION("""COMPUTED_VALUE"""),0.43650913676935615)</f>
        <v>0.4365091368</v>
      </c>
      <c r="AA218" s="11">
        <f>IFERROR(__xludf.DUMMYFUNCTION("""COMPUTED_VALUE"""),0.13605953127158005)</f>
        <v>0.1360595313</v>
      </c>
      <c r="AB218" t="str">
        <f>IFERROR(__xludf.DUMMYFUNCTION("SUBSTITUTE(REGEXREPLACE(REGEXREPLACE(REGEXREPLACE(REGEXREPLACE(REGEXREPLACE(REGEXREPLACE(F218,"","",),IF(Projections!$T$17="""",""PG"",),),IF(Projections!$U$17="""",""SG"",),),IF(Projections!$V$17="""",""SF"",),),IF(Projections!$W$17="""",""PF"",),),IF(Pr"&amp;"ojections!$X$17="""",""C"",),),""/"","""")"),"SFPF")</f>
        <v>SFPF</v>
      </c>
    </row>
    <row r="219">
      <c r="B219">
        <f>IFERROR(__xludf.DUMMYFUNCTION("""COMPUTED_VALUE"""),214.0)</f>
        <v>214</v>
      </c>
      <c r="D219" t="str">
        <f>IFERROR(__xludf.DUMMYFUNCTION("""COMPUTED_VALUE"""),"Daniel Theis")</f>
        <v>Daniel Theis</v>
      </c>
      <c r="E219">
        <f>IFERROR(__xludf.DUMMYFUNCTION("""COMPUTED_VALUE"""),71.0)</f>
        <v>71</v>
      </c>
      <c r="F219" t="str">
        <f>IFERROR(__xludf.DUMMYFUNCTION("""COMPUTED_VALUE"""),"C")</f>
        <v>C</v>
      </c>
      <c r="G219" s="11">
        <f>IFERROR(__xludf.DUMMYFUNCTION("""COMPUTED_VALUE"""),-3.481857837387386)</f>
        <v>-3.481857837</v>
      </c>
      <c r="H219" s="11">
        <f>IFERROR(__xludf.DUMMYFUNCTION("""COMPUTED_VALUE"""),-3.481857837387386)</f>
        <v>-3.481857837</v>
      </c>
      <c r="I219" s="11">
        <f>IFERROR(__xludf.DUMMYFUNCTION("""COMPUTED_VALUE"""),0.0)</f>
        <v>0</v>
      </c>
      <c r="J219" s="11">
        <f>IFERROR(__xludf.DUMMYFUNCTION("""COMPUTED_VALUE"""),8.5)</f>
        <v>8.5</v>
      </c>
      <c r="K219" s="11">
        <f>IFERROR(__xludf.DUMMYFUNCTION("""COMPUTED_VALUE"""),0.6)</f>
        <v>0.6</v>
      </c>
      <c r="L219" s="11">
        <f>IFERROR(__xludf.DUMMYFUNCTION("""COMPUTED_VALUE"""),5.2)</f>
        <v>5.2</v>
      </c>
      <c r="M219" s="11">
        <f>IFERROR(__xludf.DUMMYFUNCTION("""COMPUTED_VALUE"""),1.4)</f>
        <v>1.4</v>
      </c>
      <c r="N219" s="11">
        <f>IFERROR(__xludf.DUMMYFUNCTION("""COMPUTED_VALUE"""),0.5)</f>
        <v>0.5</v>
      </c>
      <c r="O219" s="11">
        <f>IFERROR(__xludf.DUMMYFUNCTION("""COMPUTED_VALUE"""),1.0)</f>
        <v>1</v>
      </c>
      <c r="P219" s="15">
        <f>IFERROR(__xludf.DUMMYFUNCTION("""COMPUTED_VALUE"""),0.524)</f>
        <v>0.524</v>
      </c>
      <c r="Q219" s="15">
        <f>IFERROR(__xludf.DUMMYFUNCTION("""COMPUTED_VALUE"""),0.762)</f>
        <v>0.762</v>
      </c>
      <c r="R219" s="11">
        <f>IFERROR(__xludf.DUMMYFUNCTION("""COMPUTED_VALUE"""),0.9)</f>
        <v>0.9</v>
      </c>
      <c r="S219" s="11">
        <f>IFERROR(__xludf.DUMMYFUNCTION("""COMPUTED_VALUE"""),-1.6198504541895646)</f>
        <v>-1.619850454</v>
      </c>
      <c r="T219" s="11">
        <f>IFERROR(__xludf.DUMMYFUNCTION("""COMPUTED_VALUE"""),-1.1435407868855925)</f>
        <v>-1.143540787</v>
      </c>
      <c r="U219" s="11">
        <f>IFERROR(__xludf.DUMMYFUNCTION("""COMPUTED_VALUE"""),-0.3408278073904848)</f>
        <v>-0.3408278074</v>
      </c>
      <c r="V219" s="11">
        <f>IFERROR(__xludf.DUMMYFUNCTION("""COMPUTED_VALUE"""),-1.1553378738168676)</f>
        <v>-1.155337874</v>
      </c>
      <c r="W219" s="11">
        <f>IFERROR(__xludf.DUMMYFUNCTION("""COMPUTED_VALUE"""),-1.5805271231567248)</f>
        <v>-1.580527123</v>
      </c>
      <c r="X219" s="11">
        <f>IFERROR(__xludf.DUMMYFUNCTION("""COMPUTED_VALUE"""),0.45484486947200414)</f>
        <v>0.4548448695</v>
      </c>
      <c r="Y219" s="11">
        <f>IFERROR(__xludf.DUMMYFUNCTION("""COMPUTED_VALUE"""),0.2129510137702792)</f>
        <v>0.2129510138</v>
      </c>
      <c r="Z219" s="11">
        <f>IFERROR(__xludf.DUMMYFUNCTION("""COMPUTED_VALUE"""),-0.13987430107953955)</f>
        <v>-0.1398743011</v>
      </c>
      <c r="AA219" s="11">
        <f>IFERROR(__xludf.DUMMYFUNCTION("""COMPUTED_VALUE"""),0.21045417169954)</f>
        <v>0.2104541717</v>
      </c>
      <c r="AB219" t="str">
        <f>IFERROR(__xludf.DUMMYFUNCTION("SUBSTITUTE(REGEXREPLACE(REGEXREPLACE(REGEXREPLACE(REGEXREPLACE(REGEXREPLACE(REGEXREPLACE(F219,"","",),IF(Projections!$T$17="""",""PG"",),),IF(Projections!$U$17="""",""SG"",),),IF(Projections!$V$17="""",""SF"",),),IF(Projections!$W$17="""",""PF"",),),IF(Pr"&amp;"ojections!$X$17="""",""C"",),),""/"","""")"),"C")</f>
        <v>C</v>
      </c>
    </row>
    <row r="220">
      <c r="B220">
        <f>IFERROR(__xludf.DUMMYFUNCTION("""COMPUTED_VALUE"""),215.0)</f>
        <v>215</v>
      </c>
      <c r="C220">
        <f>IFERROR(__xludf.DUMMYFUNCTION("""COMPUTED_VALUE"""),138.6)</f>
        <v>138.6</v>
      </c>
      <c r="D220" t="str">
        <f>IFERROR(__xludf.DUMMYFUNCTION("""COMPUTED_VALUE"""),"Dillon Brooks")</f>
        <v>Dillon Brooks</v>
      </c>
      <c r="E220">
        <f>IFERROR(__xludf.DUMMYFUNCTION("""COMPUTED_VALUE"""),71.0)</f>
        <v>71</v>
      </c>
      <c r="F220" t="str">
        <f>IFERROR(__xludf.DUMMYFUNCTION("""COMPUTED_VALUE"""),"SG,SF")</f>
        <v>SG,SF</v>
      </c>
      <c r="G220" s="11">
        <f>IFERROR(__xludf.DUMMYFUNCTION("""COMPUTED_VALUE"""),-3.595757958336616)</f>
        <v>-3.595757958</v>
      </c>
      <c r="H220" s="11">
        <f>IFERROR(__xludf.DUMMYFUNCTION("""COMPUTED_VALUE"""),-3.595757958336616)</f>
        <v>-3.595757958</v>
      </c>
      <c r="I220" s="11">
        <f>IFERROR(__xludf.DUMMYFUNCTION("""COMPUTED_VALUE"""),0.0)</f>
        <v>0</v>
      </c>
      <c r="J220" s="11">
        <f>IFERROR(__xludf.DUMMYFUNCTION("""COMPUTED_VALUE"""),13.0)</f>
        <v>13</v>
      </c>
      <c r="K220" s="11">
        <f>IFERROR(__xludf.DUMMYFUNCTION("""COMPUTED_VALUE"""),1.8)</f>
        <v>1.8</v>
      </c>
      <c r="L220" s="11">
        <f>IFERROR(__xludf.DUMMYFUNCTION("""COMPUTED_VALUE"""),3.2)</f>
        <v>3.2</v>
      </c>
      <c r="M220" s="11">
        <f>IFERROR(__xludf.DUMMYFUNCTION("""COMPUTED_VALUE"""),2.0)</f>
        <v>2</v>
      </c>
      <c r="N220" s="11">
        <f>IFERROR(__xludf.DUMMYFUNCTION("""COMPUTED_VALUE"""),0.9)</f>
        <v>0.9</v>
      </c>
      <c r="O220" s="11">
        <f>IFERROR(__xludf.DUMMYFUNCTION("""COMPUTED_VALUE"""),0.2)</f>
        <v>0.2</v>
      </c>
      <c r="P220" s="15">
        <f>IFERROR(__xludf.DUMMYFUNCTION("""COMPUTED_VALUE"""),0.425)</f>
        <v>0.425</v>
      </c>
      <c r="Q220" s="15">
        <f>IFERROR(__xludf.DUMMYFUNCTION("""COMPUTED_VALUE"""),0.809)</f>
        <v>0.809</v>
      </c>
      <c r="R220" s="11">
        <f>IFERROR(__xludf.DUMMYFUNCTION("""COMPUTED_VALUE"""),1.3)</f>
        <v>1.3</v>
      </c>
      <c r="S220" s="11">
        <f>IFERROR(__xludf.DUMMYFUNCTION("""COMPUTED_VALUE"""),-0.8069343658425842)</f>
        <v>-0.8069343658</v>
      </c>
      <c r="T220" s="11">
        <f>IFERROR(__xludf.DUMMYFUNCTION("""COMPUTED_VALUE"""),0.05075080149290546)</f>
        <v>0.05075080149</v>
      </c>
      <c r="U220" s="11">
        <f>IFERROR(__xludf.DUMMYFUNCTION("""COMPUTED_VALUE"""),-1.1253552298899274)</f>
        <v>-1.12535523</v>
      </c>
      <c r="V220" s="11">
        <f>IFERROR(__xludf.DUMMYFUNCTION("""COMPUTED_VALUE"""),-0.8819672512840698)</f>
        <v>-0.8819672513</v>
      </c>
      <c r="W220" s="11">
        <f>IFERROR(__xludf.DUMMYFUNCTION("""COMPUTED_VALUE"""),-0.25279641051880714)</f>
        <v>-0.2527964105</v>
      </c>
      <c r="X220" s="11">
        <f>IFERROR(__xludf.DUMMYFUNCTION("""COMPUTED_VALUE"""),-0.9723047469492465)</f>
        <v>-0.9723047469</v>
      </c>
      <c r="Y220" s="11">
        <f>IFERROR(__xludf.DUMMYFUNCTION("""COMPUTED_VALUE"""),-0.94353679947447)</f>
        <v>-0.9435367995</v>
      </c>
      <c r="Z220" s="11">
        <f>IFERROR(__xludf.DUMMYFUNCTION("""COMPUTED_VALUE"""),0.09976949644406194)</f>
        <v>0.09976949644</v>
      </c>
      <c r="AA220" s="11">
        <f>IFERROR(__xludf.DUMMYFUNCTION("""COMPUTED_VALUE"""),0.11126131779559338)</f>
        <v>0.1112613178</v>
      </c>
      <c r="AB220" t="str">
        <f>IFERROR(__xludf.DUMMYFUNCTION("SUBSTITUTE(REGEXREPLACE(REGEXREPLACE(REGEXREPLACE(REGEXREPLACE(REGEXREPLACE(REGEXREPLACE(F220,"","",),IF(Projections!$T$17="""",""PG"",),),IF(Projections!$U$17="""",""SG"",),),IF(Projections!$V$17="""",""SF"",),),IF(Projections!$W$17="""",""PF"",),),IF(Pr"&amp;"ojections!$X$17="""",""C"",),),""/"","""")"),"SGSF")</f>
        <v>SGSF</v>
      </c>
    </row>
    <row r="221">
      <c r="B221">
        <f>IFERROR(__xludf.DUMMYFUNCTION("""COMPUTED_VALUE"""),216.0)</f>
        <v>216</v>
      </c>
      <c r="C221">
        <f>IFERROR(__xludf.DUMMYFUNCTION("""COMPUTED_VALUE"""),140.3)</f>
        <v>140.3</v>
      </c>
      <c r="D221" t="str">
        <f>IFERROR(__xludf.DUMMYFUNCTION("""COMPUTED_VALUE"""),"Dorian Finney-Smith")</f>
        <v>Dorian Finney-Smith</v>
      </c>
      <c r="E221">
        <f>IFERROR(__xludf.DUMMYFUNCTION("""COMPUTED_VALUE"""),71.0)</f>
        <v>71</v>
      </c>
      <c r="F221" t="str">
        <f>IFERROR(__xludf.DUMMYFUNCTION("""COMPUTED_VALUE"""),"SF,PF,C")</f>
        <v>SF,PF,C</v>
      </c>
      <c r="G221" s="11">
        <f>IFERROR(__xludf.DUMMYFUNCTION("""COMPUTED_VALUE"""),-3.6018026693493175)</f>
        <v>-3.601802669</v>
      </c>
      <c r="H221" s="11">
        <f>IFERROR(__xludf.DUMMYFUNCTION("""COMPUTED_VALUE"""),-3.6018026693493175)</f>
        <v>-3.601802669</v>
      </c>
      <c r="I221" s="11">
        <f>IFERROR(__xludf.DUMMYFUNCTION("""COMPUTED_VALUE"""),0.0)</f>
        <v>0</v>
      </c>
      <c r="J221" s="11">
        <f>IFERROR(__xludf.DUMMYFUNCTION("""COMPUTED_VALUE"""),7.8)</f>
        <v>7.8</v>
      </c>
      <c r="K221" s="11">
        <f>IFERROR(__xludf.DUMMYFUNCTION("""COMPUTED_VALUE"""),1.6)</f>
        <v>1.6</v>
      </c>
      <c r="L221" s="11">
        <f>IFERROR(__xludf.DUMMYFUNCTION("""COMPUTED_VALUE"""),4.4)</f>
        <v>4.4</v>
      </c>
      <c r="M221" s="11">
        <f>IFERROR(__xludf.DUMMYFUNCTION("""COMPUTED_VALUE"""),1.4)</f>
        <v>1.4</v>
      </c>
      <c r="N221" s="11">
        <f>IFERROR(__xludf.DUMMYFUNCTION("""COMPUTED_VALUE"""),0.8)</f>
        <v>0.8</v>
      </c>
      <c r="O221" s="11">
        <f>IFERROR(__xludf.DUMMYFUNCTION("""COMPUTED_VALUE"""),0.5)</f>
        <v>0.5</v>
      </c>
      <c r="P221" s="15">
        <f>IFERROR(__xludf.DUMMYFUNCTION("""COMPUTED_VALUE"""),0.406)</f>
        <v>0.406</v>
      </c>
      <c r="Q221" s="15">
        <f>IFERROR(__xludf.DUMMYFUNCTION("""COMPUTED_VALUE"""),0.75)</f>
        <v>0.75</v>
      </c>
      <c r="R221" s="11">
        <f>IFERROR(__xludf.DUMMYFUNCTION("""COMPUTED_VALUE"""),0.8)</f>
        <v>0.8</v>
      </c>
      <c r="S221" s="11">
        <f>IFERROR(__xludf.DUMMYFUNCTION("""COMPUTED_VALUE"""),-1.7463040679324282)</f>
        <v>-1.746304068</v>
      </c>
      <c r="T221" s="11">
        <f>IFERROR(__xludf.DUMMYFUNCTION("""COMPUTED_VALUE"""),-0.1482977965701775)</f>
        <v>-0.1482977966</v>
      </c>
      <c r="U221" s="11">
        <f>IFERROR(__xludf.DUMMYFUNCTION("""COMPUTED_VALUE"""),-0.6546387763902618)</f>
        <v>-0.6546387764</v>
      </c>
      <c r="V221" s="11">
        <f>IFERROR(__xludf.DUMMYFUNCTION("""COMPUTED_VALUE"""),-1.1553378738168676)</f>
        <v>-1.155337874</v>
      </c>
      <c r="W221" s="11">
        <f>IFERROR(__xludf.DUMMYFUNCTION("""COMPUTED_VALUE"""),-0.5847290886782864)</f>
        <v>-0.5847290887</v>
      </c>
      <c r="X221" s="11">
        <f>IFERROR(__xludf.DUMMYFUNCTION("""COMPUTED_VALUE"""),-0.4371236407912776)</f>
        <v>-0.4371236408</v>
      </c>
      <c r="Y221" s="11">
        <f>IFERROR(__xludf.DUMMYFUNCTION("""COMPUTED_VALUE"""),-0.7455866212449411)</f>
        <v>-0.7455866212</v>
      </c>
      <c r="Z221" s="11">
        <f>IFERROR(__xludf.DUMMYFUNCTION("""COMPUTED_VALUE"""),-0.11134125703303288)</f>
        <v>-0.111341257</v>
      </c>
      <c r="AA221" s="11">
        <f>IFERROR(__xludf.DUMMYFUNCTION("""COMPUTED_VALUE"""),0.23525238517552666)</f>
        <v>0.2352523852</v>
      </c>
      <c r="AB221" t="str">
        <f>IFERROR(__xludf.DUMMYFUNCTION("SUBSTITUTE(REGEXREPLACE(REGEXREPLACE(REGEXREPLACE(REGEXREPLACE(REGEXREPLACE(REGEXREPLACE(F221,"","",),IF(Projections!$T$17="""",""PG"",),),IF(Projections!$U$17="""",""SG"",),),IF(Projections!$V$17="""",""SF"",),),IF(Projections!$W$17="""",""PF"",),),IF(Pr"&amp;"ojections!$X$17="""",""C"",),),""/"","""")"),"SFPFC")</f>
        <v>SFPFC</v>
      </c>
    </row>
    <row r="222">
      <c r="B222">
        <f>IFERROR(__xludf.DUMMYFUNCTION("""COMPUTED_VALUE"""),217.0)</f>
        <v>217</v>
      </c>
      <c r="C222">
        <f>IFERROR(__xludf.DUMMYFUNCTION("""COMPUTED_VALUE"""),142.2)</f>
        <v>142.2</v>
      </c>
      <c r="D222" t="str">
        <f>IFERROR(__xludf.DUMMYFUNCTION("""COMPUTED_VALUE"""),"Kyle Anderson")</f>
        <v>Kyle Anderson</v>
      </c>
      <c r="E222">
        <f>IFERROR(__xludf.DUMMYFUNCTION("""COMPUTED_VALUE"""),66.0)</f>
        <v>66</v>
      </c>
      <c r="F222" t="str">
        <f>IFERROR(__xludf.DUMMYFUNCTION("""COMPUTED_VALUE"""),"SF,PF")</f>
        <v>SF,PF</v>
      </c>
      <c r="G222" s="11">
        <f>IFERROR(__xludf.DUMMYFUNCTION("""COMPUTED_VALUE"""),-3.6435975594463033)</f>
        <v>-3.643597559</v>
      </c>
      <c r="H222" s="11">
        <f>IFERROR(__xludf.DUMMYFUNCTION("""COMPUTED_VALUE"""),-3.6435975594463033)</f>
        <v>-3.643597559</v>
      </c>
      <c r="I222" s="11">
        <f>IFERROR(__xludf.DUMMYFUNCTION("""COMPUTED_VALUE"""),0.0)</f>
        <v>0</v>
      </c>
      <c r="J222" s="11">
        <f>IFERROR(__xludf.DUMMYFUNCTION("""COMPUTED_VALUE"""),6.4)</f>
        <v>6.4</v>
      </c>
      <c r="K222" s="11">
        <f>IFERROR(__xludf.DUMMYFUNCTION("""COMPUTED_VALUE"""),0.3)</f>
        <v>0.3</v>
      </c>
      <c r="L222" s="11">
        <f>IFERROR(__xludf.DUMMYFUNCTION("""COMPUTED_VALUE"""),3.6)</f>
        <v>3.6</v>
      </c>
      <c r="M222" s="11">
        <f>IFERROR(__xludf.DUMMYFUNCTION("""COMPUTED_VALUE"""),3.7)</f>
        <v>3.7</v>
      </c>
      <c r="N222" s="11">
        <f>IFERROR(__xludf.DUMMYFUNCTION("""COMPUTED_VALUE"""),0.8)</f>
        <v>0.8</v>
      </c>
      <c r="O222" s="11">
        <f>IFERROR(__xludf.DUMMYFUNCTION("""COMPUTED_VALUE"""),0.6)</f>
        <v>0.6</v>
      </c>
      <c r="P222" s="15">
        <f>IFERROR(__xludf.DUMMYFUNCTION("""COMPUTED_VALUE"""),0.486)</f>
        <v>0.486</v>
      </c>
      <c r="Q222" s="15">
        <f>IFERROR(__xludf.DUMMYFUNCTION("""COMPUTED_VALUE"""),0.724)</f>
        <v>0.724</v>
      </c>
      <c r="R222" s="11">
        <f>IFERROR(__xludf.DUMMYFUNCTION("""COMPUTED_VALUE"""),1.1)</f>
        <v>1.1</v>
      </c>
      <c r="S222" s="11">
        <f>IFERROR(__xludf.DUMMYFUNCTION("""COMPUTED_VALUE"""),-1.9992112954181556)</f>
        <v>-1.999211295</v>
      </c>
      <c r="T222" s="11">
        <f>IFERROR(__xludf.DUMMYFUNCTION("""COMPUTED_VALUE"""),-1.442113683980217)</f>
        <v>-1.442113684</v>
      </c>
      <c r="U222" s="11">
        <f>IFERROR(__xludf.DUMMYFUNCTION("""COMPUTED_VALUE"""),-0.9684497453900388)</f>
        <v>-0.9684497454</v>
      </c>
      <c r="V222" s="11">
        <f>IFERROR(__xludf.DUMMYFUNCTION("""COMPUTED_VALUE"""),-0.10741715410780962)</f>
        <v>-0.1074171541</v>
      </c>
      <c r="W222" s="11">
        <f>IFERROR(__xludf.DUMMYFUNCTION("""COMPUTED_VALUE"""),-0.5847290886782864)</f>
        <v>-0.5847290887</v>
      </c>
      <c r="X222" s="11">
        <f>IFERROR(__xludf.DUMMYFUNCTION("""COMPUTED_VALUE"""),-0.25872993873862127)</f>
        <v>-0.2587299387</v>
      </c>
      <c r="Y222" s="11">
        <f>IFERROR(__xludf.DUMMYFUNCTION("""COMPUTED_VALUE"""),-0.0663119669508783)</f>
        <v>-0.06631196695</v>
      </c>
      <c r="Z222" s="11">
        <f>IFERROR(__xludf.DUMMYFUNCTION("""COMPUTED_VALUE"""),-0.3767037263480179)</f>
        <v>-0.3767037263</v>
      </c>
      <c r="AA222" s="11">
        <f>IFERROR(__xludf.DUMMYFUNCTION("""COMPUTED_VALUE"""),0.16085774474756667)</f>
        <v>0.1608577447</v>
      </c>
      <c r="AB222" t="str">
        <f>IFERROR(__xludf.DUMMYFUNCTION("SUBSTITUTE(REGEXREPLACE(REGEXREPLACE(REGEXREPLACE(REGEXREPLACE(REGEXREPLACE(REGEXREPLACE(F222,"","",),IF(Projections!$T$17="""",""PG"",),),IF(Projections!$U$17="""",""SG"",),),IF(Projections!$V$17="""",""SF"",),),IF(Projections!$W$17="""",""PF"",),),IF(Pr"&amp;"ojections!$X$17="""",""C"",),),""/"","""")"),"SFPF")</f>
        <v>SFPF</v>
      </c>
    </row>
    <row r="223">
      <c r="B223">
        <f>IFERROR(__xludf.DUMMYFUNCTION("""COMPUTED_VALUE"""),218.0)</f>
        <v>218</v>
      </c>
      <c r="C223">
        <f>IFERROR(__xludf.DUMMYFUNCTION("""COMPUTED_VALUE"""),143.0)</f>
        <v>143</v>
      </c>
      <c r="D223" t="str">
        <f>IFERROR(__xludf.DUMMYFUNCTION("""COMPUTED_VALUE"""),"Payton Pritchard")</f>
        <v>Payton Pritchard</v>
      </c>
      <c r="E223">
        <f>IFERROR(__xludf.DUMMYFUNCTION("""COMPUTED_VALUE"""),66.0)</f>
        <v>66</v>
      </c>
      <c r="F223" t="str">
        <f>IFERROR(__xludf.DUMMYFUNCTION("""COMPUTED_VALUE"""),"PG")</f>
        <v>PG</v>
      </c>
      <c r="G223" s="11">
        <f>IFERROR(__xludf.DUMMYFUNCTION("""COMPUTED_VALUE"""),-3.6506630601780685)</f>
        <v>-3.65066306</v>
      </c>
      <c r="H223" s="11">
        <f>IFERROR(__xludf.DUMMYFUNCTION("""COMPUTED_VALUE"""),-3.6506630601780685)</f>
        <v>-3.65066306</v>
      </c>
      <c r="I223" s="11">
        <f>IFERROR(__xludf.DUMMYFUNCTION("""COMPUTED_VALUE"""),0.0)</f>
        <v>0</v>
      </c>
      <c r="J223" s="11">
        <f>IFERROR(__xludf.DUMMYFUNCTION("""COMPUTED_VALUE"""),10.5)</f>
        <v>10.5</v>
      </c>
      <c r="K223" s="11">
        <f>IFERROR(__xludf.DUMMYFUNCTION("""COMPUTED_VALUE"""),2.0)</f>
        <v>2</v>
      </c>
      <c r="L223" s="11">
        <f>IFERROR(__xludf.DUMMYFUNCTION("""COMPUTED_VALUE"""),3.5)</f>
        <v>3.5</v>
      </c>
      <c r="M223" s="11">
        <f>IFERROR(__xludf.DUMMYFUNCTION("""COMPUTED_VALUE"""),3.4)</f>
        <v>3.4</v>
      </c>
      <c r="N223" s="11">
        <f>IFERROR(__xludf.DUMMYFUNCTION("""COMPUTED_VALUE"""),0.5)</f>
        <v>0.5</v>
      </c>
      <c r="O223" s="11">
        <f>IFERROR(__xludf.DUMMYFUNCTION("""COMPUTED_VALUE"""),0.1)</f>
        <v>0.1</v>
      </c>
      <c r="P223" s="15">
        <f>IFERROR(__xludf.DUMMYFUNCTION("""COMPUTED_VALUE"""),0.453)</f>
        <v>0.453</v>
      </c>
      <c r="Q223" s="15">
        <f>IFERROR(__xludf.DUMMYFUNCTION("""COMPUTED_VALUE"""),0.806)</f>
        <v>0.806</v>
      </c>
      <c r="R223" s="11">
        <f>IFERROR(__xludf.DUMMYFUNCTION("""COMPUTED_VALUE"""),1.0)</f>
        <v>1</v>
      </c>
      <c r="S223" s="11">
        <f>IFERROR(__xludf.DUMMYFUNCTION("""COMPUTED_VALUE"""),-1.25855441492424)</f>
        <v>-1.258554415</v>
      </c>
      <c r="T223" s="11">
        <f>IFERROR(__xludf.DUMMYFUNCTION("""COMPUTED_VALUE"""),0.2497993995559884)</f>
        <v>0.2497993996</v>
      </c>
      <c r="U223" s="11">
        <f>IFERROR(__xludf.DUMMYFUNCTION("""COMPUTED_VALUE"""),-1.007676116515011)</f>
        <v>-1.007676117</v>
      </c>
      <c r="V223" s="11">
        <f>IFERROR(__xludf.DUMMYFUNCTION("""COMPUTED_VALUE"""),-0.2441024653742086)</f>
        <v>-0.2441024654</v>
      </c>
      <c r="W223" s="11">
        <f>IFERROR(__xludf.DUMMYFUNCTION("""COMPUTED_VALUE"""),-1.5805271231567248)</f>
        <v>-1.580527123</v>
      </c>
      <c r="X223" s="11">
        <f>IFERROR(__xludf.DUMMYFUNCTION("""COMPUTED_VALUE"""),-1.150698449001903)</f>
        <v>-1.150698449</v>
      </c>
      <c r="Y223" s="11">
        <f>IFERROR(__xludf.DUMMYFUNCTION("""COMPUTED_VALUE"""),-0.45256931721351085)</f>
        <v>-0.4525693172</v>
      </c>
      <c r="Z223" s="11">
        <f>IFERROR(__xludf.DUMMYFUNCTION("""COMPUTED_VALUE"""),0.02748234507126297)</f>
        <v>0.02748234507</v>
      </c>
      <c r="AA223" s="11">
        <f>IFERROR(__xludf.DUMMYFUNCTION("""COMPUTED_VALUE"""),0.18565595822355335)</f>
        <v>0.1856559582</v>
      </c>
      <c r="AB223" t="str">
        <f>IFERROR(__xludf.DUMMYFUNCTION("SUBSTITUTE(REGEXREPLACE(REGEXREPLACE(REGEXREPLACE(REGEXREPLACE(REGEXREPLACE(REGEXREPLACE(F223,"","",),IF(Projections!$T$17="""",""PG"",),),IF(Projections!$U$17="""",""SG"",),),IF(Projections!$V$17="""",""SF"",),),IF(Projections!$W$17="""",""PF"",),),IF(Pr"&amp;"ojections!$X$17="""",""C"",),),""/"","""")"),"PG")</f>
        <v>PG</v>
      </c>
    </row>
    <row r="224">
      <c r="B224">
        <f>IFERROR(__xludf.DUMMYFUNCTION("""COMPUTED_VALUE"""),219.0)</f>
        <v>219</v>
      </c>
      <c r="D224" t="str">
        <f>IFERROR(__xludf.DUMMYFUNCTION("""COMPUTED_VALUE"""),"Xavier Tillman Sr.")</f>
        <v>Xavier Tillman Sr.</v>
      </c>
      <c r="E224">
        <f>IFERROR(__xludf.DUMMYFUNCTION("""COMPUTED_VALUE"""),40.0)</f>
        <v>40</v>
      </c>
      <c r="F224" t="str">
        <f>IFERROR(__xludf.DUMMYFUNCTION("""COMPUTED_VALUE"""),"PF,C")</f>
        <v>PF,C</v>
      </c>
      <c r="G224" s="11">
        <f>IFERROR(__xludf.DUMMYFUNCTION("""COMPUTED_VALUE"""),-3.7672957704549876)</f>
        <v>-3.76729577</v>
      </c>
      <c r="H224" s="11">
        <f>IFERROR(__xludf.DUMMYFUNCTION("""COMPUTED_VALUE"""),-3.7672957704549876)</f>
        <v>-3.76729577</v>
      </c>
      <c r="I224" s="11">
        <f>IFERROR(__xludf.DUMMYFUNCTION("""COMPUTED_VALUE"""),0.0)</f>
        <v>0</v>
      </c>
      <c r="J224" s="11">
        <f>IFERROR(__xludf.DUMMYFUNCTION("""COMPUTED_VALUE"""),7.2)</f>
        <v>7.2</v>
      </c>
      <c r="K224" s="11">
        <f>IFERROR(__xludf.DUMMYFUNCTION("""COMPUTED_VALUE"""),0.7)</f>
        <v>0.7</v>
      </c>
      <c r="L224" s="11">
        <f>IFERROR(__xludf.DUMMYFUNCTION("""COMPUTED_VALUE"""),4.9)</f>
        <v>4.9</v>
      </c>
      <c r="M224" s="11">
        <f>IFERROR(__xludf.DUMMYFUNCTION("""COMPUTED_VALUE"""),1.6)</f>
        <v>1.6</v>
      </c>
      <c r="N224" s="11">
        <f>IFERROR(__xludf.DUMMYFUNCTION("""COMPUTED_VALUE"""),1.0)</f>
        <v>1</v>
      </c>
      <c r="O224" s="11">
        <f>IFERROR(__xludf.DUMMYFUNCTION("""COMPUTED_VALUE"""),0.7)</f>
        <v>0.7</v>
      </c>
      <c r="P224" s="15">
        <f>IFERROR(__xludf.DUMMYFUNCTION("""COMPUTED_VALUE"""),0.473)</f>
        <v>0.473</v>
      </c>
      <c r="Q224" s="15">
        <f>IFERROR(__xludf.DUMMYFUNCTION("""COMPUTED_VALUE"""),0.515)</f>
        <v>0.515</v>
      </c>
      <c r="R224" s="11">
        <f>IFERROR(__xludf.DUMMYFUNCTION("""COMPUTED_VALUE"""),0.7)</f>
        <v>0.7</v>
      </c>
      <c r="S224" s="11">
        <f>IFERROR(__xludf.DUMMYFUNCTION("""COMPUTED_VALUE"""),-1.854692879712026)</f>
        <v>-1.85469288</v>
      </c>
      <c r="T224" s="11">
        <f>IFERROR(__xludf.DUMMYFUNCTION("""COMPUTED_VALUE"""),-1.0440164878540512)</f>
        <v>-1.044016488</v>
      </c>
      <c r="U224" s="11">
        <f>IFERROR(__xludf.DUMMYFUNCTION("""COMPUTED_VALUE"""),-0.4585069207654011)</f>
        <v>-0.4585069208</v>
      </c>
      <c r="V224" s="11">
        <f>IFERROR(__xludf.DUMMYFUNCTION("""COMPUTED_VALUE"""),-1.0642143329726015)</f>
        <v>-1.064214333</v>
      </c>
      <c r="W224" s="11">
        <f>IFERROR(__xludf.DUMMYFUNCTION("""COMPUTED_VALUE"""),0.07913626764067216)</f>
        <v>0.07913626764</v>
      </c>
      <c r="X224" s="11">
        <f>IFERROR(__xludf.DUMMYFUNCTION("""COMPUTED_VALUE"""),-0.08033623668596498)</f>
        <v>-0.08033623669</v>
      </c>
      <c r="Y224" s="11">
        <f>IFERROR(__xludf.DUMMYFUNCTION("""COMPUTED_VALUE"""),-0.17072871064091072)</f>
        <v>-0.1707287106</v>
      </c>
      <c r="Z224" s="11">
        <f>IFERROR(__xludf.DUMMYFUNCTION("""COMPUTED_VALUE"""),-1.2886799478282436)</f>
        <v>-1.288679948</v>
      </c>
      <c r="AA224" s="11">
        <f>IFERROR(__xludf.DUMMYFUNCTION("""COMPUTED_VALUE"""),0.26005059865151336)</f>
        <v>0.2600505987</v>
      </c>
      <c r="AB224" t="str">
        <f>IFERROR(__xludf.DUMMYFUNCTION("SUBSTITUTE(REGEXREPLACE(REGEXREPLACE(REGEXREPLACE(REGEXREPLACE(REGEXREPLACE(REGEXREPLACE(F224,"","",),IF(Projections!$T$17="""",""PG"",),),IF(Projections!$U$17="""",""SG"",),),IF(Projections!$V$17="""",""SF"",),),IF(Projections!$W$17="""",""PF"",),),IF(Pr"&amp;"ojections!$X$17="""",""C"",),),""/"","""")"),"PFC")</f>
        <v>PFC</v>
      </c>
    </row>
    <row r="225">
      <c r="B225">
        <f>IFERROR(__xludf.DUMMYFUNCTION("""COMPUTED_VALUE"""),220.0)</f>
        <v>220</v>
      </c>
      <c r="D225" t="str">
        <f>IFERROR(__xludf.DUMMYFUNCTION("""COMPUTED_VALUE"""),"Isaiah Jackson")</f>
        <v>Isaiah Jackson</v>
      </c>
      <c r="E225">
        <f>IFERROR(__xludf.DUMMYFUNCTION("""COMPUTED_VALUE"""),71.0)</f>
        <v>71</v>
      </c>
      <c r="F225" t="str">
        <f>IFERROR(__xludf.DUMMYFUNCTION("""COMPUTED_VALUE"""),"PF,C")</f>
        <v>PF,C</v>
      </c>
      <c r="G225" s="11">
        <f>IFERROR(__xludf.DUMMYFUNCTION("""COMPUTED_VALUE"""),-3.785014190216905)</f>
        <v>-3.78501419</v>
      </c>
      <c r="H225" s="11">
        <f>IFERROR(__xludf.DUMMYFUNCTION("""COMPUTED_VALUE"""),-3.785014190216905)</f>
        <v>-3.78501419</v>
      </c>
      <c r="I225" s="11">
        <f>IFERROR(__xludf.DUMMYFUNCTION("""COMPUTED_VALUE"""),0.0)</f>
        <v>0</v>
      </c>
      <c r="J225" s="11">
        <f>IFERROR(__xludf.DUMMYFUNCTION("""COMPUTED_VALUE"""),7.7)</f>
        <v>7.7</v>
      </c>
      <c r="K225" s="11">
        <f>IFERROR(__xludf.DUMMYFUNCTION("""COMPUTED_VALUE"""),0.0)</f>
        <v>0</v>
      </c>
      <c r="L225" s="11">
        <f>IFERROR(__xludf.DUMMYFUNCTION("""COMPUTED_VALUE"""),4.8)</f>
        <v>4.8</v>
      </c>
      <c r="M225" s="11">
        <f>IFERROR(__xludf.DUMMYFUNCTION("""COMPUTED_VALUE"""),0.9)</f>
        <v>0.9</v>
      </c>
      <c r="N225" s="11">
        <f>IFERROR(__xludf.DUMMYFUNCTION("""COMPUTED_VALUE"""),0.6)</f>
        <v>0.6</v>
      </c>
      <c r="O225" s="11">
        <f>IFERROR(__xludf.DUMMYFUNCTION("""COMPUTED_VALUE"""),1.4)</f>
        <v>1.4</v>
      </c>
      <c r="P225" s="15">
        <f>IFERROR(__xludf.DUMMYFUNCTION("""COMPUTED_VALUE"""),0.607)</f>
        <v>0.607</v>
      </c>
      <c r="Q225" s="15">
        <f>IFERROR(__xludf.DUMMYFUNCTION("""COMPUTED_VALUE"""),0.675)</f>
        <v>0.675</v>
      </c>
      <c r="R225" s="11">
        <f>IFERROR(__xludf.DUMMYFUNCTION("""COMPUTED_VALUE"""),0.8)</f>
        <v>0.8</v>
      </c>
      <c r="S225" s="11">
        <f>IFERROR(__xludf.DUMMYFUNCTION("""COMPUTED_VALUE"""),-1.7643688698956947)</f>
        <v>-1.76436887</v>
      </c>
      <c r="T225" s="11">
        <f>IFERROR(__xludf.DUMMYFUNCTION("""COMPUTED_VALUE"""),-1.7406865810748415)</f>
        <v>-1.740686581</v>
      </c>
      <c r="U225" s="11">
        <f>IFERROR(__xludf.DUMMYFUNCTION("""COMPUTED_VALUE"""),-0.49773329189037346)</f>
        <v>-0.4977332919</v>
      </c>
      <c r="V225" s="11">
        <f>IFERROR(__xludf.DUMMYFUNCTION("""COMPUTED_VALUE"""),-1.3831467259275323)</f>
        <v>-1.383146726</v>
      </c>
      <c r="W225" s="11">
        <f>IFERROR(__xludf.DUMMYFUNCTION("""COMPUTED_VALUE"""),-1.2485944449972455)</f>
        <v>-1.248594445</v>
      </c>
      <c r="X225" s="11">
        <f>IFERROR(__xludf.DUMMYFUNCTION("""COMPUTED_VALUE"""),1.1684196776826294)</f>
        <v>1.168419678</v>
      </c>
      <c r="Y225" s="11">
        <f>IFERROR(__xludf.DUMMYFUNCTION("""COMPUTED_VALUE"""),0.6582050272650756)</f>
        <v>0.6582050273</v>
      </c>
      <c r="Z225" s="11">
        <f>IFERROR(__xludf.DUMMYFUNCTION("""COMPUTED_VALUE"""),-0.9767302364501439)</f>
        <v>-0.9767302365</v>
      </c>
      <c r="AA225" s="11">
        <f>IFERROR(__xludf.DUMMYFUNCTION("""COMPUTED_VALUE"""),0.23525238517552666)</f>
        <v>0.2352523852</v>
      </c>
      <c r="AB225" t="str">
        <f>IFERROR(__xludf.DUMMYFUNCTION("SUBSTITUTE(REGEXREPLACE(REGEXREPLACE(REGEXREPLACE(REGEXREPLACE(REGEXREPLACE(REGEXREPLACE(F225,"","",),IF(Projections!$T$17="""",""PG"",),),IF(Projections!$U$17="""",""SG"",),),IF(Projections!$V$17="""",""SF"",),),IF(Projections!$W$17="""",""PF"",),),IF(Pr"&amp;"ojections!$X$17="""",""C"",),),""/"","""")"),"PFC")</f>
        <v>PFC</v>
      </c>
    </row>
    <row r="226">
      <c r="B226">
        <f>IFERROR(__xludf.DUMMYFUNCTION("""COMPUTED_VALUE"""),221.0)</f>
        <v>221</v>
      </c>
      <c r="C226">
        <f>IFERROR(__xludf.DUMMYFUNCTION("""COMPUTED_VALUE"""),144.4)</f>
        <v>144.4</v>
      </c>
      <c r="D226" t="str">
        <f>IFERROR(__xludf.DUMMYFUNCTION("""COMPUTED_VALUE"""),"Bojan Bogdanovic")</f>
        <v>Bojan Bogdanovic</v>
      </c>
      <c r="E226">
        <f>IFERROR(__xludf.DUMMYFUNCTION("""COMPUTED_VALUE"""),71.0)</f>
        <v>71</v>
      </c>
      <c r="F226" t="str">
        <f>IFERROR(__xludf.DUMMYFUNCTION("""COMPUTED_VALUE"""),"SF,PF")</f>
        <v>SF,PF</v>
      </c>
      <c r="G226" s="11">
        <f>IFERROR(__xludf.DUMMYFUNCTION("""COMPUTED_VALUE"""),-3.801821765887781)</f>
        <v>-3.801821766</v>
      </c>
      <c r="H226" s="11">
        <f>IFERROR(__xludf.DUMMYFUNCTION("""COMPUTED_VALUE"""),-3.801821765887781)</f>
        <v>-3.801821766</v>
      </c>
      <c r="I226" s="11">
        <f>IFERROR(__xludf.DUMMYFUNCTION("""COMPUTED_VALUE"""),0.0)</f>
        <v>0</v>
      </c>
      <c r="J226" s="11">
        <f>IFERROR(__xludf.DUMMYFUNCTION("""COMPUTED_VALUE"""),16.5)</f>
        <v>16.5</v>
      </c>
      <c r="K226" s="11">
        <f>IFERROR(__xludf.DUMMYFUNCTION("""COMPUTED_VALUE"""),2.2)</f>
        <v>2.2</v>
      </c>
      <c r="L226" s="11">
        <f>IFERROR(__xludf.DUMMYFUNCTION("""COMPUTED_VALUE"""),2.9)</f>
        <v>2.9</v>
      </c>
      <c r="M226" s="11">
        <f>IFERROR(__xludf.DUMMYFUNCTION("""COMPUTED_VALUE"""),1.9)</f>
        <v>1.9</v>
      </c>
      <c r="N226" s="11">
        <f>IFERROR(__xludf.DUMMYFUNCTION("""COMPUTED_VALUE"""),0.5)</f>
        <v>0.5</v>
      </c>
      <c r="O226" s="11">
        <f>IFERROR(__xludf.DUMMYFUNCTION("""COMPUTED_VALUE"""),0.1)</f>
        <v>0.1</v>
      </c>
      <c r="P226" s="15">
        <f>IFERROR(__xludf.DUMMYFUNCTION("""COMPUTED_VALUE"""),0.449)</f>
        <v>0.449</v>
      </c>
      <c r="Q226" s="15">
        <f>IFERROR(__xludf.DUMMYFUNCTION("""COMPUTED_VALUE"""),0.793)</f>
        <v>0.793</v>
      </c>
      <c r="R226" s="11">
        <f>IFERROR(__xludf.DUMMYFUNCTION("""COMPUTED_VALUE"""),1.8)</f>
        <v>1.8</v>
      </c>
      <c r="S226" s="11">
        <f>IFERROR(__xludf.DUMMYFUNCTION("""COMPUTED_VALUE"""),-0.1746662971282659)</f>
        <v>-0.1746662971</v>
      </c>
      <c r="T226" s="11">
        <f>IFERROR(__xludf.DUMMYFUNCTION("""COMPUTED_VALUE"""),0.44884799761907157)</f>
        <v>0.4488479976</v>
      </c>
      <c r="U226" s="11">
        <f>IFERROR(__xludf.DUMMYFUNCTION("""COMPUTED_VALUE"""),-1.2430343432648439)</f>
        <v>-1.243034343</v>
      </c>
      <c r="V226" s="11">
        <f>IFERROR(__xludf.DUMMYFUNCTION("""COMPUTED_VALUE"""),-0.9275290217062028)</f>
        <v>-0.9275290217</v>
      </c>
      <c r="W226" s="11">
        <f>IFERROR(__xludf.DUMMYFUNCTION("""COMPUTED_VALUE"""),-1.5805271231567248)</f>
        <v>-1.580527123</v>
      </c>
      <c r="X226" s="11">
        <f>IFERROR(__xludf.DUMMYFUNCTION("""COMPUTED_VALUE"""),-1.150698449001903)</f>
        <v>-1.150698449</v>
      </c>
      <c r="Y226" s="11">
        <f>IFERROR(__xludf.DUMMYFUNCTION("""COMPUTED_VALUE"""),-0.7182890900208396)</f>
        <v>-0.71828909</v>
      </c>
      <c r="Z226" s="11">
        <f>IFERROR(__xludf.DUMMYFUNCTION("""COMPUTED_VALUE"""),-0.02372281280045713)</f>
        <v>-0.0237228128</v>
      </c>
      <c r="AA226" s="11">
        <f>IFERROR(__xludf.DUMMYFUNCTION("""COMPUTED_VALUE"""),-0.012729749584339901)</f>
        <v>-0.01272974958</v>
      </c>
      <c r="AB226" t="str">
        <f>IFERROR(__xludf.DUMMYFUNCTION("SUBSTITUTE(REGEXREPLACE(REGEXREPLACE(REGEXREPLACE(REGEXREPLACE(REGEXREPLACE(REGEXREPLACE(F226,"","",),IF(Projections!$T$17="""",""PG"",),),IF(Projections!$U$17="""",""SG"",),),IF(Projections!$V$17="""",""SF"",),),IF(Projections!$W$17="""",""PF"",),),IF(Pr"&amp;"ojections!$X$17="""",""C"",),),""/"","""")"),"SFPF")</f>
        <v>SFPF</v>
      </c>
    </row>
    <row r="227">
      <c r="B227">
        <f>IFERROR(__xludf.DUMMYFUNCTION("""COMPUTED_VALUE"""),222.0)</f>
        <v>222</v>
      </c>
      <c r="D227" t="str">
        <f>IFERROR(__xludf.DUMMYFUNCTION("""COMPUTED_VALUE"""),"Santi Aldama")</f>
        <v>Santi Aldama</v>
      </c>
      <c r="E227">
        <f>IFERROR(__xludf.DUMMYFUNCTION("""COMPUTED_VALUE"""),56.0)</f>
        <v>56</v>
      </c>
      <c r="F227" t="str">
        <f>IFERROR(__xludf.DUMMYFUNCTION("""COMPUTED_VALUE"""),"PF,C")</f>
        <v>PF,C</v>
      </c>
      <c r="G227" s="11">
        <f>IFERROR(__xludf.DUMMYFUNCTION("""COMPUTED_VALUE"""),-3.8363291789884455)</f>
        <v>-3.836329179</v>
      </c>
      <c r="H227" s="11">
        <f>IFERROR(__xludf.DUMMYFUNCTION("""COMPUTED_VALUE"""),-3.8363291789884455)</f>
        <v>-3.836329179</v>
      </c>
      <c r="I227" s="11">
        <f>IFERROR(__xludf.DUMMYFUNCTION("""COMPUTED_VALUE"""),0.0)</f>
        <v>0</v>
      </c>
      <c r="J227" s="11">
        <f>IFERROR(__xludf.DUMMYFUNCTION("""COMPUTED_VALUE"""),9.4)</f>
        <v>9.4</v>
      </c>
      <c r="K227" s="11">
        <f>IFERROR(__xludf.DUMMYFUNCTION("""COMPUTED_VALUE"""),1.4)</f>
        <v>1.4</v>
      </c>
      <c r="L227" s="11">
        <f>IFERROR(__xludf.DUMMYFUNCTION("""COMPUTED_VALUE"""),5.1)</f>
        <v>5.1</v>
      </c>
      <c r="M227" s="11">
        <f>IFERROR(__xludf.DUMMYFUNCTION("""COMPUTED_VALUE"""),1.6)</f>
        <v>1.6</v>
      </c>
      <c r="N227" s="11">
        <f>IFERROR(__xludf.DUMMYFUNCTION("""COMPUTED_VALUE"""),0.6)</f>
        <v>0.6</v>
      </c>
      <c r="O227" s="11">
        <f>IFERROR(__xludf.DUMMYFUNCTION("""COMPUTED_VALUE"""),0.7)</f>
        <v>0.7</v>
      </c>
      <c r="P227" s="15">
        <f>IFERROR(__xludf.DUMMYFUNCTION("""COMPUTED_VALUE"""),0.452)</f>
        <v>0.452</v>
      </c>
      <c r="Q227" s="15">
        <f>IFERROR(__xludf.DUMMYFUNCTION("""COMPUTED_VALUE"""),0.702)</f>
        <v>0.702</v>
      </c>
      <c r="R227" s="11">
        <f>IFERROR(__xludf.DUMMYFUNCTION("""COMPUTED_VALUE"""),0.9)</f>
        <v>0.9</v>
      </c>
      <c r="S227" s="11">
        <f>IFERROR(__xludf.DUMMYFUNCTION("""COMPUTED_VALUE"""),-1.4572672365201687)</f>
        <v>-1.457267237</v>
      </c>
      <c r="T227" s="11">
        <f>IFERROR(__xludf.DUMMYFUNCTION("""COMPUTED_VALUE"""),-0.34734639463326067)</f>
        <v>-0.3473463946</v>
      </c>
      <c r="U227" s="11">
        <f>IFERROR(__xludf.DUMMYFUNCTION("""COMPUTED_VALUE"""),-0.38005417851545714)</f>
        <v>-0.3800541785</v>
      </c>
      <c r="V227" s="11">
        <f>IFERROR(__xludf.DUMMYFUNCTION("""COMPUTED_VALUE"""),-1.0642143329726015)</f>
        <v>-1.064214333</v>
      </c>
      <c r="W227" s="11">
        <f>IFERROR(__xludf.DUMMYFUNCTION("""COMPUTED_VALUE"""),-1.2485944449972455)</f>
        <v>-1.248594445</v>
      </c>
      <c r="X227" s="11">
        <f>IFERROR(__xludf.DUMMYFUNCTION("""COMPUTED_VALUE"""),-0.08033623668596498)</f>
        <v>-0.08033623669</v>
      </c>
      <c r="Y227" s="11">
        <f>IFERROR(__xludf.DUMMYFUNCTION("""COMPUTED_VALUE"""),-0.39976252635871967)</f>
        <v>-0.3997625264</v>
      </c>
      <c r="Z227" s="11">
        <f>IFERROR(__xludf.DUMMYFUNCTION("""COMPUTED_VALUE"""),-0.5264752365247365)</f>
        <v>-0.5264752365</v>
      </c>
      <c r="AA227" s="11">
        <f>IFERROR(__xludf.DUMMYFUNCTION("""COMPUTED_VALUE"""),0.21045417169954)</f>
        <v>0.2104541717</v>
      </c>
      <c r="AB227" t="str">
        <f>IFERROR(__xludf.DUMMYFUNCTION("SUBSTITUTE(REGEXREPLACE(REGEXREPLACE(REGEXREPLACE(REGEXREPLACE(REGEXREPLACE(REGEXREPLACE(F227,"","",),IF(Projections!$T$17="""",""PG"",),),IF(Projections!$U$17="""",""SG"",),),IF(Projections!$V$17="""",""SF"",),),IF(Projections!$W$17="""",""PF"",),),IF(Pr"&amp;"ojections!$X$17="""",""C"",),),""/"","""")"),"PFC")</f>
        <v>PFC</v>
      </c>
    </row>
    <row r="228">
      <c r="B228">
        <f>IFERROR(__xludf.DUMMYFUNCTION("""COMPUTED_VALUE"""),223.0)</f>
        <v>223</v>
      </c>
      <c r="D228" t="str">
        <f>IFERROR(__xludf.DUMMYFUNCTION("""COMPUTED_VALUE"""),"Ron Holland II")</f>
        <v>Ron Holland II</v>
      </c>
      <c r="E228">
        <f>IFERROR(__xludf.DUMMYFUNCTION("""COMPUTED_VALUE"""),71.0)</f>
        <v>71</v>
      </c>
      <c r="F228" t="str">
        <f>IFERROR(__xludf.DUMMYFUNCTION("""COMPUTED_VALUE"""),"SF")</f>
        <v>SF</v>
      </c>
      <c r="G228" s="11">
        <f>IFERROR(__xludf.DUMMYFUNCTION("""COMPUTED_VALUE"""),-3.845275664078578)</f>
        <v>-3.845275664</v>
      </c>
      <c r="H228" s="11">
        <f>IFERROR(__xludf.DUMMYFUNCTION("""COMPUTED_VALUE"""),-3.845275664078578)</f>
        <v>-3.845275664</v>
      </c>
      <c r="I228" s="11">
        <f>IFERROR(__xludf.DUMMYFUNCTION("""COMPUTED_VALUE"""),0.0)</f>
        <v>0</v>
      </c>
      <c r="J228" s="11">
        <f>IFERROR(__xludf.DUMMYFUNCTION("""COMPUTED_VALUE"""),10.3)</f>
        <v>10.3</v>
      </c>
      <c r="K228" s="11">
        <f>IFERROR(__xludf.DUMMYFUNCTION("""COMPUTED_VALUE"""),0.5)</f>
        <v>0.5</v>
      </c>
      <c r="L228" s="11">
        <f>IFERROR(__xludf.DUMMYFUNCTION("""COMPUTED_VALUE"""),3.7)</f>
        <v>3.7</v>
      </c>
      <c r="M228" s="11">
        <f>IFERROR(__xludf.DUMMYFUNCTION("""COMPUTED_VALUE"""),1.7)</f>
        <v>1.7</v>
      </c>
      <c r="N228" s="11">
        <f>IFERROR(__xludf.DUMMYFUNCTION("""COMPUTED_VALUE"""),1.3)</f>
        <v>1.3</v>
      </c>
      <c r="O228" s="11">
        <f>IFERROR(__xludf.DUMMYFUNCTION("""COMPUTED_VALUE"""),0.4)</f>
        <v>0.4</v>
      </c>
      <c r="P228" s="15">
        <f>IFERROR(__xludf.DUMMYFUNCTION("""COMPUTED_VALUE"""),0.44)</f>
        <v>0.44</v>
      </c>
      <c r="Q228" s="15">
        <f>IFERROR(__xludf.DUMMYFUNCTION("""COMPUTED_VALUE"""),0.74)</f>
        <v>0.74</v>
      </c>
      <c r="R228" s="11">
        <f>IFERROR(__xludf.DUMMYFUNCTION("""COMPUTED_VALUE"""),1.6)</f>
        <v>1.6</v>
      </c>
      <c r="S228" s="11">
        <f>IFERROR(__xludf.DUMMYFUNCTION("""COMPUTED_VALUE"""),-1.2946840188507724)</f>
        <v>-1.294684019</v>
      </c>
      <c r="T228" s="11">
        <f>IFERROR(__xludf.DUMMYFUNCTION("""COMPUTED_VALUE"""),-1.2430650859171342)</f>
        <v>-1.243065086</v>
      </c>
      <c r="U228" s="11">
        <f>IFERROR(__xludf.DUMMYFUNCTION("""COMPUTED_VALUE"""),-0.9292233742650667)</f>
        <v>-0.9292233743</v>
      </c>
      <c r="V228" s="11">
        <f>IFERROR(__xludf.DUMMYFUNCTION("""COMPUTED_VALUE"""),-1.0186525625504688)</f>
        <v>-1.018652563</v>
      </c>
      <c r="W228" s="11">
        <f>IFERROR(__xludf.DUMMYFUNCTION("""COMPUTED_VALUE"""),1.0749343021191105)</f>
        <v>1.074934302</v>
      </c>
      <c r="X228" s="11">
        <f>IFERROR(__xludf.DUMMYFUNCTION("""COMPUTED_VALUE"""),-0.6155173428439339)</f>
        <v>-0.6155173428</v>
      </c>
      <c r="Y228" s="11">
        <f>IFERROR(__xludf.DUMMYFUNCTION("""COMPUTED_VALUE"""),-0.5866462217849145)</f>
        <v>-0.5866462218</v>
      </c>
      <c r="Z228" s="11">
        <f>IFERROR(__xludf.DUMMYFUNCTION("""COMPUTED_VALUE"""),-0.5639720562038041)</f>
        <v>-0.5639720562</v>
      </c>
      <c r="AA228" s="11">
        <f>IFERROR(__xludf.DUMMYFUNCTION("""COMPUTED_VALUE"""),0.036866677367633396)</f>
        <v>0.03686667737</v>
      </c>
      <c r="AB228" t="str">
        <f>IFERROR(__xludf.DUMMYFUNCTION("SUBSTITUTE(REGEXREPLACE(REGEXREPLACE(REGEXREPLACE(REGEXREPLACE(REGEXREPLACE(REGEXREPLACE(F228,"","",),IF(Projections!$T$17="""",""PG"",),),IF(Projections!$U$17="""",""SG"",),),IF(Projections!$V$17="""",""SF"",),),IF(Projections!$W$17="""",""PF"",),),IF(Pr"&amp;"ojections!$X$17="""",""C"",),),""/"","""")"),"SF")</f>
        <v>SF</v>
      </c>
    </row>
    <row r="229">
      <c r="B229">
        <f>IFERROR(__xludf.DUMMYFUNCTION("""COMPUTED_VALUE"""),224.0)</f>
        <v>224</v>
      </c>
      <c r="D229" t="str">
        <f>IFERROR(__xludf.DUMMYFUNCTION("""COMPUTED_VALUE"""),"Isaac Okoro")</f>
        <v>Isaac Okoro</v>
      </c>
      <c r="E229">
        <f>IFERROR(__xludf.DUMMYFUNCTION("""COMPUTED_VALUE"""),71.0)</f>
        <v>71</v>
      </c>
      <c r="F229" t="str">
        <f>IFERROR(__xludf.DUMMYFUNCTION("""COMPUTED_VALUE"""),"SF,PF")</f>
        <v>SF,PF</v>
      </c>
      <c r="G229" s="11">
        <f>IFERROR(__xludf.DUMMYFUNCTION("""COMPUTED_VALUE"""),-3.8868049817546693)</f>
        <v>-3.886804982</v>
      </c>
      <c r="H229" s="11">
        <f>IFERROR(__xludf.DUMMYFUNCTION("""COMPUTED_VALUE"""),-3.8868049817546693)</f>
        <v>-3.886804982</v>
      </c>
      <c r="I229" s="11">
        <f>IFERROR(__xludf.DUMMYFUNCTION("""COMPUTED_VALUE"""),0.0)</f>
        <v>0</v>
      </c>
      <c r="J229" s="11">
        <f>IFERROR(__xludf.DUMMYFUNCTION("""COMPUTED_VALUE"""),8.8)</f>
        <v>8.8</v>
      </c>
      <c r="K229" s="11">
        <f>IFERROR(__xludf.DUMMYFUNCTION("""COMPUTED_VALUE"""),1.1)</f>
        <v>1.1</v>
      </c>
      <c r="L229" s="11">
        <f>IFERROR(__xludf.DUMMYFUNCTION("""COMPUTED_VALUE"""),3.0)</f>
        <v>3</v>
      </c>
      <c r="M229" s="11">
        <f>IFERROR(__xludf.DUMMYFUNCTION("""COMPUTED_VALUE"""),1.7)</f>
        <v>1.7</v>
      </c>
      <c r="N229" s="11">
        <f>IFERROR(__xludf.DUMMYFUNCTION("""COMPUTED_VALUE"""),0.9)</f>
        <v>0.9</v>
      </c>
      <c r="O229" s="11">
        <f>IFERROR(__xludf.DUMMYFUNCTION("""COMPUTED_VALUE"""),0.5)</f>
        <v>0.5</v>
      </c>
      <c r="P229" s="15">
        <f>IFERROR(__xludf.DUMMYFUNCTION("""COMPUTED_VALUE"""),0.491)</f>
        <v>0.491</v>
      </c>
      <c r="Q229" s="15">
        <f>IFERROR(__xludf.DUMMYFUNCTION("""COMPUTED_VALUE"""),0.714)</f>
        <v>0.714</v>
      </c>
      <c r="R229" s="11">
        <f>IFERROR(__xludf.DUMMYFUNCTION("""COMPUTED_VALUE"""),0.7)</f>
        <v>0.7</v>
      </c>
      <c r="S229" s="11">
        <f>IFERROR(__xludf.DUMMYFUNCTION("""COMPUTED_VALUE"""),-1.565656048299766)</f>
        <v>-1.565656048</v>
      </c>
      <c r="T229" s="11">
        <f>IFERROR(__xludf.DUMMYFUNCTION("""COMPUTED_VALUE"""),-0.645919291727885)</f>
        <v>-0.6459192917</v>
      </c>
      <c r="U229" s="11">
        <f>IFERROR(__xludf.DUMMYFUNCTION("""COMPUTED_VALUE"""),-1.2038079721398716)</f>
        <v>-1.203807972</v>
      </c>
      <c r="V229" s="11">
        <f>IFERROR(__xludf.DUMMYFUNCTION("""COMPUTED_VALUE"""),-1.0186525625504688)</f>
        <v>-1.018652563</v>
      </c>
      <c r="W229" s="11">
        <f>IFERROR(__xludf.DUMMYFUNCTION("""COMPUTED_VALUE"""),-0.25279641051880714)</f>
        <v>-0.2527964105</v>
      </c>
      <c r="X229" s="11">
        <f>IFERROR(__xludf.DUMMYFUNCTION("""COMPUTED_VALUE"""),-0.4371236407912776)</f>
        <v>-0.4371236408</v>
      </c>
      <c r="Y229" s="11">
        <f>IFERROR(__xludf.DUMMYFUNCTION("""COMPUTED_VALUE"""),-0.044110699304184826)</f>
        <v>-0.0441106993</v>
      </c>
      <c r="Z229" s="11">
        <f>IFERROR(__xludf.DUMMYFUNCTION("""COMPUTED_VALUE"""),-0.5444450033736872)</f>
        <v>-0.5444450034</v>
      </c>
      <c r="AA229" s="11">
        <f>IFERROR(__xludf.DUMMYFUNCTION("""COMPUTED_VALUE"""),0.26005059865151336)</f>
        <v>0.2600505987</v>
      </c>
      <c r="AB229" t="str">
        <f>IFERROR(__xludf.DUMMYFUNCTION("SUBSTITUTE(REGEXREPLACE(REGEXREPLACE(REGEXREPLACE(REGEXREPLACE(REGEXREPLACE(REGEXREPLACE(F229,"","",),IF(Projections!$T$17="""",""PG"",),),IF(Projections!$U$17="""",""SG"",),),IF(Projections!$V$17="""",""SF"",),),IF(Projections!$W$17="""",""PF"",),),IF(Pr"&amp;"ojections!$X$17="""",""C"",),),""/"","""")"),"SFPF")</f>
        <v>SFPF</v>
      </c>
    </row>
    <row r="230">
      <c r="B230">
        <f>IFERROR(__xludf.DUMMYFUNCTION("""COMPUTED_VALUE"""),225.0)</f>
        <v>225</v>
      </c>
      <c r="D230" t="str">
        <f>IFERROR(__xludf.DUMMYFUNCTION("""COMPUTED_VALUE"""),"Spencer Dinwiddie")</f>
        <v>Spencer Dinwiddie</v>
      </c>
      <c r="E230">
        <f>IFERROR(__xludf.DUMMYFUNCTION("""COMPUTED_VALUE"""),66.0)</f>
        <v>66</v>
      </c>
      <c r="F230" t="str">
        <f>IFERROR(__xludf.DUMMYFUNCTION("""COMPUTED_VALUE"""),"PG,SG")</f>
        <v>PG,SG</v>
      </c>
      <c r="G230" s="11">
        <f>IFERROR(__xludf.DUMMYFUNCTION("""COMPUTED_VALUE"""),-3.9286779706955604)</f>
        <v>-3.928677971</v>
      </c>
      <c r="H230" s="11">
        <f>IFERROR(__xludf.DUMMYFUNCTION("""COMPUTED_VALUE"""),-3.9286779706955604)</f>
        <v>-3.928677971</v>
      </c>
      <c r="I230" s="11">
        <f>IFERROR(__xludf.DUMMYFUNCTION("""COMPUTED_VALUE"""),0.0)</f>
        <v>0</v>
      </c>
      <c r="J230" s="11">
        <f>IFERROR(__xludf.DUMMYFUNCTION("""COMPUTED_VALUE"""),10.9)</f>
        <v>10.9</v>
      </c>
      <c r="K230" s="11">
        <f>IFERROR(__xludf.DUMMYFUNCTION("""COMPUTED_VALUE"""),1.5)</f>
        <v>1.5</v>
      </c>
      <c r="L230" s="11">
        <f>IFERROR(__xludf.DUMMYFUNCTION("""COMPUTED_VALUE"""),2.4)</f>
        <v>2.4</v>
      </c>
      <c r="M230" s="11">
        <f>IFERROR(__xludf.DUMMYFUNCTION("""COMPUTED_VALUE"""),4.4)</f>
        <v>4.4</v>
      </c>
      <c r="N230" s="11">
        <f>IFERROR(__xludf.DUMMYFUNCTION("""COMPUTED_VALUE"""),0.6)</f>
        <v>0.6</v>
      </c>
      <c r="O230" s="11">
        <f>IFERROR(__xludf.DUMMYFUNCTION("""COMPUTED_VALUE"""),0.2)</f>
        <v>0.2</v>
      </c>
      <c r="P230" s="15">
        <f>IFERROR(__xludf.DUMMYFUNCTION("""COMPUTED_VALUE"""),0.421)</f>
        <v>0.421</v>
      </c>
      <c r="Q230" s="15">
        <f>IFERROR(__xludf.DUMMYFUNCTION("""COMPUTED_VALUE"""),0.809)</f>
        <v>0.809</v>
      </c>
      <c r="R230" s="11">
        <f>IFERROR(__xludf.DUMMYFUNCTION("""COMPUTED_VALUE"""),1.2)</f>
        <v>1.2</v>
      </c>
      <c r="S230" s="11">
        <f>IFERROR(__xludf.DUMMYFUNCTION("""COMPUTED_VALUE"""),-1.186295207071175)</f>
        <v>-1.186295207</v>
      </c>
      <c r="T230" s="11">
        <f>IFERROR(__xludf.DUMMYFUNCTION("""COMPUTED_VALUE"""),-0.24782209560171908)</f>
        <v>-0.2478220956</v>
      </c>
      <c r="U230" s="11">
        <f>IFERROR(__xludf.DUMMYFUNCTION("""COMPUTED_VALUE"""),-1.4391661988897044)</f>
        <v>-1.439166199</v>
      </c>
      <c r="V230" s="11">
        <f>IFERROR(__xludf.DUMMYFUNCTION("""COMPUTED_VALUE"""),0.2115152388471211)</f>
        <v>0.2115152388</v>
      </c>
      <c r="W230" s="11">
        <f>IFERROR(__xludf.DUMMYFUNCTION("""COMPUTED_VALUE"""),-1.2485944449972455)</f>
        <v>-1.248594445</v>
      </c>
      <c r="X230" s="11">
        <f>IFERROR(__xludf.DUMMYFUNCTION("""COMPUTED_VALUE"""),-0.9723047469492465)</f>
        <v>-0.9723047469</v>
      </c>
      <c r="Y230" s="11">
        <f>IFERROR(__xludf.DUMMYFUNCTION("""COMPUTED_VALUE"""),-0.7559250663943599)</f>
        <v>-0.7559250664</v>
      </c>
      <c r="Z230" s="11">
        <f>IFERROR(__xludf.DUMMYFUNCTION("""COMPUTED_VALUE"""),0.1346888201994836)</f>
        <v>0.1346888202</v>
      </c>
      <c r="AA230" s="11">
        <f>IFERROR(__xludf.DUMMYFUNCTION("""COMPUTED_VALUE"""),0.13605953127158005)</f>
        <v>0.1360595313</v>
      </c>
      <c r="AB230" t="str">
        <f>IFERROR(__xludf.DUMMYFUNCTION("SUBSTITUTE(REGEXREPLACE(REGEXREPLACE(REGEXREPLACE(REGEXREPLACE(REGEXREPLACE(REGEXREPLACE(F230,"","",),IF(Projections!$T$17="""",""PG"",),),IF(Projections!$U$17="""",""SG"",),),IF(Projections!$V$17="""",""SF"",),),IF(Projections!$W$17="""",""PF"",),),IF(Pr"&amp;"ojections!$X$17="""",""C"",),),""/"","""")"),"PGSG")</f>
        <v>PGSG</v>
      </c>
    </row>
    <row r="231">
      <c r="B231">
        <f>IFERROR(__xludf.DUMMYFUNCTION("""COMPUTED_VALUE"""),226.0)</f>
        <v>226</v>
      </c>
      <c r="D231" t="str">
        <f>IFERROR(__xludf.DUMMYFUNCTION("""COMPUTED_VALUE"""),"Robert Williams III")</f>
        <v>Robert Williams III</v>
      </c>
      <c r="E231">
        <f>IFERROR(__xludf.DUMMYFUNCTION("""COMPUTED_VALUE"""),46.0)</f>
        <v>46</v>
      </c>
      <c r="F231" t="str">
        <f>IFERROR(__xludf.DUMMYFUNCTION("""COMPUTED_VALUE"""),"C")</f>
        <v>C</v>
      </c>
      <c r="G231" s="11">
        <f>IFERROR(__xludf.DUMMYFUNCTION("""COMPUTED_VALUE"""),-3.932188694869815)</f>
        <v>-3.932188695</v>
      </c>
      <c r="H231" s="11">
        <f>IFERROR(__xludf.DUMMYFUNCTION("""COMPUTED_VALUE"""),-3.932188694869815)</f>
        <v>-3.932188695</v>
      </c>
      <c r="I231" s="11">
        <f>IFERROR(__xludf.DUMMYFUNCTION("""COMPUTED_VALUE"""),0.0)</f>
        <v>0</v>
      </c>
      <c r="J231" s="11">
        <f>IFERROR(__xludf.DUMMYFUNCTION("""COMPUTED_VALUE"""),5.3)</f>
        <v>5.3</v>
      </c>
      <c r="K231" s="11">
        <f>IFERROR(__xludf.DUMMYFUNCTION("""COMPUTED_VALUE"""),0.0)</f>
        <v>0</v>
      </c>
      <c r="L231" s="11">
        <f>IFERROR(__xludf.DUMMYFUNCTION("""COMPUTED_VALUE"""),5.5)</f>
        <v>5.5</v>
      </c>
      <c r="M231" s="11">
        <f>IFERROR(__xludf.DUMMYFUNCTION("""COMPUTED_VALUE"""),0.9)</f>
        <v>0.9</v>
      </c>
      <c r="N231" s="11">
        <f>IFERROR(__xludf.DUMMYFUNCTION("""COMPUTED_VALUE"""),0.5)</f>
        <v>0.5</v>
      </c>
      <c r="O231" s="11">
        <f>IFERROR(__xludf.DUMMYFUNCTION("""COMPUTED_VALUE"""),0.9)</f>
        <v>0.9</v>
      </c>
      <c r="P231" s="15">
        <f>IFERROR(__xludf.DUMMYFUNCTION("""COMPUTED_VALUE"""),0.737)</f>
        <v>0.737</v>
      </c>
      <c r="Q231" s="15">
        <f>IFERROR(__xludf.DUMMYFUNCTION("""COMPUTED_VALUE"""),0.639)</f>
        <v>0.639</v>
      </c>
      <c r="R231" s="11">
        <f>IFERROR(__xludf.DUMMYFUNCTION("""COMPUTED_VALUE"""),0.7)</f>
        <v>0.7</v>
      </c>
      <c r="S231" s="11">
        <f>IFERROR(__xludf.DUMMYFUNCTION("""COMPUTED_VALUE"""),-2.197924117014084)</f>
        <v>-2.197924117</v>
      </c>
      <c r="T231" s="11">
        <f>IFERROR(__xludf.DUMMYFUNCTION("""COMPUTED_VALUE"""),-1.7406865810748415)</f>
        <v>-1.740686581</v>
      </c>
      <c r="U231" s="11">
        <f>IFERROR(__xludf.DUMMYFUNCTION("""COMPUTED_VALUE"""),-0.2231486940155685)</f>
        <v>-0.223148694</v>
      </c>
      <c r="V231" s="11">
        <f>IFERROR(__xludf.DUMMYFUNCTION("""COMPUTED_VALUE"""),-1.3831467259275323)</f>
        <v>-1.383146726</v>
      </c>
      <c r="W231" s="11">
        <f>IFERROR(__xludf.DUMMYFUNCTION("""COMPUTED_VALUE"""),-1.5805271231567248)</f>
        <v>-1.580527123</v>
      </c>
      <c r="X231" s="11">
        <f>IFERROR(__xludf.DUMMYFUNCTION("""COMPUTED_VALUE"""),0.27645116741934783)</f>
        <v>0.2764511674</v>
      </c>
      <c r="Y231" s="11">
        <f>IFERROR(__xludf.DUMMYFUNCTION("""COMPUTED_VALUE"""),0.9005437699161677)</f>
        <v>0.9005437699</v>
      </c>
      <c r="Z231" s="11">
        <f>IFERROR(__xludf.DUMMYFUNCTION("""COMPUTED_VALUE"""),-0.4417251066821769)</f>
        <v>-0.4417251067</v>
      </c>
      <c r="AA231" s="11">
        <f>IFERROR(__xludf.DUMMYFUNCTION("""COMPUTED_VALUE"""),0.26005059865151336)</f>
        <v>0.2600505987</v>
      </c>
      <c r="AB231" t="str">
        <f>IFERROR(__xludf.DUMMYFUNCTION("SUBSTITUTE(REGEXREPLACE(REGEXREPLACE(REGEXREPLACE(REGEXREPLACE(REGEXREPLACE(REGEXREPLACE(F231,"","",),IF(Projections!$T$17="""",""PG"",),),IF(Projections!$U$17="""",""SG"",),),IF(Projections!$V$17="""",""SF"",),),IF(Projections!$W$17="""",""PF"",),),IF(Pr"&amp;"ojections!$X$17="""",""C"",),),""/"","""")"),"C")</f>
        <v>C</v>
      </c>
    </row>
    <row r="232">
      <c r="B232">
        <f>IFERROR(__xludf.DUMMYFUNCTION("""COMPUTED_VALUE"""),227.0)</f>
        <v>227</v>
      </c>
      <c r="D232" t="str">
        <f>IFERROR(__xludf.DUMMYFUNCTION("""COMPUTED_VALUE"""),"Taurean Prince")</f>
        <v>Taurean Prince</v>
      </c>
      <c r="E232">
        <f>IFERROR(__xludf.DUMMYFUNCTION("""COMPUTED_VALUE"""),71.0)</f>
        <v>71</v>
      </c>
      <c r="F232" t="str">
        <f>IFERROR(__xludf.DUMMYFUNCTION("""COMPUTED_VALUE"""),"SG,SF")</f>
        <v>SG,SF</v>
      </c>
      <c r="G232" s="11">
        <f>IFERROR(__xludf.DUMMYFUNCTION("""COMPUTED_VALUE"""),-3.986496368392218)</f>
        <v>-3.986496368</v>
      </c>
      <c r="H232" s="11">
        <f>IFERROR(__xludf.DUMMYFUNCTION("""COMPUTED_VALUE"""),-3.986496368392218)</f>
        <v>-3.986496368</v>
      </c>
      <c r="I232" s="11">
        <f>IFERROR(__xludf.DUMMYFUNCTION("""COMPUTED_VALUE"""),0.0)</f>
        <v>0</v>
      </c>
      <c r="J232" s="11">
        <f>IFERROR(__xludf.DUMMYFUNCTION("""COMPUTED_VALUE"""),9.8)</f>
        <v>9.8</v>
      </c>
      <c r="K232" s="11">
        <f>IFERROR(__xludf.DUMMYFUNCTION("""COMPUTED_VALUE"""),1.8)</f>
        <v>1.8</v>
      </c>
      <c r="L232" s="11">
        <f>IFERROR(__xludf.DUMMYFUNCTION("""COMPUTED_VALUE"""),3.0)</f>
        <v>3</v>
      </c>
      <c r="M232" s="11">
        <f>IFERROR(__xludf.DUMMYFUNCTION("""COMPUTED_VALUE"""),1.7)</f>
        <v>1.7</v>
      </c>
      <c r="N232" s="11">
        <f>IFERROR(__xludf.DUMMYFUNCTION("""COMPUTED_VALUE"""),0.7)</f>
        <v>0.7</v>
      </c>
      <c r="O232" s="11">
        <f>IFERROR(__xludf.DUMMYFUNCTION("""COMPUTED_VALUE"""),0.4)</f>
        <v>0.4</v>
      </c>
      <c r="P232" s="15">
        <f>IFERROR(__xludf.DUMMYFUNCTION("""COMPUTED_VALUE"""),0.453)</f>
        <v>0.453</v>
      </c>
      <c r="Q232" s="15">
        <f>IFERROR(__xludf.DUMMYFUNCTION("""COMPUTED_VALUE"""),0.792)</f>
        <v>0.792</v>
      </c>
      <c r="R232" s="11">
        <f>IFERROR(__xludf.DUMMYFUNCTION("""COMPUTED_VALUE"""),1.2)</f>
        <v>1.2</v>
      </c>
      <c r="S232" s="11">
        <f>IFERROR(__xludf.DUMMYFUNCTION("""COMPUTED_VALUE"""),-1.3850080286671036)</f>
        <v>-1.385008029</v>
      </c>
      <c r="T232" s="11">
        <f>IFERROR(__xludf.DUMMYFUNCTION("""COMPUTED_VALUE"""),0.05075080149290546)</f>
        <v>0.05075080149</v>
      </c>
      <c r="U232" s="11">
        <f>IFERROR(__xludf.DUMMYFUNCTION("""COMPUTED_VALUE"""),-1.2038079721398716)</f>
        <v>-1.203807972</v>
      </c>
      <c r="V232" s="11">
        <f>IFERROR(__xludf.DUMMYFUNCTION("""COMPUTED_VALUE"""),-1.0186525625504688)</f>
        <v>-1.018652563</v>
      </c>
      <c r="W232" s="11">
        <f>IFERROR(__xludf.DUMMYFUNCTION("""COMPUTED_VALUE"""),-0.9166617668377661)</f>
        <v>-0.9166617668</v>
      </c>
      <c r="X232" s="11">
        <f>IFERROR(__xludf.DUMMYFUNCTION("""COMPUTED_VALUE"""),-0.6155173428439339)</f>
        <v>-0.6155173428</v>
      </c>
      <c r="Y232" s="11">
        <f>IFERROR(__xludf.DUMMYFUNCTION("""COMPUTED_VALUE"""),-0.406283818862129)</f>
        <v>-0.4062838189</v>
      </c>
      <c r="Z232" s="11">
        <f>IFERROR(__xludf.DUMMYFUNCTION("""COMPUTED_VALUE"""),-0.012383237922533137)</f>
        <v>-0.01238323792</v>
      </c>
      <c r="AA232" s="11">
        <f>IFERROR(__xludf.DUMMYFUNCTION("""COMPUTED_VALUE"""),0.13605953127158005)</f>
        <v>0.1360595313</v>
      </c>
      <c r="AB232" t="str">
        <f>IFERROR(__xludf.DUMMYFUNCTION("SUBSTITUTE(REGEXREPLACE(REGEXREPLACE(REGEXREPLACE(REGEXREPLACE(REGEXREPLACE(REGEXREPLACE(F232,"","",),IF(Projections!$T$17="""",""PG"",),),IF(Projections!$U$17="""",""SG"",),),IF(Projections!$V$17="""",""SF"",),),IF(Projections!$W$17="""",""PF"",),),IF(Pr"&amp;"ojections!$X$17="""",""C"",),),""/"","""")"),"SGSF")</f>
        <v>SGSF</v>
      </c>
    </row>
    <row r="233">
      <c r="B233">
        <f>IFERROR(__xludf.DUMMYFUNCTION("""COMPUTED_VALUE"""),228.0)</f>
        <v>228</v>
      </c>
      <c r="C233">
        <f>IFERROR(__xludf.DUMMYFUNCTION("""COMPUTED_VALUE"""),140.4)</f>
        <v>140.4</v>
      </c>
      <c r="D233" t="str">
        <f>IFERROR(__xludf.DUMMYFUNCTION("""COMPUTED_VALUE"""),"Obi Toppin")</f>
        <v>Obi Toppin</v>
      </c>
      <c r="E233">
        <f>IFERROR(__xludf.DUMMYFUNCTION("""COMPUTED_VALUE"""),66.0)</f>
        <v>66</v>
      </c>
      <c r="F233" t="str">
        <f>IFERROR(__xludf.DUMMYFUNCTION("""COMPUTED_VALUE"""),"PF")</f>
        <v>PF</v>
      </c>
      <c r="G233" s="11">
        <f>IFERROR(__xludf.DUMMYFUNCTION("""COMPUTED_VALUE"""),-4.028797905324855)</f>
        <v>-4.028797905</v>
      </c>
      <c r="H233" s="11">
        <f>IFERROR(__xludf.DUMMYFUNCTION("""COMPUTED_VALUE"""),-4.028797905324855)</f>
        <v>-4.028797905</v>
      </c>
      <c r="I233" s="11">
        <f>IFERROR(__xludf.DUMMYFUNCTION("""COMPUTED_VALUE"""),0.0)</f>
        <v>0</v>
      </c>
      <c r="J233" s="11">
        <f>IFERROR(__xludf.DUMMYFUNCTION("""COMPUTED_VALUE"""),9.7)</f>
        <v>9.7</v>
      </c>
      <c r="K233" s="11">
        <f>IFERROR(__xludf.DUMMYFUNCTION("""COMPUTED_VALUE"""),1.4)</f>
        <v>1.4</v>
      </c>
      <c r="L233" s="11">
        <f>IFERROR(__xludf.DUMMYFUNCTION("""COMPUTED_VALUE"""),3.7)</f>
        <v>3.7</v>
      </c>
      <c r="M233" s="11">
        <f>IFERROR(__xludf.DUMMYFUNCTION("""COMPUTED_VALUE"""),1.4)</f>
        <v>1.4</v>
      </c>
      <c r="N233" s="11">
        <f>IFERROR(__xludf.DUMMYFUNCTION("""COMPUTED_VALUE"""),0.5)</f>
        <v>0.5</v>
      </c>
      <c r="O233" s="11">
        <f>IFERROR(__xludf.DUMMYFUNCTION("""COMPUTED_VALUE"""),0.4)</f>
        <v>0.4</v>
      </c>
      <c r="P233" s="15">
        <f>IFERROR(__xludf.DUMMYFUNCTION("""COMPUTED_VALUE"""),0.52)</f>
        <v>0.52</v>
      </c>
      <c r="Q233" s="15">
        <f>IFERROR(__xludf.DUMMYFUNCTION("""COMPUTED_VALUE"""),0.792)</f>
        <v>0.792</v>
      </c>
      <c r="R233" s="11">
        <f>IFERROR(__xludf.DUMMYFUNCTION("""COMPUTED_VALUE"""),0.8)</f>
        <v>0.8</v>
      </c>
      <c r="S233" s="11">
        <f>IFERROR(__xludf.DUMMYFUNCTION("""COMPUTED_VALUE"""),-1.4030728306303701)</f>
        <v>-1.403072831</v>
      </c>
      <c r="T233" s="11">
        <f>IFERROR(__xludf.DUMMYFUNCTION("""COMPUTED_VALUE"""),-0.34734639463326067)</f>
        <v>-0.3473463946</v>
      </c>
      <c r="U233" s="11">
        <f>IFERROR(__xludf.DUMMYFUNCTION("""COMPUTED_VALUE"""),-0.9292233742650667)</f>
        <v>-0.9292233743</v>
      </c>
      <c r="V233" s="11">
        <f>IFERROR(__xludf.DUMMYFUNCTION("""COMPUTED_VALUE"""),-1.1553378738168676)</f>
        <v>-1.155337874</v>
      </c>
      <c r="W233" s="11">
        <f>IFERROR(__xludf.DUMMYFUNCTION("""COMPUTED_VALUE"""),-1.5805271231567248)</f>
        <v>-1.580527123</v>
      </c>
      <c r="X233" s="11">
        <f>IFERROR(__xludf.DUMMYFUNCTION("""COMPUTED_VALUE"""),-0.6155173428439339)</f>
        <v>-0.6155173428</v>
      </c>
      <c r="Y233" s="11">
        <f>IFERROR(__xludf.DUMMYFUNCTION("""COMPUTED_VALUE"""),0.1977988271181063)</f>
        <v>0.1977988271</v>
      </c>
      <c r="Z233" s="11">
        <f>IFERROR(__xludf.DUMMYFUNCTION("""COMPUTED_VALUE"""),-0.011351301428988709)</f>
        <v>-0.01135130143</v>
      </c>
      <c r="AA233" s="11">
        <f>IFERROR(__xludf.DUMMYFUNCTION("""COMPUTED_VALUE"""),0.23525238517552666)</f>
        <v>0.2352523852</v>
      </c>
      <c r="AB233" t="str">
        <f>IFERROR(__xludf.DUMMYFUNCTION("SUBSTITUTE(REGEXREPLACE(REGEXREPLACE(REGEXREPLACE(REGEXREPLACE(REGEXREPLACE(REGEXREPLACE(F233,"","",),IF(Projections!$T$17="""",""PG"",),),IF(Projections!$U$17="""",""SG"",),),IF(Projections!$V$17="""",""SF"",),),IF(Projections!$W$17="""",""PF"",),),IF(Pr"&amp;"ojections!$X$17="""",""C"",),),""/"","""")"),"PF")</f>
        <v>PF</v>
      </c>
    </row>
    <row r="234">
      <c r="B234">
        <f>IFERROR(__xludf.DUMMYFUNCTION("""COMPUTED_VALUE"""),229.0)</f>
        <v>229</v>
      </c>
      <c r="D234" t="str">
        <f>IFERROR(__xludf.DUMMYFUNCTION("""COMPUTED_VALUE"""),"Julian Strawther")</f>
        <v>Julian Strawther</v>
      </c>
      <c r="E234">
        <f>IFERROR(__xludf.DUMMYFUNCTION("""COMPUTED_VALUE"""),71.0)</f>
        <v>71</v>
      </c>
      <c r="F234" t="str">
        <f>IFERROR(__xludf.DUMMYFUNCTION("""COMPUTED_VALUE"""),"SG")</f>
        <v>SG</v>
      </c>
      <c r="G234" s="11">
        <f>IFERROR(__xludf.DUMMYFUNCTION("""COMPUTED_VALUE"""),-4.074667456520372)</f>
        <v>-4.074667457</v>
      </c>
      <c r="H234" s="11">
        <f>IFERROR(__xludf.DUMMYFUNCTION("""COMPUTED_VALUE"""),-4.074667456520372)</f>
        <v>-4.074667457</v>
      </c>
      <c r="I234" s="11">
        <f>IFERROR(__xludf.DUMMYFUNCTION("""COMPUTED_VALUE"""),0.0)</f>
        <v>0</v>
      </c>
      <c r="J234" s="11">
        <f>IFERROR(__xludf.DUMMYFUNCTION("""COMPUTED_VALUE"""),10.5)</f>
        <v>10.5</v>
      </c>
      <c r="K234" s="11">
        <f>IFERROR(__xludf.DUMMYFUNCTION("""COMPUTED_VALUE"""),1.9)</f>
        <v>1.9</v>
      </c>
      <c r="L234" s="11">
        <f>IFERROR(__xludf.DUMMYFUNCTION("""COMPUTED_VALUE"""),2.8)</f>
        <v>2.8</v>
      </c>
      <c r="M234" s="11">
        <f>IFERROR(__xludf.DUMMYFUNCTION("""COMPUTED_VALUE"""),2.2)</f>
        <v>2.2</v>
      </c>
      <c r="N234" s="11">
        <f>IFERROR(__xludf.DUMMYFUNCTION("""COMPUTED_VALUE"""),0.8)</f>
        <v>0.8</v>
      </c>
      <c r="O234" s="11">
        <f>IFERROR(__xludf.DUMMYFUNCTION("""COMPUTED_VALUE"""),0.3)</f>
        <v>0.3</v>
      </c>
      <c r="P234" s="15">
        <f>IFERROR(__xludf.DUMMYFUNCTION("""COMPUTED_VALUE"""),0.435)</f>
        <v>0.435</v>
      </c>
      <c r="Q234" s="15">
        <f>IFERROR(__xludf.DUMMYFUNCTION("""COMPUTED_VALUE"""),0.729)</f>
        <v>0.729</v>
      </c>
      <c r="R234" s="11">
        <f>IFERROR(__xludf.DUMMYFUNCTION("""COMPUTED_VALUE"""),1.1)</f>
        <v>1.1</v>
      </c>
      <c r="S234" s="11">
        <f>IFERROR(__xludf.DUMMYFUNCTION("""COMPUTED_VALUE"""),-1.25855441492424)</f>
        <v>-1.258554415</v>
      </c>
      <c r="T234" s="11">
        <f>IFERROR(__xludf.DUMMYFUNCTION("""COMPUTED_VALUE"""),0.15027510052444681)</f>
        <v>0.1502751005</v>
      </c>
      <c r="U234" s="11">
        <f>IFERROR(__xludf.DUMMYFUNCTION("""COMPUTED_VALUE"""),-1.282260714389816)</f>
        <v>-1.282260714</v>
      </c>
      <c r="V234" s="11">
        <f>IFERROR(__xludf.DUMMYFUNCTION("""COMPUTED_VALUE"""),-0.7908437104398038)</f>
        <v>-0.7908437104</v>
      </c>
      <c r="W234" s="11">
        <f>IFERROR(__xludf.DUMMYFUNCTION("""COMPUTED_VALUE"""),-0.5847290886782864)</f>
        <v>-0.5847290887</v>
      </c>
      <c r="X234" s="11">
        <f>IFERROR(__xludf.DUMMYFUNCTION("""COMPUTED_VALUE"""),-0.7939110448965904)</f>
        <v>-0.7939110449</v>
      </c>
      <c r="Y234" s="11">
        <f>IFERROR(__xludf.DUMMYFUNCTION("""COMPUTED_VALUE"""),-0.6309618272091775)</f>
        <v>-0.6309618272</v>
      </c>
      <c r="Z234" s="11">
        <f>IFERROR(__xludf.DUMMYFUNCTION("""COMPUTED_VALUE"""),-0.3268002156442877)</f>
        <v>-0.3268002156</v>
      </c>
      <c r="AA234" s="11">
        <f>IFERROR(__xludf.DUMMYFUNCTION("""COMPUTED_VALUE"""),0.16085774474756667)</f>
        <v>0.1608577447</v>
      </c>
      <c r="AB234" t="str">
        <f>IFERROR(__xludf.DUMMYFUNCTION("SUBSTITUTE(REGEXREPLACE(REGEXREPLACE(REGEXREPLACE(REGEXREPLACE(REGEXREPLACE(REGEXREPLACE(F234,"","",),IF(Projections!$T$17="""",""PG"",),),IF(Projections!$U$17="""",""SG"",),),IF(Projections!$V$17="""",""SF"",),),IF(Projections!$W$17="""",""PF"",),),IF(Pr"&amp;"ojections!$X$17="""",""C"",),),""/"","""")"),"SG")</f>
        <v>SG</v>
      </c>
    </row>
    <row r="235">
      <c r="B235">
        <f>IFERROR(__xludf.DUMMYFUNCTION("""COMPUTED_VALUE"""),230.0)</f>
        <v>230</v>
      </c>
      <c r="D235" t="str">
        <f>IFERROR(__xludf.DUMMYFUNCTION("""COMPUTED_VALUE"""),"Paul Reed")</f>
        <v>Paul Reed</v>
      </c>
      <c r="E235">
        <f>IFERROR(__xludf.DUMMYFUNCTION("""COMPUTED_VALUE"""),66.0)</f>
        <v>66</v>
      </c>
      <c r="F235" t="str">
        <f>IFERROR(__xludf.DUMMYFUNCTION("""COMPUTED_VALUE"""),"PF,C")</f>
        <v>PF,C</v>
      </c>
      <c r="G235" s="11">
        <f>IFERROR(__xludf.DUMMYFUNCTION("""COMPUTED_VALUE"""),-4.0882684880122095)</f>
        <v>-4.088268488</v>
      </c>
      <c r="H235" s="11">
        <f>IFERROR(__xludf.DUMMYFUNCTION("""COMPUTED_VALUE"""),-4.0882684880122095)</f>
        <v>-4.088268488</v>
      </c>
      <c r="I235" s="11">
        <f>IFERROR(__xludf.DUMMYFUNCTION("""COMPUTED_VALUE"""),0.0)</f>
        <v>0</v>
      </c>
      <c r="J235" s="11">
        <f>IFERROR(__xludf.DUMMYFUNCTION("""COMPUTED_VALUE"""),5.4)</f>
        <v>5.4</v>
      </c>
      <c r="K235" s="11">
        <f>IFERROR(__xludf.DUMMYFUNCTION("""COMPUTED_VALUE"""),0.1)</f>
        <v>0.1</v>
      </c>
      <c r="L235" s="11">
        <f>IFERROR(__xludf.DUMMYFUNCTION("""COMPUTED_VALUE"""),4.6)</f>
        <v>4.6</v>
      </c>
      <c r="M235" s="11">
        <f>IFERROR(__xludf.DUMMYFUNCTION("""COMPUTED_VALUE"""),0.8)</f>
        <v>0.8</v>
      </c>
      <c r="N235" s="11">
        <f>IFERROR(__xludf.DUMMYFUNCTION("""COMPUTED_VALUE"""),0.7)</f>
        <v>0.7</v>
      </c>
      <c r="O235" s="11">
        <f>IFERROR(__xludf.DUMMYFUNCTION("""COMPUTED_VALUE"""),0.8)</f>
        <v>0.8</v>
      </c>
      <c r="P235" s="15">
        <f>IFERROR(__xludf.DUMMYFUNCTION("""COMPUTED_VALUE"""),0.555)</f>
        <v>0.555</v>
      </c>
      <c r="Q235" s="15">
        <f>IFERROR(__xludf.DUMMYFUNCTION("""COMPUTED_VALUE"""),0.735)</f>
        <v>0.735</v>
      </c>
      <c r="R235" s="11">
        <f>IFERROR(__xludf.DUMMYFUNCTION("""COMPUTED_VALUE"""),0.7)</f>
        <v>0.7</v>
      </c>
      <c r="S235" s="11">
        <f>IFERROR(__xludf.DUMMYFUNCTION("""COMPUTED_VALUE"""),-2.179859315050818)</f>
        <v>-2.179859315</v>
      </c>
      <c r="T235" s="11">
        <f>IFERROR(__xludf.DUMMYFUNCTION("""COMPUTED_VALUE"""),-1.6411622820433)</f>
        <v>-1.641162282</v>
      </c>
      <c r="U235" s="11">
        <f>IFERROR(__xludf.DUMMYFUNCTION("""COMPUTED_VALUE"""),-0.5761860341403178)</f>
        <v>-0.5761860341</v>
      </c>
      <c r="V235" s="11">
        <f>IFERROR(__xludf.DUMMYFUNCTION("""COMPUTED_VALUE"""),-1.428708496349665)</f>
        <v>-1.428708496</v>
      </c>
      <c r="W235" s="11">
        <f>IFERROR(__xludf.DUMMYFUNCTION("""COMPUTED_VALUE"""),-0.9166617668377661)</f>
        <v>-0.9166617668</v>
      </c>
      <c r="X235" s="11">
        <f>IFERROR(__xludf.DUMMYFUNCTION("""COMPUTED_VALUE"""),0.09805746536669153)</f>
        <v>0.09805746537</v>
      </c>
      <c r="Y235" s="11">
        <f>IFERROR(__xludf.DUMMYFUNCTION("""COMPUTED_VALUE"""),0.28608619928786416)</f>
        <v>0.2860861993</v>
      </c>
      <c r="Z235" s="11">
        <f>IFERROR(__xludf.DUMMYFUNCTION("""COMPUTED_VALUE"""),-0.1697441719472302)</f>
        <v>-0.1697441719</v>
      </c>
      <c r="AA235" s="11">
        <f>IFERROR(__xludf.DUMMYFUNCTION("""COMPUTED_VALUE"""),0.26005059865151336)</f>
        <v>0.2600505987</v>
      </c>
      <c r="AB235" t="str">
        <f>IFERROR(__xludf.DUMMYFUNCTION("SUBSTITUTE(REGEXREPLACE(REGEXREPLACE(REGEXREPLACE(REGEXREPLACE(REGEXREPLACE(REGEXREPLACE(F235,"","",),IF(Projections!$T$17="""",""PG"",),),IF(Projections!$U$17="""",""SG"",),),IF(Projections!$V$17="""",""SF"",),),IF(Projections!$W$17="""",""PF"",),),IF(Pr"&amp;"ojections!$X$17="""",""C"",),),""/"","""")"),"PFC")</f>
        <v>PFC</v>
      </c>
    </row>
    <row r="236">
      <c r="B236">
        <f>IFERROR(__xludf.DUMMYFUNCTION("""COMPUTED_VALUE"""),231.0)</f>
        <v>231</v>
      </c>
      <c r="C236">
        <f>IFERROR(__xludf.DUMMYFUNCTION("""COMPUTED_VALUE"""),143.8)</f>
        <v>143.8</v>
      </c>
      <c r="D236" t="str">
        <f>IFERROR(__xludf.DUMMYFUNCTION("""COMPUTED_VALUE"""),"Malik Beasley")</f>
        <v>Malik Beasley</v>
      </c>
      <c r="E236">
        <f>IFERROR(__xludf.DUMMYFUNCTION("""COMPUTED_VALUE"""),66.0)</f>
        <v>66</v>
      </c>
      <c r="F236" t="str">
        <f>IFERROR(__xludf.DUMMYFUNCTION("""COMPUTED_VALUE"""),"SG")</f>
        <v>SG</v>
      </c>
      <c r="G236" s="11">
        <f>IFERROR(__xludf.DUMMYFUNCTION("""COMPUTED_VALUE"""),-4.108714450200587)</f>
        <v>-4.10871445</v>
      </c>
      <c r="H236" s="11">
        <f>IFERROR(__xludf.DUMMYFUNCTION("""COMPUTED_VALUE"""),-4.108714450200587)</f>
        <v>-4.10871445</v>
      </c>
      <c r="I236" s="11">
        <f>IFERROR(__xludf.DUMMYFUNCTION("""COMPUTED_VALUE"""),0.0)</f>
        <v>0</v>
      </c>
      <c r="J236" s="11">
        <f>IFERROR(__xludf.DUMMYFUNCTION("""COMPUTED_VALUE"""),11.1)</f>
        <v>11.1</v>
      </c>
      <c r="K236" s="11">
        <f>IFERROR(__xludf.DUMMYFUNCTION("""COMPUTED_VALUE"""),2.6)</f>
        <v>2.6</v>
      </c>
      <c r="L236" s="11">
        <f>IFERROR(__xludf.DUMMYFUNCTION("""COMPUTED_VALUE"""),3.3)</f>
        <v>3.3</v>
      </c>
      <c r="M236" s="11">
        <f>IFERROR(__xludf.DUMMYFUNCTION("""COMPUTED_VALUE"""),1.3)</f>
        <v>1.3</v>
      </c>
      <c r="N236" s="11">
        <f>IFERROR(__xludf.DUMMYFUNCTION("""COMPUTED_VALUE"""),0.7)</f>
        <v>0.7</v>
      </c>
      <c r="O236" s="11">
        <f>IFERROR(__xludf.DUMMYFUNCTION("""COMPUTED_VALUE"""),0.1)</f>
        <v>0.1</v>
      </c>
      <c r="P236" s="15">
        <f>IFERROR(__xludf.DUMMYFUNCTION("""COMPUTED_VALUE"""),0.425)</f>
        <v>0.425</v>
      </c>
      <c r="Q236" s="15">
        <f>IFERROR(__xludf.DUMMYFUNCTION("""COMPUTED_VALUE"""),0.754)</f>
        <v>0.754</v>
      </c>
      <c r="R236" s="11">
        <f>IFERROR(__xludf.DUMMYFUNCTION("""COMPUTED_VALUE"""),0.8)</f>
        <v>0.8</v>
      </c>
      <c r="S236" s="11">
        <f>IFERROR(__xludf.DUMMYFUNCTION("""COMPUTED_VALUE"""),-1.1501656031446428)</f>
        <v>-1.150165603</v>
      </c>
      <c r="T236" s="11">
        <f>IFERROR(__xludf.DUMMYFUNCTION("""COMPUTED_VALUE"""),0.8469451937452375)</f>
        <v>0.8469451937</v>
      </c>
      <c r="U236" s="11">
        <f>IFERROR(__xludf.DUMMYFUNCTION("""COMPUTED_VALUE"""),-1.0861288587649554)</f>
        <v>-1.086128859</v>
      </c>
      <c r="V236" s="11">
        <f>IFERROR(__xludf.DUMMYFUNCTION("""COMPUTED_VALUE"""),-1.2008996442390003)</f>
        <v>-1.200899644</v>
      </c>
      <c r="W236" s="11">
        <f>IFERROR(__xludf.DUMMYFUNCTION("""COMPUTED_VALUE"""),-0.9166617668377661)</f>
        <v>-0.9166617668</v>
      </c>
      <c r="X236" s="11">
        <f>IFERROR(__xludf.DUMMYFUNCTION("""COMPUTED_VALUE"""),-1.150698449001903)</f>
        <v>-1.150698449</v>
      </c>
      <c r="Y236" s="11">
        <f>IFERROR(__xludf.DUMMYFUNCTION("""COMPUTED_VALUE"""),-0.8003213924113808)</f>
        <v>-0.8003213924</v>
      </c>
      <c r="Z236" s="11">
        <f>IFERROR(__xludf.DUMMYFUNCTION("""COMPUTED_VALUE"""),-0.08693595896070395)</f>
        <v>-0.08693595896</v>
      </c>
      <c r="AA236" s="11">
        <f>IFERROR(__xludf.DUMMYFUNCTION("""COMPUTED_VALUE"""),0.23525238517552666)</f>
        <v>0.2352523852</v>
      </c>
      <c r="AB236" t="str">
        <f>IFERROR(__xludf.DUMMYFUNCTION("SUBSTITUTE(REGEXREPLACE(REGEXREPLACE(REGEXREPLACE(REGEXREPLACE(REGEXREPLACE(REGEXREPLACE(F236,"","",),IF(Projections!$T$17="""",""PG"",),),IF(Projections!$U$17="""",""SG"",),),IF(Projections!$V$17="""",""SF"",),),IF(Projections!$W$17="""",""PF"",),),IF(Pr"&amp;"ojections!$X$17="""",""C"",),),""/"","""")"),"SG")</f>
        <v>SG</v>
      </c>
    </row>
    <row r="237">
      <c r="B237">
        <f>IFERROR(__xludf.DUMMYFUNCTION("""COMPUTED_VALUE"""),232.0)</f>
        <v>232</v>
      </c>
      <c r="D237" t="str">
        <f>IFERROR(__xludf.DUMMYFUNCTION("""COMPUTED_VALUE"""),"Jose Alvarado")</f>
        <v>Jose Alvarado</v>
      </c>
      <c r="E237">
        <f>IFERROR(__xludf.DUMMYFUNCTION("""COMPUTED_VALUE"""),38.0)</f>
        <v>38</v>
      </c>
      <c r="F237" t="str">
        <f>IFERROR(__xludf.DUMMYFUNCTION("""COMPUTED_VALUE"""),"PG")</f>
        <v>PG</v>
      </c>
      <c r="G237" s="11">
        <f>IFERROR(__xludf.DUMMYFUNCTION("""COMPUTED_VALUE"""),-4.174659897110792)</f>
        <v>-4.174659897</v>
      </c>
      <c r="H237" s="11">
        <f>IFERROR(__xludf.DUMMYFUNCTION("""COMPUTED_VALUE"""),-4.174659897110792)</f>
        <v>-4.174659897</v>
      </c>
      <c r="I237" s="11">
        <f>IFERROR(__xludf.DUMMYFUNCTION("""COMPUTED_VALUE"""),0.0)</f>
        <v>0</v>
      </c>
      <c r="J237" s="11">
        <f>IFERROR(__xludf.DUMMYFUNCTION("""COMPUTED_VALUE"""),7.4)</f>
        <v>7.4</v>
      </c>
      <c r="K237" s="11">
        <f>IFERROR(__xludf.DUMMYFUNCTION("""COMPUTED_VALUE"""),1.3)</f>
        <v>1.3</v>
      </c>
      <c r="L237" s="11">
        <f>IFERROR(__xludf.DUMMYFUNCTION("""COMPUTED_VALUE"""),2.1)</f>
        <v>2.1</v>
      </c>
      <c r="M237" s="11">
        <f>IFERROR(__xludf.DUMMYFUNCTION("""COMPUTED_VALUE"""),2.4)</f>
        <v>2.4</v>
      </c>
      <c r="N237" s="11">
        <f>IFERROR(__xludf.DUMMYFUNCTION("""COMPUTED_VALUE"""),1.0)</f>
        <v>1</v>
      </c>
      <c r="O237" s="11">
        <f>IFERROR(__xludf.DUMMYFUNCTION("""COMPUTED_VALUE"""),0.2)</f>
        <v>0.2</v>
      </c>
      <c r="P237" s="15">
        <f>IFERROR(__xludf.DUMMYFUNCTION("""COMPUTED_VALUE"""),0.411)</f>
        <v>0.411</v>
      </c>
      <c r="Q237" s="15">
        <f>IFERROR(__xludf.DUMMYFUNCTION("""COMPUTED_VALUE"""),0.757)</f>
        <v>0.757</v>
      </c>
      <c r="R237" s="11">
        <f>IFERROR(__xludf.DUMMYFUNCTION("""COMPUTED_VALUE"""),0.9)</f>
        <v>0.9</v>
      </c>
      <c r="S237" s="11">
        <f>IFERROR(__xludf.DUMMYFUNCTION("""COMPUTED_VALUE"""),-1.8185632757854933)</f>
        <v>-1.818563276</v>
      </c>
      <c r="T237" s="11">
        <f>IFERROR(__xludf.DUMMYFUNCTION("""COMPUTED_VALUE"""),-0.44687069366480203)</f>
        <v>-0.4468706937</v>
      </c>
      <c r="U237" s="11">
        <f>IFERROR(__xludf.DUMMYFUNCTION("""COMPUTED_VALUE"""),-1.5568453122646206)</f>
        <v>-1.556845312</v>
      </c>
      <c r="V237" s="11">
        <f>IFERROR(__xludf.DUMMYFUNCTION("""COMPUTED_VALUE"""),-0.6997201695955381)</f>
        <v>-0.6997201696</v>
      </c>
      <c r="W237" s="11">
        <f>IFERROR(__xludf.DUMMYFUNCTION("""COMPUTED_VALUE"""),0.07913626764067216)</f>
        <v>0.07913626764</v>
      </c>
      <c r="X237" s="11">
        <f>IFERROR(__xludf.DUMMYFUNCTION("""COMPUTED_VALUE"""),-0.9723047469492465)</f>
        <v>-0.9723047469</v>
      </c>
      <c r="Y237" s="11">
        <f>IFERROR(__xludf.DUMMYFUNCTION("""COMPUTED_VALUE"""),-0.654240404305375)</f>
        <v>-0.6542404043</v>
      </c>
      <c r="Z237" s="11">
        <f>IFERROR(__xludf.DUMMYFUNCTION("""COMPUTED_VALUE"""),-0.13426900967142275)</f>
        <v>-0.1342690097</v>
      </c>
      <c r="AA237" s="11">
        <f>IFERROR(__xludf.DUMMYFUNCTION("""COMPUTED_VALUE"""),0.21045417169954)</f>
        <v>0.2104541717</v>
      </c>
      <c r="AB237" t="str">
        <f>IFERROR(__xludf.DUMMYFUNCTION("SUBSTITUTE(REGEXREPLACE(REGEXREPLACE(REGEXREPLACE(REGEXREPLACE(REGEXREPLACE(REGEXREPLACE(F237,"","",),IF(Projections!$T$17="""",""PG"",),),IF(Projections!$U$17="""",""SG"",),),IF(Projections!$V$17="""",""SF"",),),IF(Projections!$W$17="""",""PF"",),),IF(Pr"&amp;"ojections!$X$17="""",""C"",),),""/"","""")"),"PG")</f>
        <v>PG</v>
      </c>
    </row>
    <row r="238">
      <c r="B238">
        <f>IFERROR(__xludf.DUMMYFUNCTION("""COMPUTED_VALUE"""),233.0)</f>
        <v>233</v>
      </c>
      <c r="D238" t="str">
        <f>IFERROR(__xludf.DUMMYFUNCTION("""COMPUTED_VALUE"""),"Cody Martin")</f>
        <v>Cody Martin</v>
      </c>
      <c r="E238">
        <f>IFERROR(__xludf.DUMMYFUNCTION("""COMPUTED_VALUE"""),61.0)</f>
        <v>61</v>
      </c>
      <c r="F238" t="str">
        <f>IFERROR(__xludf.DUMMYFUNCTION("""COMPUTED_VALUE"""),"SG,SF")</f>
        <v>SG,SF</v>
      </c>
      <c r="G238" s="11">
        <f>IFERROR(__xludf.DUMMYFUNCTION("""COMPUTED_VALUE"""),-4.176985794975012)</f>
        <v>-4.176985795</v>
      </c>
      <c r="H238" s="11">
        <f>IFERROR(__xludf.DUMMYFUNCTION("""COMPUTED_VALUE"""),-4.176985794975012)</f>
        <v>-4.176985795</v>
      </c>
      <c r="I238" s="11">
        <f>IFERROR(__xludf.DUMMYFUNCTION("""COMPUTED_VALUE"""),0.0)</f>
        <v>0</v>
      </c>
      <c r="J238" s="11">
        <f>IFERROR(__xludf.DUMMYFUNCTION("""COMPUTED_VALUE"""),6.6)</f>
        <v>6.6</v>
      </c>
      <c r="K238" s="11">
        <f>IFERROR(__xludf.DUMMYFUNCTION("""COMPUTED_VALUE"""),0.8)</f>
        <v>0.8</v>
      </c>
      <c r="L238" s="11">
        <f>IFERROR(__xludf.DUMMYFUNCTION("""COMPUTED_VALUE"""),3.6)</f>
        <v>3.6</v>
      </c>
      <c r="M238" s="11">
        <f>IFERROR(__xludf.DUMMYFUNCTION("""COMPUTED_VALUE"""),3.1)</f>
        <v>3.1</v>
      </c>
      <c r="N238" s="11">
        <f>IFERROR(__xludf.DUMMYFUNCTION("""COMPUTED_VALUE"""),1.0)</f>
        <v>1</v>
      </c>
      <c r="O238" s="11">
        <f>IFERROR(__xludf.DUMMYFUNCTION("""COMPUTED_VALUE"""),0.5)</f>
        <v>0.5</v>
      </c>
      <c r="P238" s="15">
        <f>IFERROR(__xludf.DUMMYFUNCTION("""COMPUTED_VALUE"""),0.383)</f>
        <v>0.383</v>
      </c>
      <c r="Q238" s="15">
        <f>IFERROR(__xludf.DUMMYFUNCTION("""COMPUTED_VALUE"""),0.598)</f>
        <v>0.598</v>
      </c>
      <c r="R238" s="11">
        <f>IFERROR(__xludf.DUMMYFUNCTION("""COMPUTED_VALUE"""),1.2)</f>
        <v>1.2</v>
      </c>
      <c r="S238" s="11">
        <f>IFERROR(__xludf.DUMMYFUNCTION("""COMPUTED_VALUE"""),-1.9630816914916234)</f>
        <v>-1.963081691</v>
      </c>
      <c r="T238" s="11">
        <f>IFERROR(__xludf.DUMMYFUNCTION("""COMPUTED_VALUE"""),-0.9444921888225095)</f>
        <v>-0.9444921888</v>
      </c>
      <c r="U238" s="11">
        <f>IFERROR(__xludf.DUMMYFUNCTION("""COMPUTED_VALUE"""),-0.9684497453900388)</f>
        <v>-0.9684497454</v>
      </c>
      <c r="V238" s="11">
        <f>IFERROR(__xludf.DUMMYFUNCTION("""COMPUTED_VALUE"""),-0.38078777664060737)</f>
        <v>-0.3807877766</v>
      </c>
      <c r="W238" s="11">
        <f>IFERROR(__xludf.DUMMYFUNCTION("""COMPUTED_VALUE"""),0.07913626764067216)</f>
        <v>0.07913626764</v>
      </c>
      <c r="X238" s="11">
        <f>IFERROR(__xludf.DUMMYFUNCTION("""COMPUTED_VALUE"""),-0.4371236407912776)</f>
        <v>-0.4371236408</v>
      </c>
      <c r="Y238" s="11">
        <f>IFERROR(__xludf.DUMMYFUNCTION("""COMPUTED_VALUE"""),-0.8942382497664783)</f>
        <v>-0.8942382498</v>
      </c>
      <c r="Z238" s="11">
        <f>IFERROR(__xludf.DUMMYFUNCTION("""COMPUTED_VALUE"""),-0.7670899924763541)</f>
        <v>-0.7670899925</v>
      </c>
      <c r="AA238" s="11">
        <f>IFERROR(__xludf.DUMMYFUNCTION("""COMPUTED_VALUE"""),0.13605953127158005)</f>
        <v>0.1360595313</v>
      </c>
      <c r="AB238" t="str">
        <f>IFERROR(__xludf.DUMMYFUNCTION("SUBSTITUTE(REGEXREPLACE(REGEXREPLACE(REGEXREPLACE(REGEXREPLACE(REGEXREPLACE(REGEXREPLACE(F238,"","",),IF(Projections!$T$17="""",""PG"",),),IF(Projections!$U$17="""",""SG"",),),IF(Projections!$V$17="""",""SF"",),),IF(Projections!$W$17="""",""PF"",),),IF(Pr"&amp;"ojections!$X$17="""",""C"",),),""/"","""")"),"SGSF")</f>
        <v>SGSF</v>
      </c>
    </row>
    <row r="239">
      <c r="B239">
        <f>IFERROR(__xludf.DUMMYFUNCTION("""COMPUTED_VALUE"""),234.0)</f>
        <v>234</v>
      </c>
      <c r="C239">
        <f>IFERROR(__xludf.DUMMYFUNCTION("""COMPUTED_VALUE"""),142.2)</f>
        <v>142.2</v>
      </c>
      <c r="D239" t="str">
        <f>IFERROR(__xludf.DUMMYFUNCTION("""COMPUTED_VALUE"""),"Harrison Barnes")</f>
        <v>Harrison Barnes</v>
      </c>
      <c r="E239">
        <f>IFERROR(__xludf.DUMMYFUNCTION("""COMPUTED_VALUE"""),68.0)</f>
        <v>68</v>
      </c>
      <c r="F239" t="str">
        <f>IFERROR(__xludf.DUMMYFUNCTION("""COMPUTED_VALUE"""),"SF,PF")</f>
        <v>SF,PF</v>
      </c>
      <c r="G239" s="11">
        <f>IFERROR(__xludf.DUMMYFUNCTION("""COMPUTED_VALUE"""),-4.209773347035702)</f>
        <v>-4.209773347</v>
      </c>
      <c r="H239" s="11">
        <f>IFERROR(__xludf.DUMMYFUNCTION("""COMPUTED_VALUE"""),-4.209773347035702)</f>
        <v>-4.209773347</v>
      </c>
      <c r="I239" s="11">
        <f>IFERROR(__xludf.DUMMYFUNCTION("""COMPUTED_VALUE"""),0.0)</f>
        <v>0</v>
      </c>
      <c r="J239" s="11">
        <f>IFERROR(__xludf.DUMMYFUNCTION("""COMPUTED_VALUE"""),12.2)</f>
        <v>12.2</v>
      </c>
      <c r="K239" s="11">
        <f>IFERROR(__xludf.DUMMYFUNCTION("""COMPUTED_VALUE"""),1.5)</f>
        <v>1.5</v>
      </c>
      <c r="L239" s="11">
        <f>IFERROR(__xludf.DUMMYFUNCTION("""COMPUTED_VALUE"""),3.4)</f>
        <v>3.4</v>
      </c>
      <c r="M239" s="11">
        <f>IFERROR(__xludf.DUMMYFUNCTION("""COMPUTED_VALUE"""),1.2)</f>
        <v>1.2</v>
      </c>
      <c r="N239" s="11">
        <f>IFERROR(__xludf.DUMMYFUNCTION("""COMPUTED_VALUE"""),0.6)</f>
        <v>0.6</v>
      </c>
      <c r="O239" s="11">
        <f>IFERROR(__xludf.DUMMYFUNCTION("""COMPUTED_VALUE"""),0.1)</f>
        <v>0.1</v>
      </c>
      <c r="P239" s="15">
        <f>IFERROR(__xludf.DUMMYFUNCTION("""COMPUTED_VALUE"""),0.473)</f>
        <v>0.473</v>
      </c>
      <c r="Q239" s="15">
        <f>IFERROR(__xludf.DUMMYFUNCTION("""COMPUTED_VALUE"""),0.832)</f>
        <v>0.832</v>
      </c>
      <c r="R239" s="11">
        <f>IFERROR(__xludf.DUMMYFUNCTION("""COMPUTED_VALUE"""),0.8)</f>
        <v>0.8</v>
      </c>
      <c r="S239" s="11">
        <f>IFERROR(__xludf.DUMMYFUNCTION("""COMPUTED_VALUE"""),-0.9514527815487142)</f>
        <v>-0.9514527815</v>
      </c>
      <c r="T239" s="11">
        <f>IFERROR(__xludf.DUMMYFUNCTION("""COMPUTED_VALUE"""),-0.24782209560171908)</f>
        <v>-0.2478220956</v>
      </c>
      <c r="U239" s="11">
        <f>IFERROR(__xludf.DUMMYFUNCTION("""COMPUTED_VALUE"""),-1.0469024876399833)</f>
        <v>-1.046902488</v>
      </c>
      <c r="V239" s="11">
        <f>IFERROR(__xludf.DUMMYFUNCTION("""COMPUTED_VALUE"""),-1.2464614146611335)</f>
        <v>-1.246461415</v>
      </c>
      <c r="W239" s="11">
        <f>IFERROR(__xludf.DUMMYFUNCTION("""COMPUTED_VALUE"""),-1.2485944449972455)</f>
        <v>-1.248594445</v>
      </c>
      <c r="X239" s="11">
        <f>IFERROR(__xludf.DUMMYFUNCTION("""COMPUTED_VALUE"""),-1.150698449001903)</f>
        <v>-1.150698449</v>
      </c>
      <c r="Y239" s="11">
        <f>IFERROR(__xludf.DUMMYFUNCTION("""COMPUTED_VALUE"""),-0.2351018310465)</f>
        <v>-0.235101831</v>
      </c>
      <c r="Z239" s="11">
        <f>IFERROR(__xludf.DUMMYFUNCTION("""COMPUTED_VALUE"""),0.4334133272887227)</f>
        <v>0.4334133273</v>
      </c>
      <c r="AA239" s="11">
        <f>IFERROR(__xludf.DUMMYFUNCTION("""COMPUTED_VALUE"""),0.23525238517552666)</f>
        <v>0.2352523852</v>
      </c>
      <c r="AB239" t="str">
        <f>IFERROR(__xludf.DUMMYFUNCTION("SUBSTITUTE(REGEXREPLACE(REGEXREPLACE(REGEXREPLACE(REGEXREPLACE(REGEXREPLACE(REGEXREPLACE(F239,"","",),IF(Projections!$T$17="""",""PG"",),),IF(Projections!$U$17="""",""SG"",),),IF(Projections!$V$17="""",""SF"",),),IF(Projections!$W$17="""",""PF"",),),IF(Pr"&amp;"ojections!$X$17="""",""C"",),),""/"","""")"),"SFPF")</f>
        <v>SFPF</v>
      </c>
    </row>
    <row r="240">
      <c r="B240">
        <f>IFERROR(__xludf.DUMMYFUNCTION("""COMPUTED_VALUE"""),235.0)</f>
        <v>235</v>
      </c>
      <c r="C240">
        <f>IFERROR(__xludf.DUMMYFUNCTION("""COMPUTED_VALUE"""),143.5)</f>
        <v>143.5</v>
      </c>
      <c r="D240" t="str">
        <f>IFERROR(__xludf.DUMMYFUNCTION("""COMPUTED_VALUE"""),"Gradey Dick")</f>
        <v>Gradey Dick</v>
      </c>
      <c r="E240">
        <f>IFERROR(__xludf.DUMMYFUNCTION("""COMPUTED_VALUE"""),66.0)</f>
        <v>66</v>
      </c>
      <c r="F240" t="str">
        <f>IFERROR(__xludf.DUMMYFUNCTION("""COMPUTED_VALUE"""),"SG,SF")</f>
        <v>SG,SF</v>
      </c>
      <c r="G240" s="11">
        <f>IFERROR(__xludf.DUMMYFUNCTION("""COMPUTED_VALUE"""),-4.214928736124455)</f>
        <v>-4.214928736</v>
      </c>
      <c r="H240" s="11">
        <f>IFERROR(__xludf.DUMMYFUNCTION("""COMPUTED_VALUE"""),-4.214928736124455)</f>
        <v>-4.214928736</v>
      </c>
      <c r="I240" s="11">
        <f>IFERROR(__xludf.DUMMYFUNCTION("""COMPUTED_VALUE"""),0.0)</f>
        <v>0</v>
      </c>
      <c r="J240" s="11">
        <f>IFERROR(__xludf.DUMMYFUNCTION("""COMPUTED_VALUE"""),11.4)</f>
        <v>11.4</v>
      </c>
      <c r="K240" s="11">
        <f>IFERROR(__xludf.DUMMYFUNCTION("""COMPUTED_VALUE"""),2.0)</f>
        <v>2</v>
      </c>
      <c r="L240" s="11">
        <f>IFERROR(__xludf.DUMMYFUNCTION("""COMPUTED_VALUE"""),2.9)</f>
        <v>2.9</v>
      </c>
      <c r="M240" s="11">
        <f>IFERROR(__xludf.DUMMYFUNCTION("""COMPUTED_VALUE"""),1.5)</f>
        <v>1.5</v>
      </c>
      <c r="N240" s="11">
        <f>IFERROR(__xludf.DUMMYFUNCTION("""COMPUTED_VALUE"""),0.8)</f>
        <v>0.8</v>
      </c>
      <c r="O240" s="11">
        <f>IFERROR(__xludf.DUMMYFUNCTION("""COMPUTED_VALUE"""),0.0)</f>
        <v>0</v>
      </c>
      <c r="P240" s="15">
        <f>IFERROR(__xludf.DUMMYFUNCTION("""COMPUTED_VALUE"""),0.424)</f>
        <v>0.424</v>
      </c>
      <c r="Q240" s="15">
        <f>IFERROR(__xludf.DUMMYFUNCTION("""COMPUTED_VALUE"""),0.86)</f>
        <v>0.86</v>
      </c>
      <c r="R240" s="11">
        <f>IFERROR(__xludf.DUMMYFUNCTION("""COMPUTED_VALUE"""),1.1)</f>
        <v>1.1</v>
      </c>
      <c r="S240" s="11">
        <f>IFERROR(__xludf.DUMMYFUNCTION("""COMPUTED_VALUE"""),-1.0959711972548438)</f>
        <v>-1.095971197</v>
      </c>
      <c r="T240" s="11">
        <f>IFERROR(__xludf.DUMMYFUNCTION("""COMPUTED_VALUE"""),0.2497993995559884)</f>
        <v>0.2497993996</v>
      </c>
      <c r="U240" s="11">
        <f>IFERROR(__xludf.DUMMYFUNCTION("""COMPUTED_VALUE"""),-1.2430343432648439)</f>
        <v>-1.243034343</v>
      </c>
      <c r="V240" s="11">
        <f>IFERROR(__xludf.DUMMYFUNCTION("""COMPUTED_VALUE"""),-1.1097761033947346)</f>
        <v>-1.109776103</v>
      </c>
      <c r="W240" s="11">
        <f>IFERROR(__xludf.DUMMYFUNCTION("""COMPUTED_VALUE"""),-0.5847290886782864)</f>
        <v>-0.5847290887</v>
      </c>
      <c r="X240" s="11">
        <f>IFERROR(__xludf.DUMMYFUNCTION("""COMPUTED_VALUE"""),-1.3290921510545592)</f>
        <v>-1.329092151</v>
      </c>
      <c r="Y240" s="11">
        <f>IFERROR(__xludf.DUMMYFUNCTION("""COMPUTED_VALUE"""),-0.8456219442992033)</f>
        <v>-0.8456219443</v>
      </c>
      <c r="Z240" s="11">
        <f>IFERROR(__xludf.DUMMYFUNCTION("""COMPUTED_VALUE"""),0.25354679646390194)</f>
        <v>0.2535467965</v>
      </c>
      <c r="AA240" s="11">
        <f>IFERROR(__xludf.DUMMYFUNCTION("""COMPUTED_VALUE"""),0.16085774474756667)</f>
        <v>0.1608577447</v>
      </c>
      <c r="AB240" t="str">
        <f>IFERROR(__xludf.DUMMYFUNCTION("SUBSTITUTE(REGEXREPLACE(REGEXREPLACE(REGEXREPLACE(REGEXREPLACE(REGEXREPLACE(REGEXREPLACE(F240,"","",),IF(Projections!$T$17="""",""PG"",),),IF(Projections!$U$17="""",""SG"",),),IF(Projections!$V$17="""",""SF"",),),IF(Projections!$W$17="""",""PF"",),),IF(Pr"&amp;"ojections!$X$17="""",""C"",),),""/"","""")"),"SGSF")</f>
        <v>SGSF</v>
      </c>
    </row>
    <row r="241">
      <c r="B241">
        <f>IFERROR(__xludf.DUMMYFUNCTION("""COMPUTED_VALUE"""),236.0)</f>
        <v>236</v>
      </c>
      <c r="D241" t="str">
        <f>IFERROR(__xludf.DUMMYFUNCTION("""COMPUTED_VALUE"""),"Christian Wood")</f>
        <v>Christian Wood</v>
      </c>
      <c r="E241">
        <f>IFERROR(__xludf.DUMMYFUNCTION("""COMPUTED_VALUE"""),71.0)</f>
        <v>71</v>
      </c>
      <c r="F241" t="str">
        <f>IFERROR(__xludf.DUMMYFUNCTION("""COMPUTED_VALUE"""),"PF,C")</f>
        <v>PF,C</v>
      </c>
      <c r="G241" s="11">
        <f>IFERROR(__xludf.DUMMYFUNCTION("""COMPUTED_VALUE"""),-4.217365179833059)</f>
        <v>-4.21736518</v>
      </c>
      <c r="H241" s="11">
        <f>IFERROR(__xludf.DUMMYFUNCTION("""COMPUTED_VALUE"""),-4.217365179833059)</f>
        <v>-4.21736518</v>
      </c>
      <c r="I241" s="11">
        <f>IFERROR(__xludf.DUMMYFUNCTION("""COMPUTED_VALUE"""),0.0)</f>
        <v>0</v>
      </c>
      <c r="J241" s="11">
        <f>IFERROR(__xludf.DUMMYFUNCTION("""COMPUTED_VALUE"""),9.7)</f>
        <v>9.7</v>
      </c>
      <c r="K241" s="11">
        <f>IFERROR(__xludf.DUMMYFUNCTION("""COMPUTED_VALUE"""),0.9)</f>
        <v>0.9</v>
      </c>
      <c r="L241" s="11">
        <f>IFERROR(__xludf.DUMMYFUNCTION("""COMPUTED_VALUE"""),5.0)</f>
        <v>5</v>
      </c>
      <c r="M241" s="11">
        <f>IFERROR(__xludf.DUMMYFUNCTION("""COMPUTED_VALUE"""),1.1)</f>
        <v>1.1</v>
      </c>
      <c r="N241" s="11">
        <f>IFERROR(__xludf.DUMMYFUNCTION("""COMPUTED_VALUE"""),0.3)</f>
        <v>0.3</v>
      </c>
      <c r="O241" s="11">
        <f>IFERROR(__xludf.DUMMYFUNCTION("""COMPUTED_VALUE"""),0.7)</f>
        <v>0.7</v>
      </c>
      <c r="P241" s="15">
        <f>IFERROR(__xludf.DUMMYFUNCTION("""COMPUTED_VALUE"""),0.502)</f>
        <v>0.502</v>
      </c>
      <c r="Q241" s="15">
        <f>IFERROR(__xludf.DUMMYFUNCTION("""COMPUTED_VALUE"""),0.752)</f>
        <v>0.752</v>
      </c>
      <c r="R241" s="11">
        <f>IFERROR(__xludf.DUMMYFUNCTION("""COMPUTED_VALUE"""),1.1)</f>
        <v>1.1</v>
      </c>
      <c r="S241" s="11">
        <f>IFERROR(__xludf.DUMMYFUNCTION("""COMPUTED_VALUE"""),-1.4030728306303701)</f>
        <v>-1.403072831</v>
      </c>
      <c r="T241" s="11">
        <f>IFERROR(__xludf.DUMMYFUNCTION("""COMPUTED_VALUE"""),-0.844967889790968)</f>
        <v>-0.8449678898</v>
      </c>
      <c r="U241" s="11">
        <f>IFERROR(__xludf.DUMMYFUNCTION("""COMPUTED_VALUE"""),-0.41928054964042916)</f>
        <v>-0.4192805496</v>
      </c>
      <c r="V241" s="11">
        <f>IFERROR(__xludf.DUMMYFUNCTION("""COMPUTED_VALUE"""),-1.2920231850832664)</f>
        <v>-1.292023185</v>
      </c>
      <c r="W241" s="11">
        <f>IFERROR(__xludf.DUMMYFUNCTION("""COMPUTED_VALUE"""),-2.2443924794756835)</f>
        <v>-2.244392479</v>
      </c>
      <c r="X241" s="11">
        <f>IFERROR(__xludf.DUMMYFUNCTION("""COMPUTED_VALUE"""),-0.08033623668596498)</f>
        <v>-0.08033623669</v>
      </c>
      <c r="Y241" s="11">
        <f>IFERROR(__xludf.DUMMYFUNCTION("""COMPUTED_VALUE"""),0.04139802169178017)</f>
        <v>0.04139802169</v>
      </c>
      <c r="Z241" s="11">
        <f>IFERROR(__xludf.DUMMYFUNCTION("""COMPUTED_VALUE"""),-0.3799402544414063)</f>
        <v>-0.3799402544</v>
      </c>
      <c r="AA241" s="11">
        <f>IFERROR(__xludf.DUMMYFUNCTION("""COMPUTED_VALUE"""),0.16085774474756667)</f>
        <v>0.1608577447</v>
      </c>
      <c r="AB241" t="str">
        <f>IFERROR(__xludf.DUMMYFUNCTION("SUBSTITUTE(REGEXREPLACE(REGEXREPLACE(REGEXREPLACE(REGEXREPLACE(REGEXREPLACE(REGEXREPLACE(F241,"","",),IF(Projections!$T$17="""",""PG"",),),IF(Projections!$U$17="""",""SG"",),),IF(Projections!$V$17="""",""SF"",),),IF(Projections!$W$17="""",""PF"",),),IF(Pr"&amp;"ojections!$X$17="""",""C"",),),""/"","""")"),"PFC")</f>
        <v>PFC</v>
      </c>
    </row>
    <row r="242">
      <c r="B242">
        <f>IFERROR(__xludf.DUMMYFUNCTION("""COMPUTED_VALUE"""),237.0)</f>
        <v>237</v>
      </c>
      <c r="C242">
        <f>IFERROR(__xludf.DUMMYFUNCTION("""COMPUTED_VALUE"""),143.2)</f>
        <v>143.2</v>
      </c>
      <c r="D242" t="str">
        <f>IFERROR(__xludf.DUMMYFUNCTION("""COMPUTED_VALUE"""),"Zach Collins")</f>
        <v>Zach Collins</v>
      </c>
      <c r="E242">
        <f>IFERROR(__xludf.DUMMYFUNCTION("""COMPUTED_VALUE"""),71.0)</f>
        <v>71</v>
      </c>
      <c r="F242" t="str">
        <f>IFERROR(__xludf.DUMMYFUNCTION("""COMPUTED_VALUE"""),"PF,C")</f>
        <v>PF,C</v>
      </c>
      <c r="G242" s="11">
        <f>IFERROR(__xludf.DUMMYFUNCTION("""COMPUTED_VALUE"""),-4.248349565980986)</f>
        <v>-4.248349566</v>
      </c>
      <c r="H242" s="11">
        <f>IFERROR(__xludf.DUMMYFUNCTION("""COMPUTED_VALUE"""),-4.248349565980986)</f>
        <v>-4.248349566</v>
      </c>
      <c r="I242" s="11">
        <f>IFERROR(__xludf.DUMMYFUNCTION("""COMPUTED_VALUE"""),0.0)</f>
        <v>0</v>
      </c>
      <c r="J242" s="11">
        <f>IFERROR(__xludf.DUMMYFUNCTION("""COMPUTED_VALUE"""),9.1)</f>
        <v>9.1</v>
      </c>
      <c r="K242" s="11">
        <f>IFERROR(__xludf.DUMMYFUNCTION("""COMPUTED_VALUE"""),0.7)</f>
        <v>0.7</v>
      </c>
      <c r="L242" s="11">
        <f>IFERROR(__xludf.DUMMYFUNCTION("""COMPUTED_VALUE"""),4.7)</f>
        <v>4.7</v>
      </c>
      <c r="M242" s="11">
        <f>IFERROR(__xludf.DUMMYFUNCTION("""COMPUTED_VALUE"""),2.3)</f>
        <v>2.3</v>
      </c>
      <c r="N242" s="11">
        <f>IFERROR(__xludf.DUMMYFUNCTION("""COMPUTED_VALUE"""),0.4)</f>
        <v>0.4</v>
      </c>
      <c r="O242" s="11">
        <f>IFERROR(__xludf.DUMMYFUNCTION("""COMPUTED_VALUE"""),0.6)</f>
        <v>0.6</v>
      </c>
      <c r="P242" s="15">
        <f>IFERROR(__xludf.DUMMYFUNCTION("""COMPUTED_VALUE"""),0.501)</f>
        <v>0.501</v>
      </c>
      <c r="Q242" s="15">
        <f>IFERROR(__xludf.DUMMYFUNCTION("""COMPUTED_VALUE"""),0.76)</f>
        <v>0.76</v>
      </c>
      <c r="R242" s="11">
        <f>IFERROR(__xludf.DUMMYFUNCTION("""COMPUTED_VALUE"""),1.6)</f>
        <v>1.6</v>
      </c>
      <c r="S242" s="11">
        <f>IFERROR(__xludf.DUMMYFUNCTION("""COMPUTED_VALUE"""),-1.5114616424099674)</f>
        <v>-1.511461642</v>
      </c>
      <c r="T242" s="11">
        <f>IFERROR(__xludf.DUMMYFUNCTION("""COMPUTED_VALUE"""),-1.0440164878540512)</f>
        <v>-1.044016488</v>
      </c>
      <c r="U242" s="11">
        <f>IFERROR(__xludf.DUMMYFUNCTION("""COMPUTED_VALUE"""),-0.5369596630153455)</f>
        <v>-0.536959663</v>
      </c>
      <c r="V242" s="11">
        <f>IFERROR(__xludf.DUMMYFUNCTION("""COMPUTED_VALUE"""),-0.745281940017671)</f>
        <v>-0.74528194</v>
      </c>
      <c r="W242" s="11">
        <f>IFERROR(__xludf.DUMMYFUNCTION("""COMPUTED_VALUE"""),-1.912459801316204)</f>
        <v>-1.912459801</v>
      </c>
      <c r="X242" s="11">
        <f>IFERROR(__xludf.DUMMYFUNCTION("""COMPUTED_VALUE"""),-0.25872993873862127)</f>
        <v>-0.2587299387</v>
      </c>
      <c r="Y242" s="11">
        <f>IFERROR(__xludf.DUMMYFUNCTION("""COMPUTED_VALUE"""),0.03379398662204667)</f>
        <v>0.03379398662</v>
      </c>
      <c r="Z242" s="11">
        <f>IFERROR(__xludf.DUMMYFUNCTION("""COMPUTED_VALUE"""),-0.22256055793500998)</f>
        <v>-0.2225605579</v>
      </c>
      <c r="AA242" s="11">
        <f>IFERROR(__xludf.DUMMYFUNCTION("""COMPUTED_VALUE"""),0.036866677367633396)</f>
        <v>0.03686667737</v>
      </c>
      <c r="AB242" t="str">
        <f>IFERROR(__xludf.DUMMYFUNCTION("SUBSTITUTE(REGEXREPLACE(REGEXREPLACE(REGEXREPLACE(REGEXREPLACE(REGEXREPLACE(REGEXREPLACE(F242,"","",),IF(Projections!$T$17="""",""PG"",),),IF(Projections!$U$17="""",""SG"",),),IF(Projections!$V$17="""",""SF"",),),IF(Projections!$W$17="""",""PF"",),),IF(Pr"&amp;"ojections!$X$17="""",""C"",),),""/"","""")"),"PFC")</f>
        <v>PFC</v>
      </c>
    </row>
    <row r="243">
      <c r="B243">
        <f>IFERROR(__xludf.DUMMYFUNCTION("""COMPUTED_VALUE"""),238.0)</f>
        <v>238</v>
      </c>
      <c r="D243" t="str">
        <f>IFERROR(__xludf.DUMMYFUNCTION("""COMPUTED_VALUE"""),"Dario Saric")</f>
        <v>Dario Saric</v>
      </c>
      <c r="E243">
        <f>IFERROR(__xludf.DUMMYFUNCTION("""COMPUTED_VALUE"""),58.0)</f>
        <v>58</v>
      </c>
      <c r="F243" t="str">
        <f>IFERROR(__xludf.DUMMYFUNCTION("""COMPUTED_VALUE"""),"PF,C")</f>
        <v>PF,C</v>
      </c>
      <c r="G243" s="11">
        <f>IFERROR(__xludf.DUMMYFUNCTION("""COMPUTED_VALUE"""),-4.289112761764764)</f>
        <v>-4.289112762</v>
      </c>
      <c r="H243" s="11">
        <f>IFERROR(__xludf.DUMMYFUNCTION("""COMPUTED_VALUE"""),-4.289112761764764)</f>
        <v>-4.289112762</v>
      </c>
      <c r="I243" s="11">
        <f>IFERROR(__xludf.DUMMYFUNCTION("""COMPUTED_VALUE"""),0.0)</f>
        <v>0</v>
      </c>
      <c r="J243" s="11">
        <f>IFERROR(__xludf.DUMMYFUNCTION("""COMPUTED_VALUE"""),8.6)</f>
        <v>8.6</v>
      </c>
      <c r="K243" s="11">
        <f>IFERROR(__xludf.DUMMYFUNCTION("""COMPUTED_VALUE"""),1.2)</f>
        <v>1.2</v>
      </c>
      <c r="L243" s="11">
        <f>IFERROR(__xludf.DUMMYFUNCTION("""COMPUTED_VALUE"""),4.8)</f>
        <v>4.8</v>
      </c>
      <c r="M243" s="11">
        <f>IFERROR(__xludf.DUMMYFUNCTION("""COMPUTED_VALUE"""),2.1)</f>
        <v>2.1</v>
      </c>
      <c r="N243" s="11">
        <f>IFERROR(__xludf.DUMMYFUNCTION("""COMPUTED_VALUE"""),0.5)</f>
        <v>0.5</v>
      </c>
      <c r="O243" s="11">
        <f>IFERROR(__xludf.DUMMYFUNCTION("""COMPUTED_VALUE"""),0.2)</f>
        <v>0.2</v>
      </c>
      <c r="P243" s="15">
        <f>IFERROR(__xludf.DUMMYFUNCTION("""COMPUTED_VALUE"""),0.464)</f>
        <v>0.464</v>
      </c>
      <c r="Q243" s="15">
        <f>IFERROR(__xludf.DUMMYFUNCTION("""COMPUTED_VALUE"""),0.842)</f>
        <v>0.842</v>
      </c>
      <c r="R243" s="11">
        <f>IFERROR(__xludf.DUMMYFUNCTION("""COMPUTED_VALUE"""),1.3)</f>
        <v>1.3</v>
      </c>
      <c r="S243" s="11">
        <f>IFERROR(__xludf.DUMMYFUNCTION("""COMPUTED_VALUE"""),-1.6017856522262985)</f>
        <v>-1.601785652</v>
      </c>
      <c r="T243" s="11">
        <f>IFERROR(__xludf.DUMMYFUNCTION("""COMPUTED_VALUE"""),-0.5463949926963436)</f>
        <v>-0.5463949927</v>
      </c>
      <c r="U243" s="11">
        <f>IFERROR(__xludf.DUMMYFUNCTION("""COMPUTED_VALUE"""),-0.49773329189037346)</f>
        <v>-0.4977332919</v>
      </c>
      <c r="V243" s="11">
        <f>IFERROR(__xludf.DUMMYFUNCTION("""COMPUTED_VALUE"""),-0.8364054808619368)</f>
        <v>-0.8364054809</v>
      </c>
      <c r="W243" s="11">
        <f>IFERROR(__xludf.DUMMYFUNCTION("""COMPUTED_VALUE"""),-1.5805271231567248)</f>
        <v>-1.580527123</v>
      </c>
      <c r="X243" s="11">
        <f>IFERROR(__xludf.DUMMYFUNCTION("""COMPUTED_VALUE"""),-0.9723047469492465)</f>
        <v>-0.9723047469</v>
      </c>
      <c r="Y243" s="11">
        <f>IFERROR(__xludf.DUMMYFUNCTION("""COMPUTED_VALUE"""),-0.25048608940285216)</f>
        <v>-0.2504860894</v>
      </c>
      <c r="Z243" s="11">
        <f>IFERROR(__xludf.DUMMYFUNCTION("""COMPUTED_VALUE"""),0.28347764539712034)</f>
        <v>0.2834776454</v>
      </c>
      <c r="AA243" s="11">
        <f>IFERROR(__xludf.DUMMYFUNCTION("""COMPUTED_VALUE"""),0.11126131779559338)</f>
        <v>0.1112613178</v>
      </c>
      <c r="AB243" t="str">
        <f>IFERROR(__xludf.DUMMYFUNCTION("SUBSTITUTE(REGEXREPLACE(REGEXREPLACE(REGEXREPLACE(REGEXREPLACE(REGEXREPLACE(REGEXREPLACE(F243,"","",),IF(Projections!$T$17="""",""PG"",),),IF(Projections!$U$17="""",""SG"",),),IF(Projections!$V$17="""",""SF"",),),IF(Projections!$W$17="""",""PF"",),),IF(Pr"&amp;"ojections!$X$17="""",""C"",),),""/"","""")"),"PFC")</f>
        <v>PFC</v>
      </c>
    </row>
    <row r="244">
      <c r="B244">
        <f>IFERROR(__xludf.DUMMYFUNCTION("""COMPUTED_VALUE"""),239.0)</f>
        <v>239</v>
      </c>
      <c r="D244" t="str">
        <f>IFERROR(__xludf.DUMMYFUNCTION("""COMPUTED_VALUE"""),"Carlton Carrington")</f>
        <v>Carlton Carrington</v>
      </c>
      <c r="E244">
        <f>IFERROR(__xludf.DUMMYFUNCTION("""COMPUTED_VALUE"""),46.0)</f>
        <v>46</v>
      </c>
      <c r="F244" t="str">
        <f>IFERROR(__xludf.DUMMYFUNCTION("""COMPUTED_VALUE"""),"PG")</f>
        <v>PG</v>
      </c>
      <c r="G244" s="11">
        <f>IFERROR(__xludf.DUMMYFUNCTION("""COMPUTED_VALUE"""),-4.2915580613921955)</f>
        <v>-4.291558061</v>
      </c>
      <c r="H244" s="11">
        <f>IFERROR(__xludf.DUMMYFUNCTION("""COMPUTED_VALUE"""),-4.2915580613921955)</f>
        <v>-4.291558061</v>
      </c>
      <c r="I244" s="11">
        <f>IFERROR(__xludf.DUMMYFUNCTION("""COMPUTED_VALUE"""),0.0)</f>
        <v>0</v>
      </c>
      <c r="J244" s="11">
        <f>IFERROR(__xludf.DUMMYFUNCTION("""COMPUTED_VALUE"""),11.0)</f>
        <v>11</v>
      </c>
      <c r="K244" s="11">
        <f>IFERROR(__xludf.DUMMYFUNCTION("""COMPUTED_VALUE"""),1.6)</f>
        <v>1.6</v>
      </c>
      <c r="L244" s="11">
        <f>IFERROR(__xludf.DUMMYFUNCTION("""COMPUTED_VALUE"""),4.1)</f>
        <v>4.1</v>
      </c>
      <c r="M244" s="11">
        <f>IFERROR(__xludf.DUMMYFUNCTION("""COMPUTED_VALUE"""),3.3)</f>
        <v>3.3</v>
      </c>
      <c r="N244" s="11">
        <f>IFERROR(__xludf.DUMMYFUNCTION("""COMPUTED_VALUE"""),0.5)</f>
        <v>0.5</v>
      </c>
      <c r="O244" s="11">
        <f>IFERROR(__xludf.DUMMYFUNCTION("""COMPUTED_VALUE"""),0.2)</f>
        <v>0.2</v>
      </c>
      <c r="P244" s="15">
        <f>IFERROR(__xludf.DUMMYFUNCTION("""COMPUTED_VALUE"""),0.412)</f>
        <v>0.412</v>
      </c>
      <c r="Q244" s="15">
        <f>IFERROR(__xludf.DUMMYFUNCTION("""COMPUTED_VALUE"""),0.785)</f>
        <v>0.785</v>
      </c>
      <c r="R244" s="11">
        <f>IFERROR(__xludf.DUMMYFUNCTION("""COMPUTED_VALUE"""),1.5)</f>
        <v>1.5</v>
      </c>
      <c r="S244" s="11">
        <f>IFERROR(__xludf.DUMMYFUNCTION("""COMPUTED_VALUE"""),-1.1682304051079089)</f>
        <v>-1.168230405</v>
      </c>
      <c r="T244" s="11">
        <f>IFERROR(__xludf.DUMMYFUNCTION("""COMPUTED_VALUE"""),-0.1482977965701775)</f>
        <v>-0.1482977966</v>
      </c>
      <c r="U244" s="11">
        <f>IFERROR(__xludf.DUMMYFUNCTION("""COMPUTED_VALUE"""),-0.7723178897651785)</f>
        <v>-0.7723178898</v>
      </c>
      <c r="V244" s="11">
        <f>IFERROR(__xludf.DUMMYFUNCTION("""COMPUTED_VALUE"""),-0.2896642357963416)</f>
        <v>-0.2896642358</v>
      </c>
      <c r="W244" s="11">
        <f>IFERROR(__xludf.DUMMYFUNCTION("""COMPUTED_VALUE"""),-1.5805271231567248)</f>
        <v>-1.580527123</v>
      </c>
      <c r="X244" s="11">
        <f>IFERROR(__xludf.DUMMYFUNCTION("""COMPUTED_VALUE"""),-0.9723047469492465)</f>
        <v>-0.9723047469</v>
      </c>
      <c r="Y244" s="11">
        <f>IFERROR(__xludf.DUMMYFUNCTION("""COMPUTED_VALUE"""),-0.9251674315051548)</f>
        <v>-0.9251674315</v>
      </c>
      <c r="Z244" s="11">
        <f>IFERROR(__xludf.DUMMYFUNCTION("""COMPUTED_VALUE"""),-0.07724044654180794)</f>
        <v>-0.07724044654</v>
      </c>
      <c r="AA244" s="11">
        <f>IFERROR(__xludf.DUMMYFUNCTION("""COMPUTED_VALUE"""),0.06166489084362008)</f>
        <v>0.06166489084</v>
      </c>
      <c r="AB244" t="str">
        <f>IFERROR(__xludf.DUMMYFUNCTION("SUBSTITUTE(REGEXREPLACE(REGEXREPLACE(REGEXREPLACE(REGEXREPLACE(REGEXREPLACE(REGEXREPLACE(F244,"","",),IF(Projections!$T$17="""",""PG"",),),IF(Projections!$U$17="""",""SG"",),),IF(Projections!$V$17="""",""SF"",),),IF(Projections!$W$17="""",""PF"",),),IF(Pr"&amp;"ojections!$X$17="""",""C"",),),""/"","""")"),"PG")</f>
        <v>PG</v>
      </c>
    </row>
    <row r="245">
      <c r="B245">
        <f>IFERROR(__xludf.DUMMYFUNCTION("""COMPUTED_VALUE"""),240.0)</f>
        <v>240</v>
      </c>
      <c r="D245" t="str">
        <f>IFERROR(__xludf.DUMMYFUNCTION("""COMPUTED_VALUE"""),"Day'Ron Sharpe")</f>
        <v>Day'Ron Sharpe</v>
      </c>
      <c r="E245">
        <f>IFERROR(__xludf.DUMMYFUNCTION("""COMPUTED_VALUE"""),56.0)</f>
        <v>56</v>
      </c>
      <c r="F245" t="str">
        <f>IFERROR(__xludf.DUMMYFUNCTION("""COMPUTED_VALUE"""),"C")</f>
        <v>C</v>
      </c>
      <c r="G245" s="11">
        <f>IFERROR(__xludf.DUMMYFUNCTION("""COMPUTED_VALUE"""),-4.303191502950504)</f>
        <v>-4.303191503</v>
      </c>
      <c r="H245" s="11">
        <f>IFERROR(__xludf.DUMMYFUNCTION("""COMPUTED_VALUE"""),-4.303191502950504)</f>
        <v>-4.303191503</v>
      </c>
      <c r="I245" s="11">
        <f>IFERROR(__xludf.DUMMYFUNCTION("""COMPUTED_VALUE"""),0.0)</f>
        <v>0</v>
      </c>
      <c r="J245" s="11">
        <f>IFERROR(__xludf.DUMMYFUNCTION("""COMPUTED_VALUE"""),8.0)</f>
        <v>8</v>
      </c>
      <c r="K245" s="11">
        <f>IFERROR(__xludf.DUMMYFUNCTION("""COMPUTED_VALUE"""),0.1)</f>
        <v>0.1</v>
      </c>
      <c r="L245" s="11">
        <f>IFERROR(__xludf.DUMMYFUNCTION("""COMPUTED_VALUE"""),7.3)</f>
        <v>7.3</v>
      </c>
      <c r="M245" s="11">
        <f>IFERROR(__xludf.DUMMYFUNCTION("""COMPUTED_VALUE"""),1.5)</f>
        <v>1.5</v>
      </c>
      <c r="N245" s="11">
        <f>IFERROR(__xludf.DUMMYFUNCTION("""COMPUTED_VALUE"""),0.5)</f>
        <v>0.5</v>
      </c>
      <c r="O245" s="11">
        <f>IFERROR(__xludf.DUMMYFUNCTION("""COMPUTED_VALUE"""),0.9)</f>
        <v>0.9</v>
      </c>
      <c r="P245" s="15">
        <f>IFERROR(__xludf.DUMMYFUNCTION("""COMPUTED_VALUE"""),0.561)</f>
        <v>0.561</v>
      </c>
      <c r="Q245" s="15">
        <f>IFERROR(__xludf.DUMMYFUNCTION("""COMPUTED_VALUE"""),0.635)</f>
        <v>0.635</v>
      </c>
      <c r="R245" s="11">
        <f>IFERROR(__xludf.DUMMYFUNCTION("""COMPUTED_VALUE"""),1.4)</f>
        <v>1.4</v>
      </c>
      <c r="S245" s="11">
        <f>IFERROR(__xludf.DUMMYFUNCTION("""COMPUTED_VALUE"""),-1.710174464005896)</f>
        <v>-1.710174464</v>
      </c>
      <c r="T245" s="11">
        <f>IFERROR(__xludf.DUMMYFUNCTION("""COMPUTED_VALUE"""),-1.6411622820433)</f>
        <v>-1.641162282</v>
      </c>
      <c r="U245" s="11">
        <f>IFERROR(__xludf.DUMMYFUNCTION("""COMPUTED_VALUE"""),0.4829259862339297)</f>
        <v>0.4829259862</v>
      </c>
      <c r="V245" s="11">
        <f>IFERROR(__xludf.DUMMYFUNCTION("""COMPUTED_VALUE"""),-1.1097761033947346)</f>
        <v>-1.109776103</v>
      </c>
      <c r="W245" s="11">
        <f>IFERROR(__xludf.DUMMYFUNCTION("""COMPUTED_VALUE"""),-1.5805271231567248)</f>
        <v>-1.580527123</v>
      </c>
      <c r="X245" s="11">
        <f>IFERROR(__xludf.DUMMYFUNCTION("""COMPUTED_VALUE"""),0.27645116741934783)</f>
        <v>0.2764511674</v>
      </c>
      <c r="Y245" s="11">
        <f>IFERROR(__xludf.DUMMYFUNCTION("""COMPUTED_VALUE"""),0.42834227315240364)</f>
        <v>0.4283422732</v>
      </c>
      <c r="Z245" s="11">
        <f>IFERROR(__xludf.DUMMYFUNCTION("""COMPUTED_VALUE"""),-1.2459085254810325)</f>
        <v>-1.245908525</v>
      </c>
      <c r="AA245" s="11">
        <f>IFERROR(__xludf.DUMMYFUNCTION("""COMPUTED_VALUE"""),0.08646310431960676)</f>
        <v>0.08646310432</v>
      </c>
      <c r="AB245" t="str">
        <f>IFERROR(__xludf.DUMMYFUNCTION("SUBSTITUTE(REGEXREPLACE(REGEXREPLACE(REGEXREPLACE(REGEXREPLACE(REGEXREPLACE(REGEXREPLACE(F245,"","",),IF(Projections!$T$17="""",""PG"",),),IF(Projections!$U$17="""",""SG"",),),IF(Projections!$V$17="""",""SF"",),),IF(Projections!$W$17="""",""PF"",),),IF(Pr"&amp;"ojections!$X$17="""",""C"",),),""/"","""")"),"C")</f>
        <v>C</v>
      </c>
    </row>
    <row r="246">
      <c r="B246">
        <f>IFERROR(__xludf.DUMMYFUNCTION("""COMPUTED_VALUE"""),241.0)</f>
        <v>241</v>
      </c>
      <c r="D246" t="str">
        <f>IFERROR(__xludf.DUMMYFUNCTION("""COMPUTED_VALUE"""),"Naji Marshall")</f>
        <v>Naji Marshall</v>
      </c>
      <c r="E246">
        <f>IFERROR(__xludf.DUMMYFUNCTION("""COMPUTED_VALUE"""),50.0)</f>
        <v>50</v>
      </c>
      <c r="F246" t="str">
        <f>IFERROR(__xludf.DUMMYFUNCTION("""COMPUTED_VALUE"""),"SG,SF")</f>
        <v>SG,SF</v>
      </c>
      <c r="G246" s="11">
        <f>IFERROR(__xludf.DUMMYFUNCTION("""COMPUTED_VALUE"""),-4.346513913402809)</f>
        <v>-4.346513913</v>
      </c>
      <c r="H246" s="11">
        <f>IFERROR(__xludf.DUMMYFUNCTION("""COMPUTED_VALUE"""),-4.346513913402809)</f>
        <v>-4.346513913</v>
      </c>
      <c r="I246" s="11">
        <f>IFERROR(__xludf.DUMMYFUNCTION("""COMPUTED_VALUE"""),0.0)</f>
        <v>0</v>
      </c>
      <c r="J246" s="11">
        <f>IFERROR(__xludf.DUMMYFUNCTION("""COMPUTED_VALUE"""),8.5)</f>
        <v>8.5</v>
      </c>
      <c r="K246" s="11">
        <f>IFERROR(__xludf.DUMMYFUNCTION("""COMPUTED_VALUE"""),0.9)</f>
        <v>0.9</v>
      </c>
      <c r="L246" s="11">
        <f>IFERROR(__xludf.DUMMYFUNCTION("""COMPUTED_VALUE"""),3.8)</f>
        <v>3.8</v>
      </c>
      <c r="M246" s="11">
        <f>IFERROR(__xludf.DUMMYFUNCTION("""COMPUTED_VALUE"""),2.3)</f>
        <v>2.3</v>
      </c>
      <c r="N246" s="11">
        <f>IFERROR(__xludf.DUMMYFUNCTION("""COMPUTED_VALUE"""),0.8)</f>
        <v>0.8</v>
      </c>
      <c r="O246" s="11">
        <f>IFERROR(__xludf.DUMMYFUNCTION("""COMPUTED_VALUE"""),0.2)</f>
        <v>0.2</v>
      </c>
      <c r="P246" s="15">
        <f>IFERROR(__xludf.DUMMYFUNCTION("""COMPUTED_VALUE"""),0.446)</f>
        <v>0.446</v>
      </c>
      <c r="Q246" s="15">
        <f>IFERROR(__xludf.DUMMYFUNCTION("""COMPUTED_VALUE"""),0.789)</f>
        <v>0.789</v>
      </c>
      <c r="R246" s="11">
        <f>IFERROR(__xludf.DUMMYFUNCTION("""COMPUTED_VALUE"""),1.2)</f>
        <v>1.2</v>
      </c>
      <c r="S246" s="11">
        <f>IFERROR(__xludf.DUMMYFUNCTION("""COMPUTED_VALUE"""),-1.6198504541895646)</f>
        <v>-1.619850454</v>
      </c>
      <c r="T246" s="11">
        <f>IFERROR(__xludf.DUMMYFUNCTION("""COMPUTED_VALUE"""),-0.844967889790968)</f>
        <v>-0.8449678898</v>
      </c>
      <c r="U246" s="11">
        <f>IFERROR(__xludf.DUMMYFUNCTION("""COMPUTED_VALUE"""),-0.8899970031400947)</f>
        <v>-0.8899970031</v>
      </c>
      <c r="V246" s="11">
        <f>IFERROR(__xludf.DUMMYFUNCTION("""COMPUTED_VALUE"""),-0.745281940017671)</f>
        <v>-0.74528194</v>
      </c>
      <c r="W246" s="11">
        <f>IFERROR(__xludf.DUMMYFUNCTION("""COMPUTED_VALUE"""),-0.5847290886782864)</f>
        <v>-0.5847290887</v>
      </c>
      <c r="X246" s="11">
        <f>IFERROR(__xludf.DUMMYFUNCTION("""COMPUTED_VALUE"""),-0.9723047469492465)</f>
        <v>-0.9723047469</v>
      </c>
      <c r="Y246" s="11">
        <f>IFERROR(__xludf.DUMMYFUNCTION("""COMPUTED_VALUE"""),-0.4054998977209193)</f>
        <v>-0.4054998977</v>
      </c>
      <c r="Z246" s="11">
        <f>IFERROR(__xludf.DUMMYFUNCTION("""COMPUTED_VALUE"""),-0.039792878377203474)</f>
        <v>-0.03979287838</v>
      </c>
      <c r="AA246" s="11">
        <f>IFERROR(__xludf.DUMMYFUNCTION("""COMPUTED_VALUE"""),0.13605953127158005)</f>
        <v>0.1360595313</v>
      </c>
      <c r="AB246" t="str">
        <f>IFERROR(__xludf.DUMMYFUNCTION("SUBSTITUTE(REGEXREPLACE(REGEXREPLACE(REGEXREPLACE(REGEXREPLACE(REGEXREPLACE(REGEXREPLACE(F246,"","",),IF(Projections!$T$17="""",""PG"",),),IF(Projections!$U$17="""",""SG"",),),IF(Projections!$V$17="""",""SF"",),),IF(Projections!$W$17="""",""PF"",),),IF(Pr"&amp;"ojections!$X$17="""",""C"",),),""/"","""")"),"SGSF")</f>
        <v>SGSF</v>
      </c>
    </row>
    <row r="247">
      <c r="B247">
        <f>IFERROR(__xludf.DUMMYFUNCTION("""COMPUTED_VALUE"""),242.0)</f>
        <v>242</v>
      </c>
      <c r="D247" t="str">
        <f>IFERROR(__xludf.DUMMYFUNCTION("""COMPUTED_VALUE"""),"Rob Dillingham")</f>
        <v>Rob Dillingham</v>
      </c>
      <c r="E247">
        <f>IFERROR(__xludf.DUMMYFUNCTION("""COMPUTED_VALUE"""),66.0)</f>
        <v>66</v>
      </c>
      <c r="F247" t="str">
        <f>IFERROR(__xludf.DUMMYFUNCTION("""COMPUTED_VALUE"""),"PG")</f>
        <v>PG</v>
      </c>
      <c r="G247" s="11">
        <f>IFERROR(__xludf.DUMMYFUNCTION("""COMPUTED_VALUE"""),-4.360236677687751)</f>
        <v>-4.360236678</v>
      </c>
      <c r="H247" s="11">
        <f>IFERROR(__xludf.DUMMYFUNCTION("""COMPUTED_VALUE"""),-4.360236677687751)</f>
        <v>-4.360236678</v>
      </c>
      <c r="I247" s="11">
        <f>IFERROR(__xludf.DUMMYFUNCTION("""COMPUTED_VALUE"""),0.0)</f>
        <v>0</v>
      </c>
      <c r="J247" s="11">
        <f>IFERROR(__xludf.DUMMYFUNCTION("""COMPUTED_VALUE"""),11.0)</f>
        <v>11</v>
      </c>
      <c r="K247" s="11">
        <f>IFERROR(__xludf.DUMMYFUNCTION("""COMPUTED_VALUE"""),1.6)</f>
        <v>1.6</v>
      </c>
      <c r="L247" s="11">
        <f>IFERROR(__xludf.DUMMYFUNCTION("""COMPUTED_VALUE"""),2.1)</f>
        <v>2.1</v>
      </c>
      <c r="M247" s="11">
        <f>IFERROR(__xludf.DUMMYFUNCTION("""COMPUTED_VALUE"""),2.8)</f>
        <v>2.8</v>
      </c>
      <c r="N247" s="11">
        <f>IFERROR(__xludf.DUMMYFUNCTION("""COMPUTED_VALUE"""),0.7)</f>
        <v>0.7</v>
      </c>
      <c r="O247" s="11">
        <f>IFERROR(__xludf.DUMMYFUNCTION("""COMPUTED_VALUE"""),0.0)</f>
        <v>0</v>
      </c>
      <c r="P247" s="15">
        <f>IFERROR(__xludf.DUMMYFUNCTION("""COMPUTED_VALUE"""),0.454)</f>
        <v>0.454</v>
      </c>
      <c r="Q247" s="15">
        <f>IFERROR(__xludf.DUMMYFUNCTION("""COMPUTED_VALUE"""),0.802)</f>
        <v>0.802</v>
      </c>
      <c r="R247" s="11">
        <f>IFERROR(__xludf.DUMMYFUNCTION("""COMPUTED_VALUE"""),1.4)</f>
        <v>1.4</v>
      </c>
      <c r="S247" s="11">
        <f>IFERROR(__xludf.DUMMYFUNCTION("""COMPUTED_VALUE"""),-1.1682304051079089)</f>
        <v>-1.168230405</v>
      </c>
      <c r="T247" s="11">
        <f>IFERROR(__xludf.DUMMYFUNCTION("""COMPUTED_VALUE"""),-0.1482977965701775)</f>
        <v>-0.1482977966</v>
      </c>
      <c r="U247" s="11">
        <f>IFERROR(__xludf.DUMMYFUNCTION("""COMPUTED_VALUE"""),-1.5568453122646206)</f>
        <v>-1.556845312</v>
      </c>
      <c r="V247" s="11">
        <f>IFERROR(__xludf.DUMMYFUNCTION("""COMPUTED_VALUE"""),-0.5174730879070063)</f>
        <v>-0.5174730879</v>
      </c>
      <c r="W247" s="11">
        <f>IFERROR(__xludf.DUMMYFUNCTION("""COMPUTED_VALUE"""),-0.9166617668377661)</f>
        <v>-0.9166617668</v>
      </c>
      <c r="X247" s="11">
        <f>IFERROR(__xludf.DUMMYFUNCTION("""COMPUTED_VALUE"""),-1.3290921510545592)</f>
        <v>-1.329092151</v>
      </c>
      <c r="Y247" s="11">
        <f>IFERROR(__xludf.DUMMYFUNCTION("""COMPUTED_VALUE"""),-0.42215317693457677)</f>
        <v>-0.4221531769</v>
      </c>
      <c r="Z247" s="11">
        <f>IFERROR(__xludf.DUMMYFUNCTION("""COMPUTED_VALUE"""),0.05520860240463762)</f>
        <v>0.0552086024</v>
      </c>
      <c r="AA247" s="11">
        <f>IFERROR(__xludf.DUMMYFUNCTION("""COMPUTED_VALUE"""),0.08646310431960676)</f>
        <v>0.08646310432</v>
      </c>
      <c r="AB247" t="str">
        <f>IFERROR(__xludf.DUMMYFUNCTION("SUBSTITUTE(REGEXREPLACE(REGEXREPLACE(REGEXREPLACE(REGEXREPLACE(REGEXREPLACE(REGEXREPLACE(F247,"","",),IF(Projections!$T$17="""",""PG"",),),IF(Projections!$U$17="""",""SG"",),),IF(Projections!$V$17="""",""SF"",),),IF(Projections!$W$17="""",""PF"",),),IF(Pr"&amp;"ojections!$X$17="""",""C"",),),""/"","""")"),"PG")</f>
        <v>PG</v>
      </c>
    </row>
    <row r="248">
      <c r="B248">
        <f>IFERROR(__xludf.DUMMYFUNCTION("""COMPUTED_VALUE"""),243.0)</f>
        <v>243</v>
      </c>
      <c r="D248" t="str">
        <f>IFERROR(__xludf.DUMMYFUNCTION("""COMPUTED_VALUE"""),"Scotty Pippen Jr.")</f>
        <v>Scotty Pippen Jr.</v>
      </c>
      <c r="E248">
        <f>IFERROR(__xludf.DUMMYFUNCTION("""COMPUTED_VALUE"""),71.0)</f>
        <v>71</v>
      </c>
      <c r="F248" t="str">
        <f>IFERROR(__xludf.DUMMYFUNCTION("""COMPUTED_VALUE"""),"PG,SG")</f>
        <v>PG,SG</v>
      </c>
      <c r="G248" s="11">
        <f>IFERROR(__xludf.DUMMYFUNCTION("""COMPUTED_VALUE"""),-4.377048591348043)</f>
        <v>-4.377048591</v>
      </c>
      <c r="H248" s="11">
        <f>IFERROR(__xludf.DUMMYFUNCTION("""COMPUTED_VALUE"""),-4.377048591348043)</f>
        <v>-4.377048591</v>
      </c>
      <c r="I248" s="11">
        <f>IFERROR(__xludf.DUMMYFUNCTION("""COMPUTED_VALUE"""),0.0)</f>
        <v>0</v>
      </c>
      <c r="J248" s="11">
        <f>IFERROR(__xludf.DUMMYFUNCTION("""COMPUTED_VALUE"""),7.5)</f>
        <v>7.5</v>
      </c>
      <c r="K248" s="11">
        <f>IFERROR(__xludf.DUMMYFUNCTION("""COMPUTED_VALUE"""),0.8)</f>
        <v>0.8</v>
      </c>
      <c r="L248" s="11">
        <f>IFERROR(__xludf.DUMMYFUNCTION("""COMPUTED_VALUE"""),1.9)</f>
        <v>1.9</v>
      </c>
      <c r="M248" s="11">
        <f>IFERROR(__xludf.DUMMYFUNCTION("""COMPUTED_VALUE"""),2.6)</f>
        <v>2.6</v>
      </c>
      <c r="N248" s="11">
        <f>IFERROR(__xludf.DUMMYFUNCTION("""COMPUTED_VALUE"""),1.0)</f>
        <v>1</v>
      </c>
      <c r="O248" s="11">
        <f>IFERROR(__xludf.DUMMYFUNCTION("""COMPUTED_VALUE"""),0.3)</f>
        <v>0.3</v>
      </c>
      <c r="P248" s="15">
        <f>IFERROR(__xludf.DUMMYFUNCTION("""COMPUTED_VALUE"""),0.484)</f>
        <v>0.484</v>
      </c>
      <c r="Q248" s="15">
        <f>IFERROR(__xludf.DUMMYFUNCTION("""COMPUTED_VALUE"""),0.72)</f>
        <v>0.72</v>
      </c>
      <c r="R248" s="11">
        <f>IFERROR(__xludf.DUMMYFUNCTION("""COMPUTED_VALUE"""),1.5)</f>
        <v>1.5</v>
      </c>
      <c r="S248" s="11">
        <f>IFERROR(__xludf.DUMMYFUNCTION("""COMPUTED_VALUE"""),-1.8004984738222272)</f>
        <v>-1.800498474</v>
      </c>
      <c r="T248" s="11">
        <f>IFERROR(__xludf.DUMMYFUNCTION("""COMPUTED_VALUE"""),-0.9444921888225095)</f>
        <v>-0.9444921888</v>
      </c>
      <c r="U248" s="11">
        <f>IFERROR(__xludf.DUMMYFUNCTION("""COMPUTED_VALUE"""),-1.6352980545145652)</f>
        <v>-1.635298055</v>
      </c>
      <c r="V248" s="11">
        <f>IFERROR(__xludf.DUMMYFUNCTION("""COMPUTED_VALUE"""),-0.6085966287512721)</f>
        <v>-0.6085966288</v>
      </c>
      <c r="W248" s="11">
        <f>IFERROR(__xludf.DUMMYFUNCTION("""COMPUTED_VALUE"""),0.07913626764067216)</f>
        <v>0.07913626764</v>
      </c>
      <c r="X248" s="11">
        <f>IFERROR(__xludf.DUMMYFUNCTION("""COMPUTED_VALUE"""),-0.7939110448965904)</f>
        <v>-0.7939110449</v>
      </c>
      <c r="Y248" s="11">
        <f>IFERROR(__xludf.DUMMYFUNCTION("""COMPUTED_VALUE"""),-0.08453929772332104)</f>
        <v>-0.08453929772</v>
      </c>
      <c r="Z248" s="11">
        <f>IFERROR(__xludf.DUMMYFUNCTION("""COMPUTED_VALUE"""),-0.451012535124077)</f>
        <v>-0.4510125351</v>
      </c>
      <c r="AA248" s="11">
        <f>IFERROR(__xludf.DUMMYFUNCTION("""COMPUTED_VALUE"""),0.06166489084362008)</f>
        <v>0.06166489084</v>
      </c>
      <c r="AB248" t="str">
        <f>IFERROR(__xludf.DUMMYFUNCTION("SUBSTITUTE(REGEXREPLACE(REGEXREPLACE(REGEXREPLACE(REGEXREPLACE(REGEXREPLACE(REGEXREPLACE(F248,"","",),IF(Projections!$T$17="""",""PG"",),),IF(Projections!$U$17="""",""SG"",),),IF(Projections!$V$17="""",""SF"",),),IF(Projections!$W$17="""",""PF"",),),IF(Pr"&amp;"ojections!$X$17="""",""C"",),),""/"","""")"),"PGSG")</f>
        <v>PGSG</v>
      </c>
    </row>
    <row r="249">
      <c r="B249">
        <f>IFERROR(__xludf.DUMMYFUNCTION("""COMPUTED_VALUE"""),244.0)</f>
        <v>244</v>
      </c>
      <c r="D249" t="str">
        <f>IFERROR(__xludf.DUMMYFUNCTION("""COMPUTED_VALUE"""),"Mo Bamba")</f>
        <v>Mo Bamba</v>
      </c>
      <c r="E249">
        <f>IFERROR(__xludf.DUMMYFUNCTION("""COMPUTED_VALUE"""),59.0)</f>
        <v>59</v>
      </c>
      <c r="F249" t="str">
        <f>IFERROR(__xludf.DUMMYFUNCTION("""COMPUTED_VALUE"""),"C")</f>
        <v>C</v>
      </c>
      <c r="G249" s="11">
        <f>IFERROR(__xludf.DUMMYFUNCTION("""COMPUTED_VALUE"""),-4.3936824454657915)</f>
        <v>-4.393682445</v>
      </c>
      <c r="H249" s="11">
        <f>IFERROR(__xludf.DUMMYFUNCTION("""COMPUTED_VALUE"""),-4.3936824454657915)</f>
        <v>-4.393682445</v>
      </c>
      <c r="I249" s="11">
        <f>IFERROR(__xludf.DUMMYFUNCTION("""COMPUTED_VALUE"""),0.0)</f>
        <v>0</v>
      </c>
      <c r="J249" s="11">
        <f>IFERROR(__xludf.DUMMYFUNCTION("""COMPUTED_VALUE"""),6.1)</f>
        <v>6.1</v>
      </c>
      <c r="K249" s="11">
        <f>IFERROR(__xludf.DUMMYFUNCTION("""COMPUTED_VALUE"""),0.8)</f>
        <v>0.8</v>
      </c>
      <c r="L249" s="11">
        <f>IFERROR(__xludf.DUMMYFUNCTION("""COMPUTED_VALUE"""),4.9)</f>
        <v>4.9</v>
      </c>
      <c r="M249" s="11">
        <f>IFERROR(__xludf.DUMMYFUNCTION("""COMPUTED_VALUE"""),0.9)</f>
        <v>0.9</v>
      </c>
      <c r="N249" s="11">
        <f>IFERROR(__xludf.DUMMYFUNCTION("""COMPUTED_VALUE"""),0.4)</f>
        <v>0.4</v>
      </c>
      <c r="O249" s="11">
        <f>IFERROR(__xludf.DUMMYFUNCTION("""COMPUTED_VALUE"""),1.1)</f>
        <v>1.1</v>
      </c>
      <c r="P249" s="15">
        <f>IFERROR(__xludf.DUMMYFUNCTION("""COMPUTED_VALUE"""),0.487)</f>
        <v>0.487</v>
      </c>
      <c r="Q249" s="15">
        <f>IFERROR(__xludf.DUMMYFUNCTION("""COMPUTED_VALUE"""),0.669)</f>
        <v>0.669</v>
      </c>
      <c r="R249" s="11">
        <f>IFERROR(__xludf.DUMMYFUNCTION("""COMPUTED_VALUE"""),0.7)</f>
        <v>0.7</v>
      </c>
      <c r="S249" s="11">
        <f>IFERROR(__xludf.DUMMYFUNCTION("""COMPUTED_VALUE"""),-2.0534057013079545)</f>
        <v>-2.053405701</v>
      </c>
      <c r="T249" s="11">
        <f>IFERROR(__xludf.DUMMYFUNCTION("""COMPUTED_VALUE"""),-0.9444921888225095)</f>
        <v>-0.9444921888</v>
      </c>
      <c r="U249" s="11">
        <f>IFERROR(__xludf.DUMMYFUNCTION("""COMPUTED_VALUE"""),-0.4585069207654011)</f>
        <v>-0.4585069208</v>
      </c>
      <c r="V249" s="11">
        <f>IFERROR(__xludf.DUMMYFUNCTION("""COMPUTED_VALUE"""),-1.3831467259275323)</f>
        <v>-1.383146726</v>
      </c>
      <c r="W249" s="11">
        <f>IFERROR(__xludf.DUMMYFUNCTION("""COMPUTED_VALUE"""),-1.912459801316204)</f>
        <v>-1.912459801</v>
      </c>
      <c r="X249" s="11">
        <f>IFERROR(__xludf.DUMMYFUNCTION("""COMPUTED_VALUE"""),0.6332385715246607)</f>
        <v>0.6332385715</v>
      </c>
      <c r="Y249" s="11">
        <f>IFERROR(__xludf.DUMMYFUNCTION("""COMPUTED_VALUE"""),-0.05326938194405967)</f>
        <v>-0.05326938194</v>
      </c>
      <c r="Z249" s="11">
        <f>IFERROR(__xludf.DUMMYFUNCTION("""COMPUTED_VALUE"""),-0.5350965968662589)</f>
        <v>-0.5350965969</v>
      </c>
      <c r="AA249" s="11">
        <f>IFERROR(__xludf.DUMMYFUNCTION("""COMPUTED_VALUE"""),0.26005059865151336)</f>
        <v>0.2600505987</v>
      </c>
      <c r="AB249" t="str">
        <f>IFERROR(__xludf.DUMMYFUNCTION("SUBSTITUTE(REGEXREPLACE(REGEXREPLACE(REGEXREPLACE(REGEXREPLACE(REGEXREPLACE(REGEXREPLACE(F249,"","",),IF(Projections!$T$17="""",""PG"",),),IF(Projections!$U$17="""",""SG"",),),IF(Projections!$V$17="""",""SF"",),),IF(Projections!$W$17="""",""PF"",),),IF(Pr"&amp;"ojections!$X$17="""",""C"",),),""/"","""")"),"C")</f>
        <v>C</v>
      </c>
    </row>
    <row r="250">
      <c r="B250">
        <f>IFERROR(__xludf.DUMMYFUNCTION("""COMPUTED_VALUE"""),245.0)</f>
        <v>245</v>
      </c>
      <c r="D250" t="str">
        <f>IFERROR(__xludf.DUMMYFUNCTION("""COMPUTED_VALUE"""),"Killian Hayes")</f>
        <v>Killian Hayes</v>
      </c>
      <c r="E250">
        <f>IFERROR(__xludf.DUMMYFUNCTION("""COMPUTED_VALUE"""),56.0)</f>
        <v>56</v>
      </c>
      <c r="F250" t="str">
        <f>IFERROR(__xludf.DUMMYFUNCTION("""COMPUTED_VALUE"""),"PG,SG")</f>
        <v>PG,SG</v>
      </c>
      <c r="G250" s="11">
        <f>IFERROR(__xludf.DUMMYFUNCTION("""COMPUTED_VALUE"""),-4.399685377862418)</f>
        <v>-4.399685378</v>
      </c>
      <c r="H250" s="11">
        <f>IFERROR(__xludf.DUMMYFUNCTION("""COMPUTED_VALUE"""),-4.399685377862418)</f>
        <v>-4.399685378</v>
      </c>
      <c r="I250" s="11">
        <f>IFERROR(__xludf.DUMMYFUNCTION("""COMPUTED_VALUE"""),0.0)</f>
        <v>0</v>
      </c>
      <c r="J250" s="11">
        <f>IFERROR(__xludf.DUMMYFUNCTION("""COMPUTED_VALUE"""),7.0)</f>
        <v>7</v>
      </c>
      <c r="K250" s="11">
        <f>IFERROR(__xludf.DUMMYFUNCTION("""COMPUTED_VALUE"""),0.7)</f>
        <v>0.7</v>
      </c>
      <c r="L250" s="11">
        <f>IFERROR(__xludf.DUMMYFUNCTION("""COMPUTED_VALUE"""),2.2)</f>
        <v>2.2</v>
      </c>
      <c r="M250" s="11">
        <f>IFERROR(__xludf.DUMMYFUNCTION("""COMPUTED_VALUE"""),4.4)</f>
        <v>4.4</v>
      </c>
      <c r="N250" s="11">
        <f>IFERROR(__xludf.DUMMYFUNCTION("""COMPUTED_VALUE"""),0.9)</f>
        <v>0.9</v>
      </c>
      <c r="O250" s="11">
        <f>IFERROR(__xludf.DUMMYFUNCTION("""COMPUTED_VALUE"""),0.3)</f>
        <v>0.3</v>
      </c>
      <c r="P250" s="15">
        <f>IFERROR(__xludf.DUMMYFUNCTION("""COMPUTED_VALUE"""),0.385)</f>
        <v>0.385</v>
      </c>
      <c r="Q250" s="15">
        <f>IFERROR(__xludf.DUMMYFUNCTION("""COMPUTED_VALUE"""),0.764)</f>
        <v>0.764</v>
      </c>
      <c r="R250" s="11">
        <f>IFERROR(__xludf.DUMMYFUNCTION("""COMPUTED_VALUE"""),1.5)</f>
        <v>1.5</v>
      </c>
      <c r="S250" s="11">
        <f>IFERROR(__xludf.DUMMYFUNCTION("""COMPUTED_VALUE"""),-1.8908224836385583)</f>
        <v>-1.890822484</v>
      </c>
      <c r="T250" s="11">
        <f>IFERROR(__xludf.DUMMYFUNCTION("""COMPUTED_VALUE"""),-1.0440164878540512)</f>
        <v>-1.044016488</v>
      </c>
      <c r="U250" s="11">
        <f>IFERROR(__xludf.DUMMYFUNCTION("""COMPUTED_VALUE"""),-1.5176189411396486)</f>
        <v>-1.517618941</v>
      </c>
      <c r="V250" s="11">
        <f>IFERROR(__xludf.DUMMYFUNCTION("""COMPUTED_VALUE"""),0.2115152388471211)</f>
        <v>0.2115152388</v>
      </c>
      <c r="W250" s="11">
        <f>IFERROR(__xludf.DUMMYFUNCTION("""COMPUTED_VALUE"""),-0.25279641051880714)</f>
        <v>-0.2527964105</v>
      </c>
      <c r="X250" s="11">
        <f>IFERROR(__xludf.DUMMYFUNCTION("""COMPUTED_VALUE"""),-0.7939110448965904)</f>
        <v>-0.7939110449</v>
      </c>
      <c r="Y250" s="11">
        <f>IFERROR(__xludf.DUMMYFUNCTION("""COMPUTED_VALUE"""),-0.9440956343474112)</f>
        <v>-0.9440956343</v>
      </c>
      <c r="Z250" s="11">
        <f>IFERROR(__xludf.DUMMYFUNCTION("""COMPUTED_VALUE"""),-0.12042698879664974)</f>
        <v>-0.1204269888</v>
      </c>
      <c r="AA250" s="11">
        <f>IFERROR(__xludf.DUMMYFUNCTION("""COMPUTED_VALUE"""),0.06166489084362008)</f>
        <v>0.06166489084</v>
      </c>
      <c r="AB250" t="str">
        <f>IFERROR(__xludf.DUMMYFUNCTION("SUBSTITUTE(REGEXREPLACE(REGEXREPLACE(REGEXREPLACE(REGEXREPLACE(REGEXREPLACE(REGEXREPLACE(F250,"","",),IF(Projections!$T$17="""",""PG"",),),IF(Projections!$U$17="""",""SG"",),),IF(Projections!$V$17="""",""SF"",),),IF(Projections!$W$17="""",""PF"",),),IF(Pr"&amp;"ojections!$X$17="""",""C"",),),""/"","""")"),"PGSG")</f>
        <v>PGSG</v>
      </c>
    </row>
    <row r="251">
      <c r="B251">
        <f>IFERROR(__xludf.DUMMYFUNCTION("""COMPUTED_VALUE"""),246.0)</f>
        <v>246</v>
      </c>
      <c r="C251">
        <f>IFERROR(__xludf.DUMMYFUNCTION("""COMPUTED_VALUE"""),143.1)</f>
        <v>143.1</v>
      </c>
      <c r="D251" t="str">
        <f>IFERROR(__xludf.DUMMYFUNCTION("""COMPUTED_VALUE"""),"Grant Williams")</f>
        <v>Grant Williams</v>
      </c>
      <c r="E251">
        <f>IFERROR(__xludf.DUMMYFUNCTION("""COMPUTED_VALUE"""),75.0)</f>
        <v>75</v>
      </c>
      <c r="F251" t="str">
        <f>IFERROR(__xludf.DUMMYFUNCTION("""COMPUTED_VALUE"""),"PF,C")</f>
        <v>PF,C</v>
      </c>
      <c r="G251" s="11">
        <f>IFERROR(__xludf.DUMMYFUNCTION("""COMPUTED_VALUE"""),-4.416537832616938)</f>
        <v>-4.416537833</v>
      </c>
      <c r="H251" s="11">
        <f>IFERROR(__xludf.DUMMYFUNCTION("""COMPUTED_VALUE"""),-4.416537832616938)</f>
        <v>-4.416537833</v>
      </c>
      <c r="I251" s="11">
        <f>IFERROR(__xludf.DUMMYFUNCTION("""COMPUTED_VALUE"""),0.0)</f>
        <v>0</v>
      </c>
      <c r="J251" s="11">
        <f>IFERROR(__xludf.DUMMYFUNCTION("""COMPUTED_VALUE"""),8.9)</f>
        <v>8.9</v>
      </c>
      <c r="K251" s="11">
        <f>IFERROR(__xludf.DUMMYFUNCTION("""COMPUTED_VALUE"""),1.5)</f>
        <v>1.5</v>
      </c>
      <c r="L251" s="11">
        <f>IFERROR(__xludf.DUMMYFUNCTION("""COMPUTED_VALUE"""),4.3)</f>
        <v>4.3</v>
      </c>
      <c r="M251" s="11">
        <f>IFERROR(__xludf.DUMMYFUNCTION("""COMPUTED_VALUE"""),1.9)</f>
        <v>1.9</v>
      </c>
      <c r="N251" s="11">
        <f>IFERROR(__xludf.DUMMYFUNCTION("""COMPUTED_VALUE"""),0.5)</f>
        <v>0.5</v>
      </c>
      <c r="O251" s="11">
        <f>IFERROR(__xludf.DUMMYFUNCTION("""COMPUTED_VALUE"""),0.4)</f>
        <v>0.4</v>
      </c>
      <c r="P251" s="15">
        <f>IFERROR(__xludf.DUMMYFUNCTION("""COMPUTED_VALUE"""),0.455)</f>
        <v>0.455</v>
      </c>
      <c r="Q251" s="15">
        <f>IFERROR(__xludf.DUMMYFUNCTION("""COMPUTED_VALUE"""),0.762)</f>
        <v>0.762</v>
      </c>
      <c r="R251" s="11">
        <f>IFERROR(__xludf.DUMMYFUNCTION("""COMPUTED_VALUE"""),1.2)</f>
        <v>1.2</v>
      </c>
      <c r="S251" s="11">
        <f>IFERROR(__xludf.DUMMYFUNCTION("""COMPUTED_VALUE"""),-1.5475912463364998)</f>
        <v>-1.547591246</v>
      </c>
      <c r="T251" s="11">
        <f>IFERROR(__xludf.DUMMYFUNCTION("""COMPUTED_VALUE"""),-0.24782209560171908)</f>
        <v>-0.2478220956</v>
      </c>
      <c r="U251" s="11">
        <f>IFERROR(__xludf.DUMMYFUNCTION("""COMPUTED_VALUE"""),-0.6938651475152341)</f>
        <v>-0.6938651475</v>
      </c>
      <c r="V251" s="11">
        <f>IFERROR(__xludf.DUMMYFUNCTION("""COMPUTED_VALUE"""),-0.9275290217062028)</f>
        <v>-0.9275290217</v>
      </c>
      <c r="W251" s="11">
        <f>IFERROR(__xludf.DUMMYFUNCTION("""COMPUTED_VALUE"""),-1.5805271231567248)</f>
        <v>-1.580527123</v>
      </c>
      <c r="X251" s="11">
        <f>IFERROR(__xludf.DUMMYFUNCTION("""COMPUTED_VALUE"""),-0.6155173428439339)</f>
        <v>-0.6155173428</v>
      </c>
      <c r="Y251" s="11">
        <f>IFERROR(__xludf.DUMMYFUNCTION("""COMPUTED_VALUE"""),-0.3337734417788747)</f>
        <v>-0.3337734418</v>
      </c>
      <c r="Z251" s="11">
        <f>IFERROR(__xludf.DUMMYFUNCTION("""COMPUTED_VALUE"""),-0.18649906810605274)</f>
        <v>-0.1864990681</v>
      </c>
      <c r="AA251" s="11">
        <f>IFERROR(__xludf.DUMMYFUNCTION("""COMPUTED_VALUE"""),0.13605953127158005)</f>
        <v>0.1360595313</v>
      </c>
      <c r="AB251" t="str">
        <f>IFERROR(__xludf.DUMMYFUNCTION("SUBSTITUTE(REGEXREPLACE(REGEXREPLACE(REGEXREPLACE(REGEXREPLACE(REGEXREPLACE(REGEXREPLACE(F251,"","",),IF(Projections!$T$17="""",""PG"",),),IF(Projections!$U$17="""",""SG"",),),IF(Projections!$V$17="""",""SF"",),),IF(Projections!$W$17="""",""PF"",),),IF(Pr"&amp;"ojections!$X$17="""",""C"",),),""/"","""")"),"PFC")</f>
        <v>PFC</v>
      </c>
    </row>
    <row r="252">
      <c r="B252">
        <f>IFERROR(__xludf.DUMMYFUNCTION("""COMPUTED_VALUE"""),247.0)</f>
        <v>247</v>
      </c>
      <c r="D252" t="str">
        <f>IFERROR(__xludf.DUMMYFUNCTION("""COMPUTED_VALUE"""),"Bones Hyland")</f>
        <v>Bones Hyland</v>
      </c>
      <c r="E252">
        <f>IFERROR(__xludf.DUMMYFUNCTION("""COMPUTED_VALUE"""),71.0)</f>
        <v>71</v>
      </c>
      <c r="F252" t="str">
        <f>IFERROR(__xludf.DUMMYFUNCTION("""COMPUTED_VALUE"""),"PG,SG")</f>
        <v>PG,SG</v>
      </c>
      <c r="G252" s="11">
        <f>IFERROR(__xludf.DUMMYFUNCTION("""COMPUTED_VALUE"""),-4.420372950121907)</f>
        <v>-4.42037295</v>
      </c>
      <c r="H252" s="11">
        <f>IFERROR(__xludf.DUMMYFUNCTION("""COMPUTED_VALUE"""),-4.420372950121907)</f>
        <v>-4.42037295</v>
      </c>
      <c r="I252" s="11">
        <f>IFERROR(__xludf.DUMMYFUNCTION("""COMPUTED_VALUE"""),0.0)</f>
        <v>0</v>
      </c>
      <c r="J252" s="11">
        <f>IFERROR(__xludf.DUMMYFUNCTION("""COMPUTED_VALUE"""),10.2)</f>
        <v>10.2</v>
      </c>
      <c r="K252" s="11">
        <f>IFERROR(__xludf.DUMMYFUNCTION("""COMPUTED_VALUE"""),1.8)</f>
        <v>1.8</v>
      </c>
      <c r="L252" s="11">
        <f>IFERROR(__xludf.DUMMYFUNCTION("""COMPUTED_VALUE"""),2.1)</f>
        <v>2.1</v>
      </c>
      <c r="M252" s="11">
        <f>IFERROR(__xludf.DUMMYFUNCTION("""COMPUTED_VALUE"""),3.0)</f>
        <v>3</v>
      </c>
      <c r="N252" s="11">
        <f>IFERROR(__xludf.DUMMYFUNCTION("""COMPUTED_VALUE"""),0.7)</f>
        <v>0.7</v>
      </c>
      <c r="O252" s="11">
        <f>IFERROR(__xludf.DUMMYFUNCTION("""COMPUTED_VALUE"""),0.2)</f>
        <v>0.2</v>
      </c>
      <c r="P252" s="15">
        <f>IFERROR(__xludf.DUMMYFUNCTION("""COMPUTED_VALUE"""),0.395)</f>
        <v>0.395</v>
      </c>
      <c r="Q252" s="15">
        <f>IFERROR(__xludf.DUMMYFUNCTION("""COMPUTED_VALUE"""),0.829)</f>
        <v>0.829</v>
      </c>
      <c r="R252" s="11">
        <f>IFERROR(__xludf.DUMMYFUNCTION("""COMPUTED_VALUE"""),1.4)</f>
        <v>1.4</v>
      </c>
      <c r="S252" s="11">
        <f>IFERROR(__xludf.DUMMYFUNCTION("""COMPUTED_VALUE"""),-1.3127488208140388)</f>
        <v>-1.312748821</v>
      </c>
      <c r="T252" s="11">
        <f>IFERROR(__xludf.DUMMYFUNCTION("""COMPUTED_VALUE"""),0.05075080149290546)</f>
        <v>0.05075080149</v>
      </c>
      <c r="U252" s="11">
        <f>IFERROR(__xludf.DUMMYFUNCTION("""COMPUTED_VALUE"""),-1.5568453122646206)</f>
        <v>-1.556845312</v>
      </c>
      <c r="V252" s="11">
        <f>IFERROR(__xludf.DUMMYFUNCTION("""COMPUTED_VALUE"""),-0.42634954706274036)</f>
        <v>-0.4263495471</v>
      </c>
      <c r="W252" s="11">
        <f>IFERROR(__xludf.DUMMYFUNCTION("""COMPUTED_VALUE"""),-0.9166617668377661)</f>
        <v>-0.9166617668</v>
      </c>
      <c r="X252" s="11">
        <f>IFERROR(__xludf.DUMMYFUNCTION("""COMPUTED_VALUE"""),-0.9723047469492465)</f>
        <v>-0.9723047469</v>
      </c>
      <c r="Y252" s="11">
        <f>IFERROR(__xludf.DUMMYFUNCTION("""COMPUTED_VALUE"""),-1.0985203375702524)</f>
        <v>-1.098520338</v>
      </c>
      <c r="Z252" s="11">
        <f>IFERROR(__xludf.DUMMYFUNCTION("""COMPUTED_VALUE"""),0.16899836329962553)</f>
        <v>0.1689983633</v>
      </c>
      <c r="AA252" s="11">
        <f>IFERROR(__xludf.DUMMYFUNCTION("""COMPUTED_VALUE"""),0.08646310431960676)</f>
        <v>0.08646310432</v>
      </c>
      <c r="AB252" t="str">
        <f>IFERROR(__xludf.DUMMYFUNCTION("SUBSTITUTE(REGEXREPLACE(REGEXREPLACE(REGEXREPLACE(REGEXREPLACE(REGEXREPLACE(REGEXREPLACE(F252,"","",),IF(Projections!$T$17="""",""PG"",),),IF(Projections!$U$17="""",""SG"",),),IF(Projections!$V$17="""",""SF"",),),IF(Projections!$W$17="""",""PF"",),),IF(Pr"&amp;"ojections!$X$17="""",""C"",),),""/"","""")"),"PGSG")</f>
        <v>PGSG</v>
      </c>
    </row>
    <row r="253">
      <c r="B253">
        <f>IFERROR(__xludf.DUMMYFUNCTION("""COMPUTED_VALUE"""),248.0)</f>
        <v>248</v>
      </c>
      <c r="C253">
        <f>IFERROR(__xludf.DUMMYFUNCTION("""COMPUTED_VALUE"""),140.0)</f>
        <v>140</v>
      </c>
      <c r="D253" t="str">
        <f>IFERROR(__xludf.DUMMYFUNCTION("""COMPUTED_VALUE"""),"Moritz Wagner")</f>
        <v>Moritz Wagner</v>
      </c>
      <c r="E253">
        <f>IFERROR(__xludf.DUMMYFUNCTION("""COMPUTED_VALUE"""),71.0)</f>
        <v>71</v>
      </c>
      <c r="F253" t="str">
        <f>IFERROR(__xludf.DUMMYFUNCTION("""COMPUTED_VALUE"""),"C")</f>
        <v>C</v>
      </c>
      <c r="G253" s="11">
        <f>IFERROR(__xludf.DUMMYFUNCTION("""COMPUTED_VALUE"""),-4.422981200951386)</f>
        <v>-4.422981201</v>
      </c>
      <c r="H253" s="11">
        <f>IFERROR(__xludf.DUMMYFUNCTION("""COMPUTED_VALUE"""),-4.422981200951386)</f>
        <v>-4.422981201</v>
      </c>
      <c r="I253" s="11">
        <f>IFERROR(__xludf.DUMMYFUNCTION("""COMPUTED_VALUE"""),0.0)</f>
        <v>0</v>
      </c>
      <c r="J253" s="11">
        <f>IFERROR(__xludf.DUMMYFUNCTION("""COMPUTED_VALUE"""),10.3)</f>
        <v>10.3</v>
      </c>
      <c r="K253" s="11">
        <f>IFERROR(__xludf.DUMMYFUNCTION("""COMPUTED_VALUE"""),0.6)</f>
        <v>0.6</v>
      </c>
      <c r="L253" s="11">
        <f>IFERROR(__xludf.DUMMYFUNCTION("""COMPUTED_VALUE"""),4.2)</f>
        <v>4.2</v>
      </c>
      <c r="M253" s="11">
        <f>IFERROR(__xludf.DUMMYFUNCTION("""COMPUTED_VALUE"""),1.3)</f>
        <v>1.3</v>
      </c>
      <c r="N253" s="11">
        <f>IFERROR(__xludf.DUMMYFUNCTION("""COMPUTED_VALUE"""),0.5)</f>
        <v>0.5</v>
      </c>
      <c r="O253" s="11">
        <f>IFERROR(__xludf.DUMMYFUNCTION("""COMPUTED_VALUE"""),0.2)</f>
        <v>0.2</v>
      </c>
      <c r="P253" s="15">
        <f>IFERROR(__xludf.DUMMYFUNCTION("""COMPUTED_VALUE"""),0.56)</f>
        <v>0.56</v>
      </c>
      <c r="Q253" s="15">
        <f>IFERROR(__xludf.DUMMYFUNCTION("""COMPUTED_VALUE"""),0.826)</f>
        <v>0.826</v>
      </c>
      <c r="R253" s="11">
        <f>IFERROR(__xludf.DUMMYFUNCTION("""COMPUTED_VALUE"""),1.2)</f>
        <v>1.2</v>
      </c>
      <c r="S253" s="11">
        <f>IFERROR(__xludf.DUMMYFUNCTION("""COMPUTED_VALUE"""),-1.2946840188507724)</f>
        <v>-1.294684019</v>
      </c>
      <c r="T253" s="11">
        <f>IFERROR(__xludf.DUMMYFUNCTION("""COMPUTED_VALUE"""),-1.1435407868855925)</f>
        <v>-1.143540787</v>
      </c>
      <c r="U253" s="11">
        <f>IFERROR(__xludf.DUMMYFUNCTION("""COMPUTED_VALUE"""),-0.733091518640206)</f>
        <v>-0.7330915186</v>
      </c>
      <c r="V253" s="11">
        <f>IFERROR(__xludf.DUMMYFUNCTION("""COMPUTED_VALUE"""),-1.2008996442390003)</f>
        <v>-1.200899644</v>
      </c>
      <c r="W253" s="11">
        <f>IFERROR(__xludf.DUMMYFUNCTION("""COMPUTED_VALUE"""),-1.5805271231567248)</f>
        <v>-1.580527123</v>
      </c>
      <c r="X253" s="11">
        <f>IFERROR(__xludf.DUMMYFUNCTION("""COMPUTED_VALUE"""),-0.9723047469492465)</f>
        <v>-0.9723047469</v>
      </c>
      <c r="Y253" s="11">
        <f>IFERROR(__xludf.DUMMYFUNCTION("""COMPUTED_VALUE"""),0.4882400576171859)</f>
        <v>0.4882400576</v>
      </c>
      <c r="Z253" s="11">
        <f>IFERROR(__xludf.DUMMYFUNCTION("""COMPUTED_VALUE"""),0.29723992572466573)</f>
        <v>0.2972399257</v>
      </c>
      <c r="AA253" s="11">
        <f>IFERROR(__xludf.DUMMYFUNCTION("""COMPUTED_VALUE"""),0.13605953127158005)</f>
        <v>0.1360595313</v>
      </c>
      <c r="AB253" t="str">
        <f>IFERROR(__xludf.DUMMYFUNCTION("SUBSTITUTE(REGEXREPLACE(REGEXREPLACE(REGEXREPLACE(REGEXREPLACE(REGEXREPLACE(REGEXREPLACE(F253,"","",),IF(Projections!$T$17="""",""PG"",),),IF(Projections!$U$17="""",""SG"",),),IF(Projections!$V$17="""",""SF"",),),IF(Projections!$W$17="""",""PF"",),),IF(Pr"&amp;"ojections!$X$17="""",""C"",),),""/"","""")"),"C")</f>
        <v>C</v>
      </c>
    </row>
    <row r="254">
      <c r="B254">
        <f>IFERROR(__xludf.DUMMYFUNCTION("""COMPUTED_VALUE"""),249.0)</f>
        <v>249</v>
      </c>
      <c r="C254">
        <f>IFERROR(__xludf.DUMMYFUNCTION("""COMPUTED_VALUE"""),145.1)</f>
        <v>145.1</v>
      </c>
      <c r="D254" t="str">
        <f>IFERROR(__xludf.DUMMYFUNCTION("""COMPUTED_VALUE"""),"Isaiah Stewart")</f>
        <v>Isaiah Stewart</v>
      </c>
      <c r="E254">
        <f>IFERROR(__xludf.DUMMYFUNCTION("""COMPUTED_VALUE"""),71.0)</f>
        <v>71</v>
      </c>
      <c r="F254" t="str">
        <f>IFERROR(__xludf.DUMMYFUNCTION("""COMPUTED_VALUE"""),"PF,C")</f>
        <v>PF,C</v>
      </c>
      <c r="G254" s="11">
        <f>IFERROR(__xludf.DUMMYFUNCTION("""COMPUTED_VALUE"""),-4.454302312750066)</f>
        <v>-4.454302313</v>
      </c>
      <c r="H254" s="11">
        <f>IFERROR(__xludf.DUMMYFUNCTION("""COMPUTED_VALUE"""),-4.454302312750066)</f>
        <v>-4.454302313</v>
      </c>
      <c r="I254" s="11">
        <f>IFERROR(__xludf.DUMMYFUNCTION("""COMPUTED_VALUE"""),0.0)</f>
        <v>0</v>
      </c>
      <c r="J254" s="11">
        <f>IFERROR(__xludf.DUMMYFUNCTION("""COMPUTED_VALUE"""),8.4)</f>
        <v>8.4</v>
      </c>
      <c r="K254" s="11">
        <f>IFERROR(__xludf.DUMMYFUNCTION("""COMPUTED_VALUE"""),1.1)</f>
        <v>1.1</v>
      </c>
      <c r="L254" s="11">
        <f>IFERROR(__xludf.DUMMYFUNCTION("""COMPUTED_VALUE"""),5.6)</f>
        <v>5.6</v>
      </c>
      <c r="M254" s="11">
        <f>IFERROR(__xludf.DUMMYFUNCTION("""COMPUTED_VALUE"""),1.1)</f>
        <v>1.1</v>
      </c>
      <c r="N254" s="11">
        <f>IFERROR(__xludf.DUMMYFUNCTION("""COMPUTED_VALUE"""),0.3)</f>
        <v>0.3</v>
      </c>
      <c r="O254" s="11">
        <f>IFERROR(__xludf.DUMMYFUNCTION("""COMPUTED_VALUE"""),0.6)</f>
        <v>0.6</v>
      </c>
      <c r="P254" s="15">
        <f>IFERROR(__xludf.DUMMYFUNCTION("""COMPUTED_VALUE"""),0.462)</f>
        <v>0.462</v>
      </c>
      <c r="Q254" s="15">
        <f>IFERROR(__xludf.DUMMYFUNCTION("""COMPUTED_VALUE"""),0.743)</f>
        <v>0.743</v>
      </c>
      <c r="R254" s="11">
        <f>IFERROR(__xludf.DUMMYFUNCTION("""COMPUTED_VALUE"""),1.1)</f>
        <v>1.1</v>
      </c>
      <c r="S254" s="11">
        <f>IFERROR(__xludf.DUMMYFUNCTION("""COMPUTED_VALUE"""),-1.637915256152831)</f>
        <v>-1.637915256</v>
      </c>
      <c r="T254" s="11">
        <f>IFERROR(__xludf.DUMMYFUNCTION("""COMPUTED_VALUE"""),-0.645919291727885)</f>
        <v>-0.6459192917</v>
      </c>
      <c r="U254" s="11">
        <f>IFERROR(__xludf.DUMMYFUNCTION("""COMPUTED_VALUE"""),-0.1839223228905965)</f>
        <v>-0.1839223229</v>
      </c>
      <c r="V254" s="11">
        <f>IFERROR(__xludf.DUMMYFUNCTION("""COMPUTED_VALUE"""),-1.2920231850832664)</f>
        <v>-1.292023185</v>
      </c>
      <c r="W254" s="11">
        <f>IFERROR(__xludf.DUMMYFUNCTION("""COMPUTED_VALUE"""),-2.2443924794756835)</f>
        <v>-2.244392479</v>
      </c>
      <c r="X254" s="11">
        <f>IFERROR(__xludf.DUMMYFUNCTION("""COMPUTED_VALUE"""),-0.25872993873862127)</f>
        <v>-0.2587299387</v>
      </c>
      <c r="Y254" s="11">
        <f>IFERROR(__xludf.DUMMYFUNCTION("""COMPUTED_VALUE"""),-0.26572210128596624)</f>
        <v>-0.2657221013</v>
      </c>
      <c r="Z254" s="11">
        <f>IFERROR(__xludf.DUMMYFUNCTION("""COMPUTED_VALUE"""),-0.3309279616184654)</f>
        <v>-0.3309279616</v>
      </c>
      <c r="AA254" s="11">
        <f>IFERROR(__xludf.DUMMYFUNCTION("""COMPUTED_VALUE"""),0.16085774474756667)</f>
        <v>0.1608577447</v>
      </c>
      <c r="AB254" t="str">
        <f>IFERROR(__xludf.DUMMYFUNCTION("SUBSTITUTE(REGEXREPLACE(REGEXREPLACE(REGEXREPLACE(REGEXREPLACE(REGEXREPLACE(REGEXREPLACE(F254,"","",),IF(Projections!$T$17="""",""PG"",),),IF(Projections!$U$17="""",""SG"",),),IF(Projections!$V$17="""",""SF"",),),IF(Projections!$W$17="""",""PF"",),),IF(Pr"&amp;"ojections!$X$17="""",""C"",),),""/"","""")"),"PFC")</f>
        <v>PFC</v>
      </c>
    </row>
    <row r="255">
      <c r="B255">
        <f>IFERROR(__xludf.DUMMYFUNCTION("""COMPUTED_VALUE"""),250.0)</f>
        <v>250</v>
      </c>
      <c r="D255" t="str">
        <f>IFERROR(__xludf.DUMMYFUNCTION("""COMPUTED_VALUE"""),"Dean Wade")</f>
        <v>Dean Wade</v>
      </c>
      <c r="E255">
        <f>IFERROR(__xludf.DUMMYFUNCTION("""COMPUTED_VALUE"""),59.0)</f>
        <v>59</v>
      </c>
      <c r="F255" t="str">
        <f>IFERROR(__xludf.DUMMYFUNCTION("""COMPUTED_VALUE"""),"SF,PF")</f>
        <v>SF,PF</v>
      </c>
      <c r="G255" s="11">
        <f>IFERROR(__xludf.DUMMYFUNCTION("""COMPUTED_VALUE"""),-4.505338127740025)</f>
        <v>-4.505338128</v>
      </c>
      <c r="H255" s="11">
        <f>IFERROR(__xludf.DUMMYFUNCTION("""COMPUTED_VALUE"""),-4.505338127740025)</f>
        <v>-4.505338128</v>
      </c>
      <c r="I255" s="11">
        <f>IFERROR(__xludf.DUMMYFUNCTION("""COMPUTED_VALUE"""),0.0)</f>
        <v>0</v>
      </c>
      <c r="J255" s="11">
        <f>IFERROR(__xludf.DUMMYFUNCTION("""COMPUTED_VALUE"""),4.9)</f>
        <v>4.9</v>
      </c>
      <c r="K255" s="11">
        <f>IFERROR(__xludf.DUMMYFUNCTION("""COMPUTED_VALUE"""),1.2)</f>
        <v>1.2</v>
      </c>
      <c r="L255" s="11">
        <f>IFERROR(__xludf.DUMMYFUNCTION("""COMPUTED_VALUE"""),3.6)</f>
        <v>3.6</v>
      </c>
      <c r="M255" s="11">
        <f>IFERROR(__xludf.DUMMYFUNCTION("""COMPUTED_VALUE"""),0.8)</f>
        <v>0.8</v>
      </c>
      <c r="N255" s="11">
        <f>IFERROR(__xludf.DUMMYFUNCTION("""COMPUTED_VALUE"""),0.7)</f>
        <v>0.7</v>
      </c>
      <c r="O255" s="11">
        <f>IFERROR(__xludf.DUMMYFUNCTION("""COMPUTED_VALUE"""),0.5)</f>
        <v>0.5</v>
      </c>
      <c r="P255" s="15">
        <f>IFERROR(__xludf.DUMMYFUNCTION("""COMPUTED_VALUE"""),0.414)</f>
        <v>0.414</v>
      </c>
      <c r="Q255" s="15">
        <f>IFERROR(__xludf.DUMMYFUNCTION("""COMPUTED_VALUE"""),0.708)</f>
        <v>0.708</v>
      </c>
      <c r="R255" s="11">
        <f>IFERROR(__xludf.DUMMYFUNCTION("""COMPUTED_VALUE"""),0.4)</f>
        <v>0.4</v>
      </c>
      <c r="S255" s="11">
        <f>IFERROR(__xludf.DUMMYFUNCTION("""COMPUTED_VALUE"""),-2.270183324867149)</f>
        <v>-2.270183325</v>
      </c>
      <c r="T255" s="11">
        <f>IFERROR(__xludf.DUMMYFUNCTION("""COMPUTED_VALUE"""),-0.5463949926963436)</f>
        <v>-0.5463949927</v>
      </c>
      <c r="U255" s="11">
        <f>IFERROR(__xludf.DUMMYFUNCTION("""COMPUTED_VALUE"""),-0.9684497453900388)</f>
        <v>-0.9684497454</v>
      </c>
      <c r="V255" s="11">
        <f>IFERROR(__xludf.DUMMYFUNCTION("""COMPUTED_VALUE"""),-1.428708496349665)</f>
        <v>-1.428708496</v>
      </c>
      <c r="W255" s="11">
        <f>IFERROR(__xludf.DUMMYFUNCTION("""COMPUTED_VALUE"""),-0.9166617668377661)</f>
        <v>-0.9166617668</v>
      </c>
      <c r="X255" s="11">
        <f>IFERROR(__xludf.DUMMYFUNCTION("""COMPUTED_VALUE"""),-0.4371236407912776)</f>
        <v>-0.4371236408</v>
      </c>
      <c r="Y255" s="11">
        <f>IFERROR(__xludf.DUMMYFUNCTION("""COMPUTED_VALUE"""),-0.38854546860351)</f>
        <v>-0.3885454686</v>
      </c>
      <c r="Z255" s="11">
        <f>IFERROR(__xludf.DUMMYFUNCTION("""COMPUTED_VALUE"""),-0.15389925615089628)</f>
        <v>-0.1538992562</v>
      </c>
      <c r="AA255" s="11">
        <f>IFERROR(__xludf.DUMMYFUNCTION("""COMPUTED_VALUE"""),0.3344452390794733)</f>
        <v>0.3344452391</v>
      </c>
      <c r="AB255" t="str">
        <f>IFERROR(__xludf.DUMMYFUNCTION("SUBSTITUTE(REGEXREPLACE(REGEXREPLACE(REGEXREPLACE(REGEXREPLACE(REGEXREPLACE(REGEXREPLACE(F255,"","",),IF(Projections!$T$17="""",""PG"",),),IF(Projections!$U$17="""",""SG"",),),IF(Projections!$V$17="""",""SF"",),),IF(Projections!$W$17="""",""PF"",),),IF(Pr"&amp;"ojections!$X$17="""",""C"",),),""/"","""")"),"SFPF")</f>
        <v>SFPF</v>
      </c>
    </row>
    <row r="256">
      <c r="B256">
        <f>IFERROR(__xludf.DUMMYFUNCTION("""COMPUTED_VALUE"""),251.0)</f>
        <v>251</v>
      </c>
      <c r="D256" t="str">
        <f>IFERROR(__xludf.DUMMYFUNCTION("""COMPUTED_VALUE"""),"Luke Kornet")</f>
        <v>Luke Kornet</v>
      </c>
      <c r="E256">
        <f>IFERROR(__xludf.DUMMYFUNCTION("""COMPUTED_VALUE"""),66.0)</f>
        <v>66</v>
      </c>
      <c r="F256" t="str">
        <f>IFERROR(__xludf.DUMMYFUNCTION("""COMPUTED_VALUE"""),"C")</f>
        <v>C</v>
      </c>
      <c r="G256" s="11">
        <f>IFERROR(__xludf.DUMMYFUNCTION("""COMPUTED_VALUE"""),-4.506182456134563)</f>
        <v>-4.506182456</v>
      </c>
      <c r="H256" s="11">
        <f>IFERROR(__xludf.DUMMYFUNCTION("""COMPUTED_VALUE"""),-4.506182456134563)</f>
        <v>-4.506182456</v>
      </c>
      <c r="I256" s="11">
        <f>IFERROR(__xludf.DUMMYFUNCTION("""COMPUTED_VALUE"""),0.0)</f>
        <v>0</v>
      </c>
      <c r="J256" s="11">
        <f>IFERROR(__xludf.DUMMYFUNCTION("""COMPUTED_VALUE"""),5.3)</f>
        <v>5.3</v>
      </c>
      <c r="K256" s="11">
        <f>IFERROR(__xludf.DUMMYFUNCTION("""COMPUTED_VALUE"""),0.0)</f>
        <v>0</v>
      </c>
      <c r="L256" s="11">
        <f>IFERROR(__xludf.DUMMYFUNCTION("""COMPUTED_VALUE"""),4.0)</f>
        <v>4</v>
      </c>
      <c r="M256" s="11">
        <f>IFERROR(__xludf.DUMMYFUNCTION("""COMPUTED_VALUE"""),1.1)</f>
        <v>1.1</v>
      </c>
      <c r="N256" s="11">
        <f>IFERROR(__xludf.DUMMYFUNCTION("""COMPUTED_VALUE"""),0.3)</f>
        <v>0.3</v>
      </c>
      <c r="O256" s="11">
        <f>IFERROR(__xludf.DUMMYFUNCTION("""COMPUTED_VALUE"""),0.9)</f>
        <v>0.9</v>
      </c>
      <c r="P256" s="15">
        <f>IFERROR(__xludf.DUMMYFUNCTION("""COMPUTED_VALUE"""),0.684)</f>
        <v>0.684</v>
      </c>
      <c r="Q256" s="15">
        <f>IFERROR(__xludf.DUMMYFUNCTION("""COMPUTED_VALUE"""),0.866)</f>
        <v>0.866</v>
      </c>
      <c r="R256" s="11">
        <f>IFERROR(__xludf.DUMMYFUNCTION("""COMPUTED_VALUE"""),0.4)</f>
        <v>0.4</v>
      </c>
      <c r="S256" s="11">
        <f>IFERROR(__xludf.DUMMYFUNCTION("""COMPUTED_VALUE"""),-2.197924117014084)</f>
        <v>-2.197924117</v>
      </c>
      <c r="T256" s="11">
        <f>IFERROR(__xludf.DUMMYFUNCTION("""COMPUTED_VALUE"""),-1.7406865810748415)</f>
        <v>-1.740686581</v>
      </c>
      <c r="U256" s="11">
        <f>IFERROR(__xludf.DUMMYFUNCTION("""COMPUTED_VALUE"""),-0.8115442608901504)</f>
        <v>-0.8115442609</v>
      </c>
      <c r="V256" s="11">
        <f>IFERROR(__xludf.DUMMYFUNCTION("""COMPUTED_VALUE"""),-1.2920231850832664)</f>
        <v>-1.292023185</v>
      </c>
      <c r="W256" s="11">
        <f>IFERROR(__xludf.DUMMYFUNCTION("""COMPUTED_VALUE"""),-2.2443924794756835)</f>
        <v>-2.244392479</v>
      </c>
      <c r="X256" s="11">
        <f>IFERROR(__xludf.DUMMYFUNCTION("""COMPUTED_VALUE"""),0.27645116741934783)</f>
        <v>0.2764511674</v>
      </c>
      <c r="Y256" s="11">
        <f>IFERROR(__xludf.DUMMYFUNCTION("""COMPUTED_VALUE"""),0.7237028028524598)</f>
        <v>0.7237028029</v>
      </c>
      <c r="Z256" s="11">
        <f>IFERROR(__xludf.DUMMYFUNCTION("""COMPUTED_VALUE"""),0.20139647857649925)</f>
        <v>0.2013964786</v>
      </c>
      <c r="AA256" s="11">
        <f>IFERROR(__xludf.DUMMYFUNCTION("""COMPUTED_VALUE"""),0.3344452390794733)</f>
        <v>0.3344452391</v>
      </c>
      <c r="AB256" t="str">
        <f>IFERROR(__xludf.DUMMYFUNCTION("SUBSTITUTE(REGEXREPLACE(REGEXREPLACE(REGEXREPLACE(REGEXREPLACE(REGEXREPLACE(REGEXREPLACE(F256,"","",),IF(Projections!$T$17="""",""PG"",),),IF(Projections!$U$17="""",""SG"",),),IF(Projections!$V$17="""",""SF"",),),IF(Projections!$W$17="""",""PF"",),),IF(Pr"&amp;"ojections!$X$17="""",""C"",),),""/"","""")"),"C")</f>
        <v>C</v>
      </c>
    </row>
    <row r="257">
      <c r="B257">
        <f>IFERROR(__xludf.DUMMYFUNCTION("""COMPUTED_VALUE"""),252.0)</f>
        <v>252</v>
      </c>
      <c r="D257" t="str">
        <f>IFERROR(__xludf.DUMMYFUNCTION("""COMPUTED_VALUE"""),"Gary Payton II")</f>
        <v>Gary Payton II</v>
      </c>
      <c r="E257">
        <f>IFERROR(__xludf.DUMMYFUNCTION("""COMPUTED_VALUE"""),75.0)</f>
        <v>75</v>
      </c>
      <c r="F257" t="str">
        <f>IFERROR(__xludf.DUMMYFUNCTION("""COMPUTED_VALUE"""),"SG,SF")</f>
        <v>SG,SF</v>
      </c>
      <c r="G257" s="11">
        <f>IFERROR(__xludf.DUMMYFUNCTION("""COMPUTED_VALUE"""),-4.5119998681859705)</f>
        <v>-4.511999868</v>
      </c>
      <c r="H257" s="11">
        <f>IFERROR(__xludf.DUMMYFUNCTION("""COMPUTED_VALUE"""),-4.5119998681859705)</f>
        <v>-4.511999868</v>
      </c>
      <c r="I257" s="11">
        <f>IFERROR(__xludf.DUMMYFUNCTION("""COMPUTED_VALUE"""),0.0)</f>
        <v>0</v>
      </c>
      <c r="J257" s="11">
        <f>IFERROR(__xludf.DUMMYFUNCTION("""COMPUTED_VALUE"""),4.9)</f>
        <v>4.9</v>
      </c>
      <c r="K257" s="11">
        <f>IFERROR(__xludf.DUMMYFUNCTION("""COMPUTED_VALUE"""),0.5)</f>
        <v>0.5</v>
      </c>
      <c r="L257" s="11">
        <f>IFERROR(__xludf.DUMMYFUNCTION("""COMPUTED_VALUE"""),2.6)</f>
        <v>2.6</v>
      </c>
      <c r="M257" s="11">
        <f>IFERROR(__xludf.DUMMYFUNCTION("""COMPUTED_VALUE"""),1.1)</f>
        <v>1.1</v>
      </c>
      <c r="N257" s="11">
        <f>IFERROR(__xludf.DUMMYFUNCTION("""COMPUTED_VALUE"""),0.9)</f>
        <v>0.9</v>
      </c>
      <c r="O257" s="11">
        <f>IFERROR(__xludf.DUMMYFUNCTION("""COMPUTED_VALUE"""),0.3)</f>
        <v>0.3</v>
      </c>
      <c r="P257" s="15">
        <f>IFERROR(__xludf.DUMMYFUNCTION("""COMPUTED_VALUE"""),0.572)</f>
        <v>0.572</v>
      </c>
      <c r="Q257" s="15">
        <f>IFERROR(__xludf.DUMMYFUNCTION("""COMPUTED_VALUE"""),0.674)</f>
        <v>0.674</v>
      </c>
      <c r="R257" s="11">
        <f>IFERROR(__xludf.DUMMYFUNCTION("""COMPUTED_VALUE"""),0.6)</f>
        <v>0.6</v>
      </c>
      <c r="S257" s="11">
        <f>IFERROR(__xludf.DUMMYFUNCTION("""COMPUTED_VALUE"""),-2.270183324867149)</f>
        <v>-2.270183325</v>
      </c>
      <c r="T257" s="11">
        <f>IFERROR(__xludf.DUMMYFUNCTION("""COMPUTED_VALUE"""),-1.2430650859171342)</f>
        <v>-1.243065086</v>
      </c>
      <c r="U257" s="11">
        <f>IFERROR(__xludf.DUMMYFUNCTION("""COMPUTED_VALUE"""),-1.36071345663976)</f>
        <v>-1.360713457</v>
      </c>
      <c r="V257" s="11">
        <f>IFERROR(__xludf.DUMMYFUNCTION("""COMPUTED_VALUE"""),-1.2920231850832664)</f>
        <v>-1.292023185</v>
      </c>
      <c r="W257" s="11">
        <f>IFERROR(__xludf.DUMMYFUNCTION("""COMPUTED_VALUE"""),-0.25279641051880714)</f>
        <v>-0.2527964105</v>
      </c>
      <c r="X257" s="11">
        <f>IFERROR(__xludf.DUMMYFUNCTION("""COMPUTED_VALUE"""),-0.7939110448965904)</f>
        <v>-0.7939110449</v>
      </c>
      <c r="Y257" s="11">
        <f>IFERROR(__xludf.DUMMYFUNCTION("""COMPUTED_VALUE"""),0.31694319818878497)</f>
        <v>0.3169431982</v>
      </c>
      <c r="Z257" s="11">
        <f>IFERROR(__xludf.DUMMYFUNCTION("""COMPUTED_VALUE"""),-0.17128269544669708)</f>
        <v>-0.1712826954</v>
      </c>
      <c r="AA257" s="11">
        <f>IFERROR(__xludf.DUMMYFUNCTION("""COMPUTED_VALUE"""),0.28484881212749996)</f>
        <v>0.2848488121</v>
      </c>
      <c r="AB257" t="str">
        <f>IFERROR(__xludf.DUMMYFUNCTION("SUBSTITUTE(REGEXREPLACE(REGEXREPLACE(REGEXREPLACE(REGEXREPLACE(REGEXREPLACE(REGEXREPLACE(F257,"","",),IF(Projections!$T$17="""",""PG"",),),IF(Projections!$U$17="""",""SG"",),),IF(Projections!$V$17="""",""SF"",),),IF(Projections!$W$17="""",""PF"",),),IF(Pr"&amp;"ojections!$X$17="""",""C"",),),""/"","""")"),"SGSF")</f>
        <v>SGSF</v>
      </c>
    </row>
    <row r="258">
      <c r="B258">
        <f>IFERROR(__xludf.DUMMYFUNCTION("""COMPUTED_VALUE"""),253.0)</f>
        <v>253</v>
      </c>
      <c r="D258" t="str">
        <f>IFERROR(__xludf.DUMMYFUNCTION("""COMPUTED_VALUE"""),"Derrick Jones Jr.")</f>
        <v>Derrick Jones Jr.</v>
      </c>
      <c r="E258">
        <f>IFERROR(__xludf.DUMMYFUNCTION("""COMPUTED_VALUE"""),71.0)</f>
        <v>71</v>
      </c>
      <c r="F258" t="str">
        <f>IFERROR(__xludf.DUMMYFUNCTION("""COMPUTED_VALUE"""),"SF,PF")</f>
        <v>SF,PF</v>
      </c>
      <c r="G258" s="11">
        <f>IFERROR(__xludf.DUMMYFUNCTION("""COMPUTED_VALUE"""),-4.565685148024511)</f>
        <v>-4.565685148</v>
      </c>
      <c r="H258" s="11">
        <f>IFERROR(__xludf.DUMMYFUNCTION("""COMPUTED_VALUE"""),-4.565685148024511)</f>
        <v>-4.565685148</v>
      </c>
      <c r="I258" s="11">
        <f>IFERROR(__xludf.DUMMYFUNCTION("""COMPUTED_VALUE"""),0.0)</f>
        <v>0</v>
      </c>
      <c r="J258" s="11">
        <f>IFERROR(__xludf.DUMMYFUNCTION("""COMPUTED_VALUE"""),8.0)</f>
        <v>8</v>
      </c>
      <c r="K258" s="11">
        <f>IFERROR(__xludf.DUMMYFUNCTION("""COMPUTED_VALUE"""),0.9)</f>
        <v>0.9</v>
      </c>
      <c r="L258" s="11">
        <f>IFERROR(__xludf.DUMMYFUNCTION("""COMPUTED_VALUE"""),3.3)</f>
        <v>3.3</v>
      </c>
      <c r="M258" s="11">
        <f>IFERROR(__xludf.DUMMYFUNCTION("""COMPUTED_VALUE"""),0.9)</f>
        <v>0.9</v>
      </c>
      <c r="N258" s="11">
        <f>IFERROR(__xludf.DUMMYFUNCTION("""COMPUTED_VALUE"""),0.7)</f>
        <v>0.7</v>
      </c>
      <c r="O258" s="11">
        <f>IFERROR(__xludf.DUMMYFUNCTION("""COMPUTED_VALUE"""),0.7)</f>
        <v>0.7</v>
      </c>
      <c r="P258" s="15">
        <f>IFERROR(__xludf.DUMMYFUNCTION("""COMPUTED_VALUE"""),0.488)</f>
        <v>0.488</v>
      </c>
      <c r="Q258" s="15">
        <f>IFERROR(__xludf.DUMMYFUNCTION("""COMPUTED_VALUE"""),0.724)</f>
        <v>0.724</v>
      </c>
      <c r="R258" s="11">
        <f>IFERROR(__xludf.DUMMYFUNCTION("""COMPUTED_VALUE"""),0.7)</f>
        <v>0.7</v>
      </c>
      <c r="S258" s="11">
        <f>IFERROR(__xludf.DUMMYFUNCTION("""COMPUTED_VALUE"""),-1.710174464005896)</f>
        <v>-1.710174464</v>
      </c>
      <c r="T258" s="11">
        <f>IFERROR(__xludf.DUMMYFUNCTION("""COMPUTED_VALUE"""),-0.844967889790968)</f>
        <v>-0.8449678898</v>
      </c>
      <c r="U258" s="11">
        <f>IFERROR(__xludf.DUMMYFUNCTION("""COMPUTED_VALUE"""),-1.0861288587649554)</f>
        <v>-1.086128859</v>
      </c>
      <c r="V258" s="11">
        <f>IFERROR(__xludf.DUMMYFUNCTION("""COMPUTED_VALUE"""),-1.3831467259275323)</f>
        <v>-1.383146726</v>
      </c>
      <c r="W258" s="11">
        <f>IFERROR(__xludf.DUMMYFUNCTION("""COMPUTED_VALUE"""),-0.9166617668377661)</f>
        <v>-0.9166617668</v>
      </c>
      <c r="X258" s="11">
        <f>IFERROR(__xludf.DUMMYFUNCTION("""COMPUTED_VALUE"""),-0.08033623668596498)</f>
        <v>-0.08033623669</v>
      </c>
      <c r="Y258" s="11">
        <f>IFERROR(__xludf.DUMMYFUNCTION("""COMPUTED_VALUE"""),-0.06244979705121582)</f>
        <v>-0.06244979705</v>
      </c>
      <c r="Z258" s="11">
        <f>IFERROR(__xludf.DUMMYFUNCTION("""COMPUTED_VALUE"""),-0.4520444716176215)</f>
        <v>-0.4520444716</v>
      </c>
      <c r="AA258" s="11">
        <f>IFERROR(__xludf.DUMMYFUNCTION("""COMPUTED_VALUE"""),0.26005059865151336)</f>
        <v>0.2600505987</v>
      </c>
      <c r="AB258" t="str">
        <f>IFERROR(__xludf.DUMMYFUNCTION("SUBSTITUTE(REGEXREPLACE(REGEXREPLACE(REGEXREPLACE(REGEXREPLACE(REGEXREPLACE(REGEXREPLACE(F258,"","",),IF(Projections!$T$17="""",""PG"",),),IF(Projections!$U$17="""",""SG"",),),IF(Projections!$V$17="""",""SF"",),),IF(Projections!$W$17="""",""PF"",),),IF(Pr"&amp;"ojections!$X$17="""",""C"",),),""/"","""")"),"SFPF")</f>
        <v>SFPF</v>
      </c>
    </row>
    <row r="259">
      <c r="B259">
        <f>IFERROR(__xludf.DUMMYFUNCTION("""COMPUTED_VALUE"""),254.0)</f>
        <v>254</v>
      </c>
      <c r="D259" t="str">
        <f>IFERROR(__xludf.DUMMYFUNCTION("""COMPUTED_VALUE"""),"Gabe Vincent")</f>
        <v>Gabe Vincent</v>
      </c>
      <c r="E259">
        <f>IFERROR(__xludf.DUMMYFUNCTION("""COMPUTED_VALUE"""),71.0)</f>
        <v>71</v>
      </c>
      <c r="F259" t="str">
        <f>IFERROR(__xludf.DUMMYFUNCTION("""COMPUTED_VALUE"""),"PG,SG")</f>
        <v>PG,SG</v>
      </c>
      <c r="G259" s="11">
        <f>IFERROR(__xludf.DUMMYFUNCTION("""COMPUTED_VALUE"""),-4.584754091481123)</f>
        <v>-4.584754091</v>
      </c>
      <c r="H259" s="11">
        <f>IFERROR(__xludf.DUMMYFUNCTION("""COMPUTED_VALUE"""),-4.584754091481123)</f>
        <v>-4.584754091</v>
      </c>
      <c r="I259" s="11">
        <f>IFERROR(__xludf.DUMMYFUNCTION("""COMPUTED_VALUE"""),0.0)</f>
        <v>0</v>
      </c>
      <c r="J259" s="11">
        <f>IFERROR(__xludf.DUMMYFUNCTION("""COMPUTED_VALUE"""),8.4)</f>
        <v>8.4</v>
      </c>
      <c r="K259" s="11">
        <f>IFERROR(__xludf.DUMMYFUNCTION("""COMPUTED_VALUE"""),1.5)</f>
        <v>1.5</v>
      </c>
      <c r="L259" s="11">
        <f>IFERROR(__xludf.DUMMYFUNCTION("""COMPUTED_VALUE"""),1.9)</f>
        <v>1.9</v>
      </c>
      <c r="M259" s="11">
        <f>IFERROR(__xludf.DUMMYFUNCTION("""COMPUTED_VALUE"""),2.3)</f>
        <v>2.3</v>
      </c>
      <c r="N259" s="11">
        <f>IFERROR(__xludf.DUMMYFUNCTION("""COMPUTED_VALUE"""),0.9)</f>
        <v>0.9</v>
      </c>
      <c r="O259" s="11">
        <f>IFERROR(__xludf.DUMMYFUNCTION("""COMPUTED_VALUE"""),0.1)</f>
        <v>0.1</v>
      </c>
      <c r="P259" s="15">
        <f>IFERROR(__xludf.DUMMYFUNCTION("""COMPUTED_VALUE"""),0.395)</f>
        <v>0.395</v>
      </c>
      <c r="Q259" s="15">
        <f>IFERROR(__xludf.DUMMYFUNCTION("""COMPUTED_VALUE"""),0.86)</f>
        <v>0.86</v>
      </c>
      <c r="R259" s="11">
        <f>IFERROR(__xludf.DUMMYFUNCTION("""COMPUTED_VALUE"""),1.2)</f>
        <v>1.2</v>
      </c>
      <c r="S259" s="11">
        <f>IFERROR(__xludf.DUMMYFUNCTION("""COMPUTED_VALUE"""),-1.637915256152831)</f>
        <v>-1.637915256</v>
      </c>
      <c r="T259" s="11">
        <f>IFERROR(__xludf.DUMMYFUNCTION("""COMPUTED_VALUE"""),-0.24782209560171908)</f>
        <v>-0.2478220956</v>
      </c>
      <c r="U259" s="11">
        <f>IFERROR(__xludf.DUMMYFUNCTION("""COMPUTED_VALUE"""),-1.6352980545145652)</f>
        <v>-1.635298055</v>
      </c>
      <c r="V259" s="11">
        <f>IFERROR(__xludf.DUMMYFUNCTION("""COMPUTED_VALUE"""),-0.745281940017671)</f>
        <v>-0.74528194</v>
      </c>
      <c r="W259" s="11">
        <f>IFERROR(__xludf.DUMMYFUNCTION("""COMPUTED_VALUE"""),-0.25279641051880714)</f>
        <v>-0.2527964105</v>
      </c>
      <c r="X259" s="11">
        <f>IFERROR(__xludf.DUMMYFUNCTION("""COMPUTED_VALUE"""),-1.150698449001903)</f>
        <v>-1.150698449</v>
      </c>
      <c r="Y259" s="11">
        <f>IFERROR(__xludf.DUMMYFUNCTION("""COMPUTED_VALUE"""),-0.9194137607924938)</f>
        <v>-0.9194137608</v>
      </c>
      <c r="Z259" s="11">
        <f>IFERROR(__xludf.DUMMYFUNCTION("""COMPUTED_VALUE"""),0.23049708769445632)</f>
        <v>0.2304970877</v>
      </c>
      <c r="AA259" s="11">
        <f>IFERROR(__xludf.DUMMYFUNCTION("""COMPUTED_VALUE"""),0.13605953127158005)</f>
        <v>0.1360595313</v>
      </c>
      <c r="AB259" t="str">
        <f>IFERROR(__xludf.DUMMYFUNCTION("SUBSTITUTE(REGEXREPLACE(REGEXREPLACE(REGEXREPLACE(REGEXREPLACE(REGEXREPLACE(REGEXREPLACE(F259,"","",),IF(Projections!$T$17="""",""PG"",),),IF(Projections!$U$17="""",""SG"",),),IF(Projections!$V$17="""",""SF"",),),IF(Projections!$W$17="""",""PF"",),),IF(Pr"&amp;"ojections!$X$17="""",""C"",),),""/"","""")"),"PGSG")</f>
        <v>PGSG</v>
      </c>
    </row>
    <row r="260">
      <c r="B260">
        <f>IFERROR(__xludf.DUMMYFUNCTION("""COMPUTED_VALUE"""),255.0)</f>
        <v>255</v>
      </c>
      <c r="D260" t="str">
        <f>IFERROR(__xludf.DUMMYFUNCTION("""COMPUTED_VALUE"""),"Toumani Camara")</f>
        <v>Toumani Camara</v>
      </c>
      <c r="E260">
        <f>IFERROR(__xludf.DUMMYFUNCTION("""COMPUTED_VALUE"""),71.0)</f>
        <v>71</v>
      </c>
      <c r="F260" t="str">
        <f>IFERROR(__xludf.DUMMYFUNCTION("""COMPUTED_VALUE"""),"PF")</f>
        <v>PF</v>
      </c>
      <c r="G260" s="11">
        <f>IFERROR(__xludf.DUMMYFUNCTION("""COMPUTED_VALUE"""),-4.6465528942486864)</f>
        <v>-4.646552894</v>
      </c>
      <c r="H260" s="11">
        <f>IFERROR(__xludf.DUMMYFUNCTION("""COMPUTED_VALUE"""),-4.6465528942486864)</f>
        <v>-4.646552894</v>
      </c>
      <c r="I260" s="11">
        <f>IFERROR(__xludf.DUMMYFUNCTION("""COMPUTED_VALUE"""),0.0)</f>
        <v>0</v>
      </c>
      <c r="J260" s="11">
        <f>IFERROR(__xludf.DUMMYFUNCTION("""COMPUTED_VALUE"""),6.2)</f>
        <v>6.2</v>
      </c>
      <c r="K260" s="11">
        <f>IFERROR(__xludf.DUMMYFUNCTION("""COMPUTED_VALUE"""),0.7)</f>
        <v>0.7</v>
      </c>
      <c r="L260" s="11">
        <f>IFERROR(__xludf.DUMMYFUNCTION("""COMPUTED_VALUE"""),4.0)</f>
        <v>4</v>
      </c>
      <c r="M260" s="11">
        <f>IFERROR(__xludf.DUMMYFUNCTION("""COMPUTED_VALUE"""),1.0)</f>
        <v>1</v>
      </c>
      <c r="N260" s="11">
        <f>IFERROR(__xludf.DUMMYFUNCTION("""COMPUTED_VALUE"""),0.8)</f>
        <v>0.8</v>
      </c>
      <c r="O260" s="11">
        <f>IFERROR(__xludf.DUMMYFUNCTION("""COMPUTED_VALUE"""),0.4)</f>
        <v>0.4</v>
      </c>
      <c r="P260" s="15">
        <f>IFERROR(__xludf.DUMMYFUNCTION("""COMPUTED_VALUE"""),0.449)</f>
        <v>0.449</v>
      </c>
      <c r="Q260" s="15">
        <f>IFERROR(__xludf.DUMMYFUNCTION("""COMPUTED_VALUE"""),0.759)</f>
        <v>0.759</v>
      </c>
      <c r="R260" s="11">
        <f>IFERROR(__xludf.DUMMYFUNCTION("""COMPUTED_VALUE"""),1.0)</f>
        <v>1</v>
      </c>
      <c r="S260" s="11">
        <f>IFERROR(__xludf.DUMMYFUNCTION("""COMPUTED_VALUE"""),-2.035340899344688)</f>
        <v>-2.035340899</v>
      </c>
      <c r="T260" s="11">
        <f>IFERROR(__xludf.DUMMYFUNCTION("""COMPUTED_VALUE"""),-1.0440164878540512)</f>
        <v>-1.044016488</v>
      </c>
      <c r="U260" s="11">
        <f>IFERROR(__xludf.DUMMYFUNCTION("""COMPUTED_VALUE"""),-0.8115442608901504)</f>
        <v>-0.8115442609</v>
      </c>
      <c r="V260" s="11">
        <f>IFERROR(__xludf.DUMMYFUNCTION("""COMPUTED_VALUE"""),-1.3375849555053994)</f>
        <v>-1.337584956</v>
      </c>
      <c r="W260" s="11">
        <f>IFERROR(__xludf.DUMMYFUNCTION("""COMPUTED_VALUE"""),-0.5847290886782864)</f>
        <v>-0.5847290887</v>
      </c>
      <c r="X260" s="11">
        <f>IFERROR(__xludf.DUMMYFUNCTION("""COMPUTED_VALUE"""),-0.6155173428439339)</f>
        <v>-0.6155173428</v>
      </c>
      <c r="Y260" s="11">
        <f>IFERROR(__xludf.DUMMYFUNCTION("""COMPUTED_VALUE"""),-0.2861933093051783)</f>
        <v>-0.2861933093</v>
      </c>
      <c r="Z260" s="11">
        <f>IFERROR(__xludf.DUMMYFUNCTION("""COMPUTED_VALUE"""),-0.15262340739524016)</f>
        <v>-0.1526234074</v>
      </c>
      <c r="AA260" s="11">
        <f>IFERROR(__xludf.DUMMYFUNCTION("""COMPUTED_VALUE"""),0.18565595822355335)</f>
        <v>0.1856559582</v>
      </c>
      <c r="AB260" t="str">
        <f>IFERROR(__xludf.DUMMYFUNCTION("SUBSTITUTE(REGEXREPLACE(REGEXREPLACE(REGEXREPLACE(REGEXREPLACE(REGEXREPLACE(REGEXREPLACE(F260,"","",),IF(Projections!$T$17="""",""PG"",),),IF(Projections!$U$17="""",""SG"",),),IF(Projections!$V$17="""",""SF"",),),IF(Projections!$W$17="""",""PF"",),),IF(Pr"&amp;"ojections!$X$17="""",""C"",),),""/"","""")"),"PF")</f>
        <v>PF</v>
      </c>
    </row>
    <row r="261">
      <c r="B261">
        <f>IFERROR(__xludf.DUMMYFUNCTION("""COMPUTED_VALUE"""),256.0)</f>
        <v>256</v>
      </c>
      <c r="D261" t="str">
        <f>IFERROR(__xludf.DUMMYFUNCTION("""COMPUTED_VALUE"""),"Isaiah Joe")</f>
        <v>Isaiah Joe</v>
      </c>
      <c r="E261">
        <f>IFERROR(__xludf.DUMMYFUNCTION("""COMPUTED_VALUE"""),71.0)</f>
        <v>71</v>
      </c>
      <c r="F261" t="str">
        <f>IFERROR(__xludf.DUMMYFUNCTION("""COMPUTED_VALUE"""),"PG,SG")</f>
        <v>PG,SG</v>
      </c>
      <c r="G261" s="11">
        <f>IFERROR(__xludf.DUMMYFUNCTION("""COMPUTED_VALUE"""),-4.6566192301487)</f>
        <v>-4.65661923</v>
      </c>
      <c r="H261" s="11">
        <f>IFERROR(__xludf.DUMMYFUNCTION("""COMPUTED_VALUE"""),-4.6566192301487)</f>
        <v>-4.65661923</v>
      </c>
      <c r="I261" s="11">
        <f>IFERROR(__xludf.DUMMYFUNCTION("""COMPUTED_VALUE"""),0.0)</f>
        <v>0</v>
      </c>
      <c r="J261" s="11">
        <f>IFERROR(__xludf.DUMMYFUNCTION("""COMPUTED_VALUE"""),8.5)</f>
        <v>8.5</v>
      </c>
      <c r="K261" s="11">
        <f>IFERROR(__xludf.DUMMYFUNCTION("""COMPUTED_VALUE"""),2.0)</f>
        <v>2</v>
      </c>
      <c r="L261" s="11">
        <f>IFERROR(__xludf.DUMMYFUNCTION("""COMPUTED_VALUE"""),2.3)</f>
        <v>2.3</v>
      </c>
      <c r="M261" s="11">
        <f>IFERROR(__xludf.DUMMYFUNCTION("""COMPUTED_VALUE"""),1.2)</f>
        <v>1.2</v>
      </c>
      <c r="N261" s="11">
        <f>IFERROR(__xludf.DUMMYFUNCTION("""COMPUTED_VALUE"""),0.6)</f>
        <v>0.6</v>
      </c>
      <c r="O261" s="11">
        <f>IFERROR(__xludf.DUMMYFUNCTION("""COMPUTED_VALUE"""),0.2)</f>
        <v>0.2</v>
      </c>
      <c r="P261" s="15">
        <f>IFERROR(__xludf.DUMMYFUNCTION("""COMPUTED_VALUE"""),0.449)</f>
        <v>0.449</v>
      </c>
      <c r="Q261" s="15">
        <f>IFERROR(__xludf.DUMMYFUNCTION("""COMPUTED_VALUE"""),0.827)</f>
        <v>0.827</v>
      </c>
      <c r="R261" s="11">
        <f>IFERROR(__xludf.DUMMYFUNCTION("""COMPUTED_VALUE"""),0.6)</f>
        <v>0.6</v>
      </c>
      <c r="S261" s="11">
        <f>IFERROR(__xludf.DUMMYFUNCTION("""COMPUTED_VALUE"""),-1.6198504541895646)</f>
        <v>-1.619850454</v>
      </c>
      <c r="T261" s="11">
        <f>IFERROR(__xludf.DUMMYFUNCTION("""COMPUTED_VALUE"""),0.2497993995559884)</f>
        <v>0.2497993996</v>
      </c>
      <c r="U261" s="11">
        <f>IFERROR(__xludf.DUMMYFUNCTION("""COMPUTED_VALUE"""),-1.4783925700146765)</f>
        <v>-1.47839257</v>
      </c>
      <c r="V261" s="11">
        <f>IFERROR(__xludf.DUMMYFUNCTION("""COMPUTED_VALUE"""),-1.2464614146611335)</f>
        <v>-1.246461415</v>
      </c>
      <c r="W261" s="11">
        <f>IFERROR(__xludf.DUMMYFUNCTION("""COMPUTED_VALUE"""),-1.2485944449972455)</f>
        <v>-1.248594445</v>
      </c>
      <c r="X261" s="11">
        <f>IFERROR(__xludf.DUMMYFUNCTION("""COMPUTED_VALUE"""),-0.9723047469492465)</f>
        <v>-0.9723047469</v>
      </c>
      <c r="Y261" s="11">
        <f>IFERROR(__xludf.DUMMYFUNCTION("""COMPUTED_VALUE"""),-0.3591445450104198)</f>
        <v>-0.359144545</v>
      </c>
      <c r="Z261" s="11">
        <f>IFERROR(__xludf.DUMMYFUNCTION("""COMPUTED_VALUE"""),0.11363027980053378)</f>
        <v>0.1136302798</v>
      </c>
      <c r="AA261" s="11">
        <f>IFERROR(__xludf.DUMMYFUNCTION("""COMPUTED_VALUE"""),0.28484881212749996)</f>
        <v>0.2848488121</v>
      </c>
      <c r="AB261" t="str">
        <f>IFERROR(__xludf.DUMMYFUNCTION("SUBSTITUTE(REGEXREPLACE(REGEXREPLACE(REGEXREPLACE(REGEXREPLACE(REGEXREPLACE(REGEXREPLACE(F261,"","",),IF(Projections!$T$17="""",""PG"",),),IF(Projections!$U$17="""",""SG"",),),IF(Projections!$V$17="""",""SF"",),),IF(Projections!$W$17="""",""PF"",),),IF(Pr"&amp;"ojections!$X$17="""",""C"",),),""/"","""")"),"PGSG")</f>
        <v>PGSG</v>
      </c>
    </row>
    <row r="262">
      <c r="B262">
        <f>IFERROR(__xludf.DUMMYFUNCTION("""COMPUTED_VALUE"""),257.0)</f>
        <v>257</v>
      </c>
      <c r="C262">
        <f>IFERROR(__xludf.DUMMYFUNCTION("""COMPUTED_VALUE"""),141.7)</f>
        <v>141.7</v>
      </c>
      <c r="D262" t="str">
        <f>IFERROR(__xludf.DUMMYFUNCTION("""COMPUTED_VALUE"""),"Stephon Castle")</f>
        <v>Stephon Castle</v>
      </c>
      <c r="E262">
        <f>IFERROR(__xludf.DUMMYFUNCTION("""COMPUTED_VALUE"""),71.0)</f>
        <v>71</v>
      </c>
      <c r="F262" t="str">
        <f>IFERROR(__xludf.DUMMYFUNCTION("""COMPUTED_VALUE"""),"PG")</f>
        <v>PG</v>
      </c>
      <c r="G262" s="11">
        <f>IFERROR(__xludf.DUMMYFUNCTION("""COMPUTED_VALUE"""),-4.658045209431708)</f>
        <v>-4.658045209</v>
      </c>
      <c r="H262" s="11">
        <f>IFERROR(__xludf.DUMMYFUNCTION("""COMPUTED_VALUE"""),-4.658045209431708)</f>
        <v>-4.658045209</v>
      </c>
      <c r="I262" s="11">
        <f>IFERROR(__xludf.DUMMYFUNCTION("""COMPUTED_VALUE"""),0.0)</f>
        <v>0</v>
      </c>
      <c r="J262" s="11">
        <f>IFERROR(__xludf.DUMMYFUNCTION("""COMPUTED_VALUE"""),7.5)</f>
        <v>7.5</v>
      </c>
      <c r="K262" s="11">
        <f>IFERROR(__xludf.DUMMYFUNCTION("""COMPUTED_VALUE"""),0.4)</f>
        <v>0.4</v>
      </c>
      <c r="L262" s="11">
        <f>IFERROR(__xludf.DUMMYFUNCTION("""COMPUTED_VALUE"""),3.1)</f>
        <v>3.1</v>
      </c>
      <c r="M262" s="11">
        <f>IFERROR(__xludf.DUMMYFUNCTION("""COMPUTED_VALUE"""),2.6)</f>
        <v>2.6</v>
      </c>
      <c r="N262" s="11">
        <f>IFERROR(__xludf.DUMMYFUNCTION("""COMPUTED_VALUE"""),0.8)</f>
        <v>0.8</v>
      </c>
      <c r="O262" s="11">
        <f>IFERROR(__xludf.DUMMYFUNCTION("""COMPUTED_VALUE"""),0.4)</f>
        <v>0.4</v>
      </c>
      <c r="P262" s="15">
        <f>IFERROR(__xludf.DUMMYFUNCTION("""COMPUTED_VALUE"""),0.465)</f>
        <v>0.465</v>
      </c>
      <c r="Q262" s="15">
        <f>IFERROR(__xludf.DUMMYFUNCTION("""COMPUTED_VALUE"""),0.755)</f>
        <v>0.755</v>
      </c>
      <c r="R262" s="11">
        <f>IFERROR(__xludf.DUMMYFUNCTION("""COMPUTED_VALUE"""),1.0)</f>
        <v>1</v>
      </c>
      <c r="S262" s="11">
        <f>IFERROR(__xludf.DUMMYFUNCTION("""COMPUTED_VALUE"""),-1.8004984738222272)</f>
        <v>-1.800498474</v>
      </c>
      <c r="T262" s="11">
        <f>IFERROR(__xludf.DUMMYFUNCTION("""COMPUTED_VALUE"""),-1.3425893849486756)</f>
        <v>-1.342589385</v>
      </c>
      <c r="U262" s="11">
        <f>IFERROR(__xludf.DUMMYFUNCTION("""COMPUTED_VALUE"""),-1.1645816010148995)</f>
        <v>-1.164581601</v>
      </c>
      <c r="V262" s="11">
        <f>IFERROR(__xludf.DUMMYFUNCTION("""COMPUTED_VALUE"""),-0.6085966287512721)</f>
        <v>-0.6085966288</v>
      </c>
      <c r="W262" s="11">
        <f>IFERROR(__xludf.DUMMYFUNCTION("""COMPUTED_VALUE"""),-0.5847290886782864)</f>
        <v>-0.5847290887</v>
      </c>
      <c r="X262" s="11">
        <f>IFERROR(__xludf.DUMMYFUNCTION("""COMPUTED_VALUE"""),-0.6155173428439339)</f>
        <v>-0.6155173428</v>
      </c>
      <c r="Y262" s="11">
        <f>IFERROR(__xludf.DUMMYFUNCTION("""COMPUTED_VALUE"""),-0.21671305908854027)</f>
        <v>-0.2167130591</v>
      </c>
      <c r="Z262" s="11">
        <f>IFERROR(__xludf.DUMMYFUNCTION("""COMPUTED_VALUE"""),-0.3109740623296531)</f>
        <v>-0.3109740623</v>
      </c>
      <c r="AA262" s="11">
        <f>IFERROR(__xludf.DUMMYFUNCTION("""COMPUTED_VALUE"""),0.18565595822355335)</f>
        <v>0.1856559582</v>
      </c>
      <c r="AB262" t="str">
        <f>IFERROR(__xludf.DUMMYFUNCTION("SUBSTITUTE(REGEXREPLACE(REGEXREPLACE(REGEXREPLACE(REGEXREPLACE(REGEXREPLACE(REGEXREPLACE(F262,"","",),IF(Projections!$T$17="""",""PG"",),),IF(Projections!$U$17="""",""SG"",),),IF(Projections!$V$17="""",""SF"",),),IF(Projections!$W$17="""",""PF"",),),IF(Pr"&amp;"ojections!$X$17="""",""C"",),),""/"","""")"),"PG")</f>
        <v>PG</v>
      </c>
    </row>
    <row r="263">
      <c r="B263">
        <f>IFERROR(__xludf.DUMMYFUNCTION("""COMPUTED_VALUE"""),258.0)</f>
        <v>258</v>
      </c>
      <c r="D263" t="str">
        <f>IFERROR(__xludf.DUMMYFUNCTION("""COMPUTED_VALUE"""),"GG Jackson II")</f>
        <v>GG Jackson II</v>
      </c>
      <c r="E263">
        <f>IFERROR(__xludf.DUMMYFUNCTION("""COMPUTED_VALUE"""),66.0)</f>
        <v>66</v>
      </c>
      <c r="F263" t="str">
        <f>IFERROR(__xludf.DUMMYFUNCTION("""COMPUTED_VALUE"""),"SF,PF")</f>
        <v>SF,PF</v>
      </c>
      <c r="G263" s="11">
        <f>IFERROR(__xludf.DUMMYFUNCTION("""COMPUTED_VALUE"""),-4.669846808000808)</f>
        <v>-4.669846808</v>
      </c>
      <c r="H263" s="11">
        <f>IFERROR(__xludf.DUMMYFUNCTION("""COMPUTED_VALUE"""),-4.669846808000808)</f>
        <v>-4.669846808</v>
      </c>
      <c r="I263" s="11">
        <f>IFERROR(__xludf.DUMMYFUNCTION("""COMPUTED_VALUE"""),0.0)</f>
        <v>0</v>
      </c>
      <c r="J263" s="11">
        <f>IFERROR(__xludf.DUMMYFUNCTION("""COMPUTED_VALUE"""),12.9)</f>
        <v>12.9</v>
      </c>
      <c r="K263" s="11">
        <f>IFERROR(__xludf.DUMMYFUNCTION("""COMPUTED_VALUE"""),1.9)</f>
        <v>1.9</v>
      </c>
      <c r="L263" s="11">
        <f>IFERROR(__xludf.DUMMYFUNCTION("""COMPUTED_VALUE"""),3.6)</f>
        <v>3.6</v>
      </c>
      <c r="M263" s="11">
        <f>IFERROR(__xludf.DUMMYFUNCTION("""COMPUTED_VALUE"""),1.1)</f>
        <v>1.1</v>
      </c>
      <c r="N263" s="11">
        <f>IFERROR(__xludf.DUMMYFUNCTION("""COMPUTED_VALUE"""),0.5)</f>
        <v>0.5</v>
      </c>
      <c r="O263" s="11">
        <f>IFERROR(__xludf.DUMMYFUNCTION("""COMPUTED_VALUE"""),0.4)</f>
        <v>0.4</v>
      </c>
      <c r="P263" s="15">
        <f>IFERROR(__xludf.DUMMYFUNCTION("""COMPUTED_VALUE"""),0.428)</f>
        <v>0.428</v>
      </c>
      <c r="Q263" s="15">
        <f>IFERROR(__xludf.DUMMYFUNCTION("""COMPUTED_VALUE"""),0.753)</f>
        <v>0.753</v>
      </c>
      <c r="R263" s="11">
        <f>IFERROR(__xludf.DUMMYFUNCTION("""COMPUTED_VALUE"""),1.2)</f>
        <v>1.2</v>
      </c>
      <c r="S263" s="11">
        <f>IFERROR(__xludf.DUMMYFUNCTION("""COMPUTED_VALUE"""),-0.8249991678058503)</f>
        <v>-0.8249991678</v>
      </c>
      <c r="T263" s="11">
        <f>IFERROR(__xludf.DUMMYFUNCTION("""COMPUTED_VALUE"""),0.15027510052444681)</f>
        <v>0.1502751005</v>
      </c>
      <c r="U263" s="11">
        <f>IFERROR(__xludf.DUMMYFUNCTION("""COMPUTED_VALUE"""),-0.9684497453900388)</f>
        <v>-0.9684497454</v>
      </c>
      <c r="V263" s="11">
        <f>IFERROR(__xludf.DUMMYFUNCTION("""COMPUTED_VALUE"""),-1.2920231850832664)</f>
        <v>-1.292023185</v>
      </c>
      <c r="W263" s="11">
        <f>IFERROR(__xludf.DUMMYFUNCTION("""COMPUTED_VALUE"""),-1.5805271231567248)</f>
        <v>-1.580527123</v>
      </c>
      <c r="X263" s="11">
        <f>IFERROR(__xludf.DUMMYFUNCTION("""COMPUTED_VALUE"""),-0.6155173428439339)</f>
        <v>-0.6155173428</v>
      </c>
      <c r="Y263" s="11">
        <f>IFERROR(__xludf.DUMMYFUNCTION("""COMPUTED_VALUE"""),-0.8395748852782485)</f>
        <v>-0.8395748853</v>
      </c>
      <c r="Z263" s="11">
        <f>IFERROR(__xludf.DUMMYFUNCTION("""COMPUTED_VALUE"""),-0.4156171133954968)</f>
        <v>-0.4156171134</v>
      </c>
      <c r="AA263" s="11">
        <f>IFERROR(__xludf.DUMMYFUNCTION("""COMPUTED_VALUE"""),0.13605953127158005)</f>
        <v>0.1360595313</v>
      </c>
      <c r="AB263" t="str">
        <f>IFERROR(__xludf.DUMMYFUNCTION("SUBSTITUTE(REGEXREPLACE(REGEXREPLACE(REGEXREPLACE(REGEXREPLACE(REGEXREPLACE(REGEXREPLACE(F263,"","",),IF(Projections!$T$17="""",""PG"",),),IF(Projections!$U$17="""",""SG"",),),IF(Projections!$V$17="""",""SF"",),),IF(Projections!$W$17="""",""PF"",),),IF(Pr"&amp;"ojections!$X$17="""",""C"",),),""/"","""")"),"SFPF")</f>
        <v>SFPF</v>
      </c>
    </row>
    <row r="264">
      <c r="B264">
        <f>IFERROR(__xludf.DUMMYFUNCTION("""COMPUTED_VALUE"""),259.0)</f>
        <v>259</v>
      </c>
      <c r="D264" t="str">
        <f>IFERROR(__xludf.DUMMYFUNCTION("""COMPUTED_VALUE"""),"Brice Sensabaugh")</f>
        <v>Brice Sensabaugh</v>
      </c>
      <c r="E264">
        <f>IFERROR(__xludf.DUMMYFUNCTION("""COMPUTED_VALUE"""),52.0)</f>
        <v>52</v>
      </c>
      <c r="F264" t="str">
        <f>IFERROR(__xludf.DUMMYFUNCTION("""COMPUTED_VALUE"""),"SF,PF")</f>
        <v>SF,PF</v>
      </c>
      <c r="G264" s="11">
        <f>IFERROR(__xludf.DUMMYFUNCTION("""COMPUTED_VALUE"""),-4.750932210524073)</f>
        <v>-4.750932211</v>
      </c>
      <c r="H264" s="11">
        <f>IFERROR(__xludf.DUMMYFUNCTION("""COMPUTED_VALUE"""),-4.750932210524073)</f>
        <v>-4.750932211</v>
      </c>
      <c r="I264" s="11">
        <f>IFERROR(__xludf.DUMMYFUNCTION("""COMPUTED_VALUE"""),0.0)</f>
        <v>0</v>
      </c>
      <c r="J264" s="11">
        <f>IFERROR(__xludf.DUMMYFUNCTION("""COMPUTED_VALUE"""),9.8)</f>
        <v>9.8</v>
      </c>
      <c r="K264" s="11">
        <f>IFERROR(__xludf.DUMMYFUNCTION("""COMPUTED_VALUE"""),1.4)</f>
        <v>1.4</v>
      </c>
      <c r="L264" s="11">
        <f>IFERROR(__xludf.DUMMYFUNCTION("""COMPUTED_VALUE"""),4.1)</f>
        <v>4.1</v>
      </c>
      <c r="M264" s="11">
        <f>IFERROR(__xludf.DUMMYFUNCTION("""COMPUTED_VALUE"""),2.2)</f>
        <v>2.2</v>
      </c>
      <c r="N264" s="11">
        <f>IFERROR(__xludf.DUMMYFUNCTION("""COMPUTED_VALUE"""),0.5)</f>
        <v>0.5</v>
      </c>
      <c r="O264" s="11">
        <f>IFERROR(__xludf.DUMMYFUNCTION("""COMPUTED_VALUE"""),0.2)</f>
        <v>0.2</v>
      </c>
      <c r="P264" s="15">
        <f>IFERROR(__xludf.DUMMYFUNCTION("""COMPUTED_VALUE"""),0.39)</f>
        <v>0.39</v>
      </c>
      <c r="Q264" s="15">
        <f>IFERROR(__xludf.DUMMYFUNCTION("""COMPUTED_VALUE"""),0.904)</f>
        <v>0.904</v>
      </c>
      <c r="R264" s="11">
        <f>IFERROR(__xludf.DUMMYFUNCTION("""COMPUTED_VALUE"""),1.9)</f>
        <v>1.9</v>
      </c>
      <c r="S264" s="11">
        <f>IFERROR(__xludf.DUMMYFUNCTION("""COMPUTED_VALUE"""),-1.3850080286671036)</f>
        <v>-1.385008029</v>
      </c>
      <c r="T264" s="11">
        <f>IFERROR(__xludf.DUMMYFUNCTION("""COMPUTED_VALUE"""),-0.34734639463326067)</f>
        <v>-0.3473463946</v>
      </c>
      <c r="U264" s="11">
        <f>IFERROR(__xludf.DUMMYFUNCTION("""COMPUTED_VALUE"""),-0.7723178897651785)</f>
        <v>-0.7723178898</v>
      </c>
      <c r="V264" s="11">
        <f>IFERROR(__xludf.DUMMYFUNCTION("""COMPUTED_VALUE"""),-0.7908437104398038)</f>
        <v>-0.7908437104</v>
      </c>
      <c r="W264" s="11">
        <f>IFERROR(__xludf.DUMMYFUNCTION("""COMPUTED_VALUE"""),-1.5805271231567248)</f>
        <v>-1.580527123</v>
      </c>
      <c r="X264" s="11">
        <f>IFERROR(__xludf.DUMMYFUNCTION("""COMPUTED_VALUE"""),-0.9723047469492465)</f>
        <v>-0.9723047469</v>
      </c>
      <c r="Y264" s="11">
        <f>IFERROR(__xludf.DUMMYFUNCTION("""COMPUTED_VALUE"""),-1.1023266239826208)</f>
        <v>-1.102326624</v>
      </c>
      <c r="Z264" s="11">
        <f>IFERROR(__xludf.DUMMYFUNCTION("""COMPUTED_VALUE"""),0.6567431469734668)</f>
        <v>0.656743147</v>
      </c>
      <c r="AA264" s="11">
        <f>IFERROR(__xludf.DUMMYFUNCTION("""COMPUTED_VALUE"""),-0.037527963060326526)</f>
        <v>-0.03752796306</v>
      </c>
      <c r="AB264" t="str">
        <f>IFERROR(__xludf.DUMMYFUNCTION("SUBSTITUTE(REGEXREPLACE(REGEXREPLACE(REGEXREPLACE(REGEXREPLACE(REGEXREPLACE(REGEXREPLACE(F264,"","",),IF(Projections!$T$17="""",""PG"",),),IF(Projections!$U$17="""",""SG"",),),IF(Projections!$V$17="""",""SF"",),),IF(Projections!$W$17="""",""PF"",),),IF(Pr"&amp;"ojections!$X$17="""",""C"",),),""/"","""")"),"SFPF")</f>
        <v>SFPF</v>
      </c>
    </row>
    <row r="265">
      <c r="B265">
        <f>IFERROR(__xludf.DUMMYFUNCTION("""COMPUTED_VALUE"""),260.0)</f>
        <v>260</v>
      </c>
      <c r="D265" t="str">
        <f>IFERROR(__xludf.DUMMYFUNCTION("""COMPUTED_VALUE"""),"Julian Champagnie")</f>
        <v>Julian Champagnie</v>
      </c>
      <c r="E265">
        <f>IFERROR(__xludf.DUMMYFUNCTION("""COMPUTED_VALUE"""),66.0)</f>
        <v>66</v>
      </c>
      <c r="F265" t="str">
        <f>IFERROR(__xludf.DUMMYFUNCTION("""COMPUTED_VALUE"""),"SF,PF")</f>
        <v>SF,PF</v>
      </c>
      <c r="G265" s="11">
        <f>IFERROR(__xludf.DUMMYFUNCTION("""COMPUTED_VALUE"""),-4.764861591374059)</f>
        <v>-4.764861591</v>
      </c>
      <c r="H265" s="11">
        <f>IFERROR(__xludf.DUMMYFUNCTION("""COMPUTED_VALUE"""),-4.764861591374059)</f>
        <v>-4.764861591</v>
      </c>
      <c r="I265" s="11">
        <f>IFERROR(__xludf.DUMMYFUNCTION("""COMPUTED_VALUE"""),0.0)</f>
        <v>0</v>
      </c>
      <c r="J265" s="11">
        <f>IFERROR(__xludf.DUMMYFUNCTION("""COMPUTED_VALUE"""),6.8)</f>
        <v>6.8</v>
      </c>
      <c r="K265" s="11">
        <f>IFERROR(__xludf.DUMMYFUNCTION("""COMPUTED_VALUE"""),1.4)</f>
        <v>1.4</v>
      </c>
      <c r="L265" s="11">
        <f>IFERROR(__xludf.DUMMYFUNCTION("""COMPUTED_VALUE"""),2.7)</f>
        <v>2.7</v>
      </c>
      <c r="M265" s="11">
        <f>IFERROR(__xludf.DUMMYFUNCTION("""COMPUTED_VALUE"""),1.2)</f>
        <v>1.2</v>
      </c>
      <c r="N265" s="11">
        <f>IFERROR(__xludf.DUMMYFUNCTION("""COMPUTED_VALUE"""),0.6)</f>
        <v>0.6</v>
      </c>
      <c r="O265" s="11">
        <f>IFERROR(__xludf.DUMMYFUNCTION("""COMPUTED_VALUE"""),0.5)</f>
        <v>0.5</v>
      </c>
      <c r="P265" s="15">
        <f>IFERROR(__xludf.DUMMYFUNCTION("""COMPUTED_VALUE"""),0.42)</f>
        <v>0.42</v>
      </c>
      <c r="Q265" s="15">
        <f>IFERROR(__xludf.DUMMYFUNCTION("""COMPUTED_VALUE"""),0.811)</f>
        <v>0.811</v>
      </c>
      <c r="R265" s="11">
        <f>IFERROR(__xludf.DUMMYFUNCTION("""COMPUTED_VALUE"""),0.7)</f>
        <v>0.7</v>
      </c>
      <c r="S265" s="11">
        <f>IFERROR(__xludf.DUMMYFUNCTION("""COMPUTED_VALUE"""),-1.9269520875650907)</f>
        <v>-1.926952088</v>
      </c>
      <c r="T265" s="11">
        <f>IFERROR(__xludf.DUMMYFUNCTION("""COMPUTED_VALUE"""),-0.34734639463326067)</f>
        <v>-0.3473463946</v>
      </c>
      <c r="U265" s="11">
        <f>IFERROR(__xludf.DUMMYFUNCTION("""COMPUTED_VALUE"""),-1.321487085514788)</f>
        <v>-1.321487086</v>
      </c>
      <c r="V265" s="11">
        <f>IFERROR(__xludf.DUMMYFUNCTION("""COMPUTED_VALUE"""),-1.2464614146611335)</f>
        <v>-1.246461415</v>
      </c>
      <c r="W265" s="11">
        <f>IFERROR(__xludf.DUMMYFUNCTION("""COMPUTED_VALUE"""),-1.2485944449972455)</f>
        <v>-1.248594445</v>
      </c>
      <c r="X265" s="11">
        <f>IFERROR(__xludf.DUMMYFUNCTION("""COMPUTED_VALUE"""),-0.4371236407912776)</f>
        <v>-0.4371236408</v>
      </c>
      <c r="Y265" s="11">
        <f>IFERROR(__xludf.DUMMYFUNCTION("""COMPUTED_VALUE"""),-0.48656355299836207)</f>
        <v>-0.486563553</v>
      </c>
      <c r="Z265" s="11">
        <f>IFERROR(__xludf.DUMMYFUNCTION("""COMPUTED_VALUE"""),0.06266434357049558)</f>
        <v>0.06266434357</v>
      </c>
      <c r="AA265" s="11">
        <f>IFERROR(__xludf.DUMMYFUNCTION("""COMPUTED_VALUE"""),0.26005059865151336)</f>
        <v>0.2600505987</v>
      </c>
      <c r="AB265" t="str">
        <f>IFERROR(__xludf.DUMMYFUNCTION("SUBSTITUTE(REGEXREPLACE(REGEXREPLACE(REGEXREPLACE(REGEXREPLACE(REGEXREPLACE(REGEXREPLACE(F265,"","",),IF(Projections!$T$17="""",""PG"",),),IF(Projections!$U$17="""",""SG"",),),IF(Projections!$V$17="""",""SF"",),),IF(Projections!$W$17="""",""PF"",),),IF(Pr"&amp;"ojections!$X$17="""",""C"",),),""/"","""")"),"SFPF")</f>
        <v>SFPF</v>
      </c>
    </row>
    <row r="266">
      <c r="B266">
        <f>IFERROR(__xludf.DUMMYFUNCTION("""COMPUTED_VALUE"""),261.0)</f>
        <v>261</v>
      </c>
      <c r="D266" t="str">
        <f>IFERROR(__xludf.DUMMYFUNCTION("""COMPUTED_VALUE"""),"Trey Lyles")</f>
        <v>Trey Lyles</v>
      </c>
      <c r="E266">
        <f>IFERROR(__xludf.DUMMYFUNCTION("""COMPUTED_VALUE"""),66.0)</f>
        <v>66</v>
      </c>
      <c r="F266" t="str">
        <f>IFERROR(__xludf.DUMMYFUNCTION("""COMPUTED_VALUE"""),"PF,C")</f>
        <v>PF,C</v>
      </c>
      <c r="G266" s="11">
        <f>IFERROR(__xludf.DUMMYFUNCTION("""COMPUTED_VALUE"""),-4.778484935884784)</f>
        <v>-4.778484936</v>
      </c>
      <c r="H266" s="11">
        <f>IFERROR(__xludf.DUMMYFUNCTION("""COMPUTED_VALUE"""),-4.778484935884784)</f>
        <v>-4.778484936</v>
      </c>
      <c r="I266" s="11">
        <f>IFERROR(__xludf.DUMMYFUNCTION("""COMPUTED_VALUE"""),0.0)</f>
        <v>0</v>
      </c>
      <c r="J266" s="11">
        <f>IFERROR(__xludf.DUMMYFUNCTION("""COMPUTED_VALUE"""),8.0)</f>
        <v>8</v>
      </c>
      <c r="K266" s="11">
        <f>IFERROR(__xludf.DUMMYFUNCTION("""COMPUTED_VALUE"""),1.4)</f>
        <v>1.4</v>
      </c>
      <c r="L266" s="11">
        <f>IFERROR(__xludf.DUMMYFUNCTION("""COMPUTED_VALUE"""),4.5)</f>
        <v>4.5</v>
      </c>
      <c r="M266" s="11">
        <f>IFERROR(__xludf.DUMMYFUNCTION("""COMPUTED_VALUE"""),1.1)</f>
        <v>1.1</v>
      </c>
      <c r="N266" s="11">
        <f>IFERROR(__xludf.DUMMYFUNCTION("""COMPUTED_VALUE"""),0.4)</f>
        <v>0.4</v>
      </c>
      <c r="O266" s="11">
        <f>IFERROR(__xludf.DUMMYFUNCTION("""COMPUTED_VALUE"""),0.4)</f>
        <v>0.4</v>
      </c>
      <c r="P266" s="15">
        <f>IFERROR(__xludf.DUMMYFUNCTION("""COMPUTED_VALUE"""),0.453)</f>
        <v>0.453</v>
      </c>
      <c r="Q266" s="15">
        <f>IFERROR(__xludf.DUMMYFUNCTION("""COMPUTED_VALUE"""),0.772)</f>
        <v>0.772</v>
      </c>
      <c r="R266" s="11">
        <f>IFERROR(__xludf.DUMMYFUNCTION("""COMPUTED_VALUE"""),0.8)</f>
        <v>0.8</v>
      </c>
      <c r="S266" s="11">
        <f>IFERROR(__xludf.DUMMYFUNCTION("""COMPUTED_VALUE"""),-1.710174464005896)</f>
        <v>-1.710174464</v>
      </c>
      <c r="T266" s="11">
        <f>IFERROR(__xludf.DUMMYFUNCTION("""COMPUTED_VALUE"""),-0.34734639463326067)</f>
        <v>-0.3473463946</v>
      </c>
      <c r="U266" s="11">
        <f>IFERROR(__xludf.DUMMYFUNCTION("""COMPUTED_VALUE"""),-0.6154124052652897)</f>
        <v>-0.6154124053</v>
      </c>
      <c r="V266" s="11">
        <f>IFERROR(__xludf.DUMMYFUNCTION("""COMPUTED_VALUE"""),-1.2920231850832664)</f>
        <v>-1.292023185</v>
      </c>
      <c r="W266" s="11">
        <f>IFERROR(__xludf.DUMMYFUNCTION("""COMPUTED_VALUE"""),-1.912459801316204)</f>
        <v>-1.912459801</v>
      </c>
      <c r="X266" s="11">
        <f>IFERROR(__xludf.DUMMYFUNCTION("""COMPUTED_VALUE"""),-0.6155173428439339)</f>
        <v>-0.6155173428</v>
      </c>
      <c r="Y266" s="11">
        <f>IFERROR(__xludf.DUMMYFUNCTION("""COMPUTED_VALUE"""),-0.3034271558590584)</f>
        <v>-0.3034271559</v>
      </c>
      <c r="Z266" s="11">
        <f>IFERROR(__xludf.DUMMYFUNCTION("""COMPUTED_VALUE"""),-0.12983637336960543)</f>
        <v>-0.1298363734</v>
      </c>
      <c r="AA266" s="11">
        <f>IFERROR(__xludf.DUMMYFUNCTION("""COMPUTED_VALUE"""),0.23525238517552666)</f>
        <v>0.2352523852</v>
      </c>
      <c r="AB266" t="str">
        <f>IFERROR(__xludf.DUMMYFUNCTION("SUBSTITUTE(REGEXREPLACE(REGEXREPLACE(REGEXREPLACE(REGEXREPLACE(REGEXREPLACE(REGEXREPLACE(F266,"","",),IF(Projections!$T$17="""",""PG"",),),IF(Projections!$U$17="""",""SG"",),),IF(Projections!$V$17="""",""SF"",),),IF(Projections!$W$17="""",""PF"",),),IF(Pr"&amp;"ojections!$X$17="""",""C"",),),""/"","""")"),"PFC")</f>
        <v>PFC</v>
      </c>
    </row>
    <row r="267">
      <c r="B267">
        <f>IFERROR(__xludf.DUMMYFUNCTION("""COMPUTED_VALUE"""),262.0)</f>
        <v>262</v>
      </c>
      <c r="D267" t="str">
        <f>IFERROR(__xludf.DUMMYFUNCTION("""COMPUTED_VALUE"""),"Georges Niang")</f>
        <v>Georges Niang</v>
      </c>
      <c r="E267">
        <f>IFERROR(__xludf.DUMMYFUNCTION("""COMPUTED_VALUE"""),66.0)</f>
        <v>66</v>
      </c>
      <c r="F267" t="str">
        <f>IFERROR(__xludf.DUMMYFUNCTION("""COMPUTED_VALUE"""),"SF,PF")</f>
        <v>SF,PF</v>
      </c>
      <c r="G267" s="11">
        <f>IFERROR(__xludf.DUMMYFUNCTION("""COMPUTED_VALUE"""),-4.785866817398742)</f>
        <v>-4.785866817</v>
      </c>
      <c r="H267" s="11">
        <f>IFERROR(__xludf.DUMMYFUNCTION("""COMPUTED_VALUE"""),-4.785866817398742)</f>
        <v>-4.785866817</v>
      </c>
      <c r="I267" s="11">
        <f>IFERROR(__xludf.DUMMYFUNCTION("""COMPUTED_VALUE"""),0.0)</f>
        <v>0</v>
      </c>
      <c r="J267" s="11">
        <f>IFERROR(__xludf.DUMMYFUNCTION("""COMPUTED_VALUE"""),9.1)</f>
        <v>9.1</v>
      </c>
      <c r="K267" s="11">
        <f>IFERROR(__xludf.DUMMYFUNCTION("""COMPUTED_VALUE"""),2.0)</f>
        <v>2</v>
      </c>
      <c r="L267" s="11">
        <f>IFERROR(__xludf.DUMMYFUNCTION("""COMPUTED_VALUE"""),3.0)</f>
        <v>3</v>
      </c>
      <c r="M267" s="11">
        <f>IFERROR(__xludf.DUMMYFUNCTION("""COMPUTED_VALUE"""),1.1)</f>
        <v>1.1</v>
      </c>
      <c r="N267" s="11">
        <f>IFERROR(__xludf.DUMMYFUNCTION("""COMPUTED_VALUE"""),0.4)</f>
        <v>0.4</v>
      </c>
      <c r="O267" s="11">
        <f>IFERROR(__xludf.DUMMYFUNCTION("""COMPUTED_VALUE"""),0.2)</f>
        <v>0.2</v>
      </c>
      <c r="P267" s="15">
        <f>IFERROR(__xludf.DUMMYFUNCTION("""COMPUTED_VALUE"""),0.446)</f>
        <v>0.446</v>
      </c>
      <c r="Q267" s="15">
        <f>IFERROR(__xludf.DUMMYFUNCTION("""COMPUTED_VALUE"""),0.853)</f>
        <v>0.853</v>
      </c>
      <c r="R267" s="11">
        <f>IFERROR(__xludf.DUMMYFUNCTION("""COMPUTED_VALUE"""),0.8)</f>
        <v>0.8</v>
      </c>
      <c r="S267" s="11">
        <f>IFERROR(__xludf.DUMMYFUNCTION("""COMPUTED_VALUE"""),-1.5114616424099674)</f>
        <v>-1.511461642</v>
      </c>
      <c r="T267" s="11">
        <f>IFERROR(__xludf.DUMMYFUNCTION("""COMPUTED_VALUE"""),0.2497993995559884)</f>
        <v>0.2497993996</v>
      </c>
      <c r="U267" s="11">
        <f>IFERROR(__xludf.DUMMYFUNCTION("""COMPUTED_VALUE"""),-1.2038079721398716)</f>
        <v>-1.203807972</v>
      </c>
      <c r="V267" s="11">
        <f>IFERROR(__xludf.DUMMYFUNCTION("""COMPUTED_VALUE"""),-1.2920231850832664)</f>
        <v>-1.292023185</v>
      </c>
      <c r="W267" s="11">
        <f>IFERROR(__xludf.DUMMYFUNCTION("""COMPUTED_VALUE"""),-1.912459801316204)</f>
        <v>-1.912459801</v>
      </c>
      <c r="X267" s="11">
        <f>IFERROR(__xludf.DUMMYFUNCTION("""COMPUTED_VALUE"""),-0.9723047469492465)</f>
        <v>-0.9723047469</v>
      </c>
      <c r="Y267" s="11">
        <f>IFERROR(__xludf.DUMMYFUNCTION("""COMPUTED_VALUE"""),-0.4353160666709869)</f>
        <v>-0.4353160667</v>
      </c>
      <c r="Z267" s="11">
        <f>IFERROR(__xludf.DUMMYFUNCTION("""COMPUTED_VALUE"""),0.14399501112308244)</f>
        <v>0.1439950111</v>
      </c>
      <c r="AA267" s="11">
        <f>IFERROR(__xludf.DUMMYFUNCTION("""COMPUTED_VALUE"""),0.23525238517552666)</f>
        <v>0.2352523852</v>
      </c>
      <c r="AB267" t="str">
        <f>IFERROR(__xludf.DUMMYFUNCTION("SUBSTITUTE(REGEXREPLACE(REGEXREPLACE(REGEXREPLACE(REGEXREPLACE(REGEXREPLACE(REGEXREPLACE(F267,"","",),IF(Projections!$T$17="""",""PG"",),),IF(Projections!$U$17="""",""SG"",),),IF(Projections!$V$17="""",""SF"",),),IF(Projections!$W$17="""",""PF"",),),IF(Pr"&amp;"ojections!$X$17="""",""C"",),),""/"","""")"),"SFPF")</f>
        <v>SFPF</v>
      </c>
    </row>
    <row r="268">
      <c r="B268">
        <f>IFERROR(__xludf.DUMMYFUNCTION("""COMPUTED_VALUE"""),263.0)</f>
        <v>263</v>
      </c>
      <c r="D268" t="str">
        <f>IFERROR(__xludf.DUMMYFUNCTION("""COMPUTED_VALUE"""),"Kevin Love")</f>
        <v>Kevin Love</v>
      </c>
      <c r="E268">
        <f>IFERROR(__xludf.DUMMYFUNCTION("""COMPUTED_VALUE"""),71.0)</f>
        <v>71</v>
      </c>
      <c r="F268" t="str">
        <f>IFERROR(__xludf.DUMMYFUNCTION("""COMPUTED_VALUE"""),"PF,C")</f>
        <v>PF,C</v>
      </c>
      <c r="G268" s="11">
        <f>IFERROR(__xludf.DUMMYFUNCTION("""COMPUTED_VALUE"""),-4.7965818446917865)</f>
        <v>-4.796581845</v>
      </c>
      <c r="H268" s="11">
        <f>IFERROR(__xludf.DUMMYFUNCTION("""COMPUTED_VALUE"""),-4.7965818446917865)</f>
        <v>-4.796581845</v>
      </c>
      <c r="I268" s="11">
        <f>IFERROR(__xludf.DUMMYFUNCTION("""COMPUTED_VALUE"""),0.0)</f>
        <v>0</v>
      </c>
      <c r="J268" s="11">
        <f>IFERROR(__xludf.DUMMYFUNCTION("""COMPUTED_VALUE"""),7.2)</f>
        <v>7.2</v>
      </c>
      <c r="K268" s="11">
        <f>IFERROR(__xludf.DUMMYFUNCTION("""COMPUTED_VALUE"""),1.3)</f>
        <v>1.3</v>
      </c>
      <c r="L268" s="11">
        <f>IFERROR(__xludf.DUMMYFUNCTION("""COMPUTED_VALUE"""),5.3)</f>
        <v>5.3</v>
      </c>
      <c r="M268" s="11">
        <f>IFERROR(__xludf.DUMMYFUNCTION("""COMPUTED_VALUE"""),1.7)</f>
        <v>1.7</v>
      </c>
      <c r="N268" s="11">
        <f>IFERROR(__xludf.DUMMYFUNCTION("""COMPUTED_VALUE"""),0.3)</f>
        <v>0.3</v>
      </c>
      <c r="O268" s="11">
        <f>IFERROR(__xludf.DUMMYFUNCTION("""COMPUTED_VALUE"""),0.2)</f>
        <v>0.2</v>
      </c>
      <c r="P268" s="15">
        <f>IFERROR(__xludf.DUMMYFUNCTION("""COMPUTED_VALUE"""),0.412)</f>
        <v>0.412</v>
      </c>
      <c r="Q268" s="15">
        <f>IFERROR(__xludf.DUMMYFUNCTION("""COMPUTED_VALUE"""),0.826)</f>
        <v>0.826</v>
      </c>
      <c r="R268" s="11">
        <f>IFERROR(__xludf.DUMMYFUNCTION("""COMPUTED_VALUE"""),0.9)</f>
        <v>0.9</v>
      </c>
      <c r="S268" s="11">
        <f>IFERROR(__xludf.DUMMYFUNCTION("""COMPUTED_VALUE"""),-1.854692879712026)</f>
        <v>-1.85469288</v>
      </c>
      <c r="T268" s="11">
        <f>IFERROR(__xludf.DUMMYFUNCTION("""COMPUTED_VALUE"""),-0.44687069366480203)</f>
        <v>-0.4468706937</v>
      </c>
      <c r="U268" s="11">
        <f>IFERROR(__xludf.DUMMYFUNCTION("""COMPUTED_VALUE"""),-0.30160143626551283)</f>
        <v>-0.3016014363</v>
      </c>
      <c r="V268" s="11">
        <f>IFERROR(__xludf.DUMMYFUNCTION("""COMPUTED_VALUE"""),-1.0186525625504688)</f>
        <v>-1.018652563</v>
      </c>
      <c r="W268" s="11">
        <f>IFERROR(__xludf.DUMMYFUNCTION("""COMPUTED_VALUE"""),-2.2443924794756835)</f>
        <v>-2.244392479</v>
      </c>
      <c r="X268" s="11">
        <f>IFERROR(__xludf.DUMMYFUNCTION("""COMPUTED_VALUE"""),-0.9723047469492465)</f>
        <v>-0.9723047469</v>
      </c>
      <c r="Y268" s="11">
        <f>IFERROR(__xludf.DUMMYFUNCTION("""COMPUTED_VALUE"""),-0.5670381031805788)</f>
        <v>-0.5670381032</v>
      </c>
      <c r="Z268" s="11">
        <f>IFERROR(__xludf.DUMMYFUNCTION("""COMPUTED_VALUE"""),0.15412440593130813)</f>
        <v>0.1541244059</v>
      </c>
      <c r="AA268" s="11">
        <f>IFERROR(__xludf.DUMMYFUNCTION("""COMPUTED_VALUE"""),0.21045417169954)</f>
        <v>0.2104541717</v>
      </c>
      <c r="AB268" t="str">
        <f>IFERROR(__xludf.DUMMYFUNCTION("SUBSTITUTE(REGEXREPLACE(REGEXREPLACE(REGEXREPLACE(REGEXREPLACE(REGEXREPLACE(REGEXREPLACE(F268,"","",),IF(Projections!$T$17="""",""PG"",),),IF(Projections!$U$17="""",""SG"",),),IF(Projections!$V$17="""",""SF"",),),IF(Projections!$W$17="""",""PF"",),),IF(Pr"&amp;"ojections!$X$17="""",""C"",),),""/"","""")"),"PFC")</f>
        <v>PFC</v>
      </c>
    </row>
    <row r="269">
      <c r="B269">
        <f>IFERROR(__xludf.DUMMYFUNCTION("""COMPUTED_VALUE"""),264.0)</f>
        <v>264</v>
      </c>
      <c r="D269" t="str">
        <f>IFERROR(__xludf.DUMMYFUNCTION("""COMPUTED_VALUE"""),"Marcus Sasser")</f>
        <v>Marcus Sasser</v>
      </c>
      <c r="E269">
        <f>IFERROR(__xludf.DUMMYFUNCTION("""COMPUTED_VALUE"""),71.0)</f>
        <v>71</v>
      </c>
      <c r="F269" t="str">
        <f>IFERROR(__xludf.DUMMYFUNCTION("""COMPUTED_VALUE"""),"PG")</f>
        <v>PG</v>
      </c>
      <c r="G269" s="11">
        <f>IFERROR(__xludf.DUMMYFUNCTION("""COMPUTED_VALUE"""),-4.800213380215741)</f>
        <v>-4.80021338</v>
      </c>
      <c r="H269" s="11">
        <f>IFERROR(__xludf.DUMMYFUNCTION("""COMPUTED_VALUE"""),-4.800213380215741)</f>
        <v>-4.80021338</v>
      </c>
      <c r="I269" s="11">
        <f>IFERROR(__xludf.DUMMYFUNCTION("""COMPUTED_VALUE"""),0.0)</f>
        <v>0</v>
      </c>
      <c r="J269" s="11">
        <f>IFERROR(__xludf.DUMMYFUNCTION("""COMPUTED_VALUE"""),8.3)</f>
        <v>8.3</v>
      </c>
      <c r="K269" s="11">
        <f>IFERROR(__xludf.DUMMYFUNCTION("""COMPUTED_VALUE"""),1.3)</f>
        <v>1.3</v>
      </c>
      <c r="L269" s="11">
        <f>IFERROR(__xludf.DUMMYFUNCTION("""COMPUTED_VALUE"""),1.8)</f>
        <v>1.8</v>
      </c>
      <c r="M269" s="11">
        <f>IFERROR(__xludf.DUMMYFUNCTION("""COMPUTED_VALUE"""),3.4)</f>
        <v>3.4</v>
      </c>
      <c r="N269" s="11">
        <f>IFERROR(__xludf.DUMMYFUNCTION("""COMPUTED_VALUE"""),0.6)</f>
        <v>0.6</v>
      </c>
      <c r="O269" s="11">
        <f>IFERROR(__xludf.DUMMYFUNCTION("""COMPUTED_VALUE"""),0.2)</f>
        <v>0.2</v>
      </c>
      <c r="P269" s="15">
        <f>IFERROR(__xludf.DUMMYFUNCTION("""COMPUTED_VALUE"""),0.428)</f>
        <v>0.428</v>
      </c>
      <c r="Q269" s="15">
        <f>IFERROR(__xludf.DUMMYFUNCTION("""COMPUTED_VALUE"""),0.872)</f>
        <v>0.872</v>
      </c>
      <c r="R269" s="11">
        <f>IFERROR(__xludf.DUMMYFUNCTION("""COMPUTED_VALUE"""),1.3)</f>
        <v>1.3</v>
      </c>
      <c r="S269" s="11">
        <f>IFERROR(__xludf.DUMMYFUNCTION("""COMPUTED_VALUE"""),-1.655980058116097)</f>
        <v>-1.655980058</v>
      </c>
      <c r="T269" s="11">
        <f>IFERROR(__xludf.DUMMYFUNCTION("""COMPUTED_VALUE"""),-0.44687069366480203)</f>
        <v>-0.4468706937</v>
      </c>
      <c r="U269" s="11">
        <f>IFERROR(__xludf.DUMMYFUNCTION("""COMPUTED_VALUE"""),-1.6745244256395373)</f>
        <v>-1.674524426</v>
      </c>
      <c r="V269" s="11">
        <f>IFERROR(__xludf.DUMMYFUNCTION("""COMPUTED_VALUE"""),-0.2441024653742086)</f>
        <v>-0.2441024654</v>
      </c>
      <c r="W269" s="11">
        <f>IFERROR(__xludf.DUMMYFUNCTION("""COMPUTED_VALUE"""),-1.2485944449972455)</f>
        <v>-1.248594445</v>
      </c>
      <c r="X269" s="11">
        <f>IFERROR(__xludf.DUMMYFUNCTION("""COMPUTED_VALUE"""),-0.9723047469492465)</f>
        <v>-0.9723047469</v>
      </c>
      <c r="Y269" s="11">
        <f>IFERROR(__xludf.DUMMYFUNCTION("""COMPUTED_VALUE"""),-0.5893169867818476)</f>
        <v>-0.5893169868</v>
      </c>
      <c r="Z269" s="11">
        <f>IFERROR(__xludf.DUMMYFUNCTION("""COMPUTED_VALUE"""),0.24569469787211262)</f>
        <v>0.2456946979</v>
      </c>
      <c r="AA269" s="11">
        <f>IFERROR(__xludf.DUMMYFUNCTION("""COMPUTED_VALUE"""),0.11126131779559338)</f>
        <v>0.1112613178</v>
      </c>
      <c r="AB269" t="str">
        <f>IFERROR(__xludf.DUMMYFUNCTION("SUBSTITUTE(REGEXREPLACE(REGEXREPLACE(REGEXREPLACE(REGEXREPLACE(REGEXREPLACE(REGEXREPLACE(F269,"","",),IF(Projections!$T$17="""",""PG"",),),IF(Projections!$U$17="""",""SG"",),),IF(Projections!$V$17="""",""SF"",),),IF(Projections!$W$17="""",""PF"",),),IF(Pr"&amp;"ojections!$X$17="""",""C"",),),""/"","""")"),"PG")</f>
        <v>PG</v>
      </c>
    </row>
    <row r="270">
      <c r="B270">
        <f>IFERROR(__xludf.DUMMYFUNCTION("""COMPUTED_VALUE"""),265.0)</f>
        <v>265</v>
      </c>
      <c r="D270" t="str">
        <f>IFERROR(__xludf.DUMMYFUNCTION("""COMPUTED_VALUE"""),"Pat Connaughton")</f>
        <v>Pat Connaughton</v>
      </c>
      <c r="E270">
        <f>IFERROR(__xludf.DUMMYFUNCTION("""COMPUTED_VALUE"""),71.0)</f>
        <v>71</v>
      </c>
      <c r="F270" t="str">
        <f>IFERROR(__xludf.DUMMYFUNCTION("""COMPUTED_VALUE"""),"SG,SF")</f>
        <v>SG,SF</v>
      </c>
      <c r="G270" s="11">
        <f>IFERROR(__xludf.DUMMYFUNCTION("""COMPUTED_VALUE"""),-4.846685426052508)</f>
        <v>-4.846685426</v>
      </c>
      <c r="H270" s="11">
        <f>IFERROR(__xludf.DUMMYFUNCTION("""COMPUTED_VALUE"""),-4.846685426052508)</f>
        <v>-4.846685426</v>
      </c>
      <c r="I270" s="11">
        <f>IFERROR(__xludf.DUMMYFUNCTION("""COMPUTED_VALUE"""),0.0)</f>
        <v>0</v>
      </c>
      <c r="J270" s="11">
        <f>IFERROR(__xludf.DUMMYFUNCTION("""COMPUTED_VALUE"""),6.7)</f>
        <v>6.7</v>
      </c>
      <c r="K270" s="11">
        <f>IFERROR(__xludf.DUMMYFUNCTION("""COMPUTED_VALUE"""),1.3)</f>
        <v>1.3</v>
      </c>
      <c r="L270" s="11">
        <f>IFERROR(__xludf.DUMMYFUNCTION("""COMPUTED_VALUE"""),4.0)</f>
        <v>4</v>
      </c>
      <c r="M270" s="11">
        <f>IFERROR(__xludf.DUMMYFUNCTION("""COMPUTED_VALUE"""),1.8)</f>
        <v>1.8</v>
      </c>
      <c r="N270" s="11">
        <f>IFERROR(__xludf.DUMMYFUNCTION("""COMPUTED_VALUE"""),0.6)</f>
        <v>0.6</v>
      </c>
      <c r="O270" s="11">
        <f>IFERROR(__xludf.DUMMYFUNCTION("""COMPUTED_VALUE"""),0.2)</f>
        <v>0.2</v>
      </c>
      <c r="P270" s="15">
        <f>IFERROR(__xludf.DUMMYFUNCTION("""COMPUTED_VALUE"""),0.417)</f>
        <v>0.417</v>
      </c>
      <c r="Q270" s="15">
        <f>IFERROR(__xludf.DUMMYFUNCTION("""COMPUTED_VALUE"""),0.74)</f>
        <v>0.74</v>
      </c>
      <c r="R270" s="11">
        <f>IFERROR(__xludf.DUMMYFUNCTION("""COMPUTED_VALUE"""),0.6)</f>
        <v>0.6</v>
      </c>
      <c r="S270" s="11">
        <f>IFERROR(__xludf.DUMMYFUNCTION("""COMPUTED_VALUE"""),-1.945016889528357)</f>
        <v>-1.94501689</v>
      </c>
      <c r="T270" s="11">
        <f>IFERROR(__xludf.DUMMYFUNCTION("""COMPUTED_VALUE"""),-0.44687069366480203)</f>
        <v>-0.4468706937</v>
      </c>
      <c r="U270" s="11">
        <f>IFERROR(__xludf.DUMMYFUNCTION("""COMPUTED_VALUE"""),-0.8115442608901504)</f>
        <v>-0.8115442609</v>
      </c>
      <c r="V270" s="11">
        <f>IFERROR(__xludf.DUMMYFUNCTION("""COMPUTED_VALUE"""),-0.9730907921283356)</f>
        <v>-0.9730907921</v>
      </c>
      <c r="W270" s="11">
        <f>IFERROR(__xludf.DUMMYFUNCTION("""COMPUTED_VALUE"""),-1.2485944449972455)</f>
        <v>-1.248594445</v>
      </c>
      <c r="X270" s="11">
        <f>IFERROR(__xludf.DUMMYFUNCTION("""COMPUTED_VALUE"""),-0.9723047469492465)</f>
        <v>-0.9723047469</v>
      </c>
      <c r="Y270" s="11">
        <f>IFERROR(__xludf.DUMMYFUNCTION("""COMPUTED_VALUE"""),-0.5429981135699984)</f>
        <v>-0.5429981136</v>
      </c>
      <c r="Z270" s="11">
        <f>IFERROR(__xludf.DUMMYFUNCTION("""COMPUTED_VALUE"""),-0.13613118598022858)</f>
        <v>-0.136131186</v>
      </c>
      <c r="AA270" s="11">
        <f>IFERROR(__xludf.DUMMYFUNCTION("""COMPUTED_VALUE"""),0.28484881212749996)</f>
        <v>0.2848488121</v>
      </c>
      <c r="AB270" t="str">
        <f>IFERROR(__xludf.DUMMYFUNCTION("SUBSTITUTE(REGEXREPLACE(REGEXREPLACE(REGEXREPLACE(REGEXREPLACE(REGEXREPLACE(REGEXREPLACE(F270,"","",),IF(Projections!$T$17="""",""PG"",),),IF(Projections!$U$17="""",""SG"",),),IF(Projections!$V$17="""",""SF"",),),IF(Projections!$W$17="""",""PF"",),),IF(Pr"&amp;"ojections!$X$17="""",""C"",),),""/"","""")"),"SGSF")</f>
        <v>SGSF</v>
      </c>
    </row>
    <row r="271">
      <c r="B271">
        <f>IFERROR(__xludf.DUMMYFUNCTION("""COMPUTED_VALUE"""),266.0)</f>
        <v>266</v>
      </c>
      <c r="D271" t="str">
        <f>IFERROR(__xludf.DUMMYFUNCTION("""COMPUTED_VALUE"""),"Reggie Jackson")</f>
        <v>Reggie Jackson</v>
      </c>
      <c r="E271">
        <f>IFERROR(__xludf.DUMMYFUNCTION("""COMPUTED_VALUE"""),59.0)</f>
        <v>59</v>
      </c>
      <c r="F271" t="str">
        <f>IFERROR(__xludf.DUMMYFUNCTION("""COMPUTED_VALUE"""),"PG,SG")</f>
        <v>PG,SG</v>
      </c>
      <c r="G271" s="11">
        <f>IFERROR(__xludf.DUMMYFUNCTION("""COMPUTED_VALUE"""),-4.881204791136323)</f>
        <v>-4.881204791</v>
      </c>
      <c r="H271" s="11">
        <f>IFERROR(__xludf.DUMMYFUNCTION("""COMPUTED_VALUE"""),-4.881204791136323)</f>
        <v>-4.881204791</v>
      </c>
      <c r="I271" s="11">
        <f>IFERROR(__xludf.DUMMYFUNCTION("""COMPUTED_VALUE"""),0.0)</f>
        <v>0</v>
      </c>
      <c r="J271" s="11">
        <f>IFERROR(__xludf.DUMMYFUNCTION("""COMPUTED_VALUE"""),9.9)</f>
        <v>9.9</v>
      </c>
      <c r="K271" s="11">
        <f>IFERROR(__xludf.DUMMYFUNCTION("""COMPUTED_VALUE"""),1.3)</f>
        <v>1.3</v>
      </c>
      <c r="L271" s="11">
        <f>IFERROR(__xludf.DUMMYFUNCTION("""COMPUTED_VALUE"""),2.0)</f>
        <v>2</v>
      </c>
      <c r="M271" s="11">
        <f>IFERROR(__xludf.DUMMYFUNCTION("""COMPUTED_VALUE"""),3.5)</f>
        <v>3.5</v>
      </c>
      <c r="N271" s="11">
        <f>IFERROR(__xludf.DUMMYFUNCTION("""COMPUTED_VALUE"""),0.6)</f>
        <v>0.6</v>
      </c>
      <c r="O271" s="11">
        <f>IFERROR(__xludf.DUMMYFUNCTION("""COMPUTED_VALUE"""),0.1)</f>
        <v>0.1</v>
      </c>
      <c r="P271" s="15">
        <f>IFERROR(__xludf.DUMMYFUNCTION("""COMPUTED_VALUE"""),0.422)</f>
        <v>0.422</v>
      </c>
      <c r="Q271" s="15">
        <f>IFERROR(__xludf.DUMMYFUNCTION("""COMPUTED_VALUE"""),0.852)</f>
        <v>0.852</v>
      </c>
      <c r="R271" s="11">
        <f>IFERROR(__xludf.DUMMYFUNCTION("""COMPUTED_VALUE"""),1.4)</f>
        <v>1.4</v>
      </c>
      <c r="S271" s="11">
        <f>IFERROR(__xludf.DUMMYFUNCTION("""COMPUTED_VALUE"""),-1.3669432267038373)</f>
        <v>-1.366943227</v>
      </c>
      <c r="T271" s="11">
        <f>IFERROR(__xludf.DUMMYFUNCTION("""COMPUTED_VALUE"""),-0.44687069366480203)</f>
        <v>-0.4468706937</v>
      </c>
      <c r="U271" s="11">
        <f>IFERROR(__xludf.DUMMYFUNCTION("""COMPUTED_VALUE"""),-1.596071683389593)</f>
        <v>-1.596071683</v>
      </c>
      <c r="V271" s="11">
        <f>IFERROR(__xludf.DUMMYFUNCTION("""COMPUTED_VALUE"""),-0.1985406949520756)</f>
        <v>-0.198540695</v>
      </c>
      <c r="W271" s="11">
        <f>IFERROR(__xludf.DUMMYFUNCTION("""COMPUTED_VALUE"""),-1.2485944449972455)</f>
        <v>-1.248594445</v>
      </c>
      <c r="X271" s="11">
        <f>IFERROR(__xludf.DUMMYFUNCTION("""COMPUTED_VALUE"""),-1.150698449001903)</f>
        <v>-1.150698449</v>
      </c>
      <c r="Y271" s="11">
        <f>IFERROR(__xludf.DUMMYFUNCTION("""COMPUTED_VALUE"""),-0.7986192745275466)</f>
        <v>-0.7986192745</v>
      </c>
      <c r="Z271" s="11">
        <f>IFERROR(__xludf.DUMMYFUNCTION("""COMPUTED_VALUE"""),0.24259888839147922)</f>
        <v>0.2425988884</v>
      </c>
      <c r="AA271" s="11">
        <f>IFERROR(__xludf.DUMMYFUNCTION("""COMPUTED_VALUE"""),0.08646310431960676)</f>
        <v>0.08646310432</v>
      </c>
      <c r="AB271" t="str">
        <f>IFERROR(__xludf.DUMMYFUNCTION("SUBSTITUTE(REGEXREPLACE(REGEXREPLACE(REGEXREPLACE(REGEXREPLACE(REGEXREPLACE(REGEXREPLACE(F271,"","",),IF(Projections!$T$17="""",""PG"",),),IF(Projections!$U$17="""",""SG"",),),IF(Projections!$V$17="""",""SF"",),),IF(Projections!$W$17="""",""PF"",),),IF(Pr"&amp;"ojections!$X$17="""",""C"",),),""/"","""")"),"PGSG")</f>
        <v>PGSG</v>
      </c>
    </row>
    <row r="272">
      <c r="B272">
        <f>IFERROR(__xludf.DUMMYFUNCTION("""COMPUTED_VALUE"""),267.0)</f>
        <v>267</v>
      </c>
      <c r="D272" t="str">
        <f>IFERROR(__xludf.DUMMYFUNCTION("""COMPUTED_VALUE"""),"Goga Bitadze")</f>
        <v>Goga Bitadze</v>
      </c>
      <c r="E272">
        <f>IFERROR(__xludf.DUMMYFUNCTION("""COMPUTED_VALUE"""),51.0)</f>
        <v>51</v>
      </c>
      <c r="F272" t="str">
        <f>IFERROR(__xludf.DUMMYFUNCTION("""COMPUTED_VALUE"""),"C")</f>
        <v>C</v>
      </c>
      <c r="G272" s="11">
        <f>IFERROR(__xludf.DUMMYFUNCTION("""COMPUTED_VALUE"""),-4.883813916407181)</f>
        <v>-4.883813916</v>
      </c>
      <c r="H272" s="11">
        <f>IFERROR(__xludf.DUMMYFUNCTION("""COMPUTED_VALUE"""),-4.883813916407181)</f>
        <v>-4.883813916</v>
      </c>
      <c r="I272" s="11">
        <f>IFERROR(__xludf.DUMMYFUNCTION("""COMPUTED_VALUE"""),0.0)</f>
        <v>0</v>
      </c>
      <c r="J272" s="11">
        <f>IFERROR(__xludf.DUMMYFUNCTION("""COMPUTED_VALUE"""),4.9)</f>
        <v>4.9</v>
      </c>
      <c r="K272" s="11">
        <f>IFERROR(__xludf.DUMMYFUNCTION("""COMPUTED_VALUE"""),0.1)</f>
        <v>0.1</v>
      </c>
      <c r="L272" s="11">
        <f>IFERROR(__xludf.DUMMYFUNCTION("""COMPUTED_VALUE"""),4.4)</f>
        <v>4.4</v>
      </c>
      <c r="M272" s="11">
        <f>IFERROR(__xludf.DUMMYFUNCTION("""COMPUTED_VALUE"""),1.2)</f>
        <v>1.2</v>
      </c>
      <c r="N272" s="11">
        <f>IFERROR(__xludf.DUMMYFUNCTION("""COMPUTED_VALUE"""),0.5)</f>
        <v>0.5</v>
      </c>
      <c r="O272" s="11">
        <f>IFERROR(__xludf.DUMMYFUNCTION("""COMPUTED_VALUE"""),1.0)</f>
        <v>1</v>
      </c>
      <c r="P272" s="15">
        <f>IFERROR(__xludf.DUMMYFUNCTION("""COMPUTED_VALUE"""),0.583)</f>
        <v>0.583</v>
      </c>
      <c r="Q272" s="15">
        <f>IFERROR(__xludf.DUMMYFUNCTION("""COMPUTED_VALUE"""),0.617)</f>
        <v>0.617</v>
      </c>
      <c r="R272" s="11">
        <f>IFERROR(__xludf.DUMMYFUNCTION("""COMPUTED_VALUE"""),0.7)</f>
        <v>0.7</v>
      </c>
      <c r="S272" s="11">
        <f>IFERROR(__xludf.DUMMYFUNCTION("""COMPUTED_VALUE"""),-2.270183324867149)</f>
        <v>-2.270183325</v>
      </c>
      <c r="T272" s="11">
        <f>IFERROR(__xludf.DUMMYFUNCTION("""COMPUTED_VALUE"""),-1.6411622820433)</f>
        <v>-1.641162282</v>
      </c>
      <c r="U272" s="11">
        <f>IFERROR(__xludf.DUMMYFUNCTION("""COMPUTED_VALUE"""),-0.6546387763902618)</f>
        <v>-0.6546387764</v>
      </c>
      <c r="V272" s="11">
        <f>IFERROR(__xludf.DUMMYFUNCTION("""COMPUTED_VALUE"""),-1.2464614146611335)</f>
        <v>-1.246461415</v>
      </c>
      <c r="W272" s="11">
        <f>IFERROR(__xludf.DUMMYFUNCTION("""COMPUTED_VALUE"""),-1.5805271231567248)</f>
        <v>-1.580527123</v>
      </c>
      <c r="X272" s="11">
        <f>IFERROR(__xludf.DUMMYFUNCTION("""COMPUTED_VALUE"""),0.45484486947200414)</f>
        <v>0.4548448695</v>
      </c>
      <c r="Y272" s="11">
        <f>IFERROR(__xludf.DUMMYFUNCTION("""COMPUTED_VALUE"""),0.3431680769206575)</f>
        <v>0.3431680769</v>
      </c>
      <c r="Z272" s="11">
        <f>IFERROR(__xludf.DUMMYFUNCTION("""COMPUTED_VALUE"""),-0.8190878651999369)</f>
        <v>-0.8190878652</v>
      </c>
      <c r="AA272" s="11">
        <f>IFERROR(__xludf.DUMMYFUNCTION("""COMPUTED_VALUE"""),0.26005059865151336)</f>
        <v>0.2600505987</v>
      </c>
      <c r="AB272" t="str">
        <f>IFERROR(__xludf.DUMMYFUNCTION("SUBSTITUTE(REGEXREPLACE(REGEXREPLACE(REGEXREPLACE(REGEXREPLACE(REGEXREPLACE(REGEXREPLACE(F272,"","",),IF(Projections!$T$17="""",""PG"",),),IF(Projections!$U$17="""",""SG"",),),IF(Projections!$V$17="""",""SF"",),),IF(Projections!$W$17="""",""PF"",),),IF(Pr"&amp;"ojections!$X$17="""",""C"",),),""/"","""")"),"C")</f>
        <v>C</v>
      </c>
    </row>
    <row r="273">
      <c r="B273">
        <f>IFERROR(__xludf.DUMMYFUNCTION("""COMPUTED_VALUE"""),268.0)</f>
        <v>268</v>
      </c>
      <c r="C273">
        <f>IFERROR(__xludf.DUMMYFUNCTION("""COMPUTED_VALUE"""),145.3)</f>
        <v>145.3</v>
      </c>
      <c r="D273" t="str">
        <f>IFERROR(__xludf.DUMMYFUNCTION("""COMPUTED_VALUE"""),"Matas Buzelis")</f>
        <v>Matas Buzelis</v>
      </c>
      <c r="E273">
        <f>IFERROR(__xludf.DUMMYFUNCTION("""COMPUTED_VALUE"""),66.0)</f>
        <v>66</v>
      </c>
      <c r="F273" t="str">
        <f>IFERROR(__xludf.DUMMYFUNCTION("""COMPUTED_VALUE"""),"SF")</f>
        <v>SF</v>
      </c>
      <c r="G273" s="11">
        <f>IFERROR(__xludf.DUMMYFUNCTION("""COMPUTED_VALUE"""),-4.937872004223632)</f>
        <v>-4.937872004</v>
      </c>
      <c r="H273" s="11">
        <f>IFERROR(__xludf.DUMMYFUNCTION("""COMPUTED_VALUE"""),-4.937872004223632)</f>
        <v>-4.937872004</v>
      </c>
      <c r="I273" s="11">
        <f>IFERROR(__xludf.DUMMYFUNCTION("""COMPUTED_VALUE"""),0.0)</f>
        <v>0</v>
      </c>
      <c r="J273" s="11">
        <f>IFERROR(__xludf.DUMMYFUNCTION("""COMPUTED_VALUE"""),7.4)</f>
        <v>7.4</v>
      </c>
      <c r="K273" s="11">
        <f>IFERROR(__xludf.DUMMYFUNCTION("""COMPUTED_VALUE"""),0.5)</f>
        <v>0.5</v>
      </c>
      <c r="L273" s="11">
        <f>IFERROR(__xludf.DUMMYFUNCTION("""COMPUTED_VALUE"""),3.9)</f>
        <v>3.9</v>
      </c>
      <c r="M273" s="11">
        <f>IFERROR(__xludf.DUMMYFUNCTION("""COMPUTED_VALUE"""),1.1)</f>
        <v>1.1</v>
      </c>
      <c r="N273" s="11">
        <f>IFERROR(__xludf.DUMMYFUNCTION("""COMPUTED_VALUE"""),0.5)</f>
        <v>0.5</v>
      </c>
      <c r="O273" s="11">
        <f>IFERROR(__xludf.DUMMYFUNCTION("""COMPUTED_VALUE"""),1.2)</f>
        <v>1.2</v>
      </c>
      <c r="P273" s="15">
        <f>IFERROR(__xludf.DUMMYFUNCTION("""COMPUTED_VALUE"""),0.447)</f>
        <v>0.447</v>
      </c>
      <c r="Q273" s="15">
        <f>IFERROR(__xludf.DUMMYFUNCTION("""COMPUTED_VALUE"""),0.678)</f>
        <v>0.678</v>
      </c>
      <c r="R273" s="11">
        <f>IFERROR(__xludf.DUMMYFUNCTION("""COMPUTED_VALUE"""),1.3)</f>
        <v>1.3</v>
      </c>
      <c r="S273" s="11">
        <f>IFERROR(__xludf.DUMMYFUNCTION("""COMPUTED_VALUE"""),-1.8185632757854933)</f>
        <v>-1.818563276</v>
      </c>
      <c r="T273" s="11">
        <f>IFERROR(__xludf.DUMMYFUNCTION("""COMPUTED_VALUE"""),-1.2430650859171342)</f>
        <v>-1.243065086</v>
      </c>
      <c r="U273" s="11">
        <f>IFERROR(__xludf.DUMMYFUNCTION("""COMPUTED_VALUE"""),-0.8507706320151226)</f>
        <v>-0.850770632</v>
      </c>
      <c r="V273" s="11">
        <f>IFERROR(__xludf.DUMMYFUNCTION("""COMPUTED_VALUE"""),-1.2920231850832664)</f>
        <v>-1.292023185</v>
      </c>
      <c r="W273" s="11">
        <f>IFERROR(__xludf.DUMMYFUNCTION("""COMPUTED_VALUE"""),-1.5805271231567248)</f>
        <v>-1.580527123</v>
      </c>
      <c r="X273" s="11">
        <f>IFERROR(__xludf.DUMMYFUNCTION("""COMPUTED_VALUE"""),0.8116322735773168)</f>
        <v>0.8116322736</v>
      </c>
      <c r="Y273" s="11">
        <f>IFERROR(__xludf.DUMMYFUNCTION("""COMPUTED_VALUE"""),-0.3975302915051365)</f>
        <v>-0.3975302915</v>
      </c>
      <c r="Z273" s="11">
        <f>IFERROR(__xludf.DUMMYFUNCTION("""COMPUTED_VALUE"""),-0.49684927791915695)</f>
        <v>-0.4968492779</v>
      </c>
      <c r="AA273" s="11">
        <f>IFERROR(__xludf.DUMMYFUNCTION("""COMPUTED_VALUE"""),0.11126131779559338)</f>
        <v>0.1112613178</v>
      </c>
      <c r="AB273" t="str">
        <f>IFERROR(__xludf.DUMMYFUNCTION("SUBSTITUTE(REGEXREPLACE(REGEXREPLACE(REGEXREPLACE(REGEXREPLACE(REGEXREPLACE(REGEXREPLACE(F273,"","",),IF(Projections!$T$17="""",""PG"",),),IF(Projections!$U$17="""",""SG"",),),IF(Projections!$V$17="""",""SF"",),),IF(Projections!$W$17="""",""PF"",),),IF(Pr"&amp;"ojections!$X$17="""",""C"",),),""/"","""")"),"SF")</f>
        <v>SF</v>
      </c>
    </row>
    <row r="274">
      <c r="B274">
        <f>IFERROR(__xludf.DUMMYFUNCTION("""COMPUTED_VALUE"""),269.0)</f>
        <v>269</v>
      </c>
      <c r="D274" t="str">
        <f>IFERROR(__xludf.DUMMYFUNCTION("""COMPUTED_VALUE"""),"Jarace Walker")</f>
        <v>Jarace Walker</v>
      </c>
      <c r="E274">
        <f>IFERROR(__xludf.DUMMYFUNCTION("""COMPUTED_VALUE"""),71.0)</f>
        <v>71</v>
      </c>
      <c r="F274" t="str">
        <f>IFERROR(__xludf.DUMMYFUNCTION("""COMPUTED_VALUE"""),"PF")</f>
        <v>PF</v>
      </c>
      <c r="G274" s="11">
        <f>IFERROR(__xludf.DUMMYFUNCTION("""COMPUTED_VALUE"""),-4.942779641939069)</f>
        <v>-4.942779642</v>
      </c>
      <c r="H274" s="11">
        <f>IFERROR(__xludf.DUMMYFUNCTION("""COMPUTED_VALUE"""),-4.942779641939069)</f>
        <v>-4.942779642</v>
      </c>
      <c r="I274" s="11">
        <f>IFERROR(__xludf.DUMMYFUNCTION("""COMPUTED_VALUE"""),0.0)</f>
        <v>0</v>
      </c>
      <c r="J274" s="11">
        <f>IFERROR(__xludf.DUMMYFUNCTION("""COMPUTED_VALUE"""),5.1)</f>
        <v>5.1</v>
      </c>
      <c r="K274" s="11">
        <f>IFERROR(__xludf.DUMMYFUNCTION("""COMPUTED_VALUE"""),0.9)</f>
        <v>0.9</v>
      </c>
      <c r="L274" s="11">
        <f>IFERROR(__xludf.DUMMYFUNCTION("""COMPUTED_VALUE"""),2.7)</f>
        <v>2.7</v>
      </c>
      <c r="M274" s="11">
        <f>IFERROR(__xludf.DUMMYFUNCTION("""COMPUTED_VALUE"""),1.7)</f>
        <v>1.7</v>
      </c>
      <c r="N274" s="11">
        <f>IFERROR(__xludf.DUMMYFUNCTION("""COMPUTED_VALUE"""),0.6)</f>
        <v>0.6</v>
      </c>
      <c r="O274" s="11">
        <f>IFERROR(__xludf.DUMMYFUNCTION("""COMPUTED_VALUE"""),0.5)</f>
        <v>0.5</v>
      </c>
      <c r="P274" s="15">
        <f>IFERROR(__xludf.DUMMYFUNCTION("""COMPUTED_VALUE"""),0.409)</f>
        <v>0.409</v>
      </c>
      <c r="Q274" s="15">
        <f>IFERROR(__xludf.DUMMYFUNCTION("""COMPUTED_VALUE"""),0.895)</f>
        <v>0.895</v>
      </c>
      <c r="R274" s="11">
        <f>IFERROR(__xludf.DUMMYFUNCTION("""COMPUTED_VALUE"""),0.7)</f>
        <v>0.7</v>
      </c>
      <c r="S274" s="11">
        <f>IFERROR(__xludf.DUMMYFUNCTION("""COMPUTED_VALUE"""),-2.234053720940617)</f>
        <v>-2.234053721</v>
      </c>
      <c r="T274" s="11">
        <f>IFERROR(__xludf.DUMMYFUNCTION("""COMPUTED_VALUE"""),-0.844967889790968)</f>
        <v>-0.8449678898</v>
      </c>
      <c r="U274" s="11">
        <f>IFERROR(__xludf.DUMMYFUNCTION("""COMPUTED_VALUE"""),-1.321487085514788)</f>
        <v>-1.321487086</v>
      </c>
      <c r="V274" s="11">
        <f>IFERROR(__xludf.DUMMYFUNCTION("""COMPUTED_VALUE"""),-1.0186525625504688)</f>
        <v>-1.018652563</v>
      </c>
      <c r="W274" s="11">
        <f>IFERROR(__xludf.DUMMYFUNCTION("""COMPUTED_VALUE"""),-1.2485944449972455)</f>
        <v>-1.248594445</v>
      </c>
      <c r="X274" s="11">
        <f>IFERROR(__xludf.DUMMYFUNCTION("""COMPUTED_VALUE"""),-0.4371236407912776)</f>
        <v>-0.4371236408</v>
      </c>
      <c r="Y274" s="11">
        <f>IFERROR(__xludf.DUMMYFUNCTION("""COMPUTED_VALUE"""),-0.47378330991800754)</f>
        <v>-0.4737833099</v>
      </c>
      <c r="Z274" s="11">
        <f>IFERROR(__xludf.DUMMYFUNCTION("""COMPUTED_VALUE"""),0.1417786929721739)</f>
        <v>0.141778693</v>
      </c>
      <c r="AA274" s="11">
        <f>IFERROR(__xludf.DUMMYFUNCTION("""COMPUTED_VALUE"""),0.26005059865151336)</f>
        <v>0.2600505987</v>
      </c>
      <c r="AB274" t="str">
        <f>IFERROR(__xludf.DUMMYFUNCTION("SUBSTITUTE(REGEXREPLACE(REGEXREPLACE(REGEXREPLACE(REGEXREPLACE(REGEXREPLACE(REGEXREPLACE(F274,"","",),IF(Projections!$T$17="""",""PG"",),),IF(Projections!$U$17="""",""SG"",),),IF(Projections!$V$17="""",""SF"",),),IF(Projections!$W$17="""",""PF"",),),IF(Pr"&amp;"ojections!$X$17="""",""C"",),),""/"","""")"),"PF")</f>
        <v>PF</v>
      </c>
    </row>
    <row r="275">
      <c r="B275">
        <f>IFERROR(__xludf.DUMMYFUNCTION("""COMPUTED_VALUE"""),270.0)</f>
        <v>270</v>
      </c>
      <c r="D275" t="str">
        <f>IFERROR(__xludf.DUMMYFUNCTION("""COMPUTED_VALUE"""),"Kyshawn George")</f>
        <v>Kyshawn George</v>
      </c>
      <c r="E275">
        <f>IFERROR(__xludf.DUMMYFUNCTION("""COMPUTED_VALUE"""),71.0)</f>
        <v>71</v>
      </c>
      <c r="F275" t="str">
        <f>IFERROR(__xludf.DUMMYFUNCTION("""COMPUTED_VALUE"""),"SF")</f>
        <v>SF</v>
      </c>
      <c r="G275" s="11">
        <f>IFERROR(__xludf.DUMMYFUNCTION("""COMPUTED_VALUE"""),-4.950295034556319)</f>
        <v>-4.950295035</v>
      </c>
      <c r="H275" s="11">
        <f>IFERROR(__xludf.DUMMYFUNCTION("""COMPUTED_VALUE"""),-4.950295034556319)</f>
        <v>-4.950295035</v>
      </c>
      <c r="I275" s="11">
        <f>IFERROR(__xludf.DUMMYFUNCTION("""COMPUTED_VALUE"""),0.0)</f>
        <v>0</v>
      </c>
      <c r="J275" s="11">
        <f>IFERROR(__xludf.DUMMYFUNCTION("""COMPUTED_VALUE"""),6.0)</f>
        <v>6</v>
      </c>
      <c r="K275" s="11">
        <f>IFERROR(__xludf.DUMMYFUNCTION("""COMPUTED_VALUE"""),1.3)</f>
        <v>1.3</v>
      </c>
      <c r="L275" s="11">
        <f>IFERROR(__xludf.DUMMYFUNCTION("""COMPUTED_VALUE"""),2.4)</f>
        <v>2.4</v>
      </c>
      <c r="M275" s="11">
        <f>IFERROR(__xludf.DUMMYFUNCTION("""COMPUTED_VALUE"""),1.7)</f>
        <v>1.7</v>
      </c>
      <c r="N275" s="11">
        <f>IFERROR(__xludf.DUMMYFUNCTION("""COMPUTED_VALUE"""),0.7)</f>
        <v>0.7</v>
      </c>
      <c r="O275" s="11">
        <f>IFERROR(__xludf.DUMMYFUNCTION("""COMPUTED_VALUE"""),0.3)</f>
        <v>0.3</v>
      </c>
      <c r="P275" s="15">
        <f>IFERROR(__xludf.DUMMYFUNCTION("""COMPUTED_VALUE"""),0.425)</f>
        <v>0.425</v>
      </c>
      <c r="Q275" s="15">
        <f>IFERROR(__xludf.DUMMYFUNCTION("""COMPUTED_VALUE"""),0.768)</f>
        <v>0.768</v>
      </c>
      <c r="R275" s="11">
        <f>IFERROR(__xludf.DUMMYFUNCTION("""COMPUTED_VALUE"""),1.2)</f>
        <v>1.2</v>
      </c>
      <c r="S275" s="11">
        <f>IFERROR(__xludf.DUMMYFUNCTION("""COMPUTED_VALUE"""),-2.071470503271221)</f>
        <v>-2.071470503</v>
      </c>
      <c r="T275" s="11">
        <f>IFERROR(__xludf.DUMMYFUNCTION("""COMPUTED_VALUE"""),-0.44687069366480203)</f>
        <v>-0.4468706937</v>
      </c>
      <c r="U275" s="11">
        <f>IFERROR(__xludf.DUMMYFUNCTION("""COMPUTED_VALUE"""),-1.4391661988897044)</f>
        <v>-1.439166199</v>
      </c>
      <c r="V275" s="11">
        <f>IFERROR(__xludf.DUMMYFUNCTION("""COMPUTED_VALUE"""),-1.0186525625504688)</f>
        <v>-1.018652563</v>
      </c>
      <c r="W275" s="11">
        <f>IFERROR(__xludf.DUMMYFUNCTION("""COMPUTED_VALUE"""),-0.9166617668377661)</f>
        <v>-0.9166617668</v>
      </c>
      <c r="X275" s="11">
        <f>IFERROR(__xludf.DUMMYFUNCTION("""COMPUTED_VALUE"""),-0.7939110448965904)</f>
        <v>-0.7939110449</v>
      </c>
      <c r="Y275" s="11">
        <f>IFERROR(__xludf.DUMMYFUNCTION("""COMPUTED_VALUE"""),-0.40437291406048714)</f>
        <v>-0.4043729141</v>
      </c>
      <c r="Z275" s="11">
        <f>IFERROR(__xludf.DUMMYFUNCTION("""COMPUTED_VALUE"""),-0.06671938492808065)</f>
        <v>-0.06671938493</v>
      </c>
      <c r="AA275" s="11">
        <f>IFERROR(__xludf.DUMMYFUNCTION("""COMPUTED_VALUE"""),0.13605953127158005)</f>
        <v>0.1360595313</v>
      </c>
      <c r="AB275" t="str">
        <f>IFERROR(__xludf.DUMMYFUNCTION("SUBSTITUTE(REGEXREPLACE(REGEXREPLACE(REGEXREPLACE(REGEXREPLACE(REGEXREPLACE(REGEXREPLACE(F275,"","",),IF(Projections!$T$17="""",""PG"",),),IF(Projections!$U$17="""",""SG"",),),IF(Projections!$V$17="""",""SF"",),),IF(Projections!$W$17="""",""PF"",),),IF(Pr"&amp;"ojections!$X$17="""",""C"",),),""/"","""")"),"SF")</f>
        <v>SF</v>
      </c>
    </row>
    <row r="276">
      <c r="B276">
        <f>IFERROR(__xludf.DUMMYFUNCTION("""COMPUTED_VALUE"""),271.0)</f>
        <v>271</v>
      </c>
      <c r="D276" t="str">
        <f>IFERROR(__xludf.DUMMYFUNCTION("""COMPUTED_VALUE"""),"Torrey Craig")</f>
        <v>Torrey Craig</v>
      </c>
      <c r="E276">
        <f>IFERROR(__xludf.DUMMYFUNCTION("""COMPUTED_VALUE"""),71.0)</f>
        <v>71</v>
      </c>
      <c r="F276" t="str">
        <f>IFERROR(__xludf.DUMMYFUNCTION("""COMPUTED_VALUE"""),"SF,PF")</f>
        <v>SF,PF</v>
      </c>
      <c r="G276" s="11">
        <f>IFERROR(__xludf.DUMMYFUNCTION("""COMPUTED_VALUE"""),-4.961167392746473)</f>
        <v>-4.961167393</v>
      </c>
      <c r="H276" s="11">
        <f>IFERROR(__xludf.DUMMYFUNCTION("""COMPUTED_VALUE"""),-4.961167392746473)</f>
        <v>-4.961167393</v>
      </c>
      <c r="I276" s="11">
        <f>IFERROR(__xludf.DUMMYFUNCTION("""COMPUTED_VALUE"""),0.0)</f>
        <v>0</v>
      </c>
      <c r="J276" s="11">
        <f>IFERROR(__xludf.DUMMYFUNCTION("""COMPUTED_VALUE"""),5.7)</f>
        <v>5.7</v>
      </c>
      <c r="K276" s="11">
        <f>IFERROR(__xludf.DUMMYFUNCTION("""COMPUTED_VALUE"""),1.0)</f>
        <v>1</v>
      </c>
      <c r="L276" s="11">
        <f>IFERROR(__xludf.DUMMYFUNCTION("""COMPUTED_VALUE"""),4.1)</f>
        <v>4.1</v>
      </c>
      <c r="M276" s="11">
        <f>IFERROR(__xludf.DUMMYFUNCTION("""COMPUTED_VALUE"""),1.1)</f>
        <v>1.1</v>
      </c>
      <c r="N276" s="11">
        <f>IFERROR(__xludf.DUMMYFUNCTION("""COMPUTED_VALUE"""),0.5)</f>
        <v>0.5</v>
      </c>
      <c r="O276" s="11">
        <f>IFERROR(__xludf.DUMMYFUNCTION("""COMPUTED_VALUE"""),0.5)</f>
        <v>0.5</v>
      </c>
      <c r="P276" s="15">
        <f>IFERROR(__xludf.DUMMYFUNCTION("""COMPUTED_VALUE"""),0.447)</f>
        <v>0.447</v>
      </c>
      <c r="Q276" s="15">
        <f>IFERROR(__xludf.DUMMYFUNCTION("""COMPUTED_VALUE"""),0.731)</f>
        <v>0.731</v>
      </c>
      <c r="R276" s="11">
        <f>IFERROR(__xludf.DUMMYFUNCTION("""COMPUTED_VALUE"""),0.7)</f>
        <v>0.7</v>
      </c>
      <c r="S276" s="11">
        <f>IFERROR(__xludf.DUMMYFUNCTION("""COMPUTED_VALUE"""),-2.1256649091610194)</f>
        <v>-2.125664909</v>
      </c>
      <c r="T276" s="11">
        <f>IFERROR(__xludf.DUMMYFUNCTION("""COMPUTED_VALUE"""),-0.7454435907594266)</f>
        <v>-0.7454435908</v>
      </c>
      <c r="U276" s="11">
        <f>IFERROR(__xludf.DUMMYFUNCTION("""COMPUTED_VALUE"""),-0.7723178897651785)</f>
        <v>-0.7723178898</v>
      </c>
      <c r="V276" s="11">
        <f>IFERROR(__xludf.DUMMYFUNCTION("""COMPUTED_VALUE"""),-1.2920231850832664)</f>
        <v>-1.292023185</v>
      </c>
      <c r="W276" s="11">
        <f>IFERROR(__xludf.DUMMYFUNCTION("""COMPUTED_VALUE"""),-1.5805271231567248)</f>
        <v>-1.580527123</v>
      </c>
      <c r="X276" s="11">
        <f>IFERROR(__xludf.DUMMYFUNCTION("""COMPUTED_VALUE"""),-0.4371236407912776)</f>
        <v>-0.4371236408</v>
      </c>
      <c r="Y276" s="11">
        <f>IFERROR(__xludf.DUMMYFUNCTION("""COMPUTED_VALUE"""),-0.2806096175330376)</f>
        <v>-0.2806096175</v>
      </c>
      <c r="Z276" s="11">
        <f>IFERROR(__xludf.DUMMYFUNCTION("""COMPUTED_VALUE"""),-0.11317294430907479)</f>
        <v>-0.1131729443</v>
      </c>
      <c r="AA276" s="11">
        <f>IFERROR(__xludf.DUMMYFUNCTION("""COMPUTED_VALUE"""),0.26005059865151336)</f>
        <v>0.2600505987</v>
      </c>
      <c r="AB276" t="str">
        <f>IFERROR(__xludf.DUMMYFUNCTION("SUBSTITUTE(REGEXREPLACE(REGEXREPLACE(REGEXREPLACE(REGEXREPLACE(REGEXREPLACE(REGEXREPLACE(F276,"","",),IF(Projections!$T$17="""",""PG"",),),IF(Projections!$U$17="""",""SG"",),),IF(Projections!$V$17="""",""SF"",),),IF(Projections!$W$17="""",""PF"",),),IF(Pr"&amp;"ojections!$X$17="""",""C"",),),""/"","""")"),"SFPF")</f>
        <v>SFPF</v>
      </c>
    </row>
    <row r="277">
      <c r="B277">
        <f>IFERROR(__xludf.DUMMYFUNCTION("""COMPUTED_VALUE"""),272.0)</f>
        <v>272</v>
      </c>
      <c r="C277">
        <f>IFERROR(__xludf.DUMMYFUNCTION("""COMPUTED_VALUE"""),143.9)</f>
        <v>143.9</v>
      </c>
      <c r="D277" t="str">
        <f>IFERROR(__xludf.DUMMYFUNCTION("""COMPUTED_VALUE"""),"Precious Achiuwa")</f>
        <v>Precious Achiuwa</v>
      </c>
      <c r="E277">
        <f>IFERROR(__xludf.DUMMYFUNCTION("""COMPUTED_VALUE"""),48.0)</f>
        <v>48</v>
      </c>
      <c r="F277" t="str">
        <f>IFERROR(__xludf.DUMMYFUNCTION("""COMPUTED_VALUE"""),"PF,C")</f>
        <v>PF,C</v>
      </c>
      <c r="G277" s="11">
        <f>IFERROR(__xludf.DUMMYFUNCTION("""COMPUTED_VALUE"""),-5.042439377993846)</f>
        <v>-5.042439378</v>
      </c>
      <c r="H277" s="11">
        <f>IFERROR(__xludf.DUMMYFUNCTION("""COMPUTED_VALUE"""),-5.042439377993846)</f>
        <v>-5.042439378</v>
      </c>
      <c r="I277" s="11">
        <f>IFERROR(__xludf.DUMMYFUNCTION("""COMPUTED_VALUE"""),0.0)</f>
        <v>0</v>
      </c>
      <c r="J277" s="11">
        <f>IFERROR(__xludf.DUMMYFUNCTION("""COMPUTED_VALUE"""),7.7)</f>
        <v>7.7</v>
      </c>
      <c r="K277" s="11">
        <f>IFERROR(__xludf.DUMMYFUNCTION("""COMPUTED_VALUE"""),0.4)</f>
        <v>0.4</v>
      </c>
      <c r="L277" s="11">
        <f>IFERROR(__xludf.DUMMYFUNCTION("""COMPUTED_VALUE"""),5.8)</f>
        <v>5.8</v>
      </c>
      <c r="M277" s="11">
        <f>IFERROR(__xludf.DUMMYFUNCTION("""COMPUTED_VALUE"""),1.1)</f>
        <v>1.1</v>
      </c>
      <c r="N277" s="11">
        <f>IFERROR(__xludf.DUMMYFUNCTION("""COMPUTED_VALUE"""),0.5)</f>
        <v>0.5</v>
      </c>
      <c r="O277" s="11">
        <f>IFERROR(__xludf.DUMMYFUNCTION("""COMPUTED_VALUE"""),0.7)</f>
        <v>0.7</v>
      </c>
      <c r="P277" s="15">
        <f>IFERROR(__xludf.DUMMYFUNCTION("""COMPUTED_VALUE"""),0.494)</f>
        <v>0.494</v>
      </c>
      <c r="Q277" s="15">
        <f>IFERROR(__xludf.DUMMYFUNCTION("""COMPUTED_VALUE"""),0.661)</f>
        <v>0.661</v>
      </c>
      <c r="R277" s="11">
        <f>IFERROR(__xludf.DUMMYFUNCTION("""COMPUTED_VALUE"""),1.0)</f>
        <v>1</v>
      </c>
      <c r="S277" s="11">
        <f>IFERROR(__xludf.DUMMYFUNCTION("""COMPUTED_VALUE"""),-1.7643688698956947)</f>
        <v>-1.76436887</v>
      </c>
      <c r="T277" s="11">
        <f>IFERROR(__xludf.DUMMYFUNCTION("""COMPUTED_VALUE"""),-1.3425893849486756)</f>
        <v>-1.342589385</v>
      </c>
      <c r="U277" s="11">
        <f>IFERROR(__xludf.DUMMYFUNCTION("""COMPUTED_VALUE"""),-0.1054695806406522)</f>
        <v>-0.1054695806</v>
      </c>
      <c r="V277" s="11">
        <f>IFERROR(__xludf.DUMMYFUNCTION("""COMPUTED_VALUE"""),-1.2920231850832664)</f>
        <v>-1.292023185</v>
      </c>
      <c r="W277" s="11">
        <f>IFERROR(__xludf.DUMMYFUNCTION("""COMPUTED_VALUE"""),-1.5805271231567248)</f>
        <v>-1.580527123</v>
      </c>
      <c r="X277" s="11">
        <f>IFERROR(__xludf.DUMMYFUNCTION("""COMPUTED_VALUE"""),-0.08033623668596498)</f>
        <v>-0.08033623669</v>
      </c>
      <c r="Y277" s="11">
        <f>IFERROR(__xludf.DUMMYFUNCTION("""COMPUTED_VALUE"""),-0.020933022948935072)</f>
        <v>-0.02093302295</v>
      </c>
      <c r="Z277" s="11">
        <f>IFERROR(__xludf.DUMMYFUNCTION("""COMPUTED_VALUE"""),-0.8062168027531804)</f>
        <v>-0.8062168028</v>
      </c>
      <c r="AA277" s="11">
        <f>IFERROR(__xludf.DUMMYFUNCTION("""COMPUTED_VALUE"""),0.18565595822355335)</f>
        <v>0.1856559582</v>
      </c>
      <c r="AB277" t="str">
        <f>IFERROR(__xludf.DUMMYFUNCTION("SUBSTITUTE(REGEXREPLACE(REGEXREPLACE(REGEXREPLACE(REGEXREPLACE(REGEXREPLACE(REGEXREPLACE(F277,"","",),IF(Projections!$T$17="""",""PG"",),),IF(Projections!$U$17="""",""SG"",),),IF(Projections!$V$17="""",""SF"",),),IF(Projections!$W$17="""",""PF"",),),IF(Pr"&amp;"ojections!$X$17="""",""C"",),),""/"","""")"),"PFC")</f>
        <v>PFC</v>
      </c>
    </row>
    <row r="278">
      <c r="B278">
        <f>IFERROR(__xludf.DUMMYFUNCTION("""COMPUTED_VALUE"""),273.0)</f>
        <v>273</v>
      </c>
      <c r="C278">
        <f>IFERROR(__xludf.DUMMYFUNCTION("""COMPUTED_VALUE"""),139.8)</f>
        <v>139.8</v>
      </c>
      <c r="D278" t="str">
        <f>IFERROR(__xludf.DUMMYFUNCTION("""COMPUTED_VALUE"""),"Steven Adams")</f>
        <v>Steven Adams</v>
      </c>
      <c r="E278">
        <f>IFERROR(__xludf.DUMMYFUNCTION("""COMPUTED_VALUE"""),46.0)</f>
        <v>46</v>
      </c>
      <c r="F278" t="str">
        <f>IFERROR(__xludf.DUMMYFUNCTION("""COMPUTED_VALUE"""),"C")</f>
        <v>C</v>
      </c>
      <c r="G278" s="11">
        <f>IFERROR(__xludf.DUMMYFUNCTION("""COMPUTED_VALUE"""),-5.061138326251815)</f>
        <v>-5.061138326</v>
      </c>
      <c r="H278" s="11">
        <f>IFERROR(__xludf.DUMMYFUNCTION("""COMPUTED_VALUE"""),-5.061138326251815)</f>
        <v>-5.061138326</v>
      </c>
      <c r="I278" s="11">
        <f>IFERROR(__xludf.DUMMYFUNCTION("""COMPUTED_VALUE"""),0.0)</f>
        <v>0</v>
      </c>
      <c r="J278" s="11">
        <f>IFERROR(__xludf.DUMMYFUNCTION("""COMPUTED_VALUE"""),5.7)</f>
        <v>5.7</v>
      </c>
      <c r="K278" s="11">
        <f>IFERROR(__xludf.DUMMYFUNCTION("""COMPUTED_VALUE"""),0.0)</f>
        <v>0</v>
      </c>
      <c r="L278" s="11">
        <f>IFERROR(__xludf.DUMMYFUNCTION("""COMPUTED_VALUE"""),7.7)</f>
        <v>7.7</v>
      </c>
      <c r="M278" s="11">
        <f>IFERROR(__xludf.DUMMYFUNCTION("""COMPUTED_VALUE"""),1.5)</f>
        <v>1.5</v>
      </c>
      <c r="N278" s="11">
        <f>IFERROR(__xludf.DUMMYFUNCTION("""COMPUTED_VALUE"""),0.6)</f>
        <v>0.6</v>
      </c>
      <c r="O278" s="11">
        <f>IFERROR(__xludf.DUMMYFUNCTION("""COMPUTED_VALUE"""),0.7)</f>
        <v>0.7</v>
      </c>
      <c r="P278" s="15">
        <f>IFERROR(__xludf.DUMMYFUNCTION("""COMPUTED_VALUE"""),0.597)</f>
        <v>0.597</v>
      </c>
      <c r="Q278" s="15">
        <f>IFERROR(__xludf.DUMMYFUNCTION("""COMPUTED_VALUE"""),0.366)</f>
        <v>0.366</v>
      </c>
      <c r="R278" s="11">
        <f>IFERROR(__xludf.DUMMYFUNCTION("""COMPUTED_VALUE"""),1.3)</f>
        <v>1.3</v>
      </c>
      <c r="S278" s="11">
        <f>IFERROR(__xludf.DUMMYFUNCTION("""COMPUTED_VALUE"""),-2.1256649091610194)</f>
        <v>-2.125664909</v>
      </c>
      <c r="T278" s="11">
        <f>IFERROR(__xludf.DUMMYFUNCTION("""COMPUTED_VALUE"""),-1.7406865810748415)</f>
        <v>-1.740686581</v>
      </c>
      <c r="U278" s="11">
        <f>IFERROR(__xludf.DUMMYFUNCTION("""COMPUTED_VALUE"""),0.6398314707338183)</f>
        <v>0.6398314707</v>
      </c>
      <c r="V278" s="11">
        <f>IFERROR(__xludf.DUMMYFUNCTION("""COMPUTED_VALUE"""),-1.1097761033947346)</f>
        <v>-1.109776103</v>
      </c>
      <c r="W278" s="11">
        <f>IFERROR(__xludf.DUMMYFUNCTION("""COMPUTED_VALUE"""),-1.2485944449972455)</f>
        <v>-1.248594445</v>
      </c>
      <c r="X278" s="11">
        <f>IFERROR(__xludf.DUMMYFUNCTION("""COMPUTED_VALUE"""),-0.08033623668596498)</f>
        <v>-0.08033623669</v>
      </c>
      <c r="Y278" s="11">
        <f>IFERROR(__xludf.DUMMYFUNCTION("""COMPUTED_VALUE"""),0.49282716053258063)</f>
        <v>0.4928271605</v>
      </c>
      <c r="Z278" s="11">
        <f>IFERROR(__xludf.DUMMYFUNCTION("""COMPUTED_VALUE"""),-3.1898235858160398)</f>
        <v>-3.189823586</v>
      </c>
      <c r="AA278" s="11">
        <f>IFERROR(__xludf.DUMMYFUNCTION("""COMPUTED_VALUE"""),0.11126131779559338)</f>
        <v>0.1112613178</v>
      </c>
      <c r="AB278" t="str">
        <f>IFERROR(__xludf.DUMMYFUNCTION("SUBSTITUTE(REGEXREPLACE(REGEXREPLACE(REGEXREPLACE(REGEXREPLACE(REGEXREPLACE(REGEXREPLACE(F278,"","",),IF(Projections!$T$17="""",""PG"",),),IF(Projections!$U$17="""",""SG"",),),IF(Projections!$V$17="""",""SF"",),),IF(Projections!$W$17="""",""PF"",),),IF(Pr"&amp;"ojections!$X$17="""",""C"",),),""/"","""")"),"C")</f>
        <v>C</v>
      </c>
    </row>
    <row r="279">
      <c r="B279">
        <f>IFERROR(__xludf.DUMMYFUNCTION("""COMPUTED_VALUE"""),274.0)</f>
        <v>274</v>
      </c>
      <c r="D279" t="str">
        <f>IFERROR(__xludf.DUMMYFUNCTION("""COMPUTED_VALUE"""),"Saddiq Bey")</f>
        <v>Saddiq Bey</v>
      </c>
      <c r="E279">
        <f>IFERROR(__xludf.DUMMYFUNCTION("""COMPUTED_VALUE"""),66.0)</f>
        <v>66</v>
      </c>
      <c r="F279" t="str">
        <f>IFERROR(__xludf.DUMMYFUNCTION("""COMPUTED_VALUE"""),"SF,PF")</f>
        <v>SF,PF</v>
      </c>
      <c r="G279" s="11">
        <f>IFERROR(__xludf.DUMMYFUNCTION("""COMPUTED_VALUE"""),-5.064146176348833)</f>
        <v>-5.064146176</v>
      </c>
      <c r="H279" s="11">
        <f>IFERROR(__xludf.DUMMYFUNCTION("""COMPUTED_VALUE"""),-5.064146176348833)</f>
        <v>-5.064146176</v>
      </c>
      <c r="I279" s="11">
        <f>IFERROR(__xludf.DUMMYFUNCTION("""COMPUTED_VALUE"""),0.0)</f>
        <v>0</v>
      </c>
      <c r="J279" s="11">
        <f>IFERROR(__xludf.DUMMYFUNCTION("""COMPUTED_VALUE"""),9.3)</f>
        <v>9.3</v>
      </c>
      <c r="K279" s="11">
        <f>IFERROR(__xludf.DUMMYFUNCTION("""COMPUTED_VALUE"""),1.3)</f>
        <v>1.3</v>
      </c>
      <c r="L279" s="11">
        <f>IFERROR(__xludf.DUMMYFUNCTION("""COMPUTED_VALUE"""),3.7)</f>
        <v>3.7</v>
      </c>
      <c r="M279" s="11">
        <f>IFERROR(__xludf.DUMMYFUNCTION("""COMPUTED_VALUE"""),1.0)</f>
        <v>1</v>
      </c>
      <c r="N279" s="11">
        <f>IFERROR(__xludf.DUMMYFUNCTION("""COMPUTED_VALUE"""),0.6)</f>
        <v>0.6</v>
      </c>
      <c r="O279" s="11">
        <f>IFERROR(__xludf.DUMMYFUNCTION("""COMPUTED_VALUE"""),0.1)</f>
        <v>0.1</v>
      </c>
      <c r="P279" s="15">
        <f>IFERROR(__xludf.DUMMYFUNCTION("""COMPUTED_VALUE"""),0.419)</f>
        <v>0.419</v>
      </c>
      <c r="Q279" s="15">
        <f>IFERROR(__xludf.DUMMYFUNCTION("""COMPUTED_VALUE"""),0.854)</f>
        <v>0.854</v>
      </c>
      <c r="R279" s="11">
        <f>IFERROR(__xludf.DUMMYFUNCTION("""COMPUTED_VALUE"""),0.6)</f>
        <v>0.6</v>
      </c>
      <c r="S279" s="11">
        <f>IFERROR(__xludf.DUMMYFUNCTION("""COMPUTED_VALUE"""),-1.4753320384834347)</f>
        <v>-1.475332038</v>
      </c>
      <c r="T279" s="11">
        <f>IFERROR(__xludf.DUMMYFUNCTION("""COMPUTED_VALUE"""),-0.44687069366480203)</f>
        <v>-0.4468706937</v>
      </c>
      <c r="U279" s="11">
        <f>IFERROR(__xludf.DUMMYFUNCTION("""COMPUTED_VALUE"""),-0.9292233742650667)</f>
        <v>-0.9292233743</v>
      </c>
      <c r="V279" s="11">
        <f>IFERROR(__xludf.DUMMYFUNCTION("""COMPUTED_VALUE"""),-1.3375849555053994)</f>
        <v>-1.337584956</v>
      </c>
      <c r="W279" s="11">
        <f>IFERROR(__xludf.DUMMYFUNCTION("""COMPUTED_VALUE"""),-1.2485944449972455)</f>
        <v>-1.248594445</v>
      </c>
      <c r="X279" s="11">
        <f>IFERROR(__xludf.DUMMYFUNCTION("""COMPUTED_VALUE"""),-1.150698449001903)</f>
        <v>-1.150698449</v>
      </c>
      <c r="Y279" s="11">
        <f>IFERROR(__xludf.DUMMYFUNCTION("""COMPUTED_VALUE"""),-0.6754450830953229)</f>
        <v>-0.6754450831</v>
      </c>
      <c r="Z279" s="11">
        <f>IFERROR(__xludf.DUMMYFUNCTION("""COMPUTED_VALUE"""),0.4394220120534061)</f>
        <v>0.4394220121</v>
      </c>
      <c r="AA279" s="11">
        <f>IFERROR(__xludf.DUMMYFUNCTION("""COMPUTED_VALUE"""),0.28484881212749996)</f>
        <v>0.2848488121</v>
      </c>
      <c r="AB279" t="str">
        <f>IFERROR(__xludf.DUMMYFUNCTION("SUBSTITUTE(REGEXREPLACE(REGEXREPLACE(REGEXREPLACE(REGEXREPLACE(REGEXREPLACE(REGEXREPLACE(F279,"","",),IF(Projections!$T$17="""",""PG"",),),IF(Projections!$U$17="""",""SG"",),),IF(Projections!$V$17="""",""SF"",),),IF(Projections!$W$17="""",""PF"",),),IF(Pr"&amp;"ojections!$X$17="""",""C"",),),""/"","""")"),"SFPF")</f>
        <v>SFPF</v>
      </c>
    </row>
    <row r="280">
      <c r="B280">
        <f>IFERROR(__xludf.DUMMYFUNCTION("""COMPUTED_VALUE"""),275.0)</f>
        <v>275</v>
      </c>
      <c r="D280" t="str">
        <f>IFERROR(__xludf.DUMMYFUNCTION("""COMPUTED_VALUE"""),"Quentin Grimes")</f>
        <v>Quentin Grimes</v>
      </c>
      <c r="E280">
        <f>IFERROR(__xludf.DUMMYFUNCTION("""COMPUTED_VALUE"""),66.0)</f>
        <v>66</v>
      </c>
      <c r="F280" t="str">
        <f>IFERROR(__xludf.DUMMYFUNCTION("""COMPUTED_VALUE"""),"SG,SF")</f>
        <v>SG,SF</v>
      </c>
      <c r="G280" s="11">
        <f>IFERROR(__xludf.DUMMYFUNCTION("""COMPUTED_VALUE"""),-5.086770825681984)</f>
        <v>-5.086770826</v>
      </c>
      <c r="H280" s="11">
        <f>IFERROR(__xludf.DUMMYFUNCTION("""COMPUTED_VALUE"""),-5.086770825681984)</f>
        <v>-5.086770826</v>
      </c>
      <c r="I280" s="11">
        <f>IFERROR(__xludf.DUMMYFUNCTION("""COMPUTED_VALUE"""),0.0)</f>
        <v>0</v>
      </c>
      <c r="J280" s="11">
        <f>IFERROR(__xludf.DUMMYFUNCTION("""COMPUTED_VALUE"""),8.2)</f>
        <v>8.2</v>
      </c>
      <c r="K280" s="11">
        <f>IFERROR(__xludf.DUMMYFUNCTION("""COMPUTED_VALUE"""),1.7)</f>
        <v>1.7</v>
      </c>
      <c r="L280" s="11">
        <f>IFERROR(__xludf.DUMMYFUNCTION("""COMPUTED_VALUE"""),2.3)</f>
        <v>2.3</v>
      </c>
      <c r="M280" s="11">
        <f>IFERROR(__xludf.DUMMYFUNCTION("""COMPUTED_VALUE"""),1.5)</f>
        <v>1.5</v>
      </c>
      <c r="N280" s="11">
        <f>IFERROR(__xludf.DUMMYFUNCTION("""COMPUTED_VALUE"""),0.6)</f>
        <v>0.6</v>
      </c>
      <c r="O280" s="11">
        <f>IFERROR(__xludf.DUMMYFUNCTION("""COMPUTED_VALUE"""),0.2)</f>
        <v>0.2</v>
      </c>
      <c r="P280" s="15">
        <f>IFERROR(__xludf.DUMMYFUNCTION("""COMPUTED_VALUE"""),0.435)</f>
        <v>0.435</v>
      </c>
      <c r="Q280" s="15">
        <f>IFERROR(__xludf.DUMMYFUNCTION("""COMPUTED_VALUE"""),0.792)</f>
        <v>0.792</v>
      </c>
      <c r="R280" s="11">
        <f>IFERROR(__xludf.DUMMYFUNCTION("""COMPUTED_VALUE"""),0.7)</f>
        <v>0.7</v>
      </c>
      <c r="S280" s="11">
        <f>IFERROR(__xludf.DUMMYFUNCTION("""COMPUTED_VALUE"""),-1.6740448600793636)</f>
        <v>-1.67404486</v>
      </c>
      <c r="T280" s="11">
        <f>IFERROR(__xludf.DUMMYFUNCTION("""COMPUTED_VALUE"""),-0.04877349753863613)</f>
        <v>-0.04877349754</v>
      </c>
      <c r="U280" s="11">
        <f>IFERROR(__xludf.DUMMYFUNCTION("""COMPUTED_VALUE"""),-1.4783925700146765)</f>
        <v>-1.47839257</v>
      </c>
      <c r="V280" s="11">
        <f>IFERROR(__xludf.DUMMYFUNCTION("""COMPUTED_VALUE"""),-1.1097761033947346)</f>
        <v>-1.109776103</v>
      </c>
      <c r="W280" s="11">
        <f>IFERROR(__xludf.DUMMYFUNCTION("""COMPUTED_VALUE"""),-1.2485944449972455)</f>
        <v>-1.248594445</v>
      </c>
      <c r="X280" s="11">
        <f>IFERROR(__xludf.DUMMYFUNCTION("""COMPUTED_VALUE"""),-0.9723047469492465)</f>
        <v>-0.9723047469</v>
      </c>
      <c r="Y280" s="11">
        <f>IFERROR(__xludf.DUMMYFUNCTION("""COMPUTED_VALUE"""),-0.4786606965035139)</f>
        <v>-0.4786606965</v>
      </c>
      <c r="Z280" s="11">
        <f>IFERROR(__xludf.DUMMYFUNCTION("""COMPUTED_VALUE"""),-0.01031936493544428)</f>
        <v>-0.01031936494</v>
      </c>
      <c r="AA280" s="11">
        <f>IFERROR(__xludf.DUMMYFUNCTION("""COMPUTED_VALUE"""),0.26005059865151336)</f>
        <v>0.2600505987</v>
      </c>
      <c r="AB280" t="str">
        <f>IFERROR(__xludf.DUMMYFUNCTION("SUBSTITUTE(REGEXREPLACE(REGEXREPLACE(REGEXREPLACE(REGEXREPLACE(REGEXREPLACE(REGEXREPLACE(F280,"","",),IF(Projections!$T$17="""",""PG"",),),IF(Projections!$U$17="""",""SG"",),),IF(Projections!$V$17="""",""SF"",),),IF(Projections!$W$17="""",""PF"",),),IF(Pr"&amp;"ojections!$X$17="""",""C"",),),""/"","""")"),"SGSF")</f>
        <v>SGSF</v>
      </c>
    </row>
    <row r="281">
      <c r="B281">
        <f>IFERROR(__xludf.DUMMYFUNCTION("""COMPUTED_VALUE"""),276.0)</f>
        <v>276</v>
      </c>
      <c r="D281" t="str">
        <f>IFERROR(__xludf.DUMMYFUNCTION("""COMPUTED_VALUE"""),"Neemias Queta")</f>
        <v>Neemias Queta</v>
      </c>
      <c r="E281">
        <f>IFERROR(__xludf.DUMMYFUNCTION("""COMPUTED_VALUE"""),71.0)</f>
        <v>71</v>
      </c>
      <c r="F281" t="str">
        <f>IFERROR(__xludf.DUMMYFUNCTION("""COMPUTED_VALUE"""),"C")</f>
        <v>C</v>
      </c>
      <c r="G281" s="11">
        <f>IFERROR(__xludf.DUMMYFUNCTION("""COMPUTED_VALUE"""),-5.098301306337586)</f>
        <v>-5.098301306</v>
      </c>
      <c r="H281" s="11">
        <f>IFERROR(__xludf.DUMMYFUNCTION("""COMPUTED_VALUE"""),-5.098301306337586)</f>
        <v>-5.098301306</v>
      </c>
      <c r="I281" s="11">
        <f>IFERROR(__xludf.DUMMYFUNCTION("""COMPUTED_VALUE"""),0.0)</f>
        <v>0</v>
      </c>
      <c r="J281" s="11">
        <f>IFERROR(__xludf.DUMMYFUNCTION("""COMPUTED_VALUE"""),5.6)</f>
        <v>5.6</v>
      </c>
      <c r="K281" s="11">
        <f>IFERROR(__xludf.DUMMYFUNCTION("""COMPUTED_VALUE"""),0.0)</f>
        <v>0</v>
      </c>
      <c r="L281" s="11">
        <f>IFERROR(__xludf.DUMMYFUNCTION("""COMPUTED_VALUE"""),4.5)</f>
        <v>4.5</v>
      </c>
      <c r="M281" s="11">
        <f>IFERROR(__xludf.DUMMYFUNCTION("""COMPUTED_VALUE"""),0.7)</f>
        <v>0.7</v>
      </c>
      <c r="N281" s="11">
        <f>IFERROR(__xludf.DUMMYFUNCTION("""COMPUTED_VALUE"""),0.4)</f>
        <v>0.4</v>
      </c>
      <c r="O281" s="11">
        <f>IFERROR(__xludf.DUMMYFUNCTION("""COMPUTED_VALUE"""),0.8)</f>
        <v>0.8</v>
      </c>
      <c r="P281" s="15">
        <f>IFERROR(__xludf.DUMMYFUNCTION("""COMPUTED_VALUE"""),0.647)</f>
        <v>0.647</v>
      </c>
      <c r="Q281" s="15">
        <f>IFERROR(__xludf.DUMMYFUNCTION("""COMPUTED_VALUE"""),0.673)</f>
        <v>0.673</v>
      </c>
      <c r="R281" s="11">
        <f>IFERROR(__xludf.DUMMYFUNCTION("""COMPUTED_VALUE"""),0.5)</f>
        <v>0.5</v>
      </c>
      <c r="S281" s="11">
        <f>IFERROR(__xludf.DUMMYFUNCTION("""COMPUTED_VALUE"""),-2.1437297111242857)</f>
        <v>-2.143729711</v>
      </c>
      <c r="T281" s="11">
        <f>IFERROR(__xludf.DUMMYFUNCTION("""COMPUTED_VALUE"""),-1.7406865810748415)</f>
        <v>-1.740686581</v>
      </c>
      <c r="U281" s="11">
        <f>IFERROR(__xludf.DUMMYFUNCTION("""COMPUTED_VALUE"""),-0.6154124052652897)</f>
        <v>-0.6154124053</v>
      </c>
      <c r="V281" s="11">
        <f>IFERROR(__xludf.DUMMYFUNCTION("""COMPUTED_VALUE"""),-1.4742702667717982)</f>
        <v>-1.474270267</v>
      </c>
      <c r="W281" s="11">
        <f>IFERROR(__xludf.DUMMYFUNCTION("""COMPUTED_VALUE"""),-1.912459801316204)</f>
        <v>-1.912459801</v>
      </c>
      <c r="X281" s="11">
        <f>IFERROR(__xludf.DUMMYFUNCTION("""COMPUTED_VALUE"""),0.09805746536669153)</f>
        <v>0.09805746537</v>
      </c>
      <c r="Y281" s="11">
        <f>IFERROR(__xludf.DUMMYFUNCTION("""COMPUTED_VALUE"""),0.6685714141581411)</f>
        <v>0.6685714142</v>
      </c>
      <c r="Z281" s="11">
        <f>IFERROR(__xludf.DUMMYFUNCTION("""COMPUTED_VALUE"""),-0.43174815703777064)</f>
        <v>-0.431748157</v>
      </c>
      <c r="AA281" s="11">
        <f>IFERROR(__xludf.DUMMYFUNCTION("""COMPUTED_VALUE"""),0.3096470256034866)</f>
        <v>0.3096470256</v>
      </c>
      <c r="AB281" t="str">
        <f>IFERROR(__xludf.DUMMYFUNCTION("SUBSTITUTE(REGEXREPLACE(REGEXREPLACE(REGEXREPLACE(REGEXREPLACE(REGEXREPLACE(REGEXREPLACE(F281,"","",),IF(Projections!$T$17="""",""PG"",),),IF(Projections!$U$17="""",""SG"",),),IF(Projections!$V$17="""",""SF"",),),IF(Projections!$W$17="""",""PF"",),),IF(Pr"&amp;"ojections!$X$17="""",""C"",),),""/"","""")"),"C")</f>
        <v>C</v>
      </c>
    </row>
    <row r="282">
      <c r="B282">
        <f>IFERROR(__xludf.DUMMYFUNCTION("""COMPUTED_VALUE"""),277.0)</f>
        <v>277</v>
      </c>
      <c r="D282" t="str">
        <f>IFERROR(__xludf.DUMMYFUNCTION("""COMPUTED_VALUE"""),"Drew Eubanks")</f>
        <v>Drew Eubanks</v>
      </c>
      <c r="E282">
        <f>IFERROR(__xludf.DUMMYFUNCTION("""COMPUTED_VALUE"""),71.0)</f>
        <v>71</v>
      </c>
      <c r="F282" t="str">
        <f>IFERROR(__xludf.DUMMYFUNCTION("""COMPUTED_VALUE"""),"C")</f>
        <v>C</v>
      </c>
      <c r="G282" s="11">
        <f>IFERROR(__xludf.DUMMYFUNCTION("""COMPUTED_VALUE"""),-5.107672383230611)</f>
        <v>-5.107672383</v>
      </c>
      <c r="H282" s="11">
        <f>IFERROR(__xludf.DUMMYFUNCTION("""COMPUTED_VALUE"""),-5.107672383230611)</f>
        <v>-5.107672383</v>
      </c>
      <c r="I282" s="11">
        <f>IFERROR(__xludf.DUMMYFUNCTION("""COMPUTED_VALUE"""),0.0)</f>
        <v>0</v>
      </c>
      <c r="J282" s="11">
        <f>IFERROR(__xludf.DUMMYFUNCTION("""COMPUTED_VALUE"""),4.8)</f>
        <v>4.8</v>
      </c>
      <c r="K282" s="11">
        <f>IFERROR(__xludf.DUMMYFUNCTION("""COMPUTED_VALUE"""),0.1)</f>
        <v>0.1</v>
      </c>
      <c r="L282" s="11">
        <f>IFERROR(__xludf.DUMMYFUNCTION("""COMPUTED_VALUE"""),4.0)</f>
        <v>4</v>
      </c>
      <c r="M282" s="11">
        <f>IFERROR(__xludf.DUMMYFUNCTION("""COMPUTED_VALUE"""),0.9)</f>
        <v>0.9</v>
      </c>
      <c r="N282" s="11">
        <f>IFERROR(__xludf.DUMMYFUNCTION("""COMPUTED_VALUE"""),0.4)</f>
        <v>0.4</v>
      </c>
      <c r="O282" s="11">
        <f>IFERROR(__xludf.DUMMYFUNCTION("""COMPUTED_VALUE"""),0.9)</f>
        <v>0.9</v>
      </c>
      <c r="P282" s="15">
        <f>IFERROR(__xludf.DUMMYFUNCTION("""COMPUTED_VALUE"""),0.622)</f>
        <v>0.622</v>
      </c>
      <c r="Q282" s="15">
        <f>IFERROR(__xludf.DUMMYFUNCTION("""COMPUTED_VALUE"""),0.709)</f>
        <v>0.709</v>
      </c>
      <c r="R282" s="11">
        <f>IFERROR(__xludf.DUMMYFUNCTION("""COMPUTED_VALUE"""),0.7)</f>
        <v>0.7</v>
      </c>
      <c r="S282" s="11">
        <f>IFERROR(__xludf.DUMMYFUNCTION("""COMPUTED_VALUE"""),-2.2882481268304153)</f>
        <v>-2.288248127</v>
      </c>
      <c r="T282" s="11">
        <f>IFERROR(__xludf.DUMMYFUNCTION("""COMPUTED_VALUE"""),-1.6411622820433)</f>
        <v>-1.641162282</v>
      </c>
      <c r="U282" s="11">
        <f>IFERROR(__xludf.DUMMYFUNCTION("""COMPUTED_VALUE"""),-0.8115442608901504)</f>
        <v>-0.8115442609</v>
      </c>
      <c r="V282" s="11">
        <f>IFERROR(__xludf.DUMMYFUNCTION("""COMPUTED_VALUE"""),-1.3831467259275323)</f>
        <v>-1.383146726</v>
      </c>
      <c r="W282" s="11">
        <f>IFERROR(__xludf.DUMMYFUNCTION("""COMPUTED_VALUE"""),-1.912459801316204)</f>
        <v>-1.912459801</v>
      </c>
      <c r="X282" s="11">
        <f>IFERROR(__xludf.DUMMYFUNCTION("""COMPUTED_VALUE"""),0.27645116741934783)</f>
        <v>0.2764511674</v>
      </c>
      <c r="Y282" s="11">
        <f>IFERROR(__xludf.DUMMYFUNCTION("""COMPUTED_VALUE"""),0.46924743353263154)</f>
        <v>0.4692474335</v>
      </c>
      <c r="Z282" s="11">
        <f>IFERROR(__xludf.DUMMYFUNCTION("""COMPUTED_VALUE"""),-0.3651085126569175)</f>
        <v>-0.3651085127</v>
      </c>
      <c r="AA282" s="11">
        <f>IFERROR(__xludf.DUMMYFUNCTION("""COMPUTED_VALUE"""),0.26005059865151336)</f>
        <v>0.2600505987</v>
      </c>
      <c r="AB282" t="str">
        <f>IFERROR(__xludf.DUMMYFUNCTION("SUBSTITUTE(REGEXREPLACE(REGEXREPLACE(REGEXREPLACE(REGEXREPLACE(REGEXREPLACE(REGEXREPLACE(F282,"","",),IF(Projections!$T$17="""",""PG"",),),IF(Projections!$U$17="""",""SG"",),),IF(Projections!$V$17="""",""SF"",),),IF(Projections!$W$17="""",""PF"",),),IF(Pr"&amp;"ojections!$X$17="""",""C"",),),""/"","""")"),"C")</f>
        <v>C</v>
      </c>
    </row>
    <row r="283">
      <c r="B283">
        <f>IFERROR(__xludf.DUMMYFUNCTION("""COMPUTED_VALUE"""),278.0)</f>
        <v>278</v>
      </c>
      <c r="D283" t="str">
        <f>IFERROR(__xludf.DUMMYFUNCTION("""COMPUTED_VALUE"""),"Alec Burks")</f>
        <v>Alec Burks</v>
      </c>
      <c r="E283">
        <f>IFERROR(__xludf.DUMMYFUNCTION("""COMPUTED_VALUE"""),40.0)</f>
        <v>40</v>
      </c>
      <c r="F283" t="str">
        <f>IFERROR(__xludf.DUMMYFUNCTION("""COMPUTED_VALUE"""),"SG,SF")</f>
        <v>SG,SF</v>
      </c>
      <c r="G283" s="11">
        <f>IFERROR(__xludf.DUMMYFUNCTION("""COMPUTED_VALUE"""),-5.181842732094187)</f>
        <v>-5.181842732</v>
      </c>
      <c r="H283" s="11">
        <f>IFERROR(__xludf.DUMMYFUNCTION("""COMPUTED_VALUE"""),-5.181842732094187)</f>
        <v>-5.181842732</v>
      </c>
      <c r="I283" s="11">
        <f>IFERROR(__xludf.DUMMYFUNCTION("""COMPUTED_VALUE"""),0.0)</f>
        <v>0</v>
      </c>
      <c r="J283" s="11">
        <f>IFERROR(__xludf.DUMMYFUNCTION("""COMPUTED_VALUE"""),10.0)</f>
        <v>10</v>
      </c>
      <c r="K283" s="11">
        <f>IFERROR(__xludf.DUMMYFUNCTION("""COMPUTED_VALUE"""),1.7)</f>
        <v>1.7</v>
      </c>
      <c r="L283" s="11">
        <f>IFERROR(__xludf.DUMMYFUNCTION("""COMPUTED_VALUE"""),2.3)</f>
        <v>2.3</v>
      </c>
      <c r="M283" s="11">
        <f>IFERROR(__xludf.DUMMYFUNCTION("""COMPUTED_VALUE"""),1.5)</f>
        <v>1.5</v>
      </c>
      <c r="N283" s="11">
        <f>IFERROR(__xludf.DUMMYFUNCTION("""COMPUTED_VALUE"""),0.5)</f>
        <v>0.5</v>
      </c>
      <c r="O283" s="11">
        <f>IFERROR(__xludf.DUMMYFUNCTION("""COMPUTED_VALUE"""),0.2)</f>
        <v>0.2</v>
      </c>
      <c r="P283" s="15">
        <f>IFERROR(__xludf.DUMMYFUNCTION("""COMPUTED_VALUE"""),0.399)</f>
        <v>0.399</v>
      </c>
      <c r="Q283" s="15">
        <f>IFERROR(__xludf.DUMMYFUNCTION("""COMPUTED_VALUE"""),0.841)</f>
        <v>0.841</v>
      </c>
      <c r="R283" s="11">
        <f>IFERROR(__xludf.DUMMYFUNCTION("""COMPUTED_VALUE"""),0.8)</f>
        <v>0.8</v>
      </c>
      <c r="S283" s="11">
        <f>IFERROR(__xludf.DUMMYFUNCTION("""COMPUTED_VALUE"""),-1.3488784247405712)</f>
        <v>-1.348878425</v>
      </c>
      <c r="T283" s="11">
        <f>IFERROR(__xludf.DUMMYFUNCTION("""COMPUTED_VALUE"""),-0.04877349753863613)</f>
        <v>-0.04877349754</v>
      </c>
      <c r="U283" s="11">
        <f>IFERROR(__xludf.DUMMYFUNCTION("""COMPUTED_VALUE"""),-1.4783925700146765)</f>
        <v>-1.47839257</v>
      </c>
      <c r="V283" s="11">
        <f>IFERROR(__xludf.DUMMYFUNCTION("""COMPUTED_VALUE"""),-1.1097761033947346)</f>
        <v>-1.109776103</v>
      </c>
      <c r="W283" s="11">
        <f>IFERROR(__xludf.DUMMYFUNCTION("""COMPUTED_VALUE"""),-1.5805271231567248)</f>
        <v>-1.580527123</v>
      </c>
      <c r="X283" s="11">
        <f>IFERROR(__xludf.DUMMYFUNCTION("""COMPUTED_VALUE"""),-0.9723047469492465)</f>
        <v>-0.9723047469</v>
      </c>
      <c r="Y283" s="11">
        <f>IFERROR(__xludf.DUMMYFUNCTION("""COMPUTED_VALUE"""),-0.8833161326386544)</f>
        <v>-0.8833161326</v>
      </c>
      <c r="Z283" s="11">
        <f>IFERROR(__xludf.DUMMYFUNCTION("""COMPUTED_VALUE"""),0.4243463580068054)</f>
        <v>0.424346358</v>
      </c>
      <c r="AA283" s="11">
        <f>IFERROR(__xludf.DUMMYFUNCTION("""COMPUTED_VALUE"""),0.23525238517552666)</f>
        <v>0.2352523852</v>
      </c>
      <c r="AB283" t="str">
        <f>IFERROR(__xludf.DUMMYFUNCTION("SUBSTITUTE(REGEXREPLACE(REGEXREPLACE(REGEXREPLACE(REGEXREPLACE(REGEXREPLACE(REGEXREPLACE(F283,"","",),IF(Projections!$T$17="""",""PG"",),),IF(Projections!$U$17="""",""SG"",),),IF(Projections!$V$17="""",""SF"",),),IF(Projections!$W$17="""",""PF"",),),IF(Pr"&amp;"ojections!$X$17="""",""C"",),),""/"","""")"),"SGSF")</f>
        <v>SGSF</v>
      </c>
    </row>
    <row r="284">
      <c r="B284">
        <f>IFERROR(__xludf.DUMMYFUNCTION("""COMPUTED_VALUE"""),279.0)</f>
        <v>279</v>
      </c>
      <c r="D284" t="str">
        <f>IFERROR(__xludf.DUMMYFUNCTION("""COMPUTED_VALUE"""),"Jonathan Mogbo")</f>
        <v>Jonathan Mogbo</v>
      </c>
      <c r="E284">
        <f>IFERROR(__xludf.DUMMYFUNCTION("""COMPUTED_VALUE"""),71.0)</f>
        <v>71</v>
      </c>
      <c r="F284" t="str">
        <f>IFERROR(__xludf.DUMMYFUNCTION("""COMPUTED_VALUE"""),"PF")</f>
        <v>PF</v>
      </c>
      <c r="G284" s="11">
        <f>IFERROR(__xludf.DUMMYFUNCTION("""COMPUTED_VALUE"""),-5.206212230920963)</f>
        <v>-5.206212231</v>
      </c>
      <c r="H284" s="11">
        <f>IFERROR(__xludf.DUMMYFUNCTION("""COMPUTED_VALUE"""),-5.206212230920963)</f>
        <v>-5.206212231</v>
      </c>
      <c r="I284" s="11">
        <f>IFERROR(__xludf.DUMMYFUNCTION("""COMPUTED_VALUE"""),0.0)</f>
        <v>0</v>
      </c>
      <c r="J284" s="11">
        <f>IFERROR(__xludf.DUMMYFUNCTION("""COMPUTED_VALUE"""),5.7)</f>
        <v>5.7</v>
      </c>
      <c r="K284" s="11">
        <f>IFERROR(__xludf.DUMMYFUNCTION("""COMPUTED_VALUE"""),0.0)</f>
        <v>0</v>
      </c>
      <c r="L284" s="11">
        <f>IFERROR(__xludf.DUMMYFUNCTION("""COMPUTED_VALUE"""),4.1)</f>
        <v>4.1</v>
      </c>
      <c r="M284" s="11">
        <f>IFERROR(__xludf.DUMMYFUNCTION("""COMPUTED_VALUE"""),1.5)</f>
        <v>1.5</v>
      </c>
      <c r="N284" s="11">
        <f>IFERROR(__xludf.DUMMYFUNCTION("""COMPUTED_VALUE"""),0.6)</f>
        <v>0.6</v>
      </c>
      <c r="O284" s="11">
        <f>IFERROR(__xludf.DUMMYFUNCTION("""COMPUTED_VALUE"""),0.3)</f>
        <v>0.3</v>
      </c>
      <c r="P284" s="15">
        <f>IFERROR(__xludf.DUMMYFUNCTION("""COMPUTED_VALUE"""),0.635)</f>
        <v>0.635</v>
      </c>
      <c r="Q284" s="15">
        <f>IFERROR(__xludf.DUMMYFUNCTION("""COMPUTED_VALUE"""),0.697)</f>
        <v>0.697</v>
      </c>
      <c r="R284" s="11">
        <f>IFERROR(__xludf.DUMMYFUNCTION("""COMPUTED_VALUE"""),0.7)</f>
        <v>0.7</v>
      </c>
      <c r="S284" s="11">
        <f>IFERROR(__xludf.DUMMYFUNCTION("""COMPUTED_VALUE"""),-2.1256649091610194)</f>
        <v>-2.125664909</v>
      </c>
      <c r="T284" s="11">
        <f>IFERROR(__xludf.DUMMYFUNCTION("""COMPUTED_VALUE"""),-1.7406865810748415)</f>
        <v>-1.740686581</v>
      </c>
      <c r="U284" s="11">
        <f>IFERROR(__xludf.DUMMYFUNCTION("""COMPUTED_VALUE"""),-0.7723178897651785)</f>
        <v>-0.7723178898</v>
      </c>
      <c r="V284" s="11">
        <f>IFERROR(__xludf.DUMMYFUNCTION("""COMPUTED_VALUE"""),-1.1097761033947346)</f>
        <v>-1.109776103</v>
      </c>
      <c r="W284" s="11">
        <f>IFERROR(__xludf.DUMMYFUNCTION("""COMPUTED_VALUE"""),-1.2485944449972455)</f>
        <v>-1.248594445</v>
      </c>
      <c r="X284" s="11">
        <f>IFERROR(__xludf.DUMMYFUNCTION("""COMPUTED_VALUE"""),-0.7939110448965904)</f>
        <v>-0.7939110449</v>
      </c>
      <c r="Y284" s="11">
        <f>IFERROR(__xludf.DUMMYFUNCTION("""COMPUTED_VALUE"""),0.6151281724758333)</f>
        <v>0.6151281725</v>
      </c>
      <c r="Z284" s="11">
        <f>IFERROR(__xludf.DUMMYFUNCTION("""COMPUTED_VALUE"""),-0.4161049379197201)</f>
        <v>-0.4161049379</v>
      </c>
      <c r="AA284" s="11">
        <f>IFERROR(__xludf.DUMMYFUNCTION("""COMPUTED_VALUE"""),0.26005059865151336)</f>
        <v>0.2600505987</v>
      </c>
      <c r="AB284" t="str">
        <f>IFERROR(__xludf.DUMMYFUNCTION("SUBSTITUTE(REGEXREPLACE(REGEXREPLACE(REGEXREPLACE(REGEXREPLACE(REGEXREPLACE(REGEXREPLACE(F284,"","",),IF(Projections!$T$17="""",""PG"",),),IF(Projections!$U$17="""",""SG"",),),IF(Projections!$V$17="""",""SF"",),),IF(Projections!$W$17="""",""PF"",),),IF(Pr"&amp;"ojections!$X$17="""",""C"",),),""/"","""")"),"PF")</f>
        <v>PF</v>
      </c>
    </row>
    <row r="285">
      <c r="B285">
        <f>IFERROR(__xludf.DUMMYFUNCTION("""COMPUTED_VALUE"""),280.0)</f>
        <v>280</v>
      </c>
      <c r="D285" t="str">
        <f>IFERROR(__xludf.DUMMYFUNCTION("""COMPUTED_VALUE"""),"Moses Moody")</f>
        <v>Moses Moody</v>
      </c>
      <c r="E285">
        <f>IFERROR(__xludf.DUMMYFUNCTION("""COMPUTED_VALUE"""),66.0)</f>
        <v>66</v>
      </c>
      <c r="F285" t="str">
        <f>IFERROR(__xludf.DUMMYFUNCTION("""COMPUTED_VALUE"""),"SG,SF")</f>
        <v>SG,SF</v>
      </c>
      <c r="G285" s="11">
        <f>IFERROR(__xludf.DUMMYFUNCTION("""COMPUTED_VALUE"""),-5.250525707501532)</f>
        <v>-5.250525708</v>
      </c>
      <c r="H285" s="11">
        <f>IFERROR(__xludf.DUMMYFUNCTION("""COMPUTED_VALUE"""),-5.250525707501532)</f>
        <v>-5.250525708</v>
      </c>
      <c r="I285" s="11">
        <f>IFERROR(__xludf.DUMMYFUNCTION("""COMPUTED_VALUE"""),0.0)</f>
        <v>0</v>
      </c>
      <c r="J285" s="11">
        <f>IFERROR(__xludf.DUMMYFUNCTION("""COMPUTED_VALUE"""),8.5)</f>
        <v>8.5</v>
      </c>
      <c r="K285" s="11">
        <f>IFERROR(__xludf.DUMMYFUNCTION("""COMPUTED_VALUE"""),1.2)</f>
        <v>1.2</v>
      </c>
      <c r="L285" s="11">
        <f>IFERROR(__xludf.DUMMYFUNCTION("""COMPUTED_VALUE"""),3.1)</f>
        <v>3.1</v>
      </c>
      <c r="M285" s="11">
        <f>IFERROR(__xludf.DUMMYFUNCTION("""COMPUTED_VALUE"""),1.1)</f>
        <v>1.1</v>
      </c>
      <c r="N285" s="11">
        <f>IFERROR(__xludf.DUMMYFUNCTION("""COMPUTED_VALUE"""),0.6)</f>
        <v>0.6</v>
      </c>
      <c r="O285" s="11">
        <f>IFERROR(__xludf.DUMMYFUNCTION("""COMPUTED_VALUE"""),0.3)</f>
        <v>0.3</v>
      </c>
      <c r="P285" s="15">
        <f>IFERROR(__xludf.DUMMYFUNCTION("""COMPUTED_VALUE"""),0.466)</f>
        <v>0.466</v>
      </c>
      <c r="Q285" s="15">
        <f>IFERROR(__xludf.DUMMYFUNCTION("""COMPUTED_VALUE"""),0.757)</f>
        <v>0.757</v>
      </c>
      <c r="R285" s="11">
        <f>IFERROR(__xludf.DUMMYFUNCTION("""COMPUTED_VALUE"""),0.8)</f>
        <v>0.8</v>
      </c>
      <c r="S285" s="11">
        <f>IFERROR(__xludf.DUMMYFUNCTION("""COMPUTED_VALUE"""),-1.6198504541895646)</f>
        <v>-1.619850454</v>
      </c>
      <c r="T285" s="11">
        <f>IFERROR(__xludf.DUMMYFUNCTION("""COMPUTED_VALUE"""),-0.5463949926963436)</f>
        <v>-0.5463949927</v>
      </c>
      <c r="U285" s="11">
        <f>IFERROR(__xludf.DUMMYFUNCTION("""COMPUTED_VALUE"""),-1.1645816010148995)</f>
        <v>-1.164581601</v>
      </c>
      <c r="V285" s="11">
        <f>IFERROR(__xludf.DUMMYFUNCTION("""COMPUTED_VALUE"""),-1.2920231850832664)</f>
        <v>-1.292023185</v>
      </c>
      <c r="W285" s="11">
        <f>IFERROR(__xludf.DUMMYFUNCTION("""COMPUTED_VALUE"""),-1.2485944449972455)</f>
        <v>-1.248594445</v>
      </c>
      <c r="X285" s="11">
        <f>IFERROR(__xludf.DUMMYFUNCTION("""COMPUTED_VALUE"""),-0.7939110448965904)</f>
        <v>-0.7939110449</v>
      </c>
      <c r="Y285" s="11">
        <f>IFERROR(__xludf.DUMMYFUNCTION("""COMPUTED_VALUE"""),-0.23886930948158022)</f>
        <v>-0.2388693095</v>
      </c>
      <c r="Z285" s="11">
        <f>IFERROR(__xludf.DUMMYFUNCTION("""COMPUTED_VALUE"""),-0.20140351450713412)</f>
        <v>-0.2014035145</v>
      </c>
      <c r="AA285" s="11">
        <f>IFERROR(__xludf.DUMMYFUNCTION("""COMPUTED_VALUE"""),0.23525238517552666)</f>
        <v>0.2352523852</v>
      </c>
      <c r="AB285" t="str">
        <f>IFERROR(__xludf.DUMMYFUNCTION("SUBSTITUTE(REGEXREPLACE(REGEXREPLACE(REGEXREPLACE(REGEXREPLACE(REGEXREPLACE(REGEXREPLACE(F285,"","",),IF(Projections!$T$17="""",""PG"",),),IF(Projections!$U$17="""",""SG"",),),IF(Projections!$V$17="""",""SF"",),),IF(Projections!$W$17="""",""PF"",),),IF(Pr"&amp;"ojections!$X$17="""",""C"",),),""/"","""")"),"SGSF")</f>
        <v>SGSF</v>
      </c>
    </row>
    <row r="286">
      <c r="B286">
        <f>IFERROR(__xludf.DUMMYFUNCTION("""COMPUTED_VALUE"""),281.0)</f>
        <v>281</v>
      </c>
      <c r="D286" t="str">
        <f>IFERROR(__xludf.DUMMYFUNCTION("""COMPUTED_VALUE"""),"Jaden Springer")</f>
        <v>Jaden Springer</v>
      </c>
      <c r="E286">
        <f>IFERROR(__xludf.DUMMYFUNCTION("""COMPUTED_VALUE"""),43.0)</f>
        <v>43</v>
      </c>
      <c r="F286" t="str">
        <f>IFERROR(__xludf.DUMMYFUNCTION("""COMPUTED_VALUE"""),"SG")</f>
        <v>SG</v>
      </c>
      <c r="G286" s="11">
        <f>IFERROR(__xludf.DUMMYFUNCTION("""COMPUTED_VALUE"""),-5.259701255454097)</f>
        <v>-5.259701255</v>
      </c>
      <c r="H286" s="11">
        <f>IFERROR(__xludf.DUMMYFUNCTION("""COMPUTED_VALUE"""),-5.259701255454097)</f>
        <v>-5.259701255</v>
      </c>
      <c r="I286" s="11">
        <f>IFERROR(__xludf.DUMMYFUNCTION("""COMPUTED_VALUE"""),0.0)</f>
        <v>0</v>
      </c>
      <c r="J286" s="11">
        <f>IFERROR(__xludf.DUMMYFUNCTION("""COMPUTED_VALUE"""),4.2)</f>
        <v>4.2</v>
      </c>
      <c r="K286" s="11">
        <f>IFERROR(__xludf.DUMMYFUNCTION("""COMPUTED_VALUE"""),0.3)</f>
        <v>0.3</v>
      </c>
      <c r="L286" s="11">
        <f>IFERROR(__xludf.DUMMYFUNCTION("""COMPUTED_VALUE"""),1.9)</f>
        <v>1.9</v>
      </c>
      <c r="M286" s="11">
        <f>IFERROR(__xludf.DUMMYFUNCTION("""COMPUTED_VALUE"""),1.1)</f>
        <v>1.1</v>
      </c>
      <c r="N286" s="11">
        <f>IFERROR(__xludf.DUMMYFUNCTION("""COMPUTED_VALUE"""),0.9)</f>
        <v>0.9</v>
      </c>
      <c r="O286" s="11">
        <f>IFERROR(__xludf.DUMMYFUNCTION("""COMPUTED_VALUE"""),0.4)</f>
        <v>0.4</v>
      </c>
      <c r="P286" s="15">
        <f>IFERROR(__xludf.DUMMYFUNCTION("""COMPUTED_VALUE"""),0.416)</f>
        <v>0.416</v>
      </c>
      <c r="Q286" s="15">
        <f>IFERROR(__xludf.DUMMYFUNCTION("""COMPUTED_VALUE"""),0.824)</f>
        <v>0.824</v>
      </c>
      <c r="R286" s="11">
        <f>IFERROR(__xludf.DUMMYFUNCTION("""COMPUTED_VALUE"""),0.8)</f>
        <v>0.8</v>
      </c>
      <c r="S286" s="11">
        <f>IFERROR(__xludf.DUMMYFUNCTION("""COMPUTED_VALUE"""),-2.396636938610013)</f>
        <v>-2.396636939</v>
      </c>
      <c r="T286" s="11">
        <f>IFERROR(__xludf.DUMMYFUNCTION("""COMPUTED_VALUE"""),-1.442113683980217)</f>
        <v>-1.442113684</v>
      </c>
      <c r="U286" s="11">
        <f>IFERROR(__xludf.DUMMYFUNCTION("""COMPUTED_VALUE"""),-1.6352980545145652)</f>
        <v>-1.635298055</v>
      </c>
      <c r="V286" s="11">
        <f>IFERROR(__xludf.DUMMYFUNCTION("""COMPUTED_VALUE"""),-1.2920231850832664)</f>
        <v>-1.292023185</v>
      </c>
      <c r="W286" s="11">
        <f>IFERROR(__xludf.DUMMYFUNCTION("""COMPUTED_VALUE"""),-0.25279641051880714)</f>
        <v>-0.2527964105</v>
      </c>
      <c r="X286" s="11">
        <f>IFERROR(__xludf.DUMMYFUNCTION("""COMPUTED_VALUE"""),-0.6155173428439339)</f>
        <v>-0.6155173428</v>
      </c>
      <c r="Y286" s="11">
        <f>IFERROR(__xludf.DUMMYFUNCTION("""COMPUTED_VALUE"""),-0.36021098822628317)</f>
        <v>-0.3602109882</v>
      </c>
      <c r="Z286" s="11">
        <f>IFERROR(__xludf.DUMMYFUNCTION("""COMPUTED_VALUE"""),0.10300602453744992)</f>
        <v>0.1030060245</v>
      </c>
      <c r="AA286" s="11">
        <f>IFERROR(__xludf.DUMMYFUNCTION("""COMPUTED_VALUE"""),0.23525238517552666)</f>
        <v>0.2352523852</v>
      </c>
      <c r="AB286" t="str">
        <f>IFERROR(__xludf.DUMMYFUNCTION("SUBSTITUTE(REGEXREPLACE(REGEXREPLACE(REGEXREPLACE(REGEXREPLACE(REGEXREPLACE(REGEXREPLACE(F286,"","",),IF(Projections!$T$17="""",""PG"",),),IF(Projections!$U$17="""",""SG"",),),IF(Projections!$V$17="""",""SF"",),),IF(Projections!$W$17="""",""PF"",),),IF(Pr"&amp;"ojections!$X$17="""",""C"",),),""/"","""")"),"SG")</f>
        <v>SG</v>
      </c>
    </row>
    <row r="287">
      <c r="B287">
        <f>IFERROR(__xludf.DUMMYFUNCTION("""COMPUTED_VALUE"""),282.0)</f>
        <v>282</v>
      </c>
      <c r="D287" t="str">
        <f>IFERROR(__xludf.DUMMYFUNCTION("""COMPUTED_VALUE"""),"Ziaire Williams")</f>
        <v>Ziaire Williams</v>
      </c>
      <c r="E287">
        <f>IFERROR(__xludf.DUMMYFUNCTION("""COMPUTED_VALUE"""),71.0)</f>
        <v>71</v>
      </c>
      <c r="F287" t="str">
        <f>IFERROR(__xludf.DUMMYFUNCTION("""COMPUTED_VALUE"""),"SG,SF")</f>
        <v>SG,SF</v>
      </c>
      <c r="G287" s="11">
        <f>IFERROR(__xludf.DUMMYFUNCTION("""COMPUTED_VALUE"""),-5.304330367077779)</f>
        <v>-5.304330367</v>
      </c>
      <c r="H287" s="11">
        <f>IFERROR(__xludf.DUMMYFUNCTION("""COMPUTED_VALUE"""),-5.304330367077779)</f>
        <v>-5.304330367</v>
      </c>
      <c r="I287" s="11">
        <f>IFERROR(__xludf.DUMMYFUNCTION("""COMPUTED_VALUE"""),0.0)</f>
        <v>0</v>
      </c>
      <c r="J287" s="11">
        <f>IFERROR(__xludf.DUMMYFUNCTION("""COMPUTED_VALUE"""),8.6)</f>
        <v>8.6</v>
      </c>
      <c r="K287" s="11">
        <f>IFERROR(__xludf.DUMMYFUNCTION("""COMPUTED_VALUE"""),1.1)</f>
        <v>1.1</v>
      </c>
      <c r="L287" s="11">
        <f>IFERROR(__xludf.DUMMYFUNCTION("""COMPUTED_VALUE"""),3.5)</f>
        <v>3.5</v>
      </c>
      <c r="M287" s="11">
        <f>IFERROR(__xludf.DUMMYFUNCTION("""COMPUTED_VALUE"""),1.5)</f>
        <v>1.5</v>
      </c>
      <c r="N287" s="11">
        <f>IFERROR(__xludf.DUMMYFUNCTION("""COMPUTED_VALUE"""),0.7)</f>
        <v>0.7</v>
      </c>
      <c r="O287" s="11">
        <f>IFERROR(__xludf.DUMMYFUNCTION("""COMPUTED_VALUE"""),0.2)</f>
        <v>0.2</v>
      </c>
      <c r="P287" s="15">
        <f>IFERROR(__xludf.DUMMYFUNCTION("""COMPUTED_VALUE"""),0.408)</f>
        <v>0.408</v>
      </c>
      <c r="Q287" s="15">
        <f>IFERROR(__xludf.DUMMYFUNCTION("""COMPUTED_VALUE"""),0.811)</f>
        <v>0.811</v>
      </c>
      <c r="R287" s="11">
        <f>IFERROR(__xludf.DUMMYFUNCTION("""COMPUTED_VALUE"""),1.4)</f>
        <v>1.4</v>
      </c>
      <c r="S287" s="11">
        <f>IFERROR(__xludf.DUMMYFUNCTION("""COMPUTED_VALUE"""),-1.6017856522262985)</f>
        <v>-1.601785652</v>
      </c>
      <c r="T287" s="11">
        <f>IFERROR(__xludf.DUMMYFUNCTION("""COMPUTED_VALUE"""),-0.645919291727885)</f>
        <v>-0.6459192917</v>
      </c>
      <c r="U287" s="11">
        <f>IFERROR(__xludf.DUMMYFUNCTION("""COMPUTED_VALUE"""),-1.007676116515011)</f>
        <v>-1.007676117</v>
      </c>
      <c r="V287" s="11">
        <f>IFERROR(__xludf.DUMMYFUNCTION("""COMPUTED_VALUE"""),-1.1097761033947346)</f>
        <v>-1.109776103</v>
      </c>
      <c r="W287" s="11">
        <f>IFERROR(__xludf.DUMMYFUNCTION("""COMPUTED_VALUE"""),-0.9166617668377661)</f>
        <v>-0.9166617668</v>
      </c>
      <c r="X287" s="11">
        <f>IFERROR(__xludf.DUMMYFUNCTION("""COMPUTED_VALUE"""),-0.9723047469492465)</f>
        <v>-0.9723047469</v>
      </c>
      <c r="Y287" s="11">
        <f>IFERROR(__xludf.DUMMYFUNCTION("""COMPUTED_VALUE"""),-0.8125133065560552)</f>
        <v>-0.8125133066</v>
      </c>
      <c r="Z287" s="11">
        <f>IFERROR(__xludf.DUMMYFUNCTION("""COMPUTED_VALUE"""),0.07405786058331296)</f>
        <v>0.07405786058</v>
      </c>
      <c r="AA287" s="11">
        <f>IFERROR(__xludf.DUMMYFUNCTION("""COMPUTED_VALUE"""),0.08646310431960676)</f>
        <v>0.08646310432</v>
      </c>
      <c r="AB287" t="str">
        <f>IFERROR(__xludf.DUMMYFUNCTION("SUBSTITUTE(REGEXREPLACE(REGEXREPLACE(REGEXREPLACE(REGEXREPLACE(REGEXREPLACE(REGEXREPLACE(F287,"","",),IF(Projections!$T$17="""",""PG"",),),IF(Projections!$U$17="""",""SG"",),),IF(Projections!$V$17="""",""SF"",),),IF(Projections!$W$17="""",""PF"",),),IF(Pr"&amp;"ojections!$X$17="""",""C"",),),""/"","""")"),"SGSF")</f>
        <v>SGSF</v>
      </c>
    </row>
    <row r="288">
      <c r="B288">
        <f>IFERROR(__xludf.DUMMYFUNCTION("""COMPUTED_VALUE"""),283.0)</f>
        <v>283</v>
      </c>
      <c r="D288" t="str">
        <f>IFERROR(__xludf.DUMMYFUNCTION("""COMPUTED_VALUE"""),"Gary Harris")</f>
        <v>Gary Harris</v>
      </c>
      <c r="E288">
        <f>IFERROR(__xludf.DUMMYFUNCTION("""COMPUTED_VALUE"""),46.0)</f>
        <v>46</v>
      </c>
      <c r="F288" t="str">
        <f>IFERROR(__xludf.DUMMYFUNCTION("""COMPUTED_VALUE"""),"PG,SG")</f>
        <v>PG,SG</v>
      </c>
      <c r="G288" s="11">
        <f>IFERROR(__xludf.DUMMYFUNCTION("""COMPUTED_VALUE"""),-5.343329645970837)</f>
        <v>-5.343329646</v>
      </c>
      <c r="H288" s="11">
        <f>IFERROR(__xludf.DUMMYFUNCTION("""COMPUTED_VALUE"""),-5.343329645970837)</f>
        <v>-5.343329646</v>
      </c>
      <c r="I288" s="11">
        <f>IFERROR(__xludf.DUMMYFUNCTION("""COMPUTED_VALUE"""),0.0)</f>
        <v>0</v>
      </c>
      <c r="J288" s="11">
        <f>IFERROR(__xludf.DUMMYFUNCTION("""COMPUTED_VALUE"""),5.6)</f>
        <v>5.6</v>
      </c>
      <c r="K288" s="11">
        <f>IFERROR(__xludf.DUMMYFUNCTION("""COMPUTED_VALUE"""),1.3)</f>
        <v>1.3</v>
      </c>
      <c r="L288" s="11">
        <f>IFERROR(__xludf.DUMMYFUNCTION("""COMPUTED_VALUE"""),1.4)</f>
        <v>1.4</v>
      </c>
      <c r="M288" s="11">
        <f>IFERROR(__xludf.DUMMYFUNCTION("""COMPUTED_VALUE"""),1.1)</f>
        <v>1.1</v>
      </c>
      <c r="N288" s="11">
        <f>IFERROR(__xludf.DUMMYFUNCTION("""COMPUTED_VALUE"""),0.7)</f>
        <v>0.7</v>
      </c>
      <c r="O288" s="11">
        <f>IFERROR(__xludf.DUMMYFUNCTION("""COMPUTED_VALUE"""),0.2)</f>
        <v>0.2</v>
      </c>
      <c r="P288" s="15">
        <f>IFERROR(__xludf.DUMMYFUNCTION("""COMPUTED_VALUE"""),0.445)</f>
        <v>0.445</v>
      </c>
      <c r="Q288" s="15">
        <f>IFERROR(__xludf.DUMMYFUNCTION("""COMPUTED_VALUE"""),0.818)</f>
        <v>0.818</v>
      </c>
      <c r="R288" s="11">
        <f>IFERROR(__xludf.DUMMYFUNCTION("""COMPUTED_VALUE"""),0.4)</f>
        <v>0.4</v>
      </c>
      <c r="S288" s="11">
        <f>IFERROR(__xludf.DUMMYFUNCTION("""COMPUTED_VALUE"""),-2.1437297111242857)</f>
        <v>-2.143729711</v>
      </c>
      <c r="T288" s="11">
        <f>IFERROR(__xludf.DUMMYFUNCTION("""COMPUTED_VALUE"""),-0.44687069366480203)</f>
        <v>-0.4468706937</v>
      </c>
      <c r="U288" s="11">
        <f>IFERROR(__xludf.DUMMYFUNCTION("""COMPUTED_VALUE"""),-1.8314299101394258)</f>
        <v>-1.83142991</v>
      </c>
      <c r="V288" s="11">
        <f>IFERROR(__xludf.DUMMYFUNCTION("""COMPUTED_VALUE"""),-1.2920231850832664)</f>
        <v>-1.292023185</v>
      </c>
      <c r="W288" s="11">
        <f>IFERROR(__xludf.DUMMYFUNCTION("""COMPUTED_VALUE"""),-0.9166617668377661)</f>
        <v>-0.9166617668</v>
      </c>
      <c r="X288" s="11">
        <f>IFERROR(__xludf.DUMMYFUNCTION("""COMPUTED_VALUE"""),-0.9723047469492465)</f>
        <v>-0.9723047469</v>
      </c>
      <c r="Y288" s="11">
        <f>IFERROR(__xludf.DUMMYFUNCTION("""COMPUTED_VALUE"""),-0.26753909078257193)</f>
        <v>-0.2675390908</v>
      </c>
      <c r="Z288" s="11">
        <f>IFERROR(__xludf.DUMMYFUNCTION("""COMPUTED_VALUE"""),0.0490545084067693)</f>
        <v>0.04905450841</v>
      </c>
      <c r="AA288" s="11">
        <f>IFERROR(__xludf.DUMMYFUNCTION("""COMPUTED_VALUE"""),0.3344452390794733)</f>
        <v>0.3344452391</v>
      </c>
      <c r="AB288" t="str">
        <f>IFERROR(__xludf.DUMMYFUNCTION("SUBSTITUTE(REGEXREPLACE(REGEXREPLACE(REGEXREPLACE(REGEXREPLACE(REGEXREPLACE(REGEXREPLACE(F288,"","",),IF(Projections!$T$17="""",""PG"",),),IF(Projections!$U$17="""",""SG"",),),IF(Projections!$V$17="""",""SF"",),),IF(Projections!$W$17="""",""PF"",),),IF(Pr"&amp;"ojections!$X$17="""",""C"",),),""/"","""")"),"PGSG")</f>
        <v>PGSG</v>
      </c>
    </row>
    <row r="289">
      <c r="B289">
        <f>IFERROR(__xludf.DUMMYFUNCTION("""COMPUTED_VALUE"""),284.0)</f>
        <v>284</v>
      </c>
      <c r="D289" t="str">
        <f>IFERROR(__xludf.DUMMYFUNCTION("""COMPUTED_VALUE"""),"Ryan Dunn")</f>
        <v>Ryan Dunn</v>
      </c>
      <c r="E289">
        <f>IFERROR(__xludf.DUMMYFUNCTION("""COMPUTED_VALUE"""),71.0)</f>
        <v>71</v>
      </c>
      <c r="F289" t="str">
        <f>IFERROR(__xludf.DUMMYFUNCTION("""COMPUTED_VALUE"""),"SF")</f>
        <v>SF</v>
      </c>
      <c r="G289" s="11">
        <f>IFERROR(__xludf.DUMMYFUNCTION("""COMPUTED_VALUE"""),-5.377752375172464)</f>
        <v>-5.377752375</v>
      </c>
      <c r="H289" s="11">
        <f>IFERROR(__xludf.DUMMYFUNCTION("""COMPUTED_VALUE"""),-5.377752375172464)</f>
        <v>-5.377752375</v>
      </c>
      <c r="I289" s="11">
        <f>IFERROR(__xludf.DUMMYFUNCTION("""COMPUTED_VALUE"""),0.0)</f>
        <v>0</v>
      </c>
      <c r="J289" s="11">
        <f>IFERROR(__xludf.DUMMYFUNCTION("""COMPUTED_VALUE"""),4.1)</f>
        <v>4.1</v>
      </c>
      <c r="K289" s="11">
        <f>IFERROR(__xludf.DUMMYFUNCTION("""COMPUTED_VALUE"""),0.1)</f>
        <v>0.1</v>
      </c>
      <c r="L289" s="11">
        <f>IFERROR(__xludf.DUMMYFUNCTION("""COMPUTED_VALUE"""),3.4)</f>
        <v>3.4</v>
      </c>
      <c r="M289" s="11">
        <f>IFERROR(__xludf.DUMMYFUNCTION("""COMPUTED_VALUE"""),0.4)</f>
        <v>0.4</v>
      </c>
      <c r="N289" s="11">
        <f>IFERROR(__xludf.DUMMYFUNCTION("""COMPUTED_VALUE"""),0.6)</f>
        <v>0.6</v>
      </c>
      <c r="O289" s="11">
        <f>IFERROR(__xludf.DUMMYFUNCTION("""COMPUTED_VALUE"""),1.1)</f>
        <v>1.1</v>
      </c>
      <c r="P289" s="15">
        <f>IFERROR(__xludf.DUMMYFUNCTION("""COMPUTED_VALUE"""),0.498)</f>
        <v>0.498</v>
      </c>
      <c r="Q289" s="15">
        <f>IFERROR(__xludf.DUMMYFUNCTION("""COMPUTED_VALUE"""),0.589)</f>
        <v>0.589</v>
      </c>
      <c r="R289" s="11">
        <f>IFERROR(__xludf.DUMMYFUNCTION("""COMPUTED_VALUE"""),0.4)</f>
        <v>0.4</v>
      </c>
      <c r="S289" s="11">
        <f>IFERROR(__xludf.DUMMYFUNCTION("""COMPUTED_VALUE"""),-2.414701740573279)</f>
        <v>-2.414701741</v>
      </c>
      <c r="T289" s="11">
        <f>IFERROR(__xludf.DUMMYFUNCTION("""COMPUTED_VALUE"""),-1.6411622820433)</f>
        <v>-1.641162282</v>
      </c>
      <c r="U289" s="11">
        <f>IFERROR(__xludf.DUMMYFUNCTION("""COMPUTED_VALUE"""),-1.0469024876399833)</f>
        <v>-1.046902488</v>
      </c>
      <c r="V289" s="11">
        <f>IFERROR(__xludf.DUMMYFUNCTION("""COMPUTED_VALUE"""),-1.610955578038197)</f>
        <v>-1.610955578</v>
      </c>
      <c r="W289" s="11">
        <f>IFERROR(__xludf.DUMMYFUNCTION("""COMPUTED_VALUE"""),-1.2485944449972455)</f>
        <v>-1.248594445</v>
      </c>
      <c r="X289" s="11">
        <f>IFERROR(__xludf.DUMMYFUNCTION("""COMPUTED_VALUE"""),0.6332385715246607)</f>
        <v>0.6332385715</v>
      </c>
      <c r="Y289" s="11">
        <f>IFERROR(__xludf.DUMMYFUNCTION("""COMPUTED_VALUE"""),0.00432864178665931)</f>
        <v>0.004328641787</v>
      </c>
      <c r="Z289" s="11">
        <f>IFERROR(__xludf.DUMMYFUNCTION("""COMPUTED_VALUE"""),-0.8021500348445307)</f>
        <v>-0.8021500348</v>
      </c>
      <c r="AA289" s="11">
        <f>IFERROR(__xludf.DUMMYFUNCTION("""COMPUTED_VALUE"""),0.3344452390794733)</f>
        <v>0.3344452391</v>
      </c>
      <c r="AB289" t="str">
        <f>IFERROR(__xludf.DUMMYFUNCTION("SUBSTITUTE(REGEXREPLACE(REGEXREPLACE(REGEXREPLACE(REGEXREPLACE(REGEXREPLACE(REGEXREPLACE(F289,"","",),IF(Projections!$T$17="""",""PG"",),),IF(Projections!$U$17="""",""SG"",),),IF(Projections!$V$17="""",""SF"",),),IF(Projections!$W$17="""",""PF"",),),IF(Pr"&amp;"ojections!$X$17="""",""C"",),),""/"","""")"),"SF")</f>
        <v>SF</v>
      </c>
    </row>
    <row r="290">
      <c r="B290">
        <f>IFERROR(__xludf.DUMMYFUNCTION("""COMPUTED_VALUE"""),285.0)</f>
        <v>285</v>
      </c>
      <c r="D290" t="str">
        <f>IFERROR(__xludf.DUMMYFUNCTION("""COMPUTED_VALUE"""),"Josh Minott")</f>
        <v>Josh Minott</v>
      </c>
      <c r="E290">
        <f>IFERROR(__xludf.DUMMYFUNCTION("""COMPUTED_VALUE"""),71.0)</f>
        <v>71</v>
      </c>
      <c r="F290" t="str">
        <f>IFERROR(__xludf.DUMMYFUNCTION("""COMPUTED_VALUE"""),"SF,PF")</f>
        <v>SF,PF</v>
      </c>
      <c r="G290" s="11">
        <f>IFERROR(__xludf.DUMMYFUNCTION("""COMPUTED_VALUE"""),-5.40962318073361)</f>
        <v>-5.409623181</v>
      </c>
      <c r="H290" s="11">
        <f>IFERROR(__xludf.DUMMYFUNCTION("""COMPUTED_VALUE"""),-5.40962318073361)</f>
        <v>-5.409623181</v>
      </c>
      <c r="I290" s="11">
        <f>IFERROR(__xludf.DUMMYFUNCTION("""COMPUTED_VALUE"""),0.0)</f>
        <v>0</v>
      </c>
      <c r="J290" s="11">
        <f>IFERROR(__xludf.DUMMYFUNCTION("""COMPUTED_VALUE"""),5.2)</f>
        <v>5.2</v>
      </c>
      <c r="K290" s="11">
        <f>IFERROR(__xludf.DUMMYFUNCTION("""COMPUTED_VALUE"""),0.3)</f>
        <v>0.3</v>
      </c>
      <c r="L290" s="11">
        <f>IFERROR(__xludf.DUMMYFUNCTION("""COMPUTED_VALUE"""),2.3)</f>
        <v>2.3</v>
      </c>
      <c r="M290" s="11">
        <f>IFERROR(__xludf.DUMMYFUNCTION("""COMPUTED_VALUE"""),0.7)</f>
        <v>0.7</v>
      </c>
      <c r="N290" s="11">
        <f>IFERROR(__xludf.DUMMYFUNCTION("""COMPUTED_VALUE"""),0.5)</f>
        <v>0.5</v>
      </c>
      <c r="O290" s="11">
        <f>IFERROR(__xludf.DUMMYFUNCTION("""COMPUTED_VALUE"""),0.6)</f>
        <v>0.6</v>
      </c>
      <c r="P290" s="15">
        <f>IFERROR(__xludf.DUMMYFUNCTION("""COMPUTED_VALUE"""),0.487)</f>
        <v>0.487</v>
      </c>
      <c r="Q290" s="15">
        <f>IFERROR(__xludf.DUMMYFUNCTION("""COMPUTED_VALUE"""),0.915)</f>
        <v>0.915</v>
      </c>
      <c r="R290" s="11">
        <f>IFERROR(__xludf.DUMMYFUNCTION("""COMPUTED_VALUE"""),0.3)</f>
        <v>0.3</v>
      </c>
      <c r="S290" s="11">
        <f>IFERROR(__xludf.DUMMYFUNCTION("""COMPUTED_VALUE"""),-2.2159889189773505)</f>
        <v>-2.215988919</v>
      </c>
      <c r="T290" s="11">
        <f>IFERROR(__xludf.DUMMYFUNCTION("""COMPUTED_VALUE"""),-1.442113683980217)</f>
        <v>-1.442113684</v>
      </c>
      <c r="U290" s="11">
        <f>IFERROR(__xludf.DUMMYFUNCTION("""COMPUTED_VALUE"""),-1.4783925700146765)</f>
        <v>-1.47839257</v>
      </c>
      <c r="V290" s="11">
        <f>IFERROR(__xludf.DUMMYFUNCTION("""COMPUTED_VALUE"""),-1.4742702667717982)</f>
        <v>-1.474270267</v>
      </c>
      <c r="W290" s="11">
        <f>IFERROR(__xludf.DUMMYFUNCTION("""COMPUTED_VALUE"""),-1.5805271231567248)</f>
        <v>-1.580527123</v>
      </c>
      <c r="X290" s="11">
        <f>IFERROR(__xludf.DUMMYFUNCTION("""COMPUTED_VALUE"""),-0.25872993873862127)</f>
        <v>-0.2587299387</v>
      </c>
      <c r="Y290" s="11">
        <f>IFERROR(__xludf.DUMMYFUNCTION("""COMPUTED_VALUE"""),-0.0451631716482245)</f>
        <v>-0.04516317165</v>
      </c>
      <c r="Z290" s="11">
        <f>IFERROR(__xludf.DUMMYFUNCTION("""COMPUTED_VALUE"""),0.5103301210211927)</f>
        <v>0.510330121</v>
      </c>
      <c r="AA290" s="11">
        <f>IFERROR(__xludf.DUMMYFUNCTION("""COMPUTED_VALUE"""),0.3592434525554599)</f>
        <v>0.3592434526</v>
      </c>
      <c r="AB290" t="str">
        <f>IFERROR(__xludf.DUMMYFUNCTION("SUBSTITUTE(REGEXREPLACE(REGEXREPLACE(REGEXREPLACE(REGEXREPLACE(REGEXREPLACE(REGEXREPLACE(F290,"","",),IF(Projections!$T$17="""",""PG"",),),IF(Projections!$U$17="""",""SG"",),),IF(Projections!$V$17="""",""SF"",),),IF(Projections!$W$17="""",""PF"",),),IF(Pr"&amp;"ojections!$X$17="""",""C"",),),""/"","""")"),"SFPF")</f>
        <v>SFPF</v>
      </c>
    </row>
    <row r="291">
      <c r="B291">
        <f>IFERROR(__xludf.DUMMYFUNCTION("""COMPUTED_VALUE"""),286.0)</f>
        <v>286</v>
      </c>
      <c r="D291" t="str">
        <f>IFERROR(__xludf.DUMMYFUNCTION("""COMPUTED_VALUE"""),"Aaron Wiggins")</f>
        <v>Aaron Wiggins</v>
      </c>
      <c r="E291">
        <f>IFERROR(__xludf.DUMMYFUNCTION("""COMPUTED_VALUE"""),58.0)</f>
        <v>58</v>
      </c>
      <c r="F291" t="str">
        <f>IFERROR(__xludf.DUMMYFUNCTION("""COMPUTED_VALUE"""),"SG,SF")</f>
        <v>SG,SF</v>
      </c>
      <c r="G291" s="11">
        <f>IFERROR(__xludf.DUMMYFUNCTION("""COMPUTED_VALUE"""),-5.41905606031933)</f>
        <v>-5.41905606</v>
      </c>
      <c r="H291" s="11">
        <f>IFERROR(__xludf.DUMMYFUNCTION("""COMPUTED_VALUE"""),-5.41905606031933)</f>
        <v>-5.41905606</v>
      </c>
      <c r="I291" s="11">
        <f>IFERROR(__xludf.DUMMYFUNCTION("""COMPUTED_VALUE"""),0.0)</f>
        <v>0</v>
      </c>
      <c r="J291" s="11">
        <f>IFERROR(__xludf.DUMMYFUNCTION("""COMPUTED_VALUE"""),6.5)</f>
        <v>6.5</v>
      </c>
      <c r="K291" s="11">
        <f>IFERROR(__xludf.DUMMYFUNCTION("""COMPUTED_VALUE"""),0.7)</f>
        <v>0.7</v>
      </c>
      <c r="L291" s="11">
        <f>IFERROR(__xludf.DUMMYFUNCTION("""COMPUTED_VALUE"""),2.5)</f>
        <v>2.5</v>
      </c>
      <c r="M291" s="11">
        <f>IFERROR(__xludf.DUMMYFUNCTION("""COMPUTED_VALUE"""),1.1)</f>
        <v>1.1</v>
      </c>
      <c r="N291" s="11">
        <f>IFERROR(__xludf.DUMMYFUNCTION("""COMPUTED_VALUE"""),0.6)</f>
        <v>0.6</v>
      </c>
      <c r="O291" s="11">
        <f>IFERROR(__xludf.DUMMYFUNCTION("""COMPUTED_VALUE"""),0.2)</f>
        <v>0.2</v>
      </c>
      <c r="P291" s="15">
        <f>IFERROR(__xludf.DUMMYFUNCTION("""COMPUTED_VALUE"""),0.538)</f>
        <v>0.538</v>
      </c>
      <c r="Q291" s="15">
        <f>IFERROR(__xludf.DUMMYFUNCTION("""COMPUTED_VALUE"""),0.811)</f>
        <v>0.811</v>
      </c>
      <c r="R291" s="11">
        <f>IFERROR(__xludf.DUMMYFUNCTION("""COMPUTED_VALUE"""),0.7)</f>
        <v>0.7</v>
      </c>
      <c r="S291" s="11">
        <f>IFERROR(__xludf.DUMMYFUNCTION("""COMPUTED_VALUE"""),-1.9811464934548895)</f>
        <v>-1.981146493</v>
      </c>
      <c r="T291" s="11">
        <f>IFERROR(__xludf.DUMMYFUNCTION("""COMPUTED_VALUE"""),-1.0440164878540512)</f>
        <v>-1.044016488</v>
      </c>
      <c r="U291" s="11">
        <f>IFERROR(__xludf.DUMMYFUNCTION("""COMPUTED_VALUE"""),-1.3999398277647324)</f>
        <v>-1.399939828</v>
      </c>
      <c r="V291" s="11">
        <f>IFERROR(__xludf.DUMMYFUNCTION("""COMPUTED_VALUE"""),-1.2920231850832664)</f>
        <v>-1.292023185</v>
      </c>
      <c r="W291" s="11">
        <f>IFERROR(__xludf.DUMMYFUNCTION("""COMPUTED_VALUE"""),-1.2485944449972455)</f>
        <v>-1.248594445</v>
      </c>
      <c r="X291" s="11">
        <f>IFERROR(__xludf.DUMMYFUNCTION("""COMPUTED_VALUE"""),-0.9723047469492465)</f>
        <v>-0.9723047469</v>
      </c>
      <c r="Y291" s="11">
        <f>IFERROR(__xludf.DUMMYFUNCTION("""COMPUTED_VALUE"""),0.2265012071200198)</f>
        <v>0.2265012071</v>
      </c>
      <c r="Z291" s="11">
        <f>IFERROR(__xludf.DUMMYFUNCTION("""COMPUTED_VALUE"""),0.051270826557678194)</f>
        <v>0.05127082656</v>
      </c>
      <c r="AA291" s="11">
        <f>IFERROR(__xludf.DUMMYFUNCTION("""COMPUTED_VALUE"""),0.26005059865151336)</f>
        <v>0.2600505987</v>
      </c>
      <c r="AB291" t="str">
        <f>IFERROR(__xludf.DUMMYFUNCTION("SUBSTITUTE(REGEXREPLACE(REGEXREPLACE(REGEXREPLACE(REGEXREPLACE(REGEXREPLACE(REGEXREPLACE(F291,"","",),IF(Projections!$T$17="""",""PG"",),),IF(Projections!$U$17="""",""SG"",),),IF(Projections!$V$17="""",""SF"",),),IF(Projections!$W$17="""",""PF"",),),IF(Pr"&amp;"ojections!$X$17="""",""C"",),),""/"","""")"),"SGSF")</f>
        <v>SGSF</v>
      </c>
    </row>
    <row r="292">
      <c r="B292">
        <f>IFERROR(__xludf.DUMMYFUNCTION("""COMPUTED_VALUE"""),287.0)</f>
        <v>287</v>
      </c>
      <c r="D292" t="str">
        <f>IFERROR(__xludf.DUMMYFUNCTION("""COMPUTED_VALUE"""),"Shake Milton")</f>
        <v>Shake Milton</v>
      </c>
      <c r="E292">
        <f>IFERROR(__xludf.DUMMYFUNCTION("""COMPUTED_VALUE"""),71.0)</f>
        <v>71</v>
      </c>
      <c r="F292" t="str">
        <f>IFERROR(__xludf.DUMMYFUNCTION("""COMPUTED_VALUE"""),"PG,SG")</f>
        <v>PG,SG</v>
      </c>
      <c r="G292" s="11">
        <f>IFERROR(__xludf.DUMMYFUNCTION("""COMPUTED_VALUE"""),-5.462248870232995)</f>
        <v>-5.46224887</v>
      </c>
      <c r="H292" s="11">
        <f>IFERROR(__xludf.DUMMYFUNCTION("""COMPUTED_VALUE"""),-5.462248870232995)</f>
        <v>-5.46224887</v>
      </c>
      <c r="I292" s="11">
        <f>IFERROR(__xludf.DUMMYFUNCTION("""COMPUTED_VALUE"""),0.0)</f>
        <v>0</v>
      </c>
      <c r="J292" s="11">
        <f>IFERROR(__xludf.DUMMYFUNCTION("""COMPUTED_VALUE"""),8.1)</f>
        <v>8.1</v>
      </c>
      <c r="K292" s="11">
        <f>IFERROR(__xludf.DUMMYFUNCTION("""COMPUTED_VALUE"""),0.7)</f>
        <v>0.7</v>
      </c>
      <c r="L292" s="11">
        <f>IFERROR(__xludf.DUMMYFUNCTION("""COMPUTED_VALUE"""),2.5)</f>
        <v>2.5</v>
      </c>
      <c r="M292" s="11">
        <f>IFERROR(__xludf.DUMMYFUNCTION("""COMPUTED_VALUE"""),2.9)</f>
        <v>2.9</v>
      </c>
      <c r="N292" s="11">
        <f>IFERROR(__xludf.DUMMYFUNCTION("""COMPUTED_VALUE"""),0.4)</f>
        <v>0.4</v>
      </c>
      <c r="O292" s="11">
        <f>IFERROR(__xludf.DUMMYFUNCTION("""COMPUTED_VALUE"""),0.2)</f>
        <v>0.2</v>
      </c>
      <c r="P292" s="15">
        <f>IFERROR(__xludf.DUMMYFUNCTION("""COMPUTED_VALUE"""),0.457)</f>
        <v>0.457</v>
      </c>
      <c r="Q292" s="15">
        <f>IFERROR(__xludf.DUMMYFUNCTION("""COMPUTED_VALUE"""),0.847)</f>
        <v>0.847</v>
      </c>
      <c r="R292" s="11">
        <f>IFERROR(__xludf.DUMMYFUNCTION("""COMPUTED_VALUE"""),1.2)</f>
        <v>1.2</v>
      </c>
      <c r="S292" s="11">
        <f>IFERROR(__xludf.DUMMYFUNCTION("""COMPUTED_VALUE"""),-1.6921096620426297)</f>
        <v>-1.692109662</v>
      </c>
      <c r="T292" s="11">
        <f>IFERROR(__xludf.DUMMYFUNCTION("""COMPUTED_VALUE"""),-1.0440164878540512)</f>
        <v>-1.044016488</v>
      </c>
      <c r="U292" s="11">
        <f>IFERROR(__xludf.DUMMYFUNCTION("""COMPUTED_VALUE"""),-1.3999398277647324)</f>
        <v>-1.399939828</v>
      </c>
      <c r="V292" s="11">
        <f>IFERROR(__xludf.DUMMYFUNCTION("""COMPUTED_VALUE"""),-0.4719113174848733)</f>
        <v>-0.4719113175</v>
      </c>
      <c r="W292" s="11">
        <f>IFERROR(__xludf.DUMMYFUNCTION("""COMPUTED_VALUE"""),-1.912459801316204)</f>
        <v>-1.912459801</v>
      </c>
      <c r="X292" s="11">
        <f>IFERROR(__xludf.DUMMYFUNCTION("""COMPUTED_VALUE"""),-0.9723047469492465)</f>
        <v>-0.9723047469</v>
      </c>
      <c r="Y292" s="11">
        <f>IFERROR(__xludf.DUMMYFUNCTION("""COMPUTED_VALUE"""),-0.3131601965627899)</f>
        <v>-0.3131601966</v>
      </c>
      <c r="Z292" s="11">
        <f>IFERROR(__xludf.DUMMYFUNCTION("""COMPUTED_VALUE"""),0.2951338371537487)</f>
        <v>0.2951338372</v>
      </c>
      <c r="AA292" s="11">
        <f>IFERROR(__xludf.DUMMYFUNCTION("""COMPUTED_VALUE"""),0.13605953127158005)</f>
        <v>0.1360595313</v>
      </c>
      <c r="AB292" t="str">
        <f>IFERROR(__xludf.DUMMYFUNCTION("SUBSTITUTE(REGEXREPLACE(REGEXREPLACE(REGEXREPLACE(REGEXREPLACE(REGEXREPLACE(REGEXREPLACE(F292,"","",),IF(Projections!$T$17="""",""PG"",),),IF(Projections!$U$17="""",""SG"",),),IF(Projections!$V$17="""",""SF"",),),IF(Projections!$W$17="""",""PF"",),),IF(Pr"&amp;"ojections!$X$17="""",""C"",),),""/"","""")"),"PGSG")</f>
        <v>PGSG</v>
      </c>
    </row>
    <row r="293">
      <c r="B293">
        <f>IFERROR(__xludf.DUMMYFUNCTION("""COMPUTED_VALUE"""),288.0)</f>
        <v>288</v>
      </c>
      <c r="C293">
        <f>IFERROR(__xludf.DUMMYFUNCTION("""COMPUTED_VALUE"""),142.6)</f>
        <v>142.6</v>
      </c>
      <c r="D293" t="str">
        <f>IFERROR(__xludf.DUMMYFUNCTION("""COMPUTED_VALUE"""),"Cam Whitmore")</f>
        <v>Cam Whitmore</v>
      </c>
      <c r="E293">
        <f>IFERROR(__xludf.DUMMYFUNCTION("""COMPUTED_VALUE"""),71.0)</f>
        <v>71</v>
      </c>
      <c r="F293" t="str">
        <f>IFERROR(__xludf.DUMMYFUNCTION("""COMPUTED_VALUE"""),"SF,PF")</f>
        <v>SF,PF</v>
      </c>
      <c r="G293" s="11">
        <f>IFERROR(__xludf.DUMMYFUNCTION("""COMPUTED_VALUE"""),-5.4650361333169135)</f>
        <v>-5.465036133</v>
      </c>
      <c r="H293" s="11">
        <f>IFERROR(__xludf.DUMMYFUNCTION("""COMPUTED_VALUE"""),-5.4650361333169135)</f>
        <v>-5.465036133</v>
      </c>
      <c r="I293" s="11">
        <f>IFERROR(__xludf.DUMMYFUNCTION("""COMPUTED_VALUE"""),0.0)</f>
        <v>0</v>
      </c>
      <c r="J293" s="11">
        <f>IFERROR(__xludf.DUMMYFUNCTION("""COMPUTED_VALUE"""),11.4)</f>
        <v>11.4</v>
      </c>
      <c r="K293" s="11">
        <f>IFERROR(__xludf.DUMMYFUNCTION("""COMPUTED_VALUE"""),1.6)</f>
        <v>1.6</v>
      </c>
      <c r="L293" s="11">
        <f>IFERROR(__xludf.DUMMYFUNCTION("""COMPUTED_VALUE"""),3.5)</f>
        <v>3.5</v>
      </c>
      <c r="M293" s="11">
        <f>IFERROR(__xludf.DUMMYFUNCTION("""COMPUTED_VALUE"""),0.7)</f>
        <v>0.7</v>
      </c>
      <c r="N293" s="11">
        <f>IFERROR(__xludf.DUMMYFUNCTION("""COMPUTED_VALUE"""),0.6)</f>
        <v>0.6</v>
      </c>
      <c r="O293" s="11">
        <f>IFERROR(__xludf.DUMMYFUNCTION("""COMPUTED_VALUE"""),0.3)</f>
        <v>0.3</v>
      </c>
      <c r="P293" s="15">
        <f>IFERROR(__xludf.DUMMYFUNCTION("""COMPUTED_VALUE"""),0.454)</f>
        <v>0.454</v>
      </c>
      <c r="Q293" s="15">
        <f>IFERROR(__xludf.DUMMYFUNCTION("""COMPUTED_VALUE"""),0.677)</f>
        <v>0.677</v>
      </c>
      <c r="R293" s="11">
        <f>IFERROR(__xludf.DUMMYFUNCTION("""COMPUTED_VALUE"""),0.9)</f>
        <v>0.9</v>
      </c>
      <c r="S293" s="11">
        <f>IFERROR(__xludf.DUMMYFUNCTION("""COMPUTED_VALUE"""),-1.0959711972548438)</f>
        <v>-1.095971197</v>
      </c>
      <c r="T293" s="11">
        <f>IFERROR(__xludf.DUMMYFUNCTION("""COMPUTED_VALUE"""),-0.1482977965701775)</f>
        <v>-0.1482977966</v>
      </c>
      <c r="U293" s="11">
        <f>IFERROR(__xludf.DUMMYFUNCTION("""COMPUTED_VALUE"""),-1.007676116515011)</f>
        <v>-1.007676117</v>
      </c>
      <c r="V293" s="11">
        <f>IFERROR(__xludf.DUMMYFUNCTION("""COMPUTED_VALUE"""),-1.4742702667717982)</f>
        <v>-1.474270267</v>
      </c>
      <c r="W293" s="11">
        <f>IFERROR(__xludf.DUMMYFUNCTION("""COMPUTED_VALUE"""),-1.2485944449972455)</f>
        <v>-1.248594445</v>
      </c>
      <c r="X293" s="11">
        <f>IFERROR(__xludf.DUMMYFUNCTION("""COMPUTED_VALUE"""),-0.7939110448965904)</f>
        <v>-0.7939110449</v>
      </c>
      <c r="Y293" s="11">
        <f>IFERROR(__xludf.DUMMYFUNCTION("""COMPUTED_VALUE"""),-0.4623582414045364)</f>
        <v>-0.4623582414</v>
      </c>
      <c r="Z293" s="11">
        <f>IFERROR(__xludf.DUMMYFUNCTION("""COMPUTED_VALUE"""),-0.9186814633780493)</f>
        <v>-0.9186814634</v>
      </c>
      <c r="AA293" s="11">
        <f>IFERROR(__xludf.DUMMYFUNCTION("""COMPUTED_VALUE"""),0.21045417169954)</f>
        <v>0.2104541717</v>
      </c>
      <c r="AB293" t="str">
        <f>IFERROR(__xludf.DUMMYFUNCTION("SUBSTITUTE(REGEXREPLACE(REGEXREPLACE(REGEXREPLACE(REGEXREPLACE(REGEXREPLACE(REGEXREPLACE(F293,"","",),IF(Projections!$T$17="""",""PG"",),),IF(Projections!$U$17="""",""SG"",),),IF(Projections!$V$17="""",""SF"",),),IF(Projections!$W$17="""",""PF"",),),IF(Pr"&amp;"ojections!$X$17="""",""C"",),),""/"","""")"),"SFPF")</f>
        <v>SFPF</v>
      </c>
    </row>
    <row r="294">
      <c r="B294">
        <f>IFERROR(__xludf.DUMMYFUNCTION("""COMPUTED_VALUE"""),289.0)</f>
        <v>289</v>
      </c>
      <c r="D294" t="str">
        <f>IFERROR(__xludf.DUMMYFUNCTION("""COMPUTED_VALUE"""),"Josh Okogie")</f>
        <v>Josh Okogie</v>
      </c>
      <c r="E294">
        <f>IFERROR(__xludf.DUMMYFUNCTION("""COMPUTED_VALUE"""),50.0)</f>
        <v>50</v>
      </c>
      <c r="F294" t="str">
        <f>IFERROR(__xludf.DUMMYFUNCTION("""COMPUTED_VALUE"""),"SG,SF")</f>
        <v>SG,SF</v>
      </c>
      <c r="G294" s="11">
        <f>IFERROR(__xludf.DUMMYFUNCTION("""COMPUTED_VALUE"""),-5.467421133199357)</f>
        <v>-5.467421133</v>
      </c>
      <c r="H294" s="11">
        <f>IFERROR(__xludf.DUMMYFUNCTION("""COMPUTED_VALUE"""),-5.467421133199357)</f>
        <v>-5.467421133</v>
      </c>
      <c r="I294" s="11">
        <f>IFERROR(__xludf.DUMMYFUNCTION("""COMPUTED_VALUE"""),0.0)</f>
        <v>0</v>
      </c>
      <c r="J294" s="11">
        <f>IFERROR(__xludf.DUMMYFUNCTION("""COMPUTED_VALUE"""),5.8)</f>
        <v>5.8</v>
      </c>
      <c r="K294" s="11">
        <f>IFERROR(__xludf.DUMMYFUNCTION("""COMPUTED_VALUE"""),0.7)</f>
        <v>0.7</v>
      </c>
      <c r="L294" s="11">
        <f>IFERROR(__xludf.DUMMYFUNCTION("""COMPUTED_VALUE"""),2.9)</f>
        <v>2.9</v>
      </c>
      <c r="M294" s="11">
        <f>IFERROR(__xludf.DUMMYFUNCTION("""COMPUTED_VALUE"""),1.2)</f>
        <v>1.2</v>
      </c>
      <c r="N294" s="11">
        <f>IFERROR(__xludf.DUMMYFUNCTION("""COMPUTED_VALUE"""),0.8)</f>
        <v>0.8</v>
      </c>
      <c r="O294" s="11">
        <f>IFERROR(__xludf.DUMMYFUNCTION("""COMPUTED_VALUE"""),0.4)</f>
        <v>0.4</v>
      </c>
      <c r="P294" s="15">
        <f>IFERROR(__xludf.DUMMYFUNCTION("""COMPUTED_VALUE"""),0.4)</f>
        <v>0.4</v>
      </c>
      <c r="Q294" s="15">
        <f>IFERROR(__xludf.DUMMYFUNCTION("""COMPUTED_VALUE"""),0.73)</f>
        <v>0.73</v>
      </c>
      <c r="R294" s="11">
        <f>IFERROR(__xludf.DUMMYFUNCTION("""COMPUTED_VALUE"""),0.7)</f>
        <v>0.7</v>
      </c>
      <c r="S294" s="11">
        <f>IFERROR(__xludf.DUMMYFUNCTION("""COMPUTED_VALUE"""),-2.107600107197753)</f>
        <v>-2.107600107</v>
      </c>
      <c r="T294" s="11">
        <f>IFERROR(__xludf.DUMMYFUNCTION("""COMPUTED_VALUE"""),-1.0440164878540512)</f>
        <v>-1.044016488</v>
      </c>
      <c r="U294" s="11">
        <f>IFERROR(__xludf.DUMMYFUNCTION("""COMPUTED_VALUE"""),-1.2430343432648439)</f>
        <v>-1.243034343</v>
      </c>
      <c r="V294" s="11">
        <f>IFERROR(__xludf.DUMMYFUNCTION("""COMPUTED_VALUE"""),-1.2464614146611335)</f>
        <v>-1.246461415</v>
      </c>
      <c r="W294" s="11">
        <f>IFERROR(__xludf.DUMMYFUNCTION("""COMPUTED_VALUE"""),-0.5847290886782864)</f>
        <v>-0.5847290887</v>
      </c>
      <c r="X294" s="11">
        <f>IFERROR(__xludf.DUMMYFUNCTION("""COMPUTED_VALUE"""),-0.6155173428439339)</f>
        <v>-0.6155173428</v>
      </c>
      <c r="Y294" s="11">
        <f>IFERROR(__xludf.DUMMYFUNCTION("""COMPUTED_VALUE"""),-0.5109497097663473)</f>
        <v>-0.5109497098</v>
      </c>
      <c r="Z294" s="11">
        <f>IFERROR(__xludf.DUMMYFUNCTION("""COMPUTED_VALUE"""),-0.48276334478227284)</f>
        <v>-0.4827633448</v>
      </c>
      <c r="AA294" s="11">
        <f>IFERROR(__xludf.DUMMYFUNCTION("""COMPUTED_VALUE"""),0.26005059865151336)</f>
        <v>0.2600505987</v>
      </c>
      <c r="AB294" t="str">
        <f>IFERROR(__xludf.DUMMYFUNCTION("SUBSTITUTE(REGEXREPLACE(REGEXREPLACE(REGEXREPLACE(REGEXREPLACE(REGEXREPLACE(REGEXREPLACE(F294,"","",),IF(Projections!$T$17="""",""PG"",),),IF(Projections!$U$17="""",""SG"",),),IF(Projections!$V$17="""",""SF"",),),IF(Projections!$W$17="""",""PF"",),),IF(Pr"&amp;"ojections!$X$17="""",""C"",),),""/"","""")"),"SGSF")</f>
        <v>SGSF</v>
      </c>
    </row>
    <row r="295">
      <c r="B295">
        <f>IFERROR(__xludf.DUMMYFUNCTION("""COMPUTED_VALUE"""),290.0)</f>
        <v>290</v>
      </c>
      <c r="D295" t="str">
        <f>IFERROR(__xludf.DUMMYFUNCTION("""COMPUTED_VALUE"""),"Jaylin Williams")</f>
        <v>Jaylin Williams</v>
      </c>
      <c r="E295">
        <f>IFERROR(__xludf.DUMMYFUNCTION("""COMPUTED_VALUE"""),46.0)</f>
        <v>46</v>
      </c>
      <c r="F295" t="str">
        <f>IFERROR(__xludf.DUMMYFUNCTION("""COMPUTED_VALUE"""),"PF,C")</f>
        <v>PF,C</v>
      </c>
      <c r="G295" s="11">
        <f>IFERROR(__xludf.DUMMYFUNCTION("""COMPUTED_VALUE"""),-5.496800867419115)</f>
        <v>-5.496800867</v>
      </c>
      <c r="H295" s="11">
        <f>IFERROR(__xludf.DUMMYFUNCTION("""COMPUTED_VALUE"""),-5.496800867419115)</f>
        <v>-5.496800867</v>
      </c>
      <c r="I295" s="11">
        <f>IFERROR(__xludf.DUMMYFUNCTION("""COMPUTED_VALUE"""),0.0)</f>
        <v>0</v>
      </c>
      <c r="J295" s="11">
        <f>IFERROR(__xludf.DUMMYFUNCTION("""COMPUTED_VALUE"""),4.6)</f>
        <v>4.6</v>
      </c>
      <c r="K295" s="11">
        <f>IFERROR(__xludf.DUMMYFUNCTION("""COMPUTED_VALUE"""),0.8)</f>
        <v>0.8</v>
      </c>
      <c r="L295" s="11">
        <f>IFERROR(__xludf.DUMMYFUNCTION("""COMPUTED_VALUE"""),3.8)</f>
        <v>3.8</v>
      </c>
      <c r="M295" s="11">
        <f>IFERROR(__xludf.DUMMYFUNCTION("""COMPUTED_VALUE"""),1.5)</f>
        <v>1.5</v>
      </c>
      <c r="N295" s="11">
        <f>IFERROR(__xludf.DUMMYFUNCTION("""COMPUTED_VALUE"""),0.5)</f>
        <v>0.5</v>
      </c>
      <c r="O295" s="11">
        <f>IFERROR(__xludf.DUMMYFUNCTION("""COMPUTED_VALUE"""),0.3)</f>
        <v>0.3</v>
      </c>
      <c r="P295" s="15">
        <f>IFERROR(__xludf.DUMMYFUNCTION("""COMPUTED_VALUE"""),0.426)</f>
        <v>0.426</v>
      </c>
      <c r="Q295" s="15">
        <f>IFERROR(__xludf.DUMMYFUNCTION("""COMPUTED_VALUE"""),0.74)</f>
        <v>0.74</v>
      </c>
      <c r="R295" s="11">
        <f>IFERROR(__xludf.DUMMYFUNCTION("""COMPUTED_VALUE"""),0.6)</f>
        <v>0.6</v>
      </c>
      <c r="S295" s="11">
        <f>IFERROR(__xludf.DUMMYFUNCTION("""COMPUTED_VALUE"""),-2.324377730756948)</f>
        <v>-2.324377731</v>
      </c>
      <c r="T295" s="11">
        <f>IFERROR(__xludf.DUMMYFUNCTION("""COMPUTED_VALUE"""),-0.9444921888225095)</f>
        <v>-0.9444921888</v>
      </c>
      <c r="U295" s="11">
        <f>IFERROR(__xludf.DUMMYFUNCTION("""COMPUTED_VALUE"""),-0.8899970031400947)</f>
        <v>-0.8899970031</v>
      </c>
      <c r="V295" s="11">
        <f>IFERROR(__xludf.DUMMYFUNCTION("""COMPUTED_VALUE"""),-1.1097761033947346)</f>
        <v>-1.109776103</v>
      </c>
      <c r="W295" s="11">
        <f>IFERROR(__xludf.DUMMYFUNCTION("""COMPUTED_VALUE"""),-1.5805271231567248)</f>
        <v>-1.580527123</v>
      </c>
      <c r="X295" s="11">
        <f>IFERROR(__xludf.DUMMYFUNCTION("""COMPUTED_VALUE"""),-0.7939110448965904)</f>
        <v>-0.7939110449</v>
      </c>
      <c r="Y295" s="11">
        <f>IFERROR(__xludf.DUMMYFUNCTION("""COMPUTED_VALUE"""),-0.30736771787284184)</f>
        <v>-0.3073677179</v>
      </c>
      <c r="Z295" s="11">
        <f>IFERROR(__xludf.DUMMYFUNCTION("""COMPUTED_VALUE"""),-0.1555784982631184)</f>
        <v>-0.1555784983</v>
      </c>
      <c r="AA295" s="11">
        <f>IFERROR(__xludf.DUMMYFUNCTION("""COMPUTED_VALUE"""),0.28484881212749996)</f>
        <v>0.2848488121</v>
      </c>
      <c r="AB295" t="str">
        <f>IFERROR(__xludf.DUMMYFUNCTION("SUBSTITUTE(REGEXREPLACE(REGEXREPLACE(REGEXREPLACE(REGEXREPLACE(REGEXREPLACE(REGEXREPLACE(F295,"","",),IF(Projections!$T$17="""",""PG"",),),IF(Projections!$U$17="""",""SG"",),),IF(Projections!$V$17="""",""SF"",),),IF(Projections!$W$17="""",""PF"",),),IF(Pr"&amp;"ojections!$X$17="""",""C"",),),""/"","""")"),"PFC")</f>
        <v>PFC</v>
      </c>
    </row>
    <row r="296">
      <c r="B296">
        <f>IFERROR(__xludf.DUMMYFUNCTION("""COMPUTED_VALUE"""),291.0)</f>
        <v>291</v>
      </c>
      <c r="D296" t="str">
        <f>IFERROR(__xludf.DUMMYFUNCTION("""COMPUTED_VALUE"""),"Dalton Knecht")</f>
        <v>Dalton Knecht</v>
      </c>
      <c r="E296">
        <f>IFERROR(__xludf.DUMMYFUNCTION("""COMPUTED_VALUE"""),71.0)</f>
        <v>71</v>
      </c>
      <c r="F296" t="str">
        <f>IFERROR(__xludf.DUMMYFUNCTION("""COMPUTED_VALUE"""),"SG")</f>
        <v>SG</v>
      </c>
      <c r="G296" s="11">
        <f>IFERROR(__xludf.DUMMYFUNCTION("""COMPUTED_VALUE"""),-5.542257002769588)</f>
        <v>-5.542257003</v>
      </c>
      <c r="H296" s="11">
        <f>IFERROR(__xludf.DUMMYFUNCTION("""COMPUTED_VALUE"""),-5.542257002769588)</f>
        <v>-5.542257003</v>
      </c>
      <c r="I296" s="11">
        <f>IFERROR(__xludf.DUMMYFUNCTION("""COMPUTED_VALUE"""),0.0)</f>
        <v>0</v>
      </c>
      <c r="J296" s="11">
        <f>IFERROR(__xludf.DUMMYFUNCTION("""COMPUTED_VALUE"""),9.0)</f>
        <v>9</v>
      </c>
      <c r="K296" s="11">
        <f>IFERROR(__xludf.DUMMYFUNCTION("""COMPUTED_VALUE"""),1.1)</f>
        <v>1.1</v>
      </c>
      <c r="L296" s="11">
        <f>IFERROR(__xludf.DUMMYFUNCTION("""COMPUTED_VALUE"""),3.3)</f>
        <v>3.3</v>
      </c>
      <c r="M296" s="11">
        <f>IFERROR(__xludf.DUMMYFUNCTION("""COMPUTED_VALUE"""),1.1)</f>
        <v>1.1</v>
      </c>
      <c r="N296" s="11">
        <f>IFERROR(__xludf.DUMMYFUNCTION("""COMPUTED_VALUE"""),0.3)</f>
        <v>0.3</v>
      </c>
      <c r="O296" s="11">
        <f>IFERROR(__xludf.DUMMYFUNCTION("""COMPUTED_VALUE"""),0.4)</f>
        <v>0.4</v>
      </c>
      <c r="P296" s="15">
        <f>IFERROR(__xludf.DUMMYFUNCTION("""COMPUTED_VALUE"""),0.444)</f>
        <v>0.444</v>
      </c>
      <c r="Q296" s="15">
        <f>IFERROR(__xludf.DUMMYFUNCTION("""COMPUTED_VALUE"""),0.77)</f>
        <v>0.77</v>
      </c>
      <c r="R296" s="11">
        <f>IFERROR(__xludf.DUMMYFUNCTION("""COMPUTED_VALUE"""),0.7)</f>
        <v>0.7</v>
      </c>
      <c r="S296" s="11">
        <f>IFERROR(__xludf.DUMMYFUNCTION("""COMPUTED_VALUE"""),-1.5295264443732335)</f>
        <v>-1.529526444</v>
      </c>
      <c r="T296" s="11">
        <f>IFERROR(__xludf.DUMMYFUNCTION("""COMPUTED_VALUE"""),-0.645919291727885)</f>
        <v>-0.6459192917</v>
      </c>
      <c r="U296" s="11">
        <f>IFERROR(__xludf.DUMMYFUNCTION("""COMPUTED_VALUE"""),-1.0861288587649554)</f>
        <v>-1.086128859</v>
      </c>
      <c r="V296" s="11">
        <f>IFERROR(__xludf.DUMMYFUNCTION("""COMPUTED_VALUE"""),-1.2920231850832664)</f>
        <v>-1.292023185</v>
      </c>
      <c r="W296" s="11">
        <f>IFERROR(__xludf.DUMMYFUNCTION("""COMPUTED_VALUE"""),-2.2443924794756835)</f>
        <v>-2.244392479</v>
      </c>
      <c r="X296" s="11">
        <f>IFERROR(__xludf.DUMMYFUNCTION("""COMPUTED_VALUE"""),-0.6155173428439339)</f>
        <v>-0.6155173428</v>
      </c>
      <c r="Y296" s="11">
        <f>IFERROR(__xludf.DUMMYFUNCTION("""COMPUTED_VALUE"""),-0.4214391101524848)</f>
        <v>-0.4214391102</v>
      </c>
      <c r="Z296" s="11">
        <f>IFERROR(__xludf.DUMMYFUNCTION("""COMPUTED_VALUE"""),-0.21175336847534232)</f>
        <v>-0.2117533685</v>
      </c>
      <c r="AA296" s="11">
        <f>IFERROR(__xludf.DUMMYFUNCTION("""COMPUTED_VALUE"""),0.26005059865151336)</f>
        <v>0.2600505987</v>
      </c>
      <c r="AB296" t="str">
        <f>IFERROR(__xludf.DUMMYFUNCTION("SUBSTITUTE(REGEXREPLACE(REGEXREPLACE(REGEXREPLACE(REGEXREPLACE(REGEXREPLACE(REGEXREPLACE(F296,"","",),IF(Projections!$T$17="""",""PG"",),),IF(Projections!$U$17="""",""SG"",),),IF(Projections!$V$17="""",""SF"",),),IF(Projections!$W$17="""",""PF"",),),IF(Pr"&amp;"ojections!$X$17="""",""C"",),),""/"","""")"),"SG")</f>
        <v>SG</v>
      </c>
    </row>
    <row r="297">
      <c r="B297">
        <f>IFERROR(__xludf.DUMMYFUNCTION("""COMPUTED_VALUE"""),292.0)</f>
        <v>292</v>
      </c>
      <c r="D297" t="str">
        <f>IFERROR(__xludf.DUMMYFUNCTION("""COMPUTED_VALUE"""),"Jericho Sims")</f>
        <v>Jericho Sims</v>
      </c>
      <c r="E297">
        <f>IFERROR(__xludf.DUMMYFUNCTION("""COMPUTED_VALUE"""),34.0)</f>
        <v>34</v>
      </c>
      <c r="F297" t="str">
        <f>IFERROR(__xludf.DUMMYFUNCTION("""COMPUTED_VALUE"""),"C")</f>
        <v>C</v>
      </c>
      <c r="G297" s="11">
        <f>IFERROR(__xludf.DUMMYFUNCTION("""COMPUTED_VALUE"""),-5.551168618873252)</f>
        <v>-5.551168619</v>
      </c>
      <c r="H297" s="11">
        <f>IFERROR(__xludf.DUMMYFUNCTION("""COMPUTED_VALUE"""),-5.551168618873252)</f>
        <v>-5.551168619</v>
      </c>
      <c r="I297" s="11">
        <f>IFERROR(__xludf.DUMMYFUNCTION("""COMPUTED_VALUE"""),0.0)</f>
        <v>0</v>
      </c>
      <c r="J297" s="11">
        <f>IFERROR(__xludf.DUMMYFUNCTION("""COMPUTED_VALUE"""),3.3)</f>
        <v>3.3</v>
      </c>
      <c r="K297" s="11">
        <f>IFERROR(__xludf.DUMMYFUNCTION("""COMPUTED_VALUE"""),0.0)</f>
        <v>0</v>
      </c>
      <c r="L297" s="11">
        <f>IFERROR(__xludf.DUMMYFUNCTION("""COMPUTED_VALUE"""),4.8)</f>
        <v>4.8</v>
      </c>
      <c r="M297" s="11">
        <f>IFERROR(__xludf.DUMMYFUNCTION("""COMPUTED_VALUE"""),0.6)</f>
        <v>0.6</v>
      </c>
      <c r="N297" s="11">
        <f>IFERROR(__xludf.DUMMYFUNCTION("""COMPUTED_VALUE"""),0.3)</f>
        <v>0.3</v>
      </c>
      <c r="O297" s="11">
        <f>IFERROR(__xludf.DUMMYFUNCTION("""COMPUTED_VALUE"""),0.6)</f>
        <v>0.6</v>
      </c>
      <c r="P297" s="15">
        <f>IFERROR(__xludf.DUMMYFUNCTION("""COMPUTED_VALUE"""),0.744)</f>
        <v>0.744</v>
      </c>
      <c r="Q297" s="15">
        <f>IFERROR(__xludf.DUMMYFUNCTION("""COMPUTED_VALUE"""),0.694)</f>
        <v>0.694</v>
      </c>
      <c r="R297" s="11">
        <f>IFERROR(__xludf.DUMMYFUNCTION("""COMPUTED_VALUE"""),0.5)</f>
        <v>0.5</v>
      </c>
      <c r="S297" s="11">
        <f>IFERROR(__xludf.DUMMYFUNCTION("""COMPUTED_VALUE"""),-2.559220156279409)</f>
        <v>-2.559220156</v>
      </c>
      <c r="T297" s="11">
        <f>IFERROR(__xludf.DUMMYFUNCTION("""COMPUTED_VALUE"""),-1.7406865810748415)</f>
        <v>-1.740686581</v>
      </c>
      <c r="U297" s="11">
        <f>IFERROR(__xludf.DUMMYFUNCTION("""COMPUTED_VALUE"""),-0.49773329189037346)</f>
        <v>-0.4977332919</v>
      </c>
      <c r="V297" s="11">
        <f>IFERROR(__xludf.DUMMYFUNCTION("""COMPUTED_VALUE"""),-1.5198320371939311)</f>
        <v>-1.519832037</v>
      </c>
      <c r="W297" s="11">
        <f>IFERROR(__xludf.DUMMYFUNCTION("""COMPUTED_VALUE"""),-2.2443924794756835)</f>
        <v>-2.244392479</v>
      </c>
      <c r="X297" s="11">
        <f>IFERROR(__xludf.DUMMYFUNCTION("""COMPUTED_VALUE"""),-0.25872993873862127)</f>
        <v>-0.2587299387</v>
      </c>
      <c r="Y297" s="11">
        <f>IFERROR(__xludf.DUMMYFUNCTION("""COMPUTED_VALUE"""),0.5792478689948046)</f>
        <v>0.579247869</v>
      </c>
      <c r="Z297" s="11">
        <f>IFERROR(__xludf.DUMMYFUNCTION("""COMPUTED_VALUE"""),-0.17868918509809195)</f>
        <v>-0.1786891851</v>
      </c>
      <c r="AA297" s="11">
        <f>IFERROR(__xludf.DUMMYFUNCTION("""COMPUTED_VALUE"""),0.3096470256034866)</f>
        <v>0.3096470256</v>
      </c>
      <c r="AB297" t="str">
        <f>IFERROR(__xludf.DUMMYFUNCTION("SUBSTITUTE(REGEXREPLACE(REGEXREPLACE(REGEXREPLACE(REGEXREPLACE(REGEXREPLACE(REGEXREPLACE(F297,"","",),IF(Projections!$T$17="""",""PG"",),),IF(Projections!$U$17="""",""SG"",),),IF(Projections!$V$17="""",""SF"",),),IF(Projections!$W$17="""",""PF"",),),IF(Pr"&amp;"ojections!$X$17="""",""C"",),),""/"","""")"),"C")</f>
        <v>C</v>
      </c>
    </row>
    <row r="298">
      <c r="B298">
        <f>IFERROR(__xludf.DUMMYFUNCTION("""COMPUTED_VALUE"""),293.0)</f>
        <v>293</v>
      </c>
      <c r="D298" t="str">
        <f>IFERROR(__xludf.DUMMYFUNCTION("""COMPUTED_VALUE"""),"Cam Reddish")</f>
        <v>Cam Reddish</v>
      </c>
      <c r="E298">
        <f>IFERROR(__xludf.DUMMYFUNCTION("""COMPUTED_VALUE"""),54.0)</f>
        <v>54</v>
      </c>
      <c r="F298" t="str">
        <f>IFERROR(__xludf.DUMMYFUNCTION("""COMPUTED_VALUE"""),"SG,SF")</f>
        <v>SG,SF</v>
      </c>
      <c r="G298" s="11">
        <f>IFERROR(__xludf.DUMMYFUNCTION("""COMPUTED_VALUE"""),-5.631160713183945)</f>
        <v>-5.631160713</v>
      </c>
      <c r="H298" s="11">
        <f>IFERROR(__xludf.DUMMYFUNCTION("""COMPUTED_VALUE"""),-5.631160713183945)</f>
        <v>-5.631160713</v>
      </c>
      <c r="I298" s="11">
        <f>IFERROR(__xludf.DUMMYFUNCTION("""COMPUTED_VALUE"""),0.0)</f>
        <v>0</v>
      </c>
      <c r="J298" s="11">
        <f>IFERROR(__xludf.DUMMYFUNCTION("""COMPUTED_VALUE"""),5.8)</f>
        <v>5.8</v>
      </c>
      <c r="K298" s="11">
        <f>IFERROR(__xludf.DUMMYFUNCTION("""COMPUTED_VALUE"""),0.7)</f>
        <v>0.7</v>
      </c>
      <c r="L298" s="11">
        <f>IFERROR(__xludf.DUMMYFUNCTION("""COMPUTED_VALUE"""),1.7)</f>
        <v>1.7</v>
      </c>
      <c r="M298" s="11">
        <f>IFERROR(__xludf.DUMMYFUNCTION("""COMPUTED_VALUE"""),0.9)</f>
        <v>0.9</v>
      </c>
      <c r="N298" s="11">
        <f>IFERROR(__xludf.DUMMYFUNCTION("""COMPUTED_VALUE"""),0.8)</f>
        <v>0.8</v>
      </c>
      <c r="O298" s="11">
        <f>IFERROR(__xludf.DUMMYFUNCTION("""COMPUTED_VALUE"""),0.3)</f>
        <v>0.3</v>
      </c>
      <c r="P298" s="15">
        <f>IFERROR(__xludf.DUMMYFUNCTION("""COMPUTED_VALUE"""),0.421)</f>
        <v>0.421</v>
      </c>
      <c r="Q298" s="15">
        <f>IFERROR(__xludf.DUMMYFUNCTION("""COMPUTED_VALUE"""),0.81)</f>
        <v>0.81</v>
      </c>
      <c r="R298" s="11">
        <f>IFERROR(__xludf.DUMMYFUNCTION("""COMPUTED_VALUE"""),0.7)</f>
        <v>0.7</v>
      </c>
      <c r="S298" s="11">
        <f>IFERROR(__xludf.DUMMYFUNCTION("""COMPUTED_VALUE"""),-2.107600107197753)</f>
        <v>-2.107600107</v>
      </c>
      <c r="T298" s="11">
        <f>IFERROR(__xludf.DUMMYFUNCTION("""COMPUTED_VALUE"""),-1.0440164878540512)</f>
        <v>-1.044016488</v>
      </c>
      <c r="U298" s="11">
        <f>IFERROR(__xludf.DUMMYFUNCTION("""COMPUTED_VALUE"""),-1.7137507967645091)</f>
        <v>-1.713750797</v>
      </c>
      <c r="V298" s="11">
        <f>IFERROR(__xludf.DUMMYFUNCTION("""COMPUTED_VALUE"""),-1.3831467259275323)</f>
        <v>-1.383146726</v>
      </c>
      <c r="W298" s="11">
        <f>IFERROR(__xludf.DUMMYFUNCTION("""COMPUTED_VALUE"""),-0.5847290886782864)</f>
        <v>-0.5847290887</v>
      </c>
      <c r="X298" s="11">
        <f>IFERROR(__xludf.DUMMYFUNCTION("""COMPUTED_VALUE"""),-0.7939110448965904)</f>
        <v>-0.7939110449</v>
      </c>
      <c r="Y298" s="11">
        <f>IFERROR(__xludf.DUMMYFUNCTION("""COMPUTED_VALUE"""),-0.43576856768616035)</f>
        <v>-0.4357685677</v>
      </c>
      <c r="Z298" s="11">
        <f>IFERROR(__xludf.DUMMYFUNCTION("""COMPUTED_VALUE"""),0.0641113999716707)</f>
        <v>0.06411139997</v>
      </c>
      <c r="AA298" s="11">
        <f>IFERROR(__xludf.DUMMYFUNCTION("""COMPUTED_VALUE"""),0.26005059865151336)</f>
        <v>0.2600505987</v>
      </c>
      <c r="AB298" t="str">
        <f>IFERROR(__xludf.DUMMYFUNCTION("SUBSTITUTE(REGEXREPLACE(REGEXREPLACE(REGEXREPLACE(REGEXREPLACE(REGEXREPLACE(REGEXREPLACE(F298,"","",),IF(Projections!$T$17="""",""PG"",),),IF(Projections!$U$17="""",""SG"",),),IF(Projections!$V$17="""",""SF"",),),IF(Projections!$W$17="""",""PF"",),),IF(Pr"&amp;"ojections!$X$17="""",""C"",),),""/"","""")"),"SGSF")</f>
        <v>SGSF</v>
      </c>
    </row>
    <row r="299">
      <c r="B299">
        <f>IFERROR(__xludf.DUMMYFUNCTION("""COMPUTED_VALUE"""),294.0)</f>
        <v>294</v>
      </c>
      <c r="D299" t="str">
        <f>IFERROR(__xludf.DUMMYFUNCTION("""COMPUTED_VALUE"""),"Joe Ingles")</f>
        <v>Joe Ingles</v>
      </c>
      <c r="E299">
        <f>IFERROR(__xludf.DUMMYFUNCTION("""COMPUTED_VALUE"""),66.0)</f>
        <v>66</v>
      </c>
      <c r="F299" t="str">
        <f>IFERROR(__xludf.DUMMYFUNCTION("""COMPUTED_VALUE"""),"SG,SF")</f>
        <v>SG,SF</v>
      </c>
      <c r="G299" s="11">
        <f>IFERROR(__xludf.DUMMYFUNCTION("""COMPUTED_VALUE"""),-5.6418052225935)</f>
        <v>-5.641805223</v>
      </c>
      <c r="H299" s="11">
        <f>IFERROR(__xludf.DUMMYFUNCTION("""COMPUTED_VALUE"""),-5.6418052225935)</f>
        <v>-5.641805223</v>
      </c>
      <c r="I299" s="11">
        <f>IFERROR(__xludf.DUMMYFUNCTION("""COMPUTED_VALUE"""),0.0)</f>
        <v>0</v>
      </c>
      <c r="J299" s="11">
        <f>IFERROR(__xludf.DUMMYFUNCTION("""COMPUTED_VALUE"""),4.2)</f>
        <v>4.2</v>
      </c>
      <c r="K299" s="11">
        <f>IFERROR(__xludf.DUMMYFUNCTION("""COMPUTED_VALUE"""),1.1)</f>
        <v>1.1</v>
      </c>
      <c r="L299" s="11">
        <f>IFERROR(__xludf.DUMMYFUNCTION("""COMPUTED_VALUE"""),1.9)</f>
        <v>1.9</v>
      </c>
      <c r="M299" s="11">
        <f>IFERROR(__xludf.DUMMYFUNCTION("""COMPUTED_VALUE"""),2.4)</f>
        <v>2.4</v>
      </c>
      <c r="N299" s="11">
        <f>IFERROR(__xludf.DUMMYFUNCTION("""COMPUTED_VALUE"""),0.5)</f>
        <v>0.5</v>
      </c>
      <c r="O299" s="11">
        <f>IFERROR(__xludf.DUMMYFUNCTION("""COMPUTED_VALUE"""),0.1)</f>
        <v>0.1</v>
      </c>
      <c r="P299" s="15">
        <f>IFERROR(__xludf.DUMMYFUNCTION("""COMPUTED_VALUE"""),0.437)</f>
        <v>0.437</v>
      </c>
      <c r="Q299" s="15">
        <f>IFERROR(__xludf.DUMMYFUNCTION("""COMPUTED_VALUE"""),0.842)</f>
        <v>0.842</v>
      </c>
      <c r="R299" s="11">
        <f>IFERROR(__xludf.DUMMYFUNCTION("""COMPUTED_VALUE"""),0.8)</f>
        <v>0.8</v>
      </c>
      <c r="S299" s="11">
        <f>IFERROR(__xludf.DUMMYFUNCTION("""COMPUTED_VALUE"""),-2.396636938610013)</f>
        <v>-2.396636939</v>
      </c>
      <c r="T299" s="11">
        <f>IFERROR(__xludf.DUMMYFUNCTION("""COMPUTED_VALUE"""),-0.645919291727885)</f>
        <v>-0.6459192917</v>
      </c>
      <c r="U299" s="11">
        <f>IFERROR(__xludf.DUMMYFUNCTION("""COMPUTED_VALUE"""),-1.6352980545145652)</f>
        <v>-1.635298055</v>
      </c>
      <c r="V299" s="11">
        <f>IFERROR(__xludf.DUMMYFUNCTION("""COMPUTED_VALUE"""),-0.6997201695955381)</f>
        <v>-0.6997201696</v>
      </c>
      <c r="W299" s="11">
        <f>IFERROR(__xludf.DUMMYFUNCTION("""COMPUTED_VALUE"""),-1.5805271231567248)</f>
        <v>-1.580527123</v>
      </c>
      <c r="X299" s="11">
        <f>IFERROR(__xludf.DUMMYFUNCTION("""COMPUTED_VALUE"""),-1.150698449001903)</f>
        <v>-1.150698449</v>
      </c>
      <c r="Y299" s="11">
        <f>IFERROR(__xludf.DUMMYFUNCTION("""COMPUTED_VALUE"""),-0.23159514221879135)</f>
        <v>-0.2315951422</v>
      </c>
      <c r="Z299" s="11">
        <f>IFERROR(__xludf.DUMMYFUNCTION("""COMPUTED_VALUE"""),0.06670062244638125)</f>
        <v>0.06670062245</v>
      </c>
      <c r="AA299" s="11">
        <f>IFERROR(__xludf.DUMMYFUNCTION("""COMPUTED_VALUE"""),0.23525238517552666)</f>
        <v>0.2352523852</v>
      </c>
      <c r="AB299" t="str">
        <f>IFERROR(__xludf.DUMMYFUNCTION("SUBSTITUTE(REGEXREPLACE(REGEXREPLACE(REGEXREPLACE(REGEXREPLACE(REGEXREPLACE(REGEXREPLACE(F299,"","",),IF(Projections!$T$17="""",""PG"",),),IF(Projections!$U$17="""",""SG"",),),IF(Projections!$V$17="""",""SF"",),),IF(Projections!$W$17="""",""PF"",),),IF(Pr"&amp;"ojections!$X$17="""",""C"",),),""/"","""")"),"SGSF")</f>
        <v>SGSF</v>
      </c>
    </row>
    <row r="300">
      <c r="B300">
        <f>IFERROR(__xludf.DUMMYFUNCTION("""COMPUTED_VALUE"""),295.0)</f>
        <v>295</v>
      </c>
      <c r="D300" t="str">
        <f>IFERROR(__xludf.DUMMYFUNCTION("""COMPUTED_VALUE"""),"Max Christie")</f>
        <v>Max Christie</v>
      </c>
      <c r="E300">
        <f>IFERROR(__xludf.DUMMYFUNCTION("""COMPUTED_VALUE"""),46.0)</f>
        <v>46</v>
      </c>
      <c r="F300" t="str">
        <f>IFERROR(__xludf.DUMMYFUNCTION("""COMPUTED_VALUE"""),"SG,SF")</f>
        <v>SG,SF</v>
      </c>
      <c r="G300" s="11">
        <f>IFERROR(__xludf.DUMMYFUNCTION("""COMPUTED_VALUE"""),-5.660596761077609)</f>
        <v>-5.660596761</v>
      </c>
      <c r="H300" s="11">
        <f>IFERROR(__xludf.DUMMYFUNCTION("""COMPUTED_VALUE"""),-5.660596761077609)</f>
        <v>-5.660596761</v>
      </c>
      <c r="I300" s="11">
        <f>IFERROR(__xludf.DUMMYFUNCTION("""COMPUTED_VALUE"""),0.0)</f>
        <v>0</v>
      </c>
      <c r="J300" s="11">
        <f>IFERROR(__xludf.DUMMYFUNCTION("""COMPUTED_VALUE"""),6.5)</f>
        <v>6.5</v>
      </c>
      <c r="K300" s="11">
        <f>IFERROR(__xludf.DUMMYFUNCTION("""COMPUTED_VALUE"""),1.0)</f>
        <v>1</v>
      </c>
      <c r="L300" s="11">
        <f>IFERROR(__xludf.DUMMYFUNCTION("""COMPUTED_VALUE"""),3.3)</f>
        <v>3.3</v>
      </c>
      <c r="M300" s="11">
        <f>IFERROR(__xludf.DUMMYFUNCTION("""COMPUTED_VALUE"""),1.2)</f>
        <v>1.2</v>
      </c>
      <c r="N300" s="11">
        <f>IFERROR(__xludf.DUMMYFUNCTION("""COMPUTED_VALUE"""),0.4)</f>
        <v>0.4</v>
      </c>
      <c r="O300" s="11">
        <f>IFERROR(__xludf.DUMMYFUNCTION("""COMPUTED_VALUE"""),0.4)</f>
        <v>0.4</v>
      </c>
      <c r="P300" s="15">
        <f>IFERROR(__xludf.DUMMYFUNCTION("""COMPUTED_VALUE"""),0.439)</f>
        <v>0.439</v>
      </c>
      <c r="Q300" s="15">
        <f>IFERROR(__xludf.DUMMYFUNCTION("""COMPUTED_VALUE"""),0.809)</f>
        <v>0.809</v>
      </c>
      <c r="R300" s="11">
        <f>IFERROR(__xludf.DUMMYFUNCTION("""COMPUTED_VALUE"""),0.7)</f>
        <v>0.7</v>
      </c>
      <c r="S300" s="11">
        <f>IFERROR(__xludf.DUMMYFUNCTION("""COMPUTED_VALUE"""),-1.9811464934548895)</f>
        <v>-1.981146493</v>
      </c>
      <c r="T300" s="11">
        <f>IFERROR(__xludf.DUMMYFUNCTION("""COMPUTED_VALUE"""),-0.7454435907594266)</f>
        <v>-0.7454435908</v>
      </c>
      <c r="U300" s="11">
        <f>IFERROR(__xludf.DUMMYFUNCTION("""COMPUTED_VALUE"""),-1.0861288587649554)</f>
        <v>-1.086128859</v>
      </c>
      <c r="V300" s="11">
        <f>IFERROR(__xludf.DUMMYFUNCTION("""COMPUTED_VALUE"""),-1.2464614146611335)</f>
        <v>-1.246461415</v>
      </c>
      <c r="W300" s="11">
        <f>IFERROR(__xludf.DUMMYFUNCTION("""COMPUTED_VALUE"""),-1.912459801316204)</f>
        <v>-1.912459801</v>
      </c>
      <c r="X300" s="11">
        <f>IFERROR(__xludf.DUMMYFUNCTION("""COMPUTED_VALUE"""),-0.6155173428439339)</f>
        <v>-0.6155173428</v>
      </c>
      <c r="Y300" s="11">
        <f>IFERROR(__xludf.DUMMYFUNCTION("""COMPUTED_VALUE"""),-0.3595326247832959)</f>
        <v>-0.3595326248</v>
      </c>
      <c r="Z300" s="11">
        <f>IFERROR(__xludf.DUMMYFUNCTION("""COMPUTED_VALUE"""),0.04489627339982787)</f>
        <v>0.0448962734</v>
      </c>
      <c r="AA300" s="11">
        <f>IFERROR(__xludf.DUMMYFUNCTION("""COMPUTED_VALUE"""),0.26005059865151336)</f>
        <v>0.2600505987</v>
      </c>
      <c r="AB300" t="str">
        <f>IFERROR(__xludf.DUMMYFUNCTION("SUBSTITUTE(REGEXREPLACE(REGEXREPLACE(REGEXREPLACE(REGEXREPLACE(REGEXREPLACE(REGEXREPLACE(F300,"","",),IF(Projections!$T$17="""",""PG"",),),IF(Projections!$U$17="""",""SG"",),),IF(Projections!$V$17="""",""SF"",),),IF(Projections!$W$17="""",""PF"",),),IF(Pr"&amp;"ojections!$X$17="""",""C"",),),""/"","""")"),"SGSF")</f>
        <v>SGSF</v>
      </c>
    </row>
    <row r="301">
      <c r="B301">
        <f>IFERROR(__xludf.DUMMYFUNCTION("""COMPUTED_VALUE"""),296.0)</f>
        <v>296</v>
      </c>
      <c r="C301">
        <f>IFERROR(__xludf.DUMMYFUNCTION("""COMPUTED_VALUE"""),144.0)</f>
        <v>144</v>
      </c>
      <c r="D301" t="str">
        <f>IFERROR(__xludf.DUMMYFUNCTION("""COMPUTED_VALUE"""),"Tre Mann")</f>
        <v>Tre Mann</v>
      </c>
      <c r="E301">
        <f>IFERROR(__xludf.DUMMYFUNCTION("""COMPUTED_VALUE"""),71.0)</f>
        <v>71</v>
      </c>
      <c r="F301" t="str">
        <f>IFERROR(__xludf.DUMMYFUNCTION("""COMPUTED_VALUE"""),"PG,SG")</f>
        <v>PG,SG</v>
      </c>
      <c r="G301" s="11">
        <f>IFERROR(__xludf.DUMMYFUNCTION("""COMPUTED_VALUE"""),-5.671307852837002)</f>
        <v>-5.671307853</v>
      </c>
      <c r="H301" s="11">
        <f>IFERROR(__xludf.DUMMYFUNCTION("""COMPUTED_VALUE"""),-5.671307852837002)</f>
        <v>-5.671307853</v>
      </c>
      <c r="I301" s="11">
        <f>IFERROR(__xludf.DUMMYFUNCTION("""COMPUTED_VALUE"""),0.0)</f>
        <v>0</v>
      </c>
      <c r="J301" s="11">
        <f>IFERROR(__xludf.DUMMYFUNCTION("""COMPUTED_VALUE"""),6.6)</f>
        <v>6.6</v>
      </c>
      <c r="K301" s="11">
        <f>IFERROR(__xludf.DUMMYFUNCTION("""COMPUTED_VALUE"""),0.9)</f>
        <v>0.9</v>
      </c>
      <c r="L301" s="11">
        <f>IFERROR(__xludf.DUMMYFUNCTION("""COMPUTED_VALUE"""),2.2)</f>
        <v>2.2</v>
      </c>
      <c r="M301" s="11">
        <f>IFERROR(__xludf.DUMMYFUNCTION("""COMPUTED_VALUE"""),2.1)</f>
        <v>2.1</v>
      </c>
      <c r="N301" s="11">
        <f>IFERROR(__xludf.DUMMYFUNCTION("""COMPUTED_VALUE"""),0.7)</f>
        <v>0.7</v>
      </c>
      <c r="O301" s="11">
        <f>IFERROR(__xludf.DUMMYFUNCTION("""COMPUTED_VALUE"""),0.1)</f>
        <v>0.1</v>
      </c>
      <c r="P301" s="15">
        <f>IFERROR(__xludf.DUMMYFUNCTION("""COMPUTED_VALUE"""),0.419)</f>
        <v>0.419</v>
      </c>
      <c r="Q301" s="15">
        <f>IFERROR(__xludf.DUMMYFUNCTION("""COMPUTED_VALUE"""),0.771)</f>
        <v>0.771</v>
      </c>
      <c r="R301" s="11">
        <f>IFERROR(__xludf.DUMMYFUNCTION("""COMPUTED_VALUE"""),0.9)</f>
        <v>0.9</v>
      </c>
      <c r="S301" s="11">
        <f>IFERROR(__xludf.DUMMYFUNCTION("""COMPUTED_VALUE"""),-1.9630816914916234)</f>
        <v>-1.963081691</v>
      </c>
      <c r="T301" s="11">
        <f>IFERROR(__xludf.DUMMYFUNCTION("""COMPUTED_VALUE"""),-0.844967889790968)</f>
        <v>-0.8449678898</v>
      </c>
      <c r="U301" s="11">
        <f>IFERROR(__xludf.DUMMYFUNCTION("""COMPUTED_VALUE"""),-1.5176189411396486)</f>
        <v>-1.517618941</v>
      </c>
      <c r="V301" s="11">
        <f>IFERROR(__xludf.DUMMYFUNCTION("""COMPUTED_VALUE"""),-0.8364054808619368)</f>
        <v>-0.8364054809</v>
      </c>
      <c r="W301" s="11">
        <f>IFERROR(__xludf.DUMMYFUNCTION("""COMPUTED_VALUE"""),-0.9166617668377661)</f>
        <v>-0.9166617668</v>
      </c>
      <c r="X301" s="11">
        <f>IFERROR(__xludf.DUMMYFUNCTION("""COMPUTED_VALUE"""),-1.150698449001903)</f>
        <v>-1.150698449</v>
      </c>
      <c r="Y301" s="11">
        <f>IFERROR(__xludf.DUMMYFUNCTION("""COMPUTED_VALUE"""),-0.5476581754826941)</f>
        <v>-0.5476581755</v>
      </c>
      <c r="Z301" s="11">
        <f>IFERROR(__xludf.DUMMYFUNCTION("""COMPUTED_VALUE"""),-0.06775132142162509)</f>
        <v>-0.06775132142</v>
      </c>
      <c r="AA301" s="11">
        <f>IFERROR(__xludf.DUMMYFUNCTION("""COMPUTED_VALUE"""),0.21045417169954)</f>
        <v>0.2104541717</v>
      </c>
      <c r="AB301" t="str">
        <f>IFERROR(__xludf.DUMMYFUNCTION("SUBSTITUTE(REGEXREPLACE(REGEXREPLACE(REGEXREPLACE(REGEXREPLACE(REGEXREPLACE(REGEXREPLACE(F301,"","",),IF(Projections!$T$17="""",""PG"",),),IF(Projections!$U$17="""",""SG"",),),IF(Projections!$V$17="""",""SF"",),),IF(Projections!$W$17="""",""PF"",),),IF(Pr"&amp;"ojections!$X$17="""",""C"",),),""/"","""")"),"PGSG")</f>
        <v>PGSG</v>
      </c>
    </row>
    <row r="302">
      <c r="B302">
        <f>IFERROR(__xludf.DUMMYFUNCTION("""COMPUTED_VALUE"""),297.0)</f>
        <v>297</v>
      </c>
      <c r="D302" t="str">
        <f>IFERROR(__xludf.DUMMYFUNCTION("""COMPUTED_VALUE"""),"Damion Lee")</f>
        <v>Damion Lee</v>
      </c>
      <c r="E302">
        <f>IFERROR(__xludf.DUMMYFUNCTION("""COMPUTED_VALUE"""),71.0)</f>
        <v>71</v>
      </c>
      <c r="F302" t="str">
        <f>IFERROR(__xludf.DUMMYFUNCTION("""COMPUTED_VALUE"""),"SG,SF")</f>
        <v>SG,SF</v>
      </c>
      <c r="G302" s="11">
        <f>IFERROR(__xludf.DUMMYFUNCTION("""COMPUTED_VALUE"""),-5.691423694565642)</f>
        <v>-5.691423695</v>
      </c>
      <c r="H302" s="11">
        <f>IFERROR(__xludf.DUMMYFUNCTION("""COMPUTED_VALUE"""),-5.691423694565642)</f>
        <v>-5.691423695</v>
      </c>
      <c r="I302" s="11">
        <f>IFERROR(__xludf.DUMMYFUNCTION("""COMPUTED_VALUE"""),0.0)</f>
        <v>0</v>
      </c>
      <c r="J302" s="11">
        <f>IFERROR(__xludf.DUMMYFUNCTION("""COMPUTED_VALUE"""),7.2)</f>
        <v>7.2</v>
      </c>
      <c r="K302" s="11">
        <f>IFERROR(__xludf.DUMMYFUNCTION("""COMPUTED_VALUE"""),1.3)</f>
        <v>1.3</v>
      </c>
      <c r="L302" s="11">
        <f>IFERROR(__xludf.DUMMYFUNCTION("""COMPUTED_VALUE"""),2.7)</f>
        <v>2.7</v>
      </c>
      <c r="M302" s="11">
        <f>IFERROR(__xludf.DUMMYFUNCTION("""COMPUTED_VALUE"""),1.2)</f>
        <v>1.2</v>
      </c>
      <c r="N302" s="11">
        <f>IFERROR(__xludf.DUMMYFUNCTION("""COMPUTED_VALUE"""),0.4)</f>
        <v>0.4</v>
      </c>
      <c r="O302" s="11">
        <f>IFERROR(__xludf.DUMMYFUNCTION("""COMPUTED_VALUE"""),0.1)</f>
        <v>0.1</v>
      </c>
      <c r="P302" s="15">
        <f>IFERROR(__xludf.DUMMYFUNCTION("""COMPUTED_VALUE"""),0.443)</f>
        <v>0.443</v>
      </c>
      <c r="Q302" s="15">
        <f>IFERROR(__xludf.DUMMYFUNCTION("""COMPUTED_VALUE"""),0.903)</f>
        <v>0.903</v>
      </c>
      <c r="R302" s="11">
        <f>IFERROR(__xludf.DUMMYFUNCTION("""COMPUTED_VALUE"""),0.9)</f>
        <v>0.9</v>
      </c>
      <c r="S302" s="11">
        <f>IFERROR(__xludf.DUMMYFUNCTION("""COMPUTED_VALUE"""),-1.854692879712026)</f>
        <v>-1.85469288</v>
      </c>
      <c r="T302" s="11">
        <f>IFERROR(__xludf.DUMMYFUNCTION("""COMPUTED_VALUE"""),-0.44687069366480203)</f>
        <v>-0.4468706937</v>
      </c>
      <c r="U302" s="11">
        <f>IFERROR(__xludf.DUMMYFUNCTION("""COMPUTED_VALUE"""),-1.321487085514788)</f>
        <v>-1.321487086</v>
      </c>
      <c r="V302" s="11">
        <f>IFERROR(__xludf.DUMMYFUNCTION("""COMPUTED_VALUE"""),-1.2464614146611335)</f>
        <v>-1.246461415</v>
      </c>
      <c r="W302" s="11">
        <f>IFERROR(__xludf.DUMMYFUNCTION("""COMPUTED_VALUE"""),-1.912459801316204)</f>
        <v>-1.912459801</v>
      </c>
      <c r="X302" s="11">
        <f>IFERROR(__xludf.DUMMYFUNCTION("""COMPUTED_VALUE"""),-1.150698449001903)</f>
        <v>-1.150698449</v>
      </c>
      <c r="Y302" s="11">
        <f>IFERROR(__xludf.DUMMYFUNCTION("""COMPUTED_VALUE"""),-0.34100103946891835)</f>
        <v>-0.3410010395</v>
      </c>
      <c r="Z302" s="11">
        <f>IFERROR(__xludf.DUMMYFUNCTION("""COMPUTED_VALUE"""),0.4593336957583901)</f>
        <v>0.4593336958</v>
      </c>
      <c r="AA302" s="11">
        <f>IFERROR(__xludf.DUMMYFUNCTION("""COMPUTED_VALUE"""),0.21045417169954)</f>
        <v>0.2104541717</v>
      </c>
      <c r="AB302" t="str">
        <f>IFERROR(__xludf.DUMMYFUNCTION("SUBSTITUTE(REGEXREPLACE(REGEXREPLACE(REGEXREPLACE(REGEXREPLACE(REGEXREPLACE(REGEXREPLACE(F302,"","",),IF(Projections!$T$17="""",""PG"",),),IF(Projections!$U$17="""",""SG"",),),IF(Projections!$V$17="""",""SF"",),),IF(Projections!$W$17="""",""PF"",),),IF(Pr"&amp;"ojections!$X$17="""",""C"",),),""/"","""")"),"SGSF")</f>
        <v>SGSF</v>
      </c>
    </row>
    <row r="303">
      <c r="B303">
        <f>IFERROR(__xludf.DUMMYFUNCTION("""COMPUTED_VALUE"""),298.0)</f>
        <v>298</v>
      </c>
      <c r="D303" t="str">
        <f>IFERROR(__xludf.DUMMYFUNCTION("""COMPUTED_VALUE"""),"Mason Plumlee")</f>
        <v>Mason Plumlee</v>
      </c>
      <c r="E303">
        <f>IFERROR(__xludf.DUMMYFUNCTION("""COMPUTED_VALUE"""),71.0)</f>
        <v>71</v>
      </c>
      <c r="F303" t="str">
        <f>IFERROR(__xludf.DUMMYFUNCTION("""COMPUTED_VALUE"""),"C")</f>
        <v>C</v>
      </c>
      <c r="G303" s="11">
        <f>IFERROR(__xludf.DUMMYFUNCTION("""COMPUTED_VALUE"""),-5.723130133432003)</f>
        <v>-5.723130133</v>
      </c>
      <c r="H303" s="11">
        <f>IFERROR(__xludf.DUMMYFUNCTION("""COMPUTED_VALUE"""),-5.723130133432003)</f>
        <v>-5.723130133</v>
      </c>
      <c r="I303" s="11">
        <f>IFERROR(__xludf.DUMMYFUNCTION("""COMPUTED_VALUE"""),0.0)</f>
        <v>0</v>
      </c>
      <c r="J303" s="11">
        <f>IFERROR(__xludf.DUMMYFUNCTION("""COMPUTED_VALUE"""),6.7)</f>
        <v>6.7</v>
      </c>
      <c r="K303" s="11">
        <f>IFERROR(__xludf.DUMMYFUNCTION("""COMPUTED_VALUE"""),0.0)</f>
        <v>0</v>
      </c>
      <c r="L303" s="11">
        <f>IFERROR(__xludf.DUMMYFUNCTION("""COMPUTED_VALUE"""),5.7)</f>
        <v>5.7</v>
      </c>
      <c r="M303" s="11">
        <f>IFERROR(__xludf.DUMMYFUNCTION("""COMPUTED_VALUE"""),1.8)</f>
        <v>1.8</v>
      </c>
      <c r="N303" s="11">
        <f>IFERROR(__xludf.DUMMYFUNCTION("""COMPUTED_VALUE"""),0.4)</f>
        <v>0.4</v>
      </c>
      <c r="O303" s="11">
        <f>IFERROR(__xludf.DUMMYFUNCTION("""COMPUTED_VALUE"""),0.4)</f>
        <v>0.4</v>
      </c>
      <c r="P303" s="15">
        <f>IFERROR(__xludf.DUMMYFUNCTION("""COMPUTED_VALUE"""),0.654)</f>
        <v>0.654</v>
      </c>
      <c r="Q303" s="15">
        <f>IFERROR(__xludf.DUMMYFUNCTION("""COMPUTED_VALUE"""),0.652)</f>
        <v>0.652</v>
      </c>
      <c r="R303" s="11">
        <f>IFERROR(__xludf.DUMMYFUNCTION("""COMPUTED_VALUE"""),0.9)</f>
        <v>0.9</v>
      </c>
      <c r="S303" s="11">
        <f>IFERROR(__xludf.DUMMYFUNCTION("""COMPUTED_VALUE"""),-1.945016889528357)</f>
        <v>-1.94501689</v>
      </c>
      <c r="T303" s="11">
        <f>IFERROR(__xludf.DUMMYFUNCTION("""COMPUTED_VALUE"""),-1.7406865810748415)</f>
        <v>-1.740686581</v>
      </c>
      <c r="U303" s="11">
        <f>IFERROR(__xludf.DUMMYFUNCTION("""COMPUTED_VALUE"""),-0.1446959517656242)</f>
        <v>-0.1446959518</v>
      </c>
      <c r="V303" s="11">
        <f>IFERROR(__xludf.DUMMYFUNCTION("""COMPUTED_VALUE"""),-0.9730907921283356)</f>
        <v>-0.9730907921</v>
      </c>
      <c r="W303" s="11">
        <f>IFERROR(__xludf.DUMMYFUNCTION("""COMPUTED_VALUE"""),-1.912459801316204)</f>
        <v>-1.912459801</v>
      </c>
      <c r="X303" s="11">
        <f>IFERROR(__xludf.DUMMYFUNCTION("""COMPUTED_VALUE"""),-0.6155173428439339)</f>
        <v>-0.6155173428</v>
      </c>
      <c r="Y303" s="11">
        <f>IFERROR(__xludf.DUMMYFUNCTION("""COMPUTED_VALUE"""),0.7181610236957896)</f>
        <v>0.7181610237</v>
      </c>
      <c r="Z303" s="11">
        <f>IFERROR(__xludf.DUMMYFUNCTION("""COMPUTED_VALUE"""),-1.2652948596983944)</f>
        <v>-1.26529486</v>
      </c>
      <c r="AA303" s="11">
        <f>IFERROR(__xludf.DUMMYFUNCTION("""COMPUTED_VALUE"""),0.21045417169954)</f>
        <v>0.2104541717</v>
      </c>
      <c r="AB303" t="str">
        <f>IFERROR(__xludf.DUMMYFUNCTION("SUBSTITUTE(REGEXREPLACE(REGEXREPLACE(REGEXREPLACE(REGEXREPLACE(REGEXREPLACE(REGEXREPLACE(F303,"","",),IF(Projections!$T$17="""",""PG"",),),IF(Projections!$U$17="""",""SG"",),),IF(Projections!$V$17="""",""SF"",),),IF(Projections!$W$17="""",""PF"",),),IF(Pr"&amp;"ojections!$X$17="""",""C"",),),""/"","""")"),"C")</f>
        <v>C</v>
      </c>
    </row>
    <row r="304">
      <c r="B304">
        <f>IFERROR(__xludf.DUMMYFUNCTION("""COMPUTED_VALUE"""),299.0)</f>
        <v>299</v>
      </c>
      <c r="D304" t="str">
        <f>IFERROR(__xludf.DUMMYFUNCTION("""COMPUTED_VALUE"""),"Duop Reath")</f>
        <v>Duop Reath</v>
      </c>
      <c r="E304">
        <f>IFERROR(__xludf.DUMMYFUNCTION("""COMPUTED_VALUE"""),71.0)</f>
        <v>71</v>
      </c>
      <c r="F304" t="str">
        <f>IFERROR(__xludf.DUMMYFUNCTION("""COMPUTED_VALUE"""),"C")</f>
        <v>C</v>
      </c>
      <c r="G304" s="11">
        <f>IFERROR(__xludf.DUMMYFUNCTION("""COMPUTED_VALUE"""),-5.73326337471909)</f>
        <v>-5.733263375</v>
      </c>
      <c r="H304" s="11">
        <f>IFERROR(__xludf.DUMMYFUNCTION("""COMPUTED_VALUE"""),-5.73326337471909)</f>
        <v>-5.733263375</v>
      </c>
      <c r="I304" s="11">
        <f>IFERROR(__xludf.DUMMYFUNCTION("""COMPUTED_VALUE"""),0.0)</f>
        <v>0</v>
      </c>
      <c r="J304" s="11">
        <f>IFERROR(__xludf.DUMMYFUNCTION("""COMPUTED_VALUE"""),7.3)</f>
        <v>7.3</v>
      </c>
      <c r="K304" s="11">
        <f>IFERROR(__xludf.DUMMYFUNCTION("""COMPUTED_VALUE"""),1.1)</f>
        <v>1.1</v>
      </c>
      <c r="L304" s="11">
        <f>IFERROR(__xludf.DUMMYFUNCTION("""COMPUTED_VALUE"""),3.0)</f>
        <v>3</v>
      </c>
      <c r="M304" s="11">
        <f>IFERROR(__xludf.DUMMYFUNCTION("""COMPUTED_VALUE"""),0.8)</f>
        <v>0.8</v>
      </c>
      <c r="N304" s="11">
        <f>IFERROR(__xludf.DUMMYFUNCTION("""COMPUTED_VALUE"""),0.4)</f>
        <v>0.4</v>
      </c>
      <c r="O304" s="11">
        <f>IFERROR(__xludf.DUMMYFUNCTION("""COMPUTED_VALUE"""),0.5)</f>
        <v>0.5</v>
      </c>
      <c r="P304" s="15">
        <f>IFERROR(__xludf.DUMMYFUNCTION("""COMPUTED_VALUE"""),0.461)</f>
        <v>0.461</v>
      </c>
      <c r="Q304" s="15">
        <f>IFERROR(__xludf.DUMMYFUNCTION("""COMPUTED_VALUE"""),0.739)</f>
        <v>0.739</v>
      </c>
      <c r="R304" s="11">
        <f>IFERROR(__xludf.DUMMYFUNCTION("""COMPUTED_VALUE"""),0.6)</f>
        <v>0.6</v>
      </c>
      <c r="S304" s="11">
        <f>IFERROR(__xludf.DUMMYFUNCTION("""COMPUTED_VALUE"""),-1.8366280777487594)</f>
        <v>-1.836628078</v>
      </c>
      <c r="T304" s="11">
        <f>IFERROR(__xludf.DUMMYFUNCTION("""COMPUTED_VALUE"""),-0.645919291727885)</f>
        <v>-0.6459192917</v>
      </c>
      <c r="U304" s="11">
        <f>IFERROR(__xludf.DUMMYFUNCTION("""COMPUTED_VALUE"""),-1.2038079721398716)</f>
        <v>-1.203807972</v>
      </c>
      <c r="V304" s="11">
        <f>IFERROR(__xludf.DUMMYFUNCTION("""COMPUTED_VALUE"""),-1.428708496349665)</f>
        <v>-1.428708496</v>
      </c>
      <c r="W304" s="11">
        <f>IFERROR(__xludf.DUMMYFUNCTION("""COMPUTED_VALUE"""),-1.912459801316204)</f>
        <v>-1.912459801</v>
      </c>
      <c r="X304" s="11">
        <f>IFERROR(__xludf.DUMMYFUNCTION("""COMPUTED_VALUE"""),-0.4371236407912776)</f>
        <v>-0.4371236408</v>
      </c>
      <c r="Y304" s="11">
        <f>IFERROR(__xludf.DUMMYFUNCTION("""COMPUTED_VALUE"""),-0.24810871271421345)</f>
        <v>-0.2481087127</v>
      </c>
      <c r="Z304" s="11">
        <f>IFERROR(__xludf.DUMMYFUNCTION("""COMPUTED_VALUE"""),-0.21781599537491855)</f>
        <v>-0.2178159954</v>
      </c>
      <c r="AA304" s="11">
        <f>IFERROR(__xludf.DUMMYFUNCTION("""COMPUTED_VALUE"""),0.28484881212749996)</f>
        <v>0.2848488121</v>
      </c>
      <c r="AB304" t="str">
        <f>IFERROR(__xludf.DUMMYFUNCTION("SUBSTITUTE(REGEXREPLACE(REGEXREPLACE(REGEXREPLACE(REGEXREPLACE(REGEXREPLACE(REGEXREPLACE(F304,"","",),IF(Projections!$T$17="""",""PG"",),),IF(Projections!$U$17="""",""SG"",),),IF(Projections!$V$17="""",""SF"",),),IF(Projections!$W$17="""",""PF"",),),IF(Pr"&amp;"ojections!$X$17="""",""C"",),),""/"","""")"),"C")</f>
        <v>C</v>
      </c>
    </row>
    <row r="305">
      <c r="B305">
        <f>IFERROR(__xludf.DUMMYFUNCTION("""COMPUTED_VALUE"""),300.0)</f>
        <v>300</v>
      </c>
      <c r="D305" t="str">
        <f>IFERROR(__xludf.DUMMYFUNCTION("""COMPUTED_VALUE"""),"Anthony Black")</f>
        <v>Anthony Black</v>
      </c>
      <c r="E305">
        <f>IFERROR(__xludf.DUMMYFUNCTION("""COMPUTED_VALUE"""),75.0)</f>
        <v>75</v>
      </c>
      <c r="F305" t="str">
        <f>IFERROR(__xludf.DUMMYFUNCTION("""COMPUTED_VALUE"""),"PG,SG")</f>
        <v>PG,SG</v>
      </c>
      <c r="G305" s="11">
        <f>IFERROR(__xludf.DUMMYFUNCTION("""COMPUTED_VALUE"""),-5.780376616246813)</f>
        <v>-5.780376616</v>
      </c>
      <c r="H305" s="11">
        <f>IFERROR(__xludf.DUMMYFUNCTION("""COMPUTED_VALUE"""),-5.780376616246813)</f>
        <v>-5.780376616</v>
      </c>
      <c r="I305" s="11">
        <f>IFERROR(__xludf.DUMMYFUNCTION("""COMPUTED_VALUE"""),0.0)</f>
        <v>0</v>
      </c>
      <c r="J305" s="11">
        <f>IFERROR(__xludf.DUMMYFUNCTION("""COMPUTED_VALUE"""),6.1)</f>
        <v>6.1</v>
      </c>
      <c r="K305" s="11">
        <f>IFERROR(__xludf.DUMMYFUNCTION("""COMPUTED_VALUE"""),0.7)</f>
        <v>0.7</v>
      </c>
      <c r="L305" s="11">
        <f>IFERROR(__xludf.DUMMYFUNCTION("""COMPUTED_VALUE"""),2.7)</f>
        <v>2.7</v>
      </c>
      <c r="M305" s="11">
        <f>IFERROR(__xludf.DUMMYFUNCTION("""COMPUTED_VALUE"""),1.7)</f>
        <v>1.7</v>
      </c>
      <c r="N305" s="11">
        <f>IFERROR(__xludf.DUMMYFUNCTION("""COMPUTED_VALUE"""),0.7)</f>
        <v>0.7</v>
      </c>
      <c r="O305" s="11">
        <f>IFERROR(__xludf.DUMMYFUNCTION("""COMPUTED_VALUE"""),0.4)</f>
        <v>0.4</v>
      </c>
      <c r="P305" s="15">
        <f>IFERROR(__xludf.DUMMYFUNCTION("""COMPUTED_VALUE"""),0.466)</f>
        <v>0.466</v>
      </c>
      <c r="Q305" s="15">
        <f>IFERROR(__xludf.DUMMYFUNCTION("""COMPUTED_VALUE"""),0.634)</f>
        <v>0.634</v>
      </c>
      <c r="R305" s="11">
        <f>IFERROR(__xludf.DUMMYFUNCTION("""COMPUTED_VALUE"""),1.1)</f>
        <v>1.1</v>
      </c>
      <c r="S305" s="11">
        <f>IFERROR(__xludf.DUMMYFUNCTION("""COMPUTED_VALUE"""),-2.0534057013079545)</f>
        <v>-2.053405701</v>
      </c>
      <c r="T305" s="11">
        <f>IFERROR(__xludf.DUMMYFUNCTION("""COMPUTED_VALUE"""),-1.0440164878540512)</f>
        <v>-1.044016488</v>
      </c>
      <c r="U305" s="11">
        <f>IFERROR(__xludf.DUMMYFUNCTION("""COMPUTED_VALUE"""),-1.321487085514788)</f>
        <v>-1.321487086</v>
      </c>
      <c r="V305" s="11">
        <f>IFERROR(__xludf.DUMMYFUNCTION("""COMPUTED_VALUE"""),-1.0186525625504688)</f>
        <v>-1.018652563</v>
      </c>
      <c r="W305" s="11">
        <f>IFERROR(__xludf.DUMMYFUNCTION("""COMPUTED_VALUE"""),-0.9166617668377661)</f>
        <v>-0.9166617668</v>
      </c>
      <c r="X305" s="11">
        <f>IFERROR(__xludf.DUMMYFUNCTION("""COMPUTED_VALUE"""),-0.6155173428439339)</f>
        <v>-0.6155173428</v>
      </c>
      <c r="Y305" s="11">
        <f>IFERROR(__xludf.DUMMYFUNCTION("""COMPUTED_VALUE"""),-0.1701039022065799)</f>
        <v>-0.1701039022</v>
      </c>
      <c r="Z305" s="11">
        <f>IFERROR(__xludf.DUMMYFUNCTION("""COMPUTED_VALUE"""),-0.8547952131867914)</f>
        <v>-0.8547952132</v>
      </c>
      <c r="AA305" s="11">
        <f>IFERROR(__xludf.DUMMYFUNCTION("""COMPUTED_VALUE"""),0.16085774474756667)</f>
        <v>0.1608577447</v>
      </c>
      <c r="AB305" t="str">
        <f>IFERROR(__xludf.DUMMYFUNCTION("SUBSTITUTE(REGEXREPLACE(REGEXREPLACE(REGEXREPLACE(REGEXREPLACE(REGEXREPLACE(REGEXREPLACE(F305,"","",),IF(Projections!$T$17="""",""PG"",),),IF(Projections!$U$17="""",""SG"",),),IF(Projections!$V$17="""",""SF"",),),IF(Projections!$W$17="""",""PF"",),),IF(Pr"&amp;"ojections!$X$17="""",""C"",),),""/"","""")"),"PGSG")</f>
        <v>PGSG</v>
      </c>
    </row>
    <row r="306">
      <c r="B306">
        <f>IFERROR(__xludf.DUMMYFUNCTION("""COMPUTED_VALUE"""),301.0)</f>
        <v>301</v>
      </c>
      <c r="D306" t="str">
        <f>IFERROR(__xludf.DUMMYFUNCTION("""COMPUTED_VALUE"""),"James Wiseman")</f>
        <v>James Wiseman</v>
      </c>
      <c r="E306">
        <f>IFERROR(__xludf.DUMMYFUNCTION("""COMPUTED_VALUE"""),66.0)</f>
        <v>66</v>
      </c>
      <c r="F306" t="str">
        <f>IFERROR(__xludf.DUMMYFUNCTION("""COMPUTED_VALUE"""),"C")</f>
        <v>C</v>
      </c>
      <c r="G306" s="11">
        <f>IFERROR(__xludf.DUMMYFUNCTION("""COMPUTED_VALUE"""),-5.8121969375123115)</f>
        <v>-5.812196938</v>
      </c>
      <c r="H306" s="11">
        <f>IFERROR(__xludf.DUMMYFUNCTION("""COMPUTED_VALUE"""),-5.8121969375123115)</f>
        <v>-5.812196938</v>
      </c>
      <c r="I306" s="11">
        <f>IFERROR(__xludf.DUMMYFUNCTION("""COMPUTED_VALUE"""),0.0)</f>
        <v>0</v>
      </c>
      <c r="J306" s="11">
        <f>IFERROR(__xludf.DUMMYFUNCTION("""COMPUTED_VALUE"""),7.1)</f>
        <v>7.1</v>
      </c>
      <c r="K306" s="11">
        <f>IFERROR(__xludf.DUMMYFUNCTION("""COMPUTED_VALUE"""),0.0)</f>
        <v>0</v>
      </c>
      <c r="L306" s="11">
        <f>IFERROR(__xludf.DUMMYFUNCTION("""COMPUTED_VALUE"""),4.8)</f>
        <v>4.8</v>
      </c>
      <c r="M306" s="11">
        <f>IFERROR(__xludf.DUMMYFUNCTION("""COMPUTED_VALUE"""),0.7)</f>
        <v>0.7</v>
      </c>
      <c r="N306" s="11">
        <f>IFERROR(__xludf.DUMMYFUNCTION("""COMPUTED_VALUE"""),0.2)</f>
        <v>0.2</v>
      </c>
      <c r="O306" s="11">
        <f>IFERROR(__xludf.DUMMYFUNCTION("""COMPUTED_VALUE"""),0.5)</f>
        <v>0.5</v>
      </c>
      <c r="P306" s="15">
        <f>IFERROR(__xludf.DUMMYFUNCTION("""COMPUTED_VALUE"""),0.584)</f>
        <v>0.584</v>
      </c>
      <c r="Q306" s="15">
        <f>IFERROR(__xludf.DUMMYFUNCTION("""COMPUTED_VALUE"""),0.703)</f>
        <v>0.703</v>
      </c>
      <c r="R306" s="11">
        <f>IFERROR(__xludf.DUMMYFUNCTION("""COMPUTED_VALUE"""),0.9)</f>
        <v>0.9</v>
      </c>
      <c r="S306" s="11">
        <f>IFERROR(__xludf.DUMMYFUNCTION("""COMPUTED_VALUE"""),-1.872757681675292)</f>
        <v>-1.872757682</v>
      </c>
      <c r="T306" s="11">
        <f>IFERROR(__xludf.DUMMYFUNCTION("""COMPUTED_VALUE"""),-1.7406865810748415)</f>
        <v>-1.740686581</v>
      </c>
      <c r="U306" s="11">
        <f>IFERROR(__xludf.DUMMYFUNCTION("""COMPUTED_VALUE"""),-0.49773329189037346)</f>
        <v>-0.4977332919</v>
      </c>
      <c r="V306" s="11">
        <f>IFERROR(__xludf.DUMMYFUNCTION("""COMPUTED_VALUE"""),-1.4742702667717982)</f>
        <v>-1.474270267</v>
      </c>
      <c r="W306" s="11">
        <f>IFERROR(__xludf.DUMMYFUNCTION("""COMPUTED_VALUE"""),-2.576325157635163)</f>
        <v>-2.576325158</v>
      </c>
      <c r="X306" s="11">
        <f>IFERROR(__xludf.DUMMYFUNCTION("""COMPUTED_VALUE"""),-0.4371236407912776)</f>
        <v>-0.4371236408</v>
      </c>
      <c r="Y306" s="11">
        <f>IFERROR(__xludf.DUMMYFUNCTION("""COMPUTED_VALUE"""),0.5207293200428232)</f>
        <v>0.52072932</v>
      </c>
      <c r="Z306" s="11">
        <f>IFERROR(__xludf.DUMMYFUNCTION("""COMPUTED_VALUE"""),-0.5208089670510917)</f>
        <v>-0.5208089671</v>
      </c>
      <c r="AA306" s="11">
        <f>IFERROR(__xludf.DUMMYFUNCTION("""COMPUTED_VALUE"""),0.21045417169954)</f>
        <v>0.2104541717</v>
      </c>
      <c r="AB306" t="str">
        <f>IFERROR(__xludf.DUMMYFUNCTION("SUBSTITUTE(REGEXREPLACE(REGEXREPLACE(REGEXREPLACE(REGEXREPLACE(REGEXREPLACE(REGEXREPLACE(F306,"","",),IF(Projections!$T$17="""",""PG"",),),IF(Projections!$U$17="""",""SG"",),),IF(Projections!$V$17="""",""SF"",),),IF(Projections!$W$17="""",""PF"",),),IF(Pr"&amp;"ojections!$X$17="""",""C"",),),""/"","""")"),"C")</f>
        <v>C</v>
      </c>
    </row>
    <row r="307">
      <c r="B307">
        <f>IFERROR(__xludf.DUMMYFUNCTION("""COMPUTED_VALUE"""),302.0)</f>
        <v>302</v>
      </c>
      <c r="C307">
        <f>IFERROR(__xludf.DUMMYFUNCTION("""COMPUTED_VALUE"""),140.6)</f>
        <v>140.6</v>
      </c>
      <c r="D307" t="str">
        <f>IFERROR(__xludf.DUMMYFUNCTION("""COMPUTED_VALUE"""),"Tim Hardaway Jr.")</f>
        <v>Tim Hardaway Jr.</v>
      </c>
      <c r="E307">
        <f>IFERROR(__xludf.DUMMYFUNCTION("""COMPUTED_VALUE"""),49.0)</f>
        <v>49</v>
      </c>
      <c r="F307" t="str">
        <f>IFERROR(__xludf.DUMMYFUNCTION("""COMPUTED_VALUE"""),"SG,SF")</f>
        <v>SG,SF</v>
      </c>
      <c r="G307" s="11">
        <f>IFERROR(__xludf.DUMMYFUNCTION("""COMPUTED_VALUE"""),-5.843323626144371)</f>
        <v>-5.843323626</v>
      </c>
      <c r="H307" s="11">
        <f>IFERROR(__xludf.DUMMYFUNCTION("""COMPUTED_VALUE"""),-5.843323626144371)</f>
        <v>-5.843323626</v>
      </c>
      <c r="I307" s="11">
        <f>IFERROR(__xludf.DUMMYFUNCTION("""COMPUTED_VALUE"""),0.0)</f>
        <v>0</v>
      </c>
      <c r="J307" s="11">
        <f>IFERROR(__xludf.DUMMYFUNCTION("""COMPUTED_VALUE"""),9.3)</f>
        <v>9.3</v>
      </c>
      <c r="K307" s="11">
        <f>IFERROR(__xludf.DUMMYFUNCTION("""COMPUTED_VALUE"""),1.8)</f>
        <v>1.8</v>
      </c>
      <c r="L307" s="11">
        <f>IFERROR(__xludf.DUMMYFUNCTION("""COMPUTED_VALUE"""),2.2)</f>
        <v>2.2</v>
      </c>
      <c r="M307" s="11">
        <f>IFERROR(__xludf.DUMMYFUNCTION("""COMPUTED_VALUE"""),1.2)</f>
        <v>1.2</v>
      </c>
      <c r="N307" s="11">
        <f>IFERROR(__xludf.DUMMYFUNCTION("""COMPUTED_VALUE"""),0.4)</f>
        <v>0.4</v>
      </c>
      <c r="O307" s="11">
        <f>IFERROR(__xludf.DUMMYFUNCTION("""COMPUTED_VALUE"""),0.1)</f>
        <v>0.1</v>
      </c>
      <c r="P307" s="15">
        <f>IFERROR(__xludf.DUMMYFUNCTION("""COMPUTED_VALUE"""),0.402)</f>
        <v>0.402</v>
      </c>
      <c r="Q307" s="15">
        <f>IFERROR(__xludf.DUMMYFUNCTION("""COMPUTED_VALUE"""),0.813)</f>
        <v>0.813</v>
      </c>
      <c r="R307" s="11">
        <f>IFERROR(__xludf.DUMMYFUNCTION("""COMPUTED_VALUE"""),0.6)</f>
        <v>0.6</v>
      </c>
      <c r="S307" s="11">
        <f>IFERROR(__xludf.DUMMYFUNCTION("""COMPUTED_VALUE"""),-1.4753320384834347)</f>
        <v>-1.475332038</v>
      </c>
      <c r="T307" s="11">
        <f>IFERROR(__xludf.DUMMYFUNCTION("""COMPUTED_VALUE"""),0.05075080149290546)</f>
        <v>0.05075080149</v>
      </c>
      <c r="U307" s="11">
        <f>IFERROR(__xludf.DUMMYFUNCTION("""COMPUTED_VALUE"""),-1.5176189411396486)</f>
        <v>-1.517618941</v>
      </c>
      <c r="V307" s="11">
        <f>IFERROR(__xludf.DUMMYFUNCTION("""COMPUTED_VALUE"""),-1.2464614146611335)</f>
        <v>-1.246461415</v>
      </c>
      <c r="W307" s="11">
        <f>IFERROR(__xludf.DUMMYFUNCTION("""COMPUTED_VALUE"""),-1.912459801316204)</f>
        <v>-1.912459801</v>
      </c>
      <c r="X307" s="11">
        <f>IFERROR(__xludf.DUMMYFUNCTION("""COMPUTED_VALUE"""),-1.150698449001903)</f>
        <v>-1.150698449</v>
      </c>
      <c r="Y307" s="11">
        <f>IFERROR(__xludf.DUMMYFUNCTION("""COMPUTED_VALUE"""),-0.8784829871472559)</f>
        <v>-0.8784829871</v>
      </c>
      <c r="Z307" s="11">
        <f>IFERROR(__xludf.DUMMYFUNCTION("""COMPUTED_VALUE"""),0.08967059066859935)</f>
        <v>0.08967059067</v>
      </c>
      <c r="AA307" s="11">
        <f>IFERROR(__xludf.DUMMYFUNCTION("""COMPUTED_VALUE"""),0.28484881212749996)</f>
        <v>0.2848488121</v>
      </c>
      <c r="AB307" t="str">
        <f>IFERROR(__xludf.DUMMYFUNCTION("SUBSTITUTE(REGEXREPLACE(REGEXREPLACE(REGEXREPLACE(REGEXREPLACE(REGEXREPLACE(REGEXREPLACE(F307,"","",),IF(Projections!$T$17="""",""PG"",),),IF(Projections!$U$17="""",""SG"",),),IF(Projections!$V$17="""",""SF"",),),IF(Projections!$W$17="""",""PF"",),),IF(Pr"&amp;"ojections!$X$17="""",""C"",),),""/"","""")"),"SGSF")</f>
        <v>SGSF</v>
      </c>
    </row>
    <row r="308">
      <c r="B308">
        <f>IFERROR(__xludf.DUMMYFUNCTION("""COMPUTED_VALUE"""),303.0)</f>
        <v>303</v>
      </c>
      <c r="D308" t="str">
        <f>IFERROR(__xludf.DUMMYFUNCTION("""COMPUTED_VALUE"""),"Sam Merrill")</f>
        <v>Sam Merrill</v>
      </c>
      <c r="E308">
        <f>IFERROR(__xludf.DUMMYFUNCTION("""COMPUTED_VALUE"""),66.0)</f>
        <v>66</v>
      </c>
      <c r="F308" t="str">
        <f>IFERROR(__xludf.DUMMYFUNCTION("""COMPUTED_VALUE"""),"SG")</f>
        <v>SG</v>
      </c>
      <c r="G308" s="11">
        <f>IFERROR(__xludf.DUMMYFUNCTION("""COMPUTED_VALUE"""),-5.846827950132669)</f>
        <v>-5.84682795</v>
      </c>
      <c r="H308" s="11">
        <f>IFERROR(__xludf.DUMMYFUNCTION("""COMPUTED_VALUE"""),-5.846827950132669)</f>
        <v>-5.84682795</v>
      </c>
      <c r="I308" s="11">
        <f>IFERROR(__xludf.DUMMYFUNCTION("""COMPUTED_VALUE"""),0.0)</f>
        <v>0</v>
      </c>
      <c r="J308" s="11">
        <f>IFERROR(__xludf.DUMMYFUNCTION("""COMPUTED_VALUE"""),6.6)</f>
        <v>6.6</v>
      </c>
      <c r="K308" s="11">
        <f>IFERROR(__xludf.DUMMYFUNCTION("""COMPUTED_VALUE"""),1.9)</f>
        <v>1.9</v>
      </c>
      <c r="L308" s="11">
        <f>IFERROR(__xludf.DUMMYFUNCTION("""COMPUTED_VALUE"""),1.7)</f>
        <v>1.7</v>
      </c>
      <c r="M308" s="11">
        <f>IFERROR(__xludf.DUMMYFUNCTION("""COMPUTED_VALUE"""),1.5)</f>
        <v>1.5</v>
      </c>
      <c r="N308" s="11">
        <f>IFERROR(__xludf.DUMMYFUNCTION("""COMPUTED_VALUE"""),0.3)</f>
        <v>0.3</v>
      </c>
      <c r="O308" s="11">
        <f>IFERROR(__xludf.DUMMYFUNCTION("""COMPUTED_VALUE"""),0.1)</f>
        <v>0.1</v>
      </c>
      <c r="P308" s="15">
        <f>IFERROR(__xludf.DUMMYFUNCTION("""COMPUTED_VALUE"""),0.402)</f>
        <v>0.402</v>
      </c>
      <c r="Q308" s="15">
        <f>IFERROR(__xludf.DUMMYFUNCTION("""COMPUTED_VALUE"""),0.923)</f>
        <v>0.923</v>
      </c>
      <c r="R308" s="11">
        <f>IFERROR(__xludf.DUMMYFUNCTION("""COMPUTED_VALUE"""),0.3)</f>
        <v>0.3</v>
      </c>
      <c r="S308" s="11">
        <f>IFERROR(__xludf.DUMMYFUNCTION("""COMPUTED_VALUE"""),-1.9630816914916234)</f>
        <v>-1.963081691</v>
      </c>
      <c r="T308" s="11">
        <f>IFERROR(__xludf.DUMMYFUNCTION("""COMPUTED_VALUE"""),0.15027510052444681)</f>
        <v>0.1502751005</v>
      </c>
      <c r="U308" s="11">
        <f>IFERROR(__xludf.DUMMYFUNCTION("""COMPUTED_VALUE"""),-1.7137507967645091)</f>
        <v>-1.713750797</v>
      </c>
      <c r="V308" s="11">
        <f>IFERROR(__xludf.DUMMYFUNCTION("""COMPUTED_VALUE"""),-1.1097761033947346)</f>
        <v>-1.109776103</v>
      </c>
      <c r="W308" s="11">
        <f>IFERROR(__xludf.DUMMYFUNCTION("""COMPUTED_VALUE"""),-2.2443924794756835)</f>
        <v>-2.244392479</v>
      </c>
      <c r="X308" s="11">
        <f>IFERROR(__xludf.DUMMYFUNCTION("""COMPUTED_VALUE"""),-1.150698449001903)</f>
        <v>-1.150698449</v>
      </c>
      <c r="Y308" s="11">
        <f>IFERROR(__xludf.DUMMYFUNCTION("""COMPUTED_VALUE"""),-0.6004820418474914)</f>
        <v>-0.6004820418</v>
      </c>
      <c r="Z308" s="11">
        <f>IFERROR(__xludf.DUMMYFUNCTION("""COMPUTED_VALUE"""),0.18144257928768703)</f>
        <v>0.1814425793</v>
      </c>
      <c r="AA308" s="11">
        <f>IFERROR(__xludf.DUMMYFUNCTION("""COMPUTED_VALUE"""),0.3592434525554599)</f>
        <v>0.3592434526</v>
      </c>
      <c r="AB308" t="str">
        <f>IFERROR(__xludf.DUMMYFUNCTION("SUBSTITUTE(REGEXREPLACE(REGEXREPLACE(REGEXREPLACE(REGEXREPLACE(REGEXREPLACE(REGEXREPLACE(F308,"","",),IF(Projections!$T$17="""",""PG"",),),IF(Projections!$U$17="""",""SG"",),),IF(Projections!$V$17="""",""SF"",),),IF(Projections!$W$17="""",""PF"",),),IF(Pr"&amp;"ojections!$X$17="""",""C"",),),""/"","""")"),"SG")</f>
        <v>SG</v>
      </c>
    </row>
    <row r="309">
      <c r="B309">
        <f>IFERROR(__xludf.DUMMYFUNCTION("""COMPUTED_VALUE"""),304.0)</f>
        <v>304</v>
      </c>
      <c r="D309" t="str">
        <f>IFERROR(__xludf.DUMMYFUNCTION("""COMPUTED_VALUE"""),"Jay Huff")</f>
        <v>Jay Huff</v>
      </c>
      <c r="E309">
        <f>IFERROR(__xludf.DUMMYFUNCTION("""COMPUTED_VALUE"""),71.0)</f>
        <v>71</v>
      </c>
      <c r="F309" t="str">
        <f>IFERROR(__xludf.DUMMYFUNCTION("""COMPUTED_VALUE"""),"C")</f>
        <v>C</v>
      </c>
      <c r="G309" s="11">
        <f>IFERROR(__xludf.DUMMYFUNCTION("""COMPUTED_VALUE"""),-5.85157283630654)</f>
        <v>-5.851572836</v>
      </c>
      <c r="H309" s="11">
        <f>IFERROR(__xludf.DUMMYFUNCTION("""COMPUTED_VALUE"""),-5.85157283630654)</f>
        <v>-5.851572836</v>
      </c>
      <c r="I309" s="11">
        <f>IFERROR(__xludf.DUMMYFUNCTION("""COMPUTED_VALUE"""),0.0)</f>
        <v>0</v>
      </c>
      <c r="J309" s="11">
        <f>IFERROR(__xludf.DUMMYFUNCTION("""COMPUTED_VALUE"""),4.6)</f>
        <v>4.6</v>
      </c>
      <c r="K309" s="11">
        <f>IFERROR(__xludf.DUMMYFUNCTION("""COMPUTED_VALUE"""),0.6)</f>
        <v>0.6</v>
      </c>
      <c r="L309" s="11">
        <f>IFERROR(__xludf.DUMMYFUNCTION("""COMPUTED_VALUE"""),2.0)</f>
        <v>2</v>
      </c>
      <c r="M309" s="11">
        <f>IFERROR(__xludf.DUMMYFUNCTION("""COMPUTED_VALUE"""),0.7)</f>
        <v>0.7</v>
      </c>
      <c r="N309" s="11">
        <f>IFERROR(__xludf.DUMMYFUNCTION("""COMPUTED_VALUE"""),0.3)</f>
        <v>0.3</v>
      </c>
      <c r="O309" s="11">
        <f>IFERROR(__xludf.DUMMYFUNCTION("""COMPUTED_VALUE"""),0.4)</f>
        <v>0.4</v>
      </c>
      <c r="P309" s="15">
        <f>IFERROR(__xludf.DUMMYFUNCTION("""COMPUTED_VALUE"""),0.599)</f>
        <v>0.599</v>
      </c>
      <c r="Q309" s="15">
        <f>IFERROR(__xludf.DUMMYFUNCTION("""COMPUTED_VALUE"""),0.946)</f>
        <v>0.946</v>
      </c>
      <c r="R309" s="11">
        <f>IFERROR(__xludf.DUMMYFUNCTION("""COMPUTED_VALUE"""),0.4)</f>
        <v>0.4</v>
      </c>
      <c r="S309" s="11">
        <f>IFERROR(__xludf.DUMMYFUNCTION("""COMPUTED_VALUE"""),-2.324377730756948)</f>
        <v>-2.324377731</v>
      </c>
      <c r="T309" s="11">
        <f>IFERROR(__xludf.DUMMYFUNCTION("""COMPUTED_VALUE"""),-1.1435407868855925)</f>
        <v>-1.143540787</v>
      </c>
      <c r="U309" s="11">
        <f>IFERROR(__xludf.DUMMYFUNCTION("""COMPUTED_VALUE"""),-1.596071683389593)</f>
        <v>-1.596071683</v>
      </c>
      <c r="V309" s="11">
        <f>IFERROR(__xludf.DUMMYFUNCTION("""COMPUTED_VALUE"""),-1.4742702667717982)</f>
        <v>-1.474270267</v>
      </c>
      <c r="W309" s="11">
        <f>IFERROR(__xludf.DUMMYFUNCTION("""COMPUTED_VALUE"""),-2.2443924794756835)</f>
        <v>-2.244392479</v>
      </c>
      <c r="X309" s="11">
        <f>IFERROR(__xludf.DUMMYFUNCTION("""COMPUTED_VALUE"""),-0.6155173428439339)</f>
        <v>-0.6155173428</v>
      </c>
      <c r="Y309" s="11">
        <f>IFERROR(__xludf.DUMMYFUNCTION("""COMPUTED_VALUE"""),0.29920950488744075)</f>
        <v>0.2992095049</v>
      </c>
      <c r="Z309" s="11">
        <f>IFERROR(__xludf.DUMMYFUNCTION("""COMPUTED_VALUE"""),0.5885649790931462)</f>
        <v>0.5885649791</v>
      </c>
      <c r="AA309" s="11">
        <f>IFERROR(__xludf.DUMMYFUNCTION("""COMPUTED_VALUE"""),0.3344452390794733)</f>
        <v>0.3344452391</v>
      </c>
      <c r="AB309" t="str">
        <f>IFERROR(__xludf.DUMMYFUNCTION("SUBSTITUTE(REGEXREPLACE(REGEXREPLACE(REGEXREPLACE(REGEXREPLACE(REGEXREPLACE(REGEXREPLACE(F309,"","",),IF(Projections!$T$17="""",""PG"",),),IF(Projections!$U$17="""",""SG"",),),IF(Projections!$V$17="""",""SF"",),),IF(Projections!$W$17="""",""PF"",),),IF(Pr"&amp;"ojections!$X$17="""",""C"",),),""/"","""")"),"C")</f>
        <v>C</v>
      </c>
    </row>
    <row r="310">
      <c r="B310">
        <f>IFERROR(__xludf.DUMMYFUNCTION("""COMPUTED_VALUE"""),305.0)</f>
        <v>305</v>
      </c>
      <c r="D310" t="str">
        <f>IFERROR(__xludf.DUMMYFUNCTION("""COMPUTED_VALUE"""),"Chris Boucher")</f>
        <v>Chris Boucher</v>
      </c>
      <c r="E310">
        <f>IFERROR(__xludf.DUMMYFUNCTION("""COMPUTED_VALUE"""),46.0)</f>
        <v>46</v>
      </c>
      <c r="F310" t="str">
        <f>IFERROR(__xludf.DUMMYFUNCTION("""COMPUTED_VALUE"""),"PF,C")</f>
        <v>PF,C</v>
      </c>
      <c r="G310" s="11">
        <f>IFERROR(__xludf.DUMMYFUNCTION("""COMPUTED_VALUE"""),-5.868398642493442)</f>
        <v>-5.868398642</v>
      </c>
      <c r="H310" s="11">
        <f>IFERROR(__xludf.DUMMYFUNCTION("""COMPUTED_VALUE"""),-5.868398642493442)</f>
        <v>-5.868398642</v>
      </c>
      <c r="I310" s="11">
        <f>IFERROR(__xludf.DUMMYFUNCTION("""COMPUTED_VALUE"""),0.0)</f>
        <v>0</v>
      </c>
      <c r="J310" s="11">
        <f>IFERROR(__xludf.DUMMYFUNCTION("""COMPUTED_VALUE"""),6.3)</f>
        <v>6.3</v>
      </c>
      <c r="K310" s="11">
        <f>IFERROR(__xludf.DUMMYFUNCTION("""COMPUTED_VALUE"""),0.6)</f>
        <v>0.6</v>
      </c>
      <c r="L310" s="11">
        <f>IFERROR(__xludf.DUMMYFUNCTION("""COMPUTED_VALUE"""),3.8)</f>
        <v>3.8</v>
      </c>
      <c r="M310" s="11">
        <f>IFERROR(__xludf.DUMMYFUNCTION("""COMPUTED_VALUE"""),0.3)</f>
        <v>0.3</v>
      </c>
      <c r="N310" s="11">
        <f>IFERROR(__xludf.DUMMYFUNCTION("""COMPUTED_VALUE"""),0.4)</f>
        <v>0.4</v>
      </c>
      <c r="O310" s="11">
        <f>IFERROR(__xludf.DUMMYFUNCTION("""COMPUTED_VALUE"""),0.5)</f>
        <v>0.5</v>
      </c>
      <c r="P310" s="15">
        <f>IFERROR(__xludf.DUMMYFUNCTION("""COMPUTED_VALUE"""),0.497)</f>
        <v>0.497</v>
      </c>
      <c r="Q310" s="15">
        <f>IFERROR(__xludf.DUMMYFUNCTION("""COMPUTED_VALUE"""),0.766)</f>
        <v>0.766</v>
      </c>
      <c r="R310" s="11">
        <f>IFERROR(__xludf.DUMMYFUNCTION("""COMPUTED_VALUE"""),0.4)</f>
        <v>0.4</v>
      </c>
      <c r="S310" s="11">
        <f>IFERROR(__xludf.DUMMYFUNCTION("""COMPUTED_VALUE"""),-2.017276097381422)</f>
        <v>-2.017276097</v>
      </c>
      <c r="T310" s="11">
        <f>IFERROR(__xludf.DUMMYFUNCTION("""COMPUTED_VALUE"""),-1.1435407868855925)</f>
        <v>-1.143540787</v>
      </c>
      <c r="U310" s="11">
        <f>IFERROR(__xludf.DUMMYFUNCTION("""COMPUTED_VALUE"""),-0.8899970031400947)</f>
        <v>-0.8899970031</v>
      </c>
      <c r="V310" s="11">
        <f>IFERROR(__xludf.DUMMYFUNCTION("""COMPUTED_VALUE"""),-1.65651734846033)</f>
        <v>-1.656517348</v>
      </c>
      <c r="W310" s="11">
        <f>IFERROR(__xludf.DUMMYFUNCTION("""COMPUTED_VALUE"""),-1.912459801316204)</f>
        <v>-1.912459801</v>
      </c>
      <c r="X310" s="11">
        <f>IFERROR(__xludf.DUMMYFUNCTION("""COMPUTED_VALUE"""),-0.4371236407912776)</f>
        <v>-0.4371236408</v>
      </c>
      <c r="Y310" s="11">
        <f>IFERROR(__xludf.DUMMYFUNCTION("""COMPUTED_VALUE"""),6.286892320588759E-4)</f>
        <v>0.0006286892321</v>
      </c>
      <c r="Z310" s="11">
        <f>IFERROR(__xludf.DUMMYFUNCTION("""COMPUTED_VALUE"""),-0.16383399021147382)</f>
        <v>-0.1638339902</v>
      </c>
      <c r="AA310" s="11">
        <f>IFERROR(__xludf.DUMMYFUNCTION("""COMPUTED_VALUE"""),0.3344452390794733)</f>
        <v>0.3344452391</v>
      </c>
      <c r="AB310" t="str">
        <f>IFERROR(__xludf.DUMMYFUNCTION("SUBSTITUTE(REGEXREPLACE(REGEXREPLACE(REGEXREPLACE(REGEXREPLACE(REGEXREPLACE(REGEXREPLACE(F310,"","",),IF(Projections!$T$17="""",""PG"",),),IF(Projections!$U$17="""",""SG"",),),IF(Projections!$V$17="""",""SF"",),),IF(Projections!$W$17="""",""PF"",),),IF(Pr"&amp;"ojections!$X$17="""",""C"",),),""/"","""")"),"PFC")</f>
        <v>PFC</v>
      </c>
    </row>
    <row r="311">
      <c r="B311">
        <f>IFERROR(__xludf.DUMMYFUNCTION("""COMPUTED_VALUE"""),306.0)</f>
        <v>306</v>
      </c>
      <c r="D311" t="str">
        <f>IFERROR(__xludf.DUMMYFUNCTION("""COMPUTED_VALUE"""),"Jordan Hawkins")</f>
        <v>Jordan Hawkins</v>
      </c>
      <c r="E311">
        <f>IFERROR(__xludf.DUMMYFUNCTION("""COMPUTED_VALUE"""),38.0)</f>
        <v>38</v>
      </c>
      <c r="F311" t="str">
        <f>IFERROR(__xludf.DUMMYFUNCTION("""COMPUTED_VALUE"""),"SG")</f>
        <v>SG</v>
      </c>
      <c r="G311" s="11">
        <f>IFERROR(__xludf.DUMMYFUNCTION("""COMPUTED_VALUE"""),-5.929543952590702)</f>
        <v>-5.929543953</v>
      </c>
      <c r="H311" s="11">
        <f>IFERROR(__xludf.DUMMYFUNCTION("""COMPUTED_VALUE"""),-5.929543952590702)</f>
        <v>-5.929543953</v>
      </c>
      <c r="I311" s="11">
        <f>IFERROR(__xludf.DUMMYFUNCTION("""COMPUTED_VALUE"""),0.0)</f>
        <v>0</v>
      </c>
      <c r="J311" s="11">
        <f>IFERROR(__xludf.DUMMYFUNCTION("""COMPUTED_VALUE"""),8.6)</f>
        <v>8.6</v>
      </c>
      <c r="K311" s="11">
        <f>IFERROR(__xludf.DUMMYFUNCTION("""COMPUTED_VALUE"""),1.8)</f>
        <v>1.8</v>
      </c>
      <c r="L311" s="11">
        <f>IFERROR(__xludf.DUMMYFUNCTION("""COMPUTED_VALUE"""),2.4)</f>
        <v>2.4</v>
      </c>
      <c r="M311" s="11">
        <f>IFERROR(__xludf.DUMMYFUNCTION("""COMPUTED_VALUE"""),1.2)</f>
        <v>1.2</v>
      </c>
      <c r="N311" s="11">
        <f>IFERROR(__xludf.DUMMYFUNCTION("""COMPUTED_VALUE"""),0.3)</f>
        <v>0.3</v>
      </c>
      <c r="O311" s="11">
        <f>IFERROR(__xludf.DUMMYFUNCTION("""COMPUTED_VALUE"""),0.1)</f>
        <v>0.1</v>
      </c>
      <c r="P311" s="15">
        <f>IFERROR(__xludf.DUMMYFUNCTION("""COMPUTED_VALUE"""),0.382)</f>
        <v>0.382</v>
      </c>
      <c r="Q311" s="15">
        <f>IFERROR(__xludf.DUMMYFUNCTION("""COMPUTED_VALUE"""),0.84)</f>
        <v>0.84</v>
      </c>
      <c r="R311" s="11">
        <f>IFERROR(__xludf.DUMMYFUNCTION("""COMPUTED_VALUE"""),0.7)</f>
        <v>0.7</v>
      </c>
      <c r="S311" s="11">
        <f>IFERROR(__xludf.DUMMYFUNCTION("""COMPUTED_VALUE"""),-1.6017856522262985)</f>
        <v>-1.601785652</v>
      </c>
      <c r="T311" s="11">
        <f>IFERROR(__xludf.DUMMYFUNCTION("""COMPUTED_VALUE"""),0.05075080149290546)</f>
        <v>0.05075080149</v>
      </c>
      <c r="U311" s="11">
        <f>IFERROR(__xludf.DUMMYFUNCTION("""COMPUTED_VALUE"""),-1.4391661988897044)</f>
        <v>-1.439166199</v>
      </c>
      <c r="V311" s="11">
        <f>IFERROR(__xludf.DUMMYFUNCTION("""COMPUTED_VALUE"""),-1.2464614146611335)</f>
        <v>-1.246461415</v>
      </c>
      <c r="W311" s="11">
        <f>IFERROR(__xludf.DUMMYFUNCTION("""COMPUTED_VALUE"""),-2.2443924794756835)</f>
        <v>-2.244392479</v>
      </c>
      <c r="X311" s="11">
        <f>IFERROR(__xludf.DUMMYFUNCTION("""COMPUTED_VALUE"""),-1.150698449001903)</f>
        <v>-1.150698449</v>
      </c>
      <c r="Y311" s="11">
        <f>IFERROR(__xludf.DUMMYFUNCTION("""COMPUTED_VALUE"""),-1.009802973012148)</f>
        <v>-1.009802973</v>
      </c>
      <c r="Z311" s="11">
        <f>IFERROR(__xludf.DUMMYFUNCTION("""COMPUTED_VALUE"""),0.20756933505606637)</f>
        <v>0.2075693351</v>
      </c>
      <c r="AA311" s="11">
        <f>IFERROR(__xludf.DUMMYFUNCTION("""COMPUTED_VALUE"""),0.26005059865151336)</f>
        <v>0.2600505987</v>
      </c>
      <c r="AB311" t="str">
        <f>IFERROR(__xludf.DUMMYFUNCTION("SUBSTITUTE(REGEXREPLACE(REGEXREPLACE(REGEXREPLACE(REGEXREPLACE(REGEXREPLACE(REGEXREPLACE(F311,"","",),IF(Projections!$T$17="""",""PG"",),),IF(Projections!$U$17="""",""SG"",),),IF(Projections!$V$17="""",""SF"",),),IF(Projections!$W$17="""",""PF"",),),IF(Pr"&amp;"ojections!$X$17="""",""C"",),),""/"","""")"),"SG")</f>
        <v>SG</v>
      </c>
    </row>
    <row r="312">
      <c r="B312">
        <f>IFERROR(__xludf.DUMMYFUNCTION("""COMPUTED_VALUE"""),307.0)</f>
        <v>307</v>
      </c>
      <c r="D312" t="str">
        <f>IFERROR(__xludf.DUMMYFUNCTION("""COMPUTED_VALUE"""),"Dante Exum")</f>
        <v>Dante Exum</v>
      </c>
      <c r="E312">
        <f>IFERROR(__xludf.DUMMYFUNCTION("""COMPUTED_VALUE"""),66.0)</f>
        <v>66</v>
      </c>
      <c r="F312" t="str">
        <f>IFERROR(__xludf.DUMMYFUNCTION("""COMPUTED_VALUE"""),"PG,SG")</f>
        <v>PG,SG</v>
      </c>
      <c r="G312" s="11">
        <f>IFERROR(__xludf.DUMMYFUNCTION("""COMPUTED_VALUE"""),-5.941944919353384)</f>
        <v>-5.941944919</v>
      </c>
      <c r="H312" s="11">
        <f>IFERROR(__xludf.DUMMYFUNCTION("""COMPUTED_VALUE"""),-5.941944919353384)</f>
        <v>-5.941944919</v>
      </c>
      <c r="I312" s="11">
        <f>IFERROR(__xludf.DUMMYFUNCTION("""COMPUTED_VALUE"""),0.0)</f>
        <v>0</v>
      </c>
      <c r="J312" s="11">
        <f>IFERROR(__xludf.DUMMYFUNCTION("""COMPUTED_VALUE"""),6.4)</f>
        <v>6.4</v>
      </c>
      <c r="K312" s="11">
        <f>IFERROR(__xludf.DUMMYFUNCTION("""COMPUTED_VALUE"""),0.8)</f>
        <v>0.8</v>
      </c>
      <c r="L312" s="11">
        <f>IFERROR(__xludf.DUMMYFUNCTION("""COMPUTED_VALUE"""),2.2)</f>
        <v>2.2</v>
      </c>
      <c r="M312" s="11">
        <f>IFERROR(__xludf.DUMMYFUNCTION("""COMPUTED_VALUE"""),2.3)</f>
        <v>2.3</v>
      </c>
      <c r="N312" s="11">
        <f>IFERROR(__xludf.DUMMYFUNCTION("""COMPUTED_VALUE"""),0.3)</f>
        <v>0.3</v>
      </c>
      <c r="O312" s="11">
        <f>IFERROR(__xludf.DUMMYFUNCTION("""COMPUTED_VALUE"""),0.1)</f>
        <v>0.1</v>
      </c>
      <c r="P312" s="15">
        <f>IFERROR(__xludf.DUMMYFUNCTION("""COMPUTED_VALUE"""),0.535)</f>
        <v>0.535</v>
      </c>
      <c r="Q312" s="15">
        <f>IFERROR(__xludf.DUMMYFUNCTION("""COMPUTED_VALUE"""),0.782)</f>
        <v>0.782</v>
      </c>
      <c r="R312" s="11">
        <f>IFERROR(__xludf.DUMMYFUNCTION("""COMPUTED_VALUE"""),0.7)</f>
        <v>0.7</v>
      </c>
      <c r="S312" s="11">
        <f>IFERROR(__xludf.DUMMYFUNCTION("""COMPUTED_VALUE"""),-1.9992112954181556)</f>
        <v>-1.999211295</v>
      </c>
      <c r="T312" s="11">
        <f>IFERROR(__xludf.DUMMYFUNCTION("""COMPUTED_VALUE"""),-0.9444921888225095)</f>
        <v>-0.9444921888</v>
      </c>
      <c r="U312" s="11">
        <f>IFERROR(__xludf.DUMMYFUNCTION("""COMPUTED_VALUE"""),-1.5176189411396486)</f>
        <v>-1.517618941</v>
      </c>
      <c r="V312" s="11">
        <f>IFERROR(__xludf.DUMMYFUNCTION("""COMPUTED_VALUE"""),-0.745281940017671)</f>
        <v>-0.74528194</v>
      </c>
      <c r="W312" s="11">
        <f>IFERROR(__xludf.DUMMYFUNCTION("""COMPUTED_VALUE"""),-2.2443924794756835)</f>
        <v>-2.244392479</v>
      </c>
      <c r="X312" s="11">
        <f>IFERROR(__xludf.DUMMYFUNCTION("""COMPUTED_VALUE"""),-1.150698449001903)</f>
        <v>-1.150698449</v>
      </c>
      <c r="Y312" s="11">
        <f>IFERROR(__xludf.DUMMYFUNCTION("""COMPUTED_VALUE"""),0.2010408455407131)</f>
        <v>0.2010408455</v>
      </c>
      <c r="Z312" s="11">
        <f>IFERROR(__xludf.DUMMYFUNCTION("""COMPUTED_VALUE"""),-0.045733549145723834)</f>
        <v>-0.04573354915</v>
      </c>
      <c r="AA312" s="11">
        <f>IFERROR(__xludf.DUMMYFUNCTION("""COMPUTED_VALUE"""),0.26005059865151336)</f>
        <v>0.2600505987</v>
      </c>
      <c r="AB312" t="str">
        <f>IFERROR(__xludf.DUMMYFUNCTION("SUBSTITUTE(REGEXREPLACE(REGEXREPLACE(REGEXREPLACE(REGEXREPLACE(REGEXREPLACE(REGEXREPLACE(F312,"","",),IF(Projections!$T$17="""",""PG"",),),IF(Projections!$U$17="""",""SG"",),),IF(Projections!$V$17="""",""SF"",),),IF(Projections!$W$17="""",""PF"",),),IF(Pr"&amp;"ojections!$X$17="""",""C"",),),""/"","""")"),"PGSG")</f>
        <v>PGSG</v>
      </c>
    </row>
    <row r="313">
      <c r="B313">
        <f>IFERROR(__xludf.DUMMYFUNCTION("""COMPUTED_VALUE"""),308.0)</f>
        <v>308</v>
      </c>
      <c r="D313" t="str">
        <f>IFERROR(__xludf.DUMMYFUNCTION("""COMPUTED_VALUE"""),"Jordan McLaughlin")</f>
        <v>Jordan McLaughlin</v>
      </c>
      <c r="E313">
        <f>IFERROR(__xludf.DUMMYFUNCTION("""COMPUTED_VALUE"""),66.0)</f>
        <v>66</v>
      </c>
      <c r="F313" t="str">
        <f>IFERROR(__xludf.DUMMYFUNCTION("""COMPUTED_VALUE"""),"PG,SG")</f>
        <v>PG,SG</v>
      </c>
      <c r="G313" s="11">
        <f>IFERROR(__xludf.DUMMYFUNCTION("""COMPUTED_VALUE"""),-5.974200899886295)</f>
        <v>-5.9742009</v>
      </c>
      <c r="H313" s="11">
        <f>IFERROR(__xludf.DUMMYFUNCTION("""COMPUTED_VALUE"""),-5.974200899886295)</f>
        <v>-5.9742009</v>
      </c>
      <c r="I313" s="11">
        <f>IFERROR(__xludf.DUMMYFUNCTION("""COMPUTED_VALUE"""),0.0)</f>
        <v>0</v>
      </c>
      <c r="J313" s="11">
        <f>IFERROR(__xludf.DUMMYFUNCTION("""COMPUTED_VALUE"""),3.4)</f>
        <v>3.4</v>
      </c>
      <c r="K313" s="11">
        <f>IFERROR(__xludf.DUMMYFUNCTION("""COMPUTED_VALUE"""),0.6)</f>
        <v>0.6</v>
      </c>
      <c r="L313" s="11">
        <f>IFERROR(__xludf.DUMMYFUNCTION("""COMPUTED_VALUE"""),1.3)</f>
        <v>1.3</v>
      </c>
      <c r="M313" s="11">
        <f>IFERROR(__xludf.DUMMYFUNCTION("""COMPUTED_VALUE"""),2.4)</f>
        <v>2.4</v>
      </c>
      <c r="N313" s="11">
        <f>IFERROR(__xludf.DUMMYFUNCTION("""COMPUTED_VALUE"""),0.6)</f>
        <v>0.6</v>
      </c>
      <c r="O313" s="11">
        <f>IFERROR(__xludf.DUMMYFUNCTION("""COMPUTED_VALUE"""),0.1)</f>
        <v>0.1</v>
      </c>
      <c r="P313" s="15">
        <f>IFERROR(__xludf.DUMMYFUNCTION("""COMPUTED_VALUE"""),0.453)</f>
        <v>0.453</v>
      </c>
      <c r="Q313" s="15">
        <f>IFERROR(__xludf.DUMMYFUNCTION("""COMPUTED_VALUE"""),0.765)</f>
        <v>0.765</v>
      </c>
      <c r="R313" s="11">
        <f>IFERROR(__xludf.DUMMYFUNCTION("""COMPUTED_VALUE"""),0.5)</f>
        <v>0.5</v>
      </c>
      <c r="S313" s="11">
        <f>IFERROR(__xludf.DUMMYFUNCTION("""COMPUTED_VALUE"""),-2.541155354316143)</f>
        <v>-2.541155354</v>
      </c>
      <c r="T313" s="11">
        <f>IFERROR(__xludf.DUMMYFUNCTION("""COMPUTED_VALUE"""),-1.1435407868855925)</f>
        <v>-1.143540787</v>
      </c>
      <c r="U313" s="11">
        <f>IFERROR(__xludf.DUMMYFUNCTION("""COMPUTED_VALUE"""),-1.8706562812643979)</f>
        <v>-1.870656281</v>
      </c>
      <c r="V313" s="11">
        <f>IFERROR(__xludf.DUMMYFUNCTION("""COMPUTED_VALUE"""),-0.6997201695955381)</f>
        <v>-0.6997201696</v>
      </c>
      <c r="W313" s="11">
        <f>IFERROR(__xludf.DUMMYFUNCTION("""COMPUTED_VALUE"""),-1.2485944449972455)</f>
        <v>-1.248594445</v>
      </c>
      <c r="X313" s="11">
        <f>IFERROR(__xludf.DUMMYFUNCTION("""COMPUTED_VALUE"""),-1.150698449001903)</f>
        <v>-1.150698449</v>
      </c>
      <c r="Y313" s="11">
        <f>IFERROR(__xludf.DUMMYFUNCTION("""COMPUTED_VALUE"""),-0.13885649505414538)</f>
        <v>-0.1388564951</v>
      </c>
      <c r="Z313" s="11">
        <f>IFERROR(__xludf.DUMMYFUNCTION("""COMPUTED_VALUE"""),-0.031781298690959726)</f>
        <v>-0.03178129869</v>
      </c>
      <c r="AA313" s="11">
        <f>IFERROR(__xludf.DUMMYFUNCTION("""COMPUTED_VALUE"""),0.3096470256034866)</f>
        <v>0.3096470256</v>
      </c>
      <c r="AB313" t="str">
        <f>IFERROR(__xludf.DUMMYFUNCTION("SUBSTITUTE(REGEXREPLACE(REGEXREPLACE(REGEXREPLACE(REGEXREPLACE(REGEXREPLACE(REGEXREPLACE(F313,"","",),IF(Projections!$T$17="""",""PG"",),),IF(Projections!$U$17="""",""SG"",),),IF(Projections!$V$17="""",""SF"",),),IF(Projections!$W$17="""",""PF"",),),IF(Pr"&amp;"ojections!$X$17="""",""C"",),),""/"","""")"),"PGSG")</f>
        <v>PGSG</v>
      </c>
    </row>
    <row r="314">
      <c r="B314">
        <f>IFERROR(__xludf.DUMMYFUNCTION("""COMPUTED_VALUE"""),309.0)</f>
        <v>309</v>
      </c>
      <c r="D314" t="str">
        <f>IFERROR(__xludf.DUMMYFUNCTION("""COMPUTED_VALUE"""),"Haywood Highsmith")</f>
        <v>Haywood Highsmith</v>
      </c>
      <c r="E314">
        <f>IFERROR(__xludf.DUMMYFUNCTION("""COMPUTED_VALUE"""),71.0)</f>
        <v>71</v>
      </c>
      <c r="F314" t="str">
        <f>IFERROR(__xludf.DUMMYFUNCTION("""COMPUTED_VALUE"""),"SF,PF")</f>
        <v>SF,PF</v>
      </c>
      <c r="G314" s="11">
        <f>IFERROR(__xludf.DUMMYFUNCTION("""COMPUTED_VALUE"""),-5.981572872313736)</f>
        <v>-5.981572872</v>
      </c>
      <c r="H314" s="11">
        <f>IFERROR(__xludf.DUMMYFUNCTION("""COMPUTED_VALUE"""),-5.981572872313736)</f>
        <v>-5.981572872</v>
      </c>
      <c r="I314" s="11">
        <f>IFERROR(__xludf.DUMMYFUNCTION("""COMPUTED_VALUE"""),0.0)</f>
        <v>0</v>
      </c>
      <c r="J314" s="11">
        <f>IFERROR(__xludf.DUMMYFUNCTION("""COMPUTED_VALUE"""),4.6)</f>
        <v>4.6</v>
      </c>
      <c r="K314" s="11">
        <f>IFERROR(__xludf.DUMMYFUNCTION("""COMPUTED_VALUE"""),0.8)</f>
        <v>0.8</v>
      </c>
      <c r="L314" s="11">
        <f>IFERROR(__xludf.DUMMYFUNCTION("""COMPUTED_VALUE"""),2.9)</f>
        <v>2.9</v>
      </c>
      <c r="M314" s="11">
        <f>IFERROR(__xludf.DUMMYFUNCTION("""COMPUTED_VALUE"""),0.8)</f>
        <v>0.8</v>
      </c>
      <c r="N314" s="11">
        <f>IFERROR(__xludf.DUMMYFUNCTION("""COMPUTED_VALUE"""),0.6)</f>
        <v>0.6</v>
      </c>
      <c r="O314" s="11">
        <f>IFERROR(__xludf.DUMMYFUNCTION("""COMPUTED_VALUE"""),0.3)</f>
        <v>0.3</v>
      </c>
      <c r="P314" s="15">
        <f>IFERROR(__xludf.DUMMYFUNCTION("""COMPUTED_VALUE"""),0.453)</f>
        <v>0.453</v>
      </c>
      <c r="Q314" s="15">
        <f>IFERROR(__xludf.DUMMYFUNCTION("""COMPUTED_VALUE"""),0.565)</f>
        <v>0.565</v>
      </c>
      <c r="R314" s="11">
        <f>IFERROR(__xludf.DUMMYFUNCTION("""COMPUTED_VALUE"""),0.6)</f>
        <v>0.6</v>
      </c>
      <c r="S314" s="11">
        <f>IFERROR(__xludf.DUMMYFUNCTION("""COMPUTED_VALUE"""),-2.324377730756948)</f>
        <v>-2.324377731</v>
      </c>
      <c r="T314" s="11">
        <f>IFERROR(__xludf.DUMMYFUNCTION("""COMPUTED_VALUE"""),-0.9444921888225095)</f>
        <v>-0.9444921888</v>
      </c>
      <c r="U314" s="11">
        <f>IFERROR(__xludf.DUMMYFUNCTION("""COMPUTED_VALUE"""),-1.2430343432648439)</f>
        <v>-1.243034343</v>
      </c>
      <c r="V314" s="11">
        <f>IFERROR(__xludf.DUMMYFUNCTION("""COMPUTED_VALUE"""),-1.428708496349665)</f>
        <v>-1.428708496</v>
      </c>
      <c r="W314" s="11">
        <f>IFERROR(__xludf.DUMMYFUNCTION("""COMPUTED_VALUE"""),-1.2485944449972455)</f>
        <v>-1.248594445</v>
      </c>
      <c r="X314" s="11">
        <f>IFERROR(__xludf.DUMMYFUNCTION("""COMPUTED_VALUE"""),-0.7939110448965904)</f>
        <v>-0.7939110449</v>
      </c>
      <c r="Y314" s="11">
        <f>IFERROR(__xludf.DUMMYFUNCTION("""COMPUTED_VALUE"""),-0.20057049285598774)</f>
        <v>-0.2005704929</v>
      </c>
      <c r="Z314" s="11">
        <f>IFERROR(__xludf.DUMMYFUNCTION("""COMPUTED_VALUE"""),-0.40711067325439493)</f>
        <v>-0.4071106733</v>
      </c>
      <c r="AA314" s="11">
        <f>IFERROR(__xludf.DUMMYFUNCTION("""COMPUTED_VALUE"""),0.28484881212749996)</f>
        <v>0.2848488121</v>
      </c>
      <c r="AB314" t="str">
        <f>IFERROR(__xludf.DUMMYFUNCTION("SUBSTITUTE(REGEXREPLACE(REGEXREPLACE(REGEXREPLACE(REGEXREPLACE(REGEXREPLACE(REGEXREPLACE(F314,"","",),IF(Projections!$T$17="""",""PG"",),),IF(Projections!$U$17="""",""SG"",),),IF(Projections!$V$17="""",""SF"",),),IF(Projections!$W$17="""",""PF"",),),IF(Pr"&amp;"ojections!$X$17="""",""C"",),),""/"","""")"),"SFPF")</f>
        <v>SFPF</v>
      </c>
    </row>
    <row r="315">
      <c r="B315">
        <f>IFERROR(__xludf.DUMMYFUNCTION("""COMPUTED_VALUE"""),310.0)</f>
        <v>310</v>
      </c>
      <c r="D315" t="str">
        <f>IFERROR(__xludf.DUMMYFUNCTION("""COMPUTED_VALUE"""),"Ben Sheppard")</f>
        <v>Ben Sheppard</v>
      </c>
      <c r="E315">
        <f>IFERROR(__xludf.DUMMYFUNCTION("""COMPUTED_VALUE"""),66.0)</f>
        <v>66</v>
      </c>
      <c r="F315" t="str">
        <f>IFERROR(__xludf.DUMMYFUNCTION("""COMPUTED_VALUE"""),"SG,SF")</f>
        <v>SG,SF</v>
      </c>
      <c r="G315" s="11">
        <f>IFERROR(__xludf.DUMMYFUNCTION("""COMPUTED_VALUE"""),-6.007661390117374)</f>
        <v>-6.00766139</v>
      </c>
      <c r="H315" s="11">
        <f>IFERROR(__xludf.DUMMYFUNCTION("""COMPUTED_VALUE"""),-6.007661390117374)</f>
        <v>-6.00766139</v>
      </c>
      <c r="I315" s="11">
        <f>IFERROR(__xludf.DUMMYFUNCTION("""COMPUTED_VALUE"""),0.0)</f>
        <v>0</v>
      </c>
      <c r="J315" s="11">
        <f>IFERROR(__xludf.DUMMYFUNCTION("""COMPUTED_VALUE"""),5.1)</f>
        <v>5.1</v>
      </c>
      <c r="K315" s="11">
        <f>IFERROR(__xludf.DUMMYFUNCTION("""COMPUTED_VALUE"""),1.0)</f>
        <v>1</v>
      </c>
      <c r="L315" s="11">
        <f>IFERROR(__xludf.DUMMYFUNCTION("""COMPUTED_VALUE"""),1.8)</f>
        <v>1.8</v>
      </c>
      <c r="M315" s="11">
        <f>IFERROR(__xludf.DUMMYFUNCTION("""COMPUTED_VALUE"""),1.1)</f>
        <v>1.1</v>
      </c>
      <c r="N315" s="11">
        <f>IFERROR(__xludf.DUMMYFUNCTION("""COMPUTED_VALUE"""),0.7)</f>
        <v>0.7</v>
      </c>
      <c r="O315" s="11">
        <f>IFERROR(__xludf.DUMMYFUNCTION("""COMPUTED_VALUE"""),0.0)</f>
        <v>0</v>
      </c>
      <c r="P315" s="15">
        <f>IFERROR(__xludf.DUMMYFUNCTION("""COMPUTED_VALUE"""),0.393)</f>
        <v>0.393</v>
      </c>
      <c r="Q315" s="15">
        <f>IFERROR(__xludf.DUMMYFUNCTION("""COMPUTED_VALUE"""),0.887)</f>
        <v>0.887</v>
      </c>
      <c r="R315" s="11">
        <f>IFERROR(__xludf.DUMMYFUNCTION("""COMPUTED_VALUE"""),0.3)</f>
        <v>0.3</v>
      </c>
      <c r="S315" s="11">
        <f>IFERROR(__xludf.DUMMYFUNCTION("""COMPUTED_VALUE"""),-2.234053720940617)</f>
        <v>-2.234053721</v>
      </c>
      <c r="T315" s="11">
        <f>IFERROR(__xludf.DUMMYFUNCTION("""COMPUTED_VALUE"""),-0.7454435907594266)</f>
        <v>-0.7454435908</v>
      </c>
      <c r="U315" s="11">
        <f>IFERROR(__xludf.DUMMYFUNCTION("""COMPUTED_VALUE"""),-1.6745244256395373)</f>
        <v>-1.674524426</v>
      </c>
      <c r="V315" s="11">
        <f>IFERROR(__xludf.DUMMYFUNCTION("""COMPUTED_VALUE"""),-1.2920231850832664)</f>
        <v>-1.292023185</v>
      </c>
      <c r="W315" s="11">
        <f>IFERROR(__xludf.DUMMYFUNCTION("""COMPUTED_VALUE"""),-0.9166617668377661)</f>
        <v>-0.9166617668</v>
      </c>
      <c r="X315" s="11">
        <f>IFERROR(__xludf.DUMMYFUNCTION("""COMPUTED_VALUE"""),-1.3290921510545592)</f>
        <v>-1.329092151</v>
      </c>
      <c r="Y315" s="11">
        <f>IFERROR(__xludf.DUMMYFUNCTION("""COMPUTED_VALUE"""),-0.5722174158293823)</f>
        <v>-0.5722174158</v>
      </c>
      <c r="Z315" s="11">
        <f>IFERROR(__xludf.DUMMYFUNCTION("""COMPUTED_VALUE"""),0.16305769253110558)</f>
        <v>0.1630576925</v>
      </c>
      <c r="AA315" s="11">
        <f>IFERROR(__xludf.DUMMYFUNCTION("""COMPUTED_VALUE"""),0.3592434525554599)</f>
        <v>0.3592434526</v>
      </c>
      <c r="AB315" t="str">
        <f>IFERROR(__xludf.DUMMYFUNCTION("SUBSTITUTE(REGEXREPLACE(REGEXREPLACE(REGEXREPLACE(REGEXREPLACE(REGEXREPLACE(REGEXREPLACE(F315,"","",),IF(Projections!$T$17="""",""PG"",),),IF(Projections!$U$17="""",""SG"",),),IF(Projections!$V$17="""",""SF"",),),IF(Projections!$W$17="""",""PF"",),),IF(Pr"&amp;"ojections!$X$17="""",""C"",),),""/"","""")"),"SGSF")</f>
        <v>SGSF</v>
      </c>
    </row>
    <row r="316">
      <c r="B316">
        <f>IFERROR(__xludf.DUMMYFUNCTION("""COMPUTED_VALUE"""),311.0)</f>
        <v>311</v>
      </c>
      <c r="D316" t="str">
        <f>IFERROR(__xludf.DUMMYFUNCTION("""COMPUTED_VALUE"""),"Seth Curry")</f>
        <v>Seth Curry</v>
      </c>
      <c r="E316">
        <f>IFERROR(__xludf.DUMMYFUNCTION("""COMPUTED_VALUE"""),71.0)</f>
        <v>71</v>
      </c>
      <c r="F316" t="str">
        <f>IFERROR(__xludf.DUMMYFUNCTION("""COMPUTED_VALUE"""),"SG")</f>
        <v>SG</v>
      </c>
      <c r="G316" s="11">
        <f>IFERROR(__xludf.DUMMYFUNCTION("""COMPUTED_VALUE"""),-6.008511633208466)</f>
        <v>-6.008511633</v>
      </c>
      <c r="H316" s="11">
        <f>IFERROR(__xludf.DUMMYFUNCTION("""COMPUTED_VALUE"""),-6.008511633208466)</f>
        <v>-6.008511633</v>
      </c>
      <c r="I316" s="11">
        <f>IFERROR(__xludf.DUMMYFUNCTION("""COMPUTED_VALUE"""),0.0)</f>
        <v>0</v>
      </c>
      <c r="J316" s="11">
        <f>IFERROR(__xludf.DUMMYFUNCTION("""COMPUTED_VALUE"""),7.0)</f>
        <v>7</v>
      </c>
      <c r="K316" s="11">
        <f>IFERROR(__xludf.DUMMYFUNCTION("""COMPUTED_VALUE"""),1.2)</f>
        <v>1.2</v>
      </c>
      <c r="L316" s="11">
        <f>IFERROR(__xludf.DUMMYFUNCTION("""COMPUTED_VALUE"""),1.5)</f>
        <v>1.5</v>
      </c>
      <c r="M316" s="11">
        <f>IFERROR(__xludf.DUMMYFUNCTION("""COMPUTED_VALUE"""),1.3)</f>
        <v>1.3</v>
      </c>
      <c r="N316" s="11">
        <f>IFERROR(__xludf.DUMMYFUNCTION("""COMPUTED_VALUE"""),0.5)</f>
        <v>0.5</v>
      </c>
      <c r="O316" s="11">
        <f>IFERROR(__xludf.DUMMYFUNCTION("""COMPUTED_VALUE"""),0.1)</f>
        <v>0.1</v>
      </c>
      <c r="P316" s="15">
        <f>IFERROR(__xludf.DUMMYFUNCTION("""COMPUTED_VALUE"""),0.441)</f>
        <v>0.441</v>
      </c>
      <c r="Q316" s="15">
        <f>IFERROR(__xludf.DUMMYFUNCTION("""COMPUTED_VALUE"""),0.921)</f>
        <v>0.921</v>
      </c>
      <c r="R316" s="11">
        <f>IFERROR(__xludf.DUMMYFUNCTION("""COMPUTED_VALUE"""),0.6)</f>
        <v>0.6</v>
      </c>
      <c r="S316" s="11">
        <f>IFERROR(__xludf.DUMMYFUNCTION("""COMPUTED_VALUE"""),-1.8908224836385583)</f>
        <v>-1.890822484</v>
      </c>
      <c r="T316" s="11">
        <f>IFERROR(__xludf.DUMMYFUNCTION("""COMPUTED_VALUE"""),-0.5463949926963436)</f>
        <v>-0.5463949927</v>
      </c>
      <c r="U316" s="11">
        <f>IFERROR(__xludf.DUMMYFUNCTION("""COMPUTED_VALUE"""),-1.7922035390144535)</f>
        <v>-1.792203539</v>
      </c>
      <c r="V316" s="11">
        <f>IFERROR(__xludf.DUMMYFUNCTION("""COMPUTED_VALUE"""),-1.2008996442390003)</f>
        <v>-1.200899644</v>
      </c>
      <c r="W316" s="11">
        <f>IFERROR(__xludf.DUMMYFUNCTION("""COMPUTED_VALUE"""),-1.5805271231567248)</f>
        <v>-1.580527123</v>
      </c>
      <c r="X316" s="11">
        <f>IFERROR(__xludf.DUMMYFUNCTION("""COMPUTED_VALUE"""),-1.150698449001903)</f>
        <v>-1.150698449</v>
      </c>
      <c r="Y316" s="11">
        <f>IFERROR(__xludf.DUMMYFUNCTION("""COMPUTED_VALUE"""),-0.37985558632926936)</f>
        <v>-0.3798555863</v>
      </c>
      <c r="Z316" s="11">
        <f>IFERROR(__xludf.DUMMYFUNCTION("""COMPUTED_VALUE"""),0.3572188891017293)</f>
        <v>0.3572188891</v>
      </c>
      <c r="AA316" s="11">
        <f>IFERROR(__xludf.DUMMYFUNCTION("""COMPUTED_VALUE"""),0.28484881212749996)</f>
        <v>0.2848488121</v>
      </c>
      <c r="AB316" t="str">
        <f>IFERROR(__xludf.DUMMYFUNCTION("SUBSTITUTE(REGEXREPLACE(REGEXREPLACE(REGEXREPLACE(REGEXREPLACE(REGEXREPLACE(REGEXREPLACE(F316,"","",),IF(Projections!$T$17="""",""PG"",),),IF(Projections!$U$17="""",""SG"",),),IF(Projections!$V$17="""",""SF"",),),IF(Projections!$W$17="""",""PF"",),),IF(Pr"&amp;"ojections!$X$17="""",""C"",),),""/"","""")"),"SG")</f>
        <v>SG</v>
      </c>
    </row>
    <row r="317">
      <c r="B317">
        <f>IFERROR(__xludf.DUMMYFUNCTION("""COMPUTED_VALUE"""),312.0)</f>
        <v>312</v>
      </c>
      <c r="D317" t="str">
        <f>IFERROR(__xludf.DUMMYFUNCTION("""COMPUTED_VALUE"""),"Monte Morris")</f>
        <v>Monte Morris</v>
      </c>
      <c r="E317">
        <f>IFERROR(__xludf.DUMMYFUNCTION("""COMPUTED_VALUE"""),43.0)</f>
        <v>43</v>
      </c>
      <c r="F317" t="str">
        <f>IFERROR(__xludf.DUMMYFUNCTION("""COMPUTED_VALUE"""),"PG,SG")</f>
        <v>PG,SG</v>
      </c>
      <c r="G317" s="11">
        <f>IFERROR(__xludf.DUMMYFUNCTION("""COMPUTED_VALUE"""),-6.020117769831986)</f>
        <v>-6.02011777</v>
      </c>
      <c r="H317" s="11">
        <f>IFERROR(__xludf.DUMMYFUNCTION("""COMPUTED_VALUE"""),-6.020117769831986)</f>
        <v>-6.02011777</v>
      </c>
      <c r="I317" s="11">
        <f>IFERROR(__xludf.DUMMYFUNCTION("""COMPUTED_VALUE"""),0.0)</f>
        <v>0</v>
      </c>
      <c r="J317" s="11">
        <f>IFERROR(__xludf.DUMMYFUNCTION("""COMPUTED_VALUE"""),5.3)</f>
        <v>5.3</v>
      </c>
      <c r="K317" s="11">
        <f>IFERROR(__xludf.DUMMYFUNCTION("""COMPUTED_VALUE"""),0.7)</f>
        <v>0.7</v>
      </c>
      <c r="L317" s="11">
        <f>IFERROR(__xludf.DUMMYFUNCTION("""COMPUTED_VALUE"""),1.8)</f>
        <v>1.8</v>
      </c>
      <c r="M317" s="11">
        <f>IFERROR(__xludf.DUMMYFUNCTION("""COMPUTED_VALUE"""),2.6)</f>
        <v>2.6</v>
      </c>
      <c r="N317" s="11">
        <f>IFERROR(__xludf.DUMMYFUNCTION("""COMPUTED_VALUE"""),0.4)</f>
        <v>0.4</v>
      </c>
      <c r="O317" s="11">
        <f>IFERROR(__xludf.DUMMYFUNCTION("""COMPUTED_VALUE"""),0.2)</f>
        <v>0.2</v>
      </c>
      <c r="P317" s="15">
        <f>IFERROR(__xludf.DUMMYFUNCTION("""COMPUTED_VALUE"""),0.463)</f>
        <v>0.463</v>
      </c>
      <c r="Q317" s="15">
        <f>IFERROR(__xludf.DUMMYFUNCTION("""COMPUTED_VALUE"""),0.81)</f>
        <v>0.81</v>
      </c>
      <c r="R317" s="11">
        <f>IFERROR(__xludf.DUMMYFUNCTION("""COMPUTED_VALUE"""),0.4)</f>
        <v>0.4</v>
      </c>
      <c r="S317" s="11">
        <f>IFERROR(__xludf.DUMMYFUNCTION("""COMPUTED_VALUE"""),-2.197924117014084)</f>
        <v>-2.197924117</v>
      </c>
      <c r="T317" s="11">
        <f>IFERROR(__xludf.DUMMYFUNCTION("""COMPUTED_VALUE"""),-1.0440164878540512)</f>
        <v>-1.044016488</v>
      </c>
      <c r="U317" s="11">
        <f>IFERROR(__xludf.DUMMYFUNCTION("""COMPUTED_VALUE"""),-1.6745244256395373)</f>
        <v>-1.674524426</v>
      </c>
      <c r="V317" s="11">
        <f>IFERROR(__xludf.DUMMYFUNCTION("""COMPUTED_VALUE"""),-0.6085966287512721)</f>
        <v>-0.6085966288</v>
      </c>
      <c r="W317" s="11">
        <f>IFERROR(__xludf.DUMMYFUNCTION("""COMPUTED_VALUE"""),-1.912459801316204)</f>
        <v>-1.912459801</v>
      </c>
      <c r="X317" s="11">
        <f>IFERROR(__xludf.DUMMYFUNCTION("""COMPUTED_VALUE"""),-0.9723047469492465)</f>
        <v>-0.9723047469</v>
      </c>
      <c r="Y317" s="11">
        <f>IFERROR(__xludf.DUMMYFUNCTION("""COMPUTED_VALUE"""),-0.17471661838698468)</f>
        <v>-0.1747166184</v>
      </c>
      <c r="Z317" s="11">
        <f>IFERROR(__xludf.DUMMYFUNCTION("""COMPUTED_VALUE"""),0.03205569998583535)</f>
        <v>0.03205569999</v>
      </c>
      <c r="AA317" s="11">
        <f>IFERROR(__xludf.DUMMYFUNCTION("""COMPUTED_VALUE"""),0.3344452390794733)</f>
        <v>0.3344452391</v>
      </c>
      <c r="AB317" t="str">
        <f>IFERROR(__xludf.DUMMYFUNCTION("SUBSTITUTE(REGEXREPLACE(REGEXREPLACE(REGEXREPLACE(REGEXREPLACE(REGEXREPLACE(REGEXREPLACE(F317,"","",),IF(Projections!$T$17="""",""PG"",),),IF(Projections!$U$17="""",""SG"",),),IF(Projections!$V$17="""",""SF"",),),IF(Projections!$W$17="""",""PF"",),),IF(Pr"&amp;"ojections!$X$17="""",""C"",),),""/"","""")"),"PGSG")</f>
        <v>PGSG</v>
      </c>
    </row>
    <row r="318">
      <c r="B318">
        <f>IFERROR(__xludf.DUMMYFUNCTION("""COMPUTED_VALUE"""),313.0)</f>
        <v>313</v>
      </c>
      <c r="D318" t="str">
        <f>IFERROR(__xludf.DUMMYFUNCTION("""COMPUTED_VALUE"""),"Cameron Payne")</f>
        <v>Cameron Payne</v>
      </c>
      <c r="E318">
        <f>IFERROR(__xludf.DUMMYFUNCTION("""COMPUTED_VALUE"""),66.0)</f>
        <v>66</v>
      </c>
      <c r="F318" t="str">
        <f>IFERROR(__xludf.DUMMYFUNCTION("""COMPUTED_VALUE"""),"PG,SG")</f>
        <v>PG,SG</v>
      </c>
      <c r="G318" s="11">
        <f>IFERROR(__xludf.DUMMYFUNCTION("""COMPUTED_VALUE"""),-6.048100866864589)</f>
        <v>-6.048100867</v>
      </c>
      <c r="H318" s="11">
        <f>IFERROR(__xludf.DUMMYFUNCTION("""COMPUTED_VALUE"""),-6.048100866864589)</f>
        <v>-6.048100867</v>
      </c>
      <c r="I318" s="11">
        <f>IFERROR(__xludf.DUMMYFUNCTION("""COMPUTED_VALUE"""),0.0)</f>
        <v>0</v>
      </c>
      <c r="J318" s="11">
        <f>IFERROR(__xludf.DUMMYFUNCTION("""COMPUTED_VALUE"""),6.7)</f>
        <v>6.7</v>
      </c>
      <c r="K318" s="11">
        <f>IFERROR(__xludf.DUMMYFUNCTION("""COMPUTED_VALUE"""),1.1)</f>
        <v>1.1</v>
      </c>
      <c r="L318" s="11">
        <f>IFERROR(__xludf.DUMMYFUNCTION("""COMPUTED_VALUE"""),1.4)</f>
        <v>1.4</v>
      </c>
      <c r="M318" s="11">
        <f>IFERROR(__xludf.DUMMYFUNCTION("""COMPUTED_VALUE"""),2.6)</f>
        <v>2.6</v>
      </c>
      <c r="N318" s="11">
        <f>IFERROR(__xludf.DUMMYFUNCTION("""COMPUTED_VALUE"""),0.5)</f>
        <v>0.5</v>
      </c>
      <c r="O318" s="11">
        <f>IFERROR(__xludf.DUMMYFUNCTION("""COMPUTED_VALUE"""),0.1)</f>
        <v>0.1</v>
      </c>
      <c r="P318" s="15">
        <f>IFERROR(__xludf.DUMMYFUNCTION("""COMPUTED_VALUE"""),0.424)</f>
        <v>0.424</v>
      </c>
      <c r="Q318" s="15">
        <f>IFERROR(__xludf.DUMMYFUNCTION("""COMPUTED_VALUE"""),0.817)</f>
        <v>0.817</v>
      </c>
      <c r="R318" s="11">
        <f>IFERROR(__xludf.DUMMYFUNCTION("""COMPUTED_VALUE"""),0.9)</f>
        <v>0.9</v>
      </c>
      <c r="S318" s="11">
        <f>IFERROR(__xludf.DUMMYFUNCTION("""COMPUTED_VALUE"""),-1.945016889528357)</f>
        <v>-1.94501689</v>
      </c>
      <c r="T318" s="11">
        <f>IFERROR(__xludf.DUMMYFUNCTION("""COMPUTED_VALUE"""),-0.645919291727885)</f>
        <v>-0.6459192917</v>
      </c>
      <c r="U318" s="11">
        <f>IFERROR(__xludf.DUMMYFUNCTION("""COMPUTED_VALUE"""),-1.8314299101394258)</f>
        <v>-1.83142991</v>
      </c>
      <c r="V318" s="11">
        <f>IFERROR(__xludf.DUMMYFUNCTION("""COMPUTED_VALUE"""),-0.6085966287512721)</f>
        <v>-0.6085966288</v>
      </c>
      <c r="W318" s="11">
        <f>IFERROR(__xludf.DUMMYFUNCTION("""COMPUTED_VALUE"""),-1.5805271231567248)</f>
        <v>-1.580527123</v>
      </c>
      <c r="X318" s="11">
        <f>IFERROR(__xludf.DUMMYFUNCTION("""COMPUTED_VALUE"""),-1.150698449001903)</f>
        <v>-1.150698449</v>
      </c>
      <c r="Y318" s="11">
        <f>IFERROR(__xludf.DUMMYFUNCTION("""COMPUTED_VALUE"""),-0.5039565122591212)</f>
        <v>-0.5039565123</v>
      </c>
      <c r="Z318" s="11">
        <f>IFERROR(__xludf.DUMMYFUNCTION("""COMPUTED_VALUE"""),0.06257287647220339)</f>
        <v>0.06257287647</v>
      </c>
      <c r="AA318" s="11">
        <f>IFERROR(__xludf.DUMMYFUNCTION("""COMPUTED_VALUE"""),0.21045417169954)</f>
        <v>0.2104541717</v>
      </c>
      <c r="AB318" t="str">
        <f>IFERROR(__xludf.DUMMYFUNCTION("SUBSTITUTE(REGEXREPLACE(REGEXREPLACE(REGEXREPLACE(REGEXREPLACE(REGEXREPLACE(REGEXREPLACE(F318,"","",),IF(Projections!$T$17="""",""PG"",),),IF(Projections!$U$17="""",""SG"",),),IF(Projections!$V$17="""",""SF"",),),IF(Projections!$W$17="""",""PF"",),),IF(Pr"&amp;"ojections!$X$17="""",""C"",),),""/"","""")"),"PGSG")</f>
        <v>PGSG</v>
      </c>
    </row>
    <row r="319">
      <c r="B319">
        <f>IFERROR(__xludf.DUMMYFUNCTION("""COMPUTED_VALUE"""),314.0)</f>
        <v>314</v>
      </c>
      <c r="D319" t="str">
        <f>IFERROR(__xludf.DUMMYFUNCTION("""COMPUTED_VALUE"""),"Kenrich Williams")</f>
        <v>Kenrich Williams</v>
      </c>
      <c r="E319">
        <f>IFERROR(__xludf.DUMMYFUNCTION("""COMPUTED_VALUE"""),50.0)</f>
        <v>50</v>
      </c>
      <c r="F319" t="str">
        <f>IFERROR(__xludf.DUMMYFUNCTION("""COMPUTED_VALUE"""),"PF")</f>
        <v>PF</v>
      </c>
      <c r="G319" s="11">
        <f>IFERROR(__xludf.DUMMYFUNCTION("""COMPUTED_VALUE"""),-6.051935076914042)</f>
        <v>-6.051935077</v>
      </c>
      <c r="H319" s="11">
        <f>IFERROR(__xludf.DUMMYFUNCTION("""COMPUTED_VALUE"""),-6.051935076914042)</f>
        <v>-6.051935077</v>
      </c>
      <c r="I319" s="11">
        <f>IFERROR(__xludf.DUMMYFUNCTION("""COMPUTED_VALUE"""),0.0)</f>
        <v>0</v>
      </c>
      <c r="J319" s="11">
        <f>IFERROR(__xludf.DUMMYFUNCTION("""COMPUTED_VALUE"""),4.8)</f>
        <v>4.8</v>
      </c>
      <c r="K319" s="11">
        <f>IFERROR(__xludf.DUMMYFUNCTION("""COMPUTED_VALUE"""),0.7)</f>
        <v>0.7</v>
      </c>
      <c r="L319" s="11">
        <f>IFERROR(__xludf.DUMMYFUNCTION("""COMPUTED_VALUE"""),3.0)</f>
        <v>3</v>
      </c>
      <c r="M319" s="11">
        <f>IFERROR(__xludf.DUMMYFUNCTION("""COMPUTED_VALUE"""),1.3)</f>
        <v>1.3</v>
      </c>
      <c r="N319" s="11">
        <f>IFERROR(__xludf.DUMMYFUNCTION("""COMPUTED_VALUE"""),0.5)</f>
        <v>0.5</v>
      </c>
      <c r="O319" s="11">
        <f>IFERROR(__xludf.DUMMYFUNCTION("""COMPUTED_VALUE"""),0.2)</f>
        <v>0.2</v>
      </c>
      <c r="P319" s="15">
        <f>IFERROR(__xludf.DUMMYFUNCTION("""COMPUTED_VALUE"""),0.495)</f>
        <v>0.495</v>
      </c>
      <c r="Q319" s="15">
        <f>IFERROR(__xludf.DUMMYFUNCTION("""COMPUTED_VALUE"""),0.441)</f>
        <v>0.441</v>
      </c>
      <c r="R319" s="11">
        <f>IFERROR(__xludf.DUMMYFUNCTION("""COMPUTED_VALUE"""),0.4)</f>
        <v>0.4</v>
      </c>
      <c r="S319" s="11">
        <f>IFERROR(__xludf.DUMMYFUNCTION("""COMPUTED_VALUE"""),-2.2882481268304153)</f>
        <v>-2.288248127</v>
      </c>
      <c r="T319" s="11">
        <f>IFERROR(__xludf.DUMMYFUNCTION("""COMPUTED_VALUE"""),-1.0440164878540512)</f>
        <v>-1.044016488</v>
      </c>
      <c r="U319" s="11">
        <f>IFERROR(__xludf.DUMMYFUNCTION("""COMPUTED_VALUE"""),-1.2038079721398716)</f>
        <v>-1.203807972</v>
      </c>
      <c r="V319" s="11">
        <f>IFERROR(__xludf.DUMMYFUNCTION("""COMPUTED_VALUE"""),-1.2008996442390003)</f>
        <v>-1.200899644</v>
      </c>
      <c r="W319" s="11">
        <f>IFERROR(__xludf.DUMMYFUNCTION("""COMPUTED_VALUE"""),-1.5805271231567248)</f>
        <v>-1.580527123</v>
      </c>
      <c r="X319" s="11">
        <f>IFERROR(__xludf.DUMMYFUNCTION("""COMPUTED_VALUE"""),-0.9723047469492465)</f>
        <v>-0.9723047469</v>
      </c>
      <c r="Y319" s="11">
        <f>IFERROR(__xludf.DUMMYFUNCTION("""COMPUTED_VALUE"""),-0.008817172439744355)</f>
        <v>-0.00881717244</v>
      </c>
      <c r="Z319" s="11">
        <f>IFERROR(__xludf.DUMMYFUNCTION("""COMPUTED_VALUE"""),-0.37600716921487676)</f>
        <v>-0.3760071692</v>
      </c>
      <c r="AA319" s="11">
        <f>IFERROR(__xludf.DUMMYFUNCTION("""COMPUTED_VALUE"""),0.3344452390794733)</f>
        <v>0.3344452391</v>
      </c>
      <c r="AB319" t="str">
        <f>IFERROR(__xludf.DUMMYFUNCTION("SUBSTITUTE(REGEXREPLACE(REGEXREPLACE(REGEXREPLACE(REGEXREPLACE(REGEXREPLACE(REGEXREPLACE(F319,"","",),IF(Projections!$T$17="""",""PG"",),),IF(Projections!$U$17="""",""SG"",),),IF(Projections!$V$17="""",""SF"",),),IF(Projections!$W$17="""",""PF"",),),IF(Pr"&amp;"ojections!$X$17="""",""C"",),),""/"","""")"),"PF")</f>
        <v>PF</v>
      </c>
    </row>
    <row r="320">
      <c r="B320">
        <f>IFERROR(__xludf.DUMMYFUNCTION("""COMPUTED_VALUE"""),315.0)</f>
        <v>315</v>
      </c>
      <c r="D320" t="str">
        <f>IFERROR(__xludf.DUMMYFUNCTION("""COMPUTED_VALUE"""),"Davion Mitchell")</f>
        <v>Davion Mitchell</v>
      </c>
      <c r="E320">
        <f>IFERROR(__xludf.DUMMYFUNCTION("""COMPUTED_VALUE"""),43.0)</f>
        <v>43</v>
      </c>
      <c r="F320" t="str">
        <f>IFERROR(__xludf.DUMMYFUNCTION("""COMPUTED_VALUE"""),"PG,SG")</f>
        <v>PG,SG</v>
      </c>
      <c r="G320" s="11">
        <f>IFERROR(__xludf.DUMMYFUNCTION("""COMPUTED_VALUE"""),-6.056252857008888)</f>
        <v>-6.056252857</v>
      </c>
      <c r="H320" s="11">
        <f>IFERROR(__xludf.DUMMYFUNCTION("""COMPUTED_VALUE"""),-6.056252857008888)</f>
        <v>-6.056252857</v>
      </c>
      <c r="I320" s="11">
        <f>IFERROR(__xludf.DUMMYFUNCTION("""COMPUTED_VALUE"""),0.0)</f>
        <v>0</v>
      </c>
      <c r="J320" s="11">
        <f>IFERROR(__xludf.DUMMYFUNCTION("""COMPUTED_VALUE"""),6.6)</f>
        <v>6.6</v>
      </c>
      <c r="K320" s="11">
        <f>IFERROR(__xludf.DUMMYFUNCTION("""COMPUTED_VALUE"""),1.0)</f>
        <v>1</v>
      </c>
      <c r="L320" s="11">
        <f>IFERROR(__xludf.DUMMYFUNCTION("""COMPUTED_VALUE"""),1.6)</f>
        <v>1.6</v>
      </c>
      <c r="M320" s="11">
        <f>IFERROR(__xludf.DUMMYFUNCTION("""COMPUTED_VALUE"""),2.5)</f>
        <v>2.5</v>
      </c>
      <c r="N320" s="11">
        <f>IFERROR(__xludf.DUMMYFUNCTION("""COMPUTED_VALUE"""),0.5)</f>
        <v>0.5</v>
      </c>
      <c r="O320" s="11">
        <f>IFERROR(__xludf.DUMMYFUNCTION("""COMPUTED_VALUE"""),0.1)</f>
        <v>0.1</v>
      </c>
      <c r="P320" s="15">
        <f>IFERROR(__xludf.DUMMYFUNCTION("""COMPUTED_VALUE"""),0.453)</f>
        <v>0.453</v>
      </c>
      <c r="Q320" s="15">
        <f>IFERROR(__xludf.DUMMYFUNCTION("""COMPUTED_VALUE"""),0.741)</f>
        <v>0.741</v>
      </c>
      <c r="R320" s="11">
        <f>IFERROR(__xludf.DUMMYFUNCTION("""COMPUTED_VALUE"""),0.8)</f>
        <v>0.8</v>
      </c>
      <c r="S320" s="11">
        <f>IFERROR(__xludf.DUMMYFUNCTION("""COMPUTED_VALUE"""),-1.9630816914916234)</f>
        <v>-1.963081691</v>
      </c>
      <c r="T320" s="11">
        <f>IFERROR(__xludf.DUMMYFUNCTION("""COMPUTED_VALUE"""),-0.7454435907594266)</f>
        <v>-0.7454435908</v>
      </c>
      <c r="U320" s="11">
        <f>IFERROR(__xludf.DUMMYFUNCTION("""COMPUTED_VALUE"""),-1.7529771678894812)</f>
        <v>-1.752977168</v>
      </c>
      <c r="V320" s="11">
        <f>IFERROR(__xludf.DUMMYFUNCTION("""COMPUTED_VALUE"""),-0.6541583991734051)</f>
        <v>-0.6541583992</v>
      </c>
      <c r="W320" s="11">
        <f>IFERROR(__xludf.DUMMYFUNCTION("""COMPUTED_VALUE"""),-1.5805271231567248)</f>
        <v>-1.580527123</v>
      </c>
      <c r="X320" s="11">
        <f>IFERROR(__xludf.DUMMYFUNCTION("""COMPUTED_VALUE"""),-1.150698449001903)</f>
        <v>-1.150698449</v>
      </c>
      <c r="Y320" s="11">
        <f>IFERROR(__xludf.DUMMYFUNCTION("""COMPUTED_VALUE"""),-0.2931414895587513)</f>
        <v>-0.2931414896</v>
      </c>
      <c r="Z320" s="11">
        <f>IFERROR(__xludf.DUMMYFUNCTION("""COMPUTED_VALUE"""),-0.11455902264472201)</f>
        <v>-0.1145590226</v>
      </c>
      <c r="AA320" s="11">
        <f>IFERROR(__xludf.DUMMYFUNCTION("""COMPUTED_VALUE"""),0.23525238517552666)</f>
        <v>0.2352523852</v>
      </c>
      <c r="AB320" t="str">
        <f>IFERROR(__xludf.DUMMYFUNCTION("SUBSTITUTE(REGEXREPLACE(REGEXREPLACE(REGEXREPLACE(REGEXREPLACE(REGEXREPLACE(REGEXREPLACE(F320,"","",),IF(Projections!$T$17="""",""PG"",),),IF(Projections!$U$17="""",""SG"",),),IF(Projections!$V$17="""",""SF"",),),IF(Projections!$W$17="""",""PF"",),),IF(Pr"&amp;"ojections!$X$17="""",""C"",),),""/"","""")"),"PGSG")</f>
        <v>PGSG</v>
      </c>
    </row>
    <row r="321">
      <c r="B321">
        <f>IFERROR(__xludf.DUMMYFUNCTION("""COMPUTED_VALUE"""),316.0)</f>
        <v>316</v>
      </c>
      <c r="D321" t="str">
        <f>IFERROR(__xludf.DUMMYFUNCTION("""COMPUTED_VALUE"""),"Trey Jemison")</f>
        <v>Trey Jemison</v>
      </c>
      <c r="E321">
        <f>IFERROR(__xludf.DUMMYFUNCTION("""COMPUTED_VALUE"""),71.0)</f>
        <v>71</v>
      </c>
      <c r="F321" t="str">
        <f>IFERROR(__xludf.DUMMYFUNCTION("""COMPUTED_VALUE"""),"C")</f>
        <v>C</v>
      </c>
      <c r="G321" s="11">
        <f>IFERROR(__xludf.DUMMYFUNCTION("""COMPUTED_VALUE"""),-6.077246476509969)</f>
        <v>-6.077246477</v>
      </c>
      <c r="H321" s="11">
        <f>IFERROR(__xludf.DUMMYFUNCTION("""COMPUTED_VALUE"""),-6.077246476509969)</f>
        <v>-6.077246477</v>
      </c>
      <c r="I321" s="11">
        <f>IFERROR(__xludf.DUMMYFUNCTION("""COMPUTED_VALUE"""),0.0)</f>
        <v>0</v>
      </c>
      <c r="J321" s="11">
        <f>IFERROR(__xludf.DUMMYFUNCTION("""COMPUTED_VALUE"""),4.2)</f>
        <v>4.2</v>
      </c>
      <c r="K321" s="11">
        <f>IFERROR(__xludf.DUMMYFUNCTION("""COMPUTED_VALUE"""),0.0)</f>
        <v>0</v>
      </c>
      <c r="L321" s="11">
        <f>IFERROR(__xludf.DUMMYFUNCTION("""COMPUTED_VALUE"""),3.3)</f>
        <v>3.3</v>
      </c>
      <c r="M321" s="11">
        <f>IFERROR(__xludf.DUMMYFUNCTION("""COMPUTED_VALUE"""),0.7)</f>
        <v>0.7</v>
      </c>
      <c r="N321" s="11">
        <f>IFERROR(__xludf.DUMMYFUNCTION("""COMPUTED_VALUE"""),0.3)</f>
        <v>0.3</v>
      </c>
      <c r="O321" s="11">
        <f>IFERROR(__xludf.DUMMYFUNCTION("""COMPUTED_VALUE"""),0.7)</f>
        <v>0.7</v>
      </c>
      <c r="P321" s="15">
        <f>IFERROR(__xludf.DUMMYFUNCTION("""COMPUTED_VALUE"""),0.552)</f>
        <v>0.552</v>
      </c>
      <c r="Q321" s="15">
        <f>IFERROR(__xludf.DUMMYFUNCTION("""COMPUTED_VALUE"""),0.839)</f>
        <v>0.839</v>
      </c>
      <c r="R321" s="11">
        <f>IFERROR(__xludf.DUMMYFUNCTION("""COMPUTED_VALUE"""),0.8)</f>
        <v>0.8</v>
      </c>
      <c r="S321" s="11">
        <f>IFERROR(__xludf.DUMMYFUNCTION("""COMPUTED_VALUE"""),-2.396636938610013)</f>
        <v>-2.396636939</v>
      </c>
      <c r="T321" s="11">
        <f>IFERROR(__xludf.DUMMYFUNCTION("""COMPUTED_VALUE"""),-1.7406865810748415)</f>
        <v>-1.740686581</v>
      </c>
      <c r="U321" s="11">
        <f>IFERROR(__xludf.DUMMYFUNCTION("""COMPUTED_VALUE"""),-1.0861288587649554)</f>
        <v>-1.086128859</v>
      </c>
      <c r="V321" s="11">
        <f>IFERROR(__xludf.DUMMYFUNCTION("""COMPUTED_VALUE"""),-1.4742702667717982)</f>
        <v>-1.474270267</v>
      </c>
      <c r="W321" s="11">
        <f>IFERROR(__xludf.DUMMYFUNCTION("""COMPUTED_VALUE"""),-2.2443924794756835)</f>
        <v>-2.244392479</v>
      </c>
      <c r="X321" s="11">
        <f>IFERROR(__xludf.DUMMYFUNCTION("""COMPUTED_VALUE"""),-0.08033623668596498)</f>
        <v>-0.08033623669</v>
      </c>
      <c r="Y321" s="11">
        <f>IFERROR(__xludf.DUMMYFUNCTION("""COMPUTED_VALUE"""),0.2196391805760254)</f>
        <v>0.2196391806</v>
      </c>
      <c r="Z321" s="11">
        <f>IFERROR(__xludf.DUMMYFUNCTION("""COMPUTED_VALUE"""),0.09367638051172154)</f>
        <v>0.09367638051</v>
      </c>
      <c r="AA321" s="11">
        <f>IFERROR(__xludf.DUMMYFUNCTION("""COMPUTED_VALUE"""),0.23525238517552666)</f>
        <v>0.2352523852</v>
      </c>
      <c r="AB321" t="str">
        <f>IFERROR(__xludf.DUMMYFUNCTION("SUBSTITUTE(REGEXREPLACE(REGEXREPLACE(REGEXREPLACE(REGEXREPLACE(REGEXREPLACE(REGEXREPLACE(F321,"","",),IF(Projections!$T$17="""",""PG"",),),IF(Projections!$U$17="""",""SG"",),),IF(Projections!$V$17="""",""SF"",),),IF(Projections!$W$17="""",""PF"",),),IF(Pr"&amp;"ojections!$X$17="""",""C"",),),""/"","""")"),"C")</f>
        <v>C</v>
      </c>
    </row>
    <row r="322">
      <c r="B322">
        <f>IFERROR(__xludf.DUMMYFUNCTION("""COMPUTED_VALUE"""),317.0)</f>
        <v>317</v>
      </c>
      <c r="D322" t="str">
        <f>IFERROR(__xludf.DUMMYFUNCTION("""COMPUTED_VALUE"""),"Devin Carter")</f>
        <v>Devin Carter</v>
      </c>
      <c r="E322">
        <f>IFERROR(__xludf.DUMMYFUNCTION("""COMPUTED_VALUE"""),66.0)</f>
        <v>66</v>
      </c>
      <c r="F322" t="str">
        <f>IFERROR(__xludf.DUMMYFUNCTION("""COMPUTED_VALUE"""),"PG")</f>
        <v>PG</v>
      </c>
      <c r="G322" s="11">
        <f>IFERROR(__xludf.DUMMYFUNCTION("""COMPUTED_VALUE"""),-6.088404433811232)</f>
        <v>-6.088404434</v>
      </c>
      <c r="H322" s="11">
        <f>IFERROR(__xludf.DUMMYFUNCTION("""COMPUTED_VALUE"""),-6.088404433811232)</f>
        <v>-6.088404434</v>
      </c>
      <c r="I322" s="11">
        <f>IFERROR(__xludf.DUMMYFUNCTION("""COMPUTED_VALUE"""),0.0)</f>
        <v>0</v>
      </c>
      <c r="J322" s="11">
        <f>IFERROR(__xludf.DUMMYFUNCTION("""COMPUTED_VALUE"""),6.1)</f>
        <v>6.1</v>
      </c>
      <c r="K322" s="11">
        <f>IFERROR(__xludf.DUMMYFUNCTION("""COMPUTED_VALUE"""),0.8)</f>
        <v>0.8</v>
      </c>
      <c r="L322" s="11">
        <f>IFERROR(__xludf.DUMMYFUNCTION("""COMPUTED_VALUE"""),2.7)</f>
        <v>2.7</v>
      </c>
      <c r="M322" s="11">
        <f>IFERROR(__xludf.DUMMYFUNCTION("""COMPUTED_VALUE"""),1.1)</f>
        <v>1.1</v>
      </c>
      <c r="N322" s="11">
        <f>IFERROR(__xludf.DUMMYFUNCTION("""COMPUTED_VALUE"""),0.5)</f>
        <v>0.5</v>
      </c>
      <c r="O322" s="11">
        <f>IFERROR(__xludf.DUMMYFUNCTION("""COMPUTED_VALUE"""),0.3)</f>
        <v>0.3</v>
      </c>
      <c r="P322" s="15">
        <f>IFERROR(__xludf.DUMMYFUNCTION("""COMPUTED_VALUE"""),0.472)</f>
        <v>0.472</v>
      </c>
      <c r="Q322" s="15">
        <f>IFERROR(__xludf.DUMMYFUNCTION("""COMPUTED_VALUE"""),0.748)</f>
        <v>0.748</v>
      </c>
      <c r="R322" s="11">
        <f>IFERROR(__xludf.DUMMYFUNCTION("""COMPUTED_VALUE"""),0.8)</f>
        <v>0.8</v>
      </c>
      <c r="S322" s="11">
        <f>IFERROR(__xludf.DUMMYFUNCTION("""COMPUTED_VALUE"""),-2.0534057013079545)</f>
        <v>-2.053405701</v>
      </c>
      <c r="T322" s="11">
        <f>IFERROR(__xludf.DUMMYFUNCTION("""COMPUTED_VALUE"""),-0.9444921888225095)</f>
        <v>-0.9444921888</v>
      </c>
      <c r="U322" s="11">
        <f>IFERROR(__xludf.DUMMYFUNCTION("""COMPUTED_VALUE"""),-1.321487085514788)</f>
        <v>-1.321487086</v>
      </c>
      <c r="V322" s="11">
        <f>IFERROR(__xludf.DUMMYFUNCTION("""COMPUTED_VALUE"""),-1.2920231850832664)</f>
        <v>-1.292023185</v>
      </c>
      <c r="W322" s="11">
        <f>IFERROR(__xludf.DUMMYFUNCTION("""COMPUTED_VALUE"""),-1.5805271231567248)</f>
        <v>-1.580527123</v>
      </c>
      <c r="X322" s="11">
        <f>IFERROR(__xludf.DUMMYFUNCTION("""COMPUTED_VALUE"""),-0.7939110448965904)</f>
        <v>-0.7939110449</v>
      </c>
      <c r="Y322" s="11">
        <f>IFERROR(__xludf.DUMMYFUNCTION("""COMPUTED_VALUE"""),-0.12538935077580066)</f>
        <v>-0.1253893508</v>
      </c>
      <c r="Z322" s="11">
        <f>IFERROR(__xludf.DUMMYFUNCTION("""COMPUTED_VALUE"""),-0.26582684073707896)</f>
        <v>-0.2658268407</v>
      </c>
      <c r="AA322" s="11">
        <f>IFERROR(__xludf.DUMMYFUNCTION("""COMPUTED_VALUE"""),0.23525238517552666)</f>
        <v>0.2352523852</v>
      </c>
      <c r="AB322" t="str">
        <f>IFERROR(__xludf.DUMMYFUNCTION("SUBSTITUTE(REGEXREPLACE(REGEXREPLACE(REGEXREPLACE(REGEXREPLACE(REGEXREPLACE(REGEXREPLACE(F322,"","",),IF(Projections!$T$17="""",""PG"",),),IF(Projections!$U$17="""",""SG"",),),IF(Projections!$V$17="""",""SF"",),),IF(Projections!$W$17="""",""PF"",),),IF(Pr"&amp;"ojections!$X$17="""",""C"",),),""/"","""")"),"PG")</f>
        <v>PG</v>
      </c>
    </row>
    <row r="323">
      <c r="B323">
        <f>IFERROR(__xludf.DUMMYFUNCTION("""COMPUTED_VALUE"""),318.0)</f>
        <v>318</v>
      </c>
      <c r="D323" t="str">
        <f>IFERROR(__xludf.DUMMYFUNCTION("""COMPUTED_VALUE"""),"Thomas Bryant")</f>
        <v>Thomas Bryant</v>
      </c>
      <c r="E323">
        <f>IFERROR(__xludf.DUMMYFUNCTION("""COMPUTED_VALUE"""),66.0)</f>
        <v>66</v>
      </c>
      <c r="F323" t="str">
        <f>IFERROR(__xludf.DUMMYFUNCTION("""COMPUTED_VALUE"""),"C")</f>
        <v>C</v>
      </c>
      <c r="G323" s="11">
        <f>IFERROR(__xludf.DUMMYFUNCTION("""COMPUTED_VALUE"""),-6.091434357423118)</f>
        <v>-6.091434357</v>
      </c>
      <c r="H323" s="11">
        <f>IFERROR(__xludf.DUMMYFUNCTION("""COMPUTED_VALUE"""),-6.091434357423118)</f>
        <v>-6.091434357</v>
      </c>
      <c r="I323" s="11">
        <f>IFERROR(__xludf.DUMMYFUNCTION("""COMPUTED_VALUE"""),0.0)</f>
        <v>0</v>
      </c>
      <c r="J323" s="11">
        <f>IFERROR(__xludf.DUMMYFUNCTION("""COMPUTED_VALUE"""),6.0)</f>
        <v>6</v>
      </c>
      <c r="K323" s="11">
        <f>IFERROR(__xludf.DUMMYFUNCTION("""COMPUTED_VALUE"""),0.2)</f>
        <v>0.2</v>
      </c>
      <c r="L323" s="11">
        <f>IFERROR(__xludf.DUMMYFUNCTION("""COMPUTED_VALUE"""),3.6)</f>
        <v>3.6</v>
      </c>
      <c r="M323" s="11">
        <f>IFERROR(__xludf.DUMMYFUNCTION("""COMPUTED_VALUE"""),0.4)</f>
        <v>0.4</v>
      </c>
      <c r="N323" s="11">
        <f>IFERROR(__xludf.DUMMYFUNCTION("""COMPUTED_VALUE"""),0.2)</f>
        <v>0.2</v>
      </c>
      <c r="O323" s="11">
        <f>IFERROR(__xludf.DUMMYFUNCTION("""COMPUTED_VALUE"""),0.4)</f>
        <v>0.4</v>
      </c>
      <c r="P323" s="15">
        <f>IFERROR(__xludf.DUMMYFUNCTION("""COMPUTED_VALUE"""),0.61)</f>
        <v>0.61</v>
      </c>
      <c r="Q323" s="15">
        <f>IFERROR(__xludf.DUMMYFUNCTION("""COMPUTED_VALUE"""),0.771)</f>
        <v>0.771</v>
      </c>
      <c r="R323" s="11">
        <f>IFERROR(__xludf.DUMMYFUNCTION("""COMPUTED_VALUE"""),0.5)</f>
        <v>0.5</v>
      </c>
      <c r="S323" s="11">
        <f>IFERROR(__xludf.DUMMYFUNCTION("""COMPUTED_VALUE"""),-2.071470503271221)</f>
        <v>-2.071470503</v>
      </c>
      <c r="T323" s="11">
        <f>IFERROR(__xludf.DUMMYFUNCTION("""COMPUTED_VALUE"""),-1.5416379830117586)</f>
        <v>-1.541637983</v>
      </c>
      <c r="U323" s="11">
        <f>IFERROR(__xludf.DUMMYFUNCTION("""COMPUTED_VALUE"""),-0.9684497453900388)</f>
        <v>-0.9684497454</v>
      </c>
      <c r="V323" s="11">
        <f>IFERROR(__xludf.DUMMYFUNCTION("""COMPUTED_VALUE"""),-1.610955578038197)</f>
        <v>-1.610955578</v>
      </c>
      <c r="W323" s="11">
        <f>IFERROR(__xludf.DUMMYFUNCTION("""COMPUTED_VALUE"""),-2.576325157635163)</f>
        <v>-2.576325158</v>
      </c>
      <c r="X323" s="11">
        <f>IFERROR(__xludf.DUMMYFUNCTION("""COMPUTED_VALUE"""),-0.6155173428439339)</f>
        <v>-0.6155173428</v>
      </c>
      <c r="Y323" s="11">
        <f>IFERROR(__xludf.DUMMYFUNCTION("""COMPUTED_VALUE"""),0.517045666838684)</f>
        <v>0.5170456668</v>
      </c>
      <c r="Z323" s="11">
        <f>IFERROR(__xludf.DUMMYFUNCTION("""COMPUTED_VALUE"""),-0.11009589731014076)</f>
        <v>-0.1100958973</v>
      </c>
      <c r="AA323" s="11">
        <f>IFERROR(__xludf.DUMMYFUNCTION("""COMPUTED_VALUE"""),0.3096470256034866)</f>
        <v>0.3096470256</v>
      </c>
      <c r="AB323" t="str">
        <f>IFERROR(__xludf.DUMMYFUNCTION("SUBSTITUTE(REGEXREPLACE(REGEXREPLACE(REGEXREPLACE(REGEXREPLACE(REGEXREPLACE(REGEXREPLACE(F323,"","",),IF(Projections!$T$17="""",""PG"",),),IF(Projections!$U$17="""",""SG"",),),IF(Projections!$V$17="""",""SF"",),),IF(Projections!$W$17="""",""PF"",),),IF(Pr"&amp;"ojections!$X$17="""",""C"",),),""/"","""")"),"C")</f>
        <v>C</v>
      </c>
    </row>
    <row r="324">
      <c r="B324">
        <f>IFERROR(__xludf.DUMMYFUNCTION("""COMPUTED_VALUE"""),319.0)</f>
        <v>319</v>
      </c>
      <c r="D324" t="str">
        <f>IFERROR(__xludf.DUMMYFUNCTION("""COMPUTED_VALUE"""),"Ochai Agbaji")</f>
        <v>Ochai Agbaji</v>
      </c>
      <c r="E324">
        <f>IFERROR(__xludf.DUMMYFUNCTION("""COMPUTED_VALUE"""),43.0)</f>
        <v>43</v>
      </c>
      <c r="F324" t="str">
        <f>IFERROR(__xludf.DUMMYFUNCTION("""COMPUTED_VALUE"""),"SG,SF")</f>
        <v>SG,SF</v>
      </c>
      <c r="G324" s="11">
        <f>IFERROR(__xludf.DUMMYFUNCTION("""COMPUTED_VALUE"""),-6.105603739893297)</f>
        <v>-6.10560374</v>
      </c>
      <c r="H324" s="11">
        <f>IFERROR(__xludf.DUMMYFUNCTION("""COMPUTED_VALUE"""),-6.105603739893297)</f>
        <v>-6.10560374</v>
      </c>
      <c r="I324" s="11">
        <f>IFERROR(__xludf.DUMMYFUNCTION("""COMPUTED_VALUE"""),0.0)</f>
        <v>0</v>
      </c>
      <c r="J324" s="11">
        <f>IFERROR(__xludf.DUMMYFUNCTION("""COMPUTED_VALUE"""),6.7)</f>
        <v>6.7</v>
      </c>
      <c r="K324" s="11">
        <f>IFERROR(__xludf.DUMMYFUNCTION("""COMPUTED_VALUE"""),1.0)</f>
        <v>1</v>
      </c>
      <c r="L324" s="11">
        <f>IFERROR(__xludf.DUMMYFUNCTION("""COMPUTED_VALUE"""),2.5)</f>
        <v>2.5</v>
      </c>
      <c r="M324" s="11">
        <f>IFERROR(__xludf.DUMMYFUNCTION("""COMPUTED_VALUE"""),1.1)</f>
        <v>1.1</v>
      </c>
      <c r="N324" s="11">
        <f>IFERROR(__xludf.DUMMYFUNCTION("""COMPUTED_VALUE"""),0.5)</f>
        <v>0.5</v>
      </c>
      <c r="O324" s="11">
        <f>IFERROR(__xludf.DUMMYFUNCTION("""COMPUTED_VALUE"""),0.4)</f>
        <v>0.4</v>
      </c>
      <c r="P324" s="15">
        <f>IFERROR(__xludf.DUMMYFUNCTION("""COMPUTED_VALUE"""),0.418)</f>
        <v>0.418</v>
      </c>
      <c r="Q324" s="15">
        <f>IFERROR(__xludf.DUMMYFUNCTION("""COMPUTED_VALUE"""),0.747)</f>
        <v>0.747</v>
      </c>
      <c r="R324" s="11">
        <f>IFERROR(__xludf.DUMMYFUNCTION("""COMPUTED_VALUE"""),0.8)</f>
        <v>0.8</v>
      </c>
      <c r="S324" s="11">
        <f>IFERROR(__xludf.DUMMYFUNCTION("""COMPUTED_VALUE"""),-1.945016889528357)</f>
        <v>-1.94501689</v>
      </c>
      <c r="T324" s="11">
        <f>IFERROR(__xludf.DUMMYFUNCTION("""COMPUTED_VALUE"""),-0.7454435907594266)</f>
        <v>-0.7454435908</v>
      </c>
      <c r="U324" s="11">
        <f>IFERROR(__xludf.DUMMYFUNCTION("""COMPUTED_VALUE"""),-1.3999398277647324)</f>
        <v>-1.399939828</v>
      </c>
      <c r="V324" s="11">
        <f>IFERROR(__xludf.DUMMYFUNCTION("""COMPUTED_VALUE"""),-1.2920231850832664)</f>
        <v>-1.292023185</v>
      </c>
      <c r="W324" s="11">
        <f>IFERROR(__xludf.DUMMYFUNCTION("""COMPUTED_VALUE"""),-1.5805271231567248)</f>
        <v>-1.580527123</v>
      </c>
      <c r="X324" s="11">
        <f>IFERROR(__xludf.DUMMYFUNCTION("""COMPUTED_VALUE"""),-0.6155173428439339)</f>
        <v>-0.6155173428</v>
      </c>
      <c r="Y324" s="11">
        <f>IFERROR(__xludf.DUMMYFUNCTION("""COMPUTED_VALUE"""),-0.5546901809672083)</f>
        <v>-0.554690181</v>
      </c>
      <c r="Z324" s="11">
        <f>IFERROR(__xludf.DUMMYFUNCTION("""COMPUTED_VALUE"""),-0.15271487449353205)</f>
        <v>-0.1527148745</v>
      </c>
      <c r="AA324" s="11">
        <f>IFERROR(__xludf.DUMMYFUNCTION("""COMPUTED_VALUE"""),0.23525238517552666)</f>
        <v>0.2352523852</v>
      </c>
      <c r="AB324" t="str">
        <f>IFERROR(__xludf.DUMMYFUNCTION("SUBSTITUTE(REGEXREPLACE(REGEXREPLACE(REGEXREPLACE(REGEXREPLACE(REGEXREPLACE(REGEXREPLACE(F324,"","",),IF(Projections!$T$17="""",""PG"",),),IF(Projections!$U$17="""",""SG"",),),IF(Projections!$V$17="""",""SF"",),),IF(Projections!$W$17="""",""PF"",),),IF(Pr"&amp;"ojections!$X$17="""",""C"",),),""/"","""")"),"SGSF")</f>
        <v>SGSF</v>
      </c>
    </row>
    <row r="325">
      <c r="B325">
        <f>IFERROR(__xludf.DUMMYFUNCTION("""COMPUTED_VALUE"""),320.0)</f>
        <v>320</v>
      </c>
      <c r="D325" t="str">
        <f>IFERROR(__xludf.DUMMYFUNCTION("""COMPUTED_VALUE"""),"Guerschon Yabusele")</f>
        <v>Guerschon Yabusele</v>
      </c>
      <c r="E325">
        <f>IFERROR(__xludf.DUMMYFUNCTION("""COMPUTED_VALUE"""),28.0)</f>
        <v>28</v>
      </c>
      <c r="G325" s="11">
        <f>IFERROR(__xludf.DUMMYFUNCTION("""COMPUTED_VALUE"""),-6.1405688322171095)</f>
        <v>-6.140568832</v>
      </c>
      <c r="H325" s="11">
        <f>IFERROR(__xludf.DUMMYFUNCTION("""COMPUTED_VALUE"""),-6.1405688322171095)</f>
        <v>-6.140568832</v>
      </c>
      <c r="I325" s="11">
        <f>IFERROR(__xludf.DUMMYFUNCTION("""COMPUTED_VALUE"""),0.0)</f>
        <v>0</v>
      </c>
      <c r="J325" s="11">
        <f>IFERROR(__xludf.DUMMYFUNCTION("""COMPUTED_VALUE"""),5.7)</f>
        <v>5.7</v>
      </c>
      <c r="K325" s="11">
        <f>IFERROR(__xludf.DUMMYFUNCTION("""COMPUTED_VALUE"""),0.9)</f>
        <v>0.9</v>
      </c>
      <c r="L325" s="11">
        <f>IFERROR(__xludf.DUMMYFUNCTION("""COMPUTED_VALUE"""),2.7)</f>
        <v>2.7</v>
      </c>
      <c r="M325" s="11">
        <f>IFERROR(__xludf.DUMMYFUNCTION("""COMPUTED_VALUE"""),0.8)</f>
        <v>0.8</v>
      </c>
      <c r="N325" s="11">
        <f>IFERROR(__xludf.DUMMYFUNCTION("""COMPUTED_VALUE"""),0.4)</f>
        <v>0.4</v>
      </c>
      <c r="O325" s="11">
        <f>IFERROR(__xludf.DUMMYFUNCTION("""COMPUTED_VALUE"""),0.4)</f>
        <v>0.4</v>
      </c>
      <c r="P325" s="15">
        <f>IFERROR(__xludf.DUMMYFUNCTION("""COMPUTED_VALUE"""),0.466)</f>
        <v>0.466</v>
      </c>
      <c r="Q325" s="15">
        <f>IFERROR(__xludf.DUMMYFUNCTION("""COMPUTED_VALUE"""),0.77)</f>
        <v>0.77</v>
      </c>
      <c r="R325" s="11">
        <f>IFERROR(__xludf.DUMMYFUNCTION("""COMPUTED_VALUE"""),0.8)</f>
        <v>0.8</v>
      </c>
      <c r="S325" s="11">
        <f>IFERROR(__xludf.DUMMYFUNCTION("""COMPUTED_VALUE"""),-2.1256649091610194)</f>
        <v>-2.125664909</v>
      </c>
      <c r="T325" s="11">
        <f>IFERROR(__xludf.DUMMYFUNCTION("""COMPUTED_VALUE"""),-0.844967889790968)</f>
        <v>-0.8449678898</v>
      </c>
      <c r="U325" s="11">
        <f>IFERROR(__xludf.DUMMYFUNCTION("""COMPUTED_VALUE"""),-1.321487085514788)</f>
        <v>-1.321487086</v>
      </c>
      <c r="V325" s="11">
        <f>IFERROR(__xludf.DUMMYFUNCTION("""COMPUTED_VALUE"""),-1.428708496349665)</f>
        <v>-1.428708496</v>
      </c>
      <c r="W325" s="11">
        <f>IFERROR(__xludf.DUMMYFUNCTION("""COMPUTED_VALUE"""),-1.912459801316204)</f>
        <v>-1.912459801</v>
      </c>
      <c r="X325" s="11">
        <f>IFERROR(__xludf.DUMMYFUNCTION("""COMPUTED_VALUE"""),-0.6155173428439339)</f>
        <v>-0.6155173428</v>
      </c>
      <c r="Y325" s="11">
        <f>IFERROR(__xludf.DUMMYFUNCTION("""COMPUTED_VALUE"""),-0.15562697435921138)</f>
        <v>-0.1556269744</v>
      </c>
      <c r="Z325" s="11">
        <f>IFERROR(__xludf.DUMMYFUNCTION("""COMPUTED_VALUE"""),-0.09705362721786524)</f>
        <v>-0.09705362722</v>
      </c>
      <c r="AA325" s="11">
        <f>IFERROR(__xludf.DUMMYFUNCTION("""COMPUTED_VALUE"""),0.23525238517552666)</f>
        <v>0.2352523852</v>
      </c>
      <c r="AB325" t="str">
        <f>IFERROR(__xludf.DUMMYFUNCTION("SUBSTITUTE(REGEXREPLACE(REGEXREPLACE(REGEXREPLACE(REGEXREPLACE(REGEXREPLACE(REGEXREPLACE(F325,"","",),IF(Projections!$T$17="""",""PG"",),),IF(Projections!$U$17="""",""SG"",),),IF(Projections!$V$17="""",""SF"",),),IF(Projections!$W$17="""",""PF"",),),IF(Pr"&amp;"ojections!$X$17="""",""C"",),),""/"","""")"),"")</f>
        <v/>
      </c>
    </row>
    <row r="326">
      <c r="B326">
        <f>IFERROR(__xludf.DUMMYFUNCTION("""COMPUTED_VALUE"""),321.0)</f>
        <v>321</v>
      </c>
      <c r="D326" t="str">
        <f>IFERROR(__xludf.DUMMYFUNCTION("""COMPUTED_VALUE"""),"Amir Coffey")</f>
        <v>Amir Coffey</v>
      </c>
      <c r="E326">
        <f>IFERROR(__xludf.DUMMYFUNCTION("""COMPUTED_VALUE"""),58.0)</f>
        <v>58</v>
      </c>
      <c r="F326" t="str">
        <f>IFERROR(__xludf.DUMMYFUNCTION("""COMPUTED_VALUE"""),"SF,PF")</f>
        <v>SF,PF</v>
      </c>
      <c r="G326" s="11">
        <f>IFERROR(__xludf.DUMMYFUNCTION("""COMPUTED_VALUE"""),-6.1426575831102825)</f>
        <v>-6.142657583</v>
      </c>
      <c r="H326" s="11">
        <f>IFERROR(__xludf.DUMMYFUNCTION("""COMPUTED_VALUE"""),-6.1426575831102825)</f>
        <v>-6.142657583</v>
      </c>
      <c r="I326" s="11">
        <f>IFERROR(__xludf.DUMMYFUNCTION("""COMPUTED_VALUE"""),0.0)</f>
        <v>0</v>
      </c>
      <c r="J326" s="11">
        <f>IFERROR(__xludf.DUMMYFUNCTION("""COMPUTED_VALUE"""),6.4)</f>
        <v>6.4</v>
      </c>
      <c r="K326" s="11">
        <f>IFERROR(__xludf.DUMMYFUNCTION("""COMPUTED_VALUE"""),0.8)</f>
        <v>0.8</v>
      </c>
      <c r="L326" s="11">
        <f>IFERROR(__xludf.DUMMYFUNCTION("""COMPUTED_VALUE"""),2.0)</f>
        <v>2</v>
      </c>
      <c r="M326" s="11">
        <f>IFERROR(__xludf.DUMMYFUNCTION("""COMPUTED_VALUE"""),1.3)</f>
        <v>1.3</v>
      </c>
      <c r="N326" s="11">
        <f>IFERROR(__xludf.DUMMYFUNCTION("""COMPUTED_VALUE"""),0.5)</f>
        <v>0.5</v>
      </c>
      <c r="O326" s="11">
        <f>IFERROR(__xludf.DUMMYFUNCTION("""COMPUTED_VALUE"""),0.2)</f>
        <v>0.2</v>
      </c>
      <c r="P326" s="15">
        <f>IFERROR(__xludf.DUMMYFUNCTION("""COMPUTED_VALUE"""),0.447)</f>
        <v>0.447</v>
      </c>
      <c r="Q326" s="15">
        <f>IFERROR(__xludf.DUMMYFUNCTION("""COMPUTED_VALUE"""),0.822)</f>
        <v>0.822</v>
      </c>
      <c r="R326" s="11">
        <f>IFERROR(__xludf.DUMMYFUNCTION("""COMPUTED_VALUE"""),0.5)</f>
        <v>0.5</v>
      </c>
      <c r="S326" s="11">
        <f>IFERROR(__xludf.DUMMYFUNCTION("""COMPUTED_VALUE"""),-1.9992112954181556)</f>
        <v>-1.999211295</v>
      </c>
      <c r="T326" s="11">
        <f>IFERROR(__xludf.DUMMYFUNCTION("""COMPUTED_VALUE"""),-0.9444921888225095)</f>
        <v>-0.9444921888</v>
      </c>
      <c r="U326" s="11">
        <f>IFERROR(__xludf.DUMMYFUNCTION("""COMPUTED_VALUE"""),-1.596071683389593)</f>
        <v>-1.596071683</v>
      </c>
      <c r="V326" s="11">
        <f>IFERROR(__xludf.DUMMYFUNCTION("""COMPUTED_VALUE"""),-1.2008996442390003)</f>
        <v>-1.200899644</v>
      </c>
      <c r="W326" s="11">
        <f>IFERROR(__xludf.DUMMYFUNCTION("""COMPUTED_VALUE"""),-1.5805271231567248)</f>
        <v>-1.580527123</v>
      </c>
      <c r="X326" s="11">
        <f>IFERROR(__xludf.DUMMYFUNCTION("""COMPUTED_VALUE"""),-0.9723047469492465)</f>
        <v>-0.9723047469</v>
      </c>
      <c r="Y326" s="11">
        <f>IFERROR(__xludf.DUMMYFUNCTION("""COMPUTED_VALUE"""),-0.29230168493024744)</f>
        <v>-0.2923016849</v>
      </c>
      <c r="Z326" s="11">
        <f>IFERROR(__xludf.DUMMYFUNCTION("""COMPUTED_VALUE"""),0.1342924627735516)</f>
        <v>0.1342924628</v>
      </c>
      <c r="AA326" s="11">
        <f>IFERROR(__xludf.DUMMYFUNCTION("""COMPUTED_VALUE"""),0.3096470256034866)</f>
        <v>0.3096470256</v>
      </c>
      <c r="AB326" t="str">
        <f>IFERROR(__xludf.DUMMYFUNCTION("SUBSTITUTE(REGEXREPLACE(REGEXREPLACE(REGEXREPLACE(REGEXREPLACE(REGEXREPLACE(REGEXREPLACE(F326,"","",),IF(Projections!$T$17="""",""PG"",),),IF(Projections!$U$17="""",""SG"",),),IF(Projections!$V$17="""",""SF"",),),IF(Projections!$W$17="""",""PF"",),),IF(Pr"&amp;"ojections!$X$17="""",""C"",),),""/"","""")"),"SFPF")</f>
        <v>SFPF</v>
      </c>
    </row>
    <row r="327">
      <c r="B327">
        <f>IFERROR(__xludf.DUMMYFUNCTION("""COMPUTED_VALUE"""),322.0)</f>
        <v>322</v>
      </c>
      <c r="D327" t="str">
        <f>IFERROR(__xludf.DUMMYFUNCTION("""COMPUTED_VALUE"""),"Malaki Branham")</f>
        <v>Malaki Branham</v>
      </c>
      <c r="E327">
        <f>IFERROR(__xludf.DUMMYFUNCTION("""COMPUTED_VALUE"""),46.0)</f>
        <v>46</v>
      </c>
      <c r="F327" t="str">
        <f>IFERROR(__xludf.DUMMYFUNCTION("""COMPUTED_VALUE"""),"PG,SG")</f>
        <v>PG,SG</v>
      </c>
      <c r="G327" s="11">
        <f>IFERROR(__xludf.DUMMYFUNCTION("""COMPUTED_VALUE"""),-6.148131793576117)</f>
        <v>-6.148131794</v>
      </c>
      <c r="H327" s="11">
        <f>IFERROR(__xludf.DUMMYFUNCTION("""COMPUTED_VALUE"""),-6.148131793576117)</f>
        <v>-6.148131794</v>
      </c>
      <c r="I327" s="11">
        <f>IFERROR(__xludf.DUMMYFUNCTION("""COMPUTED_VALUE"""),0.0)</f>
        <v>0</v>
      </c>
      <c r="J327" s="11">
        <f>IFERROR(__xludf.DUMMYFUNCTION("""COMPUTED_VALUE"""),8.6)</f>
        <v>8.6</v>
      </c>
      <c r="K327" s="11">
        <f>IFERROR(__xludf.DUMMYFUNCTION("""COMPUTED_VALUE"""),1.1)</f>
        <v>1.1</v>
      </c>
      <c r="L327" s="11">
        <f>IFERROR(__xludf.DUMMYFUNCTION("""COMPUTED_VALUE"""),2.1)</f>
        <v>2.1</v>
      </c>
      <c r="M327" s="11">
        <f>IFERROR(__xludf.DUMMYFUNCTION("""COMPUTED_VALUE"""),1.8)</f>
        <v>1.8</v>
      </c>
      <c r="N327" s="11">
        <f>IFERROR(__xludf.DUMMYFUNCTION("""COMPUTED_VALUE"""),0.4)</f>
        <v>0.4</v>
      </c>
      <c r="O327" s="11">
        <f>IFERROR(__xludf.DUMMYFUNCTION("""COMPUTED_VALUE"""),0.1)</f>
        <v>0.1</v>
      </c>
      <c r="P327" s="15">
        <f>IFERROR(__xludf.DUMMYFUNCTION("""COMPUTED_VALUE"""),0.436)</f>
        <v>0.436</v>
      </c>
      <c r="Q327" s="15">
        <f>IFERROR(__xludf.DUMMYFUNCTION("""COMPUTED_VALUE"""),0.857)</f>
        <v>0.857</v>
      </c>
      <c r="R327" s="11">
        <f>IFERROR(__xludf.DUMMYFUNCTION("""COMPUTED_VALUE"""),1.1)</f>
        <v>1.1</v>
      </c>
      <c r="S327" s="11">
        <f>IFERROR(__xludf.DUMMYFUNCTION("""COMPUTED_VALUE"""),-1.6017856522262985)</f>
        <v>-1.601785652</v>
      </c>
      <c r="T327" s="11">
        <f>IFERROR(__xludf.DUMMYFUNCTION("""COMPUTED_VALUE"""),-0.645919291727885)</f>
        <v>-0.6459192917</v>
      </c>
      <c r="U327" s="11">
        <f>IFERROR(__xludf.DUMMYFUNCTION("""COMPUTED_VALUE"""),-1.5568453122646206)</f>
        <v>-1.556845312</v>
      </c>
      <c r="V327" s="11">
        <f>IFERROR(__xludf.DUMMYFUNCTION("""COMPUTED_VALUE"""),-0.9730907921283356)</f>
        <v>-0.9730907921</v>
      </c>
      <c r="W327" s="11">
        <f>IFERROR(__xludf.DUMMYFUNCTION("""COMPUTED_VALUE"""),-1.912459801316204)</f>
        <v>-1.912459801</v>
      </c>
      <c r="X327" s="11">
        <f>IFERROR(__xludf.DUMMYFUNCTION("""COMPUTED_VALUE"""),-1.150698449001903)</f>
        <v>-1.150698449</v>
      </c>
      <c r="Y327" s="11">
        <f>IFERROR(__xludf.DUMMYFUNCTION("""COMPUTED_VALUE"""),-0.5565483069197389)</f>
        <v>-0.5565483069</v>
      </c>
      <c r="Z327" s="11">
        <f>IFERROR(__xludf.DUMMYFUNCTION("""COMPUTED_VALUE"""),0.17589826594509797)</f>
        <v>0.1758982659</v>
      </c>
      <c r="AA327" s="11">
        <f>IFERROR(__xludf.DUMMYFUNCTION("""COMPUTED_VALUE"""),0.16085774474756667)</f>
        <v>0.1608577447</v>
      </c>
      <c r="AB327" t="str">
        <f>IFERROR(__xludf.DUMMYFUNCTION("SUBSTITUTE(REGEXREPLACE(REGEXREPLACE(REGEXREPLACE(REGEXREPLACE(REGEXREPLACE(REGEXREPLACE(F327,"","",),IF(Projections!$T$17="""",""PG"",),),IF(Projections!$U$17="""",""SG"",),),IF(Projections!$V$17="""",""SF"",),),IF(Projections!$W$17="""",""PF"",),),IF(Pr"&amp;"ojections!$X$17="""",""C"",),),""/"","""")"),"PGSG")</f>
        <v>PGSG</v>
      </c>
    </row>
    <row r="328">
      <c r="B328">
        <f>IFERROR(__xludf.DUMMYFUNCTION("""COMPUTED_VALUE"""),323.0)</f>
        <v>323</v>
      </c>
      <c r="D328" t="str">
        <f>IFERROR(__xludf.DUMMYFUNCTION("""COMPUTED_VALUE"""),"Leonard Miller")</f>
        <v>Leonard Miller</v>
      </c>
      <c r="E328">
        <f>IFERROR(__xludf.DUMMYFUNCTION("""COMPUTED_VALUE"""),59.0)</f>
        <v>59</v>
      </c>
      <c r="F328" t="str">
        <f>IFERROR(__xludf.DUMMYFUNCTION("""COMPUTED_VALUE"""),"PF")</f>
        <v>PF</v>
      </c>
      <c r="G328" s="11">
        <f>IFERROR(__xludf.DUMMYFUNCTION("""COMPUTED_VALUE"""),-6.172214177628071)</f>
        <v>-6.172214178</v>
      </c>
      <c r="H328" s="11">
        <f>IFERROR(__xludf.DUMMYFUNCTION("""COMPUTED_VALUE"""),-6.172214177628071)</f>
        <v>-6.172214178</v>
      </c>
      <c r="I328" s="11">
        <f>IFERROR(__xludf.DUMMYFUNCTION("""COMPUTED_VALUE"""),0.0)</f>
        <v>0</v>
      </c>
      <c r="J328" s="11">
        <f>IFERROR(__xludf.DUMMYFUNCTION("""COMPUTED_VALUE"""),4.9)</f>
        <v>4.9</v>
      </c>
      <c r="K328" s="11">
        <f>IFERROR(__xludf.DUMMYFUNCTION("""COMPUTED_VALUE"""),0.3)</f>
        <v>0.3</v>
      </c>
      <c r="L328" s="11">
        <f>IFERROR(__xludf.DUMMYFUNCTION("""COMPUTED_VALUE"""),3.4)</f>
        <v>3.4</v>
      </c>
      <c r="M328" s="11">
        <f>IFERROR(__xludf.DUMMYFUNCTION("""COMPUTED_VALUE"""),1.4)</f>
        <v>1.4</v>
      </c>
      <c r="N328" s="11">
        <f>IFERROR(__xludf.DUMMYFUNCTION("""COMPUTED_VALUE"""),0.3)</f>
        <v>0.3</v>
      </c>
      <c r="O328" s="11">
        <f>IFERROR(__xludf.DUMMYFUNCTION("""COMPUTED_VALUE"""),0.2)</f>
        <v>0.2</v>
      </c>
      <c r="P328" s="15">
        <f>IFERROR(__xludf.DUMMYFUNCTION("""COMPUTED_VALUE"""),0.652)</f>
        <v>0.652</v>
      </c>
      <c r="Q328" s="15">
        <f>IFERROR(__xludf.DUMMYFUNCTION("""COMPUTED_VALUE"""),0.5)</f>
        <v>0.5</v>
      </c>
      <c r="R328" s="11">
        <f>IFERROR(__xludf.DUMMYFUNCTION("""COMPUTED_VALUE"""),0.2)</f>
        <v>0.2</v>
      </c>
      <c r="S328" s="11">
        <f>IFERROR(__xludf.DUMMYFUNCTION("""COMPUTED_VALUE"""),-2.270183324867149)</f>
        <v>-2.270183325</v>
      </c>
      <c r="T328" s="11">
        <f>IFERROR(__xludf.DUMMYFUNCTION("""COMPUTED_VALUE"""),-1.442113683980217)</f>
        <v>-1.442113684</v>
      </c>
      <c r="U328" s="11">
        <f>IFERROR(__xludf.DUMMYFUNCTION("""COMPUTED_VALUE"""),-1.0469024876399833)</f>
        <v>-1.046902488</v>
      </c>
      <c r="V328" s="11">
        <f>IFERROR(__xludf.DUMMYFUNCTION("""COMPUTED_VALUE"""),-1.1553378738168676)</f>
        <v>-1.155337874</v>
      </c>
      <c r="W328" s="11">
        <f>IFERROR(__xludf.DUMMYFUNCTION("""COMPUTED_VALUE"""),-2.2443924794756835)</f>
        <v>-2.244392479</v>
      </c>
      <c r="X328" s="11">
        <f>IFERROR(__xludf.DUMMYFUNCTION("""COMPUTED_VALUE"""),-0.9723047469492465)</f>
        <v>-0.9723047469</v>
      </c>
      <c r="Y328" s="11">
        <f>IFERROR(__xludf.DUMMYFUNCTION("""COMPUTED_VALUE"""),0.6181194913651621)</f>
        <v>0.6181194914</v>
      </c>
      <c r="Z328" s="11">
        <f>IFERROR(__xludf.DUMMYFUNCTION("""COMPUTED_VALUE"""),-0.31332406316268197)</f>
        <v>-0.3133240632</v>
      </c>
      <c r="AA328" s="11">
        <f>IFERROR(__xludf.DUMMYFUNCTION("""COMPUTED_VALUE"""),0.3840416660314466)</f>
        <v>0.384041666</v>
      </c>
      <c r="AB328" t="str">
        <f>IFERROR(__xludf.DUMMYFUNCTION("SUBSTITUTE(REGEXREPLACE(REGEXREPLACE(REGEXREPLACE(REGEXREPLACE(REGEXREPLACE(REGEXREPLACE(F328,"","",),IF(Projections!$T$17="""",""PG"",),),IF(Projections!$U$17="""",""SG"",),),IF(Projections!$V$17="""",""SF"",),),IF(Projections!$W$17="""",""PF"",),),IF(Pr"&amp;"ojections!$X$17="""",""C"",),),""/"","""")"),"PF")</f>
        <v>PF</v>
      </c>
    </row>
    <row r="329">
      <c r="B329">
        <f>IFERROR(__xludf.DUMMYFUNCTION("""COMPUTED_VALUE"""),324.0)</f>
        <v>324</v>
      </c>
      <c r="D329" t="str">
        <f>IFERROR(__xludf.DUMMYFUNCTION("""COMPUTED_VALUE"""),"Bol Bol")</f>
        <v>Bol Bol</v>
      </c>
      <c r="E329">
        <f>IFERROR(__xludf.DUMMYFUNCTION("""COMPUTED_VALUE"""),66.0)</f>
        <v>66</v>
      </c>
      <c r="F329" t="str">
        <f>IFERROR(__xludf.DUMMYFUNCTION("""COMPUTED_VALUE"""),"PF,C")</f>
        <v>PF,C</v>
      </c>
      <c r="G329" s="11">
        <f>IFERROR(__xludf.DUMMYFUNCTION("""COMPUTED_VALUE"""),-6.2386167454999875)</f>
        <v>-6.238616745</v>
      </c>
      <c r="H329" s="11">
        <f>IFERROR(__xludf.DUMMYFUNCTION("""COMPUTED_VALUE"""),-6.2386167454999875)</f>
        <v>-6.238616745</v>
      </c>
      <c r="I329" s="11">
        <f>IFERROR(__xludf.DUMMYFUNCTION("""COMPUTED_VALUE"""),0.0)</f>
        <v>0</v>
      </c>
      <c r="J329" s="11">
        <f>IFERROR(__xludf.DUMMYFUNCTION("""COMPUTED_VALUE"""),4.9)</f>
        <v>4.9</v>
      </c>
      <c r="K329" s="11">
        <f>IFERROR(__xludf.DUMMYFUNCTION("""COMPUTED_VALUE"""),0.3)</f>
        <v>0.3</v>
      </c>
      <c r="L329" s="11">
        <f>IFERROR(__xludf.DUMMYFUNCTION("""COMPUTED_VALUE"""),3.1)</f>
        <v>3.1</v>
      </c>
      <c r="M329" s="11">
        <f>IFERROR(__xludf.DUMMYFUNCTION("""COMPUTED_VALUE"""),0.5)</f>
        <v>0.5</v>
      </c>
      <c r="N329" s="11">
        <f>IFERROR(__xludf.DUMMYFUNCTION("""COMPUTED_VALUE"""),0.2)</f>
        <v>0.2</v>
      </c>
      <c r="O329" s="11">
        <f>IFERROR(__xludf.DUMMYFUNCTION("""COMPUTED_VALUE"""),0.6)</f>
        <v>0.6</v>
      </c>
      <c r="P329" s="15">
        <f>IFERROR(__xludf.DUMMYFUNCTION("""COMPUTED_VALUE"""),0.563)</f>
        <v>0.563</v>
      </c>
      <c r="Q329" s="15">
        <f>IFERROR(__xludf.DUMMYFUNCTION("""COMPUTED_VALUE"""),0.764)</f>
        <v>0.764</v>
      </c>
      <c r="R329" s="11">
        <f>IFERROR(__xludf.DUMMYFUNCTION("""COMPUTED_VALUE"""),0.7)</f>
        <v>0.7</v>
      </c>
      <c r="S329" s="11">
        <f>IFERROR(__xludf.DUMMYFUNCTION("""COMPUTED_VALUE"""),-2.270183324867149)</f>
        <v>-2.270183325</v>
      </c>
      <c r="T329" s="11">
        <f>IFERROR(__xludf.DUMMYFUNCTION("""COMPUTED_VALUE"""),-1.442113683980217)</f>
        <v>-1.442113684</v>
      </c>
      <c r="U329" s="11">
        <f>IFERROR(__xludf.DUMMYFUNCTION("""COMPUTED_VALUE"""),-1.1645816010148995)</f>
        <v>-1.164581601</v>
      </c>
      <c r="V329" s="11">
        <f>IFERROR(__xludf.DUMMYFUNCTION("""COMPUTED_VALUE"""),-1.565393807616064)</f>
        <v>-1.565393808</v>
      </c>
      <c r="W329" s="11">
        <f>IFERROR(__xludf.DUMMYFUNCTION("""COMPUTED_VALUE"""),-2.576325157635163)</f>
        <v>-2.576325158</v>
      </c>
      <c r="X329" s="11">
        <f>IFERROR(__xludf.DUMMYFUNCTION("""COMPUTED_VALUE"""),-0.25872993873862127)</f>
        <v>-0.2587299387</v>
      </c>
      <c r="Y329" s="11">
        <f>IFERROR(__xludf.DUMMYFUNCTION("""COMPUTED_VALUE"""),0.27897036857240837)</f>
        <v>0.2789703686</v>
      </c>
      <c r="Z329" s="11">
        <f>IFERROR(__xludf.DUMMYFUNCTION("""COMPUTED_VALUE"""),-0.07663535650695892)</f>
        <v>-0.07663535651</v>
      </c>
      <c r="AA329" s="11">
        <f>IFERROR(__xludf.DUMMYFUNCTION("""COMPUTED_VALUE"""),0.26005059865151336)</f>
        <v>0.2600505987</v>
      </c>
      <c r="AB329" t="str">
        <f>IFERROR(__xludf.DUMMYFUNCTION("SUBSTITUTE(REGEXREPLACE(REGEXREPLACE(REGEXREPLACE(REGEXREPLACE(REGEXREPLACE(REGEXREPLACE(F329,"","",),IF(Projections!$T$17="""",""PG"",),),IF(Projections!$U$17="""",""SG"",),),IF(Projections!$V$17="""",""SF"",),),IF(Projections!$W$17="""",""PF"",),),IF(Pr"&amp;"ojections!$X$17="""",""C"",),),""/"","""")"),"PFC")</f>
        <v>PFC</v>
      </c>
    </row>
    <row r="330">
      <c r="B330">
        <f>IFERROR(__xludf.DUMMYFUNCTION("""COMPUTED_VALUE"""),325.0)</f>
        <v>325</v>
      </c>
      <c r="D330" t="str">
        <f>IFERROR(__xludf.DUMMYFUNCTION("""COMPUTED_VALUE"""),"Maxi Kleber")</f>
        <v>Maxi Kleber</v>
      </c>
      <c r="E330">
        <f>IFERROR(__xludf.DUMMYFUNCTION("""COMPUTED_VALUE"""),71.0)</f>
        <v>71</v>
      </c>
      <c r="F330" t="str">
        <f>IFERROR(__xludf.DUMMYFUNCTION("""COMPUTED_VALUE"""),"PF,C")</f>
        <v>PF,C</v>
      </c>
      <c r="G330" s="11">
        <f>IFERROR(__xludf.DUMMYFUNCTION("""COMPUTED_VALUE"""),-6.246755866795117)</f>
        <v>-6.246755867</v>
      </c>
      <c r="H330" s="11">
        <f>IFERROR(__xludf.DUMMYFUNCTION("""COMPUTED_VALUE"""),-6.246755866795117)</f>
        <v>-6.246755867</v>
      </c>
      <c r="I330" s="11">
        <f>IFERROR(__xludf.DUMMYFUNCTION("""COMPUTED_VALUE"""),0.0)</f>
        <v>0</v>
      </c>
      <c r="J330" s="11">
        <f>IFERROR(__xludf.DUMMYFUNCTION("""COMPUTED_VALUE"""),4.3)</f>
        <v>4.3</v>
      </c>
      <c r="K330" s="11">
        <f>IFERROR(__xludf.DUMMYFUNCTION("""COMPUTED_VALUE"""),0.7)</f>
        <v>0.7</v>
      </c>
      <c r="L330" s="11">
        <f>IFERROR(__xludf.DUMMYFUNCTION("""COMPUTED_VALUE"""),2.9)</f>
        <v>2.9</v>
      </c>
      <c r="M330" s="11">
        <f>IFERROR(__xludf.DUMMYFUNCTION("""COMPUTED_VALUE"""),1.2)</f>
        <v>1.2</v>
      </c>
      <c r="N330" s="11">
        <f>IFERROR(__xludf.DUMMYFUNCTION("""COMPUTED_VALUE"""),0.3)</f>
        <v>0.3</v>
      </c>
      <c r="O330" s="11">
        <f>IFERROR(__xludf.DUMMYFUNCTION("""COMPUTED_VALUE"""),0.6)</f>
        <v>0.6</v>
      </c>
      <c r="P330" s="15">
        <f>IFERROR(__xludf.DUMMYFUNCTION("""COMPUTED_VALUE"""),0.443)</f>
        <v>0.443</v>
      </c>
      <c r="Q330" s="15">
        <f>IFERROR(__xludf.DUMMYFUNCTION("""COMPUTED_VALUE"""),0.705)</f>
        <v>0.705</v>
      </c>
      <c r="R330" s="11">
        <f>IFERROR(__xludf.DUMMYFUNCTION("""COMPUTED_VALUE"""),0.6)</f>
        <v>0.6</v>
      </c>
      <c r="S330" s="11">
        <f>IFERROR(__xludf.DUMMYFUNCTION("""COMPUTED_VALUE"""),-2.3785721366467465)</f>
        <v>-2.378572137</v>
      </c>
      <c r="T330" s="11">
        <f>IFERROR(__xludf.DUMMYFUNCTION("""COMPUTED_VALUE"""),-1.0440164878540512)</f>
        <v>-1.044016488</v>
      </c>
      <c r="U330" s="11">
        <f>IFERROR(__xludf.DUMMYFUNCTION("""COMPUTED_VALUE"""),-1.2430343432648439)</f>
        <v>-1.243034343</v>
      </c>
      <c r="V330" s="11">
        <f>IFERROR(__xludf.DUMMYFUNCTION("""COMPUTED_VALUE"""),-1.2464614146611335)</f>
        <v>-1.246461415</v>
      </c>
      <c r="W330" s="11">
        <f>IFERROR(__xludf.DUMMYFUNCTION("""COMPUTED_VALUE"""),-2.2443924794756835)</f>
        <v>-2.244392479</v>
      </c>
      <c r="X330" s="11">
        <f>IFERROR(__xludf.DUMMYFUNCTION("""COMPUTED_VALUE"""),-0.25872993873862127)</f>
        <v>-0.2587299387</v>
      </c>
      <c r="Y330" s="11">
        <f>IFERROR(__xludf.DUMMYFUNCTION("""COMPUTED_VALUE"""),-0.2083895241198945)</f>
        <v>-0.2083895241</v>
      </c>
      <c r="Z330" s="11">
        <f>IFERROR(__xludf.DUMMYFUNCTION("""COMPUTED_VALUE"""),-0.2865804908083888)</f>
        <v>-0.2865804908</v>
      </c>
      <c r="AA330" s="11">
        <f>IFERROR(__xludf.DUMMYFUNCTION("""COMPUTED_VALUE"""),0.28484881212749996)</f>
        <v>0.2848488121</v>
      </c>
      <c r="AB330" t="str">
        <f>IFERROR(__xludf.DUMMYFUNCTION("SUBSTITUTE(REGEXREPLACE(REGEXREPLACE(REGEXREPLACE(REGEXREPLACE(REGEXREPLACE(REGEXREPLACE(F330,"","",),IF(Projections!$T$17="""",""PG"",),),IF(Projections!$U$17="""",""SG"",),),IF(Projections!$V$17="""",""SF"",),),IF(Projections!$W$17="""",""PF"",),),IF(Pr"&amp;"ojections!$X$17="""",""C"",),),""/"","""")"),"PFC")</f>
        <v>PFC</v>
      </c>
    </row>
    <row r="331">
      <c r="B331">
        <f>IFERROR(__xludf.DUMMYFUNCTION("""COMPUTED_VALUE"""),326.0)</f>
        <v>326</v>
      </c>
      <c r="D331" t="str">
        <f>IFERROR(__xludf.DUMMYFUNCTION("""COMPUTED_VALUE"""),"Jabari Walker")</f>
        <v>Jabari Walker</v>
      </c>
      <c r="E331">
        <f>IFERROR(__xludf.DUMMYFUNCTION("""COMPUTED_VALUE"""),62.0)</f>
        <v>62</v>
      </c>
      <c r="F331" t="str">
        <f>IFERROR(__xludf.DUMMYFUNCTION("""COMPUTED_VALUE"""),"SF,PF")</f>
        <v>SF,PF</v>
      </c>
      <c r="G331" s="11">
        <f>IFERROR(__xludf.DUMMYFUNCTION("""COMPUTED_VALUE"""),-6.255929759929249)</f>
        <v>-6.25592976</v>
      </c>
      <c r="H331" s="11">
        <f>IFERROR(__xludf.DUMMYFUNCTION("""COMPUTED_VALUE"""),-6.255929759929249)</f>
        <v>-6.25592976</v>
      </c>
      <c r="I331" s="11">
        <f>IFERROR(__xludf.DUMMYFUNCTION("""COMPUTED_VALUE"""),0.0)</f>
        <v>0</v>
      </c>
      <c r="J331" s="11">
        <f>IFERROR(__xludf.DUMMYFUNCTION("""COMPUTED_VALUE"""),6.4)</f>
        <v>6.4</v>
      </c>
      <c r="K331" s="11">
        <f>IFERROR(__xludf.DUMMYFUNCTION("""COMPUTED_VALUE"""),0.4)</f>
        <v>0.4</v>
      </c>
      <c r="L331" s="11">
        <f>IFERROR(__xludf.DUMMYFUNCTION("""COMPUTED_VALUE"""),4.8)</f>
        <v>4.8</v>
      </c>
      <c r="M331" s="11">
        <f>IFERROR(__xludf.DUMMYFUNCTION("""COMPUTED_VALUE"""),0.8)</f>
        <v>0.8</v>
      </c>
      <c r="N331" s="11">
        <f>IFERROR(__xludf.DUMMYFUNCTION("""COMPUTED_VALUE"""),0.4)</f>
        <v>0.4</v>
      </c>
      <c r="O331" s="11">
        <f>IFERROR(__xludf.DUMMYFUNCTION("""COMPUTED_VALUE"""),0.3)</f>
        <v>0.3</v>
      </c>
      <c r="P331" s="15">
        <f>IFERROR(__xludf.DUMMYFUNCTION("""COMPUTED_VALUE"""),0.449)</f>
        <v>0.449</v>
      </c>
      <c r="Q331" s="15">
        <f>IFERROR(__xludf.DUMMYFUNCTION("""COMPUTED_VALUE"""),0.752)</f>
        <v>0.752</v>
      </c>
      <c r="R331" s="11">
        <f>IFERROR(__xludf.DUMMYFUNCTION("""COMPUTED_VALUE"""),0.7)</f>
        <v>0.7</v>
      </c>
      <c r="S331" s="11">
        <f>IFERROR(__xludf.DUMMYFUNCTION("""COMPUTED_VALUE"""),-1.9992112954181556)</f>
        <v>-1.999211295</v>
      </c>
      <c r="T331" s="11">
        <f>IFERROR(__xludf.DUMMYFUNCTION("""COMPUTED_VALUE"""),-1.3425893849486756)</f>
        <v>-1.342589385</v>
      </c>
      <c r="U331" s="11">
        <f>IFERROR(__xludf.DUMMYFUNCTION("""COMPUTED_VALUE"""),-0.49773329189037346)</f>
        <v>-0.4977332919</v>
      </c>
      <c r="V331" s="11">
        <f>IFERROR(__xludf.DUMMYFUNCTION("""COMPUTED_VALUE"""),-1.428708496349665)</f>
        <v>-1.428708496</v>
      </c>
      <c r="W331" s="11">
        <f>IFERROR(__xludf.DUMMYFUNCTION("""COMPUTED_VALUE"""),-1.912459801316204)</f>
        <v>-1.912459801</v>
      </c>
      <c r="X331" s="11">
        <f>IFERROR(__xludf.DUMMYFUNCTION("""COMPUTED_VALUE"""),-0.7939110448965904)</f>
        <v>-0.7939110449</v>
      </c>
      <c r="Y331" s="11">
        <f>IFERROR(__xludf.DUMMYFUNCTION("""COMPUTED_VALUE"""),-0.2974165763367539)</f>
        <v>-0.2974165763</v>
      </c>
      <c r="Z331" s="11">
        <f>IFERROR(__xludf.DUMMYFUNCTION("""COMPUTED_VALUE"""),-0.24316176284250002)</f>
        <v>-0.2431617628</v>
      </c>
      <c r="AA331" s="11">
        <f>IFERROR(__xludf.DUMMYFUNCTION("""COMPUTED_VALUE"""),0.26005059865151336)</f>
        <v>0.2600505987</v>
      </c>
      <c r="AB331" t="str">
        <f>IFERROR(__xludf.DUMMYFUNCTION("SUBSTITUTE(REGEXREPLACE(REGEXREPLACE(REGEXREPLACE(REGEXREPLACE(REGEXREPLACE(REGEXREPLACE(F331,"","",),IF(Projections!$T$17="""",""PG"",),),IF(Projections!$U$17="""",""SG"",),),IF(Projections!$V$17="""",""SF"",),),IF(Projections!$W$17="""",""PF"",),),IF(Pr"&amp;"ojections!$X$17="""",""C"",),),""/"","""")"),"SFPF")</f>
        <v>SFPF</v>
      </c>
    </row>
    <row r="332">
      <c r="B332">
        <f>IFERROR(__xludf.DUMMYFUNCTION("""COMPUTED_VALUE"""),327.0)</f>
        <v>327</v>
      </c>
      <c r="D332" t="str">
        <f>IFERROR(__xludf.DUMMYFUNCTION("""COMPUTED_VALUE"""),"Charles Bassey")</f>
        <v>Charles Bassey</v>
      </c>
      <c r="E332">
        <f>IFERROR(__xludf.DUMMYFUNCTION("""COMPUTED_VALUE"""),46.0)</f>
        <v>46</v>
      </c>
      <c r="F332" t="str">
        <f>IFERROR(__xludf.DUMMYFUNCTION("""COMPUTED_VALUE"""),"C")</f>
        <v>C</v>
      </c>
      <c r="G332" s="11">
        <f>IFERROR(__xludf.DUMMYFUNCTION("""COMPUTED_VALUE"""),-6.272343291749943)</f>
        <v>-6.272343292</v>
      </c>
      <c r="H332" s="11">
        <f>IFERROR(__xludf.DUMMYFUNCTION("""COMPUTED_VALUE"""),-6.272343291749943)</f>
        <v>-6.272343292</v>
      </c>
      <c r="I332" s="11">
        <f>IFERROR(__xludf.DUMMYFUNCTION("""COMPUTED_VALUE"""),0.0)</f>
        <v>0</v>
      </c>
      <c r="J332" s="11">
        <f>IFERROR(__xludf.DUMMYFUNCTION("""COMPUTED_VALUE"""),3.3)</f>
        <v>3.3</v>
      </c>
      <c r="K332" s="11">
        <f>IFERROR(__xludf.DUMMYFUNCTION("""COMPUTED_VALUE"""),0.0)</f>
        <v>0</v>
      </c>
      <c r="L332" s="11">
        <f>IFERROR(__xludf.DUMMYFUNCTION("""COMPUTED_VALUE"""),3.4)</f>
        <v>3.4</v>
      </c>
      <c r="M332" s="11">
        <f>IFERROR(__xludf.DUMMYFUNCTION("""COMPUTED_VALUE"""),0.9)</f>
        <v>0.9</v>
      </c>
      <c r="N332" s="11">
        <f>IFERROR(__xludf.DUMMYFUNCTION("""COMPUTED_VALUE"""),0.3)</f>
        <v>0.3</v>
      </c>
      <c r="O332" s="11">
        <f>IFERROR(__xludf.DUMMYFUNCTION("""COMPUTED_VALUE"""),0.6)</f>
        <v>0.6</v>
      </c>
      <c r="P332" s="15">
        <f>IFERROR(__xludf.DUMMYFUNCTION("""COMPUTED_VALUE"""),0.665)</f>
        <v>0.665</v>
      </c>
      <c r="Q332" s="15">
        <f>IFERROR(__xludf.DUMMYFUNCTION("""COMPUTED_VALUE"""),0.63)</f>
        <v>0.63</v>
      </c>
      <c r="R332" s="11">
        <f>IFERROR(__xludf.DUMMYFUNCTION("""COMPUTED_VALUE"""),0.7)</f>
        <v>0.7</v>
      </c>
      <c r="S332" s="11">
        <f>IFERROR(__xludf.DUMMYFUNCTION("""COMPUTED_VALUE"""),-2.559220156279409)</f>
        <v>-2.559220156</v>
      </c>
      <c r="T332" s="11">
        <f>IFERROR(__xludf.DUMMYFUNCTION("""COMPUTED_VALUE"""),-1.7406865810748415)</f>
        <v>-1.740686581</v>
      </c>
      <c r="U332" s="11">
        <f>IFERROR(__xludf.DUMMYFUNCTION("""COMPUTED_VALUE"""),-1.0469024876399833)</f>
        <v>-1.046902488</v>
      </c>
      <c r="V332" s="11">
        <f>IFERROR(__xludf.DUMMYFUNCTION("""COMPUTED_VALUE"""),-1.3831467259275323)</f>
        <v>-1.383146726</v>
      </c>
      <c r="W332" s="11">
        <f>IFERROR(__xludf.DUMMYFUNCTION("""COMPUTED_VALUE"""),-2.2443924794756835)</f>
        <v>-2.244392479</v>
      </c>
      <c r="X332" s="11">
        <f>IFERROR(__xludf.DUMMYFUNCTION("""COMPUTED_VALUE"""),-0.25872993873862127)</f>
        <v>-0.2587299387</v>
      </c>
      <c r="Y332" s="11">
        <f>IFERROR(__xludf.DUMMYFUNCTION("""COMPUTED_VALUE"""),0.43347889702619113)</f>
        <v>0.433478897</v>
      </c>
      <c r="Z332" s="11">
        <f>IFERROR(__xludf.DUMMYFUNCTION("""COMPUTED_VALUE"""),-0.29201457457098634)</f>
        <v>-0.2920145746</v>
      </c>
      <c r="AA332" s="11">
        <f>IFERROR(__xludf.DUMMYFUNCTION("""COMPUTED_VALUE"""),0.26005059865151336)</f>
        <v>0.2600505987</v>
      </c>
      <c r="AB332" t="str">
        <f>IFERROR(__xludf.DUMMYFUNCTION("SUBSTITUTE(REGEXREPLACE(REGEXREPLACE(REGEXREPLACE(REGEXREPLACE(REGEXREPLACE(REGEXREPLACE(F332,"","",),IF(Projections!$T$17="""",""PG"",),),IF(Projections!$U$17="""",""SG"",),),IF(Projections!$V$17="""",""SF"",),),IF(Projections!$W$17="""",""PF"",),),IF(Pr"&amp;"ojections!$X$17="""",""C"",),),""/"","""")"),"C")</f>
        <v>C</v>
      </c>
    </row>
    <row r="333">
      <c r="B333">
        <f>IFERROR(__xludf.DUMMYFUNCTION("""COMPUTED_VALUE"""),328.0)</f>
        <v>328</v>
      </c>
      <c r="D333" t="str">
        <f>IFERROR(__xludf.DUMMYFUNCTION("""COMPUTED_VALUE"""),"Richaun Holmes")</f>
        <v>Richaun Holmes</v>
      </c>
      <c r="E333">
        <f>IFERROR(__xludf.DUMMYFUNCTION("""COMPUTED_VALUE"""),38.0)</f>
        <v>38</v>
      </c>
      <c r="F333" t="str">
        <f>IFERROR(__xludf.DUMMYFUNCTION("""COMPUTED_VALUE"""),"C")</f>
        <v>C</v>
      </c>
      <c r="G333" s="11">
        <f>IFERROR(__xludf.DUMMYFUNCTION("""COMPUTED_VALUE"""),-6.300308816632798)</f>
        <v>-6.300308817</v>
      </c>
      <c r="H333" s="11">
        <f>IFERROR(__xludf.DUMMYFUNCTION("""COMPUTED_VALUE"""),-6.300308816632798)</f>
        <v>-6.300308817</v>
      </c>
      <c r="I333" s="11">
        <f>IFERROR(__xludf.DUMMYFUNCTION("""COMPUTED_VALUE"""),0.0)</f>
        <v>0</v>
      </c>
      <c r="J333" s="11">
        <f>IFERROR(__xludf.DUMMYFUNCTION("""COMPUTED_VALUE"""),4.9)</f>
        <v>4.9</v>
      </c>
      <c r="K333" s="11">
        <f>IFERROR(__xludf.DUMMYFUNCTION("""COMPUTED_VALUE"""),0.1)</f>
        <v>0.1</v>
      </c>
      <c r="L333" s="11">
        <f>IFERROR(__xludf.DUMMYFUNCTION("""COMPUTED_VALUE"""),3.9)</f>
        <v>3.9</v>
      </c>
      <c r="M333" s="11">
        <f>IFERROR(__xludf.DUMMYFUNCTION("""COMPUTED_VALUE"""),0.5)</f>
        <v>0.5</v>
      </c>
      <c r="N333" s="11">
        <f>IFERROR(__xludf.DUMMYFUNCTION("""COMPUTED_VALUE"""),0.2)</f>
        <v>0.2</v>
      </c>
      <c r="O333" s="11">
        <f>IFERROR(__xludf.DUMMYFUNCTION("""COMPUTED_VALUE"""),0.5)</f>
        <v>0.5</v>
      </c>
      <c r="P333" s="15">
        <f>IFERROR(__xludf.DUMMYFUNCTION("""COMPUTED_VALUE"""),0.582)</f>
        <v>0.582</v>
      </c>
      <c r="Q333" s="15">
        <f>IFERROR(__xludf.DUMMYFUNCTION("""COMPUTED_VALUE"""),0.747)</f>
        <v>0.747</v>
      </c>
      <c r="R333" s="11">
        <f>IFERROR(__xludf.DUMMYFUNCTION("""COMPUTED_VALUE"""),0.6)</f>
        <v>0.6</v>
      </c>
      <c r="S333" s="11">
        <f>IFERROR(__xludf.DUMMYFUNCTION("""COMPUTED_VALUE"""),-2.270183324867149)</f>
        <v>-2.270183325</v>
      </c>
      <c r="T333" s="11">
        <f>IFERROR(__xludf.DUMMYFUNCTION("""COMPUTED_VALUE"""),-1.6411622820433)</f>
        <v>-1.641162282</v>
      </c>
      <c r="U333" s="11">
        <f>IFERROR(__xludf.DUMMYFUNCTION("""COMPUTED_VALUE"""),-0.8507706320151226)</f>
        <v>-0.850770632</v>
      </c>
      <c r="V333" s="11">
        <f>IFERROR(__xludf.DUMMYFUNCTION("""COMPUTED_VALUE"""),-1.565393807616064)</f>
        <v>-1.565393808</v>
      </c>
      <c r="W333" s="11">
        <f>IFERROR(__xludf.DUMMYFUNCTION("""COMPUTED_VALUE"""),-2.576325157635163)</f>
        <v>-2.576325158</v>
      </c>
      <c r="X333" s="11">
        <f>IFERROR(__xludf.DUMMYFUNCTION("""COMPUTED_VALUE"""),-0.4371236407912776)</f>
        <v>-0.4371236408</v>
      </c>
      <c r="Y333" s="11">
        <f>IFERROR(__xludf.DUMMYFUNCTION("""COMPUTED_VALUE"""),0.3491592524543181)</f>
        <v>0.3491592525</v>
      </c>
      <c r="Z333" s="11">
        <f>IFERROR(__xludf.DUMMYFUNCTION("""COMPUTED_VALUE"""),-0.16968319388170228)</f>
        <v>-0.1696831939</v>
      </c>
      <c r="AA333" s="11">
        <f>IFERROR(__xludf.DUMMYFUNCTION("""COMPUTED_VALUE"""),0.28484881212749996)</f>
        <v>0.2848488121</v>
      </c>
      <c r="AB333" t="str">
        <f>IFERROR(__xludf.DUMMYFUNCTION("SUBSTITUTE(REGEXREPLACE(REGEXREPLACE(REGEXREPLACE(REGEXREPLACE(REGEXREPLACE(REGEXREPLACE(F333,"","",),IF(Projections!$T$17="""",""PG"",),),IF(Projections!$U$17="""",""SG"",),),IF(Projections!$V$17="""",""SF"",),),IF(Projections!$W$17="""",""PF"",),),IF(Pr"&amp;"ojections!$X$17="""",""C"",),),""/"","""")"),"C")</f>
        <v>C</v>
      </c>
    </row>
    <row r="334">
      <c r="B334">
        <f>IFERROR(__xludf.DUMMYFUNCTION("""COMPUTED_VALUE"""),329.0)</f>
        <v>329</v>
      </c>
      <c r="D334" t="str">
        <f>IFERROR(__xludf.DUMMYFUNCTION("""COMPUTED_VALUE"""),"Johnny Furphy")</f>
        <v>Johnny Furphy</v>
      </c>
      <c r="E334">
        <f>IFERROR(__xludf.DUMMYFUNCTION("""COMPUTED_VALUE"""),66.0)</f>
        <v>66</v>
      </c>
      <c r="F334" t="str">
        <f>IFERROR(__xludf.DUMMYFUNCTION("""COMPUTED_VALUE"""),"SG")</f>
        <v>SG</v>
      </c>
      <c r="G334" s="11">
        <f>IFERROR(__xludf.DUMMYFUNCTION("""COMPUTED_VALUE"""),-6.326179635533668)</f>
        <v>-6.326179636</v>
      </c>
      <c r="H334" s="11">
        <f>IFERROR(__xludf.DUMMYFUNCTION("""COMPUTED_VALUE"""),-6.326179635533668)</f>
        <v>-6.326179636</v>
      </c>
      <c r="I334" s="11">
        <f>IFERROR(__xludf.DUMMYFUNCTION("""COMPUTED_VALUE"""),0.0)</f>
        <v>0</v>
      </c>
      <c r="J334" s="11">
        <f>IFERROR(__xludf.DUMMYFUNCTION("""COMPUTED_VALUE"""),5.1)</f>
        <v>5.1</v>
      </c>
      <c r="K334" s="11">
        <f>IFERROR(__xludf.DUMMYFUNCTION("""COMPUTED_VALUE"""),0.8)</f>
        <v>0.8</v>
      </c>
      <c r="L334" s="11">
        <f>IFERROR(__xludf.DUMMYFUNCTION("""COMPUTED_VALUE"""),2.8)</f>
        <v>2.8</v>
      </c>
      <c r="M334" s="11">
        <f>IFERROR(__xludf.DUMMYFUNCTION("""COMPUTED_VALUE"""),0.6)</f>
        <v>0.6</v>
      </c>
      <c r="N334" s="11">
        <f>IFERROR(__xludf.DUMMYFUNCTION("""COMPUTED_VALUE"""),0.5)</f>
        <v>0.5</v>
      </c>
      <c r="O334" s="11">
        <f>IFERROR(__xludf.DUMMYFUNCTION("""COMPUTED_VALUE"""),0.2)</f>
        <v>0.2</v>
      </c>
      <c r="P334" s="15">
        <f>IFERROR(__xludf.DUMMYFUNCTION("""COMPUTED_VALUE"""),0.457)</f>
        <v>0.457</v>
      </c>
      <c r="Q334" s="15">
        <f>IFERROR(__xludf.DUMMYFUNCTION("""COMPUTED_VALUE"""),0.761)</f>
        <v>0.761</v>
      </c>
      <c r="R334" s="11">
        <f>IFERROR(__xludf.DUMMYFUNCTION("""COMPUTED_VALUE"""),0.5)</f>
        <v>0.5</v>
      </c>
      <c r="S334" s="11">
        <f>IFERROR(__xludf.DUMMYFUNCTION("""COMPUTED_VALUE"""),-2.234053720940617)</f>
        <v>-2.234053721</v>
      </c>
      <c r="T334" s="11">
        <f>IFERROR(__xludf.DUMMYFUNCTION("""COMPUTED_VALUE"""),-0.9444921888225095)</f>
        <v>-0.9444921888</v>
      </c>
      <c r="U334" s="11">
        <f>IFERROR(__xludf.DUMMYFUNCTION("""COMPUTED_VALUE"""),-1.282260714389816)</f>
        <v>-1.282260714</v>
      </c>
      <c r="V334" s="11">
        <f>IFERROR(__xludf.DUMMYFUNCTION("""COMPUTED_VALUE"""),-1.5198320371939311)</f>
        <v>-1.519832037</v>
      </c>
      <c r="W334" s="11">
        <f>IFERROR(__xludf.DUMMYFUNCTION("""COMPUTED_VALUE"""),-1.5805271231567248)</f>
        <v>-1.580527123</v>
      </c>
      <c r="X334" s="11">
        <f>IFERROR(__xludf.DUMMYFUNCTION("""COMPUTED_VALUE"""),-0.9723047469492465)</f>
        <v>-0.9723047469</v>
      </c>
      <c r="Y334" s="11">
        <f>IFERROR(__xludf.DUMMYFUNCTION("""COMPUTED_VALUE"""),-0.1682651802426931)</f>
        <v>-0.1682651802</v>
      </c>
      <c r="Z334" s="11">
        <f>IFERROR(__xludf.DUMMYFUNCTION("""COMPUTED_VALUE"""),-0.16814467038223524)</f>
        <v>-0.1681446704</v>
      </c>
      <c r="AA334" s="11">
        <f>IFERROR(__xludf.DUMMYFUNCTION("""COMPUTED_VALUE"""),0.3096470256034866)</f>
        <v>0.3096470256</v>
      </c>
      <c r="AB334" t="str">
        <f>IFERROR(__xludf.DUMMYFUNCTION("SUBSTITUTE(REGEXREPLACE(REGEXREPLACE(REGEXREPLACE(REGEXREPLACE(REGEXREPLACE(REGEXREPLACE(F334,"","",),IF(Projections!$T$17="""",""PG"",),),IF(Projections!$U$17="""",""SG"",),),IF(Projections!$V$17="""",""SF"",),),IF(Projections!$W$17="""",""PF"",),),IF(Pr"&amp;"ojections!$X$17="""",""C"",),),""/"","""")"),"SG")</f>
        <v>SG</v>
      </c>
    </row>
    <row r="335">
      <c r="B335">
        <f>IFERROR(__xludf.DUMMYFUNCTION("""COMPUTED_VALUE"""),330.0)</f>
        <v>330</v>
      </c>
      <c r="D335" t="str">
        <f>IFERROR(__xludf.DUMMYFUNCTION("""COMPUTED_VALUE"""),"Jock Landale")</f>
        <v>Jock Landale</v>
      </c>
      <c r="E335">
        <f>IFERROR(__xludf.DUMMYFUNCTION("""COMPUTED_VALUE"""),66.0)</f>
        <v>66</v>
      </c>
      <c r="F335" t="str">
        <f>IFERROR(__xludf.DUMMYFUNCTION("""COMPUTED_VALUE"""),"C")</f>
        <v>C</v>
      </c>
      <c r="G335" s="11">
        <f>IFERROR(__xludf.DUMMYFUNCTION("""COMPUTED_VALUE"""),-6.326839883984226)</f>
        <v>-6.326839884</v>
      </c>
      <c r="H335" s="11">
        <f>IFERROR(__xludf.DUMMYFUNCTION("""COMPUTED_VALUE"""),-6.326839883984226)</f>
        <v>-6.326839884</v>
      </c>
      <c r="I335" s="11">
        <f>IFERROR(__xludf.DUMMYFUNCTION("""COMPUTED_VALUE"""),0.0)</f>
        <v>0</v>
      </c>
      <c r="J335" s="11">
        <f>IFERROR(__xludf.DUMMYFUNCTION("""COMPUTED_VALUE"""),5.3)</f>
        <v>5.3</v>
      </c>
      <c r="K335" s="11">
        <f>IFERROR(__xludf.DUMMYFUNCTION("""COMPUTED_VALUE"""),0.2)</f>
        <v>0.2</v>
      </c>
      <c r="L335" s="11">
        <f>IFERROR(__xludf.DUMMYFUNCTION("""COMPUTED_VALUE"""),3.3)</f>
        <v>3.3</v>
      </c>
      <c r="M335" s="11">
        <f>IFERROR(__xludf.DUMMYFUNCTION("""COMPUTED_VALUE"""),1.0)</f>
        <v>1</v>
      </c>
      <c r="N335" s="11">
        <f>IFERROR(__xludf.DUMMYFUNCTION("""COMPUTED_VALUE"""),0.3)</f>
        <v>0.3</v>
      </c>
      <c r="O335" s="11">
        <f>IFERROR(__xludf.DUMMYFUNCTION("""COMPUTED_VALUE"""),0.5)</f>
        <v>0.5</v>
      </c>
      <c r="P335" s="15">
        <f>IFERROR(__xludf.DUMMYFUNCTION("""COMPUTED_VALUE"""),0.523)</f>
        <v>0.523</v>
      </c>
      <c r="Q335" s="15">
        <f>IFERROR(__xludf.DUMMYFUNCTION("""COMPUTED_VALUE"""),0.77)</f>
        <v>0.77</v>
      </c>
      <c r="R335" s="11">
        <f>IFERROR(__xludf.DUMMYFUNCTION("""COMPUTED_VALUE"""),0.7)</f>
        <v>0.7</v>
      </c>
      <c r="S335" s="11">
        <f>IFERROR(__xludf.DUMMYFUNCTION("""COMPUTED_VALUE"""),-2.197924117014084)</f>
        <v>-2.197924117</v>
      </c>
      <c r="T335" s="11">
        <f>IFERROR(__xludf.DUMMYFUNCTION("""COMPUTED_VALUE"""),-1.5416379830117586)</f>
        <v>-1.541637983</v>
      </c>
      <c r="U335" s="11">
        <f>IFERROR(__xludf.DUMMYFUNCTION("""COMPUTED_VALUE"""),-1.0861288587649554)</f>
        <v>-1.086128859</v>
      </c>
      <c r="V335" s="11">
        <f>IFERROR(__xludf.DUMMYFUNCTION("""COMPUTED_VALUE"""),-1.3375849555053994)</f>
        <v>-1.337584956</v>
      </c>
      <c r="W335" s="11">
        <f>IFERROR(__xludf.DUMMYFUNCTION("""COMPUTED_VALUE"""),-2.2443924794756835)</f>
        <v>-2.244392479</v>
      </c>
      <c r="X335" s="11">
        <f>IFERROR(__xludf.DUMMYFUNCTION("""COMPUTED_VALUE"""),-0.4371236407912776)</f>
        <v>-0.4371236408</v>
      </c>
      <c r="Y335" s="11">
        <f>IFERROR(__xludf.DUMMYFUNCTION("""COMPUTED_VALUE"""),0.1193857566894074)</f>
        <v>0.1193857567</v>
      </c>
      <c r="Z335" s="11">
        <f>IFERROR(__xludf.DUMMYFUNCTION("""COMPUTED_VALUE"""),-0.10587668423767116)</f>
        <v>-0.1058766842</v>
      </c>
      <c r="AA335" s="11">
        <f>IFERROR(__xludf.DUMMYFUNCTION("""COMPUTED_VALUE"""),0.26005059865151336)</f>
        <v>0.2600505987</v>
      </c>
      <c r="AB335" t="str">
        <f>IFERROR(__xludf.DUMMYFUNCTION("SUBSTITUTE(REGEXREPLACE(REGEXREPLACE(REGEXREPLACE(REGEXREPLACE(REGEXREPLACE(REGEXREPLACE(F335,"","",),IF(Projections!$T$17="""",""PG"",),),IF(Projections!$U$17="""",""SG"",),),IF(Projections!$V$17="""",""SF"",),),IF(Projections!$W$17="""",""PF"",),),IF(Pr"&amp;"ojections!$X$17="""",""C"",),),""/"","""")"),"C")</f>
        <v>C</v>
      </c>
    </row>
    <row r="336">
      <c r="B336">
        <f>IFERROR(__xludf.DUMMYFUNCTION("""COMPUTED_VALUE"""),331.0)</f>
        <v>331</v>
      </c>
      <c r="D336" t="str">
        <f>IFERROR(__xludf.DUMMYFUNCTION("""COMPUTED_VALUE"""),"Tidjane Salaun")</f>
        <v>Tidjane Salaun</v>
      </c>
      <c r="E336">
        <f>IFERROR(__xludf.DUMMYFUNCTION("""COMPUTED_VALUE"""),66.0)</f>
        <v>66</v>
      </c>
      <c r="F336" t="str">
        <f>IFERROR(__xludf.DUMMYFUNCTION("""COMPUTED_VALUE"""),"PF")</f>
        <v>PF</v>
      </c>
      <c r="G336" s="11">
        <f>IFERROR(__xludf.DUMMYFUNCTION("""COMPUTED_VALUE"""),-6.366956814602419)</f>
        <v>-6.366956815</v>
      </c>
      <c r="H336" s="11">
        <f>IFERROR(__xludf.DUMMYFUNCTION("""COMPUTED_VALUE"""),-6.366956814602419)</f>
        <v>-6.366956815</v>
      </c>
      <c r="I336" s="11">
        <f>IFERROR(__xludf.DUMMYFUNCTION("""COMPUTED_VALUE"""),0.0)</f>
        <v>0</v>
      </c>
      <c r="J336" s="11">
        <f>IFERROR(__xludf.DUMMYFUNCTION("""COMPUTED_VALUE"""),5.9)</f>
        <v>5.9</v>
      </c>
      <c r="K336" s="11">
        <f>IFERROR(__xludf.DUMMYFUNCTION("""COMPUTED_VALUE"""),0.8)</f>
        <v>0.8</v>
      </c>
      <c r="L336" s="11">
        <f>IFERROR(__xludf.DUMMYFUNCTION("""COMPUTED_VALUE"""),2.4)</f>
        <v>2.4</v>
      </c>
      <c r="M336" s="11">
        <f>IFERROR(__xludf.DUMMYFUNCTION("""COMPUTED_VALUE"""),0.6)</f>
        <v>0.6</v>
      </c>
      <c r="N336" s="11">
        <f>IFERROR(__xludf.DUMMYFUNCTION("""COMPUTED_VALUE"""),0.7)</f>
        <v>0.7</v>
      </c>
      <c r="O336" s="11">
        <f>IFERROR(__xludf.DUMMYFUNCTION("""COMPUTED_VALUE"""),0.1)</f>
        <v>0.1</v>
      </c>
      <c r="P336" s="15">
        <f>IFERROR(__xludf.DUMMYFUNCTION("""COMPUTED_VALUE"""),0.404)</f>
        <v>0.404</v>
      </c>
      <c r="Q336" s="15">
        <f>IFERROR(__xludf.DUMMYFUNCTION("""COMPUTED_VALUE"""),0.776)</f>
        <v>0.776</v>
      </c>
      <c r="R336" s="11">
        <f>IFERROR(__xludf.DUMMYFUNCTION("""COMPUTED_VALUE"""),0.8)</f>
        <v>0.8</v>
      </c>
      <c r="S336" s="11">
        <f>IFERROR(__xludf.DUMMYFUNCTION("""COMPUTED_VALUE"""),-2.0895353052344867)</f>
        <v>-2.089535305</v>
      </c>
      <c r="T336" s="11">
        <f>IFERROR(__xludf.DUMMYFUNCTION("""COMPUTED_VALUE"""),-0.9444921888225095)</f>
        <v>-0.9444921888</v>
      </c>
      <c r="U336" s="11">
        <f>IFERROR(__xludf.DUMMYFUNCTION("""COMPUTED_VALUE"""),-1.4391661988897044)</f>
        <v>-1.439166199</v>
      </c>
      <c r="V336" s="11">
        <f>IFERROR(__xludf.DUMMYFUNCTION("""COMPUTED_VALUE"""),-1.5198320371939311)</f>
        <v>-1.519832037</v>
      </c>
      <c r="W336" s="11">
        <f>IFERROR(__xludf.DUMMYFUNCTION("""COMPUTED_VALUE"""),-0.9166617668377661)</f>
        <v>-0.9166617668</v>
      </c>
      <c r="X336" s="11">
        <f>IFERROR(__xludf.DUMMYFUNCTION("""COMPUTED_VALUE"""),-1.150698449001903)</f>
        <v>-1.150698449</v>
      </c>
      <c r="Y336" s="11">
        <f>IFERROR(__xludf.DUMMYFUNCTION("""COMPUTED_VALUE"""),-0.5442818814586721)</f>
        <v>-0.5442818815</v>
      </c>
      <c r="Z336" s="11">
        <f>IFERROR(__xludf.DUMMYFUNCTION("""COMPUTED_VALUE"""),-0.08707667757345905)</f>
        <v>-0.08707667757</v>
      </c>
      <c r="AA336" s="11">
        <f>IFERROR(__xludf.DUMMYFUNCTION("""COMPUTED_VALUE"""),0.23525238517552666)</f>
        <v>0.2352523852</v>
      </c>
      <c r="AB336" t="str">
        <f>IFERROR(__xludf.DUMMYFUNCTION("SUBSTITUTE(REGEXREPLACE(REGEXREPLACE(REGEXREPLACE(REGEXREPLACE(REGEXREPLACE(REGEXREPLACE(F336,"","",),IF(Projections!$T$17="""",""PG"",),),IF(Projections!$U$17="""",""SG"",),),IF(Projections!$V$17="""",""SF"",),),IF(Projections!$W$17="""",""PF"",),),IF(Pr"&amp;"ojections!$X$17="""",""C"",),),""/"","""")"),"PF")</f>
        <v>PF</v>
      </c>
    </row>
    <row r="337">
      <c r="B337">
        <f>IFERROR(__xludf.DUMMYFUNCTION("""COMPUTED_VALUE"""),332.0)</f>
        <v>332</v>
      </c>
      <c r="D337" t="str">
        <f>IFERROR(__xludf.DUMMYFUNCTION("""COMPUTED_VALUE"""),"Vasilije Micic")</f>
        <v>Vasilije Micic</v>
      </c>
      <c r="E337">
        <f>IFERROR(__xludf.DUMMYFUNCTION("""COMPUTED_VALUE"""),71.0)</f>
        <v>71</v>
      </c>
      <c r="F337" t="str">
        <f>IFERROR(__xludf.DUMMYFUNCTION("""COMPUTED_VALUE"""),"PG,SG")</f>
        <v>PG,SG</v>
      </c>
      <c r="G337" s="11">
        <f>IFERROR(__xludf.DUMMYFUNCTION("""COMPUTED_VALUE"""),-6.449338062571681)</f>
        <v>-6.449338063</v>
      </c>
      <c r="H337" s="11">
        <f>IFERROR(__xludf.DUMMYFUNCTION("""COMPUTED_VALUE"""),-6.449338062571681)</f>
        <v>-6.449338063</v>
      </c>
      <c r="I337" s="11">
        <f>IFERROR(__xludf.DUMMYFUNCTION("""COMPUTED_VALUE"""),0.0)</f>
        <v>0</v>
      </c>
      <c r="J337" s="11">
        <f>IFERROR(__xludf.DUMMYFUNCTION("""COMPUTED_VALUE"""),6.0)</f>
        <v>6</v>
      </c>
      <c r="K337" s="11">
        <f>IFERROR(__xludf.DUMMYFUNCTION("""COMPUTED_VALUE"""),0.6)</f>
        <v>0.6</v>
      </c>
      <c r="L337" s="11">
        <f>IFERROR(__xludf.DUMMYFUNCTION("""COMPUTED_VALUE"""),1.3)</f>
        <v>1.3</v>
      </c>
      <c r="M337" s="11">
        <f>IFERROR(__xludf.DUMMYFUNCTION("""COMPUTED_VALUE"""),3.7)</f>
        <v>3.7</v>
      </c>
      <c r="N337" s="11">
        <f>IFERROR(__xludf.DUMMYFUNCTION("""COMPUTED_VALUE"""),0.4)</f>
        <v>0.4</v>
      </c>
      <c r="O337" s="11">
        <f>IFERROR(__xludf.DUMMYFUNCTION("""COMPUTED_VALUE"""),0.1)</f>
        <v>0.1</v>
      </c>
      <c r="P337" s="15">
        <f>IFERROR(__xludf.DUMMYFUNCTION("""COMPUTED_VALUE"""),0.429)</f>
        <v>0.429</v>
      </c>
      <c r="Q337" s="15">
        <f>IFERROR(__xludf.DUMMYFUNCTION("""COMPUTED_VALUE"""),0.811)</f>
        <v>0.811</v>
      </c>
      <c r="R337" s="11">
        <f>IFERROR(__xludf.DUMMYFUNCTION("""COMPUTED_VALUE"""),1.4)</f>
        <v>1.4</v>
      </c>
      <c r="S337" s="11">
        <f>IFERROR(__xludf.DUMMYFUNCTION("""COMPUTED_VALUE"""),-2.071470503271221)</f>
        <v>-2.071470503</v>
      </c>
      <c r="T337" s="11">
        <f>IFERROR(__xludf.DUMMYFUNCTION("""COMPUTED_VALUE"""),-1.1435407868855925)</f>
        <v>-1.143540787</v>
      </c>
      <c r="U337" s="11">
        <f>IFERROR(__xludf.DUMMYFUNCTION("""COMPUTED_VALUE"""),-1.8706562812643979)</f>
        <v>-1.870656281</v>
      </c>
      <c r="V337" s="11">
        <f>IFERROR(__xludf.DUMMYFUNCTION("""COMPUTED_VALUE"""),-0.10741715410780962)</f>
        <v>-0.1074171541</v>
      </c>
      <c r="W337" s="11">
        <f>IFERROR(__xludf.DUMMYFUNCTION("""COMPUTED_VALUE"""),-1.912459801316204)</f>
        <v>-1.912459801</v>
      </c>
      <c r="X337" s="11">
        <f>IFERROR(__xludf.DUMMYFUNCTION("""COMPUTED_VALUE"""),-1.150698449001903)</f>
        <v>-1.150698449</v>
      </c>
      <c r="Y337" s="11">
        <f>IFERROR(__xludf.DUMMYFUNCTION("""COMPUTED_VALUE"""),-0.4136930378858787)</f>
        <v>-0.4136930379</v>
      </c>
      <c r="Z337" s="11">
        <f>IFERROR(__xludf.DUMMYFUNCTION("""COMPUTED_VALUE"""),0.06266434357049558)</f>
        <v>0.06266434357</v>
      </c>
      <c r="AA337" s="11">
        <f>IFERROR(__xludf.DUMMYFUNCTION("""COMPUTED_VALUE"""),0.08646310431960676)</f>
        <v>0.08646310432</v>
      </c>
      <c r="AB337" t="str">
        <f>IFERROR(__xludf.DUMMYFUNCTION("SUBSTITUTE(REGEXREPLACE(REGEXREPLACE(REGEXREPLACE(REGEXREPLACE(REGEXREPLACE(REGEXREPLACE(F337,"","",),IF(Projections!$T$17="""",""PG"",),),IF(Projections!$U$17="""",""SG"",),),IF(Projections!$V$17="""",""SF"",),),IF(Projections!$W$17="""",""PF"",),),IF(Pr"&amp;"ojections!$X$17="""",""C"",),),""/"","""")"),"PGSG")</f>
        <v>PGSG</v>
      </c>
    </row>
    <row r="338">
      <c r="B338">
        <f>IFERROR(__xludf.DUMMYFUNCTION("""COMPUTED_VALUE"""),333.0)</f>
        <v>333</v>
      </c>
      <c r="D338" t="str">
        <f>IFERROR(__xludf.DUMMYFUNCTION("""COMPUTED_VALUE"""),"Jake LaRavia")</f>
        <v>Jake LaRavia</v>
      </c>
      <c r="E338">
        <f>IFERROR(__xludf.DUMMYFUNCTION("""COMPUTED_VALUE"""),71.0)</f>
        <v>71</v>
      </c>
      <c r="F338" t="str">
        <f>IFERROR(__xludf.DUMMYFUNCTION("""COMPUTED_VALUE"""),"SF,PF")</f>
        <v>SF,PF</v>
      </c>
      <c r="G338" s="11">
        <f>IFERROR(__xludf.DUMMYFUNCTION("""COMPUTED_VALUE"""),-6.459490557344738)</f>
        <v>-6.459490557</v>
      </c>
      <c r="H338" s="11">
        <f>IFERROR(__xludf.DUMMYFUNCTION("""COMPUTED_VALUE"""),-6.459490557344738)</f>
        <v>-6.459490557</v>
      </c>
      <c r="I338" s="11">
        <f>IFERROR(__xludf.DUMMYFUNCTION("""COMPUTED_VALUE"""),0.0)</f>
        <v>0</v>
      </c>
      <c r="J338" s="11">
        <f>IFERROR(__xludf.DUMMYFUNCTION("""COMPUTED_VALUE"""),5.9)</f>
        <v>5.9</v>
      </c>
      <c r="K338" s="11">
        <f>IFERROR(__xludf.DUMMYFUNCTION("""COMPUTED_VALUE"""),0.9)</f>
        <v>0.9</v>
      </c>
      <c r="L338" s="11">
        <f>IFERROR(__xludf.DUMMYFUNCTION("""COMPUTED_VALUE"""),2.3)</f>
        <v>2.3</v>
      </c>
      <c r="M338" s="11">
        <f>IFERROR(__xludf.DUMMYFUNCTION("""COMPUTED_VALUE"""),1.0)</f>
        <v>1</v>
      </c>
      <c r="N338" s="11">
        <f>IFERROR(__xludf.DUMMYFUNCTION("""COMPUTED_VALUE"""),0.5)</f>
        <v>0.5</v>
      </c>
      <c r="O338" s="11">
        <f>IFERROR(__xludf.DUMMYFUNCTION("""COMPUTED_VALUE"""),0.2)</f>
        <v>0.2</v>
      </c>
      <c r="P338" s="15">
        <f>IFERROR(__xludf.DUMMYFUNCTION("""COMPUTED_VALUE"""),0.389)</f>
        <v>0.389</v>
      </c>
      <c r="Q338" s="15">
        <f>IFERROR(__xludf.DUMMYFUNCTION("""COMPUTED_VALUE"""),0.821)</f>
        <v>0.821</v>
      </c>
      <c r="R338" s="11">
        <f>IFERROR(__xludf.DUMMYFUNCTION("""COMPUTED_VALUE"""),0.8)</f>
        <v>0.8</v>
      </c>
      <c r="S338" s="11">
        <f>IFERROR(__xludf.DUMMYFUNCTION("""COMPUTED_VALUE"""),-2.0895353052344867)</f>
        <v>-2.089535305</v>
      </c>
      <c r="T338" s="11">
        <f>IFERROR(__xludf.DUMMYFUNCTION("""COMPUTED_VALUE"""),-0.844967889790968)</f>
        <v>-0.8449678898</v>
      </c>
      <c r="U338" s="11">
        <f>IFERROR(__xludf.DUMMYFUNCTION("""COMPUTED_VALUE"""),-1.4783925700146765)</f>
        <v>-1.47839257</v>
      </c>
      <c r="V338" s="11">
        <f>IFERROR(__xludf.DUMMYFUNCTION("""COMPUTED_VALUE"""),-1.3375849555053994)</f>
        <v>-1.337584956</v>
      </c>
      <c r="W338" s="11">
        <f>IFERROR(__xludf.DUMMYFUNCTION("""COMPUTED_VALUE"""),-1.5805271231567248)</f>
        <v>-1.580527123</v>
      </c>
      <c r="X338" s="11">
        <f>IFERROR(__xludf.DUMMYFUNCTION("""COMPUTED_VALUE"""),-0.9723047469492465)</f>
        <v>-0.9723047469</v>
      </c>
      <c r="Y338" s="11">
        <f>IFERROR(__xludf.DUMMYFUNCTION("""COMPUTED_VALUE"""),-0.6195383110147975)</f>
        <v>-0.619538311</v>
      </c>
      <c r="Z338" s="11">
        <f>IFERROR(__xludf.DUMMYFUNCTION("""COMPUTED_VALUE"""),0.13857265391154908)</f>
        <v>0.1385726539</v>
      </c>
      <c r="AA338" s="11">
        <f>IFERROR(__xludf.DUMMYFUNCTION("""COMPUTED_VALUE"""),0.23525238517552666)</f>
        <v>0.2352523852</v>
      </c>
      <c r="AB338" t="str">
        <f>IFERROR(__xludf.DUMMYFUNCTION("SUBSTITUTE(REGEXREPLACE(REGEXREPLACE(REGEXREPLACE(REGEXREPLACE(REGEXREPLACE(REGEXREPLACE(F338,"","",),IF(Projections!$T$17="""",""PG"",),),IF(Projections!$U$17="""",""SG"",),),IF(Projections!$V$17="""",""SF"",),),IF(Projections!$W$17="""",""PF"",),),IF(Pr"&amp;"ojections!$X$17="""",""C"",),),""/"","""")"),"SFPF")</f>
        <v>SFPF</v>
      </c>
    </row>
    <row r="339">
      <c r="B339">
        <f>IFERROR(__xludf.DUMMYFUNCTION("""COMPUTED_VALUE"""),334.0)</f>
        <v>334</v>
      </c>
      <c r="D339" t="str">
        <f>IFERROR(__xludf.DUMMYFUNCTION("""COMPUTED_VALUE"""),"Kyle Filipowski")</f>
        <v>Kyle Filipowski</v>
      </c>
      <c r="E339">
        <f>IFERROR(__xludf.DUMMYFUNCTION("""COMPUTED_VALUE"""),43.0)</f>
        <v>43</v>
      </c>
      <c r="F339" t="str">
        <f>IFERROR(__xludf.DUMMYFUNCTION("""COMPUTED_VALUE"""),"PF")</f>
        <v>PF</v>
      </c>
      <c r="G339" s="11">
        <f>IFERROR(__xludf.DUMMYFUNCTION("""COMPUTED_VALUE"""),-6.4725908483757015)</f>
        <v>-6.472590848</v>
      </c>
      <c r="H339" s="11">
        <f>IFERROR(__xludf.DUMMYFUNCTION("""COMPUTED_VALUE"""),-6.4725908483757015)</f>
        <v>-6.472590848</v>
      </c>
      <c r="I339" s="11">
        <f>IFERROR(__xludf.DUMMYFUNCTION("""COMPUTED_VALUE"""),0.0)</f>
        <v>0</v>
      </c>
      <c r="J339" s="11">
        <f>IFERROR(__xludf.DUMMYFUNCTION("""COMPUTED_VALUE"""),6.2)</f>
        <v>6.2</v>
      </c>
      <c r="K339" s="11">
        <f>IFERROR(__xludf.DUMMYFUNCTION("""COMPUTED_VALUE"""),0.4)</f>
        <v>0.4</v>
      </c>
      <c r="L339" s="11">
        <f>IFERROR(__xludf.DUMMYFUNCTION("""COMPUTED_VALUE"""),3.1)</f>
        <v>3.1</v>
      </c>
      <c r="M339" s="11">
        <f>IFERROR(__xludf.DUMMYFUNCTION("""COMPUTED_VALUE"""),1.0)</f>
        <v>1</v>
      </c>
      <c r="N339" s="11">
        <f>IFERROR(__xludf.DUMMYFUNCTION("""COMPUTED_VALUE"""),0.4)</f>
        <v>0.4</v>
      </c>
      <c r="O339" s="11">
        <f>IFERROR(__xludf.DUMMYFUNCTION("""COMPUTED_VALUE"""),0.6)</f>
        <v>0.6</v>
      </c>
      <c r="P339" s="15">
        <f>IFERROR(__xludf.DUMMYFUNCTION("""COMPUTED_VALUE"""),0.506)</f>
        <v>0.506</v>
      </c>
      <c r="Q339" s="15">
        <f>IFERROR(__xludf.DUMMYFUNCTION("""COMPUTED_VALUE"""),0.672)</f>
        <v>0.672</v>
      </c>
      <c r="R339" s="11">
        <f>IFERROR(__xludf.DUMMYFUNCTION("""COMPUTED_VALUE"""),0.8)</f>
        <v>0.8</v>
      </c>
      <c r="S339" s="11">
        <f>IFERROR(__xludf.DUMMYFUNCTION("""COMPUTED_VALUE"""),-2.035340899344688)</f>
        <v>-2.035340899</v>
      </c>
      <c r="T339" s="11">
        <f>IFERROR(__xludf.DUMMYFUNCTION("""COMPUTED_VALUE"""),-1.3425893849486756)</f>
        <v>-1.342589385</v>
      </c>
      <c r="U339" s="11">
        <f>IFERROR(__xludf.DUMMYFUNCTION("""COMPUTED_VALUE"""),-1.1645816010148995)</f>
        <v>-1.164581601</v>
      </c>
      <c r="V339" s="11">
        <f>IFERROR(__xludf.DUMMYFUNCTION("""COMPUTED_VALUE"""),-1.3375849555053994)</f>
        <v>-1.337584956</v>
      </c>
      <c r="W339" s="11">
        <f>IFERROR(__xludf.DUMMYFUNCTION("""COMPUTED_VALUE"""),-1.912459801316204)</f>
        <v>-1.912459801</v>
      </c>
      <c r="X339" s="11">
        <f>IFERROR(__xludf.DUMMYFUNCTION("""COMPUTED_VALUE"""),-0.25872993873862127)</f>
        <v>-0.2587299387</v>
      </c>
      <c r="Y339" s="11">
        <f>IFERROR(__xludf.DUMMYFUNCTION("""COMPUTED_VALUE"""),0.048094726252529627)</f>
        <v>0.04809472625</v>
      </c>
      <c r="Z339" s="11">
        <f>IFERROR(__xludf.DUMMYFUNCTION("""COMPUTED_VALUE"""),-0.7399922782799576)</f>
        <v>-0.7399922783</v>
      </c>
      <c r="AA339" s="11">
        <f>IFERROR(__xludf.DUMMYFUNCTION("""COMPUTED_VALUE"""),0.23525238517552666)</f>
        <v>0.2352523852</v>
      </c>
      <c r="AB339" t="str">
        <f>IFERROR(__xludf.DUMMYFUNCTION("SUBSTITUTE(REGEXREPLACE(REGEXREPLACE(REGEXREPLACE(REGEXREPLACE(REGEXREPLACE(REGEXREPLACE(F339,"","",),IF(Projections!$T$17="""",""PG"",),),IF(Projections!$U$17="""",""SG"",),),IF(Projections!$V$17="""",""SF"",),),IF(Projections!$W$17="""",""PF"",),),IF(Pr"&amp;"ojections!$X$17="""",""C"",),),""/"","""")"),"PF")</f>
        <v>PF</v>
      </c>
    </row>
    <row r="340">
      <c r="B340">
        <f>IFERROR(__xludf.DUMMYFUNCTION("""COMPUTED_VALUE"""),335.0)</f>
        <v>335</v>
      </c>
      <c r="D340" t="str">
        <f>IFERROR(__xludf.DUMMYFUNCTION("""COMPUTED_VALUE"""),"Dru Smith")</f>
        <v>Dru Smith</v>
      </c>
      <c r="F340" t="str">
        <f>IFERROR(__xludf.DUMMYFUNCTION("""COMPUTED_VALUE"""),"PG,SG")</f>
        <v>PG,SG</v>
      </c>
      <c r="G340" s="11">
        <f>IFERROR(__xludf.DUMMYFUNCTION("""COMPUTED_VALUE"""),-6.474329494290137)</f>
        <v>-6.474329494</v>
      </c>
      <c r="H340" s="11">
        <f>IFERROR(__xludf.DUMMYFUNCTION("""COMPUTED_VALUE"""),-6.474329494290137)</f>
        <v>-6.474329494</v>
      </c>
      <c r="I340" s="11">
        <f>IFERROR(__xludf.DUMMYFUNCTION("""COMPUTED_VALUE"""),0.0)</f>
        <v>0</v>
      </c>
      <c r="J340" s="11">
        <f>IFERROR(__xludf.DUMMYFUNCTION("""COMPUTED_VALUE"""),2.6)</f>
        <v>2.6</v>
      </c>
      <c r="K340" s="11">
        <f>IFERROR(__xludf.DUMMYFUNCTION("""COMPUTED_VALUE"""),0.4)</f>
        <v>0.4</v>
      </c>
      <c r="L340" s="11">
        <f>IFERROR(__xludf.DUMMYFUNCTION("""COMPUTED_VALUE"""),1.2)</f>
        <v>1.2</v>
      </c>
      <c r="M340" s="11">
        <f>IFERROR(__xludf.DUMMYFUNCTION("""COMPUTED_VALUE"""),1.1)</f>
        <v>1.1</v>
      </c>
      <c r="N340" s="11">
        <f>IFERROR(__xludf.DUMMYFUNCTION("""COMPUTED_VALUE"""),0.6)</f>
        <v>0.6</v>
      </c>
      <c r="O340" s="11">
        <f>IFERROR(__xludf.DUMMYFUNCTION("""COMPUTED_VALUE"""),0.2)</f>
        <v>0.2</v>
      </c>
      <c r="P340" s="15">
        <f>IFERROR(__xludf.DUMMYFUNCTION("""COMPUTED_VALUE"""),0.421)</f>
        <v>0.421</v>
      </c>
      <c r="Q340" s="15">
        <f>IFERROR(__xludf.DUMMYFUNCTION("""COMPUTED_VALUE"""),1.0)</f>
        <v>1</v>
      </c>
      <c r="R340" s="11">
        <f>IFERROR(__xludf.DUMMYFUNCTION("""COMPUTED_VALUE"""),0.3)</f>
        <v>0.3</v>
      </c>
      <c r="S340" s="11">
        <f>IFERROR(__xludf.DUMMYFUNCTION("""COMPUTED_VALUE"""),-2.6856737700222726)</f>
        <v>-2.68567377</v>
      </c>
      <c r="T340" s="11">
        <f>IFERROR(__xludf.DUMMYFUNCTION("""COMPUTED_VALUE"""),-1.3425893849486756)</f>
        <v>-1.342589385</v>
      </c>
      <c r="U340" s="11">
        <f>IFERROR(__xludf.DUMMYFUNCTION("""COMPUTED_VALUE"""),-1.90988265238937)</f>
        <v>-1.909882652</v>
      </c>
      <c r="V340" s="11">
        <f>IFERROR(__xludf.DUMMYFUNCTION("""COMPUTED_VALUE"""),-1.2920231850832664)</f>
        <v>-1.292023185</v>
      </c>
      <c r="W340" s="11">
        <f>IFERROR(__xludf.DUMMYFUNCTION("""COMPUTED_VALUE"""),-1.2485944449972455)</f>
        <v>-1.248594445</v>
      </c>
      <c r="X340" s="11">
        <f>IFERROR(__xludf.DUMMYFUNCTION("""COMPUTED_VALUE"""),-0.9723047469492465)</f>
        <v>-0.9723047469</v>
      </c>
      <c r="Y340" s="11">
        <f>IFERROR(__xludf.DUMMYFUNCTION("""COMPUTED_VALUE"""),-0.21343766580546628)</f>
        <v>-0.2134376658</v>
      </c>
      <c r="Z340" s="11">
        <f>IFERROR(__xludf.DUMMYFUNCTION("""COMPUTED_VALUE"""),0.14525913332767396)</f>
        <v>0.1452591333</v>
      </c>
      <c r="AA340" s="11">
        <f>IFERROR(__xludf.DUMMYFUNCTION("""COMPUTED_VALUE"""),0.3592434525554599)</f>
        <v>0.3592434526</v>
      </c>
      <c r="AB340" t="str">
        <f>IFERROR(__xludf.DUMMYFUNCTION("SUBSTITUTE(REGEXREPLACE(REGEXREPLACE(REGEXREPLACE(REGEXREPLACE(REGEXREPLACE(REGEXREPLACE(F340,"","",),IF(Projections!$T$17="""",""PG"",),),IF(Projections!$U$17="""",""SG"",),),IF(Projections!$V$17="""",""SF"",),),IF(Projections!$W$17="""",""PF"",),),IF(Pr"&amp;"ojections!$X$17="""",""C"",),),""/"","""")"),"PGSG")</f>
        <v>PGSG</v>
      </c>
    </row>
    <row r="341">
      <c r="B341">
        <f>IFERROR(__xludf.DUMMYFUNCTION("""COMPUTED_VALUE"""),336.0)</f>
        <v>336</v>
      </c>
      <c r="D341" t="str">
        <f>IFERROR(__xludf.DUMMYFUNCTION("""COMPUTED_VALUE"""),"Jaxson Hayes")</f>
        <v>Jaxson Hayes</v>
      </c>
      <c r="E341">
        <f>IFERROR(__xludf.DUMMYFUNCTION("""COMPUTED_VALUE"""),43.0)</f>
        <v>43</v>
      </c>
      <c r="F341" t="str">
        <f>IFERROR(__xludf.DUMMYFUNCTION("""COMPUTED_VALUE"""),"PF,C")</f>
        <v>PF,C</v>
      </c>
      <c r="G341" s="11">
        <f>IFERROR(__xludf.DUMMYFUNCTION("""COMPUTED_VALUE"""),-6.493684794673994)</f>
        <v>-6.493684795</v>
      </c>
      <c r="H341" s="11">
        <f>IFERROR(__xludf.DUMMYFUNCTION("""COMPUTED_VALUE"""),-6.493684794673994)</f>
        <v>-6.493684795</v>
      </c>
      <c r="I341" s="11">
        <f>IFERROR(__xludf.DUMMYFUNCTION("""COMPUTED_VALUE"""),0.0)</f>
        <v>0</v>
      </c>
      <c r="J341" s="11">
        <f>IFERROR(__xludf.DUMMYFUNCTION("""COMPUTED_VALUE"""),5.0)</f>
        <v>5</v>
      </c>
      <c r="K341" s="11">
        <f>IFERROR(__xludf.DUMMYFUNCTION("""COMPUTED_VALUE"""),0.0)</f>
        <v>0</v>
      </c>
      <c r="L341" s="11">
        <f>IFERROR(__xludf.DUMMYFUNCTION("""COMPUTED_VALUE"""),3.2)</f>
        <v>3.2</v>
      </c>
      <c r="M341" s="11">
        <f>IFERROR(__xludf.DUMMYFUNCTION("""COMPUTED_VALUE"""),0.6)</f>
        <v>0.6</v>
      </c>
      <c r="N341" s="11">
        <f>IFERROR(__xludf.DUMMYFUNCTION("""COMPUTED_VALUE"""),0.5)</f>
        <v>0.5</v>
      </c>
      <c r="O341" s="11">
        <f>IFERROR(__xludf.DUMMYFUNCTION("""COMPUTED_VALUE"""),0.4)</f>
        <v>0.4</v>
      </c>
      <c r="P341" s="15">
        <f>IFERROR(__xludf.DUMMYFUNCTION("""COMPUTED_VALUE"""),0.641)</f>
        <v>0.641</v>
      </c>
      <c r="Q341" s="15">
        <f>IFERROR(__xludf.DUMMYFUNCTION("""COMPUTED_VALUE"""),0.664)</f>
        <v>0.664</v>
      </c>
      <c r="R341" s="11">
        <f>IFERROR(__xludf.DUMMYFUNCTION("""COMPUTED_VALUE"""),0.7)</f>
        <v>0.7</v>
      </c>
      <c r="S341" s="11">
        <f>IFERROR(__xludf.DUMMYFUNCTION("""COMPUTED_VALUE"""),-2.252118522903883)</f>
        <v>-2.252118523</v>
      </c>
      <c r="T341" s="11">
        <f>IFERROR(__xludf.DUMMYFUNCTION("""COMPUTED_VALUE"""),-1.7406865810748415)</f>
        <v>-1.740686581</v>
      </c>
      <c r="U341" s="11">
        <f>IFERROR(__xludf.DUMMYFUNCTION("""COMPUTED_VALUE"""),-1.1253552298899274)</f>
        <v>-1.12535523</v>
      </c>
      <c r="V341" s="11">
        <f>IFERROR(__xludf.DUMMYFUNCTION("""COMPUTED_VALUE"""),-1.5198320371939311)</f>
        <v>-1.519832037</v>
      </c>
      <c r="W341" s="11">
        <f>IFERROR(__xludf.DUMMYFUNCTION("""COMPUTED_VALUE"""),-1.5805271231567248)</f>
        <v>-1.580527123</v>
      </c>
      <c r="X341" s="11">
        <f>IFERROR(__xludf.DUMMYFUNCTION("""COMPUTED_VALUE"""),-0.6155173428439339)</f>
        <v>-0.6155173428</v>
      </c>
      <c r="Y341" s="11">
        <f>IFERROR(__xludf.DUMMYFUNCTION("""COMPUTED_VALUE"""),0.5236143050743843)</f>
        <v>0.5236143051</v>
      </c>
      <c r="Z341" s="11">
        <f>IFERROR(__xludf.DUMMYFUNCTION("""COMPUTED_VALUE"""),-0.6954313842405333)</f>
        <v>-0.6954313842</v>
      </c>
      <c r="AA341" s="11">
        <f>IFERROR(__xludf.DUMMYFUNCTION("""COMPUTED_VALUE"""),0.26005059865151336)</f>
        <v>0.2600505987</v>
      </c>
      <c r="AB341" t="str">
        <f>IFERROR(__xludf.DUMMYFUNCTION("SUBSTITUTE(REGEXREPLACE(REGEXREPLACE(REGEXREPLACE(REGEXREPLACE(REGEXREPLACE(REGEXREPLACE(F341,"","",),IF(Projections!$T$17="""",""PG"",),),IF(Projections!$U$17="""",""SG"",),),IF(Projections!$V$17="""",""SF"",),),IF(Projections!$W$17="""",""PF"",),),IF(Pr"&amp;"ojections!$X$17="""",""C"",),),""/"","""")"),"PFC")</f>
        <v>PFC</v>
      </c>
    </row>
    <row r="342">
      <c r="B342">
        <f>IFERROR(__xludf.DUMMYFUNCTION("""COMPUTED_VALUE"""),337.0)</f>
        <v>337</v>
      </c>
      <c r="D342" t="str">
        <f>IFERROR(__xludf.DUMMYFUNCTION("""COMPUTED_VALUE"""),"Jevon Carter")</f>
        <v>Jevon Carter</v>
      </c>
      <c r="E342">
        <f>IFERROR(__xludf.DUMMYFUNCTION("""COMPUTED_VALUE"""),54.0)</f>
        <v>54</v>
      </c>
      <c r="F342" t="str">
        <f>IFERROR(__xludf.DUMMYFUNCTION("""COMPUTED_VALUE"""),"PG,SG")</f>
        <v>PG,SG</v>
      </c>
      <c r="G342" s="11">
        <f>IFERROR(__xludf.DUMMYFUNCTION("""COMPUTED_VALUE"""),-6.5118181757792115)</f>
        <v>-6.511818176</v>
      </c>
      <c r="H342" s="11">
        <f>IFERROR(__xludf.DUMMYFUNCTION("""COMPUTED_VALUE"""),-6.5118181757792115)</f>
        <v>-6.511818176</v>
      </c>
      <c r="I342" s="11">
        <f>IFERROR(__xludf.DUMMYFUNCTION("""COMPUTED_VALUE"""),0.0)</f>
        <v>0</v>
      </c>
      <c r="J342" s="11">
        <f>IFERROR(__xludf.DUMMYFUNCTION("""COMPUTED_VALUE"""),4.8)</f>
        <v>4.8</v>
      </c>
      <c r="K342" s="11">
        <f>IFERROR(__xludf.DUMMYFUNCTION("""COMPUTED_VALUE"""),1.0)</f>
        <v>1</v>
      </c>
      <c r="L342" s="11">
        <f>IFERROR(__xludf.DUMMYFUNCTION("""COMPUTED_VALUE"""),1.2)</f>
        <v>1.2</v>
      </c>
      <c r="M342" s="11">
        <f>IFERROR(__xludf.DUMMYFUNCTION("""COMPUTED_VALUE"""),1.4)</f>
        <v>1.4</v>
      </c>
      <c r="N342" s="11">
        <f>IFERROR(__xludf.DUMMYFUNCTION("""COMPUTED_VALUE"""),0.5)</f>
        <v>0.5</v>
      </c>
      <c r="O342" s="11">
        <f>IFERROR(__xludf.DUMMYFUNCTION("""COMPUTED_VALUE"""),0.2)</f>
        <v>0.2</v>
      </c>
      <c r="P342" s="15">
        <f>IFERROR(__xludf.DUMMYFUNCTION("""COMPUTED_VALUE"""),0.406)</f>
        <v>0.406</v>
      </c>
      <c r="Q342" s="15">
        <f>IFERROR(__xludf.DUMMYFUNCTION("""COMPUTED_VALUE"""),0.81)</f>
        <v>0.81</v>
      </c>
      <c r="R342" s="11">
        <f>IFERROR(__xludf.DUMMYFUNCTION("""COMPUTED_VALUE"""),0.5)</f>
        <v>0.5</v>
      </c>
      <c r="S342" s="11">
        <f>IFERROR(__xludf.DUMMYFUNCTION("""COMPUTED_VALUE"""),-2.2882481268304153)</f>
        <v>-2.288248127</v>
      </c>
      <c r="T342" s="11">
        <f>IFERROR(__xludf.DUMMYFUNCTION("""COMPUTED_VALUE"""),-0.7454435907594266)</f>
        <v>-0.7454435908</v>
      </c>
      <c r="U342" s="11">
        <f>IFERROR(__xludf.DUMMYFUNCTION("""COMPUTED_VALUE"""),-1.90988265238937)</f>
        <v>-1.909882652</v>
      </c>
      <c r="V342" s="11">
        <f>IFERROR(__xludf.DUMMYFUNCTION("""COMPUTED_VALUE"""),-1.1553378738168676)</f>
        <v>-1.155337874</v>
      </c>
      <c r="W342" s="11">
        <f>IFERROR(__xludf.DUMMYFUNCTION("""COMPUTED_VALUE"""),-1.5805271231567248)</f>
        <v>-1.580527123</v>
      </c>
      <c r="X342" s="11">
        <f>IFERROR(__xludf.DUMMYFUNCTION("""COMPUTED_VALUE"""),-0.9723047469492465)</f>
        <v>-0.9723047469</v>
      </c>
      <c r="Y342" s="11">
        <f>IFERROR(__xludf.DUMMYFUNCTION("""COMPUTED_VALUE"""),-0.46865444763967734)</f>
        <v>-0.4686544476</v>
      </c>
      <c r="Z342" s="11">
        <f>IFERROR(__xludf.DUMMYFUNCTION("""COMPUTED_VALUE"""),0.010685233328611786)</f>
        <v>0.01068523333</v>
      </c>
      <c r="AA342" s="11">
        <f>IFERROR(__xludf.DUMMYFUNCTION("""COMPUTED_VALUE"""),0.3096470256034866)</f>
        <v>0.3096470256</v>
      </c>
      <c r="AB342" t="str">
        <f>IFERROR(__xludf.DUMMYFUNCTION("SUBSTITUTE(REGEXREPLACE(REGEXREPLACE(REGEXREPLACE(REGEXREPLACE(REGEXREPLACE(REGEXREPLACE(F342,"","",),IF(Projections!$T$17="""",""PG"",),),IF(Projections!$U$17="""",""SG"",),),IF(Projections!$V$17="""",""SF"",),),IF(Projections!$W$17="""",""PF"",),),IF(Pr"&amp;"ojections!$X$17="""",""C"",),),""/"","""")"),"PGSG")</f>
        <v>PGSG</v>
      </c>
    </row>
    <row r="343">
      <c r="B343">
        <f>IFERROR(__xludf.DUMMYFUNCTION("""COMPUTED_VALUE"""),338.0)</f>
        <v>338</v>
      </c>
      <c r="C343">
        <f>IFERROR(__xludf.DUMMYFUNCTION("""COMPUTED_VALUE"""),142.3)</f>
        <v>142.3</v>
      </c>
      <c r="D343" t="str">
        <f>IFERROR(__xludf.DUMMYFUNCTION("""COMPUTED_VALUE"""),"Simone Fontecchio")</f>
        <v>Simone Fontecchio</v>
      </c>
      <c r="E343">
        <f>IFERROR(__xludf.DUMMYFUNCTION("""COMPUTED_VALUE"""),36.0)</f>
        <v>36</v>
      </c>
      <c r="F343" t="str">
        <f>IFERROR(__xludf.DUMMYFUNCTION("""COMPUTED_VALUE"""),"SF,PF")</f>
        <v>SF,PF</v>
      </c>
      <c r="G343" s="11">
        <f>IFERROR(__xludf.DUMMYFUNCTION("""COMPUTED_VALUE"""),-6.525073343965123)</f>
        <v>-6.525073344</v>
      </c>
      <c r="H343" s="11">
        <f>IFERROR(__xludf.DUMMYFUNCTION("""COMPUTED_VALUE"""),-6.525073343965123)</f>
        <v>-6.525073344</v>
      </c>
      <c r="I343" s="11">
        <f>IFERROR(__xludf.DUMMYFUNCTION("""COMPUTED_VALUE"""),0.0)</f>
        <v>0</v>
      </c>
      <c r="J343" s="11">
        <f>IFERROR(__xludf.DUMMYFUNCTION("""COMPUTED_VALUE"""),6.2)</f>
        <v>6.2</v>
      </c>
      <c r="K343" s="11">
        <f>IFERROR(__xludf.DUMMYFUNCTION("""COMPUTED_VALUE"""),1.2)</f>
        <v>1.2</v>
      </c>
      <c r="L343" s="11">
        <f>IFERROR(__xludf.DUMMYFUNCTION("""COMPUTED_VALUE"""),2.0)</f>
        <v>2</v>
      </c>
      <c r="M343" s="11">
        <f>IFERROR(__xludf.DUMMYFUNCTION("""COMPUTED_VALUE"""),0.9)</f>
        <v>0.9</v>
      </c>
      <c r="N343" s="11">
        <f>IFERROR(__xludf.DUMMYFUNCTION("""COMPUTED_VALUE"""),0.4)</f>
        <v>0.4</v>
      </c>
      <c r="O343" s="11">
        <f>IFERROR(__xludf.DUMMYFUNCTION("""COMPUTED_VALUE"""),0.2)</f>
        <v>0.2</v>
      </c>
      <c r="P343" s="15">
        <f>IFERROR(__xludf.DUMMYFUNCTION("""COMPUTED_VALUE"""),0.426)</f>
        <v>0.426</v>
      </c>
      <c r="Q343" s="15">
        <f>IFERROR(__xludf.DUMMYFUNCTION("""COMPUTED_VALUE"""),0.818)</f>
        <v>0.818</v>
      </c>
      <c r="R343" s="11">
        <f>IFERROR(__xludf.DUMMYFUNCTION("""COMPUTED_VALUE"""),0.7)</f>
        <v>0.7</v>
      </c>
      <c r="S343" s="11">
        <f>IFERROR(__xludf.DUMMYFUNCTION("""COMPUTED_VALUE"""),-2.035340899344688)</f>
        <v>-2.035340899</v>
      </c>
      <c r="T343" s="11">
        <f>IFERROR(__xludf.DUMMYFUNCTION("""COMPUTED_VALUE"""),-0.5463949926963436)</f>
        <v>-0.5463949927</v>
      </c>
      <c r="U343" s="11">
        <f>IFERROR(__xludf.DUMMYFUNCTION("""COMPUTED_VALUE"""),-1.596071683389593)</f>
        <v>-1.596071683</v>
      </c>
      <c r="V343" s="11">
        <f>IFERROR(__xludf.DUMMYFUNCTION("""COMPUTED_VALUE"""),-1.3831467259275323)</f>
        <v>-1.383146726</v>
      </c>
      <c r="W343" s="11">
        <f>IFERROR(__xludf.DUMMYFUNCTION("""COMPUTED_VALUE"""),-1.912459801316204)</f>
        <v>-1.912459801</v>
      </c>
      <c r="X343" s="11">
        <f>IFERROR(__xludf.DUMMYFUNCTION("""COMPUTED_VALUE"""),-0.9723047469492465)</f>
        <v>-0.9723047469</v>
      </c>
      <c r="Y343" s="11">
        <f>IFERROR(__xludf.DUMMYFUNCTION("""COMPUTED_VALUE"""),-0.43197625214561547)</f>
        <v>-0.4319762521</v>
      </c>
      <c r="Z343" s="11">
        <f>IFERROR(__xludf.DUMMYFUNCTION("""COMPUTED_VALUE"""),0.05723025980789752)</f>
        <v>0.05723025981</v>
      </c>
      <c r="AA343" s="11">
        <f>IFERROR(__xludf.DUMMYFUNCTION("""COMPUTED_VALUE"""),0.26005059865151336)</f>
        <v>0.2600505987</v>
      </c>
      <c r="AB343" t="str">
        <f>IFERROR(__xludf.DUMMYFUNCTION("SUBSTITUTE(REGEXREPLACE(REGEXREPLACE(REGEXREPLACE(REGEXREPLACE(REGEXREPLACE(REGEXREPLACE(F343,"","",),IF(Projections!$T$17="""",""PG"",),),IF(Projections!$U$17="""",""SG"",),),IF(Projections!$V$17="""",""SF"",),),IF(Projections!$W$17="""",""PF"",),),IF(Pr"&amp;"ojections!$X$17="""",""C"",),),""/"","""")"),"SFPF")</f>
        <v>SFPF</v>
      </c>
    </row>
    <row r="344">
      <c r="B344">
        <f>IFERROR(__xludf.DUMMYFUNCTION("""COMPUTED_VALUE"""),339.0)</f>
        <v>339</v>
      </c>
      <c r="D344" t="str">
        <f>IFERROR(__xludf.DUMMYFUNCTION("""COMPUTED_VALUE"""),"Craig Porter Jr.")</f>
        <v>Craig Porter Jr.</v>
      </c>
      <c r="E344">
        <f>IFERROR(__xludf.DUMMYFUNCTION("""COMPUTED_VALUE"""),71.0)</f>
        <v>71</v>
      </c>
      <c r="F344" t="str">
        <f>IFERROR(__xludf.DUMMYFUNCTION("""COMPUTED_VALUE"""),"PG,SG")</f>
        <v>PG,SG</v>
      </c>
      <c r="G344" s="11">
        <f>IFERROR(__xludf.DUMMYFUNCTION("""COMPUTED_VALUE"""),-6.526166020663307)</f>
        <v>-6.526166021</v>
      </c>
      <c r="H344" s="11">
        <f>IFERROR(__xludf.DUMMYFUNCTION("""COMPUTED_VALUE"""),-6.526166020663307)</f>
        <v>-6.526166021</v>
      </c>
      <c r="I344" s="11">
        <f>IFERROR(__xludf.DUMMYFUNCTION("""COMPUTED_VALUE"""),0.0)</f>
        <v>0</v>
      </c>
      <c r="J344" s="11">
        <f>IFERROR(__xludf.DUMMYFUNCTION("""COMPUTED_VALUE"""),5.5)</f>
        <v>5.5</v>
      </c>
      <c r="K344" s="11">
        <f>IFERROR(__xludf.DUMMYFUNCTION("""COMPUTED_VALUE"""),0.2)</f>
        <v>0.2</v>
      </c>
      <c r="L344" s="11">
        <f>IFERROR(__xludf.DUMMYFUNCTION("""COMPUTED_VALUE"""),2.1)</f>
        <v>2.1</v>
      </c>
      <c r="M344" s="11">
        <f>IFERROR(__xludf.DUMMYFUNCTION("""COMPUTED_VALUE"""),2.3)</f>
        <v>2.3</v>
      </c>
      <c r="N344" s="11">
        <f>IFERROR(__xludf.DUMMYFUNCTION("""COMPUTED_VALUE"""),0.4)</f>
        <v>0.4</v>
      </c>
      <c r="O344" s="11">
        <f>IFERROR(__xludf.DUMMYFUNCTION("""COMPUTED_VALUE"""),0.3)</f>
        <v>0.3</v>
      </c>
      <c r="P344" s="15">
        <f>IFERROR(__xludf.DUMMYFUNCTION("""COMPUTED_VALUE"""),0.509)</f>
        <v>0.509</v>
      </c>
      <c r="Q344" s="15">
        <f>IFERROR(__xludf.DUMMYFUNCTION("""COMPUTED_VALUE"""),0.731)</f>
        <v>0.731</v>
      </c>
      <c r="R344" s="11">
        <f>IFERROR(__xludf.DUMMYFUNCTION("""COMPUTED_VALUE"""),0.9)</f>
        <v>0.9</v>
      </c>
      <c r="S344" s="11">
        <f>IFERROR(__xludf.DUMMYFUNCTION("""COMPUTED_VALUE"""),-2.161794513087552)</f>
        <v>-2.161794513</v>
      </c>
      <c r="T344" s="11">
        <f>IFERROR(__xludf.DUMMYFUNCTION("""COMPUTED_VALUE"""),-1.5416379830117586)</f>
        <v>-1.541637983</v>
      </c>
      <c r="U344" s="11">
        <f>IFERROR(__xludf.DUMMYFUNCTION("""COMPUTED_VALUE"""),-1.5568453122646206)</f>
        <v>-1.556845312</v>
      </c>
      <c r="V344" s="11">
        <f>IFERROR(__xludf.DUMMYFUNCTION("""COMPUTED_VALUE"""),-0.745281940017671)</f>
        <v>-0.74528194</v>
      </c>
      <c r="W344" s="11">
        <f>IFERROR(__xludf.DUMMYFUNCTION("""COMPUTED_VALUE"""),-1.912459801316204)</f>
        <v>-1.912459801</v>
      </c>
      <c r="X344" s="11">
        <f>IFERROR(__xludf.DUMMYFUNCTION("""COMPUTED_VALUE"""),-0.7939110448965904)</f>
        <v>-0.7939110449</v>
      </c>
      <c r="Y344" s="11">
        <f>IFERROR(__xludf.DUMMYFUNCTION("""COMPUTED_VALUE"""),0.062496366623960166)</f>
        <v>0.06249636662</v>
      </c>
      <c r="Z344" s="11">
        <f>IFERROR(__xludf.DUMMYFUNCTION("""COMPUTED_VALUE"""),-0.24898047747996457)</f>
        <v>-0.2489804775</v>
      </c>
      <c r="AA344" s="11">
        <f>IFERROR(__xludf.DUMMYFUNCTION("""COMPUTED_VALUE"""),0.21045417169954)</f>
        <v>0.2104541717</v>
      </c>
      <c r="AB344" t="str">
        <f>IFERROR(__xludf.DUMMYFUNCTION("SUBSTITUTE(REGEXREPLACE(REGEXREPLACE(REGEXREPLACE(REGEXREPLACE(REGEXREPLACE(REGEXREPLACE(F344,"","",),IF(Projections!$T$17="""",""PG"",),),IF(Projections!$U$17="""",""SG"",),),IF(Projections!$V$17="""",""SF"",),),IF(Projections!$W$17="""",""PF"",),),IF(Pr"&amp;"ojections!$X$17="""",""C"",),),""/"","""")"),"PGSG")</f>
        <v>PGSG</v>
      </c>
    </row>
    <row r="345">
      <c r="B345">
        <f>IFERROR(__xludf.DUMMYFUNCTION("""COMPUTED_VALUE"""),340.0)</f>
        <v>340</v>
      </c>
      <c r="D345" t="str">
        <f>IFERROR(__xludf.DUMMYFUNCTION("""COMPUTED_VALUE"""),"Jordan Walsh")</f>
        <v>Jordan Walsh</v>
      </c>
      <c r="F345" t="str">
        <f>IFERROR(__xludf.DUMMYFUNCTION("""COMPUTED_VALUE"""),"SG,SF")</f>
        <v>SG,SF</v>
      </c>
      <c r="G345" s="11">
        <f>IFERROR(__xludf.DUMMYFUNCTION("""COMPUTED_VALUE"""),-6.5290409192575245)</f>
        <v>-6.529040919</v>
      </c>
      <c r="H345" s="11">
        <f>IFERROR(__xludf.DUMMYFUNCTION("""COMPUTED_VALUE"""),-6.5290409192575245)</f>
        <v>-6.529040919</v>
      </c>
      <c r="I345" s="11">
        <f>IFERROR(__xludf.DUMMYFUNCTION("""COMPUTED_VALUE"""),0.0)</f>
        <v>0</v>
      </c>
      <c r="J345" s="11">
        <f>IFERROR(__xludf.DUMMYFUNCTION("""COMPUTED_VALUE"""),2.0)</f>
        <v>2</v>
      </c>
      <c r="K345" s="11">
        <f>IFERROR(__xludf.DUMMYFUNCTION("""COMPUTED_VALUE"""),0.3)</f>
        <v>0.3</v>
      </c>
      <c r="L345" s="11">
        <f>IFERROR(__xludf.DUMMYFUNCTION("""COMPUTED_VALUE"""),2.7)</f>
        <v>2.7</v>
      </c>
      <c r="M345" s="11">
        <f>IFERROR(__xludf.DUMMYFUNCTION("""COMPUTED_VALUE"""),0.7)</f>
        <v>0.7</v>
      </c>
      <c r="N345" s="11">
        <f>IFERROR(__xludf.DUMMYFUNCTION("""COMPUTED_VALUE"""),0.7)</f>
        <v>0.7</v>
      </c>
      <c r="O345" s="11">
        <f>IFERROR(__xludf.DUMMYFUNCTION("""COMPUTED_VALUE"""),0.1)</f>
        <v>0.1</v>
      </c>
      <c r="P345" s="15">
        <f>IFERROR(__xludf.DUMMYFUNCTION("""COMPUTED_VALUE"""),0.401)</f>
        <v>0.401</v>
      </c>
      <c r="Q345" s="15">
        <f>IFERROR(__xludf.DUMMYFUNCTION("""COMPUTED_VALUE"""),0.481)</f>
        <v>0.481</v>
      </c>
      <c r="R345" s="11">
        <f>IFERROR(__xludf.DUMMYFUNCTION("""COMPUTED_VALUE"""),0.4)</f>
        <v>0.4</v>
      </c>
      <c r="S345" s="11">
        <f>IFERROR(__xludf.DUMMYFUNCTION("""COMPUTED_VALUE"""),-2.79406258180187)</f>
        <v>-2.794062582</v>
      </c>
      <c r="T345" s="11">
        <f>IFERROR(__xludf.DUMMYFUNCTION("""COMPUTED_VALUE"""),-1.442113683980217)</f>
        <v>-1.442113684</v>
      </c>
      <c r="U345" s="11">
        <f>IFERROR(__xludf.DUMMYFUNCTION("""COMPUTED_VALUE"""),-1.321487085514788)</f>
        <v>-1.321487086</v>
      </c>
      <c r="V345" s="11">
        <f>IFERROR(__xludf.DUMMYFUNCTION("""COMPUTED_VALUE"""),-1.4742702667717982)</f>
        <v>-1.474270267</v>
      </c>
      <c r="W345" s="11">
        <f>IFERROR(__xludf.DUMMYFUNCTION("""COMPUTED_VALUE"""),-0.9166617668377661)</f>
        <v>-0.9166617668</v>
      </c>
      <c r="X345" s="11">
        <f>IFERROR(__xludf.DUMMYFUNCTION("""COMPUTED_VALUE"""),-1.150698449001903)</f>
        <v>-1.150698449</v>
      </c>
      <c r="Y345" s="11">
        <f>IFERROR(__xludf.DUMMYFUNCTION("""COMPUTED_VALUE"""),-0.22474475806798302)</f>
        <v>-0.2247447581</v>
      </c>
      <c r="Z345" s="11">
        <f>IFERROR(__xludf.DUMMYFUNCTION("""COMPUTED_VALUE"""),-0.3335101481625413)</f>
        <v>-0.3335101482</v>
      </c>
      <c r="AA345" s="11">
        <f>IFERROR(__xludf.DUMMYFUNCTION("""COMPUTED_VALUE"""),0.3344452390794733)</f>
        <v>0.3344452391</v>
      </c>
      <c r="AB345" t="str">
        <f>IFERROR(__xludf.DUMMYFUNCTION("SUBSTITUTE(REGEXREPLACE(REGEXREPLACE(REGEXREPLACE(REGEXREPLACE(REGEXREPLACE(REGEXREPLACE(F345,"","",),IF(Projections!$T$17="""",""PG"",),),IF(Projections!$U$17="""",""SG"",),),IF(Projections!$V$17="""",""SF"",),),IF(Projections!$W$17="""",""PF"",),),IF(Pr"&amp;"ojections!$X$17="""",""C"",),),""/"","""")"),"SGSF")</f>
        <v>SGSF</v>
      </c>
    </row>
    <row r="346">
      <c r="B346">
        <f>IFERROR(__xludf.DUMMYFUNCTION("""COMPUTED_VALUE"""),341.0)</f>
        <v>341</v>
      </c>
      <c r="D346" t="str">
        <f>IFERROR(__xludf.DUMMYFUNCTION("""COMPUTED_VALUE"""),"Jaden Hardy")</f>
        <v>Jaden Hardy</v>
      </c>
      <c r="E346">
        <f>IFERROR(__xludf.DUMMYFUNCTION("""COMPUTED_VALUE"""),48.0)</f>
        <v>48</v>
      </c>
      <c r="F346" t="str">
        <f>IFERROR(__xludf.DUMMYFUNCTION("""COMPUTED_VALUE"""),"PG,SG")</f>
        <v>PG,SG</v>
      </c>
      <c r="G346" s="11">
        <f>IFERROR(__xludf.DUMMYFUNCTION("""COMPUTED_VALUE"""),-6.530984722354523)</f>
        <v>-6.530984722</v>
      </c>
      <c r="H346" s="11">
        <f>IFERROR(__xludf.DUMMYFUNCTION("""COMPUTED_VALUE"""),-6.530984722354523)</f>
        <v>-6.530984722</v>
      </c>
      <c r="I346" s="11">
        <f>IFERROR(__xludf.DUMMYFUNCTION("""COMPUTED_VALUE"""),0.0)</f>
        <v>0</v>
      </c>
      <c r="J346" s="11">
        <f>IFERROR(__xludf.DUMMYFUNCTION("""COMPUTED_VALUE"""),8.0)</f>
        <v>8</v>
      </c>
      <c r="K346" s="11">
        <f>IFERROR(__xludf.DUMMYFUNCTION("""COMPUTED_VALUE"""),1.2)</f>
        <v>1.2</v>
      </c>
      <c r="L346" s="11">
        <f>IFERROR(__xludf.DUMMYFUNCTION("""COMPUTED_VALUE"""),1.9)</f>
        <v>1.9</v>
      </c>
      <c r="M346" s="11">
        <f>IFERROR(__xludf.DUMMYFUNCTION("""COMPUTED_VALUE"""),1.5)</f>
        <v>1.5</v>
      </c>
      <c r="N346" s="11">
        <f>IFERROR(__xludf.DUMMYFUNCTION("""COMPUTED_VALUE"""),0.3)</f>
        <v>0.3</v>
      </c>
      <c r="O346" s="11">
        <f>IFERROR(__xludf.DUMMYFUNCTION("""COMPUTED_VALUE"""),0.1)</f>
        <v>0.1</v>
      </c>
      <c r="P346" s="15">
        <f>IFERROR(__xludf.DUMMYFUNCTION("""COMPUTED_VALUE"""),0.42)</f>
        <v>0.42</v>
      </c>
      <c r="Q346" s="15">
        <f>IFERROR(__xludf.DUMMYFUNCTION("""COMPUTED_VALUE"""),0.802)</f>
        <v>0.802</v>
      </c>
      <c r="R346" s="11">
        <f>IFERROR(__xludf.DUMMYFUNCTION("""COMPUTED_VALUE"""),0.9)</f>
        <v>0.9</v>
      </c>
      <c r="S346" s="11">
        <f>IFERROR(__xludf.DUMMYFUNCTION("""COMPUTED_VALUE"""),-1.710174464005896)</f>
        <v>-1.710174464</v>
      </c>
      <c r="T346" s="11">
        <f>IFERROR(__xludf.DUMMYFUNCTION("""COMPUTED_VALUE"""),-0.5463949926963436)</f>
        <v>-0.5463949927</v>
      </c>
      <c r="U346" s="11">
        <f>IFERROR(__xludf.DUMMYFUNCTION("""COMPUTED_VALUE"""),-1.6352980545145652)</f>
        <v>-1.635298055</v>
      </c>
      <c r="V346" s="11">
        <f>IFERROR(__xludf.DUMMYFUNCTION("""COMPUTED_VALUE"""),-1.1097761033947346)</f>
        <v>-1.109776103</v>
      </c>
      <c r="W346" s="11">
        <f>IFERROR(__xludf.DUMMYFUNCTION("""COMPUTED_VALUE"""),-2.2443924794756835)</f>
        <v>-2.244392479</v>
      </c>
      <c r="X346" s="11">
        <f>IFERROR(__xludf.DUMMYFUNCTION("""COMPUTED_VALUE"""),-1.150698449001903)</f>
        <v>-1.150698449</v>
      </c>
      <c r="Y346" s="11">
        <f>IFERROR(__xludf.DUMMYFUNCTION("""COMPUTED_VALUE"""),-0.621720095497907)</f>
        <v>-0.6217200955</v>
      </c>
      <c r="Z346" s="11">
        <f>IFERROR(__xludf.DUMMYFUNCTION("""COMPUTED_VALUE"""),0.03262326505728586)</f>
        <v>0.03262326506</v>
      </c>
      <c r="AA346" s="11">
        <f>IFERROR(__xludf.DUMMYFUNCTION("""COMPUTED_VALUE"""),0.21045417169954)</f>
        <v>0.2104541717</v>
      </c>
      <c r="AB346" t="str">
        <f>IFERROR(__xludf.DUMMYFUNCTION("SUBSTITUTE(REGEXREPLACE(REGEXREPLACE(REGEXREPLACE(REGEXREPLACE(REGEXREPLACE(REGEXREPLACE(F346,"","",),IF(Projections!$T$17="""",""PG"",),),IF(Projections!$U$17="""",""SG"",),),IF(Projections!$V$17="""",""SF"",),),IF(Projections!$W$17="""",""PF"",),),IF(Pr"&amp;"ojections!$X$17="""",""C"",),),""/"","""")"),"PGSG")</f>
        <v>PGSG</v>
      </c>
    </row>
    <row r="347">
      <c r="B347">
        <f>IFERROR(__xludf.DUMMYFUNCTION("""COMPUTED_VALUE"""),342.0)</f>
        <v>342</v>
      </c>
      <c r="D347" t="str">
        <f>IFERROR(__xludf.DUMMYFUNCTION("""COMPUTED_VALUE"""),"Andre Jackson Jr.")</f>
        <v>Andre Jackson Jr.</v>
      </c>
      <c r="E347">
        <f>IFERROR(__xludf.DUMMYFUNCTION("""COMPUTED_VALUE"""),48.0)</f>
        <v>48</v>
      </c>
      <c r="F347" t="str">
        <f>IFERROR(__xludf.DUMMYFUNCTION("""COMPUTED_VALUE"""),"SG,SF")</f>
        <v>SG,SF</v>
      </c>
      <c r="G347" s="11">
        <f>IFERROR(__xludf.DUMMYFUNCTION("""COMPUTED_VALUE"""),-6.533149419643314)</f>
        <v>-6.53314942</v>
      </c>
      <c r="H347" s="11">
        <f>IFERROR(__xludf.DUMMYFUNCTION("""COMPUTED_VALUE"""),-6.533149419643314)</f>
        <v>-6.53314942</v>
      </c>
      <c r="I347" s="11">
        <f>IFERROR(__xludf.DUMMYFUNCTION("""COMPUTED_VALUE"""),0.0)</f>
        <v>0</v>
      </c>
      <c r="J347" s="11">
        <f>IFERROR(__xludf.DUMMYFUNCTION("""COMPUTED_VALUE"""),3.1)</f>
        <v>3.1</v>
      </c>
      <c r="K347" s="11">
        <f>IFERROR(__xludf.DUMMYFUNCTION("""COMPUTED_VALUE"""),0.4)</f>
        <v>0.4</v>
      </c>
      <c r="L347" s="11">
        <f>IFERROR(__xludf.DUMMYFUNCTION("""COMPUTED_VALUE"""),2.8)</f>
        <v>2.8</v>
      </c>
      <c r="M347" s="11">
        <f>IFERROR(__xludf.DUMMYFUNCTION("""COMPUTED_VALUE"""),1.3)</f>
        <v>1.3</v>
      </c>
      <c r="N347" s="11">
        <f>IFERROR(__xludf.DUMMYFUNCTION("""COMPUTED_VALUE"""),0.4)</f>
        <v>0.4</v>
      </c>
      <c r="O347" s="11">
        <f>IFERROR(__xludf.DUMMYFUNCTION("""COMPUTED_VALUE"""),0.2)</f>
        <v>0.2</v>
      </c>
      <c r="P347" s="15">
        <f>IFERROR(__xludf.DUMMYFUNCTION("""COMPUTED_VALUE"""),0.498)</f>
        <v>0.498</v>
      </c>
      <c r="Q347" s="15">
        <f>IFERROR(__xludf.DUMMYFUNCTION("""COMPUTED_VALUE"""),0.714)</f>
        <v>0.714</v>
      </c>
      <c r="R347" s="11">
        <f>IFERROR(__xludf.DUMMYFUNCTION("""COMPUTED_VALUE"""),0.7)</f>
        <v>0.7</v>
      </c>
      <c r="S347" s="11">
        <f>IFERROR(__xludf.DUMMYFUNCTION("""COMPUTED_VALUE"""),-2.5953497602059414)</f>
        <v>-2.59534976</v>
      </c>
      <c r="T347" s="11">
        <f>IFERROR(__xludf.DUMMYFUNCTION("""COMPUTED_VALUE"""),-1.3425893849486756)</f>
        <v>-1.342589385</v>
      </c>
      <c r="U347" s="11">
        <f>IFERROR(__xludf.DUMMYFUNCTION("""COMPUTED_VALUE"""),-1.282260714389816)</f>
        <v>-1.282260714</v>
      </c>
      <c r="V347" s="11">
        <f>IFERROR(__xludf.DUMMYFUNCTION("""COMPUTED_VALUE"""),-1.2008996442390003)</f>
        <v>-1.200899644</v>
      </c>
      <c r="W347" s="11">
        <f>IFERROR(__xludf.DUMMYFUNCTION("""COMPUTED_VALUE"""),-1.912459801316204)</f>
        <v>-1.912459801</v>
      </c>
      <c r="X347" s="11">
        <f>IFERROR(__xludf.DUMMYFUNCTION("""COMPUTED_VALUE"""),-0.9723047469492465)</f>
        <v>-0.9723047469</v>
      </c>
      <c r="Y347" s="11">
        <f>IFERROR(__xludf.DUMMYFUNCTION("""COMPUTED_VALUE"""),0.0032792740808025075)</f>
        <v>0.003279274081</v>
      </c>
      <c r="Z347" s="11">
        <f>IFERROR(__xludf.DUMMYFUNCTION("""COMPUTED_VALUE"""),-0.08596500053268745)</f>
        <v>-0.08596500053</v>
      </c>
      <c r="AA347" s="11">
        <f>IFERROR(__xludf.DUMMYFUNCTION("""COMPUTED_VALUE"""),0.26005059865151336)</f>
        <v>0.2600505987</v>
      </c>
      <c r="AB347" t="str">
        <f>IFERROR(__xludf.DUMMYFUNCTION("SUBSTITUTE(REGEXREPLACE(REGEXREPLACE(REGEXREPLACE(REGEXREPLACE(REGEXREPLACE(REGEXREPLACE(F347,"","",),IF(Projections!$T$17="""",""PG"",),),IF(Projections!$U$17="""",""SG"",),),IF(Projections!$V$17="""",""SF"",),),IF(Projections!$W$17="""",""PF"",),),IF(Pr"&amp;"ojections!$X$17="""",""C"",),),""/"","""")"),"SGSF")</f>
        <v>SGSF</v>
      </c>
    </row>
    <row r="348">
      <c r="B348">
        <f>IFERROR(__xludf.DUMMYFUNCTION("""COMPUTED_VALUE"""),343.0)</f>
        <v>343</v>
      </c>
      <c r="D348" t="str">
        <f>IFERROR(__xludf.DUMMYFUNCTION("""COMPUTED_VALUE"""),"Keon Johnson")</f>
        <v>Keon Johnson</v>
      </c>
      <c r="E348">
        <f>IFERROR(__xludf.DUMMYFUNCTION("""COMPUTED_VALUE"""),66.0)</f>
        <v>66</v>
      </c>
      <c r="F348" t="str">
        <f>IFERROR(__xludf.DUMMYFUNCTION("""COMPUTED_VALUE"""),"PG,SG")</f>
        <v>PG,SG</v>
      </c>
      <c r="G348" s="11">
        <f>IFERROR(__xludf.DUMMYFUNCTION("""COMPUTED_VALUE"""),-6.557258711198838)</f>
        <v>-6.557258711</v>
      </c>
      <c r="H348" s="11">
        <f>IFERROR(__xludf.DUMMYFUNCTION("""COMPUTED_VALUE"""),-6.557258711198838)</f>
        <v>-6.557258711</v>
      </c>
      <c r="I348" s="11">
        <f>IFERROR(__xludf.DUMMYFUNCTION("""COMPUTED_VALUE"""),0.0)</f>
        <v>0</v>
      </c>
      <c r="J348" s="11">
        <f>IFERROR(__xludf.DUMMYFUNCTION("""COMPUTED_VALUE"""),6.9)</f>
        <v>6.9</v>
      </c>
      <c r="K348" s="11">
        <f>IFERROR(__xludf.DUMMYFUNCTION("""COMPUTED_VALUE"""),1.0)</f>
        <v>1</v>
      </c>
      <c r="L348" s="11">
        <f>IFERROR(__xludf.DUMMYFUNCTION("""COMPUTED_VALUE"""),1.6)</f>
        <v>1.6</v>
      </c>
      <c r="M348" s="11">
        <f>IFERROR(__xludf.DUMMYFUNCTION("""COMPUTED_VALUE"""),2.0)</f>
        <v>2</v>
      </c>
      <c r="N348" s="11">
        <f>IFERROR(__xludf.DUMMYFUNCTION("""COMPUTED_VALUE"""),0.7)</f>
        <v>0.7</v>
      </c>
      <c r="O348" s="11">
        <f>IFERROR(__xludf.DUMMYFUNCTION("""COMPUTED_VALUE"""),0.2)</f>
        <v>0.2</v>
      </c>
      <c r="P348" s="15">
        <f>IFERROR(__xludf.DUMMYFUNCTION("""COMPUTED_VALUE"""),0.376)</f>
        <v>0.376</v>
      </c>
      <c r="Q348" s="15">
        <f>IFERROR(__xludf.DUMMYFUNCTION("""COMPUTED_VALUE"""),0.719)</f>
        <v>0.719</v>
      </c>
      <c r="R348" s="11">
        <f>IFERROR(__xludf.DUMMYFUNCTION("""COMPUTED_VALUE"""),1.5)</f>
        <v>1.5</v>
      </c>
      <c r="S348" s="11">
        <f>IFERROR(__xludf.DUMMYFUNCTION("""COMPUTED_VALUE"""),-1.9088872856018244)</f>
        <v>-1.908887286</v>
      </c>
      <c r="T348" s="11">
        <f>IFERROR(__xludf.DUMMYFUNCTION("""COMPUTED_VALUE"""),-0.7454435907594266)</f>
        <v>-0.7454435908</v>
      </c>
      <c r="U348" s="11">
        <f>IFERROR(__xludf.DUMMYFUNCTION("""COMPUTED_VALUE"""),-1.7529771678894812)</f>
        <v>-1.752977168</v>
      </c>
      <c r="V348" s="11">
        <f>IFERROR(__xludf.DUMMYFUNCTION("""COMPUTED_VALUE"""),-0.8819672512840698)</f>
        <v>-0.8819672513</v>
      </c>
      <c r="W348" s="11">
        <f>IFERROR(__xludf.DUMMYFUNCTION("""COMPUTED_VALUE"""),-0.9166617668377661)</f>
        <v>-0.9166617668</v>
      </c>
      <c r="X348" s="11">
        <f>IFERROR(__xludf.DUMMYFUNCTION("""COMPUTED_VALUE"""),-0.9723047469492465)</f>
        <v>-0.9723047469</v>
      </c>
      <c r="Y348" s="11">
        <f>IFERROR(__xludf.DUMMYFUNCTION("""COMPUTED_VALUE"""),-0.8925361318826438)</f>
        <v>-0.8925361319</v>
      </c>
      <c r="Z348" s="11">
        <f>IFERROR(__xludf.DUMMYFUNCTION("""COMPUTED_VALUE"""),-0.4570329464398246)</f>
        <v>-0.4570329464</v>
      </c>
      <c r="AA348" s="11">
        <f>IFERROR(__xludf.DUMMYFUNCTION("""COMPUTED_VALUE"""),0.06166489084362008)</f>
        <v>0.06166489084</v>
      </c>
      <c r="AB348" t="str">
        <f>IFERROR(__xludf.DUMMYFUNCTION("SUBSTITUTE(REGEXREPLACE(REGEXREPLACE(REGEXREPLACE(REGEXREPLACE(REGEXREPLACE(REGEXREPLACE(F348,"","",),IF(Projections!$T$17="""",""PG"",),),IF(Projections!$U$17="""",""SG"",),),IF(Projections!$V$17="""",""SF"",),),IF(Projections!$W$17="""",""PF"",),),IF(Pr"&amp;"ojections!$X$17="""",""C"",),),""/"","""")"),"PGSG")</f>
        <v>PGSG</v>
      </c>
    </row>
    <row r="349">
      <c r="B349">
        <f>IFERROR(__xludf.DUMMYFUNCTION("""COMPUTED_VALUE"""),344.0)</f>
        <v>344</v>
      </c>
      <c r="D349" t="str">
        <f>IFERROR(__xludf.DUMMYFUNCTION("""COMPUTED_VALUE"""),"Kobe Bufkin")</f>
        <v>Kobe Bufkin</v>
      </c>
      <c r="F349" t="str">
        <f>IFERROR(__xludf.DUMMYFUNCTION("""COMPUTED_VALUE"""),"PG,SG")</f>
        <v>PG,SG</v>
      </c>
      <c r="G349" s="11">
        <f>IFERROR(__xludf.DUMMYFUNCTION("""COMPUTED_VALUE"""),-6.565186319731564)</f>
        <v>-6.56518632</v>
      </c>
      <c r="H349" s="11">
        <f>IFERROR(__xludf.DUMMYFUNCTION("""COMPUTED_VALUE"""),-6.565186319731564)</f>
        <v>-6.56518632</v>
      </c>
      <c r="I349" s="11">
        <f>IFERROR(__xludf.DUMMYFUNCTION("""COMPUTED_VALUE"""),0.0)</f>
        <v>0</v>
      </c>
      <c r="J349" s="11">
        <f>IFERROR(__xludf.DUMMYFUNCTION("""COMPUTED_VALUE"""),6.4)</f>
        <v>6.4</v>
      </c>
      <c r="K349" s="11">
        <f>IFERROR(__xludf.DUMMYFUNCTION("""COMPUTED_VALUE"""),0.7)</f>
        <v>0.7</v>
      </c>
      <c r="L349" s="11">
        <f>IFERROR(__xludf.DUMMYFUNCTION("""COMPUTED_VALUE"""),2.6)</f>
        <v>2.6</v>
      </c>
      <c r="M349" s="11">
        <f>IFERROR(__xludf.DUMMYFUNCTION("""COMPUTED_VALUE"""),2.1)</f>
        <v>2.1</v>
      </c>
      <c r="N349" s="11">
        <f>IFERROR(__xludf.DUMMYFUNCTION("""COMPUTED_VALUE"""),0.6)</f>
        <v>0.6</v>
      </c>
      <c r="O349" s="11">
        <f>IFERROR(__xludf.DUMMYFUNCTION("""COMPUTED_VALUE"""),0.4)</f>
        <v>0.4</v>
      </c>
      <c r="P349" s="15">
        <f>IFERROR(__xludf.DUMMYFUNCTION("""COMPUTED_VALUE"""),0.37)</f>
        <v>0.37</v>
      </c>
      <c r="Q349" s="15">
        <f>IFERROR(__xludf.DUMMYFUNCTION("""COMPUTED_VALUE"""),0.508)</f>
        <v>0.508</v>
      </c>
      <c r="R349" s="11">
        <f>IFERROR(__xludf.DUMMYFUNCTION("""COMPUTED_VALUE"""),0.8)</f>
        <v>0.8</v>
      </c>
      <c r="S349" s="11">
        <f>IFERROR(__xludf.DUMMYFUNCTION("""COMPUTED_VALUE"""),-1.9992112954181556)</f>
        <v>-1.999211295</v>
      </c>
      <c r="T349" s="11">
        <f>IFERROR(__xludf.DUMMYFUNCTION("""COMPUTED_VALUE"""),-1.0440164878540512)</f>
        <v>-1.044016488</v>
      </c>
      <c r="U349" s="11">
        <f>IFERROR(__xludf.DUMMYFUNCTION("""COMPUTED_VALUE"""),-1.36071345663976)</f>
        <v>-1.360713457</v>
      </c>
      <c r="V349" s="11">
        <f>IFERROR(__xludf.DUMMYFUNCTION("""COMPUTED_VALUE"""),-0.8364054808619368)</f>
        <v>-0.8364054809</v>
      </c>
      <c r="W349" s="11">
        <f>IFERROR(__xludf.DUMMYFUNCTION("""COMPUTED_VALUE"""),-1.2485944449972455)</f>
        <v>-1.248594445</v>
      </c>
      <c r="X349" s="11">
        <f>IFERROR(__xludf.DUMMYFUNCTION("""COMPUTED_VALUE"""),-0.6155173428439339)</f>
        <v>-0.6155173428</v>
      </c>
      <c r="Y349" s="11">
        <f>IFERROR(__xludf.DUMMYFUNCTION("""COMPUTED_VALUE"""),-1.0855421738057311)</f>
        <v>-1.085542174</v>
      </c>
      <c r="Z349" s="11">
        <f>IFERROR(__xludf.DUMMYFUNCTION("""COMPUTED_VALUE"""),-0.6096493179044298)</f>
        <v>-0.6096493179</v>
      </c>
      <c r="AA349" s="11">
        <f>IFERROR(__xludf.DUMMYFUNCTION("""COMPUTED_VALUE"""),0.23525238517552666)</f>
        <v>0.2352523852</v>
      </c>
      <c r="AB349" t="str">
        <f>IFERROR(__xludf.DUMMYFUNCTION("SUBSTITUTE(REGEXREPLACE(REGEXREPLACE(REGEXREPLACE(REGEXREPLACE(REGEXREPLACE(REGEXREPLACE(F349,"","",),IF(Projections!$T$17="""",""PG"",),),IF(Projections!$U$17="""",""SG"",),),IF(Projections!$V$17="""",""SF"",),),IF(Projections!$W$17="""",""PF"",),),IF(Pr"&amp;"ojections!$X$17="""",""C"",),),""/"","""")"),"PGSG")</f>
        <v>PGSG</v>
      </c>
    </row>
    <row r="350">
      <c r="B350">
        <f>IFERROR(__xludf.DUMMYFUNCTION("""COMPUTED_VALUE"""),345.0)</f>
        <v>345</v>
      </c>
      <c r="D350" t="str">
        <f>IFERROR(__xludf.DUMMYFUNCTION("""COMPUTED_VALUE"""),"Chris Duarte")</f>
        <v>Chris Duarte</v>
      </c>
      <c r="E350">
        <f>IFERROR(__xludf.DUMMYFUNCTION("""COMPUTED_VALUE"""),33.0)</f>
        <v>33</v>
      </c>
      <c r="F350" t="str">
        <f>IFERROR(__xludf.DUMMYFUNCTION("""COMPUTED_VALUE"""),"SG")</f>
        <v>SG</v>
      </c>
      <c r="G350" s="11">
        <f>IFERROR(__xludf.DUMMYFUNCTION("""COMPUTED_VALUE"""),-6.598797615133439)</f>
        <v>-6.598797615</v>
      </c>
      <c r="H350" s="11">
        <f>IFERROR(__xludf.DUMMYFUNCTION("""COMPUTED_VALUE"""),-6.598797615133439)</f>
        <v>-6.598797615</v>
      </c>
      <c r="I350" s="11">
        <f>IFERROR(__xludf.DUMMYFUNCTION("""COMPUTED_VALUE"""),0.0)</f>
        <v>0</v>
      </c>
      <c r="J350" s="11">
        <f>IFERROR(__xludf.DUMMYFUNCTION("""COMPUTED_VALUE"""),5.6)</f>
        <v>5.6</v>
      </c>
      <c r="K350" s="11">
        <f>IFERROR(__xludf.DUMMYFUNCTION("""COMPUTED_VALUE"""),0.9)</f>
        <v>0.9</v>
      </c>
      <c r="L350" s="11">
        <f>IFERROR(__xludf.DUMMYFUNCTION("""COMPUTED_VALUE"""),2.1)</f>
        <v>2.1</v>
      </c>
      <c r="M350" s="11">
        <f>IFERROR(__xludf.DUMMYFUNCTION("""COMPUTED_VALUE"""),1.0)</f>
        <v>1</v>
      </c>
      <c r="N350" s="11">
        <f>IFERROR(__xludf.DUMMYFUNCTION("""COMPUTED_VALUE"""),0.5)</f>
        <v>0.5</v>
      </c>
      <c r="O350" s="11">
        <f>IFERROR(__xludf.DUMMYFUNCTION("""COMPUTED_VALUE"""),0.2)</f>
        <v>0.2</v>
      </c>
      <c r="P350" s="15">
        <f>IFERROR(__xludf.DUMMYFUNCTION("""COMPUTED_VALUE"""),0.373)</f>
        <v>0.373</v>
      </c>
      <c r="Q350" s="15">
        <f>IFERROR(__xludf.DUMMYFUNCTION("""COMPUTED_VALUE"""),0.837)</f>
        <v>0.837</v>
      </c>
      <c r="R350" s="11">
        <f>IFERROR(__xludf.DUMMYFUNCTION("""COMPUTED_VALUE"""),0.6)</f>
        <v>0.6</v>
      </c>
      <c r="S350" s="11">
        <f>IFERROR(__xludf.DUMMYFUNCTION("""COMPUTED_VALUE"""),-2.1437297111242857)</f>
        <v>-2.143729711</v>
      </c>
      <c r="T350" s="11">
        <f>IFERROR(__xludf.DUMMYFUNCTION("""COMPUTED_VALUE"""),-0.844967889790968)</f>
        <v>-0.8449678898</v>
      </c>
      <c r="U350" s="11">
        <f>IFERROR(__xludf.DUMMYFUNCTION("""COMPUTED_VALUE"""),-1.5568453122646206)</f>
        <v>-1.556845312</v>
      </c>
      <c r="V350" s="11">
        <f>IFERROR(__xludf.DUMMYFUNCTION("""COMPUTED_VALUE"""),-1.3375849555053994)</f>
        <v>-1.337584956</v>
      </c>
      <c r="W350" s="11">
        <f>IFERROR(__xludf.DUMMYFUNCTION("""COMPUTED_VALUE"""),-1.5805271231567248)</f>
        <v>-1.580527123</v>
      </c>
      <c r="X350" s="11">
        <f>IFERROR(__xludf.DUMMYFUNCTION("""COMPUTED_VALUE"""),-0.9723047469492465)</f>
        <v>-0.9723047469</v>
      </c>
      <c r="Y350" s="11">
        <f>IFERROR(__xludf.DUMMYFUNCTION("""COMPUTED_VALUE"""),-0.7404608636047941)</f>
        <v>-0.7404608636</v>
      </c>
      <c r="Z350" s="11">
        <f>IFERROR(__xludf.DUMMYFUNCTION("""COMPUTED_VALUE"""),0.14904446401081334)</f>
        <v>0.149044464</v>
      </c>
      <c r="AA350" s="11">
        <f>IFERROR(__xludf.DUMMYFUNCTION("""COMPUTED_VALUE"""),0.28484881212749996)</f>
        <v>0.2848488121</v>
      </c>
      <c r="AB350" t="str">
        <f>IFERROR(__xludf.DUMMYFUNCTION("SUBSTITUTE(REGEXREPLACE(REGEXREPLACE(REGEXREPLACE(REGEXREPLACE(REGEXREPLACE(REGEXREPLACE(F350,"","",),IF(Projections!$T$17="""",""PG"",),),IF(Projections!$U$17="""",""SG"",),),IF(Projections!$V$17="""",""SF"",),),IF(Projections!$W$17="""",""PF"",),),IF(Pr"&amp;"ojections!$X$17="""",""C"",),),""/"","""")"),"SG")</f>
        <v>SG</v>
      </c>
    </row>
    <row r="351">
      <c r="B351">
        <f>IFERROR(__xludf.DUMMYFUNCTION("""COMPUTED_VALUE"""),346.0)</f>
        <v>346</v>
      </c>
      <c r="C351">
        <f>IFERROR(__xludf.DUMMYFUNCTION("""COMPUTED_VALUE"""),142.7)</f>
        <v>142.7</v>
      </c>
      <c r="D351" t="str">
        <f>IFERROR(__xludf.DUMMYFUNCTION("""COMPUTED_VALUE"""),"Kel'el Ware")</f>
        <v>Kel'el Ware</v>
      </c>
      <c r="E351">
        <f>IFERROR(__xludf.DUMMYFUNCTION("""COMPUTED_VALUE"""),46.0)</f>
        <v>46</v>
      </c>
      <c r="F351" t="str">
        <f>IFERROR(__xludf.DUMMYFUNCTION("""COMPUTED_VALUE"""),"C")</f>
        <v>C</v>
      </c>
      <c r="G351" s="11">
        <f>IFERROR(__xludf.DUMMYFUNCTION("""COMPUTED_VALUE"""),-6.672078315480999)</f>
        <v>-6.672078315</v>
      </c>
      <c r="H351" s="11">
        <f>IFERROR(__xludf.DUMMYFUNCTION("""COMPUTED_VALUE"""),-6.672078315480999)</f>
        <v>-6.672078315</v>
      </c>
      <c r="I351" s="11">
        <f>IFERROR(__xludf.DUMMYFUNCTION("""COMPUTED_VALUE"""),0.0)</f>
        <v>0</v>
      </c>
      <c r="J351" s="11">
        <f>IFERROR(__xludf.DUMMYFUNCTION("""COMPUTED_VALUE"""),6.3)</f>
        <v>6.3</v>
      </c>
      <c r="K351" s="11">
        <f>IFERROR(__xludf.DUMMYFUNCTION("""COMPUTED_VALUE"""),0.2)</f>
        <v>0.2</v>
      </c>
      <c r="L351" s="11">
        <f>IFERROR(__xludf.DUMMYFUNCTION("""COMPUTED_VALUE"""),3.9)</f>
        <v>3.9</v>
      </c>
      <c r="M351" s="11">
        <f>IFERROR(__xludf.DUMMYFUNCTION("""COMPUTED_VALUE"""),0.6)</f>
        <v>0.6</v>
      </c>
      <c r="N351" s="11">
        <f>IFERROR(__xludf.DUMMYFUNCTION("""COMPUTED_VALUE"""),0.2)</f>
        <v>0.2</v>
      </c>
      <c r="O351" s="11">
        <f>IFERROR(__xludf.DUMMYFUNCTION("""COMPUTED_VALUE"""),0.7)</f>
        <v>0.7</v>
      </c>
      <c r="P351" s="15">
        <f>IFERROR(__xludf.DUMMYFUNCTION("""COMPUTED_VALUE"""),0.512)</f>
        <v>0.512</v>
      </c>
      <c r="Q351" s="15">
        <f>IFERROR(__xludf.DUMMYFUNCTION("""COMPUTED_VALUE"""),0.633)</f>
        <v>0.633</v>
      </c>
      <c r="R351" s="11">
        <f>IFERROR(__xludf.DUMMYFUNCTION("""COMPUTED_VALUE"""),0.6)</f>
        <v>0.6</v>
      </c>
      <c r="S351" s="11">
        <f>IFERROR(__xludf.DUMMYFUNCTION("""COMPUTED_VALUE"""),-2.017276097381422)</f>
        <v>-2.017276097</v>
      </c>
      <c r="T351" s="11">
        <f>IFERROR(__xludf.DUMMYFUNCTION("""COMPUTED_VALUE"""),-1.5416379830117586)</f>
        <v>-1.541637983</v>
      </c>
      <c r="U351" s="11">
        <f>IFERROR(__xludf.DUMMYFUNCTION("""COMPUTED_VALUE"""),-0.8507706320151226)</f>
        <v>-0.850770632</v>
      </c>
      <c r="V351" s="11">
        <f>IFERROR(__xludf.DUMMYFUNCTION("""COMPUTED_VALUE"""),-1.5198320371939311)</f>
        <v>-1.519832037</v>
      </c>
      <c r="W351" s="11">
        <f>IFERROR(__xludf.DUMMYFUNCTION("""COMPUTED_VALUE"""),-2.576325157635163)</f>
        <v>-2.576325158</v>
      </c>
      <c r="X351" s="11">
        <f>IFERROR(__xludf.DUMMYFUNCTION("""COMPUTED_VALUE"""),-0.08033623668596498)</f>
        <v>-0.08033623669</v>
      </c>
      <c r="Y351" s="11">
        <f>IFERROR(__xludf.DUMMYFUNCTION("""COMPUTED_VALUE"""),0.08505466766169968)</f>
        <v>0.08505466766</v>
      </c>
      <c r="Z351" s="11">
        <f>IFERROR(__xludf.DUMMYFUNCTION("""COMPUTED_VALUE"""),-1.032128808982)</f>
        <v>-1.032128809</v>
      </c>
      <c r="AA351" s="11">
        <f>IFERROR(__xludf.DUMMYFUNCTION("""COMPUTED_VALUE"""),0.28484881212749996)</f>
        <v>0.2848488121</v>
      </c>
      <c r="AB351" t="str">
        <f>IFERROR(__xludf.DUMMYFUNCTION("SUBSTITUTE(REGEXREPLACE(REGEXREPLACE(REGEXREPLACE(REGEXREPLACE(REGEXREPLACE(REGEXREPLACE(F351,"","",),IF(Projections!$T$17="""",""PG"",),),IF(Projections!$U$17="""",""SG"",),),IF(Projections!$V$17="""",""SF"",),),IF(Projections!$W$17="""",""PF"",),),IF(Pr"&amp;"ojections!$X$17="""",""C"",),),""/"","""")"),"C")</f>
        <v>C</v>
      </c>
    </row>
    <row r="352">
      <c r="B352">
        <f>IFERROR(__xludf.DUMMYFUNCTION("""COMPUTED_VALUE"""),347.0)</f>
        <v>347</v>
      </c>
      <c r="C352">
        <f>IFERROR(__xludf.DUMMYFUNCTION("""COMPUTED_VALUE"""),135.6)</f>
        <v>135.6</v>
      </c>
      <c r="D352" t="str">
        <f>IFERROR(__xludf.DUMMYFUNCTION("""COMPUTED_VALUE"""),"Kevon Looney")</f>
        <v>Kevon Looney</v>
      </c>
      <c r="F352" t="str">
        <f>IFERROR(__xludf.DUMMYFUNCTION("""COMPUTED_VALUE"""),"PF,C")</f>
        <v>PF,C</v>
      </c>
      <c r="G352" s="11">
        <f>IFERROR(__xludf.DUMMYFUNCTION("""COMPUTED_VALUE"""),-6.725626766435267)</f>
        <v>-6.725626766</v>
      </c>
      <c r="H352" s="11">
        <f>IFERROR(__xludf.DUMMYFUNCTION("""COMPUTED_VALUE"""),-6.725626766435267)</f>
        <v>-6.725626766</v>
      </c>
      <c r="I352" s="11">
        <f>IFERROR(__xludf.DUMMYFUNCTION("""COMPUTED_VALUE"""),0.0)</f>
        <v>0</v>
      </c>
      <c r="J352" s="11">
        <f>IFERROR(__xludf.DUMMYFUNCTION("""COMPUTED_VALUE"""),3.0)</f>
        <v>3</v>
      </c>
      <c r="K352" s="11">
        <f>IFERROR(__xludf.DUMMYFUNCTION("""COMPUTED_VALUE"""),0.0)</f>
        <v>0</v>
      </c>
      <c r="L352" s="11">
        <f>IFERROR(__xludf.DUMMYFUNCTION("""COMPUTED_VALUE"""),3.9)</f>
        <v>3.9</v>
      </c>
      <c r="M352" s="11">
        <f>IFERROR(__xludf.DUMMYFUNCTION("""COMPUTED_VALUE"""),1.1)</f>
        <v>1.1</v>
      </c>
      <c r="N352" s="11">
        <f>IFERROR(__xludf.DUMMYFUNCTION("""COMPUTED_VALUE"""),0.3)</f>
        <v>0.3</v>
      </c>
      <c r="O352" s="11">
        <f>IFERROR(__xludf.DUMMYFUNCTION("""COMPUTED_VALUE"""),0.3)</f>
        <v>0.3</v>
      </c>
      <c r="P352" s="15">
        <f>IFERROR(__xludf.DUMMYFUNCTION("""COMPUTED_VALUE"""),0.617)</f>
        <v>0.617</v>
      </c>
      <c r="Q352" s="15">
        <f>IFERROR(__xludf.DUMMYFUNCTION("""COMPUTED_VALUE"""),0.633)</f>
        <v>0.633</v>
      </c>
      <c r="R352" s="11">
        <f>IFERROR(__xludf.DUMMYFUNCTION("""COMPUTED_VALUE"""),0.3)</f>
        <v>0.3</v>
      </c>
      <c r="S352" s="11">
        <f>IFERROR(__xludf.DUMMYFUNCTION("""COMPUTED_VALUE"""),-2.6134145621692078)</f>
        <v>-2.613414562</v>
      </c>
      <c r="T352" s="11">
        <f>IFERROR(__xludf.DUMMYFUNCTION("""COMPUTED_VALUE"""),-1.7406865810748415)</f>
        <v>-1.740686581</v>
      </c>
      <c r="U352" s="11">
        <f>IFERROR(__xludf.DUMMYFUNCTION("""COMPUTED_VALUE"""),-0.8507706320151226)</f>
        <v>-0.850770632</v>
      </c>
      <c r="V352" s="11">
        <f>IFERROR(__xludf.DUMMYFUNCTION("""COMPUTED_VALUE"""),-1.2920231850832664)</f>
        <v>-1.292023185</v>
      </c>
      <c r="W352" s="11">
        <f>IFERROR(__xludf.DUMMYFUNCTION("""COMPUTED_VALUE"""),-2.2443924794756835)</f>
        <v>-2.244392479</v>
      </c>
      <c r="X352" s="11">
        <f>IFERROR(__xludf.DUMMYFUNCTION("""COMPUTED_VALUE"""),-0.7939110448965904)</f>
        <v>-0.7939110449</v>
      </c>
      <c r="Y352" s="11">
        <f>IFERROR(__xludf.DUMMYFUNCTION("""COMPUTED_VALUE"""),0.2956376186578896)</f>
        <v>0.2956376187</v>
      </c>
      <c r="Z352" s="11">
        <f>IFERROR(__xludf.DUMMYFUNCTION("""COMPUTED_VALUE"""),-0.4587239151031111)</f>
        <v>-0.4587239151</v>
      </c>
      <c r="AA352" s="11">
        <f>IFERROR(__xludf.DUMMYFUNCTION("""COMPUTED_VALUE"""),0.3592434525554599)</f>
        <v>0.3592434526</v>
      </c>
      <c r="AB352" t="str">
        <f>IFERROR(__xludf.DUMMYFUNCTION("SUBSTITUTE(REGEXREPLACE(REGEXREPLACE(REGEXREPLACE(REGEXREPLACE(REGEXREPLACE(REGEXREPLACE(F352,"","",),IF(Projections!$T$17="""",""PG"",),),IF(Projections!$U$17="""",""SG"",),),IF(Projections!$V$17="""",""SF"",),),IF(Projections!$W$17="""",""PF"",),),IF(Pr"&amp;"ojections!$X$17="""",""C"",),),""/"","""")"),"PFC")</f>
        <v>PFC</v>
      </c>
    </row>
    <row r="353">
      <c r="B353">
        <f>IFERROR(__xludf.DUMMYFUNCTION("""COMPUTED_VALUE"""),348.0)</f>
        <v>348</v>
      </c>
      <c r="D353" t="str">
        <f>IFERROR(__xludf.DUMMYFUNCTION("""COMPUTED_VALUE"""),"Dwight Powell")</f>
        <v>Dwight Powell</v>
      </c>
      <c r="E353">
        <f>IFERROR(__xludf.DUMMYFUNCTION("""COMPUTED_VALUE"""),71.0)</f>
        <v>71</v>
      </c>
      <c r="F353" t="str">
        <f>IFERROR(__xludf.DUMMYFUNCTION("""COMPUTED_VALUE"""),"C")</f>
        <v>C</v>
      </c>
      <c r="G353" s="11">
        <f>IFERROR(__xludf.DUMMYFUNCTION("""COMPUTED_VALUE"""),-6.758285933881942)</f>
        <v>-6.758285934</v>
      </c>
      <c r="H353" s="11">
        <f>IFERROR(__xludf.DUMMYFUNCTION("""COMPUTED_VALUE"""),-6.758285933881942)</f>
        <v>-6.758285934</v>
      </c>
      <c r="I353" s="11">
        <f>IFERROR(__xludf.DUMMYFUNCTION("""COMPUTED_VALUE"""),0.0)</f>
        <v>0</v>
      </c>
      <c r="J353" s="11">
        <f>IFERROR(__xludf.DUMMYFUNCTION("""COMPUTED_VALUE"""),4.2)</f>
        <v>4.2</v>
      </c>
      <c r="K353" s="11">
        <f>IFERROR(__xludf.DUMMYFUNCTION("""COMPUTED_VALUE"""),0.0)</f>
        <v>0</v>
      </c>
      <c r="L353" s="11">
        <f>IFERROR(__xludf.DUMMYFUNCTION("""COMPUTED_VALUE"""),3.1)</f>
        <v>3.1</v>
      </c>
      <c r="M353" s="11">
        <f>IFERROR(__xludf.DUMMYFUNCTION("""COMPUTED_VALUE"""),0.9)</f>
        <v>0.9</v>
      </c>
      <c r="N353" s="11">
        <f>IFERROR(__xludf.DUMMYFUNCTION("""COMPUTED_VALUE"""),0.4)</f>
        <v>0.4</v>
      </c>
      <c r="O353" s="11">
        <f>IFERROR(__xludf.DUMMYFUNCTION("""COMPUTED_VALUE"""),0.3)</f>
        <v>0.3</v>
      </c>
      <c r="P353" s="15">
        <f>IFERROR(__xludf.DUMMYFUNCTION("""COMPUTED_VALUE"""),0.719)</f>
        <v>0.719</v>
      </c>
      <c r="Q353" s="15">
        <f>IFERROR(__xludf.DUMMYFUNCTION("""COMPUTED_VALUE"""),0.678)</f>
        <v>0.678</v>
      </c>
      <c r="R353" s="11">
        <f>IFERROR(__xludf.DUMMYFUNCTION("""COMPUTED_VALUE"""),0.6)</f>
        <v>0.6</v>
      </c>
      <c r="S353" s="11">
        <f>IFERROR(__xludf.DUMMYFUNCTION("""COMPUTED_VALUE"""),-2.396636938610013)</f>
        <v>-2.396636939</v>
      </c>
      <c r="T353" s="11">
        <f>IFERROR(__xludf.DUMMYFUNCTION("""COMPUTED_VALUE"""),-1.7406865810748415)</f>
        <v>-1.740686581</v>
      </c>
      <c r="U353" s="11">
        <f>IFERROR(__xludf.DUMMYFUNCTION("""COMPUTED_VALUE"""),-1.1645816010148995)</f>
        <v>-1.164581601</v>
      </c>
      <c r="V353" s="11">
        <f>IFERROR(__xludf.DUMMYFUNCTION("""COMPUTED_VALUE"""),-1.3831467259275323)</f>
        <v>-1.383146726</v>
      </c>
      <c r="W353" s="11">
        <f>IFERROR(__xludf.DUMMYFUNCTION("""COMPUTED_VALUE"""),-1.912459801316204)</f>
        <v>-1.912459801</v>
      </c>
      <c r="X353" s="11">
        <f>IFERROR(__xludf.DUMMYFUNCTION("""COMPUTED_VALUE"""),-0.7939110448965904)</f>
        <v>-0.7939110449</v>
      </c>
      <c r="Y353" s="11">
        <f>IFERROR(__xludf.DUMMYFUNCTION("""COMPUTED_VALUE"""),0.5727126056195717)</f>
        <v>0.5727126056</v>
      </c>
      <c r="Z353" s="11">
        <f>IFERROR(__xludf.DUMMYFUNCTION("""COMPUTED_VALUE"""),-0.6210615973989462)</f>
        <v>-0.6210615974</v>
      </c>
      <c r="AA353" s="11">
        <f>IFERROR(__xludf.DUMMYFUNCTION("""COMPUTED_VALUE"""),0.28484881212749996)</f>
        <v>0.2848488121</v>
      </c>
      <c r="AB353" t="str">
        <f>IFERROR(__xludf.DUMMYFUNCTION("SUBSTITUTE(REGEXREPLACE(REGEXREPLACE(REGEXREPLACE(REGEXREPLACE(REGEXREPLACE(REGEXREPLACE(F353,"","",),IF(Projections!$T$17="""",""PG"",),),IF(Projections!$U$17="""",""SG"",),),IF(Projections!$V$17="""",""SF"",),),IF(Projections!$W$17="""",""PF"",),),IF(Pr"&amp;"ojections!$X$17="""",""C"",),),""/"","""")"),"C")</f>
        <v>C</v>
      </c>
    </row>
    <row r="354">
      <c r="B354">
        <f>IFERROR(__xludf.DUMMYFUNCTION("""COMPUTED_VALUE"""),349.0)</f>
        <v>349</v>
      </c>
      <c r="D354" t="str">
        <f>IFERROR(__xludf.DUMMYFUNCTION("""COMPUTED_VALUE"""),"Jeremiah Robinson-Earl")</f>
        <v>Jeremiah Robinson-Earl</v>
      </c>
      <c r="F354" t="str">
        <f>IFERROR(__xludf.DUMMYFUNCTION("""COMPUTED_VALUE"""),"PF,C")</f>
        <v>PF,C</v>
      </c>
      <c r="G354" s="11">
        <f>IFERROR(__xludf.DUMMYFUNCTION("""COMPUTED_VALUE"""),-6.76020668155213)</f>
        <v>-6.760206682</v>
      </c>
      <c r="H354" s="11">
        <f>IFERROR(__xludf.DUMMYFUNCTION("""COMPUTED_VALUE"""),-6.76020668155213)</f>
        <v>-6.760206682</v>
      </c>
      <c r="I354" s="11">
        <f>IFERROR(__xludf.DUMMYFUNCTION("""COMPUTED_VALUE"""),0.0)</f>
        <v>0</v>
      </c>
      <c r="J354" s="11">
        <f>IFERROR(__xludf.DUMMYFUNCTION("""COMPUTED_VALUE"""),4.3)</f>
        <v>4.3</v>
      </c>
      <c r="K354" s="11">
        <f>IFERROR(__xludf.DUMMYFUNCTION("""COMPUTED_VALUE"""),0.5)</f>
        <v>0.5</v>
      </c>
      <c r="L354" s="11">
        <f>IFERROR(__xludf.DUMMYFUNCTION("""COMPUTED_VALUE"""),2.7)</f>
        <v>2.7</v>
      </c>
      <c r="M354" s="11">
        <f>IFERROR(__xludf.DUMMYFUNCTION("""COMPUTED_VALUE"""),0.7)</f>
        <v>0.7</v>
      </c>
      <c r="N354" s="11">
        <f>IFERROR(__xludf.DUMMYFUNCTION("""COMPUTED_VALUE"""),0.4)</f>
        <v>0.4</v>
      </c>
      <c r="O354" s="11">
        <f>IFERROR(__xludf.DUMMYFUNCTION("""COMPUTED_VALUE"""),0.2)</f>
        <v>0.2</v>
      </c>
      <c r="P354" s="15">
        <f>IFERROR(__xludf.DUMMYFUNCTION("""COMPUTED_VALUE"""),0.452)</f>
        <v>0.452</v>
      </c>
      <c r="Q354" s="15">
        <f>IFERROR(__xludf.DUMMYFUNCTION("""COMPUTED_VALUE"""),0.806)</f>
        <v>0.806</v>
      </c>
      <c r="R354" s="11">
        <f>IFERROR(__xludf.DUMMYFUNCTION("""COMPUTED_VALUE"""),0.4)</f>
        <v>0.4</v>
      </c>
      <c r="S354" s="11">
        <f>IFERROR(__xludf.DUMMYFUNCTION("""COMPUTED_VALUE"""),-2.3785721366467465)</f>
        <v>-2.378572137</v>
      </c>
      <c r="T354" s="11">
        <f>IFERROR(__xludf.DUMMYFUNCTION("""COMPUTED_VALUE"""),-1.2430650859171342)</f>
        <v>-1.243065086</v>
      </c>
      <c r="U354" s="11">
        <f>IFERROR(__xludf.DUMMYFUNCTION("""COMPUTED_VALUE"""),-1.321487085514788)</f>
        <v>-1.321487086</v>
      </c>
      <c r="V354" s="11">
        <f>IFERROR(__xludf.DUMMYFUNCTION("""COMPUTED_VALUE"""),-1.4742702667717982)</f>
        <v>-1.474270267</v>
      </c>
      <c r="W354" s="11">
        <f>IFERROR(__xludf.DUMMYFUNCTION("""COMPUTED_VALUE"""),-1.912459801316204)</f>
        <v>-1.912459801</v>
      </c>
      <c r="X354" s="11">
        <f>IFERROR(__xludf.DUMMYFUNCTION("""COMPUTED_VALUE"""),-0.9723047469492465)</f>
        <v>-0.9723047469</v>
      </c>
      <c r="Y354" s="11">
        <f>IFERROR(__xludf.DUMMYFUNCTION("""COMPUTED_VALUE"""),-0.19462122993779774)</f>
        <v>-0.1946212299</v>
      </c>
      <c r="Z354" s="11">
        <f>IFERROR(__xludf.DUMMYFUNCTION("""COMPUTED_VALUE"""),0.023556295775368257)</f>
        <v>0.02355629578</v>
      </c>
      <c r="AA354" s="11">
        <f>IFERROR(__xludf.DUMMYFUNCTION("""COMPUTED_VALUE"""),0.3344452390794733)</f>
        <v>0.3344452391</v>
      </c>
      <c r="AB354" t="str">
        <f>IFERROR(__xludf.DUMMYFUNCTION("SUBSTITUTE(REGEXREPLACE(REGEXREPLACE(REGEXREPLACE(REGEXREPLACE(REGEXREPLACE(REGEXREPLACE(F354,"","",),IF(Projections!$T$17="""",""PG"",),),IF(Projections!$U$17="""",""SG"",),),IF(Projections!$V$17="""",""SF"",),),IF(Projections!$W$17="""",""PF"",),),IF(Pr"&amp;"ojections!$X$17="""",""C"",),),""/"","""")"),"PFC")</f>
        <v>PFC</v>
      </c>
    </row>
    <row r="355">
      <c r="B355">
        <f>IFERROR(__xludf.DUMMYFUNCTION("""COMPUTED_VALUE"""),350.0)</f>
        <v>350</v>
      </c>
      <c r="D355" t="str">
        <f>IFERROR(__xludf.DUMMYFUNCTION("""COMPUTED_VALUE"""),"Tristan Da Silva")</f>
        <v>Tristan Da Silva</v>
      </c>
      <c r="E355">
        <f>IFERROR(__xludf.DUMMYFUNCTION("""COMPUTED_VALUE"""),49.0)</f>
        <v>49</v>
      </c>
      <c r="F355" t="str">
        <f>IFERROR(__xludf.DUMMYFUNCTION("""COMPUTED_VALUE"""),"SF")</f>
        <v>SF</v>
      </c>
      <c r="G355" s="11">
        <f>IFERROR(__xludf.DUMMYFUNCTION("""COMPUTED_VALUE"""),-6.773346179634569)</f>
        <v>-6.77334618</v>
      </c>
      <c r="H355" s="11">
        <f>IFERROR(__xludf.DUMMYFUNCTION("""COMPUTED_VALUE"""),-6.773346179634569)</f>
        <v>-6.77334618</v>
      </c>
      <c r="I355" s="11">
        <f>IFERROR(__xludf.DUMMYFUNCTION("""COMPUTED_VALUE"""),0.0)</f>
        <v>0</v>
      </c>
      <c r="J355" s="11">
        <f>IFERROR(__xludf.DUMMYFUNCTION("""COMPUTED_VALUE"""),5.4)</f>
        <v>5.4</v>
      </c>
      <c r="K355" s="11">
        <f>IFERROR(__xludf.DUMMYFUNCTION("""COMPUTED_VALUE"""),0.6)</f>
        <v>0.6</v>
      </c>
      <c r="L355" s="11">
        <f>IFERROR(__xludf.DUMMYFUNCTION("""COMPUTED_VALUE"""),1.7)</f>
        <v>1.7</v>
      </c>
      <c r="M355" s="11">
        <f>IFERROR(__xludf.DUMMYFUNCTION("""COMPUTED_VALUE"""),0.8)</f>
        <v>0.8</v>
      </c>
      <c r="N355" s="11">
        <f>IFERROR(__xludf.DUMMYFUNCTION("""COMPUTED_VALUE"""),0.4)</f>
        <v>0.4</v>
      </c>
      <c r="O355" s="11">
        <f>IFERROR(__xludf.DUMMYFUNCTION("""COMPUTED_VALUE"""),0.2)</f>
        <v>0.2</v>
      </c>
      <c r="P355" s="15">
        <f>IFERROR(__xludf.DUMMYFUNCTION("""COMPUTED_VALUE"""),0.492)</f>
        <v>0.492</v>
      </c>
      <c r="Q355" s="15">
        <f>IFERROR(__xludf.DUMMYFUNCTION("""COMPUTED_VALUE"""),0.833)</f>
        <v>0.833</v>
      </c>
      <c r="R355" s="11">
        <f>IFERROR(__xludf.DUMMYFUNCTION("""COMPUTED_VALUE"""),0.6)</f>
        <v>0.6</v>
      </c>
      <c r="S355" s="11">
        <f>IFERROR(__xludf.DUMMYFUNCTION("""COMPUTED_VALUE"""),-2.179859315050818)</f>
        <v>-2.179859315</v>
      </c>
      <c r="T355" s="11">
        <f>IFERROR(__xludf.DUMMYFUNCTION("""COMPUTED_VALUE"""),-1.1435407868855925)</f>
        <v>-1.143540787</v>
      </c>
      <c r="U355" s="11">
        <f>IFERROR(__xludf.DUMMYFUNCTION("""COMPUTED_VALUE"""),-1.7137507967645091)</f>
        <v>-1.713750797</v>
      </c>
      <c r="V355" s="11">
        <f>IFERROR(__xludf.DUMMYFUNCTION("""COMPUTED_VALUE"""),-1.428708496349665)</f>
        <v>-1.428708496</v>
      </c>
      <c r="W355" s="11">
        <f>IFERROR(__xludf.DUMMYFUNCTION("""COMPUTED_VALUE"""),-1.912459801316204)</f>
        <v>-1.912459801</v>
      </c>
      <c r="X355" s="11">
        <f>IFERROR(__xludf.DUMMYFUNCTION("""COMPUTED_VALUE"""),-0.9723047469492465)</f>
        <v>-0.9723047469</v>
      </c>
      <c r="Y355" s="11">
        <f>IFERROR(__xludf.DUMMYFUNCTION("""COMPUTED_VALUE"""),-0.022309153823553404)</f>
        <v>-0.02230915382</v>
      </c>
      <c r="Z355" s="11">
        <f>IFERROR(__xludf.DUMMYFUNCTION("""COMPUTED_VALUE"""),0.13487879032670153)</f>
        <v>0.1348787903</v>
      </c>
      <c r="AA355" s="11">
        <f>IFERROR(__xludf.DUMMYFUNCTION("""COMPUTED_VALUE"""),0.28484881212749996)</f>
        <v>0.2848488121</v>
      </c>
      <c r="AB355" t="str">
        <f>IFERROR(__xludf.DUMMYFUNCTION("SUBSTITUTE(REGEXREPLACE(REGEXREPLACE(REGEXREPLACE(REGEXREPLACE(REGEXREPLACE(REGEXREPLACE(F355,"","",),IF(Projections!$T$17="""",""PG"",),),IF(Projections!$U$17="""",""SG"",),),IF(Projections!$V$17="""",""SF"",),),IF(Projections!$W$17="""",""PF"",),),IF(Pr"&amp;"ojections!$X$17="""",""C"",),),""/"","""")"),"SF")</f>
        <v>SF</v>
      </c>
    </row>
    <row r="356">
      <c r="B356">
        <f>IFERROR(__xludf.DUMMYFUNCTION("""COMPUTED_VALUE"""),351.0)</f>
        <v>351</v>
      </c>
      <c r="D356" t="str">
        <f>IFERROR(__xludf.DUMMYFUNCTION("""COMPUTED_VALUE"""),"Bobi Klintman")</f>
        <v>Bobi Klintman</v>
      </c>
      <c r="E356">
        <f>IFERROR(__xludf.DUMMYFUNCTION("""COMPUTED_VALUE"""),16.0)</f>
        <v>16</v>
      </c>
      <c r="F356" t="str">
        <f>IFERROR(__xludf.DUMMYFUNCTION("""COMPUTED_VALUE"""),"PF")</f>
        <v>PF</v>
      </c>
      <c r="G356" s="11">
        <f>IFERROR(__xludf.DUMMYFUNCTION("""COMPUTED_VALUE"""),-6.787916228761489)</f>
        <v>-6.787916229</v>
      </c>
      <c r="H356" s="11">
        <f>IFERROR(__xludf.DUMMYFUNCTION("""COMPUTED_VALUE"""),-6.787916228761489)</f>
        <v>-6.787916229</v>
      </c>
      <c r="I356" s="11">
        <f>IFERROR(__xludf.DUMMYFUNCTION("""COMPUTED_VALUE"""),0.0)</f>
        <v>0</v>
      </c>
      <c r="J356" s="11">
        <f>IFERROR(__xludf.DUMMYFUNCTION("""COMPUTED_VALUE"""),5.3)</f>
        <v>5.3</v>
      </c>
      <c r="K356" s="11">
        <f>IFERROR(__xludf.DUMMYFUNCTION("""COMPUTED_VALUE"""),0.7)</f>
        <v>0.7</v>
      </c>
      <c r="L356" s="11">
        <f>IFERROR(__xludf.DUMMYFUNCTION("""COMPUTED_VALUE"""),2.7)</f>
        <v>2.7</v>
      </c>
      <c r="M356" s="11">
        <f>IFERROR(__xludf.DUMMYFUNCTION("""COMPUTED_VALUE"""),0.4)</f>
        <v>0.4</v>
      </c>
      <c r="N356" s="11">
        <f>IFERROR(__xludf.DUMMYFUNCTION("""COMPUTED_VALUE"""),0.4)</f>
        <v>0.4</v>
      </c>
      <c r="O356" s="11">
        <f>IFERROR(__xludf.DUMMYFUNCTION("""COMPUTED_VALUE"""),0.3)</f>
        <v>0.3</v>
      </c>
      <c r="P356" s="15">
        <f>IFERROR(__xludf.DUMMYFUNCTION("""COMPUTED_VALUE"""),0.439)</f>
        <v>0.439</v>
      </c>
      <c r="Q356" s="15">
        <f>IFERROR(__xludf.DUMMYFUNCTION("""COMPUTED_VALUE"""),0.786)</f>
        <v>0.786</v>
      </c>
      <c r="R356" s="11">
        <f>IFERROR(__xludf.DUMMYFUNCTION("""COMPUTED_VALUE"""),0.9)</f>
        <v>0.9</v>
      </c>
      <c r="S356" s="11">
        <f>IFERROR(__xludf.DUMMYFUNCTION("""COMPUTED_VALUE"""),-2.197924117014084)</f>
        <v>-2.197924117</v>
      </c>
      <c r="T356" s="11">
        <f>IFERROR(__xludf.DUMMYFUNCTION("""COMPUTED_VALUE"""),-1.0440164878540512)</f>
        <v>-1.044016488</v>
      </c>
      <c r="U356" s="11">
        <f>IFERROR(__xludf.DUMMYFUNCTION("""COMPUTED_VALUE"""),-1.321487085514788)</f>
        <v>-1.321487086</v>
      </c>
      <c r="V356" s="11">
        <f>IFERROR(__xludf.DUMMYFUNCTION("""COMPUTED_VALUE"""),-1.610955578038197)</f>
        <v>-1.610955578</v>
      </c>
      <c r="W356" s="11">
        <f>IFERROR(__xludf.DUMMYFUNCTION("""COMPUTED_VALUE"""),-1.912459801316204)</f>
        <v>-1.912459801</v>
      </c>
      <c r="X356" s="11">
        <f>IFERROR(__xludf.DUMMYFUNCTION("""COMPUTED_VALUE"""),-0.7939110448965904)</f>
        <v>-0.7939110449</v>
      </c>
      <c r="Y356" s="11">
        <f>IFERROR(__xludf.DUMMYFUNCTION("""COMPUTED_VALUE"""),-0.2713453771949403)</f>
        <v>-0.2713453772</v>
      </c>
      <c r="Z356" s="11">
        <f>IFERROR(__xludf.DUMMYFUNCTION("""COMPUTED_VALUE"""),-0.04419502564625681)</f>
        <v>-0.04419502565</v>
      </c>
      <c r="AA356" s="11">
        <f>IFERROR(__xludf.DUMMYFUNCTION("""COMPUTED_VALUE"""),0.21045417169954)</f>
        <v>0.2104541717</v>
      </c>
      <c r="AB356" t="str">
        <f>IFERROR(__xludf.DUMMYFUNCTION("SUBSTITUTE(REGEXREPLACE(REGEXREPLACE(REGEXREPLACE(REGEXREPLACE(REGEXREPLACE(REGEXREPLACE(F356,"","",),IF(Projections!$T$17="""",""PG"",),),IF(Projections!$U$17="""",""SG"",),),IF(Projections!$V$17="""",""SF"",),),IF(Projections!$W$17="""",""PF"",),),IF(Pr"&amp;"ojections!$X$17="""",""C"",),),""/"","""")"),"PF")</f>
        <v>PF</v>
      </c>
    </row>
    <row r="357">
      <c r="B357">
        <f>IFERROR(__xludf.DUMMYFUNCTION("""COMPUTED_VALUE"""),352.0)</f>
        <v>352</v>
      </c>
      <c r="D357" t="str">
        <f>IFERROR(__xludf.DUMMYFUNCTION("""COMPUTED_VALUE"""),"Kenyon Martin Jr.")</f>
        <v>Kenyon Martin Jr.</v>
      </c>
      <c r="E357">
        <f>IFERROR(__xludf.DUMMYFUNCTION("""COMPUTED_VALUE"""),46.0)</f>
        <v>46</v>
      </c>
      <c r="F357" t="str">
        <f>IFERROR(__xludf.DUMMYFUNCTION("""COMPUTED_VALUE"""),"SF,PF")</f>
        <v>SF,PF</v>
      </c>
      <c r="G357" s="11">
        <f>IFERROR(__xludf.DUMMYFUNCTION("""COMPUTED_VALUE"""),-6.865029055158834)</f>
        <v>-6.865029055</v>
      </c>
      <c r="H357" s="11">
        <f>IFERROR(__xludf.DUMMYFUNCTION("""COMPUTED_VALUE"""),-6.865029055158834)</f>
        <v>-6.865029055</v>
      </c>
      <c r="I357" s="11">
        <f>IFERROR(__xludf.DUMMYFUNCTION("""COMPUTED_VALUE"""),0.0)</f>
        <v>0</v>
      </c>
      <c r="J357" s="11">
        <f>IFERROR(__xludf.DUMMYFUNCTION("""COMPUTED_VALUE"""),6.7)</f>
        <v>6.7</v>
      </c>
      <c r="K357" s="11">
        <f>IFERROR(__xludf.DUMMYFUNCTION("""COMPUTED_VALUE"""),0.4)</f>
        <v>0.4</v>
      </c>
      <c r="L357" s="11">
        <f>IFERROR(__xludf.DUMMYFUNCTION("""COMPUTED_VALUE"""),3.1)</f>
        <v>3.1</v>
      </c>
      <c r="M357" s="11">
        <f>IFERROR(__xludf.DUMMYFUNCTION("""COMPUTED_VALUE"""),0.9)</f>
        <v>0.9</v>
      </c>
      <c r="N357" s="11">
        <f>IFERROR(__xludf.DUMMYFUNCTION("""COMPUTED_VALUE"""),0.3)</f>
        <v>0.3</v>
      </c>
      <c r="O357" s="11">
        <f>IFERROR(__xludf.DUMMYFUNCTION("""COMPUTED_VALUE"""),0.2)</f>
        <v>0.2</v>
      </c>
      <c r="P357" s="15">
        <f>IFERROR(__xludf.DUMMYFUNCTION("""COMPUTED_VALUE"""),0.562)</f>
        <v>0.562</v>
      </c>
      <c r="Q357" s="15">
        <f>IFERROR(__xludf.DUMMYFUNCTION("""COMPUTED_VALUE"""),0.657)</f>
        <v>0.657</v>
      </c>
      <c r="R357" s="11">
        <f>IFERROR(__xludf.DUMMYFUNCTION("""COMPUTED_VALUE"""),0.7)</f>
        <v>0.7</v>
      </c>
      <c r="S357" s="11">
        <f>IFERROR(__xludf.DUMMYFUNCTION("""COMPUTED_VALUE"""),-1.945016889528357)</f>
        <v>-1.94501689</v>
      </c>
      <c r="T357" s="11">
        <f>IFERROR(__xludf.DUMMYFUNCTION("""COMPUTED_VALUE"""),-1.3425893849486756)</f>
        <v>-1.342589385</v>
      </c>
      <c r="U357" s="11">
        <f>IFERROR(__xludf.DUMMYFUNCTION("""COMPUTED_VALUE"""),-1.1645816010148995)</f>
        <v>-1.164581601</v>
      </c>
      <c r="V357" s="11">
        <f>IFERROR(__xludf.DUMMYFUNCTION("""COMPUTED_VALUE"""),-1.3831467259275323)</f>
        <v>-1.383146726</v>
      </c>
      <c r="W357" s="11">
        <f>IFERROR(__xludf.DUMMYFUNCTION("""COMPUTED_VALUE"""),-2.2443924794756835)</f>
        <v>-2.244392479</v>
      </c>
      <c r="X357" s="11">
        <f>IFERROR(__xludf.DUMMYFUNCTION("""COMPUTED_VALUE"""),-0.9723047469492465)</f>
        <v>-0.9723047469</v>
      </c>
      <c r="Y357" s="11">
        <f>IFERROR(__xludf.DUMMYFUNCTION("""COMPUTED_VALUE"""),0.3663348870422671)</f>
        <v>0.366334887</v>
      </c>
      <c r="Z357" s="11">
        <f>IFERROR(__xludf.DUMMYFUNCTION("""COMPUTED_VALUE"""),-0.6837751924839051)</f>
        <v>-0.6837751925</v>
      </c>
      <c r="AA357" s="11">
        <f>IFERROR(__xludf.DUMMYFUNCTION("""COMPUTED_VALUE"""),0.26005059865151336)</f>
        <v>0.2600505987</v>
      </c>
      <c r="AB357" t="str">
        <f>IFERROR(__xludf.DUMMYFUNCTION("SUBSTITUTE(REGEXREPLACE(REGEXREPLACE(REGEXREPLACE(REGEXREPLACE(REGEXREPLACE(REGEXREPLACE(F357,"","",),IF(Projections!$T$17="""",""PG"",),),IF(Projections!$U$17="""",""SG"",),),IF(Projections!$V$17="""",""SF"",),),IF(Projections!$W$17="""",""PF"",),),IF(Pr"&amp;"ojections!$X$17="""",""C"",),),""/"","""")"),"SFPF")</f>
        <v>SFPF</v>
      </c>
    </row>
    <row r="358">
      <c r="B358">
        <f>IFERROR(__xludf.DUMMYFUNCTION("""COMPUTED_VALUE"""),353.0)</f>
        <v>353</v>
      </c>
      <c r="D358" t="str">
        <f>IFERROR(__xludf.DUMMYFUNCTION("""COMPUTED_VALUE"""),"Yves Missi")</f>
        <v>Yves Missi</v>
      </c>
      <c r="E358">
        <f>IFERROR(__xludf.DUMMYFUNCTION("""COMPUTED_VALUE"""),40.0)</f>
        <v>40</v>
      </c>
      <c r="F358" t="str">
        <f>IFERROR(__xludf.DUMMYFUNCTION("""COMPUTED_VALUE"""),"C")</f>
        <v>C</v>
      </c>
      <c r="G358" s="11">
        <f>IFERROR(__xludf.DUMMYFUNCTION("""COMPUTED_VALUE"""),-6.898684733966923)</f>
        <v>-6.898684734</v>
      </c>
      <c r="H358" s="11">
        <f>IFERROR(__xludf.DUMMYFUNCTION("""COMPUTED_VALUE"""),-6.898684733966923)</f>
        <v>-6.898684734</v>
      </c>
      <c r="I358" s="11">
        <f>IFERROR(__xludf.DUMMYFUNCTION("""COMPUTED_VALUE"""),0.0)</f>
        <v>0</v>
      </c>
      <c r="J358" s="11">
        <f>IFERROR(__xludf.DUMMYFUNCTION("""COMPUTED_VALUE"""),6.3)</f>
        <v>6.3</v>
      </c>
      <c r="K358" s="11">
        <f>IFERROR(__xludf.DUMMYFUNCTION("""COMPUTED_VALUE"""),0.0)</f>
        <v>0</v>
      </c>
      <c r="L358" s="11">
        <f>IFERROR(__xludf.DUMMYFUNCTION("""COMPUTED_VALUE"""),3.3)</f>
        <v>3.3</v>
      </c>
      <c r="M358" s="11">
        <f>IFERROR(__xludf.DUMMYFUNCTION("""COMPUTED_VALUE"""),0.2)</f>
        <v>0.2</v>
      </c>
      <c r="N358" s="11">
        <f>IFERROR(__xludf.DUMMYFUNCTION("""COMPUTED_VALUE"""),0.4)</f>
        <v>0.4</v>
      </c>
      <c r="O358" s="11">
        <f>IFERROR(__xludf.DUMMYFUNCTION("""COMPUTED_VALUE"""),0.9)</f>
        <v>0.9</v>
      </c>
      <c r="P358" s="15">
        <f>IFERROR(__xludf.DUMMYFUNCTION("""COMPUTED_VALUE"""),0.614)</f>
        <v>0.614</v>
      </c>
      <c r="Q358" s="15">
        <f>IFERROR(__xludf.DUMMYFUNCTION("""COMPUTED_VALUE"""),0.615)</f>
        <v>0.615</v>
      </c>
      <c r="R358" s="11">
        <f>IFERROR(__xludf.DUMMYFUNCTION("""COMPUTED_VALUE"""),0.7)</f>
        <v>0.7</v>
      </c>
      <c r="S358" s="11">
        <f>IFERROR(__xludf.DUMMYFUNCTION("""COMPUTED_VALUE"""),-2.017276097381422)</f>
        <v>-2.017276097</v>
      </c>
      <c r="T358" s="11">
        <f>IFERROR(__xludf.DUMMYFUNCTION("""COMPUTED_VALUE"""),-1.7406865810748415)</f>
        <v>-1.740686581</v>
      </c>
      <c r="U358" s="11">
        <f>IFERROR(__xludf.DUMMYFUNCTION("""COMPUTED_VALUE"""),-1.0861288587649554)</f>
        <v>-1.086128859</v>
      </c>
      <c r="V358" s="11">
        <f>IFERROR(__xludf.DUMMYFUNCTION("""COMPUTED_VALUE"""),-1.7020791188824629)</f>
        <v>-1.702079119</v>
      </c>
      <c r="W358" s="11">
        <f>IFERROR(__xludf.DUMMYFUNCTION("""COMPUTED_VALUE"""),-1.912459801316204)</f>
        <v>-1.912459801</v>
      </c>
      <c r="X358" s="11">
        <f>IFERROR(__xludf.DUMMYFUNCTION("""COMPUTED_VALUE"""),0.27645116741934783)</f>
        <v>0.2764511674</v>
      </c>
      <c r="Y358" s="11">
        <f>IFERROR(__xludf.DUMMYFUNCTION("""COMPUTED_VALUE"""),0.5353288810984209)</f>
        <v>0.5353288811</v>
      </c>
      <c r="Z358" s="11">
        <f>IFERROR(__xludf.DUMMYFUNCTION("""COMPUTED_VALUE"""),-1.5291610210977409)</f>
        <v>-1.529161021</v>
      </c>
      <c r="AA358" s="11">
        <f>IFERROR(__xludf.DUMMYFUNCTION("""COMPUTED_VALUE"""),0.26005059865151336)</f>
        <v>0.2600505987</v>
      </c>
      <c r="AB358" t="str">
        <f>IFERROR(__xludf.DUMMYFUNCTION("SUBSTITUTE(REGEXREPLACE(REGEXREPLACE(REGEXREPLACE(REGEXREPLACE(REGEXREPLACE(REGEXREPLACE(F358,"","",),IF(Projections!$T$17="""",""PG"",),),IF(Projections!$U$17="""",""SG"",),),IF(Projections!$V$17="""",""SF"",),),IF(Projections!$W$17="""",""PF"",),),IF(Pr"&amp;"ojections!$X$17="""",""C"",),),""/"","""")"),"C")</f>
        <v>C</v>
      </c>
    </row>
    <row r="359">
      <c r="B359">
        <f>IFERROR(__xludf.DUMMYFUNCTION("""COMPUTED_VALUE"""),354.0)</f>
        <v>354</v>
      </c>
      <c r="D359" t="str">
        <f>IFERROR(__xludf.DUMMYFUNCTION("""COMPUTED_VALUE"""),"Jamal Cain")</f>
        <v>Jamal Cain</v>
      </c>
      <c r="F359" t="str">
        <f>IFERROR(__xludf.DUMMYFUNCTION("""COMPUTED_VALUE"""),"SF,PF")</f>
        <v>SF,PF</v>
      </c>
      <c r="G359" s="11">
        <f>IFERROR(__xludf.DUMMYFUNCTION("""COMPUTED_VALUE"""),-6.956117933081395)</f>
        <v>-6.956117933</v>
      </c>
      <c r="H359" s="11">
        <f>IFERROR(__xludf.DUMMYFUNCTION("""COMPUTED_VALUE"""),-6.956117933081395)</f>
        <v>-6.956117933</v>
      </c>
      <c r="I359" s="11">
        <f>IFERROR(__xludf.DUMMYFUNCTION("""COMPUTED_VALUE"""),0.0)</f>
        <v>0</v>
      </c>
      <c r="J359" s="11">
        <f>IFERROR(__xludf.DUMMYFUNCTION("""COMPUTED_VALUE"""),4.4)</f>
        <v>4.4</v>
      </c>
      <c r="K359" s="11">
        <f>IFERROR(__xludf.DUMMYFUNCTION("""COMPUTED_VALUE"""),0.4)</f>
        <v>0.4</v>
      </c>
      <c r="L359" s="11">
        <f>IFERROR(__xludf.DUMMYFUNCTION("""COMPUTED_VALUE"""),2.0)</f>
        <v>2</v>
      </c>
      <c r="M359" s="11">
        <f>IFERROR(__xludf.DUMMYFUNCTION("""COMPUTED_VALUE"""),0.5)</f>
        <v>0.5</v>
      </c>
      <c r="N359" s="11">
        <f>IFERROR(__xludf.DUMMYFUNCTION("""COMPUTED_VALUE"""),0.5)</f>
        <v>0.5</v>
      </c>
      <c r="O359" s="11">
        <f>IFERROR(__xludf.DUMMYFUNCTION("""COMPUTED_VALUE"""),0.1)</f>
        <v>0.1</v>
      </c>
      <c r="P359" s="15">
        <f>IFERROR(__xludf.DUMMYFUNCTION("""COMPUTED_VALUE"""),0.488)</f>
        <v>0.488</v>
      </c>
      <c r="Q359" s="15">
        <f>IFERROR(__xludf.DUMMYFUNCTION("""COMPUTED_VALUE"""),0.782)</f>
        <v>0.782</v>
      </c>
      <c r="R359" s="11">
        <f>IFERROR(__xludf.DUMMYFUNCTION("""COMPUTED_VALUE"""),0.3)</f>
        <v>0.3</v>
      </c>
      <c r="S359" s="11">
        <f>IFERROR(__xludf.DUMMYFUNCTION("""COMPUTED_VALUE"""),-2.36050733468348)</f>
        <v>-2.360507335</v>
      </c>
      <c r="T359" s="11">
        <f>IFERROR(__xludf.DUMMYFUNCTION("""COMPUTED_VALUE"""),-1.3425893849486756)</f>
        <v>-1.342589385</v>
      </c>
      <c r="U359" s="11">
        <f>IFERROR(__xludf.DUMMYFUNCTION("""COMPUTED_VALUE"""),-1.596071683389593)</f>
        <v>-1.596071683</v>
      </c>
      <c r="V359" s="11">
        <f>IFERROR(__xludf.DUMMYFUNCTION("""COMPUTED_VALUE"""),-1.565393807616064)</f>
        <v>-1.565393808</v>
      </c>
      <c r="W359" s="11">
        <f>IFERROR(__xludf.DUMMYFUNCTION("""COMPUTED_VALUE"""),-1.5805271231567248)</f>
        <v>-1.580527123</v>
      </c>
      <c r="X359" s="11">
        <f>IFERROR(__xludf.DUMMYFUNCTION("""COMPUTED_VALUE"""),-1.150698449001903)</f>
        <v>-1.150698449</v>
      </c>
      <c r="Y359" s="11">
        <f>IFERROR(__xludf.DUMMYFUNCTION("""COMPUTED_VALUE"""),-0.0343473883781687)</f>
        <v>-0.03434738838</v>
      </c>
      <c r="Z359" s="11">
        <f>IFERROR(__xludf.DUMMYFUNCTION("""COMPUTED_VALUE"""),-0.045733549145723834)</f>
        <v>-0.04573354915</v>
      </c>
      <c r="AA359" s="11">
        <f>IFERROR(__xludf.DUMMYFUNCTION("""COMPUTED_VALUE"""),0.3592434525554599)</f>
        <v>0.3592434526</v>
      </c>
      <c r="AB359" t="str">
        <f>IFERROR(__xludf.DUMMYFUNCTION("SUBSTITUTE(REGEXREPLACE(REGEXREPLACE(REGEXREPLACE(REGEXREPLACE(REGEXREPLACE(REGEXREPLACE(F359,"","",),IF(Projections!$T$17="""",""PG"",),),IF(Projections!$U$17="""",""SG"",),),IF(Projections!$V$17="""",""SF"",),),IF(Projections!$W$17="""",""PF"",),),IF(Pr"&amp;"ojections!$X$17="""",""C"",),),""/"","""")"),"SFPF")</f>
        <v>SFPF</v>
      </c>
    </row>
    <row r="360">
      <c r="B360">
        <f>IFERROR(__xludf.DUMMYFUNCTION("""COMPUTED_VALUE"""),355.0)</f>
        <v>355</v>
      </c>
      <c r="D360" t="str">
        <f>IFERROR(__xludf.DUMMYFUNCTION("""COMPUTED_VALUE"""),"Alex Len")</f>
        <v>Alex Len</v>
      </c>
      <c r="E360">
        <f>IFERROR(__xludf.DUMMYFUNCTION("""COMPUTED_VALUE"""),59.0)</f>
        <v>59</v>
      </c>
      <c r="F360" t="str">
        <f>IFERROR(__xludf.DUMMYFUNCTION("""COMPUTED_VALUE"""),"C")</f>
        <v>C</v>
      </c>
      <c r="G360" s="11">
        <f>IFERROR(__xludf.DUMMYFUNCTION("""COMPUTED_VALUE"""),-6.962064240731108)</f>
        <v>-6.962064241</v>
      </c>
      <c r="H360" s="11">
        <f>IFERROR(__xludf.DUMMYFUNCTION("""COMPUTED_VALUE"""),-6.962064240731108)</f>
        <v>-6.962064241</v>
      </c>
      <c r="I360" s="11">
        <f>IFERROR(__xludf.DUMMYFUNCTION("""COMPUTED_VALUE"""),0.0)</f>
        <v>0</v>
      </c>
      <c r="J360" s="11">
        <f>IFERROR(__xludf.DUMMYFUNCTION("""COMPUTED_VALUE"""),2.6)</f>
        <v>2.6</v>
      </c>
      <c r="K360" s="11">
        <f>IFERROR(__xludf.DUMMYFUNCTION("""COMPUTED_VALUE"""),0.0)</f>
        <v>0</v>
      </c>
      <c r="L360" s="11">
        <f>IFERROR(__xludf.DUMMYFUNCTION("""COMPUTED_VALUE"""),3.0)</f>
        <v>3</v>
      </c>
      <c r="M360" s="11">
        <f>IFERROR(__xludf.DUMMYFUNCTION("""COMPUTED_VALUE"""),1.0)</f>
        <v>1</v>
      </c>
      <c r="N360" s="11">
        <f>IFERROR(__xludf.DUMMYFUNCTION("""COMPUTED_VALUE"""),0.2)</f>
        <v>0.2</v>
      </c>
      <c r="O360" s="11">
        <f>IFERROR(__xludf.DUMMYFUNCTION("""COMPUTED_VALUE"""),0.7)</f>
        <v>0.7</v>
      </c>
      <c r="P360" s="15">
        <f>IFERROR(__xludf.DUMMYFUNCTION("""COMPUTED_VALUE"""),0.592)</f>
        <v>0.592</v>
      </c>
      <c r="Q360" s="15">
        <f>IFERROR(__xludf.DUMMYFUNCTION("""COMPUTED_VALUE"""),0.628)</f>
        <v>0.628</v>
      </c>
      <c r="R360" s="11">
        <f>IFERROR(__xludf.DUMMYFUNCTION("""COMPUTED_VALUE"""),0.7)</f>
        <v>0.7</v>
      </c>
      <c r="S360" s="11">
        <f>IFERROR(__xludf.DUMMYFUNCTION("""COMPUTED_VALUE"""),-2.6856737700222726)</f>
        <v>-2.68567377</v>
      </c>
      <c r="T360" s="11">
        <f>IFERROR(__xludf.DUMMYFUNCTION("""COMPUTED_VALUE"""),-1.7406865810748415)</f>
        <v>-1.740686581</v>
      </c>
      <c r="U360" s="11">
        <f>IFERROR(__xludf.DUMMYFUNCTION("""COMPUTED_VALUE"""),-1.2038079721398716)</f>
        <v>-1.203807972</v>
      </c>
      <c r="V360" s="11">
        <f>IFERROR(__xludf.DUMMYFUNCTION("""COMPUTED_VALUE"""),-1.3375849555053994)</f>
        <v>-1.337584956</v>
      </c>
      <c r="W360" s="11">
        <f>IFERROR(__xludf.DUMMYFUNCTION("""COMPUTED_VALUE"""),-2.576325157635163)</f>
        <v>-2.576325158</v>
      </c>
      <c r="X360" s="11">
        <f>IFERROR(__xludf.DUMMYFUNCTION("""COMPUTED_VALUE"""),-0.08033623668596498)</f>
        <v>-0.08033623669</v>
      </c>
      <c r="Y360" s="11">
        <f>IFERROR(__xludf.DUMMYFUNCTION("""COMPUTED_VALUE"""),0.1895156524458399)</f>
        <v>0.1895156524</v>
      </c>
      <c r="Z360" s="11">
        <f>IFERROR(__xludf.DUMMYFUNCTION("""COMPUTED_VALUE"""),-0.4728895887872229)</f>
        <v>-0.4728895888</v>
      </c>
      <c r="AA360" s="11">
        <f>IFERROR(__xludf.DUMMYFUNCTION("""COMPUTED_VALUE"""),0.26005059865151336)</f>
        <v>0.2600505987</v>
      </c>
      <c r="AB360" t="str">
        <f>IFERROR(__xludf.DUMMYFUNCTION("SUBSTITUTE(REGEXREPLACE(REGEXREPLACE(REGEXREPLACE(REGEXREPLACE(REGEXREPLACE(REGEXREPLACE(F360,"","",),IF(Projections!$T$17="""",""PG"",),),IF(Projections!$U$17="""",""SG"",),),IF(Projections!$V$17="""",""SF"",),),IF(Projections!$W$17="""",""PF"",),),IF(Pr"&amp;"ojections!$X$17="""",""C"",),),""/"","""")"),"C")</f>
        <v>C</v>
      </c>
    </row>
    <row r="361">
      <c r="B361">
        <f>IFERROR(__xludf.DUMMYFUNCTION("""COMPUTED_VALUE"""),356.0)</f>
        <v>356</v>
      </c>
      <c r="D361" t="str">
        <f>IFERROR(__xludf.DUMMYFUNCTION("""COMPUTED_VALUE"""),"Tyler Smith")</f>
        <v>Tyler Smith</v>
      </c>
      <c r="E361">
        <f>IFERROR(__xludf.DUMMYFUNCTION("""COMPUTED_VALUE"""),71.0)</f>
        <v>71</v>
      </c>
      <c r="F361" t="str">
        <f>IFERROR(__xludf.DUMMYFUNCTION("""COMPUTED_VALUE"""),"PF")</f>
        <v>PF</v>
      </c>
      <c r="G361" s="11">
        <f>IFERROR(__xludf.DUMMYFUNCTION("""COMPUTED_VALUE"""),-6.981221494712548)</f>
        <v>-6.981221495</v>
      </c>
      <c r="H361" s="11">
        <f>IFERROR(__xludf.DUMMYFUNCTION("""COMPUTED_VALUE"""),-6.981221494712548)</f>
        <v>-6.981221495</v>
      </c>
      <c r="I361" s="11">
        <f>IFERROR(__xludf.DUMMYFUNCTION("""COMPUTED_VALUE"""),0.0)</f>
        <v>0</v>
      </c>
      <c r="J361" s="11">
        <f>IFERROR(__xludf.DUMMYFUNCTION("""COMPUTED_VALUE"""),5.5)</f>
        <v>5.5</v>
      </c>
      <c r="K361" s="11">
        <f>IFERROR(__xludf.DUMMYFUNCTION("""COMPUTED_VALUE"""),0.6)</f>
        <v>0.6</v>
      </c>
      <c r="L361" s="11">
        <f>IFERROR(__xludf.DUMMYFUNCTION("""COMPUTED_VALUE"""),2.1)</f>
        <v>2.1</v>
      </c>
      <c r="M361" s="11">
        <f>IFERROR(__xludf.DUMMYFUNCTION("""COMPUTED_VALUE"""),0.5)</f>
        <v>0.5</v>
      </c>
      <c r="N361" s="11">
        <f>IFERROR(__xludf.DUMMYFUNCTION("""COMPUTED_VALUE"""),0.3)</f>
        <v>0.3</v>
      </c>
      <c r="O361" s="11">
        <f>IFERROR(__xludf.DUMMYFUNCTION("""COMPUTED_VALUE"""),0.4)</f>
        <v>0.4</v>
      </c>
      <c r="P361" s="15">
        <f>IFERROR(__xludf.DUMMYFUNCTION("""COMPUTED_VALUE"""),0.483)</f>
        <v>0.483</v>
      </c>
      <c r="Q361" s="15">
        <f>IFERROR(__xludf.DUMMYFUNCTION("""COMPUTED_VALUE"""),0.731)</f>
        <v>0.731</v>
      </c>
      <c r="R361" s="11">
        <f>IFERROR(__xludf.DUMMYFUNCTION("""COMPUTED_VALUE"""),0.5)</f>
        <v>0.5</v>
      </c>
      <c r="S361" s="11">
        <f>IFERROR(__xludf.DUMMYFUNCTION("""COMPUTED_VALUE"""),-2.161794513087552)</f>
        <v>-2.161794513</v>
      </c>
      <c r="T361" s="11">
        <f>IFERROR(__xludf.DUMMYFUNCTION("""COMPUTED_VALUE"""),-1.1435407868855925)</f>
        <v>-1.143540787</v>
      </c>
      <c r="U361" s="11">
        <f>IFERROR(__xludf.DUMMYFUNCTION("""COMPUTED_VALUE"""),-1.5568453122646206)</f>
        <v>-1.556845312</v>
      </c>
      <c r="V361" s="11">
        <f>IFERROR(__xludf.DUMMYFUNCTION("""COMPUTED_VALUE"""),-1.565393807616064)</f>
        <v>-1.565393808</v>
      </c>
      <c r="W361" s="11">
        <f>IFERROR(__xludf.DUMMYFUNCTION("""COMPUTED_VALUE"""),-2.2443924794756835)</f>
        <v>-2.244392479</v>
      </c>
      <c r="X361" s="11">
        <f>IFERROR(__xludf.DUMMYFUNCTION("""COMPUTED_VALUE"""),-0.6155173428439339)</f>
        <v>-0.6155173428</v>
      </c>
      <c r="Y361" s="11">
        <f>IFERROR(__xludf.DUMMYFUNCTION("""COMPUTED_VALUE"""),-0.06670004672375426)</f>
        <v>-0.06670004672</v>
      </c>
      <c r="Z361" s="11">
        <f>IFERROR(__xludf.DUMMYFUNCTION("""COMPUTED_VALUE"""),-0.18107671089451968)</f>
        <v>-0.1810767109</v>
      </c>
      <c r="AA361" s="11">
        <f>IFERROR(__xludf.DUMMYFUNCTION("""COMPUTED_VALUE"""),0.3096470256034866)</f>
        <v>0.3096470256</v>
      </c>
      <c r="AB361" t="str">
        <f>IFERROR(__xludf.DUMMYFUNCTION("SUBSTITUTE(REGEXREPLACE(REGEXREPLACE(REGEXREPLACE(REGEXREPLACE(REGEXREPLACE(REGEXREPLACE(F361,"","",),IF(Projections!$T$17="""",""PG"",),),IF(Projections!$U$17="""",""SG"",),),IF(Projections!$V$17="""",""SF"",),),IF(Projections!$W$17="""",""PF"",),),IF(Pr"&amp;"ojections!$X$17="""",""C"",),),""/"","""")"),"PF")</f>
        <v>PF</v>
      </c>
    </row>
    <row r="362">
      <c r="B362">
        <f>IFERROR(__xludf.DUMMYFUNCTION("""COMPUTED_VALUE"""),357.0)</f>
        <v>357</v>
      </c>
      <c r="D362" t="str">
        <f>IFERROR(__xludf.DUMMYFUNCTION("""COMPUTED_VALUE"""),"Jaylon Tyson")</f>
        <v>Jaylon Tyson</v>
      </c>
      <c r="E362">
        <f>IFERROR(__xludf.DUMMYFUNCTION("""COMPUTED_VALUE"""),49.0)</f>
        <v>49</v>
      </c>
      <c r="F362" t="str">
        <f>IFERROR(__xludf.DUMMYFUNCTION("""COMPUTED_VALUE"""),"SG")</f>
        <v>SG</v>
      </c>
      <c r="G362" s="11">
        <f>IFERROR(__xludf.DUMMYFUNCTION("""COMPUTED_VALUE"""),-7.025086095809283)</f>
        <v>-7.025086096</v>
      </c>
      <c r="H362" s="11">
        <f>IFERROR(__xludf.DUMMYFUNCTION("""COMPUTED_VALUE"""),-7.025086095809283)</f>
        <v>-7.025086096</v>
      </c>
      <c r="I362" s="11">
        <f>IFERROR(__xludf.DUMMYFUNCTION("""COMPUTED_VALUE"""),0.0)</f>
        <v>0</v>
      </c>
      <c r="J362" s="11">
        <f>IFERROR(__xludf.DUMMYFUNCTION("""COMPUTED_VALUE"""),6.4)</f>
        <v>6.4</v>
      </c>
      <c r="K362" s="11">
        <f>IFERROR(__xludf.DUMMYFUNCTION("""COMPUTED_VALUE"""),0.5)</f>
        <v>0.5</v>
      </c>
      <c r="L362" s="11">
        <f>IFERROR(__xludf.DUMMYFUNCTION("""COMPUTED_VALUE"""),2.3)</f>
        <v>2.3</v>
      </c>
      <c r="M362" s="11">
        <f>IFERROR(__xludf.DUMMYFUNCTION("""COMPUTED_VALUE"""),1.2)</f>
        <v>1.2</v>
      </c>
      <c r="N362" s="11">
        <f>IFERROR(__xludf.DUMMYFUNCTION("""COMPUTED_VALUE"""),0.4)</f>
        <v>0.4</v>
      </c>
      <c r="O362" s="11">
        <f>IFERROR(__xludf.DUMMYFUNCTION("""COMPUTED_VALUE"""),0.2)</f>
        <v>0.2</v>
      </c>
      <c r="P362" s="15">
        <f>IFERROR(__xludf.DUMMYFUNCTION("""COMPUTED_VALUE"""),0.452)</f>
        <v>0.452</v>
      </c>
      <c r="Q362" s="15">
        <f>IFERROR(__xludf.DUMMYFUNCTION("""COMPUTED_VALUE"""),0.779)</f>
        <v>0.779</v>
      </c>
      <c r="R362" s="11">
        <f>IFERROR(__xludf.DUMMYFUNCTION("""COMPUTED_VALUE"""),1.0)</f>
        <v>1</v>
      </c>
      <c r="S362" s="11">
        <f>IFERROR(__xludf.DUMMYFUNCTION("""COMPUTED_VALUE"""),-1.9992112954181556)</f>
        <v>-1.999211295</v>
      </c>
      <c r="T362" s="11">
        <f>IFERROR(__xludf.DUMMYFUNCTION("""COMPUTED_VALUE"""),-1.2430650859171342)</f>
        <v>-1.243065086</v>
      </c>
      <c r="U362" s="11">
        <f>IFERROR(__xludf.DUMMYFUNCTION("""COMPUTED_VALUE"""),-1.4783925700146765)</f>
        <v>-1.47839257</v>
      </c>
      <c r="V362" s="11">
        <f>IFERROR(__xludf.DUMMYFUNCTION("""COMPUTED_VALUE"""),-1.2464614146611335)</f>
        <v>-1.246461415</v>
      </c>
      <c r="W362" s="11">
        <f>IFERROR(__xludf.DUMMYFUNCTION("""COMPUTED_VALUE"""),-1.912459801316204)</f>
        <v>-1.912459801</v>
      </c>
      <c r="X362" s="11">
        <f>IFERROR(__xludf.DUMMYFUNCTION("""COMPUTED_VALUE"""),-0.9723047469492465)</f>
        <v>-0.9723047469</v>
      </c>
      <c r="Y362" s="11">
        <f>IFERROR(__xludf.DUMMYFUNCTION("""COMPUTED_VALUE"""),-0.27352172856122925)</f>
        <v>-0.2735217286</v>
      </c>
      <c r="Z362" s="11">
        <f>IFERROR(__xludf.DUMMYFUNCTION("""COMPUTED_VALUE"""),-0.08453670661321157)</f>
        <v>-0.08453670661</v>
      </c>
      <c r="AA362" s="11">
        <f>IFERROR(__xludf.DUMMYFUNCTION("""COMPUTED_VALUE"""),0.18565595822355335)</f>
        <v>0.1856559582</v>
      </c>
      <c r="AB362" t="str">
        <f>IFERROR(__xludf.DUMMYFUNCTION("SUBSTITUTE(REGEXREPLACE(REGEXREPLACE(REGEXREPLACE(REGEXREPLACE(REGEXREPLACE(REGEXREPLACE(F362,"","",),IF(Projections!$T$17="""",""PG"",),),IF(Projections!$U$17="""",""SG"",),),IF(Projections!$V$17="""",""SF"",),),IF(Projections!$W$17="""",""PF"",),),IF(Pr"&amp;"ojections!$X$17="""",""C"",),),""/"","""")"),"SG")</f>
        <v>SG</v>
      </c>
    </row>
    <row r="363">
      <c r="B363">
        <f>IFERROR(__xludf.DUMMYFUNCTION("""COMPUTED_VALUE"""),358.0)</f>
        <v>358</v>
      </c>
      <c r="D363" t="str">
        <f>IFERROR(__xludf.DUMMYFUNCTION("""COMPUTED_VALUE"""),"MarJon Beauchamp")</f>
        <v>MarJon Beauchamp</v>
      </c>
      <c r="F363" t="str">
        <f>IFERROR(__xludf.DUMMYFUNCTION("""COMPUTED_VALUE"""),"SG,SF")</f>
        <v>SG,SF</v>
      </c>
      <c r="G363" s="11">
        <f>IFERROR(__xludf.DUMMYFUNCTION("""COMPUTED_VALUE"""),-7.091745704588998)</f>
        <v>-7.091745705</v>
      </c>
      <c r="H363" s="11">
        <f>IFERROR(__xludf.DUMMYFUNCTION("""COMPUTED_VALUE"""),-7.091745704588998)</f>
        <v>-7.091745705</v>
      </c>
      <c r="I363" s="11">
        <f>IFERROR(__xludf.DUMMYFUNCTION("""COMPUTED_VALUE"""),0.0)</f>
        <v>0</v>
      </c>
      <c r="J363" s="11">
        <f>IFERROR(__xludf.DUMMYFUNCTION("""COMPUTED_VALUE"""),5.1)</f>
        <v>5.1</v>
      </c>
      <c r="K363" s="11">
        <f>IFERROR(__xludf.DUMMYFUNCTION("""COMPUTED_VALUE"""),0.8)</f>
        <v>0.8</v>
      </c>
      <c r="L363" s="11">
        <f>IFERROR(__xludf.DUMMYFUNCTION("""COMPUTED_VALUE"""),2.3)</f>
        <v>2.3</v>
      </c>
      <c r="M363" s="11">
        <f>IFERROR(__xludf.DUMMYFUNCTION("""COMPUTED_VALUE"""),0.7)</f>
        <v>0.7</v>
      </c>
      <c r="N363" s="11">
        <f>IFERROR(__xludf.DUMMYFUNCTION("""COMPUTED_VALUE"""),0.4)</f>
        <v>0.4</v>
      </c>
      <c r="O363" s="11">
        <f>IFERROR(__xludf.DUMMYFUNCTION("""COMPUTED_VALUE"""),0.2)</f>
        <v>0.2</v>
      </c>
      <c r="P363" s="15">
        <f>IFERROR(__xludf.DUMMYFUNCTION("""COMPUTED_VALUE"""),0.432)</f>
        <v>0.432</v>
      </c>
      <c r="Q363" s="15">
        <f>IFERROR(__xludf.DUMMYFUNCTION("""COMPUTED_VALUE"""),0.71)</f>
        <v>0.71</v>
      </c>
      <c r="R363" s="11">
        <f>IFERROR(__xludf.DUMMYFUNCTION("""COMPUTED_VALUE"""),0.8)</f>
        <v>0.8</v>
      </c>
      <c r="S363" s="11">
        <f>IFERROR(__xludf.DUMMYFUNCTION("""COMPUTED_VALUE"""),-2.234053720940617)</f>
        <v>-2.234053721</v>
      </c>
      <c r="T363" s="11">
        <f>IFERROR(__xludf.DUMMYFUNCTION("""COMPUTED_VALUE"""),-0.9444921888225095)</f>
        <v>-0.9444921888</v>
      </c>
      <c r="U363" s="11">
        <f>IFERROR(__xludf.DUMMYFUNCTION("""COMPUTED_VALUE"""),-1.4783925700146765)</f>
        <v>-1.47839257</v>
      </c>
      <c r="V363" s="11">
        <f>IFERROR(__xludf.DUMMYFUNCTION("""COMPUTED_VALUE"""),-1.4742702667717982)</f>
        <v>-1.474270267</v>
      </c>
      <c r="W363" s="11">
        <f>IFERROR(__xludf.DUMMYFUNCTION("""COMPUTED_VALUE"""),-1.912459801316204)</f>
        <v>-1.912459801</v>
      </c>
      <c r="X363" s="11">
        <f>IFERROR(__xludf.DUMMYFUNCTION("""COMPUTED_VALUE"""),-0.9723047469492465)</f>
        <v>-0.9723047469</v>
      </c>
      <c r="Y363" s="11">
        <f>IFERROR(__xludf.DUMMYFUNCTION("""COMPUTED_VALUE"""),-0.33457754306827386)</f>
        <v>-0.3345775431</v>
      </c>
      <c r="Z363" s="11">
        <f>IFERROR(__xludf.DUMMYFUNCTION("""COMPUTED_VALUE"""),-0.21050097282181565)</f>
        <v>-0.2105009728</v>
      </c>
      <c r="AA363" s="11">
        <f>IFERROR(__xludf.DUMMYFUNCTION("""COMPUTED_VALUE"""),0.23525238517552666)</f>
        <v>0.2352523852</v>
      </c>
      <c r="AB363" t="str">
        <f>IFERROR(__xludf.DUMMYFUNCTION("SUBSTITUTE(REGEXREPLACE(REGEXREPLACE(REGEXREPLACE(REGEXREPLACE(REGEXREPLACE(REGEXREPLACE(F363,"","",),IF(Projections!$T$17="""",""PG"",),),IF(Projections!$U$17="""",""SG"",),),IF(Projections!$V$17="""",""SF"",),),IF(Projections!$W$17="""",""PF"",),),IF(Pr"&amp;"ojections!$X$17="""",""C"",),),""/"","""")"),"SGSF")</f>
        <v>SGSF</v>
      </c>
    </row>
    <row r="364">
      <c r="B364">
        <f>IFERROR(__xludf.DUMMYFUNCTION("""COMPUTED_VALUE"""),359.0)</f>
        <v>359</v>
      </c>
      <c r="D364" t="str">
        <f>IFERROR(__xludf.DUMMYFUNCTION("""COMPUTED_VALUE"""),"Adem Bona")</f>
        <v>Adem Bona</v>
      </c>
      <c r="F364" t="str">
        <f>IFERROR(__xludf.DUMMYFUNCTION("""COMPUTED_VALUE"""),"C")</f>
        <v>C</v>
      </c>
      <c r="G364" s="11">
        <f>IFERROR(__xludf.DUMMYFUNCTION("""COMPUTED_VALUE"""),-7.110703916145535)</f>
        <v>-7.110703916</v>
      </c>
      <c r="H364" s="11">
        <f>IFERROR(__xludf.DUMMYFUNCTION("""COMPUTED_VALUE"""),-7.110703916145535)</f>
        <v>-7.110703916</v>
      </c>
      <c r="I364" s="11">
        <f>IFERROR(__xludf.DUMMYFUNCTION("""COMPUTED_VALUE"""),0.0)</f>
        <v>0</v>
      </c>
      <c r="J364" s="11">
        <f>IFERROR(__xludf.DUMMYFUNCTION("""COMPUTED_VALUE"""),3.9)</f>
        <v>3.9</v>
      </c>
      <c r="K364" s="11">
        <f>IFERROR(__xludf.DUMMYFUNCTION("""COMPUTED_VALUE"""),0.0)</f>
        <v>0</v>
      </c>
      <c r="L364" s="11">
        <f>IFERROR(__xludf.DUMMYFUNCTION("""COMPUTED_VALUE"""),1.9)</f>
        <v>1.9</v>
      </c>
      <c r="M364" s="11">
        <f>IFERROR(__xludf.DUMMYFUNCTION("""COMPUTED_VALUE"""),0.4)</f>
        <v>0.4</v>
      </c>
      <c r="N364" s="11">
        <f>IFERROR(__xludf.DUMMYFUNCTION("""COMPUTED_VALUE"""),0.4)</f>
        <v>0.4</v>
      </c>
      <c r="O364" s="11">
        <f>IFERROR(__xludf.DUMMYFUNCTION("""COMPUTED_VALUE"""),0.6)</f>
        <v>0.6</v>
      </c>
      <c r="P364" s="15">
        <f>IFERROR(__xludf.DUMMYFUNCTION("""COMPUTED_VALUE"""),0.59)</f>
        <v>0.59</v>
      </c>
      <c r="Q364" s="15">
        <f>IFERROR(__xludf.DUMMYFUNCTION("""COMPUTED_VALUE"""),0.702)</f>
        <v>0.702</v>
      </c>
      <c r="R364" s="11">
        <f>IFERROR(__xludf.DUMMYFUNCTION("""COMPUTED_VALUE"""),0.8)</f>
        <v>0.8</v>
      </c>
      <c r="S364" s="11">
        <f>IFERROR(__xludf.DUMMYFUNCTION("""COMPUTED_VALUE"""),-2.4508313444998113)</f>
        <v>-2.450831344</v>
      </c>
      <c r="T364" s="11">
        <f>IFERROR(__xludf.DUMMYFUNCTION("""COMPUTED_VALUE"""),-1.7406865810748415)</f>
        <v>-1.740686581</v>
      </c>
      <c r="U364" s="11">
        <f>IFERROR(__xludf.DUMMYFUNCTION("""COMPUTED_VALUE"""),-1.6352980545145652)</f>
        <v>-1.635298055</v>
      </c>
      <c r="V364" s="11">
        <f>IFERROR(__xludf.DUMMYFUNCTION("""COMPUTED_VALUE"""),-1.610955578038197)</f>
        <v>-1.610955578</v>
      </c>
      <c r="W364" s="11">
        <f>IFERROR(__xludf.DUMMYFUNCTION("""COMPUTED_VALUE"""),-1.912459801316204)</f>
        <v>-1.912459801</v>
      </c>
      <c r="X364" s="11">
        <f>IFERROR(__xludf.DUMMYFUNCTION("""COMPUTED_VALUE"""),-0.25872993873862127)</f>
        <v>-0.2587299387</v>
      </c>
      <c r="Y364" s="11">
        <f>IFERROR(__xludf.DUMMYFUNCTION("""COMPUTED_VALUE"""),0.2728394843205125)</f>
        <v>0.2728394843</v>
      </c>
      <c r="Z364" s="11">
        <f>IFERROR(__xludf.DUMMYFUNCTION("""COMPUTED_VALUE"""),-0.4606658319591444)</f>
        <v>-0.460665832</v>
      </c>
      <c r="AA364" s="11">
        <f>IFERROR(__xludf.DUMMYFUNCTION("""COMPUTED_VALUE"""),0.23525238517552666)</f>
        <v>0.2352523852</v>
      </c>
      <c r="AB364" t="str">
        <f>IFERROR(__xludf.DUMMYFUNCTION("SUBSTITUTE(REGEXREPLACE(REGEXREPLACE(REGEXREPLACE(REGEXREPLACE(REGEXREPLACE(REGEXREPLACE(F364,"","",),IF(Projections!$T$17="""",""PG"",),),IF(Projections!$U$17="""",""SG"",),),IF(Projections!$V$17="""",""SF"",),),IF(Projections!$W$17="""",""PF"",),),IF(Pr"&amp;"ojections!$X$17="""",""C"",),),""/"","""")"),"C")</f>
        <v>C</v>
      </c>
    </row>
    <row r="365">
      <c r="B365">
        <f>IFERROR(__xludf.DUMMYFUNCTION("""COMPUTED_VALUE"""),360.0)</f>
        <v>360</v>
      </c>
      <c r="D365" t="str">
        <f>IFERROR(__xludf.DUMMYFUNCTION("""COMPUTED_VALUE"""),"Dalano Banton")</f>
        <v>Dalano Banton</v>
      </c>
      <c r="F365" t="str">
        <f>IFERROR(__xludf.DUMMYFUNCTION("""COMPUTED_VALUE"""),"SF")</f>
        <v>SF</v>
      </c>
      <c r="G365" s="11">
        <f>IFERROR(__xludf.DUMMYFUNCTION("""COMPUTED_VALUE"""),-7.135448380950871)</f>
        <v>-7.135448381</v>
      </c>
      <c r="H365" s="11">
        <f>IFERROR(__xludf.DUMMYFUNCTION("""COMPUTED_VALUE"""),-7.135448380950871)</f>
        <v>-7.135448381</v>
      </c>
      <c r="I365" s="11">
        <f>IFERROR(__xludf.DUMMYFUNCTION("""COMPUTED_VALUE"""),0.0)</f>
        <v>0</v>
      </c>
      <c r="J365" s="11">
        <f>IFERROR(__xludf.DUMMYFUNCTION("""COMPUTED_VALUE"""),5.3)</f>
        <v>5.3</v>
      </c>
      <c r="K365" s="11">
        <f>IFERROR(__xludf.DUMMYFUNCTION("""COMPUTED_VALUE"""),0.6)</f>
        <v>0.6</v>
      </c>
      <c r="L365" s="11">
        <f>IFERROR(__xludf.DUMMYFUNCTION("""COMPUTED_VALUE"""),1.7)</f>
        <v>1.7</v>
      </c>
      <c r="M365" s="11">
        <f>IFERROR(__xludf.DUMMYFUNCTION("""COMPUTED_VALUE"""),1.2)</f>
        <v>1.2</v>
      </c>
      <c r="N365" s="11">
        <f>IFERROR(__xludf.DUMMYFUNCTION("""COMPUTED_VALUE"""),0.4)</f>
        <v>0.4</v>
      </c>
      <c r="O365" s="11">
        <f>IFERROR(__xludf.DUMMYFUNCTION("""COMPUTED_VALUE"""),0.3)</f>
        <v>0.3</v>
      </c>
      <c r="P365" s="15">
        <f>IFERROR(__xludf.DUMMYFUNCTION("""COMPUTED_VALUE"""),0.408)</f>
        <v>0.408</v>
      </c>
      <c r="Q365" s="15">
        <f>IFERROR(__xludf.DUMMYFUNCTION("""COMPUTED_VALUE"""),0.773)</f>
        <v>0.773</v>
      </c>
      <c r="R365" s="11">
        <f>IFERROR(__xludf.DUMMYFUNCTION("""COMPUTED_VALUE"""),0.7)</f>
        <v>0.7</v>
      </c>
      <c r="S365" s="11">
        <f>IFERROR(__xludf.DUMMYFUNCTION("""COMPUTED_VALUE"""),-2.197924117014084)</f>
        <v>-2.197924117</v>
      </c>
      <c r="T365" s="11">
        <f>IFERROR(__xludf.DUMMYFUNCTION("""COMPUTED_VALUE"""),-1.1435407868855925)</f>
        <v>-1.143540787</v>
      </c>
      <c r="U365" s="11">
        <f>IFERROR(__xludf.DUMMYFUNCTION("""COMPUTED_VALUE"""),-1.7137507967645091)</f>
        <v>-1.713750797</v>
      </c>
      <c r="V365" s="11">
        <f>IFERROR(__xludf.DUMMYFUNCTION("""COMPUTED_VALUE"""),-1.2464614146611335)</f>
        <v>-1.246461415</v>
      </c>
      <c r="W365" s="11">
        <f>IFERROR(__xludf.DUMMYFUNCTION("""COMPUTED_VALUE"""),-1.912459801316204)</f>
        <v>-1.912459801</v>
      </c>
      <c r="X365" s="11">
        <f>IFERROR(__xludf.DUMMYFUNCTION("""COMPUTED_VALUE"""),-0.7939110448965904)</f>
        <v>-0.7939110449</v>
      </c>
      <c r="Y365" s="11">
        <f>IFERROR(__xludf.DUMMYFUNCTION("""COMPUTED_VALUE"""),-0.5000081886498801)</f>
        <v>-0.5000081886</v>
      </c>
      <c r="Z365" s="11">
        <f>IFERROR(__xludf.DUMMYFUNCTION("""COMPUTED_VALUE"""),-0.08536694642847299)</f>
        <v>-0.08536694643</v>
      </c>
      <c r="AA365" s="11">
        <f>IFERROR(__xludf.DUMMYFUNCTION("""COMPUTED_VALUE"""),0.26005059865151336)</f>
        <v>0.2600505987</v>
      </c>
      <c r="AB365" t="str">
        <f>IFERROR(__xludf.DUMMYFUNCTION("SUBSTITUTE(REGEXREPLACE(REGEXREPLACE(REGEXREPLACE(REGEXREPLACE(REGEXREPLACE(REGEXREPLACE(F365,"","",),IF(Projections!$T$17="""",""PG"",),),IF(Projections!$U$17="""",""SG"",),),IF(Projections!$V$17="""",""SF"",),),IF(Projections!$W$17="""",""PF"",),),IF(Pr"&amp;"ojections!$X$17="""",""C"",),),""/"","""")"),"SF")</f>
        <v>SF</v>
      </c>
    </row>
    <row r="366">
      <c r="B366">
        <f>IFERROR(__xludf.DUMMYFUNCTION("""COMPUTED_VALUE"""),361.0)</f>
        <v>361</v>
      </c>
      <c r="D366" t="str">
        <f>IFERROR(__xludf.DUMMYFUNCTION("""COMPUTED_VALUE"""),"Trendon Watford")</f>
        <v>Trendon Watford</v>
      </c>
      <c r="F366" t="str">
        <f>IFERROR(__xludf.DUMMYFUNCTION("""COMPUTED_VALUE"""),"PF,C")</f>
        <v>PF,C</v>
      </c>
      <c r="G366" s="11">
        <f>IFERROR(__xludf.DUMMYFUNCTION("""COMPUTED_VALUE"""),-7.154913217999953)</f>
        <v>-7.154913218</v>
      </c>
      <c r="H366" s="11">
        <f>IFERROR(__xludf.DUMMYFUNCTION("""COMPUTED_VALUE"""),-7.154913217999953)</f>
        <v>-7.154913218</v>
      </c>
      <c r="I366" s="11">
        <f>IFERROR(__xludf.DUMMYFUNCTION("""COMPUTED_VALUE"""),0.0)</f>
        <v>0</v>
      </c>
      <c r="J366" s="11">
        <f>IFERROR(__xludf.DUMMYFUNCTION("""COMPUTED_VALUE"""),4.5)</f>
        <v>4.5</v>
      </c>
      <c r="K366" s="11">
        <f>IFERROR(__xludf.DUMMYFUNCTION("""COMPUTED_VALUE"""),0.3)</f>
        <v>0.3</v>
      </c>
      <c r="L366" s="11">
        <f>IFERROR(__xludf.DUMMYFUNCTION("""COMPUTED_VALUE"""),2.2)</f>
        <v>2.2</v>
      </c>
      <c r="M366" s="11">
        <f>IFERROR(__xludf.DUMMYFUNCTION("""COMPUTED_VALUE"""),1.1)</f>
        <v>1.1</v>
      </c>
      <c r="N366" s="11">
        <f>IFERROR(__xludf.DUMMYFUNCTION("""COMPUTED_VALUE"""),0.3)</f>
        <v>0.3</v>
      </c>
      <c r="O366" s="11">
        <f>IFERROR(__xludf.DUMMYFUNCTION("""COMPUTED_VALUE"""),0.2)</f>
        <v>0.2</v>
      </c>
      <c r="P366" s="15">
        <f>IFERROR(__xludf.DUMMYFUNCTION("""COMPUTED_VALUE"""),0.546)</f>
        <v>0.546</v>
      </c>
      <c r="Q366" s="15">
        <f>IFERROR(__xludf.DUMMYFUNCTION("""COMPUTED_VALUE"""),0.758)</f>
        <v>0.758</v>
      </c>
      <c r="R366" s="11">
        <f>IFERROR(__xludf.DUMMYFUNCTION("""COMPUTED_VALUE"""),0.7)</f>
        <v>0.7</v>
      </c>
      <c r="S366" s="11">
        <f>IFERROR(__xludf.DUMMYFUNCTION("""COMPUTED_VALUE"""),-2.3424425327202143)</f>
        <v>-2.342442533</v>
      </c>
      <c r="T366" s="11">
        <f>IFERROR(__xludf.DUMMYFUNCTION("""COMPUTED_VALUE"""),-1.442113683980217)</f>
        <v>-1.442113684</v>
      </c>
      <c r="U366" s="11">
        <f>IFERROR(__xludf.DUMMYFUNCTION("""COMPUTED_VALUE"""),-1.5176189411396486)</f>
        <v>-1.517618941</v>
      </c>
      <c r="V366" s="11">
        <f>IFERROR(__xludf.DUMMYFUNCTION("""COMPUTED_VALUE"""),-1.2920231850832664)</f>
        <v>-1.292023185</v>
      </c>
      <c r="W366" s="11">
        <f>IFERROR(__xludf.DUMMYFUNCTION("""COMPUTED_VALUE"""),-2.2443924794756835)</f>
        <v>-2.244392479</v>
      </c>
      <c r="X366" s="11">
        <f>IFERROR(__xludf.DUMMYFUNCTION("""COMPUTED_VALUE"""),-0.9723047469492465)</f>
        <v>-0.9723047469</v>
      </c>
      <c r="Y366" s="11">
        <f>IFERROR(__xludf.DUMMYFUNCTION("""COMPUTED_VALUE"""),0.18421681122699032)</f>
        <v>0.1842168112</v>
      </c>
      <c r="Z366" s="11">
        <f>IFERROR(__xludf.DUMMYFUNCTION("""COMPUTED_VALUE"""),-0.1307275912503948)</f>
        <v>-0.1307275913</v>
      </c>
      <c r="AA366" s="11">
        <f>IFERROR(__xludf.DUMMYFUNCTION("""COMPUTED_VALUE"""),0.26005059865151336)</f>
        <v>0.2600505987</v>
      </c>
      <c r="AB366" t="str">
        <f>IFERROR(__xludf.DUMMYFUNCTION("SUBSTITUTE(REGEXREPLACE(REGEXREPLACE(REGEXREPLACE(REGEXREPLACE(REGEXREPLACE(REGEXREPLACE(F366,"","",),IF(Projections!$T$17="""",""PG"",),),IF(Projections!$U$17="""",""SG"",),),IF(Projections!$V$17="""",""SF"",),),IF(Projections!$W$17="""",""PF"",),),IF(Pr"&amp;"ojections!$X$17="""",""C"",),),""/"","""")"),"PFC")</f>
        <v>PFC</v>
      </c>
    </row>
    <row r="367">
      <c r="B367">
        <f>IFERROR(__xludf.DUMMYFUNCTION("""COMPUTED_VALUE"""),362.0)</f>
        <v>362</v>
      </c>
      <c r="D367" t="str">
        <f>IFERROR(__xludf.DUMMYFUNCTION("""COMPUTED_VALUE"""),"Zeke Nnaji")</f>
        <v>Zeke Nnaji</v>
      </c>
      <c r="F367" t="str">
        <f>IFERROR(__xludf.DUMMYFUNCTION("""COMPUTED_VALUE"""),"PF,C")</f>
        <v>PF,C</v>
      </c>
      <c r="G367" s="11">
        <f>IFERROR(__xludf.DUMMYFUNCTION("""COMPUTED_VALUE"""),-7.173836186145814)</f>
        <v>-7.173836186</v>
      </c>
      <c r="H367" s="11">
        <f>IFERROR(__xludf.DUMMYFUNCTION("""COMPUTED_VALUE"""),-7.173836186145814)</f>
        <v>-7.173836186</v>
      </c>
      <c r="I367" s="11">
        <f>IFERROR(__xludf.DUMMYFUNCTION("""COMPUTED_VALUE"""),0.0)</f>
        <v>0</v>
      </c>
      <c r="J367" s="11">
        <f>IFERROR(__xludf.DUMMYFUNCTION("""COMPUTED_VALUE"""),4.3)</f>
        <v>4.3</v>
      </c>
      <c r="K367" s="11">
        <f>IFERROR(__xludf.DUMMYFUNCTION("""COMPUTED_VALUE"""),0.2)</f>
        <v>0.2</v>
      </c>
      <c r="L367" s="11">
        <f>IFERROR(__xludf.DUMMYFUNCTION("""COMPUTED_VALUE"""),2.5)</f>
        <v>2.5</v>
      </c>
      <c r="M367" s="11">
        <f>IFERROR(__xludf.DUMMYFUNCTION("""COMPUTED_VALUE"""),0.5)</f>
        <v>0.5</v>
      </c>
      <c r="N367" s="11">
        <f>IFERROR(__xludf.DUMMYFUNCTION("""COMPUTED_VALUE"""),0.3)</f>
        <v>0.3</v>
      </c>
      <c r="O367" s="11">
        <f>IFERROR(__xludf.DUMMYFUNCTION("""COMPUTED_VALUE"""),0.6)</f>
        <v>0.6</v>
      </c>
      <c r="P367" s="15">
        <f>IFERROR(__xludf.DUMMYFUNCTION("""COMPUTED_VALUE"""),0.519)</f>
        <v>0.519</v>
      </c>
      <c r="Q367" s="15">
        <f>IFERROR(__xludf.DUMMYFUNCTION("""COMPUTED_VALUE"""),0.664)</f>
        <v>0.664</v>
      </c>
      <c r="R367" s="11">
        <f>IFERROR(__xludf.DUMMYFUNCTION("""COMPUTED_VALUE"""),0.5)</f>
        <v>0.5</v>
      </c>
      <c r="S367" s="11">
        <f>IFERROR(__xludf.DUMMYFUNCTION("""COMPUTED_VALUE"""),-2.3785721366467465)</f>
        <v>-2.378572137</v>
      </c>
      <c r="T367" s="11">
        <f>IFERROR(__xludf.DUMMYFUNCTION("""COMPUTED_VALUE"""),-1.5416379830117586)</f>
        <v>-1.541637983</v>
      </c>
      <c r="U367" s="11">
        <f>IFERROR(__xludf.DUMMYFUNCTION("""COMPUTED_VALUE"""),-1.3999398277647324)</f>
        <v>-1.399939828</v>
      </c>
      <c r="V367" s="11">
        <f>IFERROR(__xludf.DUMMYFUNCTION("""COMPUTED_VALUE"""),-1.565393807616064)</f>
        <v>-1.565393808</v>
      </c>
      <c r="W367" s="11">
        <f>IFERROR(__xludf.DUMMYFUNCTION("""COMPUTED_VALUE"""),-2.2443924794756835)</f>
        <v>-2.244392479</v>
      </c>
      <c r="X367" s="11">
        <f>IFERROR(__xludf.DUMMYFUNCTION("""COMPUTED_VALUE"""),-0.25872993873862127)</f>
        <v>-0.2587299387</v>
      </c>
      <c r="Y367" s="11">
        <f>IFERROR(__xludf.DUMMYFUNCTION("""COMPUTED_VALUE"""),0.08295593224998608)</f>
        <v>0.08295593225</v>
      </c>
      <c r="Z367" s="11">
        <f>IFERROR(__xludf.DUMMYFUNCTION("""COMPUTED_VALUE"""),-0.5563451073924267)</f>
        <v>-0.5563451074</v>
      </c>
      <c r="AA367" s="11">
        <f>IFERROR(__xludf.DUMMYFUNCTION("""COMPUTED_VALUE"""),0.3096470256034866)</f>
        <v>0.3096470256</v>
      </c>
      <c r="AB367" t="str">
        <f>IFERROR(__xludf.DUMMYFUNCTION("SUBSTITUTE(REGEXREPLACE(REGEXREPLACE(REGEXREPLACE(REGEXREPLACE(REGEXREPLACE(REGEXREPLACE(F367,"","",),IF(Projections!$T$17="""",""PG"",),),IF(Projections!$U$17="""",""SG"",),),IF(Projections!$V$17="""",""SF"",),),IF(Projections!$W$17="""",""PF"",),),IF(Pr"&amp;"ojections!$X$17="""",""C"",),),""/"","""")"),"PFC")</f>
        <v>PFC</v>
      </c>
    </row>
    <row r="368">
      <c r="B368">
        <f>IFERROR(__xludf.DUMMYFUNCTION("""COMPUTED_VALUE"""),363.0)</f>
        <v>363</v>
      </c>
      <c r="D368" t="str">
        <f>IFERROR(__xludf.DUMMYFUNCTION("""COMPUTED_VALUE"""),"Devonte' Graham")</f>
        <v>Devonte' Graham</v>
      </c>
      <c r="F368" t="str">
        <f>IFERROR(__xludf.DUMMYFUNCTION("""COMPUTED_VALUE"""),"PG,SG")</f>
        <v>PG,SG</v>
      </c>
      <c r="G368" s="11">
        <f>IFERROR(__xludf.DUMMYFUNCTION("""COMPUTED_VALUE"""),-7.18031805081099)</f>
        <v>-7.180318051</v>
      </c>
      <c r="H368" s="11">
        <f>IFERROR(__xludf.DUMMYFUNCTION("""COMPUTED_VALUE"""),-7.18031805081099)</f>
        <v>-7.180318051</v>
      </c>
      <c r="I368" s="11">
        <f>IFERROR(__xludf.DUMMYFUNCTION("""COMPUTED_VALUE"""),0.0)</f>
        <v>0</v>
      </c>
      <c r="J368" s="11">
        <f>IFERROR(__xludf.DUMMYFUNCTION("""COMPUTED_VALUE"""),4.4)</f>
        <v>4.4</v>
      </c>
      <c r="K368" s="11">
        <f>IFERROR(__xludf.DUMMYFUNCTION("""COMPUTED_VALUE"""),1.0)</f>
        <v>1</v>
      </c>
      <c r="L368" s="11">
        <f>IFERROR(__xludf.DUMMYFUNCTION("""COMPUTED_VALUE"""),1.1)</f>
        <v>1.1</v>
      </c>
      <c r="M368" s="11">
        <f>IFERROR(__xludf.DUMMYFUNCTION("""COMPUTED_VALUE"""),1.7)</f>
        <v>1.7</v>
      </c>
      <c r="N368" s="11">
        <f>IFERROR(__xludf.DUMMYFUNCTION("""COMPUTED_VALUE"""),0.4)</f>
        <v>0.4</v>
      </c>
      <c r="O368" s="11">
        <f>IFERROR(__xludf.DUMMYFUNCTION("""COMPUTED_VALUE"""),0.1)</f>
        <v>0.1</v>
      </c>
      <c r="P368" s="15">
        <f>IFERROR(__xludf.DUMMYFUNCTION("""COMPUTED_VALUE"""),0.369)</f>
        <v>0.369</v>
      </c>
      <c r="Q368" s="15">
        <f>IFERROR(__xludf.DUMMYFUNCTION("""COMPUTED_VALUE"""),0.75)</f>
        <v>0.75</v>
      </c>
      <c r="R368" s="11">
        <f>IFERROR(__xludf.DUMMYFUNCTION("""COMPUTED_VALUE"""),0.5)</f>
        <v>0.5</v>
      </c>
      <c r="S368" s="11">
        <f>IFERROR(__xludf.DUMMYFUNCTION("""COMPUTED_VALUE"""),-2.36050733468348)</f>
        <v>-2.360507335</v>
      </c>
      <c r="T368" s="11">
        <f>IFERROR(__xludf.DUMMYFUNCTION("""COMPUTED_VALUE"""),-0.7454435907594266)</f>
        <v>-0.7454435908</v>
      </c>
      <c r="U368" s="11">
        <f>IFERROR(__xludf.DUMMYFUNCTION("""COMPUTED_VALUE"""),-1.9491090235143418)</f>
        <v>-1.949109024</v>
      </c>
      <c r="V368" s="11">
        <f>IFERROR(__xludf.DUMMYFUNCTION("""COMPUTED_VALUE"""),-1.0186525625504688)</f>
        <v>-1.018652563</v>
      </c>
      <c r="W368" s="11">
        <f>IFERROR(__xludf.DUMMYFUNCTION("""COMPUTED_VALUE"""),-1.912459801316204)</f>
        <v>-1.912459801</v>
      </c>
      <c r="X368" s="11">
        <f>IFERROR(__xludf.DUMMYFUNCTION("""COMPUTED_VALUE"""),-1.150698449001903)</f>
        <v>-1.150698449</v>
      </c>
      <c r="Y368" s="11">
        <f>IFERROR(__xludf.DUMMYFUNCTION("""COMPUTED_VALUE"""),-0.5545427106535151)</f>
        <v>-0.5545427107</v>
      </c>
      <c r="Z368" s="11">
        <f>IFERROR(__xludf.DUMMYFUNCTION("""COMPUTED_VALUE"""),-0.15905893861861842)</f>
        <v>-0.1590589386</v>
      </c>
      <c r="AA368" s="11">
        <f>IFERROR(__xludf.DUMMYFUNCTION("""COMPUTED_VALUE"""),0.3096470256034866)</f>
        <v>0.3096470256</v>
      </c>
      <c r="AB368" t="str">
        <f>IFERROR(__xludf.DUMMYFUNCTION("SUBSTITUTE(REGEXREPLACE(REGEXREPLACE(REGEXREPLACE(REGEXREPLACE(REGEXREPLACE(REGEXREPLACE(F368,"","",),IF(Projections!$T$17="""",""PG"",),),IF(Projections!$U$17="""",""SG"",),),IF(Projections!$V$17="""",""SF"",),),IF(Projections!$W$17="""",""PF"",),),IF(Pr"&amp;"ojections!$X$17="""",""C"",),),""/"","""")"),"PGSG")</f>
        <v>PGSG</v>
      </c>
    </row>
    <row r="369">
      <c r="B369">
        <f>IFERROR(__xludf.DUMMYFUNCTION("""COMPUTED_VALUE"""),364.0)</f>
        <v>364</v>
      </c>
      <c r="D369" t="str">
        <f>IFERROR(__xludf.DUMMYFUNCTION("""COMPUTED_VALUE"""),"Aaron Holiday")</f>
        <v>Aaron Holiday</v>
      </c>
      <c r="F369" t="str">
        <f>IFERROR(__xludf.DUMMYFUNCTION("""COMPUTED_VALUE"""),"PG,SG")</f>
        <v>PG,SG</v>
      </c>
      <c r="G369" s="11">
        <f>IFERROR(__xludf.DUMMYFUNCTION("""COMPUTED_VALUE"""),-7.201736828448205)</f>
        <v>-7.201736828</v>
      </c>
      <c r="H369" s="11">
        <f>IFERROR(__xludf.DUMMYFUNCTION("""COMPUTED_VALUE"""),-7.201736828448205)</f>
        <v>-7.201736828</v>
      </c>
      <c r="I369" s="11">
        <f>IFERROR(__xludf.DUMMYFUNCTION("""COMPUTED_VALUE"""),0.0)</f>
        <v>0</v>
      </c>
      <c r="J369" s="11">
        <f>IFERROR(__xludf.DUMMYFUNCTION("""COMPUTED_VALUE"""),3.8)</f>
        <v>3.8</v>
      </c>
      <c r="K369" s="11">
        <f>IFERROR(__xludf.DUMMYFUNCTION("""COMPUTED_VALUE"""),0.6)</f>
        <v>0.6</v>
      </c>
      <c r="L369" s="11">
        <f>IFERROR(__xludf.DUMMYFUNCTION("""COMPUTED_VALUE"""),1.0)</f>
        <v>1</v>
      </c>
      <c r="M369" s="11">
        <f>IFERROR(__xludf.DUMMYFUNCTION("""COMPUTED_VALUE"""),1.1)</f>
        <v>1.1</v>
      </c>
      <c r="N369" s="11">
        <f>IFERROR(__xludf.DUMMYFUNCTION("""COMPUTED_VALUE"""),0.4)</f>
        <v>0.4</v>
      </c>
      <c r="O369" s="11">
        <f>IFERROR(__xludf.DUMMYFUNCTION("""COMPUTED_VALUE"""),0.1)</f>
        <v>0.1</v>
      </c>
      <c r="P369" s="15">
        <f>IFERROR(__xludf.DUMMYFUNCTION("""COMPUTED_VALUE"""),0.437)</f>
        <v>0.437</v>
      </c>
      <c r="Q369" s="15">
        <f>IFERROR(__xludf.DUMMYFUNCTION("""COMPUTED_VALUE"""),0.894)</f>
        <v>0.894</v>
      </c>
      <c r="R369" s="11">
        <f>IFERROR(__xludf.DUMMYFUNCTION("""COMPUTED_VALUE"""),0.4)</f>
        <v>0.4</v>
      </c>
      <c r="S369" s="11">
        <f>IFERROR(__xludf.DUMMYFUNCTION("""COMPUTED_VALUE"""),-2.4688961464630776)</f>
        <v>-2.468896146</v>
      </c>
      <c r="T369" s="11">
        <f>IFERROR(__xludf.DUMMYFUNCTION("""COMPUTED_VALUE"""),-1.1435407868855925)</f>
        <v>-1.143540787</v>
      </c>
      <c r="U369" s="11">
        <f>IFERROR(__xludf.DUMMYFUNCTION("""COMPUTED_VALUE"""),-1.988335394639314)</f>
        <v>-1.988335395</v>
      </c>
      <c r="V369" s="11">
        <f>IFERROR(__xludf.DUMMYFUNCTION("""COMPUTED_VALUE"""),-1.2920231850832664)</f>
        <v>-1.292023185</v>
      </c>
      <c r="W369" s="11">
        <f>IFERROR(__xludf.DUMMYFUNCTION("""COMPUTED_VALUE"""),-1.912459801316204)</f>
        <v>-1.912459801</v>
      </c>
      <c r="X369" s="11">
        <f>IFERROR(__xludf.DUMMYFUNCTION("""COMPUTED_VALUE"""),-1.150698449001903)</f>
        <v>-1.150698449</v>
      </c>
      <c r="Y369" s="11">
        <f>IFERROR(__xludf.DUMMYFUNCTION("""COMPUTED_VALUE"""),-0.22457710760610072)</f>
        <v>-0.2245771076</v>
      </c>
      <c r="Z369" s="11">
        <f>IFERROR(__xludf.DUMMYFUNCTION("""COMPUTED_VALUE"""),0.17545265700470342)</f>
        <v>0.175452657</v>
      </c>
      <c r="AA369" s="11">
        <f>IFERROR(__xludf.DUMMYFUNCTION("""COMPUTED_VALUE"""),0.3344452390794733)</f>
        <v>0.3344452391</v>
      </c>
      <c r="AB369" t="str">
        <f>IFERROR(__xludf.DUMMYFUNCTION("SUBSTITUTE(REGEXREPLACE(REGEXREPLACE(REGEXREPLACE(REGEXREPLACE(REGEXREPLACE(REGEXREPLACE(F369,"","",),IF(Projections!$T$17="""",""PG"",),),IF(Projections!$U$17="""",""SG"",),),IF(Projections!$V$17="""",""SF"",),),IF(Projections!$W$17="""",""PF"",),),IF(Pr"&amp;"ojections!$X$17="""",""C"",),),""/"","""")"),"PGSG")</f>
        <v>PGSG</v>
      </c>
    </row>
    <row r="370">
      <c r="B370">
        <f>IFERROR(__xludf.DUMMYFUNCTION("""COMPUTED_VALUE"""),365.0)</f>
        <v>365</v>
      </c>
      <c r="D370" t="str">
        <f>IFERROR(__xludf.DUMMYFUNCTION("""COMPUTED_VALUE"""),"Orlando Robinson")</f>
        <v>Orlando Robinson</v>
      </c>
      <c r="F370" t="str">
        <f>IFERROR(__xludf.DUMMYFUNCTION("""COMPUTED_VALUE"""),"C")</f>
        <v>C</v>
      </c>
      <c r="G370" s="11">
        <f>IFERROR(__xludf.DUMMYFUNCTION("""COMPUTED_VALUE"""),-7.223919414765703)</f>
        <v>-7.223919415</v>
      </c>
      <c r="H370" s="11">
        <f>IFERROR(__xludf.DUMMYFUNCTION("""COMPUTED_VALUE"""),-7.223919414765703)</f>
        <v>-7.223919415</v>
      </c>
      <c r="I370" s="11">
        <f>IFERROR(__xludf.DUMMYFUNCTION("""COMPUTED_VALUE"""),0.0)</f>
        <v>0</v>
      </c>
      <c r="J370" s="11">
        <f>IFERROR(__xludf.DUMMYFUNCTION("""COMPUTED_VALUE"""),2.8)</f>
        <v>2.8</v>
      </c>
      <c r="K370" s="11">
        <f>IFERROR(__xludf.DUMMYFUNCTION("""COMPUTED_VALUE"""),0.1)</f>
        <v>0.1</v>
      </c>
      <c r="L370" s="11">
        <f>IFERROR(__xludf.DUMMYFUNCTION("""COMPUTED_VALUE"""),2.7)</f>
        <v>2.7</v>
      </c>
      <c r="M370" s="11">
        <f>IFERROR(__xludf.DUMMYFUNCTION("""COMPUTED_VALUE"""),0.8)</f>
        <v>0.8</v>
      </c>
      <c r="N370" s="11">
        <f>IFERROR(__xludf.DUMMYFUNCTION("""COMPUTED_VALUE"""),0.3)</f>
        <v>0.3</v>
      </c>
      <c r="O370" s="11">
        <f>IFERROR(__xludf.DUMMYFUNCTION("""COMPUTED_VALUE"""),0.3)</f>
        <v>0.3</v>
      </c>
      <c r="P370" s="15">
        <f>IFERROR(__xludf.DUMMYFUNCTION("""COMPUTED_VALUE"""),0.514)</f>
        <v>0.514</v>
      </c>
      <c r="Q370" s="15">
        <f>IFERROR(__xludf.DUMMYFUNCTION("""COMPUTED_VALUE"""),0.726)</f>
        <v>0.726</v>
      </c>
      <c r="R370" s="11">
        <f>IFERROR(__xludf.DUMMYFUNCTION("""COMPUTED_VALUE"""),0.4)</f>
        <v>0.4</v>
      </c>
      <c r="S370" s="11">
        <f>IFERROR(__xludf.DUMMYFUNCTION("""COMPUTED_VALUE"""),-2.64954416609574)</f>
        <v>-2.649544166</v>
      </c>
      <c r="T370" s="11">
        <f>IFERROR(__xludf.DUMMYFUNCTION("""COMPUTED_VALUE"""),-1.6411622820433)</f>
        <v>-1.641162282</v>
      </c>
      <c r="U370" s="11">
        <f>IFERROR(__xludf.DUMMYFUNCTION("""COMPUTED_VALUE"""),-1.321487085514788)</f>
        <v>-1.321487086</v>
      </c>
      <c r="V370" s="11">
        <f>IFERROR(__xludf.DUMMYFUNCTION("""COMPUTED_VALUE"""),-1.428708496349665)</f>
        <v>-1.428708496</v>
      </c>
      <c r="W370" s="11">
        <f>IFERROR(__xludf.DUMMYFUNCTION("""COMPUTED_VALUE"""),-2.2443924794756835)</f>
        <v>-2.244392479</v>
      </c>
      <c r="X370" s="11">
        <f>IFERROR(__xludf.DUMMYFUNCTION("""COMPUTED_VALUE"""),-0.7939110448965904)</f>
        <v>-0.7939110449</v>
      </c>
      <c r="Y370" s="11">
        <f>IFERROR(__xludf.DUMMYFUNCTION("""COMPUTED_VALUE"""),0.04213382094115354)</f>
        <v>0.04213382094</v>
      </c>
      <c r="Z370" s="11">
        <f>IFERROR(__xludf.DUMMYFUNCTION("""COMPUTED_VALUE"""),-0.17083708650630253)</f>
        <v>-0.1708370865</v>
      </c>
      <c r="AA370" s="11">
        <f>IFERROR(__xludf.DUMMYFUNCTION("""COMPUTED_VALUE"""),0.3344452390794733)</f>
        <v>0.3344452391</v>
      </c>
      <c r="AB370" t="str">
        <f>IFERROR(__xludf.DUMMYFUNCTION("SUBSTITUTE(REGEXREPLACE(REGEXREPLACE(REGEXREPLACE(REGEXREPLACE(REGEXREPLACE(REGEXREPLACE(F370,"","",),IF(Projections!$T$17="""",""PG"",),),IF(Projections!$U$17="""",""SG"",),),IF(Projections!$V$17="""",""SF"",),),IF(Projections!$W$17="""",""PF"",),),IF(Pr"&amp;"ojections!$X$17="""",""C"",),),""/"","""")"),"C")</f>
        <v>C</v>
      </c>
    </row>
    <row r="371">
      <c r="B371">
        <f>IFERROR(__xludf.DUMMYFUNCTION("""COMPUTED_VALUE"""),366.0)</f>
        <v>366</v>
      </c>
      <c r="D371" t="str">
        <f>IFERROR(__xludf.DUMMYFUNCTION("""COMPUTED_VALUE"""),"Tristan Vukcevic")</f>
        <v>Tristan Vukcevic</v>
      </c>
      <c r="F371" t="str">
        <f>IFERROR(__xludf.DUMMYFUNCTION("""COMPUTED_VALUE"""),"C")</f>
        <v>C</v>
      </c>
      <c r="G371" s="11">
        <f>IFERROR(__xludf.DUMMYFUNCTION("""COMPUTED_VALUE"""),-7.250095931653303)</f>
        <v>-7.250095932</v>
      </c>
      <c r="H371" s="11">
        <f>IFERROR(__xludf.DUMMYFUNCTION("""COMPUTED_VALUE"""),-7.250095931653303)</f>
        <v>-7.250095932</v>
      </c>
      <c r="I371" s="11">
        <f>IFERROR(__xludf.DUMMYFUNCTION("""COMPUTED_VALUE"""),0.0)</f>
        <v>0</v>
      </c>
      <c r="J371" s="11">
        <f>IFERROR(__xludf.DUMMYFUNCTION("""COMPUTED_VALUE"""),4.4)</f>
        <v>4.4</v>
      </c>
      <c r="K371" s="11">
        <f>IFERROR(__xludf.DUMMYFUNCTION("""COMPUTED_VALUE"""),0.5)</f>
        <v>0.5</v>
      </c>
      <c r="L371" s="11">
        <f>IFERROR(__xludf.DUMMYFUNCTION("""COMPUTED_VALUE"""),1.9)</f>
        <v>1.9</v>
      </c>
      <c r="M371" s="11">
        <f>IFERROR(__xludf.DUMMYFUNCTION("""COMPUTED_VALUE"""),0.7)</f>
        <v>0.7</v>
      </c>
      <c r="N371" s="11">
        <f>IFERROR(__xludf.DUMMYFUNCTION("""COMPUTED_VALUE"""),0.3)</f>
        <v>0.3</v>
      </c>
      <c r="O371" s="11">
        <f>IFERROR(__xludf.DUMMYFUNCTION("""COMPUTED_VALUE"""),0.4)</f>
        <v>0.4</v>
      </c>
      <c r="P371" s="15">
        <f>IFERROR(__xludf.DUMMYFUNCTION("""COMPUTED_VALUE"""),0.434)</f>
        <v>0.434</v>
      </c>
      <c r="Q371" s="15">
        <f>IFERROR(__xludf.DUMMYFUNCTION("""COMPUTED_VALUE"""),0.772)</f>
        <v>0.772</v>
      </c>
      <c r="R371" s="11">
        <f>IFERROR(__xludf.DUMMYFUNCTION("""COMPUTED_VALUE"""),0.5)</f>
        <v>0.5</v>
      </c>
      <c r="S371" s="11">
        <f>IFERROR(__xludf.DUMMYFUNCTION("""COMPUTED_VALUE"""),-2.36050733468348)</f>
        <v>-2.360507335</v>
      </c>
      <c r="T371" s="11">
        <f>IFERROR(__xludf.DUMMYFUNCTION("""COMPUTED_VALUE"""),-1.2430650859171342)</f>
        <v>-1.243065086</v>
      </c>
      <c r="U371" s="11">
        <f>IFERROR(__xludf.DUMMYFUNCTION("""COMPUTED_VALUE"""),-1.6352980545145652)</f>
        <v>-1.635298055</v>
      </c>
      <c r="V371" s="11">
        <f>IFERROR(__xludf.DUMMYFUNCTION("""COMPUTED_VALUE"""),-1.4742702667717982)</f>
        <v>-1.474270267</v>
      </c>
      <c r="W371" s="11">
        <f>IFERROR(__xludf.DUMMYFUNCTION("""COMPUTED_VALUE"""),-2.2443924794756835)</f>
        <v>-2.244392479</v>
      </c>
      <c r="X371" s="11">
        <f>IFERROR(__xludf.DUMMYFUNCTION("""COMPUTED_VALUE"""),-0.6155173428439339)</f>
        <v>-0.6155173428</v>
      </c>
      <c r="Y371" s="11">
        <f>IFERROR(__xludf.DUMMYFUNCTION("""COMPUTED_VALUE"""),-0.25793722104207245)</f>
        <v>-0.257937221</v>
      </c>
      <c r="Z371" s="11">
        <f>IFERROR(__xludf.DUMMYFUNCTION("""COMPUTED_VALUE"""),-0.08926250669160374)</f>
        <v>-0.08926250669</v>
      </c>
      <c r="AA371" s="11">
        <f>IFERROR(__xludf.DUMMYFUNCTION("""COMPUTED_VALUE"""),0.3096470256034866)</f>
        <v>0.3096470256</v>
      </c>
      <c r="AB371" t="str">
        <f>IFERROR(__xludf.DUMMYFUNCTION("SUBSTITUTE(REGEXREPLACE(REGEXREPLACE(REGEXREPLACE(REGEXREPLACE(REGEXREPLACE(REGEXREPLACE(F371,"","",),IF(Projections!$T$17="""",""PG"",),),IF(Projections!$U$17="""",""SG"",),),IF(Projections!$V$17="""",""SF"",),),IF(Projections!$W$17="""",""PF"",),),IF(Pr"&amp;"ojections!$X$17="""",""C"",),),""/"","""")"),"C")</f>
        <v>C</v>
      </c>
    </row>
    <row r="372">
      <c r="B372">
        <f>IFERROR(__xludf.DUMMYFUNCTION("""COMPUTED_VALUE"""),367.0)</f>
        <v>367</v>
      </c>
      <c r="D372" t="str">
        <f>IFERROR(__xludf.DUMMYFUNCTION("""COMPUTED_VALUE"""),"Garrison Mathews")</f>
        <v>Garrison Mathews</v>
      </c>
      <c r="F372" t="str">
        <f>IFERROR(__xludf.DUMMYFUNCTION("""COMPUTED_VALUE"""),"SG,SF")</f>
        <v>SG,SF</v>
      </c>
      <c r="G372" s="11">
        <f>IFERROR(__xludf.DUMMYFUNCTION("""COMPUTED_VALUE"""),-7.26958192805809)</f>
        <v>-7.269581928</v>
      </c>
      <c r="H372" s="11">
        <f>IFERROR(__xludf.DUMMYFUNCTION("""COMPUTED_VALUE"""),-7.26958192805809)</f>
        <v>-7.269581928</v>
      </c>
      <c r="I372" s="11">
        <f>IFERROR(__xludf.DUMMYFUNCTION("""COMPUTED_VALUE"""),0.0)</f>
        <v>0</v>
      </c>
      <c r="J372" s="11">
        <f>IFERROR(__xludf.DUMMYFUNCTION("""COMPUTED_VALUE"""),4.5)</f>
        <v>4.5</v>
      </c>
      <c r="K372" s="11">
        <f>IFERROR(__xludf.DUMMYFUNCTION("""COMPUTED_VALUE"""),1.1)</f>
        <v>1.1</v>
      </c>
      <c r="L372" s="11">
        <f>IFERROR(__xludf.DUMMYFUNCTION("""COMPUTED_VALUE"""),1.3)</f>
        <v>1.3</v>
      </c>
      <c r="M372" s="11">
        <f>IFERROR(__xludf.DUMMYFUNCTION("""COMPUTED_VALUE"""),0.5)</f>
        <v>0.5</v>
      </c>
      <c r="N372" s="11">
        <f>IFERROR(__xludf.DUMMYFUNCTION("""COMPUTED_VALUE"""),0.3)</f>
        <v>0.3</v>
      </c>
      <c r="O372" s="11">
        <f>IFERROR(__xludf.DUMMYFUNCTION("""COMPUTED_VALUE"""),0.1)</f>
        <v>0.1</v>
      </c>
      <c r="P372" s="15">
        <f>IFERROR(__xludf.DUMMYFUNCTION("""COMPUTED_VALUE"""),0.414)</f>
        <v>0.414</v>
      </c>
      <c r="Q372" s="15">
        <f>IFERROR(__xludf.DUMMYFUNCTION("""COMPUTED_VALUE"""),0.863)</f>
        <v>0.863</v>
      </c>
      <c r="R372" s="11">
        <f>IFERROR(__xludf.DUMMYFUNCTION("""COMPUTED_VALUE"""),0.3)</f>
        <v>0.3</v>
      </c>
      <c r="S372" s="11">
        <f>IFERROR(__xludf.DUMMYFUNCTION("""COMPUTED_VALUE"""),-2.3424425327202143)</f>
        <v>-2.342442533</v>
      </c>
      <c r="T372" s="11">
        <f>IFERROR(__xludf.DUMMYFUNCTION("""COMPUTED_VALUE"""),-0.645919291727885)</f>
        <v>-0.6459192917</v>
      </c>
      <c r="U372" s="11">
        <f>IFERROR(__xludf.DUMMYFUNCTION("""COMPUTED_VALUE"""),-1.8706562812643979)</f>
        <v>-1.870656281</v>
      </c>
      <c r="V372" s="11">
        <f>IFERROR(__xludf.DUMMYFUNCTION("""COMPUTED_VALUE"""),-1.565393807616064)</f>
        <v>-1.565393808</v>
      </c>
      <c r="W372" s="11">
        <f>IFERROR(__xludf.DUMMYFUNCTION("""COMPUTED_VALUE"""),-2.2443924794756835)</f>
        <v>-2.244392479</v>
      </c>
      <c r="X372" s="11">
        <f>IFERROR(__xludf.DUMMYFUNCTION("""COMPUTED_VALUE"""),-1.150698449001903)</f>
        <v>-1.150698449</v>
      </c>
      <c r="Y372" s="11">
        <f>IFERROR(__xludf.DUMMYFUNCTION("""COMPUTED_VALUE"""),-0.32055001159789576)</f>
        <v>-0.3205500116</v>
      </c>
      <c r="Z372" s="11">
        <f>IFERROR(__xludf.DUMMYFUNCTION("""COMPUTED_VALUE"""),0.16878494007027814)</f>
        <v>0.1687849401</v>
      </c>
      <c r="AA372" s="11">
        <f>IFERROR(__xludf.DUMMYFUNCTION("""COMPUTED_VALUE"""),0.3592434525554599)</f>
        <v>0.3592434526</v>
      </c>
      <c r="AB372" t="str">
        <f>IFERROR(__xludf.DUMMYFUNCTION("SUBSTITUTE(REGEXREPLACE(REGEXREPLACE(REGEXREPLACE(REGEXREPLACE(REGEXREPLACE(REGEXREPLACE(F372,"","",),IF(Projections!$T$17="""",""PG"",),),IF(Projections!$U$17="""",""SG"",),),IF(Projections!$V$17="""",""SF"",),),IF(Projections!$W$17="""",""PF"",),),IF(Pr"&amp;"ojections!$X$17="""",""C"",),),""/"","""")"),"SGSF")</f>
        <v>SGSF</v>
      </c>
    </row>
    <row r="373">
      <c r="B373">
        <f>IFERROR(__xludf.DUMMYFUNCTION("""COMPUTED_VALUE"""),368.0)</f>
        <v>368</v>
      </c>
      <c r="D373" t="str">
        <f>IFERROR(__xludf.DUMMYFUNCTION("""COMPUTED_VALUE"""),"Nikola Djurisic")</f>
        <v>Nikola Djurisic</v>
      </c>
      <c r="F373" t="str">
        <f>IFERROR(__xludf.DUMMYFUNCTION("""COMPUTED_VALUE"""),"SF")</f>
        <v>SF</v>
      </c>
      <c r="G373" s="11">
        <f>IFERROR(__xludf.DUMMYFUNCTION("""COMPUTED_VALUE"""),-7.278260596470024)</f>
        <v>-7.278260596</v>
      </c>
      <c r="H373" s="11">
        <f>IFERROR(__xludf.DUMMYFUNCTION("""COMPUTED_VALUE"""),-7.278260596470024)</f>
        <v>-7.278260596</v>
      </c>
      <c r="I373" s="11">
        <f>IFERROR(__xludf.DUMMYFUNCTION("""COMPUTED_VALUE"""),0.0)</f>
        <v>0</v>
      </c>
      <c r="J373" s="11">
        <f>IFERROR(__xludf.DUMMYFUNCTION("""COMPUTED_VALUE"""),6.5)</f>
        <v>6.5</v>
      </c>
      <c r="K373" s="11">
        <f>IFERROR(__xludf.DUMMYFUNCTION("""COMPUTED_VALUE"""),0.5)</f>
        <v>0.5</v>
      </c>
      <c r="L373" s="11">
        <f>IFERROR(__xludf.DUMMYFUNCTION("""COMPUTED_VALUE"""),1.2)</f>
        <v>1.2</v>
      </c>
      <c r="M373" s="11">
        <f>IFERROR(__xludf.DUMMYFUNCTION("""COMPUTED_VALUE"""),1.5)</f>
        <v>1.5</v>
      </c>
      <c r="N373" s="11">
        <f>IFERROR(__xludf.DUMMYFUNCTION("""COMPUTED_VALUE"""),0.5)</f>
        <v>0.5</v>
      </c>
      <c r="O373" s="11">
        <f>IFERROR(__xludf.DUMMYFUNCTION("""COMPUTED_VALUE"""),0.2)</f>
        <v>0.2</v>
      </c>
      <c r="P373" s="15">
        <f>IFERROR(__xludf.DUMMYFUNCTION("""COMPUTED_VALUE"""),0.449)</f>
        <v>0.449</v>
      </c>
      <c r="Q373" s="15">
        <f>IFERROR(__xludf.DUMMYFUNCTION("""COMPUTED_VALUE"""),0.759)</f>
        <v>0.759</v>
      </c>
      <c r="R373" s="11">
        <f>IFERROR(__xludf.DUMMYFUNCTION("""COMPUTED_VALUE"""),1.4)</f>
        <v>1.4</v>
      </c>
      <c r="S373" s="11">
        <f>IFERROR(__xludf.DUMMYFUNCTION("""COMPUTED_VALUE"""),-1.9811464934548895)</f>
        <v>-1.981146493</v>
      </c>
      <c r="T373" s="11">
        <f>IFERROR(__xludf.DUMMYFUNCTION("""COMPUTED_VALUE"""),-1.2430650859171342)</f>
        <v>-1.243065086</v>
      </c>
      <c r="U373" s="11">
        <f>IFERROR(__xludf.DUMMYFUNCTION("""COMPUTED_VALUE"""),-1.90988265238937)</f>
        <v>-1.909882652</v>
      </c>
      <c r="V373" s="11">
        <f>IFERROR(__xludf.DUMMYFUNCTION("""COMPUTED_VALUE"""),-1.1097761033947346)</f>
        <v>-1.109776103</v>
      </c>
      <c r="W373" s="11">
        <f>IFERROR(__xludf.DUMMYFUNCTION("""COMPUTED_VALUE"""),-1.5805271231567248)</f>
        <v>-1.580527123</v>
      </c>
      <c r="X373" s="11">
        <f>IFERROR(__xludf.DUMMYFUNCTION("""COMPUTED_VALUE"""),-0.9723047469492465)</f>
        <v>-0.9723047469</v>
      </c>
      <c r="Y373" s="11">
        <f>IFERROR(__xludf.DUMMYFUNCTION("""COMPUTED_VALUE"""),-0.26935840875781486)</f>
        <v>-0.2693584088</v>
      </c>
      <c r="Z373" s="11">
        <f>IFERROR(__xludf.DUMMYFUNCTION("""COMPUTED_VALUE"""),-0.279809580224607)</f>
        <v>-0.2798095802</v>
      </c>
      <c r="AA373" s="11">
        <f>IFERROR(__xludf.DUMMYFUNCTION("""COMPUTED_VALUE"""),0.08646310431960676)</f>
        <v>0.08646310432</v>
      </c>
      <c r="AB373" t="str">
        <f>IFERROR(__xludf.DUMMYFUNCTION("SUBSTITUTE(REGEXREPLACE(REGEXREPLACE(REGEXREPLACE(REGEXREPLACE(REGEXREPLACE(REGEXREPLACE(F373,"","",),IF(Projections!$T$17="""",""PG"",),),IF(Projections!$U$17="""",""SG"",),),IF(Projections!$V$17="""",""SF"",),),IF(Projections!$W$17="""",""PF"",),),IF(Pr"&amp;"ojections!$X$17="""",""C"",),),""/"","""")"),"SF")</f>
        <v>SF</v>
      </c>
    </row>
    <row r="374">
      <c r="B374">
        <f>IFERROR(__xludf.DUMMYFUNCTION("""COMPUTED_VALUE"""),369.0)</f>
        <v>369</v>
      </c>
      <c r="D374" t="str">
        <f>IFERROR(__xludf.DUMMYFUNCTION("""COMPUTED_VALUE"""),"Jalen McDaniels")</f>
        <v>Jalen McDaniels</v>
      </c>
      <c r="F374" t="str">
        <f>IFERROR(__xludf.DUMMYFUNCTION("""COMPUTED_VALUE"""),"SF,PF")</f>
        <v>SF,PF</v>
      </c>
      <c r="G374" s="11">
        <f>IFERROR(__xludf.DUMMYFUNCTION("""COMPUTED_VALUE"""),-7.293708499535632)</f>
        <v>-7.2937085</v>
      </c>
      <c r="H374" s="11">
        <f>IFERROR(__xludf.DUMMYFUNCTION("""COMPUTED_VALUE"""),-7.293708499535632)</f>
        <v>-7.2937085</v>
      </c>
      <c r="I374" s="11">
        <f>IFERROR(__xludf.DUMMYFUNCTION("""COMPUTED_VALUE"""),0.0)</f>
        <v>0</v>
      </c>
      <c r="J374" s="11">
        <f>IFERROR(__xludf.DUMMYFUNCTION("""COMPUTED_VALUE"""),4.0)</f>
        <v>4</v>
      </c>
      <c r="K374" s="11">
        <f>IFERROR(__xludf.DUMMYFUNCTION("""COMPUTED_VALUE"""),0.4)</f>
        <v>0.4</v>
      </c>
      <c r="L374" s="11">
        <f>IFERROR(__xludf.DUMMYFUNCTION("""COMPUTED_VALUE"""),1.8)</f>
        <v>1.8</v>
      </c>
      <c r="M374" s="11">
        <f>IFERROR(__xludf.DUMMYFUNCTION("""COMPUTED_VALUE"""),0.7)</f>
        <v>0.7</v>
      </c>
      <c r="N374" s="11">
        <f>IFERROR(__xludf.DUMMYFUNCTION("""COMPUTED_VALUE"""),0.4)</f>
        <v>0.4</v>
      </c>
      <c r="O374" s="11">
        <f>IFERROR(__xludf.DUMMYFUNCTION("""COMPUTED_VALUE"""),0.2)</f>
        <v>0.2</v>
      </c>
      <c r="P374" s="15">
        <f>IFERROR(__xludf.DUMMYFUNCTION("""COMPUTED_VALUE"""),0.429)</f>
        <v>0.429</v>
      </c>
      <c r="Q374" s="15">
        <f>IFERROR(__xludf.DUMMYFUNCTION("""COMPUTED_VALUE"""),0.813)</f>
        <v>0.813</v>
      </c>
      <c r="R374" s="11">
        <f>IFERROR(__xludf.DUMMYFUNCTION("""COMPUTED_VALUE"""),0.5)</f>
        <v>0.5</v>
      </c>
      <c r="S374" s="11">
        <f>IFERROR(__xludf.DUMMYFUNCTION("""COMPUTED_VALUE"""),-2.4327665425365455)</f>
        <v>-2.432766543</v>
      </c>
      <c r="T374" s="11">
        <f>IFERROR(__xludf.DUMMYFUNCTION("""COMPUTED_VALUE"""),-1.3425893849486756)</f>
        <v>-1.342589385</v>
      </c>
      <c r="U374" s="11">
        <f>IFERROR(__xludf.DUMMYFUNCTION("""COMPUTED_VALUE"""),-1.6745244256395373)</f>
        <v>-1.674524426</v>
      </c>
      <c r="V374" s="11">
        <f>IFERROR(__xludf.DUMMYFUNCTION("""COMPUTED_VALUE"""),-1.4742702667717982)</f>
        <v>-1.474270267</v>
      </c>
      <c r="W374" s="11">
        <f>IFERROR(__xludf.DUMMYFUNCTION("""COMPUTED_VALUE"""),-1.912459801316204)</f>
        <v>-1.912459801</v>
      </c>
      <c r="X374" s="11">
        <f>IFERROR(__xludf.DUMMYFUNCTION("""COMPUTED_VALUE"""),-0.9723047469492465)</f>
        <v>-0.9723047469</v>
      </c>
      <c r="Y374" s="11">
        <f>IFERROR(__xludf.DUMMYFUNCTION("""COMPUTED_VALUE"""),-0.27844723703857216)</f>
        <v>-0.278447237</v>
      </c>
      <c r="Z374" s="11">
        <f>IFERROR(__xludf.DUMMYFUNCTION("""COMPUTED_VALUE"""),0.05124033752491392)</f>
        <v>0.05124033752</v>
      </c>
      <c r="AA374" s="11">
        <f>IFERROR(__xludf.DUMMYFUNCTION("""COMPUTED_VALUE"""),0.3096470256034866)</f>
        <v>0.3096470256</v>
      </c>
      <c r="AB374" t="str">
        <f>IFERROR(__xludf.DUMMYFUNCTION("SUBSTITUTE(REGEXREPLACE(REGEXREPLACE(REGEXREPLACE(REGEXREPLACE(REGEXREPLACE(REGEXREPLACE(F374,"","",),IF(Projections!$T$17="""",""PG"",),),IF(Projections!$U$17="""",""SG"",),),IF(Projections!$V$17="""",""SF"",),),IF(Projections!$W$17="""",""PF"",),),IF(Pr"&amp;"ojections!$X$17="""",""C"",),),""/"","""")"),"SFPF")</f>
        <v>SFPF</v>
      </c>
    </row>
    <row r="375">
      <c r="B375">
        <f>IFERROR(__xludf.DUMMYFUNCTION("""COMPUTED_VALUE"""),370.0)</f>
        <v>370</v>
      </c>
      <c r="D375" t="str">
        <f>IFERROR(__xludf.DUMMYFUNCTION("""COMPUTED_VALUE"""),"Jalen Wilson")</f>
        <v>Jalen Wilson</v>
      </c>
      <c r="F375" t="str">
        <f>IFERROR(__xludf.DUMMYFUNCTION("""COMPUTED_VALUE"""),"SF")</f>
        <v>SF</v>
      </c>
      <c r="G375" s="11">
        <f>IFERROR(__xludf.DUMMYFUNCTION("""COMPUTED_VALUE"""),-7.324334481663069)</f>
        <v>-7.324334482</v>
      </c>
      <c r="H375" s="11">
        <f>IFERROR(__xludf.DUMMYFUNCTION("""COMPUTED_VALUE"""),-7.324334481663069)</f>
        <v>-7.324334482</v>
      </c>
      <c r="I375" s="11">
        <f>IFERROR(__xludf.DUMMYFUNCTION("""COMPUTED_VALUE"""),0.0)</f>
        <v>0</v>
      </c>
      <c r="J375" s="11">
        <f>IFERROR(__xludf.DUMMYFUNCTION("""COMPUTED_VALUE"""),4.4)</f>
        <v>4.4</v>
      </c>
      <c r="K375" s="11">
        <f>IFERROR(__xludf.DUMMYFUNCTION("""COMPUTED_VALUE"""),0.5)</f>
        <v>0.5</v>
      </c>
      <c r="L375" s="11">
        <f>IFERROR(__xludf.DUMMYFUNCTION("""COMPUTED_VALUE"""),2.7)</f>
        <v>2.7</v>
      </c>
      <c r="M375" s="11">
        <f>IFERROR(__xludf.DUMMYFUNCTION("""COMPUTED_VALUE"""),0.9)</f>
        <v>0.9</v>
      </c>
      <c r="N375" s="11">
        <f>IFERROR(__xludf.DUMMYFUNCTION("""COMPUTED_VALUE"""),0.2)</f>
        <v>0.2</v>
      </c>
      <c r="O375" s="11">
        <f>IFERROR(__xludf.DUMMYFUNCTION("""COMPUTED_VALUE"""),0.1)</f>
        <v>0.1</v>
      </c>
      <c r="P375" s="15">
        <f>IFERROR(__xludf.DUMMYFUNCTION("""COMPUTED_VALUE"""),0.425)</f>
        <v>0.425</v>
      </c>
      <c r="Q375" s="15">
        <f>IFERROR(__xludf.DUMMYFUNCTION("""COMPUTED_VALUE"""),0.83)</f>
        <v>0.83</v>
      </c>
      <c r="R375" s="11">
        <f>IFERROR(__xludf.DUMMYFUNCTION("""COMPUTED_VALUE"""),0.4)</f>
        <v>0.4</v>
      </c>
      <c r="S375" s="11">
        <f>IFERROR(__xludf.DUMMYFUNCTION("""COMPUTED_VALUE"""),-2.36050733468348)</f>
        <v>-2.360507335</v>
      </c>
      <c r="T375" s="11">
        <f>IFERROR(__xludf.DUMMYFUNCTION("""COMPUTED_VALUE"""),-1.2430650859171342)</f>
        <v>-1.243065086</v>
      </c>
      <c r="U375" s="11">
        <f>IFERROR(__xludf.DUMMYFUNCTION("""COMPUTED_VALUE"""),-1.321487085514788)</f>
        <v>-1.321487086</v>
      </c>
      <c r="V375" s="11">
        <f>IFERROR(__xludf.DUMMYFUNCTION("""COMPUTED_VALUE"""),-1.3831467259275323)</f>
        <v>-1.383146726</v>
      </c>
      <c r="W375" s="11">
        <f>IFERROR(__xludf.DUMMYFUNCTION("""COMPUTED_VALUE"""),-2.576325157635163)</f>
        <v>-2.576325158</v>
      </c>
      <c r="X375" s="11">
        <f>IFERROR(__xludf.DUMMYFUNCTION("""COMPUTED_VALUE"""),-1.150698449001903)</f>
        <v>-1.150698449</v>
      </c>
      <c r="Y375" s="11">
        <f>IFERROR(__xludf.DUMMYFUNCTION("""COMPUTED_VALUE"""),-0.3117041212549589)</f>
        <v>-0.3117041213</v>
      </c>
      <c r="Z375" s="11">
        <f>IFERROR(__xludf.DUMMYFUNCTION("""COMPUTED_VALUE"""),0.11182908155725589)</f>
        <v>0.1118290816</v>
      </c>
      <c r="AA375" s="11">
        <f>IFERROR(__xludf.DUMMYFUNCTION("""COMPUTED_VALUE"""),0.3344452390794733)</f>
        <v>0.3344452391</v>
      </c>
      <c r="AB375" t="str">
        <f>IFERROR(__xludf.DUMMYFUNCTION("SUBSTITUTE(REGEXREPLACE(REGEXREPLACE(REGEXREPLACE(REGEXREPLACE(REGEXREPLACE(REGEXREPLACE(F375,"","",),IF(Projections!$T$17="""",""PG"",),),IF(Projections!$U$17="""",""SG"",),),IF(Projections!$V$17="""",""SF"",),),IF(Projections!$W$17="""",""PF"",),),IF(Pr"&amp;"ojections!$X$17="""",""C"",),),""/"","""")"),"SF")</f>
        <v>SF</v>
      </c>
    </row>
    <row r="376">
      <c r="B376">
        <f>IFERROR(__xludf.DUMMYFUNCTION("""COMPUTED_VALUE"""),371.0)</f>
        <v>371</v>
      </c>
      <c r="D376" t="str">
        <f>IFERROR(__xludf.DUMMYFUNCTION("""COMPUTED_VALUE"""),"Johnny Juzang")</f>
        <v>Johnny Juzang</v>
      </c>
      <c r="F376" t="str">
        <f>IFERROR(__xludf.DUMMYFUNCTION("""COMPUTED_VALUE"""),"SG,SF")</f>
        <v>SG,SF</v>
      </c>
      <c r="G376" s="11">
        <f>IFERROR(__xludf.DUMMYFUNCTION("""COMPUTED_VALUE"""),-7.350115198498225)</f>
        <v>-7.350115198</v>
      </c>
      <c r="H376" s="11">
        <f>IFERROR(__xludf.DUMMYFUNCTION("""COMPUTED_VALUE"""),-7.350115198498225)</f>
        <v>-7.350115198</v>
      </c>
      <c r="I376" s="11">
        <f>IFERROR(__xludf.DUMMYFUNCTION("""COMPUTED_VALUE"""),0.0)</f>
        <v>0</v>
      </c>
      <c r="J376" s="11">
        <f>IFERROR(__xludf.DUMMYFUNCTION("""COMPUTED_VALUE"""),5.8)</f>
        <v>5.8</v>
      </c>
      <c r="K376" s="11">
        <f>IFERROR(__xludf.DUMMYFUNCTION("""COMPUTED_VALUE"""),1.2)</f>
        <v>1.2</v>
      </c>
      <c r="L376" s="11">
        <f>IFERROR(__xludf.DUMMYFUNCTION("""COMPUTED_VALUE"""),1.9)</f>
        <v>1.9</v>
      </c>
      <c r="M376" s="11">
        <f>IFERROR(__xludf.DUMMYFUNCTION("""COMPUTED_VALUE"""),0.8)</f>
        <v>0.8</v>
      </c>
      <c r="N376" s="11">
        <f>IFERROR(__xludf.DUMMYFUNCTION("""COMPUTED_VALUE"""),0.2)</f>
        <v>0.2</v>
      </c>
      <c r="O376" s="11">
        <f>IFERROR(__xludf.DUMMYFUNCTION("""COMPUTED_VALUE"""),0.1)</f>
        <v>0.1</v>
      </c>
      <c r="P376" s="15">
        <f>IFERROR(__xludf.DUMMYFUNCTION("""COMPUTED_VALUE"""),0.402)</f>
        <v>0.402</v>
      </c>
      <c r="Q376" s="15">
        <f>IFERROR(__xludf.DUMMYFUNCTION("""COMPUTED_VALUE"""),0.667)</f>
        <v>0.667</v>
      </c>
      <c r="R376" s="11">
        <f>IFERROR(__xludf.DUMMYFUNCTION("""COMPUTED_VALUE"""),0.4)</f>
        <v>0.4</v>
      </c>
      <c r="S376" s="11">
        <f>IFERROR(__xludf.DUMMYFUNCTION("""COMPUTED_VALUE"""),-2.107600107197753)</f>
        <v>-2.107600107</v>
      </c>
      <c r="T376" s="11">
        <f>IFERROR(__xludf.DUMMYFUNCTION("""COMPUTED_VALUE"""),-0.5463949926963436)</f>
        <v>-0.5463949927</v>
      </c>
      <c r="U376" s="11">
        <f>IFERROR(__xludf.DUMMYFUNCTION("""COMPUTED_VALUE"""),-1.6352980545145652)</f>
        <v>-1.635298055</v>
      </c>
      <c r="V376" s="11">
        <f>IFERROR(__xludf.DUMMYFUNCTION("""COMPUTED_VALUE"""),-1.428708496349665)</f>
        <v>-1.428708496</v>
      </c>
      <c r="W376" s="11">
        <f>IFERROR(__xludf.DUMMYFUNCTION("""COMPUTED_VALUE"""),-2.576325157635163)</f>
        <v>-2.576325158</v>
      </c>
      <c r="X376" s="11">
        <f>IFERROR(__xludf.DUMMYFUNCTION("""COMPUTED_VALUE"""),-1.150698449001903)</f>
        <v>-1.150698449</v>
      </c>
      <c r="Y376" s="11">
        <f>IFERROR(__xludf.DUMMYFUNCTION("""COMPUTED_VALUE"""),-0.5893620040355009)</f>
        <v>-0.589362004</v>
      </c>
      <c r="Z376" s="11">
        <f>IFERROR(__xludf.DUMMYFUNCTION("""COMPUTED_VALUE"""),-0.22649833378196918)</f>
        <v>-0.2264983338</v>
      </c>
      <c r="AA376" s="11">
        <f>IFERROR(__xludf.DUMMYFUNCTION("""COMPUTED_VALUE"""),0.3344452390794733)</f>
        <v>0.3344452391</v>
      </c>
      <c r="AB376" t="str">
        <f>IFERROR(__xludf.DUMMYFUNCTION("SUBSTITUTE(REGEXREPLACE(REGEXREPLACE(REGEXREPLACE(REGEXREPLACE(REGEXREPLACE(REGEXREPLACE(F376,"","",),IF(Projections!$T$17="""",""PG"",),),IF(Projections!$U$17="""",""SG"",),),IF(Projections!$V$17="""",""SF"",),),IF(Projections!$W$17="""",""PF"",),),IF(Pr"&amp;"ojections!$X$17="""",""C"",),),""/"","""")"),"SGSF")</f>
        <v>SGSF</v>
      </c>
    </row>
    <row r="377">
      <c r="B377">
        <f>IFERROR(__xludf.DUMMYFUNCTION("""COMPUTED_VALUE"""),372.0)</f>
        <v>372</v>
      </c>
      <c r="D377" t="str">
        <f>IFERROR(__xludf.DUMMYFUNCTION("""COMPUTED_VALUE"""),"Derrick Rose")</f>
        <v>Derrick Rose</v>
      </c>
      <c r="F377" t="str">
        <f>IFERROR(__xludf.DUMMYFUNCTION("""COMPUTED_VALUE"""),"PG")</f>
        <v>PG</v>
      </c>
      <c r="G377" s="11">
        <f>IFERROR(__xludf.DUMMYFUNCTION("""COMPUTED_VALUE"""),-7.350614401451294)</f>
        <v>-7.350614401</v>
      </c>
      <c r="H377" s="11">
        <f>IFERROR(__xludf.DUMMYFUNCTION("""COMPUTED_VALUE"""),-7.350614401451294)</f>
        <v>-7.350614401</v>
      </c>
      <c r="I377" s="11">
        <f>IFERROR(__xludf.DUMMYFUNCTION("""COMPUTED_VALUE"""),0.0)</f>
        <v>0</v>
      </c>
      <c r="J377" s="11">
        <f>IFERROR(__xludf.DUMMYFUNCTION("""COMPUTED_VALUE"""),5.4)</f>
        <v>5.4</v>
      </c>
      <c r="K377" s="11">
        <f>IFERROR(__xludf.DUMMYFUNCTION("""COMPUTED_VALUE"""),0.5)</f>
        <v>0.5</v>
      </c>
      <c r="L377" s="11">
        <f>IFERROR(__xludf.DUMMYFUNCTION("""COMPUTED_VALUE"""),1.3)</f>
        <v>1.3</v>
      </c>
      <c r="M377" s="11">
        <f>IFERROR(__xludf.DUMMYFUNCTION("""COMPUTED_VALUE"""),1.9)</f>
        <v>1.9</v>
      </c>
      <c r="N377" s="11">
        <f>IFERROR(__xludf.DUMMYFUNCTION("""COMPUTED_VALUE"""),0.2)</f>
        <v>0.2</v>
      </c>
      <c r="O377" s="11">
        <f>IFERROR(__xludf.DUMMYFUNCTION("""COMPUTED_VALUE"""),0.1)</f>
        <v>0.1</v>
      </c>
      <c r="P377" s="15">
        <f>IFERROR(__xludf.DUMMYFUNCTION("""COMPUTED_VALUE"""),0.423)</f>
        <v>0.423</v>
      </c>
      <c r="Q377" s="15">
        <f>IFERROR(__xludf.DUMMYFUNCTION("""COMPUTED_VALUE"""),0.902)</f>
        <v>0.902</v>
      </c>
      <c r="R377" s="11">
        <f>IFERROR(__xludf.DUMMYFUNCTION("""COMPUTED_VALUE"""),0.8)</f>
        <v>0.8</v>
      </c>
      <c r="S377" s="11">
        <f>IFERROR(__xludf.DUMMYFUNCTION("""COMPUTED_VALUE"""),-2.179859315050818)</f>
        <v>-2.179859315</v>
      </c>
      <c r="T377" s="11">
        <f>IFERROR(__xludf.DUMMYFUNCTION("""COMPUTED_VALUE"""),-1.2430650859171342)</f>
        <v>-1.243065086</v>
      </c>
      <c r="U377" s="11">
        <f>IFERROR(__xludf.DUMMYFUNCTION("""COMPUTED_VALUE"""),-1.8706562812643979)</f>
        <v>-1.870656281</v>
      </c>
      <c r="V377" s="11">
        <f>IFERROR(__xludf.DUMMYFUNCTION("""COMPUTED_VALUE"""),-0.9275290217062028)</f>
        <v>-0.9275290217</v>
      </c>
      <c r="W377" s="11">
        <f>IFERROR(__xludf.DUMMYFUNCTION("""COMPUTED_VALUE"""),-2.576325157635163)</f>
        <v>-2.576325158</v>
      </c>
      <c r="X377" s="11">
        <f>IFERROR(__xludf.DUMMYFUNCTION("""COMPUTED_VALUE"""),-1.150698449001903)</f>
        <v>-1.150698449</v>
      </c>
      <c r="Y377" s="11">
        <f>IFERROR(__xludf.DUMMYFUNCTION("""COMPUTED_VALUE"""),-0.4416006305129418)</f>
        <v>-0.4416006305</v>
      </c>
      <c r="Z377" s="11">
        <f>IFERROR(__xludf.DUMMYFUNCTION("""COMPUTED_VALUE"""),0.22754199682657827)</f>
        <v>0.2275419968</v>
      </c>
      <c r="AA377" s="11">
        <f>IFERROR(__xludf.DUMMYFUNCTION("""COMPUTED_VALUE"""),0.23525238517552666)</f>
        <v>0.2352523852</v>
      </c>
      <c r="AB377" t="str">
        <f>IFERROR(__xludf.DUMMYFUNCTION("SUBSTITUTE(REGEXREPLACE(REGEXREPLACE(REGEXREPLACE(REGEXREPLACE(REGEXREPLACE(REGEXREPLACE(F377,"","",),IF(Projections!$T$17="""",""PG"",),),IF(Projections!$U$17="""",""SG"",),),IF(Projections!$V$17="""",""SF"",),),IF(Projections!$W$17="""",""PF"",),),IF(Pr"&amp;"ojections!$X$17="""",""C"",),),""/"","""")"),"PG")</f>
        <v>PG</v>
      </c>
    </row>
    <row r="378">
      <c r="B378">
        <f>IFERROR(__xludf.DUMMYFUNCTION("""COMPUTED_VALUE"""),373.0)</f>
        <v>373</v>
      </c>
      <c r="D378" t="str">
        <f>IFERROR(__xludf.DUMMYFUNCTION("""COMPUTED_VALUE"""),"Nick Smith Jr.")</f>
        <v>Nick Smith Jr.</v>
      </c>
      <c r="F378" t="str">
        <f>IFERROR(__xludf.DUMMYFUNCTION("""COMPUTED_VALUE"""),"PG,SG")</f>
        <v>PG,SG</v>
      </c>
      <c r="G378" s="11">
        <f>IFERROR(__xludf.DUMMYFUNCTION("""COMPUTED_VALUE"""),-7.424982917113562)</f>
        <v>-7.424982917</v>
      </c>
      <c r="H378" s="11">
        <f>IFERROR(__xludf.DUMMYFUNCTION("""COMPUTED_VALUE"""),-7.424982917113562)</f>
        <v>-7.424982917</v>
      </c>
      <c r="I378" s="11">
        <f>IFERROR(__xludf.DUMMYFUNCTION("""COMPUTED_VALUE"""),0.0)</f>
        <v>0</v>
      </c>
      <c r="J378" s="11">
        <f>IFERROR(__xludf.DUMMYFUNCTION("""COMPUTED_VALUE"""),5.5)</f>
        <v>5.5</v>
      </c>
      <c r="K378" s="11">
        <f>IFERROR(__xludf.DUMMYFUNCTION("""COMPUTED_VALUE"""),1.1)</f>
        <v>1.1</v>
      </c>
      <c r="L378" s="11">
        <f>IFERROR(__xludf.DUMMYFUNCTION("""COMPUTED_VALUE"""),1.3)</f>
        <v>1.3</v>
      </c>
      <c r="M378" s="11">
        <f>IFERROR(__xludf.DUMMYFUNCTION("""COMPUTED_VALUE"""),1.1)</f>
        <v>1.1</v>
      </c>
      <c r="N378" s="11">
        <f>IFERROR(__xludf.DUMMYFUNCTION("""COMPUTED_VALUE"""),0.2)</f>
        <v>0.2</v>
      </c>
      <c r="O378" s="11">
        <f>IFERROR(__xludf.DUMMYFUNCTION("""COMPUTED_VALUE"""),0.1)</f>
        <v>0.1</v>
      </c>
      <c r="P378" s="15">
        <f>IFERROR(__xludf.DUMMYFUNCTION("""COMPUTED_VALUE"""),0.39)</f>
        <v>0.39</v>
      </c>
      <c r="Q378" s="15">
        <f>IFERROR(__xludf.DUMMYFUNCTION("""COMPUTED_VALUE"""),0.889)</f>
        <v>0.889</v>
      </c>
      <c r="R378" s="11">
        <f>IFERROR(__xludf.DUMMYFUNCTION("""COMPUTED_VALUE"""),0.7)</f>
        <v>0.7</v>
      </c>
      <c r="S378" s="11">
        <f>IFERROR(__xludf.DUMMYFUNCTION("""COMPUTED_VALUE"""),-2.161794513087552)</f>
        <v>-2.161794513</v>
      </c>
      <c r="T378" s="11">
        <f>IFERROR(__xludf.DUMMYFUNCTION("""COMPUTED_VALUE"""),-0.645919291727885)</f>
        <v>-0.6459192917</v>
      </c>
      <c r="U378" s="11">
        <f>IFERROR(__xludf.DUMMYFUNCTION("""COMPUTED_VALUE"""),-1.8706562812643979)</f>
        <v>-1.870656281</v>
      </c>
      <c r="V378" s="11">
        <f>IFERROR(__xludf.DUMMYFUNCTION("""COMPUTED_VALUE"""),-1.2920231850832664)</f>
        <v>-1.292023185</v>
      </c>
      <c r="W378" s="11">
        <f>IFERROR(__xludf.DUMMYFUNCTION("""COMPUTED_VALUE"""),-2.576325157635163)</f>
        <v>-2.576325158</v>
      </c>
      <c r="X378" s="11">
        <f>IFERROR(__xludf.DUMMYFUNCTION("""COMPUTED_VALUE"""),-1.150698449001903)</f>
        <v>-1.150698449</v>
      </c>
      <c r="Y378" s="11">
        <f>IFERROR(__xludf.DUMMYFUNCTION("""COMPUTED_VALUE"""),-0.663901262171351)</f>
        <v>-0.6639012622</v>
      </c>
      <c r="Z378" s="11">
        <f>IFERROR(__xludf.DUMMYFUNCTION("""COMPUTED_VALUE"""),0.0999594665712801)</f>
        <v>0.09995946657</v>
      </c>
      <c r="AA378" s="11">
        <f>IFERROR(__xludf.DUMMYFUNCTION("""COMPUTED_VALUE"""),0.26005059865151336)</f>
        <v>0.2600505987</v>
      </c>
      <c r="AB378" t="str">
        <f>IFERROR(__xludf.DUMMYFUNCTION("SUBSTITUTE(REGEXREPLACE(REGEXREPLACE(REGEXREPLACE(REGEXREPLACE(REGEXREPLACE(REGEXREPLACE(F378,"","",),IF(Projections!$T$17="""",""PG"",),),IF(Projections!$U$17="""",""SG"",),),IF(Projections!$V$17="""",""SF"",),),IF(Projections!$W$17="""",""PF"",),),IF(Pr"&amp;"ojections!$X$17="""",""C"",),),""/"","""")"),"PGSG")</f>
        <v>PGSG</v>
      </c>
    </row>
    <row r="379">
      <c r="B379">
        <f>IFERROR(__xludf.DUMMYFUNCTION("""COMPUTED_VALUE"""),374.0)</f>
        <v>374</v>
      </c>
      <c r="D379" t="str">
        <f>IFERROR(__xludf.DUMMYFUNCTION("""COMPUTED_VALUE"""),"AJ Green")</f>
        <v>AJ Green</v>
      </c>
      <c r="F379" t="str">
        <f>IFERROR(__xludf.DUMMYFUNCTION("""COMPUTED_VALUE"""),"PG,SG")</f>
        <v>PG,SG</v>
      </c>
      <c r="G379" s="11">
        <f>IFERROR(__xludf.DUMMYFUNCTION("""COMPUTED_VALUE"""),-7.425563291971901)</f>
        <v>-7.425563292</v>
      </c>
      <c r="H379" s="11">
        <f>IFERROR(__xludf.DUMMYFUNCTION("""COMPUTED_VALUE"""),-7.425563291971901)</f>
        <v>-7.425563292</v>
      </c>
      <c r="I379" s="11">
        <f>IFERROR(__xludf.DUMMYFUNCTION("""COMPUTED_VALUE"""),0.0)</f>
        <v>0</v>
      </c>
      <c r="J379" s="11">
        <f>IFERROR(__xludf.DUMMYFUNCTION("""COMPUTED_VALUE"""),4.5)</f>
        <v>4.5</v>
      </c>
      <c r="K379" s="11">
        <f>IFERROR(__xludf.DUMMYFUNCTION("""COMPUTED_VALUE"""),1.2)</f>
        <v>1.2</v>
      </c>
      <c r="L379" s="11">
        <f>IFERROR(__xludf.DUMMYFUNCTION("""COMPUTED_VALUE"""),1.2)</f>
        <v>1.2</v>
      </c>
      <c r="M379" s="11">
        <f>IFERROR(__xludf.DUMMYFUNCTION("""COMPUTED_VALUE"""),0.6)</f>
        <v>0.6</v>
      </c>
      <c r="N379" s="11">
        <f>IFERROR(__xludf.DUMMYFUNCTION("""COMPUTED_VALUE"""),0.2)</f>
        <v>0.2</v>
      </c>
      <c r="O379" s="11">
        <f>IFERROR(__xludf.DUMMYFUNCTION("""COMPUTED_VALUE"""),0.0)</f>
        <v>0</v>
      </c>
      <c r="P379" s="15">
        <f>IFERROR(__xludf.DUMMYFUNCTION("""COMPUTED_VALUE"""),0.425)</f>
        <v>0.425</v>
      </c>
      <c r="Q379" s="15">
        <f>IFERROR(__xludf.DUMMYFUNCTION("""COMPUTED_VALUE"""),0.92)</f>
        <v>0.92</v>
      </c>
      <c r="R379" s="11">
        <f>IFERROR(__xludf.DUMMYFUNCTION("""COMPUTED_VALUE"""),0.2)</f>
        <v>0.2</v>
      </c>
      <c r="S379" s="11">
        <f>IFERROR(__xludf.DUMMYFUNCTION("""COMPUTED_VALUE"""),-2.3424425327202143)</f>
        <v>-2.342442533</v>
      </c>
      <c r="T379" s="11">
        <f>IFERROR(__xludf.DUMMYFUNCTION("""COMPUTED_VALUE"""),-0.5463949926963436)</f>
        <v>-0.5463949927</v>
      </c>
      <c r="U379" s="11">
        <f>IFERROR(__xludf.DUMMYFUNCTION("""COMPUTED_VALUE"""),-1.90988265238937)</f>
        <v>-1.909882652</v>
      </c>
      <c r="V379" s="11">
        <f>IFERROR(__xludf.DUMMYFUNCTION("""COMPUTED_VALUE"""),-1.5198320371939311)</f>
        <v>-1.519832037</v>
      </c>
      <c r="W379" s="11">
        <f>IFERROR(__xludf.DUMMYFUNCTION("""COMPUTED_VALUE"""),-2.576325157635163)</f>
        <v>-2.576325158</v>
      </c>
      <c r="X379" s="11">
        <f>IFERROR(__xludf.DUMMYFUNCTION("""COMPUTED_VALUE"""),-1.3290921510545592)</f>
        <v>-1.329092151</v>
      </c>
      <c r="Y379" s="11">
        <f>IFERROR(__xludf.DUMMYFUNCTION("""COMPUTED_VALUE"""),-0.2948552498357719)</f>
        <v>-0.2948552498</v>
      </c>
      <c r="Z379" s="11">
        <f>IFERROR(__xludf.DUMMYFUNCTION("""COMPUTED_VALUE"""),0.1328946578868401)</f>
        <v>0.1328946579</v>
      </c>
      <c r="AA379" s="11">
        <f>IFERROR(__xludf.DUMMYFUNCTION("""COMPUTED_VALUE"""),0.3840416660314466)</f>
        <v>0.384041666</v>
      </c>
      <c r="AB379" t="str">
        <f>IFERROR(__xludf.DUMMYFUNCTION("SUBSTITUTE(REGEXREPLACE(REGEXREPLACE(REGEXREPLACE(REGEXREPLACE(REGEXREPLACE(REGEXREPLACE(F379,"","",),IF(Projections!$T$17="""",""PG"",),),IF(Projections!$U$17="""",""SG"",),),IF(Projections!$V$17="""",""SF"",),),IF(Projections!$W$17="""",""PF"",),),IF(Pr"&amp;"ojections!$X$17="""",""C"",),),""/"","""")"),"PGSG")</f>
        <v>PGSG</v>
      </c>
    </row>
    <row r="380">
      <c r="B380">
        <f>IFERROR(__xludf.DUMMYFUNCTION("""COMPUTED_VALUE"""),375.0)</f>
        <v>375</v>
      </c>
      <c r="D380" t="str">
        <f>IFERROR(__xludf.DUMMYFUNCTION("""COMPUTED_VALUE"""),"Cory Joseph")</f>
        <v>Cory Joseph</v>
      </c>
      <c r="F380" t="str">
        <f>IFERROR(__xludf.DUMMYFUNCTION("""COMPUTED_VALUE"""),"PG")</f>
        <v>PG</v>
      </c>
      <c r="G380" s="11">
        <f>IFERROR(__xludf.DUMMYFUNCTION("""COMPUTED_VALUE"""),-7.478894674408734)</f>
        <v>-7.478894674</v>
      </c>
      <c r="H380" s="11">
        <f>IFERROR(__xludf.DUMMYFUNCTION("""COMPUTED_VALUE"""),-7.478894674408734)</f>
        <v>-7.478894674</v>
      </c>
      <c r="I380" s="11">
        <f>IFERROR(__xludf.DUMMYFUNCTION("""COMPUTED_VALUE"""),0.0)</f>
        <v>0</v>
      </c>
      <c r="J380" s="11">
        <f>IFERROR(__xludf.DUMMYFUNCTION("""COMPUTED_VALUE"""),3.6)</f>
        <v>3.6</v>
      </c>
      <c r="K380" s="11">
        <f>IFERROR(__xludf.DUMMYFUNCTION("""COMPUTED_VALUE"""),0.6)</f>
        <v>0.6</v>
      </c>
      <c r="L380" s="11">
        <f>IFERROR(__xludf.DUMMYFUNCTION("""COMPUTED_VALUE"""),1.0)</f>
        <v>1</v>
      </c>
      <c r="M380" s="11">
        <f>IFERROR(__xludf.DUMMYFUNCTION("""COMPUTED_VALUE"""),1.9)</f>
        <v>1.9</v>
      </c>
      <c r="N380" s="11">
        <f>IFERROR(__xludf.DUMMYFUNCTION("""COMPUTED_VALUE"""),0.3)</f>
        <v>0.3</v>
      </c>
      <c r="O380" s="11">
        <f>IFERROR(__xludf.DUMMYFUNCTION("""COMPUTED_VALUE"""),0.1)</f>
        <v>0.1</v>
      </c>
      <c r="P380" s="15">
        <f>IFERROR(__xludf.DUMMYFUNCTION("""COMPUTED_VALUE"""),0.416)</f>
        <v>0.416</v>
      </c>
      <c r="Q380" s="15">
        <f>IFERROR(__xludf.DUMMYFUNCTION("""COMPUTED_VALUE"""),0.776)</f>
        <v>0.776</v>
      </c>
      <c r="R380" s="11">
        <f>IFERROR(__xludf.DUMMYFUNCTION("""COMPUTED_VALUE"""),0.5)</f>
        <v>0.5</v>
      </c>
      <c r="S380" s="11">
        <f>IFERROR(__xludf.DUMMYFUNCTION("""COMPUTED_VALUE"""),-2.5050257503896103)</f>
        <v>-2.50502575</v>
      </c>
      <c r="T380" s="11">
        <f>IFERROR(__xludf.DUMMYFUNCTION("""COMPUTED_VALUE"""),-1.1435407868855925)</f>
        <v>-1.143540787</v>
      </c>
      <c r="U380" s="11">
        <f>IFERROR(__xludf.DUMMYFUNCTION("""COMPUTED_VALUE"""),-1.988335394639314)</f>
        <v>-1.988335395</v>
      </c>
      <c r="V380" s="11">
        <f>IFERROR(__xludf.DUMMYFUNCTION("""COMPUTED_VALUE"""),-0.9275290217062028)</f>
        <v>-0.9275290217</v>
      </c>
      <c r="W380" s="11">
        <f>IFERROR(__xludf.DUMMYFUNCTION("""COMPUTED_VALUE"""),-2.2443924794756835)</f>
        <v>-2.244392479</v>
      </c>
      <c r="X380" s="11">
        <f>IFERROR(__xludf.DUMMYFUNCTION("""COMPUTED_VALUE"""),-1.150698449001903)</f>
        <v>-1.150698449</v>
      </c>
      <c r="Y380" s="11">
        <f>IFERROR(__xludf.DUMMYFUNCTION("""COMPUTED_VALUE"""),-0.29385633250038895)</f>
        <v>-0.2938563325</v>
      </c>
      <c r="Z380" s="11">
        <f>IFERROR(__xludf.DUMMYFUNCTION("""COMPUTED_VALUE"""),-0.040189235803134944)</f>
        <v>-0.0401892358</v>
      </c>
      <c r="AA380" s="11">
        <f>IFERROR(__xludf.DUMMYFUNCTION("""COMPUTED_VALUE"""),0.3096470256034866)</f>
        <v>0.3096470256</v>
      </c>
      <c r="AB380" t="str">
        <f>IFERROR(__xludf.DUMMYFUNCTION("SUBSTITUTE(REGEXREPLACE(REGEXREPLACE(REGEXREPLACE(REGEXREPLACE(REGEXREPLACE(REGEXREPLACE(F380,"","",),IF(Projections!$T$17="""",""PG"",),),IF(Projections!$U$17="""",""SG"",),),IF(Projections!$V$17="""",""SF"",),),IF(Projections!$W$17="""",""PF"",),),IF(Pr"&amp;"ojections!$X$17="""",""C"",),),""/"","""")"),"PG")</f>
        <v>PG</v>
      </c>
    </row>
    <row r="381">
      <c r="B381">
        <f>IFERROR(__xludf.DUMMYFUNCTION("""COMPUTED_VALUE"""),376.0)</f>
        <v>376</v>
      </c>
      <c r="D381" t="str">
        <f>IFERROR(__xludf.DUMMYFUNCTION("""COMPUTED_VALUE"""),"David Jones")</f>
        <v>David Jones</v>
      </c>
      <c r="F381" t="str">
        <f>IFERROR(__xludf.DUMMYFUNCTION("""COMPUTED_VALUE"""),"SF")</f>
        <v>SF</v>
      </c>
      <c r="G381" s="11">
        <f>IFERROR(__xludf.DUMMYFUNCTION("""COMPUTED_VALUE"""),-7.550294256301011)</f>
        <v>-7.550294256</v>
      </c>
      <c r="H381" s="11">
        <f>IFERROR(__xludf.DUMMYFUNCTION("""COMPUTED_VALUE"""),-7.550294256301011)</f>
        <v>-7.550294256</v>
      </c>
      <c r="I381" s="11">
        <f>IFERROR(__xludf.DUMMYFUNCTION("""COMPUTED_VALUE"""),0.0)</f>
        <v>0</v>
      </c>
      <c r="J381" s="11">
        <f>IFERROR(__xludf.DUMMYFUNCTION("""COMPUTED_VALUE"""),4.3)</f>
        <v>4.3</v>
      </c>
      <c r="K381" s="11">
        <f>IFERROR(__xludf.DUMMYFUNCTION("""COMPUTED_VALUE"""),0.5)</f>
        <v>0.5</v>
      </c>
      <c r="L381" s="11">
        <f>IFERROR(__xludf.DUMMYFUNCTION("""COMPUTED_VALUE"""),1.5)</f>
        <v>1.5</v>
      </c>
      <c r="M381" s="11">
        <f>IFERROR(__xludf.DUMMYFUNCTION("""COMPUTED_VALUE"""),0.4)</f>
        <v>0.4</v>
      </c>
      <c r="N381" s="11">
        <f>IFERROR(__xludf.DUMMYFUNCTION("""COMPUTED_VALUE"""),0.4)</f>
        <v>0.4</v>
      </c>
      <c r="O381" s="11">
        <f>IFERROR(__xludf.DUMMYFUNCTION("""COMPUTED_VALUE"""),0.1)</f>
        <v>0.1</v>
      </c>
      <c r="P381" s="15">
        <f>IFERROR(__xludf.DUMMYFUNCTION("""COMPUTED_VALUE"""),0.461)</f>
        <v>0.461</v>
      </c>
      <c r="Q381" s="15">
        <f>IFERROR(__xludf.DUMMYFUNCTION("""COMPUTED_VALUE"""),0.795)</f>
        <v>0.795</v>
      </c>
      <c r="R381" s="11">
        <f>IFERROR(__xludf.DUMMYFUNCTION("""COMPUTED_VALUE"""),0.6)</f>
        <v>0.6</v>
      </c>
      <c r="S381" s="11">
        <f>IFERROR(__xludf.DUMMYFUNCTION("""COMPUTED_VALUE"""),-2.3785721366467465)</f>
        <v>-2.378572137</v>
      </c>
      <c r="T381" s="11">
        <f>IFERROR(__xludf.DUMMYFUNCTION("""COMPUTED_VALUE"""),-1.2430650859171342)</f>
        <v>-1.243065086</v>
      </c>
      <c r="U381" s="11">
        <f>IFERROR(__xludf.DUMMYFUNCTION("""COMPUTED_VALUE"""),-1.7922035390144535)</f>
        <v>-1.792203539</v>
      </c>
      <c r="V381" s="11">
        <f>IFERROR(__xludf.DUMMYFUNCTION("""COMPUTED_VALUE"""),-1.610955578038197)</f>
        <v>-1.610955578</v>
      </c>
      <c r="W381" s="11">
        <f>IFERROR(__xludf.DUMMYFUNCTION("""COMPUTED_VALUE"""),-1.912459801316204)</f>
        <v>-1.912459801</v>
      </c>
      <c r="X381" s="11">
        <f>IFERROR(__xludf.DUMMYFUNCTION("""COMPUTED_VALUE"""),-1.150698449001903)</f>
        <v>-1.150698449</v>
      </c>
      <c r="Y381" s="11">
        <f>IFERROR(__xludf.DUMMYFUNCTION("""COMPUTED_VALUE"""),-0.1261569725665492)</f>
        <v>-0.1261569726</v>
      </c>
      <c r="Z381" s="11">
        <f>IFERROR(__xludf.DUMMYFUNCTION("""COMPUTED_VALUE"""),3.9635742593146367E-4)</f>
        <v>0.0003963574259</v>
      </c>
      <c r="AA381" s="11">
        <f>IFERROR(__xludf.DUMMYFUNCTION("""COMPUTED_VALUE"""),0.28484881212749996)</f>
        <v>0.2848488121</v>
      </c>
      <c r="AB381" t="str">
        <f>IFERROR(__xludf.DUMMYFUNCTION("SUBSTITUTE(REGEXREPLACE(REGEXREPLACE(REGEXREPLACE(REGEXREPLACE(REGEXREPLACE(REGEXREPLACE(F381,"","",),IF(Projections!$T$17="""",""PG"",),),IF(Projections!$U$17="""",""SG"",),),IF(Projections!$V$17="""",""SF"",),),IF(Projections!$W$17="""",""PF"",),),IF(Pr"&amp;"ojections!$X$17="""",""C"",),),""/"","""")"),"SF")</f>
        <v>SF</v>
      </c>
    </row>
    <row r="382">
      <c r="B382">
        <f>IFERROR(__xludf.DUMMYFUNCTION("""COMPUTED_VALUE"""),377.0)</f>
        <v>377</v>
      </c>
      <c r="D382" t="str">
        <f>IFERROR(__xludf.DUMMYFUNCTION("""COMPUTED_VALUE"""),"Baylor Scheierman")</f>
        <v>Baylor Scheierman</v>
      </c>
      <c r="F382" t="str">
        <f>IFERROR(__xludf.DUMMYFUNCTION("""COMPUTED_VALUE"""),"SG")</f>
        <v>SG</v>
      </c>
      <c r="G382" s="11">
        <f>IFERROR(__xludf.DUMMYFUNCTION("""COMPUTED_VALUE"""),-7.596060624789482)</f>
        <v>-7.596060625</v>
      </c>
      <c r="H382" s="11">
        <f>IFERROR(__xludf.DUMMYFUNCTION("""COMPUTED_VALUE"""),-7.596060624789482)</f>
        <v>-7.596060625</v>
      </c>
      <c r="I382" s="11">
        <f>IFERROR(__xludf.DUMMYFUNCTION("""COMPUTED_VALUE"""),0.0)</f>
        <v>0</v>
      </c>
      <c r="J382" s="11">
        <f>IFERROR(__xludf.DUMMYFUNCTION("""COMPUTED_VALUE"""),4.1)</f>
        <v>4.1</v>
      </c>
      <c r="K382" s="11">
        <f>IFERROR(__xludf.DUMMYFUNCTION("""COMPUTED_VALUE"""),0.7)</f>
        <v>0.7</v>
      </c>
      <c r="L382" s="11">
        <f>IFERROR(__xludf.DUMMYFUNCTION("""COMPUTED_VALUE"""),2.0)</f>
        <v>2</v>
      </c>
      <c r="M382" s="11">
        <f>IFERROR(__xludf.DUMMYFUNCTION("""COMPUTED_VALUE"""),0.9)</f>
        <v>0.9</v>
      </c>
      <c r="N382" s="11">
        <f>IFERROR(__xludf.DUMMYFUNCTION("""COMPUTED_VALUE"""),0.2)</f>
        <v>0.2</v>
      </c>
      <c r="O382" s="11">
        <f>IFERROR(__xludf.DUMMYFUNCTION("""COMPUTED_VALUE"""),0.0)</f>
        <v>0</v>
      </c>
      <c r="P382" s="15">
        <f>IFERROR(__xludf.DUMMYFUNCTION("""COMPUTED_VALUE"""),0.442)</f>
        <v>0.442</v>
      </c>
      <c r="Q382" s="15">
        <f>IFERROR(__xludf.DUMMYFUNCTION("""COMPUTED_VALUE"""),0.822)</f>
        <v>0.822</v>
      </c>
      <c r="R382" s="11">
        <f>IFERROR(__xludf.DUMMYFUNCTION("""COMPUTED_VALUE"""),0.5)</f>
        <v>0.5</v>
      </c>
      <c r="S382" s="11">
        <f>IFERROR(__xludf.DUMMYFUNCTION("""COMPUTED_VALUE"""),-2.414701740573279)</f>
        <v>-2.414701741</v>
      </c>
      <c r="T382" s="11">
        <f>IFERROR(__xludf.DUMMYFUNCTION("""COMPUTED_VALUE"""),-1.0440164878540512)</f>
        <v>-1.044016488</v>
      </c>
      <c r="U382" s="11">
        <f>IFERROR(__xludf.DUMMYFUNCTION("""COMPUTED_VALUE"""),-1.596071683389593)</f>
        <v>-1.596071683</v>
      </c>
      <c r="V382" s="11">
        <f>IFERROR(__xludf.DUMMYFUNCTION("""COMPUTED_VALUE"""),-1.3831467259275323)</f>
        <v>-1.383146726</v>
      </c>
      <c r="W382" s="11">
        <f>IFERROR(__xludf.DUMMYFUNCTION("""COMPUTED_VALUE"""),-2.576325157635163)</f>
        <v>-2.576325158</v>
      </c>
      <c r="X382" s="11">
        <f>IFERROR(__xludf.DUMMYFUNCTION("""COMPUTED_VALUE"""),-1.3290921510545592)</f>
        <v>-1.329092151</v>
      </c>
      <c r="Y382" s="11">
        <f>IFERROR(__xludf.DUMMYFUNCTION("""COMPUTED_VALUE"""),-0.20582509298072954)</f>
        <v>-0.205825093</v>
      </c>
      <c r="Z382" s="11">
        <f>IFERROR(__xludf.DUMMYFUNCTION("""COMPUTED_VALUE"""),0.0671462313867758)</f>
        <v>0.06714623139</v>
      </c>
      <c r="AA382" s="11">
        <f>IFERROR(__xludf.DUMMYFUNCTION("""COMPUTED_VALUE"""),0.3096470256034866)</f>
        <v>0.3096470256</v>
      </c>
      <c r="AB382" t="str">
        <f>IFERROR(__xludf.DUMMYFUNCTION("SUBSTITUTE(REGEXREPLACE(REGEXREPLACE(REGEXREPLACE(REGEXREPLACE(REGEXREPLACE(REGEXREPLACE(F382,"","",),IF(Projections!$T$17="""",""PG"",),),IF(Projections!$U$17="""",""SG"",),),IF(Projections!$V$17="""",""SF"",),),IF(Projections!$W$17="""",""PF"",),),IF(Pr"&amp;"ojections!$X$17="""",""C"",),),""/"","""")"),"SG")</f>
        <v>SG</v>
      </c>
    </row>
    <row r="383">
      <c r="B383">
        <f>IFERROR(__xludf.DUMMYFUNCTION("""COMPUTED_VALUE"""),378.0)</f>
        <v>378</v>
      </c>
      <c r="D383" t="str">
        <f>IFERROR(__xludf.DUMMYFUNCTION("""COMPUTED_VALUE"""),"Kris Murray")</f>
        <v>Kris Murray</v>
      </c>
      <c r="F383" t="str">
        <f>IFERROR(__xludf.DUMMYFUNCTION("""COMPUTED_VALUE"""),"SF,PF")</f>
        <v>SF,PF</v>
      </c>
      <c r="G383" s="11">
        <f>IFERROR(__xludf.DUMMYFUNCTION("""COMPUTED_VALUE"""),-7.629055713492605)</f>
        <v>-7.629055713</v>
      </c>
      <c r="H383" s="11">
        <f>IFERROR(__xludf.DUMMYFUNCTION("""COMPUTED_VALUE"""),-7.629055713492605)</f>
        <v>-7.629055713</v>
      </c>
      <c r="I383" s="11">
        <f>IFERROR(__xludf.DUMMYFUNCTION("""COMPUTED_VALUE"""),0.0)</f>
        <v>0</v>
      </c>
      <c r="J383" s="11">
        <f>IFERROR(__xludf.DUMMYFUNCTION("""COMPUTED_VALUE"""),3.2)</f>
        <v>3.2</v>
      </c>
      <c r="K383" s="11">
        <f>IFERROR(__xludf.DUMMYFUNCTION("""COMPUTED_VALUE"""),0.4)</f>
        <v>0.4</v>
      </c>
      <c r="L383" s="11">
        <f>IFERROR(__xludf.DUMMYFUNCTION("""COMPUTED_VALUE"""),1.9)</f>
        <v>1.9</v>
      </c>
      <c r="M383" s="11">
        <f>IFERROR(__xludf.DUMMYFUNCTION("""COMPUTED_VALUE"""),0.7)</f>
        <v>0.7</v>
      </c>
      <c r="N383" s="11">
        <f>IFERROR(__xludf.DUMMYFUNCTION("""COMPUTED_VALUE"""),0.4)</f>
        <v>0.4</v>
      </c>
      <c r="O383" s="11">
        <f>IFERROR(__xludf.DUMMYFUNCTION("""COMPUTED_VALUE"""),0.2)</f>
        <v>0.2</v>
      </c>
      <c r="P383" s="15">
        <f>IFERROR(__xludf.DUMMYFUNCTION("""COMPUTED_VALUE"""),0.397)</f>
        <v>0.397</v>
      </c>
      <c r="Q383" s="15">
        <f>IFERROR(__xludf.DUMMYFUNCTION("""COMPUTED_VALUE"""),0.66)</f>
        <v>0.66</v>
      </c>
      <c r="R383" s="11">
        <f>IFERROR(__xludf.DUMMYFUNCTION("""COMPUTED_VALUE"""),0.5)</f>
        <v>0.5</v>
      </c>
      <c r="S383" s="11">
        <f>IFERROR(__xludf.DUMMYFUNCTION("""COMPUTED_VALUE"""),-2.5772849582426756)</f>
        <v>-2.577284958</v>
      </c>
      <c r="T383" s="11">
        <f>IFERROR(__xludf.DUMMYFUNCTION("""COMPUTED_VALUE"""),-1.3425893849486756)</f>
        <v>-1.342589385</v>
      </c>
      <c r="U383" s="11">
        <f>IFERROR(__xludf.DUMMYFUNCTION("""COMPUTED_VALUE"""),-1.6352980545145652)</f>
        <v>-1.635298055</v>
      </c>
      <c r="V383" s="11">
        <f>IFERROR(__xludf.DUMMYFUNCTION("""COMPUTED_VALUE"""),-1.4742702667717982)</f>
        <v>-1.474270267</v>
      </c>
      <c r="W383" s="11">
        <f>IFERROR(__xludf.DUMMYFUNCTION("""COMPUTED_VALUE"""),-1.912459801316204)</f>
        <v>-1.912459801</v>
      </c>
      <c r="X383" s="11">
        <f>IFERROR(__xludf.DUMMYFUNCTION("""COMPUTED_VALUE"""),-0.9723047469492465)</f>
        <v>-0.9723047469</v>
      </c>
      <c r="Y383" s="11">
        <f>IFERROR(__xludf.DUMMYFUNCTION("""COMPUTED_VALUE"""),-0.36288718634003636)</f>
        <v>-0.3628871863</v>
      </c>
      <c r="Z383" s="11">
        <f>IFERROR(__xludf.DUMMYFUNCTION("""COMPUTED_VALUE"""),-0.23889329825556702)</f>
        <v>-0.2388932983</v>
      </c>
      <c r="AA383" s="11">
        <f>IFERROR(__xludf.DUMMYFUNCTION("""COMPUTED_VALUE"""),0.3096470256034866)</f>
        <v>0.3096470256</v>
      </c>
      <c r="AB383" t="str">
        <f>IFERROR(__xludf.DUMMYFUNCTION("SUBSTITUTE(REGEXREPLACE(REGEXREPLACE(REGEXREPLACE(REGEXREPLACE(REGEXREPLACE(REGEXREPLACE(F383,"","",),IF(Projections!$T$17="""",""PG"",),),IF(Projections!$U$17="""",""SG"",),),IF(Projections!$V$17="""",""SF"",),),IF(Projections!$W$17="""",""PF"",),),IF(Pr"&amp;"ojections!$X$17="""",""C"",),),""/"","""")"),"SFPF")</f>
        <v>SFPF</v>
      </c>
    </row>
    <row r="384">
      <c r="B384">
        <f>IFERROR(__xludf.DUMMYFUNCTION("""COMPUTED_VALUE"""),379.0)</f>
        <v>379</v>
      </c>
      <c r="D384" t="str">
        <f>IFERROR(__xludf.DUMMYFUNCTION("""COMPUTED_VALUE"""),"Isaiah Collier")</f>
        <v>Isaiah Collier</v>
      </c>
      <c r="F384" t="str">
        <f>IFERROR(__xludf.DUMMYFUNCTION("""COMPUTED_VALUE"""),"PG")</f>
        <v>PG</v>
      </c>
      <c r="G384" s="11">
        <f>IFERROR(__xludf.DUMMYFUNCTION("""COMPUTED_VALUE"""),-7.638709168588897)</f>
        <v>-7.638709169</v>
      </c>
      <c r="H384" s="11">
        <f>IFERROR(__xludf.DUMMYFUNCTION("""COMPUTED_VALUE"""),-7.638709168588897)</f>
        <v>-7.638709169</v>
      </c>
      <c r="I384" s="11">
        <f>IFERROR(__xludf.DUMMYFUNCTION("""COMPUTED_VALUE"""),0.0)</f>
        <v>0</v>
      </c>
      <c r="J384" s="11">
        <f>IFERROR(__xludf.DUMMYFUNCTION("""COMPUTED_VALUE"""),6.3)</f>
        <v>6.3</v>
      </c>
      <c r="K384" s="11">
        <f>IFERROR(__xludf.DUMMYFUNCTION("""COMPUTED_VALUE"""),0.4)</f>
        <v>0.4</v>
      </c>
      <c r="L384" s="11">
        <f>IFERROR(__xludf.DUMMYFUNCTION("""COMPUTED_VALUE"""),1.1)</f>
        <v>1.1</v>
      </c>
      <c r="M384" s="11">
        <f>IFERROR(__xludf.DUMMYFUNCTION("""COMPUTED_VALUE"""),1.7)</f>
        <v>1.7</v>
      </c>
      <c r="N384" s="11">
        <f>IFERROR(__xludf.DUMMYFUNCTION("""COMPUTED_VALUE"""),0.6)</f>
        <v>0.6</v>
      </c>
      <c r="O384" s="11">
        <f>IFERROR(__xludf.DUMMYFUNCTION("""COMPUTED_VALUE"""),0.1)</f>
        <v>0.1</v>
      </c>
      <c r="P384" s="15">
        <f>IFERROR(__xludf.DUMMYFUNCTION("""COMPUTED_VALUE"""),0.491)</f>
        <v>0.491</v>
      </c>
      <c r="Q384" s="15">
        <f>IFERROR(__xludf.DUMMYFUNCTION("""COMPUTED_VALUE"""),0.671)</f>
        <v>0.671</v>
      </c>
      <c r="R384" s="11">
        <f>IFERROR(__xludf.DUMMYFUNCTION("""COMPUTED_VALUE"""),1.3)</f>
        <v>1.3</v>
      </c>
      <c r="S384" s="11">
        <f>IFERROR(__xludf.DUMMYFUNCTION("""COMPUTED_VALUE"""),-2.017276097381422)</f>
        <v>-2.017276097</v>
      </c>
      <c r="T384" s="11">
        <f>IFERROR(__xludf.DUMMYFUNCTION("""COMPUTED_VALUE"""),-1.3425893849486756)</f>
        <v>-1.342589385</v>
      </c>
      <c r="U384" s="11">
        <f>IFERROR(__xludf.DUMMYFUNCTION("""COMPUTED_VALUE"""),-1.9491090235143418)</f>
        <v>-1.949109024</v>
      </c>
      <c r="V384" s="11">
        <f>IFERROR(__xludf.DUMMYFUNCTION("""COMPUTED_VALUE"""),-1.0186525625504688)</f>
        <v>-1.018652563</v>
      </c>
      <c r="W384" s="11">
        <f>IFERROR(__xludf.DUMMYFUNCTION("""COMPUTED_VALUE"""),-1.2485944449972455)</f>
        <v>-1.248594445</v>
      </c>
      <c r="X384" s="11">
        <f>IFERROR(__xludf.DUMMYFUNCTION("""COMPUTED_VALUE"""),-1.150698449001903)</f>
        <v>-1.150698449</v>
      </c>
      <c r="Y384" s="11">
        <f>IFERROR(__xludf.DUMMYFUNCTION("""COMPUTED_VALUE"""),-0.031015335448254956)</f>
        <v>-0.03101533545</v>
      </c>
      <c r="Z384" s="11">
        <f>IFERROR(__xludf.DUMMYFUNCTION("""COMPUTED_VALUE"""),-1.0093112859236009)</f>
        <v>-1.009311286</v>
      </c>
      <c r="AA384" s="11">
        <f>IFERROR(__xludf.DUMMYFUNCTION("""COMPUTED_VALUE"""),0.11126131779559338)</f>
        <v>0.1112613178</v>
      </c>
      <c r="AB384" t="str">
        <f>IFERROR(__xludf.DUMMYFUNCTION("SUBSTITUTE(REGEXREPLACE(REGEXREPLACE(REGEXREPLACE(REGEXREPLACE(REGEXREPLACE(REGEXREPLACE(F384,"","",),IF(Projections!$T$17="""",""PG"",),),IF(Projections!$U$17="""",""SG"",),),IF(Projections!$V$17="""",""SF"",),),IF(Projections!$W$17="""",""PF"",),),IF(Pr"&amp;"ojections!$X$17="""",""C"",),),""/"","""")"),"PG")</f>
        <v>PG</v>
      </c>
    </row>
    <row r="385">
      <c r="B385">
        <f>IFERROR(__xludf.DUMMYFUNCTION("""COMPUTED_VALUE"""),380.0)</f>
        <v>380</v>
      </c>
      <c r="D385" t="str">
        <f>IFERROR(__xludf.DUMMYFUNCTION("""COMPUTED_VALUE"""),"Caleb Houstan")</f>
        <v>Caleb Houstan</v>
      </c>
      <c r="F385" t="str">
        <f>IFERROR(__xludf.DUMMYFUNCTION("""COMPUTED_VALUE"""),"SG,SF")</f>
        <v>SG,SF</v>
      </c>
      <c r="G385" s="11">
        <f>IFERROR(__xludf.DUMMYFUNCTION("""COMPUTED_VALUE"""),-7.651514508307443)</f>
        <v>-7.651514508</v>
      </c>
      <c r="H385" s="11">
        <f>IFERROR(__xludf.DUMMYFUNCTION("""COMPUTED_VALUE"""),-7.651514508307443)</f>
        <v>-7.651514508</v>
      </c>
      <c r="I385" s="11">
        <f>IFERROR(__xludf.DUMMYFUNCTION("""COMPUTED_VALUE"""),0.0)</f>
        <v>0</v>
      </c>
      <c r="J385" s="11">
        <f>IFERROR(__xludf.DUMMYFUNCTION("""COMPUTED_VALUE"""),4.0)</f>
        <v>4</v>
      </c>
      <c r="K385" s="11">
        <f>IFERROR(__xludf.DUMMYFUNCTION("""COMPUTED_VALUE"""),1.1)</f>
        <v>1.1</v>
      </c>
      <c r="L385" s="11">
        <f>IFERROR(__xludf.DUMMYFUNCTION("""COMPUTED_VALUE"""),1.6)</f>
        <v>1.6</v>
      </c>
      <c r="M385" s="11">
        <f>IFERROR(__xludf.DUMMYFUNCTION("""COMPUTED_VALUE"""),0.5)</f>
        <v>0.5</v>
      </c>
      <c r="N385" s="11">
        <f>IFERROR(__xludf.DUMMYFUNCTION("""COMPUTED_VALUE"""),0.2)</f>
        <v>0.2</v>
      </c>
      <c r="O385" s="11">
        <f>IFERROR(__xludf.DUMMYFUNCTION("""COMPUTED_VALUE"""),0.1)</f>
        <v>0.1</v>
      </c>
      <c r="P385" s="15">
        <f>IFERROR(__xludf.DUMMYFUNCTION("""COMPUTED_VALUE"""),0.375)</f>
        <v>0.375</v>
      </c>
      <c r="Q385" s="15">
        <f>IFERROR(__xludf.DUMMYFUNCTION("""COMPUTED_VALUE"""),0.821)</f>
        <v>0.821</v>
      </c>
      <c r="R385" s="11">
        <f>IFERROR(__xludf.DUMMYFUNCTION("""COMPUTED_VALUE"""),0.3)</f>
        <v>0.3</v>
      </c>
      <c r="S385" s="11">
        <f>IFERROR(__xludf.DUMMYFUNCTION("""COMPUTED_VALUE"""),-2.4327665425365455)</f>
        <v>-2.432766543</v>
      </c>
      <c r="T385" s="11">
        <f>IFERROR(__xludf.DUMMYFUNCTION("""COMPUTED_VALUE"""),-0.645919291727885)</f>
        <v>-0.6459192917</v>
      </c>
      <c r="U385" s="11">
        <f>IFERROR(__xludf.DUMMYFUNCTION("""COMPUTED_VALUE"""),-1.7529771678894812)</f>
        <v>-1.752977168</v>
      </c>
      <c r="V385" s="11">
        <f>IFERROR(__xludf.DUMMYFUNCTION("""COMPUTED_VALUE"""),-1.565393807616064)</f>
        <v>-1.565393808</v>
      </c>
      <c r="W385" s="11">
        <f>IFERROR(__xludf.DUMMYFUNCTION("""COMPUTED_VALUE"""),-2.576325157635163)</f>
        <v>-2.576325158</v>
      </c>
      <c r="X385" s="11">
        <f>IFERROR(__xludf.DUMMYFUNCTION("""COMPUTED_VALUE"""),-1.150698449001903)</f>
        <v>-1.150698449</v>
      </c>
      <c r="Y385" s="11">
        <f>IFERROR(__xludf.DUMMYFUNCTION("""COMPUTED_VALUE"""),-0.49995540980076875)</f>
        <v>-0.4999554098</v>
      </c>
      <c r="Z385" s="11">
        <f>IFERROR(__xludf.DUMMYFUNCTION("""COMPUTED_VALUE"""),0.03695270770974642)</f>
        <v>0.03695270771</v>
      </c>
      <c r="AA385" s="11">
        <f>IFERROR(__xludf.DUMMYFUNCTION("""COMPUTED_VALUE"""),0.3592434525554599)</f>
        <v>0.3592434526</v>
      </c>
      <c r="AB385" t="str">
        <f>IFERROR(__xludf.DUMMYFUNCTION("SUBSTITUTE(REGEXREPLACE(REGEXREPLACE(REGEXREPLACE(REGEXREPLACE(REGEXREPLACE(REGEXREPLACE(F385,"","",),IF(Projections!$T$17="""",""PG"",),),IF(Projections!$U$17="""",""SG"",),),IF(Projections!$V$17="""",""SF"",),),IF(Projections!$W$17="""",""PF"",),),IF(Pr"&amp;"ojections!$X$17="""",""C"",),),""/"","""")"),"SGSF")</f>
        <v>SGSF</v>
      </c>
    </row>
    <row r="386">
      <c r="B386">
        <f>IFERROR(__xludf.DUMMYFUNCTION("""COMPUTED_VALUE"""),381.0)</f>
        <v>381</v>
      </c>
      <c r="D386" t="str">
        <f>IFERROR(__xludf.DUMMYFUNCTION("""COMPUTED_VALUE"""),"Garrett Temple")</f>
        <v>Garrett Temple</v>
      </c>
      <c r="F386" t="str">
        <f>IFERROR(__xludf.DUMMYFUNCTION("""COMPUTED_VALUE"""),"SG")</f>
        <v>SG</v>
      </c>
      <c r="G386" s="11">
        <f>IFERROR(__xludf.DUMMYFUNCTION("""COMPUTED_VALUE"""),-7.652039700384675)</f>
        <v>-7.6520397</v>
      </c>
      <c r="H386" s="11">
        <f>IFERROR(__xludf.DUMMYFUNCTION("""COMPUTED_VALUE"""),-7.652039700384675)</f>
        <v>-7.6520397</v>
      </c>
      <c r="I386" s="11">
        <f>IFERROR(__xludf.DUMMYFUNCTION("""COMPUTED_VALUE"""),0.0)</f>
        <v>0</v>
      </c>
      <c r="J386" s="11">
        <f>IFERROR(__xludf.DUMMYFUNCTION("""COMPUTED_VALUE"""),2.6)</f>
        <v>2.6</v>
      </c>
      <c r="K386" s="11">
        <f>IFERROR(__xludf.DUMMYFUNCTION("""COMPUTED_VALUE"""),0.4)</f>
        <v>0.4</v>
      </c>
      <c r="L386" s="11">
        <f>IFERROR(__xludf.DUMMYFUNCTION("""COMPUTED_VALUE"""),1.2)</f>
        <v>1.2</v>
      </c>
      <c r="M386" s="11">
        <f>IFERROR(__xludf.DUMMYFUNCTION("""COMPUTED_VALUE"""),0.8)</f>
        <v>0.8</v>
      </c>
      <c r="N386" s="11">
        <f>IFERROR(__xludf.DUMMYFUNCTION("""COMPUTED_VALUE"""),0.4)</f>
        <v>0.4</v>
      </c>
      <c r="O386" s="11">
        <f>IFERROR(__xludf.DUMMYFUNCTION("""COMPUTED_VALUE"""),0.1)</f>
        <v>0.1</v>
      </c>
      <c r="P386" s="15">
        <f>IFERROR(__xludf.DUMMYFUNCTION("""COMPUTED_VALUE"""),0.384)</f>
        <v>0.384</v>
      </c>
      <c r="Q386" s="15">
        <f>IFERROR(__xludf.DUMMYFUNCTION("""COMPUTED_VALUE"""),0.816)</f>
        <v>0.816</v>
      </c>
      <c r="R386" s="11">
        <f>IFERROR(__xludf.DUMMYFUNCTION("""COMPUTED_VALUE"""),0.3)</f>
        <v>0.3</v>
      </c>
      <c r="S386" s="11">
        <f>IFERROR(__xludf.DUMMYFUNCTION("""COMPUTED_VALUE"""),-2.6856737700222726)</f>
        <v>-2.68567377</v>
      </c>
      <c r="T386" s="11">
        <f>IFERROR(__xludf.DUMMYFUNCTION("""COMPUTED_VALUE"""),-1.3425893849486756)</f>
        <v>-1.342589385</v>
      </c>
      <c r="U386" s="11">
        <f>IFERROR(__xludf.DUMMYFUNCTION("""COMPUTED_VALUE"""),-1.90988265238937)</f>
        <v>-1.909882652</v>
      </c>
      <c r="V386" s="11">
        <f>IFERROR(__xludf.DUMMYFUNCTION("""COMPUTED_VALUE"""),-1.428708496349665)</f>
        <v>-1.428708496</v>
      </c>
      <c r="W386" s="11">
        <f>IFERROR(__xludf.DUMMYFUNCTION("""COMPUTED_VALUE"""),-1.912459801316204)</f>
        <v>-1.912459801</v>
      </c>
      <c r="X386" s="11">
        <f>IFERROR(__xludf.DUMMYFUNCTION("""COMPUTED_VALUE"""),-1.150698449001903)</f>
        <v>-1.150698449</v>
      </c>
      <c r="Y386" s="11">
        <f>IFERROR(__xludf.DUMMYFUNCTION("""COMPUTED_VALUE"""),-0.3042817075189312)</f>
        <v>-0.3042817075</v>
      </c>
      <c r="Z386" s="11">
        <f>IFERROR(__xludf.DUMMYFUNCTION("""COMPUTED_VALUE"""),0.03733733858461313)</f>
        <v>0.03733733858</v>
      </c>
      <c r="AA386" s="11">
        <f>IFERROR(__xludf.DUMMYFUNCTION("""COMPUTED_VALUE"""),0.3592434525554599)</f>
        <v>0.3592434526</v>
      </c>
      <c r="AB386" t="str">
        <f>IFERROR(__xludf.DUMMYFUNCTION("SUBSTITUTE(REGEXREPLACE(REGEXREPLACE(REGEXREPLACE(REGEXREPLACE(REGEXREPLACE(REGEXREPLACE(F386,"","",),IF(Projections!$T$17="""",""PG"",),),IF(Projections!$U$17="""",""SG"",),),IF(Projections!$V$17="""",""SF"",),),IF(Projections!$W$17="""",""PF"",),),IF(Pr"&amp;"ojections!$X$17="""",""C"",),),""/"","""")"),"SG")</f>
        <v>SG</v>
      </c>
    </row>
    <row r="387">
      <c r="B387">
        <f>IFERROR(__xludf.DUMMYFUNCTION("""COMPUTED_VALUE"""),382.0)</f>
        <v>382</v>
      </c>
      <c r="D387" t="str">
        <f>IFERROR(__xludf.DUMMYFUNCTION("""COMPUTED_VALUE"""),"Pelle Larsson")</f>
        <v>Pelle Larsson</v>
      </c>
      <c r="F387" t="str">
        <f>IFERROR(__xludf.DUMMYFUNCTION("""COMPUTED_VALUE"""),"SG")</f>
        <v>SG</v>
      </c>
      <c r="G387" s="11">
        <f>IFERROR(__xludf.DUMMYFUNCTION("""COMPUTED_VALUE"""),-7.659014068006987)</f>
        <v>-7.659014068</v>
      </c>
      <c r="H387" s="11">
        <f>IFERROR(__xludf.DUMMYFUNCTION("""COMPUTED_VALUE"""),-7.659014068006987)</f>
        <v>-7.659014068</v>
      </c>
      <c r="I387" s="11">
        <f>IFERROR(__xludf.DUMMYFUNCTION("""COMPUTED_VALUE"""),0.0)</f>
        <v>0</v>
      </c>
      <c r="J387" s="11">
        <f>IFERROR(__xludf.DUMMYFUNCTION("""COMPUTED_VALUE"""),4.0)</f>
        <v>4</v>
      </c>
      <c r="K387" s="11">
        <f>IFERROR(__xludf.DUMMYFUNCTION("""COMPUTED_VALUE"""),0.4)</f>
        <v>0.4</v>
      </c>
      <c r="L387" s="11">
        <f>IFERROR(__xludf.DUMMYFUNCTION("""COMPUTED_VALUE"""),1.3)</f>
        <v>1.3</v>
      </c>
      <c r="M387" s="11">
        <f>IFERROR(__xludf.DUMMYFUNCTION("""COMPUTED_VALUE"""),1.2)</f>
        <v>1.2</v>
      </c>
      <c r="N387" s="11">
        <f>IFERROR(__xludf.DUMMYFUNCTION("""COMPUTED_VALUE"""),0.3)</f>
        <v>0.3</v>
      </c>
      <c r="O387" s="11">
        <f>IFERROR(__xludf.DUMMYFUNCTION("""COMPUTED_VALUE"""),0.1)</f>
        <v>0.1</v>
      </c>
      <c r="P387" s="15">
        <f>IFERROR(__xludf.DUMMYFUNCTION("""COMPUTED_VALUE"""),0.519)</f>
        <v>0.519</v>
      </c>
      <c r="Q387" s="15">
        <f>IFERROR(__xludf.DUMMYFUNCTION("""COMPUTED_VALUE"""),0.75)</f>
        <v>0.75</v>
      </c>
      <c r="R387" s="11">
        <f>IFERROR(__xludf.DUMMYFUNCTION("""COMPUTED_VALUE"""),0.6)</f>
        <v>0.6</v>
      </c>
      <c r="S387" s="11">
        <f>IFERROR(__xludf.DUMMYFUNCTION("""COMPUTED_VALUE"""),-2.4327665425365455)</f>
        <v>-2.432766543</v>
      </c>
      <c r="T387" s="11">
        <f>IFERROR(__xludf.DUMMYFUNCTION("""COMPUTED_VALUE"""),-1.3425893849486756)</f>
        <v>-1.342589385</v>
      </c>
      <c r="U387" s="11">
        <f>IFERROR(__xludf.DUMMYFUNCTION("""COMPUTED_VALUE"""),-1.8706562812643979)</f>
        <v>-1.870656281</v>
      </c>
      <c r="V387" s="11">
        <f>IFERROR(__xludf.DUMMYFUNCTION("""COMPUTED_VALUE"""),-1.2464614146611335)</f>
        <v>-1.246461415</v>
      </c>
      <c r="W387" s="11">
        <f>IFERROR(__xludf.DUMMYFUNCTION("""COMPUTED_VALUE"""),-2.2443924794756835)</f>
        <v>-2.244392479</v>
      </c>
      <c r="X387" s="11">
        <f>IFERROR(__xludf.DUMMYFUNCTION("""COMPUTED_VALUE"""),-1.150698449001903)</f>
        <v>-1.150698449</v>
      </c>
      <c r="Y387" s="11">
        <f>IFERROR(__xludf.DUMMYFUNCTION("""COMPUTED_VALUE"""),0.06999406783592575)</f>
        <v>0.06999406784</v>
      </c>
      <c r="Z387" s="11">
        <f>IFERROR(__xludf.DUMMYFUNCTION("""COMPUTED_VALUE"""),-0.15905893861861842)</f>
        <v>-0.1590589386</v>
      </c>
      <c r="AA387" s="11">
        <f>IFERROR(__xludf.DUMMYFUNCTION("""COMPUTED_VALUE"""),0.28484881212749996)</f>
        <v>0.2848488121</v>
      </c>
      <c r="AB387" t="str">
        <f>IFERROR(__xludf.DUMMYFUNCTION("SUBSTITUTE(REGEXREPLACE(REGEXREPLACE(REGEXREPLACE(REGEXREPLACE(REGEXREPLACE(REGEXREPLACE(F387,"","",),IF(Projections!$T$17="""",""PG"",),),IF(Projections!$U$17="""",""SG"",),),IF(Projections!$V$17="""",""SF"",),),IF(Projections!$W$17="""",""PF"",),),IF(Pr"&amp;"ojections!$X$17="""",""C"",),),""/"","""")"),"SG")</f>
        <v>SG</v>
      </c>
    </row>
    <row r="388">
      <c r="B388">
        <f>IFERROR(__xludf.DUMMYFUNCTION("""COMPUTED_VALUE"""),383.0)</f>
        <v>383</v>
      </c>
      <c r="D388" t="str">
        <f>IFERROR(__xludf.DUMMYFUNCTION("""COMPUTED_VALUE"""),"Cody Williams")</f>
        <v>Cody Williams</v>
      </c>
      <c r="F388" t="str">
        <f>IFERROR(__xludf.DUMMYFUNCTION("""COMPUTED_VALUE"""),"SF")</f>
        <v>SF</v>
      </c>
      <c r="G388" s="11">
        <f>IFERROR(__xludf.DUMMYFUNCTION("""COMPUTED_VALUE"""),-7.673246886302486)</f>
        <v>-7.673246886</v>
      </c>
      <c r="H388" s="11">
        <f>IFERROR(__xludf.DUMMYFUNCTION("""COMPUTED_VALUE"""),-7.673246886302486)</f>
        <v>-7.673246886</v>
      </c>
      <c r="I388" s="11">
        <f>IFERROR(__xludf.DUMMYFUNCTION("""COMPUTED_VALUE"""),0.0)</f>
        <v>0</v>
      </c>
      <c r="J388" s="11">
        <f>IFERROR(__xludf.DUMMYFUNCTION("""COMPUTED_VALUE"""),5.5)</f>
        <v>5.5</v>
      </c>
      <c r="K388" s="11">
        <f>IFERROR(__xludf.DUMMYFUNCTION("""COMPUTED_VALUE"""),0.3)</f>
        <v>0.3</v>
      </c>
      <c r="L388" s="11">
        <f>IFERROR(__xludf.DUMMYFUNCTION("""COMPUTED_VALUE"""),1.4)</f>
        <v>1.4</v>
      </c>
      <c r="M388" s="11">
        <f>IFERROR(__xludf.DUMMYFUNCTION("""COMPUTED_VALUE"""),0.7)</f>
        <v>0.7</v>
      </c>
      <c r="N388" s="11">
        <f>IFERROR(__xludf.DUMMYFUNCTION("""COMPUTED_VALUE"""),0.3)</f>
        <v>0.3</v>
      </c>
      <c r="O388" s="11">
        <f>IFERROR(__xludf.DUMMYFUNCTION("""COMPUTED_VALUE"""),0.3)</f>
        <v>0.3</v>
      </c>
      <c r="P388" s="15">
        <f>IFERROR(__xludf.DUMMYFUNCTION("""COMPUTED_VALUE"""),0.552)</f>
        <v>0.552</v>
      </c>
      <c r="Q388" s="15">
        <f>IFERROR(__xludf.DUMMYFUNCTION("""COMPUTED_VALUE"""),0.716)</f>
        <v>0.716</v>
      </c>
      <c r="R388" s="11">
        <f>IFERROR(__xludf.DUMMYFUNCTION("""COMPUTED_VALUE"""),0.9)</f>
        <v>0.9</v>
      </c>
      <c r="S388" s="11">
        <f>IFERROR(__xludf.DUMMYFUNCTION("""COMPUTED_VALUE"""),-2.161794513087552)</f>
        <v>-2.161794513</v>
      </c>
      <c r="T388" s="11">
        <f>IFERROR(__xludf.DUMMYFUNCTION("""COMPUTED_VALUE"""),-1.442113683980217)</f>
        <v>-1.442113684</v>
      </c>
      <c r="U388" s="11">
        <f>IFERROR(__xludf.DUMMYFUNCTION("""COMPUTED_VALUE"""),-1.8314299101394258)</f>
        <v>-1.83142991</v>
      </c>
      <c r="V388" s="11">
        <f>IFERROR(__xludf.DUMMYFUNCTION("""COMPUTED_VALUE"""),-1.4742702667717982)</f>
        <v>-1.474270267</v>
      </c>
      <c r="W388" s="11">
        <f>IFERROR(__xludf.DUMMYFUNCTION("""COMPUTED_VALUE"""),-2.2443924794756835)</f>
        <v>-2.244392479</v>
      </c>
      <c r="X388" s="11">
        <f>IFERROR(__xludf.DUMMYFUNCTION("""COMPUTED_VALUE"""),-0.7939110448965904)</f>
        <v>-0.7939110449</v>
      </c>
      <c r="Y388" s="11">
        <f>IFERROR(__xludf.DUMMYFUNCTION("""COMPUTED_VALUE"""),0.23901910827391004)</f>
        <v>0.2390191083</v>
      </c>
      <c r="Z388" s="11">
        <f>IFERROR(__xludf.DUMMYFUNCTION("""COMPUTED_VALUE"""),-0.41920074740035335)</f>
        <v>-0.4192007474</v>
      </c>
      <c r="AA388" s="11">
        <f>IFERROR(__xludf.DUMMYFUNCTION("""COMPUTED_VALUE"""),0.21045417169954)</f>
        <v>0.2104541717</v>
      </c>
      <c r="AB388" t="str">
        <f>IFERROR(__xludf.DUMMYFUNCTION("SUBSTITUTE(REGEXREPLACE(REGEXREPLACE(REGEXREPLACE(REGEXREPLACE(REGEXREPLACE(REGEXREPLACE(F388,"","",),IF(Projections!$T$17="""",""PG"",),),IF(Projections!$U$17="""",""SG"",),),IF(Projections!$V$17="""",""SF"",),),IF(Projections!$W$17="""",""PF"",),),IF(Pr"&amp;"ojections!$X$17="""",""C"",),),""/"","""")"),"SF")</f>
        <v>SF</v>
      </c>
    </row>
    <row r="389">
      <c r="B389">
        <f>IFERROR(__xludf.DUMMYFUNCTION("""COMPUTED_VALUE"""),384.0)</f>
        <v>384</v>
      </c>
      <c r="D389" t="str">
        <f>IFERROR(__xludf.DUMMYFUNCTION("""COMPUTED_VALUE"""),"Matt Ryan")</f>
        <v>Matt Ryan</v>
      </c>
      <c r="F389" t="str">
        <f>IFERROR(__xludf.DUMMYFUNCTION("""COMPUTED_VALUE"""),"SF")</f>
        <v>SF</v>
      </c>
      <c r="G389" s="11">
        <f>IFERROR(__xludf.DUMMYFUNCTION("""COMPUTED_VALUE"""),-7.687408647289869)</f>
        <v>-7.687408647</v>
      </c>
      <c r="H389" s="11">
        <f>IFERROR(__xludf.DUMMYFUNCTION("""COMPUTED_VALUE"""),-7.687408647289869)</f>
        <v>-7.687408647</v>
      </c>
      <c r="I389" s="11">
        <f>IFERROR(__xludf.DUMMYFUNCTION("""COMPUTED_VALUE"""),0.0)</f>
        <v>0</v>
      </c>
      <c r="J389" s="11">
        <f>IFERROR(__xludf.DUMMYFUNCTION("""COMPUTED_VALUE"""),4.4)</f>
        <v>4.4</v>
      </c>
      <c r="K389" s="11">
        <f>IFERROR(__xludf.DUMMYFUNCTION("""COMPUTED_VALUE"""),1.2)</f>
        <v>1.2</v>
      </c>
      <c r="L389" s="11">
        <f>IFERROR(__xludf.DUMMYFUNCTION("""COMPUTED_VALUE"""),1.1)</f>
        <v>1.1</v>
      </c>
      <c r="M389" s="11">
        <f>IFERROR(__xludf.DUMMYFUNCTION("""COMPUTED_VALUE"""),0.5)</f>
        <v>0.5</v>
      </c>
      <c r="N389" s="11">
        <f>IFERROR(__xludf.DUMMYFUNCTION("""COMPUTED_VALUE"""),0.2)</f>
        <v>0.2</v>
      </c>
      <c r="O389" s="11">
        <f>IFERROR(__xludf.DUMMYFUNCTION("""COMPUTED_VALUE"""),0.0)</f>
        <v>0</v>
      </c>
      <c r="P389" s="15">
        <f>IFERROR(__xludf.DUMMYFUNCTION("""COMPUTED_VALUE"""),0.401)</f>
        <v>0.401</v>
      </c>
      <c r="Q389" s="15">
        <f>IFERROR(__xludf.DUMMYFUNCTION("""COMPUTED_VALUE"""),0.881)</f>
        <v>0.881</v>
      </c>
      <c r="R389" s="11">
        <f>IFERROR(__xludf.DUMMYFUNCTION("""COMPUTED_VALUE"""),0.4)</f>
        <v>0.4</v>
      </c>
      <c r="S389" s="11">
        <f>IFERROR(__xludf.DUMMYFUNCTION("""COMPUTED_VALUE"""),-2.36050733468348)</f>
        <v>-2.360507335</v>
      </c>
      <c r="T389" s="11">
        <f>IFERROR(__xludf.DUMMYFUNCTION("""COMPUTED_VALUE"""),-0.5463949926963436)</f>
        <v>-0.5463949927</v>
      </c>
      <c r="U389" s="11">
        <f>IFERROR(__xludf.DUMMYFUNCTION("""COMPUTED_VALUE"""),-1.9491090235143418)</f>
        <v>-1.949109024</v>
      </c>
      <c r="V389" s="11">
        <f>IFERROR(__xludf.DUMMYFUNCTION("""COMPUTED_VALUE"""),-1.565393807616064)</f>
        <v>-1.565393808</v>
      </c>
      <c r="W389" s="11">
        <f>IFERROR(__xludf.DUMMYFUNCTION("""COMPUTED_VALUE"""),-2.576325157635163)</f>
        <v>-2.576325158</v>
      </c>
      <c r="X389" s="11">
        <f>IFERROR(__xludf.DUMMYFUNCTION("""COMPUTED_VALUE"""),-1.3290921510545592)</f>
        <v>-1.329092151</v>
      </c>
      <c r="Y389" s="11">
        <f>IFERROR(__xludf.DUMMYFUNCTION("""COMPUTED_VALUE"""),-0.3933033266189703)</f>
        <v>-0.3933033266</v>
      </c>
      <c r="Z389" s="11">
        <f>IFERROR(__xludf.DUMMYFUNCTION("""COMPUTED_VALUE"""),0.12194674981441737)</f>
        <v>0.1219467498</v>
      </c>
      <c r="AA389" s="11">
        <f>IFERROR(__xludf.DUMMYFUNCTION("""COMPUTED_VALUE"""),0.3344452390794733)</f>
        <v>0.3344452391</v>
      </c>
      <c r="AB389" t="str">
        <f>IFERROR(__xludf.DUMMYFUNCTION("SUBSTITUTE(REGEXREPLACE(REGEXREPLACE(REGEXREPLACE(REGEXREPLACE(REGEXREPLACE(REGEXREPLACE(F389,"","",),IF(Projections!$T$17="""",""PG"",),),IF(Projections!$U$17="""",""SG"",),),IF(Projections!$V$17="""",""SF"",),),IF(Projections!$W$17="""",""PF"",),),IF(Pr"&amp;"ojections!$X$17="""",""C"",),),""/"","""")"),"SF")</f>
        <v>SF</v>
      </c>
    </row>
    <row r="390">
      <c r="B390">
        <f>IFERROR(__xludf.DUMMYFUNCTION("""COMPUTED_VALUE"""),385.0)</f>
        <v>385</v>
      </c>
      <c r="D390" t="str">
        <f>IFERROR(__xludf.DUMMYFUNCTION("""COMPUTED_VALUE"""),"Keita Bates-Diop")</f>
        <v>Keita Bates-Diop</v>
      </c>
      <c r="F390" t="str">
        <f>IFERROR(__xludf.DUMMYFUNCTION("""COMPUTED_VALUE"""),"SF,PF")</f>
        <v>SF,PF</v>
      </c>
      <c r="G390" s="11">
        <f>IFERROR(__xludf.DUMMYFUNCTION("""COMPUTED_VALUE"""),-7.690789223463019)</f>
        <v>-7.690789223</v>
      </c>
      <c r="H390" s="11">
        <f>IFERROR(__xludf.DUMMYFUNCTION("""COMPUTED_VALUE"""),-7.690789223463019)</f>
        <v>-7.690789223</v>
      </c>
      <c r="I390" s="11">
        <f>IFERROR(__xludf.DUMMYFUNCTION("""COMPUTED_VALUE"""),0.0)</f>
        <v>0</v>
      </c>
      <c r="J390" s="11">
        <f>IFERROR(__xludf.DUMMYFUNCTION("""COMPUTED_VALUE"""),3.5)</f>
        <v>3.5</v>
      </c>
      <c r="K390" s="11">
        <f>IFERROR(__xludf.DUMMYFUNCTION("""COMPUTED_VALUE"""),0.3)</f>
        <v>0.3</v>
      </c>
      <c r="L390" s="11">
        <f>IFERROR(__xludf.DUMMYFUNCTION("""COMPUTED_VALUE"""),1.5)</f>
        <v>1.5</v>
      </c>
      <c r="M390" s="11">
        <f>IFERROR(__xludf.DUMMYFUNCTION("""COMPUTED_VALUE"""),0.6)</f>
        <v>0.6</v>
      </c>
      <c r="N390" s="11">
        <f>IFERROR(__xludf.DUMMYFUNCTION("""COMPUTED_VALUE"""),0.3)</f>
        <v>0.3</v>
      </c>
      <c r="O390" s="11">
        <f>IFERROR(__xludf.DUMMYFUNCTION("""COMPUTED_VALUE"""),0.2)</f>
        <v>0.2</v>
      </c>
      <c r="P390" s="15">
        <f>IFERROR(__xludf.DUMMYFUNCTION("""COMPUTED_VALUE"""),0.487)</f>
        <v>0.487</v>
      </c>
      <c r="Q390" s="15">
        <f>IFERROR(__xludf.DUMMYFUNCTION("""COMPUTED_VALUE"""),0.778)</f>
        <v>0.778</v>
      </c>
      <c r="R390" s="11">
        <f>IFERROR(__xludf.DUMMYFUNCTION("""COMPUTED_VALUE"""),0.3)</f>
        <v>0.3</v>
      </c>
      <c r="S390" s="11">
        <f>IFERROR(__xludf.DUMMYFUNCTION("""COMPUTED_VALUE"""),-2.5230905523528766)</f>
        <v>-2.523090552</v>
      </c>
      <c r="T390" s="11">
        <f>IFERROR(__xludf.DUMMYFUNCTION("""COMPUTED_VALUE"""),-1.442113683980217)</f>
        <v>-1.442113684</v>
      </c>
      <c r="U390" s="11">
        <f>IFERROR(__xludf.DUMMYFUNCTION("""COMPUTED_VALUE"""),-1.7922035390144535)</f>
        <v>-1.792203539</v>
      </c>
      <c r="V390" s="11">
        <f>IFERROR(__xludf.DUMMYFUNCTION("""COMPUTED_VALUE"""),-1.5198320371939311)</f>
        <v>-1.519832037</v>
      </c>
      <c r="W390" s="11">
        <f>IFERROR(__xludf.DUMMYFUNCTION("""COMPUTED_VALUE"""),-2.2443924794756835)</f>
        <v>-2.244392479</v>
      </c>
      <c r="X390" s="11">
        <f>IFERROR(__xludf.DUMMYFUNCTION("""COMPUTED_VALUE"""),-0.9723047469492465)</f>
        <v>-0.9723047469</v>
      </c>
      <c r="Y390" s="11">
        <f>IFERROR(__xludf.DUMMYFUNCTION("""COMPUTED_VALUE"""),-0.03126681114107851)</f>
        <v>-0.03126681114</v>
      </c>
      <c r="Z390" s="11">
        <f>IFERROR(__xludf.DUMMYFUNCTION("""COMPUTED_VALUE"""),-0.04791937826386853)</f>
        <v>-0.04791937826</v>
      </c>
      <c r="AA390" s="11">
        <f>IFERROR(__xludf.DUMMYFUNCTION("""COMPUTED_VALUE"""),0.3592434525554599)</f>
        <v>0.3592434526</v>
      </c>
      <c r="AB390" t="str">
        <f>IFERROR(__xludf.DUMMYFUNCTION("SUBSTITUTE(REGEXREPLACE(REGEXREPLACE(REGEXREPLACE(REGEXREPLACE(REGEXREPLACE(REGEXREPLACE(F390,"","",),IF(Projections!$T$17="""",""PG"",),),IF(Projections!$U$17="""",""SG"",),),IF(Projections!$V$17="""",""SF"",),),IF(Projections!$W$17="""",""PF"",),),IF(Pr"&amp;"ojections!$X$17="""",""C"",),),""/"","""")"),"SFPF")</f>
        <v>SFPF</v>
      </c>
    </row>
    <row r="391">
      <c r="B391">
        <f>IFERROR(__xludf.DUMMYFUNCTION("""COMPUTED_VALUE"""),386.0)</f>
        <v>386</v>
      </c>
      <c r="D391" t="str">
        <f>IFERROR(__xludf.DUMMYFUNCTION("""COMPUTED_VALUE"""),"DeAndre Jordan")</f>
        <v>DeAndre Jordan</v>
      </c>
      <c r="F391" t="str">
        <f>IFERROR(__xludf.DUMMYFUNCTION("""COMPUTED_VALUE"""),"C")</f>
        <v>C</v>
      </c>
      <c r="G391" s="11">
        <f>IFERROR(__xludf.DUMMYFUNCTION("""COMPUTED_VALUE"""),-7.713035387261947)</f>
        <v>-7.713035387</v>
      </c>
      <c r="H391" s="11">
        <f>IFERROR(__xludf.DUMMYFUNCTION("""COMPUTED_VALUE"""),-7.713035387261947)</f>
        <v>-7.713035387</v>
      </c>
      <c r="I391" s="11">
        <f>IFERROR(__xludf.DUMMYFUNCTION("""COMPUTED_VALUE"""),0.0)</f>
        <v>0</v>
      </c>
      <c r="J391" s="11">
        <f>IFERROR(__xludf.DUMMYFUNCTION("""COMPUTED_VALUE"""),3.5)</f>
        <v>3.5</v>
      </c>
      <c r="K391" s="11">
        <f>IFERROR(__xludf.DUMMYFUNCTION("""COMPUTED_VALUE"""),0.0)</f>
        <v>0</v>
      </c>
      <c r="L391" s="11">
        <f>IFERROR(__xludf.DUMMYFUNCTION("""COMPUTED_VALUE"""),3.7)</f>
        <v>3.7</v>
      </c>
      <c r="M391" s="11">
        <f>IFERROR(__xludf.DUMMYFUNCTION("""COMPUTED_VALUE"""),0.6)</f>
        <v>0.6</v>
      </c>
      <c r="N391" s="11">
        <f>IFERROR(__xludf.DUMMYFUNCTION("""COMPUTED_VALUE"""),0.2)</f>
        <v>0.2</v>
      </c>
      <c r="O391" s="11">
        <f>IFERROR(__xludf.DUMMYFUNCTION("""COMPUTED_VALUE"""),0.4)</f>
        <v>0.4</v>
      </c>
      <c r="P391" s="15">
        <f>IFERROR(__xludf.DUMMYFUNCTION("""COMPUTED_VALUE"""),0.701)</f>
        <v>0.701</v>
      </c>
      <c r="Q391" s="15">
        <f>IFERROR(__xludf.DUMMYFUNCTION("""COMPUTED_VALUE"""),0.471)</f>
        <v>0.471</v>
      </c>
      <c r="R391" s="11">
        <f>IFERROR(__xludf.DUMMYFUNCTION("""COMPUTED_VALUE"""),0.7)</f>
        <v>0.7</v>
      </c>
      <c r="S391" s="11">
        <f>IFERROR(__xludf.DUMMYFUNCTION("""COMPUTED_VALUE"""),-2.5230905523528766)</f>
        <v>-2.523090552</v>
      </c>
      <c r="T391" s="11">
        <f>IFERROR(__xludf.DUMMYFUNCTION("""COMPUTED_VALUE"""),-1.7406865810748415)</f>
        <v>-1.740686581</v>
      </c>
      <c r="U391" s="11">
        <f>IFERROR(__xludf.DUMMYFUNCTION("""COMPUTED_VALUE"""),-0.9292233742650667)</f>
        <v>-0.9292233743</v>
      </c>
      <c r="V391" s="11">
        <f>IFERROR(__xludf.DUMMYFUNCTION("""COMPUTED_VALUE"""),-1.5198320371939311)</f>
        <v>-1.519832037</v>
      </c>
      <c r="W391" s="11">
        <f>IFERROR(__xludf.DUMMYFUNCTION("""COMPUTED_VALUE"""),-2.576325157635163)</f>
        <v>-2.576325158</v>
      </c>
      <c r="X391" s="11">
        <f>IFERROR(__xludf.DUMMYFUNCTION("""COMPUTED_VALUE"""),-0.6155173428439339)</f>
        <v>-0.6155173428</v>
      </c>
      <c r="Y391" s="11">
        <f>IFERROR(__xludf.DUMMYFUNCTION("""COMPUTED_VALUE"""),0.5023785799026064)</f>
        <v>0.5023785799</v>
      </c>
      <c r="Z391" s="11">
        <f>IFERROR(__xludf.DUMMYFUNCTION("""COMPUTED_VALUE"""),-1.1471146780854173)</f>
        <v>-1.147114678</v>
      </c>
      <c r="AA391" s="11">
        <f>IFERROR(__xludf.DUMMYFUNCTION("""COMPUTED_VALUE"""),0.26005059865151336)</f>
        <v>0.2600505987</v>
      </c>
      <c r="AB391" t="str">
        <f>IFERROR(__xludf.DUMMYFUNCTION("SUBSTITUTE(REGEXREPLACE(REGEXREPLACE(REGEXREPLACE(REGEXREPLACE(REGEXREPLACE(REGEXREPLACE(F391,"","",),IF(Projections!$T$17="""",""PG"",),),IF(Projections!$U$17="""",""SG"",),),IF(Projections!$V$17="""",""SF"",),),IF(Projections!$W$17="""",""PF"",),),IF(Pr"&amp;"ojections!$X$17="""",""C"",),),""/"","""")"),"C")</f>
        <v>C</v>
      </c>
    </row>
    <row r="392">
      <c r="B392">
        <f>IFERROR(__xludf.DUMMYFUNCTION("""COMPUTED_VALUE"""),387.0)</f>
        <v>387</v>
      </c>
      <c r="D392" t="str">
        <f>IFERROR(__xludf.DUMMYFUNCTION("""COMPUTED_VALUE"""),"Ousmane Dieng")</f>
        <v>Ousmane Dieng</v>
      </c>
      <c r="F392" t="str">
        <f>IFERROR(__xludf.DUMMYFUNCTION("""COMPUTED_VALUE"""),"SF,PF")</f>
        <v>SF,PF</v>
      </c>
      <c r="G392" s="11">
        <f>IFERROR(__xludf.DUMMYFUNCTION("""COMPUTED_VALUE"""),-7.739412903271782)</f>
        <v>-7.739412903</v>
      </c>
      <c r="H392" s="11">
        <f>IFERROR(__xludf.DUMMYFUNCTION("""COMPUTED_VALUE"""),-7.739412903271782)</f>
        <v>-7.739412903</v>
      </c>
      <c r="I392" s="11">
        <f>IFERROR(__xludf.DUMMYFUNCTION("""COMPUTED_VALUE"""),0.0)</f>
        <v>0</v>
      </c>
      <c r="J392" s="11">
        <f>IFERROR(__xludf.DUMMYFUNCTION("""COMPUTED_VALUE"""),3.7)</f>
        <v>3.7</v>
      </c>
      <c r="K392" s="11">
        <f>IFERROR(__xludf.DUMMYFUNCTION("""COMPUTED_VALUE"""),0.5)</f>
        <v>0.5</v>
      </c>
      <c r="L392" s="11">
        <f>IFERROR(__xludf.DUMMYFUNCTION("""COMPUTED_VALUE"""),1.8)</f>
        <v>1.8</v>
      </c>
      <c r="M392" s="11">
        <f>IFERROR(__xludf.DUMMYFUNCTION("""COMPUTED_VALUE"""),0.9)</f>
        <v>0.9</v>
      </c>
      <c r="N392" s="11">
        <f>IFERROR(__xludf.DUMMYFUNCTION("""COMPUTED_VALUE"""),0.3)</f>
        <v>0.3</v>
      </c>
      <c r="O392" s="11">
        <f>IFERROR(__xludf.DUMMYFUNCTION("""COMPUTED_VALUE"""),0.1)</f>
        <v>0.1</v>
      </c>
      <c r="P392" s="15">
        <f>IFERROR(__xludf.DUMMYFUNCTION("""COMPUTED_VALUE"""),0.422)</f>
        <v>0.422</v>
      </c>
      <c r="Q392" s="15">
        <f>IFERROR(__xludf.DUMMYFUNCTION("""COMPUTED_VALUE"""),0.75)</f>
        <v>0.75</v>
      </c>
      <c r="R392" s="11">
        <f>IFERROR(__xludf.DUMMYFUNCTION("""COMPUTED_VALUE"""),0.5)</f>
        <v>0.5</v>
      </c>
      <c r="S392" s="11">
        <f>IFERROR(__xludf.DUMMYFUNCTION("""COMPUTED_VALUE"""),-2.486960948426344)</f>
        <v>-2.486960948</v>
      </c>
      <c r="T392" s="11">
        <f>IFERROR(__xludf.DUMMYFUNCTION("""COMPUTED_VALUE"""),-1.2430650859171342)</f>
        <v>-1.243065086</v>
      </c>
      <c r="U392" s="11">
        <f>IFERROR(__xludf.DUMMYFUNCTION("""COMPUTED_VALUE"""),-1.6745244256395373)</f>
        <v>-1.674524426</v>
      </c>
      <c r="V392" s="11">
        <f>IFERROR(__xludf.DUMMYFUNCTION("""COMPUTED_VALUE"""),-1.3831467259275323)</f>
        <v>-1.383146726</v>
      </c>
      <c r="W392" s="11">
        <f>IFERROR(__xludf.DUMMYFUNCTION("""COMPUTED_VALUE"""),-2.2443924794756835)</f>
        <v>-2.244392479</v>
      </c>
      <c r="X392" s="11">
        <f>IFERROR(__xludf.DUMMYFUNCTION("""COMPUTED_VALUE"""),-1.150698449001903)</f>
        <v>-1.150698449</v>
      </c>
      <c r="Y392" s="11">
        <f>IFERROR(__xludf.DUMMYFUNCTION("""COMPUTED_VALUE"""),-0.28960918746603337)</f>
        <v>-0.2896091875</v>
      </c>
      <c r="Z392" s="11">
        <f>IFERROR(__xludf.DUMMYFUNCTION("""COMPUTED_VALUE"""),-0.06362357544744737)</f>
        <v>-0.06362357545</v>
      </c>
      <c r="AA392" s="11">
        <f>IFERROR(__xludf.DUMMYFUNCTION("""COMPUTED_VALUE"""),0.3096470256034866)</f>
        <v>0.3096470256</v>
      </c>
      <c r="AB392" t="str">
        <f>IFERROR(__xludf.DUMMYFUNCTION("SUBSTITUTE(REGEXREPLACE(REGEXREPLACE(REGEXREPLACE(REGEXREPLACE(REGEXREPLACE(REGEXREPLACE(F392,"","",),IF(Projections!$T$17="""",""PG"",),),IF(Projections!$U$17="""",""SG"",),),IF(Projections!$V$17="""",""SF"",),),IF(Projections!$W$17="""",""PF"",),),IF(Pr"&amp;"ojections!$X$17="""",""C"",),),""/"","""")"),"SFPF")</f>
        <v>SFPF</v>
      </c>
    </row>
    <row r="393">
      <c r="B393">
        <f>IFERROR(__xludf.DUMMYFUNCTION("""COMPUTED_VALUE"""),388.0)</f>
        <v>388</v>
      </c>
      <c r="D393" t="str">
        <f>IFERROR(__xludf.DUMMYFUNCTION("""COMPUTED_VALUE"""),"KJ Simpson")</f>
        <v>KJ Simpson</v>
      </c>
      <c r="F393" t="str">
        <f>IFERROR(__xludf.DUMMYFUNCTION("""COMPUTED_VALUE"""),"PG")</f>
        <v>PG</v>
      </c>
      <c r="G393" s="11">
        <f>IFERROR(__xludf.DUMMYFUNCTION("""COMPUTED_VALUE"""),-7.749473315814539)</f>
        <v>-7.749473316</v>
      </c>
      <c r="H393" s="11">
        <f>IFERROR(__xludf.DUMMYFUNCTION("""COMPUTED_VALUE"""),-7.749473315814539)</f>
        <v>-7.749473316</v>
      </c>
      <c r="I393" s="11">
        <f>IFERROR(__xludf.DUMMYFUNCTION("""COMPUTED_VALUE"""),0.0)</f>
        <v>0</v>
      </c>
      <c r="J393" s="11">
        <f>IFERROR(__xludf.DUMMYFUNCTION("""COMPUTED_VALUE"""),3.5)</f>
        <v>3.5</v>
      </c>
      <c r="K393" s="11">
        <f>IFERROR(__xludf.DUMMYFUNCTION("""COMPUTED_VALUE"""),0.4)</f>
        <v>0.4</v>
      </c>
      <c r="L393" s="11">
        <f>IFERROR(__xludf.DUMMYFUNCTION("""COMPUTED_VALUE"""),1.0)</f>
        <v>1</v>
      </c>
      <c r="M393" s="11">
        <f>IFERROR(__xludf.DUMMYFUNCTION("""COMPUTED_VALUE"""),0.9)</f>
        <v>0.9</v>
      </c>
      <c r="N393" s="11">
        <f>IFERROR(__xludf.DUMMYFUNCTION("""COMPUTED_VALUE"""),0.3)</f>
        <v>0.3</v>
      </c>
      <c r="O393" s="11">
        <f>IFERROR(__xludf.DUMMYFUNCTION("""COMPUTED_VALUE"""),0.0)</f>
        <v>0</v>
      </c>
      <c r="P393" s="15">
        <f>IFERROR(__xludf.DUMMYFUNCTION("""COMPUTED_VALUE"""),0.476)</f>
        <v>0.476</v>
      </c>
      <c r="Q393" s="15">
        <f>IFERROR(__xludf.DUMMYFUNCTION("""COMPUTED_VALUE"""),0.878)</f>
        <v>0.878</v>
      </c>
      <c r="R393" s="11">
        <f>IFERROR(__xludf.DUMMYFUNCTION("""COMPUTED_VALUE"""),0.4)</f>
        <v>0.4</v>
      </c>
      <c r="S393" s="11">
        <f>IFERROR(__xludf.DUMMYFUNCTION("""COMPUTED_VALUE"""),-2.5230905523528766)</f>
        <v>-2.523090552</v>
      </c>
      <c r="T393" s="11">
        <f>IFERROR(__xludf.DUMMYFUNCTION("""COMPUTED_VALUE"""),-1.3425893849486756)</f>
        <v>-1.342589385</v>
      </c>
      <c r="U393" s="11">
        <f>IFERROR(__xludf.DUMMYFUNCTION("""COMPUTED_VALUE"""),-1.988335394639314)</f>
        <v>-1.988335395</v>
      </c>
      <c r="V393" s="11">
        <f>IFERROR(__xludf.DUMMYFUNCTION("""COMPUTED_VALUE"""),-1.3831467259275323)</f>
        <v>-1.383146726</v>
      </c>
      <c r="W393" s="11">
        <f>IFERROR(__xludf.DUMMYFUNCTION("""COMPUTED_VALUE"""),-2.2443924794756835)</f>
        <v>-2.244392479</v>
      </c>
      <c r="X393" s="11">
        <f>IFERROR(__xludf.DUMMYFUNCTION("""COMPUTED_VALUE"""),-1.3290921510545592)</f>
        <v>-1.329092151</v>
      </c>
      <c r="Y393" s="11">
        <f>IFERROR(__xludf.DUMMYFUNCTION("""COMPUTED_VALUE"""),-0.061180776193910845)</f>
        <v>-0.06118077619</v>
      </c>
      <c r="Z393" s="11">
        <f>IFERROR(__xludf.DUMMYFUNCTION("""COMPUTED_VALUE"""),0.2648183573456636)</f>
        <v>0.2648183573</v>
      </c>
      <c r="AA393" s="11">
        <f>IFERROR(__xludf.DUMMYFUNCTION("""COMPUTED_VALUE"""),0.3344452390794733)</f>
        <v>0.3344452391</v>
      </c>
      <c r="AB393" t="str">
        <f>IFERROR(__xludf.DUMMYFUNCTION("SUBSTITUTE(REGEXREPLACE(REGEXREPLACE(REGEXREPLACE(REGEXREPLACE(REGEXREPLACE(REGEXREPLACE(F393,"","",),IF(Projections!$T$17="""",""PG"",),),IF(Projections!$U$17="""",""SG"",),),IF(Projections!$V$17="""",""SF"",),),IF(Projections!$W$17="""",""PF"",),),IF(Pr"&amp;"ojections!$X$17="""",""C"",),),""/"","""")"),"PG")</f>
        <v>PG</v>
      </c>
    </row>
    <row r="394">
      <c r="B394">
        <f>IFERROR(__xludf.DUMMYFUNCTION("""COMPUTED_VALUE"""),389.0)</f>
        <v>389</v>
      </c>
      <c r="D394" t="str">
        <f>IFERROR(__xludf.DUMMYFUNCTION("""COMPUTED_VALUE"""),"Jeff Green")</f>
        <v>Jeff Green</v>
      </c>
      <c r="F394" t="str">
        <f>IFERROR(__xludf.DUMMYFUNCTION("""COMPUTED_VALUE"""),"PF,C")</f>
        <v>PF,C</v>
      </c>
      <c r="G394" s="11">
        <f>IFERROR(__xludf.DUMMYFUNCTION("""COMPUTED_VALUE"""),-7.753519328820069)</f>
        <v>-7.753519329</v>
      </c>
      <c r="H394" s="11">
        <f>IFERROR(__xludf.DUMMYFUNCTION("""COMPUTED_VALUE"""),-7.753519328820069)</f>
        <v>-7.753519329</v>
      </c>
      <c r="I394" s="11">
        <f>IFERROR(__xludf.DUMMYFUNCTION("""COMPUTED_VALUE"""),0.0)</f>
        <v>0</v>
      </c>
      <c r="J394" s="11">
        <f>IFERROR(__xludf.DUMMYFUNCTION("""COMPUTED_VALUE"""),4.5)</f>
        <v>4.5</v>
      </c>
      <c r="K394" s="11">
        <f>IFERROR(__xludf.DUMMYFUNCTION("""COMPUTED_VALUE"""),0.4)</f>
        <v>0.4</v>
      </c>
      <c r="L394" s="11">
        <f>IFERROR(__xludf.DUMMYFUNCTION("""COMPUTED_VALUE"""),1.5)</f>
        <v>1.5</v>
      </c>
      <c r="M394" s="11">
        <f>IFERROR(__xludf.DUMMYFUNCTION("""COMPUTED_VALUE"""),0.7)</f>
        <v>0.7</v>
      </c>
      <c r="N394" s="11">
        <f>IFERROR(__xludf.DUMMYFUNCTION("""COMPUTED_VALUE"""),0.2)</f>
        <v>0.2</v>
      </c>
      <c r="O394" s="11">
        <f>IFERROR(__xludf.DUMMYFUNCTION("""COMPUTED_VALUE"""),0.2)</f>
        <v>0.2</v>
      </c>
      <c r="P394" s="15">
        <f>IFERROR(__xludf.DUMMYFUNCTION("""COMPUTED_VALUE"""),0.471)</f>
        <v>0.471</v>
      </c>
      <c r="Q394" s="15">
        <f>IFERROR(__xludf.DUMMYFUNCTION("""COMPUTED_VALUE"""),0.781)</f>
        <v>0.781</v>
      </c>
      <c r="R394" s="11">
        <f>IFERROR(__xludf.DUMMYFUNCTION("""COMPUTED_VALUE"""),0.4)</f>
        <v>0.4</v>
      </c>
      <c r="S394" s="11">
        <f>IFERROR(__xludf.DUMMYFUNCTION("""COMPUTED_VALUE"""),-2.3424425327202143)</f>
        <v>-2.342442533</v>
      </c>
      <c r="T394" s="11">
        <f>IFERROR(__xludf.DUMMYFUNCTION("""COMPUTED_VALUE"""),-1.3425893849486756)</f>
        <v>-1.342589385</v>
      </c>
      <c r="U394" s="11">
        <f>IFERROR(__xludf.DUMMYFUNCTION("""COMPUTED_VALUE"""),-1.7922035390144535)</f>
        <v>-1.792203539</v>
      </c>
      <c r="V394" s="11">
        <f>IFERROR(__xludf.DUMMYFUNCTION("""COMPUTED_VALUE"""),-1.4742702667717982)</f>
        <v>-1.474270267</v>
      </c>
      <c r="W394" s="11">
        <f>IFERROR(__xludf.DUMMYFUNCTION("""COMPUTED_VALUE"""),-2.576325157635163)</f>
        <v>-2.576325158</v>
      </c>
      <c r="X394" s="11">
        <f>IFERROR(__xludf.DUMMYFUNCTION("""COMPUTED_VALUE"""),-0.9723047469492465)</f>
        <v>-0.9723047469</v>
      </c>
      <c r="Y394" s="11">
        <f>IFERROR(__xludf.DUMMYFUNCTION("""COMPUTED_VALUE"""),-0.10009663965837633)</f>
        <v>-0.1000966397</v>
      </c>
      <c r="Z394" s="11">
        <f>IFERROR(__xludf.DUMMYFUNCTION("""COMPUTED_VALUE"""),-0.06405745783677733)</f>
        <v>-0.06405745784</v>
      </c>
      <c r="AA394" s="11">
        <f>IFERROR(__xludf.DUMMYFUNCTION("""COMPUTED_VALUE"""),0.3344452390794733)</f>
        <v>0.3344452391</v>
      </c>
      <c r="AB394" t="str">
        <f>IFERROR(__xludf.DUMMYFUNCTION("SUBSTITUTE(REGEXREPLACE(REGEXREPLACE(REGEXREPLACE(REGEXREPLACE(REGEXREPLACE(REGEXREPLACE(F394,"","",),IF(Projections!$T$17="""",""PG"",),),IF(Projections!$U$17="""",""SG"",),),IF(Projections!$V$17="""",""SF"",),),IF(Projections!$W$17="""",""PF"",),),IF(Pr"&amp;"ojections!$X$17="""",""C"",),),""/"","""")"),"PFC")</f>
        <v>PFC</v>
      </c>
    </row>
    <row r="395">
      <c r="B395">
        <f>IFERROR(__xludf.DUMMYFUNCTION("""COMPUTED_VALUE"""),390.0)</f>
        <v>390</v>
      </c>
      <c r="D395" t="str">
        <f>IFERROR(__xludf.DUMMYFUNCTION("""COMPUTED_VALUE"""),"Ariel Hukporti")</f>
        <v>Ariel Hukporti</v>
      </c>
      <c r="F395" t="str">
        <f>IFERROR(__xludf.DUMMYFUNCTION("""COMPUTED_VALUE"""),"C")</f>
        <v>C</v>
      </c>
      <c r="G395" s="11">
        <f>IFERROR(__xludf.DUMMYFUNCTION("""COMPUTED_VALUE"""),-7.782541380878039)</f>
        <v>-7.782541381</v>
      </c>
      <c r="H395" s="11">
        <f>IFERROR(__xludf.DUMMYFUNCTION("""COMPUTED_VALUE"""),-7.782541380878039)</f>
        <v>-7.782541381</v>
      </c>
      <c r="I395" s="11">
        <f>IFERROR(__xludf.DUMMYFUNCTION("""COMPUTED_VALUE"""),0.0)</f>
        <v>0</v>
      </c>
      <c r="J395" s="11">
        <f>IFERROR(__xludf.DUMMYFUNCTION("""COMPUTED_VALUE"""),3.0)</f>
        <v>3</v>
      </c>
      <c r="K395" s="11">
        <f>IFERROR(__xludf.DUMMYFUNCTION("""COMPUTED_VALUE"""),0.0)</f>
        <v>0</v>
      </c>
      <c r="L395" s="11">
        <f>IFERROR(__xludf.DUMMYFUNCTION("""COMPUTED_VALUE"""),2.6)</f>
        <v>2.6</v>
      </c>
      <c r="M395" s="11">
        <f>IFERROR(__xludf.DUMMYFUNCTION("""COMPUTED_VALUE"""),0.3)</f>
        <v>0.3</v>
      </c>
      <c r="N395" s="11">
        <f>IFERROR(__xludf.DUMMYFUNCTION("""COMPUTED_VALUE"""),0.2)</f>
        <v>0.2</v>
      </c>
      <c r="O395" s="11">
        <f>IFERROR(__xludf.DUMMYFUNCTION("""COMPUTED_VALUE"""),0.6)</f>
        <v>0.6</v>
      </c>
      <c r="P395" s="15">
        <f>IFERROR(__xludf.DUMMYFUNCTION("""COMPUTED_VALUE"""),0.563)</f>
        <v>0.563</v>
      </c>
      <c r="Q395" s="15">
        <f>IFERROR(__xludf.DUMMYFUNCTION("""COMPUTED_VALUE"""),0.615)</f>
        <v>0.615</v>
      </c>
      <c r="R395" s="11">
        <f>IFERROR(__xludf.DUMMYFUNCTION("""COMPUTED_VALUE"""),0.6)</f>
        <v>0.6</v>
      </c>
      <c r="S395" s="11">
        <f>IFERROR(__xludf.DUMMYFUNCTION("""COMPUTED_VALUE"""),-2.6134145621692078)</f>
        <v>-2.613414562</v>
      </c>
      <c r="T395" s="11">
        <f>IFERROR(__xludf.DUMMYFUNCTION("""COMPUTED_VALUE"""),-1.7406865810748415)</f>
        <v>-1.740686581</v>
      </c>
      <c r="U395" s="11">
        <f>IFERROR(__xludf.DUMMYFUNCTION("""COMPUTED_VALUE"""),-1.36071345663976)</f>
        <v>-1.360713457</v>
      </c>
      <c r="V395" s="11">
        <f>IFERROR(__xludf.DUMMYFUNCTION("""COMPUTED_VALUE"""),-1.65651734846033)</f>
        <v>-1.656517348</v>
      </c>
      <c r="W395" s="11">
        <f>IFERROR(__xludf.DUMMYFUNCTION("""COMPUTED_VALUE"""),-2.576325157635163)</f>
        <v>-2.576325158</v>
      </c>
      <c r="X395" s="11">
        <f>IFERROR(__xludf.DUMMYFUNCTION("""COMPUTED_VALUE"""),-0.25872993873862127)</f>
        <v>-0.2587299387</v>
      </c>
      <c r="Y395" s="11">
        <f>IFERROR(__xludf.DUMMYFUNCTION("""COMPUTED_VALUE"""),0.16273271500057154)</f>
        <v>0.162732715</v>
      </c>
      <c r="Z395" s="11">
        <f>IFERROR(__xludf.DUMMYFUNCTION("""COMPUTED_VALUE"""),-0.6371504254573921)</f>
        <v>-0.6371504255</v>
      </c>
      <c r="AA395" s="11">
        <f>IFERROR(__xludf.DUMMYFUNCTION("""COMPUTED_VALUE"""),0.28484881212749996)</f>
        <v>0.2848488121</v>
      </c>
      <c r="AB395" t="str">
        <f>IFERROR(__xludf.DUMMYFUNCTION("SUBSTITUTE(REGEXREPLACE(REGEXREPLACE(REGEXREPLACE(REGEXREPLACE(REGEXREPLACE(REGEXREPLACE(F395,"","",),IF(Projections!$T$17="""",""PG"",),),IF(Projections!$U$17="""",""SG"",),),IF(Projections!$V$17="""",""SF"",),),IF(Projections!$W$17="""",""PF"",),),IF(Pr"&amp;"ojections!$X$17="""",""C"",),),""/"","""")"),"C")</f>
        <v>C</v>
      </c>
    </row>
    <row r="396">
      <c r="B396">
        <f>IFERROR(__xludf.DUMMYFUNCTION("""COMPUTED_VALUE"""),391.0)</f>
        <v>391</v>
      </c>
      <c r="D396" t="str">
        <f>IFERROR(__xludf.DUMMYFUNCTION("""COMPUTED_VALUE"""),"Dalen Terry")</f>
        <v>Dalen Terry</v>
      </c>
      <c r="F396" t="str">
        <f>IFERROR(__xludf.DUMMYFUNCTION("""COMPUTED_VALUE"""),"SG,SF")</f>
        <v>SG,SF</v>
      </c>
      <c r="G396" s="11">
        <f>IFERROR(__xludf.DUMMYFUNCTION("""COMPUTED_VALUE"""),-7.8017659729621816)</f>
        <v>-7.801765973</v>
      </c>
      <c r="H396" s="11">
        <f>IFERROR(__xludf.DUMMYFUNCTION("""COMPUTED_VALUE"""),-7.8017659729621816)</f>
        <v>-7.801765973</v>
      </c>
      <c r="I396" s="11">
        <f>IFERROR(__xludf.DUMMYFUNCTION("""COMPUTED_VALUE"""),0.0)</f>
        <v>0</v>
      </c>
      <c r="J396" s="11">
        <f>IFERROR(__xludf.DUMMYFUNCTION("""COMPUTED_VALUE"""),2.5)</f>
        <v>2.5</v>
      </c>
      <c r="K396" s="11">
        <f>IFERROR(__xludf.DUMMYFUNCTION("""COMPUTED_VALUE"""),0.2)</f>
        <v>0.2</v>
      </c>
      <c r="L396" s="11">
        <f>IFERROR(__xludf.DUMMYFUNCTION("""COMPUTED_VALUE"""),1.4)</f>
        <v>1.4</v>
      </c>
      <c r="M396" s="11">
        <f>IFERROR(__xludf.DUMMYFUNCTION("""COMPUTED_VALUE"""),1.0)</f>
        <v>1</v>
      </c>
      <c r="N396" s="11">
        <f>IFERROR(__xludf.DUMMYFUNCTION("""COMPUTED_VALUE"""),0.4)</f>
        <v>0.4</v>
      </c>
      <c r="O396" s="11">
        <f>IFERROR(__xludf.DUMMYFUNCTION("""COMPUTED_VALUE"""),0.2)</f>
        <v>0.2</v>
      </c>
      <c r="P396" s="15">
        <f>IFERROR(__xludf.DUMMYFUNCTION("""COMPUTED_VALUE"""),0.442)</f>
        <v>0.442</v>
      </c>
      <c r="Q396" s="15">
        <f>IFERROR(__xludf.DUMMYFUNCTION("""COMPUTED_VALUE"""),0.607)</f>
        <v>0.607</v>
      </c>
      <c r="R396" s="11">
        <f>IFERROR(__xludf.DUMMYFUNCTION("""COMPUTED_VALUE"""),0.4)</f>
        <v>0.4</v>
      </c>
      <c r="S396" s="11">
        <f>IFERROR(__xludf.DUMMYFUNCTION("""COMPUTED_VALUE"""),-2.703738571985539)</f>
        <v>-2.703738572</v>
      </c>
      <c r="T396" s="11">
        <f>IFERROR(__xludf.DUMMYFUNCTION("""COMPUTED_VALUE"""),-1.5416379830117586)</f>
        <v>-1.541637983</v>
      </c>
      <c r="U396" s="11">
        <f>IFERROR(__xludf.DUMMYFUNCTION("""COMPUTED_VALUE"""),-1.8314299101394258)</f>
        <v>-1.83142991</v>
      </c>
      <c r="V396" s="11">
        <f>IFERROR(__xludf.DUMMYFUNCTION("""COMPUTED_VALUE"""),-1.3375849555053994)</f>
        <v>-1.337584956</v>
      </c>
      <c r="W396" s="11">
        <f>IFERROR(__xludf.DUMMYFUNCTION("""COMPUTED_VALUE"""),-1.912459801316204)</f>
        <v>-1.912459801</v>
      </c>
      <c r="X396" s="11">
        <f>IFERROR(__xludf.DUMMYFUNCTION("""COMPUTED_VALUE"""),-0.9723047469492465)</f>
        <v>-0.9723047469</v>
      </c>
      <c r="Y396" s="11">
        <f>IFERROR(__xludf.DUMMYFUNCTION("""COMPUTED_VALUE"""),-0.14150475142425156)</f>
        <v>-0.1415047514</v>
      </c>
      <c r="Z396" s="11">
        <f>IFERROR(__xludf.DUMMYFUNCTION("""COMPUTED_VALUE"""),-0.3992890636953694)</f>
        <v>-0.3992890637</v>
      </c>
      <c r="AA396" s="11">
        <f>IFERROR(__xludf.DUMMYFUNCTION("""COMPUTED_VALUE"""),0.3344452390794733)</f>
        <v>0.3344452391</v>
      </c>
    </row>
    <row r="397">
      <c r="B397">
        <f>IFERROR(__xludf.DUMMYFUNCTION("""COMPUTED_VALUE"""),392.0)</f>
        <v>392</v>
      </c>
      <c r="D397" t="str">
        <f>IFERROR(__xludf.DUMMYFUNCTION("""COMPUTED_VALUE"""),"Nassir Little")</f>
        <v>Nassir Little</v>
      </c>
      <c r="F397" t="str">
        <f>IFERROR(__xludf.DUMMYFUNCTION("""COMPUTED_VALUE"""),"SF,PF")</f>
        <v>SF,PF</v>
      </c>
      <c r="G397" s="11">
        <f>IFERROR(__xludf.DUMMYFUNCTION("""COMPUTED_VALUE"""),-7.822790588118762)</f>
        <v>-7.822790588</v>
      </c>
      <c r="H397" s="11">
        <f>IFERROR(__xludf.DUMMYFUNCTION("""COMPUTED_VALUE"""),-7.822790588118762)</f>
        <v>-7.822790588</v>
      </c>
      <c r="I397" s="11">
        <f>IFERROR(__xludf.DUMMYFUNCTION("""COMPUTED_VALUE"""),0.0)</f>
        <v>0</v>
      </c>
      <c r="J397" s="11">
        <f>IFERROR(__xludf.DUMMYFUNCTION("""COMPUTED_VALUE"""),3.7)</f>
        <v>3.7</v>
      </c>
      <c r="K397" s="11">
        <f>IFERROR(__xludf.DUMMYFUNCTION("""COMPUTED_VALUE"""),0.6)</f>
        <v>0.6</v>
      </c>
      <c r="L397" s="11">
        <f>IFERROR(__xludf.DUMMYFUNCTION("""COMPUTED_VALUE"""),1.6)</f>
        <v>1.6</v>
      </c>
      <c r="M397" s="11">
        <f>IFERROR(__xludf.DUMMYFUNCTION("""COMPUTED_VALUE"""),0.5)</f>
        <v>0.5</v>
      </c>
      <c r="N397" s="11">
        <f>IFERROR(__xludf.DUMMYFUNCTION("""COMPUTED_VALUE"""),0.2)</f>
        <v>0.2</v>
      </c>
      <c r="O397" s="11">
        <f>IFERROR(__xludf.DUMMYFUNCTION("""COMPUTED_VALUE"""),0.2)</f>
        <v>0.2</v>
      </c>
      <c r="P397" s="15">
        <f>IFERROR(__xludf.DUMMYFUNCTION("""COMPUTED_VALUE"""),0.446)</f>
        <v>0.446</v>
      </c>
      <c r="Q397" s="15">
        <f>IFERROR(__xludf.DUMMYFUNCTION("""COMPUTED_VALUE"""),0.766)</f>
        <v>0.766</v>
      </c>
      <c r="R397" s="11">
        <f>IFERROR(__xludf.DUMMYFUNCTION("""COMPUTED_VALUE"""),0.4)</f>
        <v>0.4</v>
      </c>
      <c r="S397" s="11">
        <f>IFERROR(__xludf.DUMMYFUNCTION("""COMPUTED_VALUE"""),-2.486960948426344)</f>
        <v>-2.486960948</v>
      </c>
      <c r="T397" s="11">
        <f>IFERROR(__xludf.DUMMYFUNCTION("""COMPUTED_VALUE"""),-1.1435407868855925)</f>
        <v>-1.143540787</v>
      </c>
      <c r="U397" s="11">
        <f>IFERROR(__xludf.DUMMYFUNCTION("""COMPUTED_VALUE"""),-1.7529771678894812)</f>
        <v>-1.752977168</v>
      </c>
      <c r="V397" s="11">
        <f>IFERROR(__xludf.DUMMYFUNCTION("""COMPUTED_VALUE"""),-1.565393807616064)</f>
        <v>-1.565393808</v>
      </c>
      <c r="W397" s="11">
        <f>IFERROR(__xludf.DUMMYFUNCTION("""COMPUTED_VALUE"""),-2.576325157635163)</f>
        <v>-2.576325158</v>
      </c>
      <c r="X397" s="11">
        <f>IFERROR(__xludf.DUMMYFUNCTION("""COMPUTED_VALUE"""),-0.9723047469492465)</f>
        <v>-0.9723047469</v>
      </c>
      <c r="Y397" s="11">
        <f>IFERROR(__xludf.DUMMYFUNCTION("""COMPUTED_VALUE"""),-0.18486024749041913)</f>
        <v>-0.1848602475</v>
      </c>
      <c r="Z397" s="11">
        <f>IFERROR(__xludf.DUMMYFUNCTION("""COMPUTED_VALUE"""),-0.05119812194108556)</f>
        <v>-0.05119812194</v>
      </c>
      <c r="AA397" s="11">
        <f>IFERROR(__xludf.DUMMYFUNCTION("""COMPUTED_VALUE"""),0.3344452390794733)</f>
        <v>0.3344452391</v>
      </c>
    </row>
    <row r="398">
      <c r="B398">
        <f>IFERROR(__xludf.DUMMYFUNCTION("""COMPUTED_VALUE"""),393.0)</f>
        <v>393</v>
      </c>
      <c r="D398" t="str">
        <f>IFERROR(__xludf.DUMMYFUNCTION("""COMPUTED_VALUE"""),"Jamal Shead")</f>
        <v>Jamal Shead</v>
      </c>
      <c r="F398" t="str">
        <f>IFERROR(__xludf.DUMMYFUNCTION("""COMPUTED_VALUE"""),"PG")</f>
        <v>PG</v>
      </c>
      <c r="G398" s="11">
        <f>IFERROR(__xludf.DUMMYFUNCTION("""COMPUTED_VALUE"""),-7.895059387504471)</f>
        <v>-7.895059388</v>
      </c>
      <c r="H398" s="11">
        <f>IFERROR(__xludf.DUMMYFUNCTION("""COMPUTED_VALUE"""),-7.895059387504471)</f>
        <v>-7.895059388</v>
      </c>
      <c r="I398" s="11">
        <f>IFERROR(__xludf.DUMMYFUNCTION("""COMPUTED_VALUE"""),0.0)</f>
        <v>0</v>
      </c>
      <c r="J398" s="11">
        <f>IFERROR(__xludf.DUMMYFUNCTION("""COMPUTED_VALUE"""),2.5)</f>
        <v>2.5</v>
      </c>
      <c r="K398" s="11">
        <f>IFERROR(__xludf.DUMMYFUNCTION("""COMPUTED_VALUE"""),0.2)</f>
        <v>0.2</v>
      </c>
      <c r="L398" s="11">
        <f>IFERROR(__xludf.DUMMYFUNCTION("""COMPUTED_VALUE"""),0.7)</f>
        <v>0.7</v>
      </c>
      <c r="M398" s="11">
        <f>IFERROR(__xludf.DUMMYFUNCTION("""COMPUTED_VALUE"""),1.2)</f>
        <v>1.2</v>
      </c>
      <c r="N398" s="11">
        <f>IFERROR(__xludf.DUMMYFUNCTION("""COMPUTED_VALUE"""),0.4)</f>
        <v>0.4</v>
      </c>
      <c r="O398" s="11">
        <f>IFERROR(__xludf.DUMMYFUNCTION("""COMPUTED_VALUE"""),0.1)</f>
        <v>0.1</v>
      </c>
      <c r="P398" s="15">
        <f>IFERROR(__xludf.DUMMYFUNCTION("""COMPUTED_VALUE"""),0.407)</f>
        <v>0.407</v>
      </c>
      <c r="Q398" s="15">
        <f>IFERROR(__xludf.DUMMYFUNCTION("""COMPUTED_VALUE"""),0.778)</f>
        <v>0.778</v>
      </c>
      <c r="R398" s="11">
        <f>IFERROR(__xludf.DUMMYFUNCTION("""COMPUTED_VALUE"""),0.4)</f>
        <v>0.4</v>
      </c>
      <c r="S398" s="11">
        <f>IFERROR(__xludf.DUMMYFUNCTION("""COMPUTED_VALUE"""),-2.703738571985539)</f>
        <v>-2.703738572</v>
      </c>
      <c r="T398" s="11">
        <f>IFERROR(__xludf.DUMMYFUNCTION("""COMPUTED_VALUE"""),-1.5416379830117586)</f>
        <v>-1.541637983</v>
      </c>
      <c r="U398" s="11">
        <f>IFERROR(__xludf.DUMMYFUNCTION("""COMPUTED_VALUE"""),-2.1060145080142303)</f>
        <v>-2.106014508</v>
      </c>
      <c r="V398" s="11">
        <f>IFERROR(__xludf.DUMMYFUNCTION("""COMPUTED_VALUE"""),-1.2464614146611335)</f>
        <v>-1.246461415</v>
      </c>
      <c r="W398" s="11">
        <f>IFERROR(__xludf.DUMMYFUNCTION("""COMPUTED_VALUE"""),-1.912459801316204)</f>
        <v>-1.912459801</v>
      </c>
      <c r="X398" s="11">
        <f>IFERROR(__xludf.DUMMYFUNCTION("""COMPUTED_VALUE"""),-1.150698449001903)</f>
        <v>-1.150698449</v>
      </c>
      <c r="Y398" s="11">
        <f>IFERROR(__xludf.DUMMYFUNCTION("""COMPUTED_VALUE"""),-0.24228285916379796)</f>
        <v>-0.2422828592</v>
      </c>
      <c r="Z398" s="11">
        <f>IFERROR(__xludf.DUMMYFUNCTION("""COMPUTED_VALUE"""),-0.02994961141491783)</f>
        <v>-0.02994961141</v>
      </c>
      <c r="AA398" s="11">
        <f>IFERROR(__xludf.DUMMYFUNCTION("""COMPUTED_VALUE"""),0.3344452390794733)</f>
        <v>0.3344452391</v>
      </c>
    </row>
    <row r="399">
      <c r="B399">
        <f>IFERROR(__xludf.DUMMYFUNCTION("""COMPUTED_VALUE"""),394.0)</f>
        <v>394</v>
      </c>
      <c r="D399" t="str">
        <f>IFERROR(__xludf.DUMMYFUNCTION("""COMPUTED_VALUE"""),"Vlatko Cancar")</f>
        <v>Vlatko Cancar</v>
      </c>
      <c r="F399" t="str">
        <f>IFERROR(__xludf.DUMMYFUNCTION("""COMPUTED_VALUE"""),"PF")</f>
        <v>PF</v>
      </c>
      <c r="G399" s="11">
        <f>IFERROR(__xludf.DUMMYFUNCTION("""COMPUTED_VALUE"""),-7.903709995457396)</f>
        <v>-7.903709995</v>
      </c>
      <c r="H399" s="11">
        <f>IFERROR(__xludf.DUMMYFUNCTION("""COMPUTED_VALUE"""),-7.903709995457396)</f>
        <v>-7.903709995</v>
      </c>
      <c r="I399" s="11">
        <f>IFERROR(__xludf.DUMMYFUNCTION("""COMPUTED_VALUE"""),0.0)</f>
        <v>0</v>
      </c>
      <c r="J399" s="11">
        <f>IFERROR(__xludf.DUMMYFUNCTION("""COMPUTED_VALUE"""),3.0)</f>
        <v>3</v>
      </c>
      <c r="K399" s="11">
        <f>IFERROR(__xludf.DUMMYFUNCTION("""COMPUTED_VALUE"""),0.4)</f>
        <v>0.4</v>
      </c>
      <c r="L399" s="11">
        <f>IFERROR(__xludf.DUMMYFUNCTION("""COMPUTED_VALUE"""),1.3)</f>
        <v>1.3</v>
      </c>
      <c r="M399" s="11">
        <f>IFERROR(__xludf.DUMMYFUNCTION("""COMPUTED_VALUE"""),0.8)</f>
        <v>0.8</v>
      </c>
      <c r="N399" s="11">
        <f>IFERROR(__xludf.DUMMYFUNCTION("""COMPUTED_VALUE"""),0.2)</f>
        <v>0.2</v>
      </c>
      <c r="O399" s="11">
        <f>IFERROR(__xludf.DUMMYFUNCTION("""COMPUTED_VALUE"""),0.1)</f>
        <v>0.1</v>
      </c>
      <c r="P399" s="15">
        <f>IFERROR(__xludf.DUMMYFUNCTION("""COMPUTED_VALUE"""),0.476)</f>
        <v>0.476</v>
      </c>
      <c r="Q399" s="15">
        <f>IFERROR(__xludf.DUMMYFUNCTION("""COMPUTED_VALUE"""),0.927)</f>
        <v>0.927</v>
      </c>
      <c r="R399" s="11">
        <f>IFERROR(__xludf.DUMMYFUNCTION("""COMPUTED_VALUE"""),0.4)</f>
        <v>0.4</v>
      </c>
      <c r="S399" s="11">
        <f>IFERROR(__xludf.DUMMYFUNCTION("""COMPUTED_VALUE"""),-2.6134145621692078)</f>
        <v>-2.613414562</v>
      </c>
      <c r="T399" s="11">
        <f>IFERROR(__xludf.DUMMYFUNCTION("""COMPUTED_VALUE"""),-1.3425893849486756)</f>
        <v>-1.342589385</v>
      </c>
      <c r="U399" s="11">
        <f>IFERROR(__xludf.DUMMYFUNCTION("""COMPUTED_VALUE"""),-1.8706562812643979)</f>
        <v>-1.870656281</v>
      </c>
      <c r="V399" s="11">
        <f>IFERROR(__xludf.DUMMYFUNCTION("""COMPUTED_VALUE"""),-1.428708496349665)</f>
        <v>-1.428708496</v>
      </c>
      <c r="W399" s="11">
        <f>IFERROR(__xludf.DUMMYFUNCTION("""COMPUTED_VALUE"""),-2.576325157635163)</f>
        <v>-2.576325158</v>
      </c>
      <c r="X399" s="11">
        <f>IFERROR(__xludf.DUMMYFUNCTION("""COMPUTED_VALUE"""),-1.150698449001903)</f>
        <v>-1.150698449</v>
      </c>
      <c r="Y399" s="11">
        <f>IFERROR(__xludf.DUMMYFUNCTION("""COMPUTED_VALUE"""),-0.05628631409839797)</f>
        <v>-0.0562863141</v>
      </c>
      <c r="Z399" s="11">
        <f>IFERROR(__xludf.DUMMYFUNCTION("""COMPUTED_VALUE"""),0.18710884876133177)</f>
        <v>0.1871088488</v>
      </c>
      <c r="AA399" s="11">
        <f>IFERROR(__xludf.DUMMYFUNCTION("""COMPUTED_VALUE"""),0.3344452390794733)</f>
        <v>0.3344452391</v>
      </c>
    </row>
    <row r="400">
      <c r="B400">
        <f>IFERROR(__xludf.DUMMYFUNCTION("""COMPUTED_VALUE"""),395.0)</f>
        <v>395</v>
      </c>
      <c r="D400" t="str">
        <f>IFERROR(__xludf.DUMMYFUNCTION("""COMPUTED_VALUE"""),"DaRon Holmes II")</f>
        <v>DaRon Holmes II</v>
      </c>
      <c r="F400" t="str">
        <f>IFERROR(__xludf.DUMMYFUNCTION("""COMPUTED_VALUE"""),"PF")</f>
        <v>PF</v>
      </c>
      <c r="G400" s="11">
        <f>IFERROR(__xludf.DUMMYFUNCTION("""COMPUTED_VALUE"""),-7.904465018110894)</f>
        <v>-7.904465018</v>
      </c>
      <c r="H400" s="11">
        <f>IFERROR(__xludf.DUMMYFUNCTION("""COMPUTED_VALUE"""),-7.904465018110894)</f>
        <v>-7.904465018</v>
      </c>
      <c r="I400" s="11">
        <f>IFERROR(__xludf.DUMMYFUNCTION("""COMPUTED_VALUE"""),0.0)</f>
        <v>0</v>
      </c>
      <c r="J400" s="11">
        <f>IFERROR(__xludf.DUMMYFUNCTION("""COMPUTED_VALUE"""),4.2)</f>
        <v>4.2</v>
      </c>
      <c r="K400" s="11">
        <f>IFERROR(__xludf.DUMMYFUNCTION("""COMPUTED_VALUE"""),0.2)</f>
        <v>0.2</v>
      </c>
      <c r="L400" s="11">
        <f>IFERROR(__xludf.DUMMYFUNCTION("""COMPUTED_VALUE"""),1.7)</f>
        <v>1.7</v>
      </c>
      <c r="M400" s="11">
        <f>IFERROR(__xludf.DUMMYFUNCTION("""COMPUTED_VALUE"""),0.5)</f>
        <v>0.5</v>
      </c>
      <c r="N400" s="11">
        <f>IFERROR(__xludf.DUMMYFUNCTION("""COMPUTED_VALUE"""),0.2)</f>
        <v>0.2</v>
      </c>
      <c r="O400" s="11">
        <f>IFERROR(__xludf.DUMMYFUNCTION("""COMPUTED_VALUE"""),0.4)</f>
        <v>0.4</v>
      </c>
      <c r="P400" s="15">
        <f>IFERROR(__xludf.DUMMYFUNCTION("""COMPUTED_VALUE"""),0.545)</f>
        <v>0.545</v>
      </c>
      <c r="Q400" s="15">
        <f>IFERROR(__xludf.DUMMYFUNCTION("""COMPUTED_VALUE"""),0.713)</f>
        <v>0.713</v>
      </c>
      <c r="R400" s="11">
        <f>IFERROR(__xludf.DUMMYFUNCTION("""COMPUTED_VALUE"""),0.5)</f>
        <v>0.5</v>
      </c>
      <c r="S400" s="11">
        <f>IFERROR(__xludf.DUMMYFUNCTION("""COMPUTED_VALUE"""),-2.396636938610013)</f>
        <v>-2.396636939</v>
      </c>
      <c r="T400" s="11">
        <f>IFERROR(__xludf.DUMMYFUNCTION("""COMPUTED_VALUE"""),-1.5416379830117586)</f>
        <v>-1.541637983</v>
      </c>
      <c r="U400" s="11">
        <f>IFERROR(__xludf.DUMMYFUNCTION("""COMPUTED_VALUE"""),-1.7137507967645091)</f>
        <v>-1.713750797</v>
      </c>
      <c r="V400" s="11">
        <f>IFERROR(__xludf.DUMMYFUNCTION("""COMPUTED_VALUE"""),-1.565393807616064)</f>
        <v>-1.565393808</v>
      </c>
      <c r="W400" s="11">
        <f>IFERROR(__xludf.DUMMYFUNCTION("""COMPUTED_VALUE"""),-2.576325157635163)</f>
        <v>-2.576325158</v>
      </c>
      <c r="X400" s="11">
        <f>IFERROR(__xludf.DUMMYFUNCTION("""COMPUTED_VALUE"""),-0.6155173428439339)</f>
        <v>-0.6155173428</v>
      </c>
      <c r="Y400" s="11">
        <f>IFERROR(__xludf.DUMMYFUNCTION("""COMPUTED_VALUE"""),0.14098938148587195)</f>
        <v>0.1409893815</v>
      </c>
      <c r="Z400" s="11">
        <f>IFERROR(__xludf.DUMMYFUNCTION("""COMPUTED_VALUE"""),-0.5221645563539751)</f>
        <v>-0.5221645564</v>
      </c>
      <c r="AA400" s="11">
        <f>IFERROR(__xludf.DUMMYFUNCTION("""COMPUTED_VALUE"""),0.3096470256034866)</f>
        <v>0.3096470256</v>
      </c>
    </row>
    <row r="401">
      <c r="B401">
        <f>IFERROR(__xludf.DUMMYFUNCTION("""COMPUTED_VALUE"""),396.0)</f>
        <v>396</v>
      </c>
      <c r="D401" t="str">
        <f>IFERROR(__xludf.DUMMYFUNCTION("""COMPUTED_VALUE"""),"Blake Wesley")</f>
        <v>Blake Wesley</v>
      </c>
      <c r="F401" t="str">
        <f>IFERROR(__xludf.DUMMYFUNCTION("""COMPUTED_VALUE"""),"PG,SG")</f>
        <v>PG,SG</v>
      </c>
      <c r="G401" s="11">
        <f>IFERROR(__xludf.DUMMYFUNCTION("""COMPUTED_VALUE"""),-7.910279571486676)</f>
        <v>-7.910279571</v>
      </c>
      <c r="H401" s="11">
        <f>IFERROR(__xludf.DUMMYFUNCTION("""COMPUTED_VALUE"""),-7.910279571486676)</f>
        <v>-7.910279571</v>
      </c>
      <c r="I401" s="11">
        <f>IFERROR(__xludf.DUMMYFUNCTION("""COMPUTED_VALUE"""),0.0)</f>
        <v>0</v>
      </c>
      <c r="J401" s="11">
        <f>IFERROR(__xludf.DUMMYFUNCTION("""COMPUTED_VALUE"""),3.7)</f>
        <v>3.7</v>
      </c>
      <c r="K401" s="11">
        <f>IFERROR(__xludf.DUMMYFUNCTION("""COMPUTED_VALUE"""),0.3)</f>
        <v>0.3</v>
      </c>
      <c r="L401" s="11">
        <f>IFERROR(__xludf.DUMMYFUNCTION("""COMPUTED_VALUE"""),1.4)</f>
        <v>1.4</v>
      </c>
      <c r="M401" s="11">
        <f>IFERROR(__xludf.DUMMYFUNCTION("""COMPUTED_VALUE"""),2.2)</f>
        <v>2.2</v>
      </c>
      <c r="N401" s="11">
        <f>IFERROR(__xludf.DUMMYFUNCTION("""COMPUTED_VALUE"""),0.4)</f>
        <v>0.4</v>
      </c>
      <c r="O401" s="11">
        <f>IFERROR(__xludf.DUMMYFUNCTION("""COMPUTED_VALUE"""),0.1)</f>
        <v>0.1</v>
      </c>
      <c r="P401" s="15">
        <f>IFERROR(__xludf.DUMMYFUNCTION("""COMPUTED_VALUE"""),0.398)</f>
        <v>0.398</v>
      </c>
      <c r="Q401" s="15">
        <f>IFERROR(__xludf.DUMMYFUNCTION("""COMPUTED_VALUE"""),0.636)</f>
        <v>0.636</v>
      </c>
      <c r="R401" s="11">
        <f>IFERROR(__xludf.DUMMYFUNCTION("""COMPUTED_VALUE"""),1.0)</f>
        <v>1</v>
      </c>
      <c r="S401" s="11">
        <f>IFERROR(__xludf.DUMMYFUNCTION("""COMPUTED_VALUE"""),-2.486960948426344)</f>
        <v>-2.486960948</v>
      </c>
      <c r="T401" s="11">
        <f>IFERROR(__xludf.DUMMYFUNCTION("""COMPUTED_VALUE"""),-1.442113683980217)</f>
        <v>-1.442113684</v>
      </c>
      <c r="U401" s="11">
        <f>IFERROR(__xludf.DUMMYFUNCTION("""COMPUTED_VALUE"""),-1.8314299101394258)</f>
        <v>-1.83142991</v>
      </c>
      <c r="V401" s="11">
        <f>IFERROR(__xludf.DUMMYFUNCTION("""COMPUTED_VALUE"""),-0.7908437104398038)</f>
        <v>-0.7908437104</v>
      </c>
      <c r="W401" s="11">
        <f>IFERROR(__xludf.DUMMYFUNCTION("""COMPUTED_VALUE"""),-1.912459801316204)</f>
        <v>-1.912459801</v>
      </c>
      <c r="X401" s="11">
        <f>IFERROR(__xludf.DUMMYFUNCTION("""COMPUTED_VALUE"""),-1.150698449001903)</f>
        <v>-1.150698449</v>
      </c>
      <c r="Y401" s="11">
        <f>IFERROR(__xludf.DUMMYFUNCTION("""COMPUTED_VALUE"""),-0.4056093362168701)</f>
        <v>-0.4056093362</v>
      </c>
      <c r="Z401" s="11">
        <f>IFERROR(__xludf.DUMMYFUNCTION("""COMPUTED_VALUE"""),-0.562780638615805)</f>
        <v>-0.5627806386</v>
      </c>
      <c r="AA401" s="11">
        <f>IFERROR(__xludf.DUMMYFUNCTION("""COMPUTED_VALUE"""),0.18565595822355335)</f>
        <v>0.1856559582</v>
      </c>
    </row>
    <row r="402">
      <c r="B402">
        <f>IFERROR(__xludf.DUMMYFUNCTION("""COMPUTED_VALUE"""),397.0)</f>
        <v>397</v>
      </c>
      <c r="D402" t="str">
        <f>IFERROR(__xludf.DUMMYFUNCTION("""COMPUTED_VALUE"""),"Terrence Shannon Jr.")</f>
        <v>Terrence Shannon Jr.</v>
      </c>
      <c r="F402" t="str">
        <f>IFERROR(__xludf.DUMMYFUNCTION("""COMPUTED_VALUE"""),"SG")</f>
        <v>SG</v>
      </c>
      <c r="G402" s="11">
        <f>IFERROR(__xludf.DUMMYFUNCTION("""COMPUTED_VALUE"""),-8.126245685733089)</f>
        <v>-8.126245686</v>
      </c>
      <c r="H402" s="11">
        <f>IFERROR(__xludf.DUMMYFUNCTION("""COMPUTED_VALUE"""),-8.126245685733089)</f>
        <v>-8.126245686</v>
      </c>
      <c r="I402" s="11">
        <f>IFERROR(__xludf.DUMMYFUNCTION("""COMPUTED_VALUE"""),0.0)</f>
        <v>0</v>
      </c>
      <c r="J402" s="11">
        <f>IFERROR(__xludf.DUMMYFUNCTION("""COMPUTED_VALUE"""),4.2)</f>
        <v>4.2</v>
      </c>
      <c r="K402" s="11">
        <f>IFERROR(__xludf.DUMMYFUNCTION("""COMPUTED_VALUE"""),0.4)</f>
        <v>0.4</v>
      </c>
      <c r="L402" s="11">
        <f>IFERROR(__xludf.DUMMYFUNCTION("""COMPUTED_VALUE"""),0.7)</f>
        <v>0.7</v>
      </c>
      <c r="M402" s="11">
        <f>IFERROR(__xludf.DUMMYFUNCTION("""COMPUTED_VALUE"""),0.4)</f>
        <v>0.4</v>
      </c>
      <c r="N402" s="11">
        <f>IFERROR(__xludf.DUMMYFUNCTION("""COMPUTED_VALUE"""),0.2)</f>
        <v>0.2</v>
      </c>
      <c r="O402" s="11">
        <f>IFERROR(__xludf.DUMMYFUNCTION("""COMPUTED_VALUE"""),0.2)</f>
        <v>0.2</v>
      </c>
      <c r="P402" s="15">
        <f>IFERROR(__xludf.DUMMYFUNCTION("""COMPUTED_VALUE"""),0.475)</f>
        <v>0.475</v>
      </c>
      <c r="Q402" s="15">
        <f>IFERROR(__xludf.DUMMYFUNCTION("""COMPUTED_VALUE"""),0.801)</f>
        <v>0.801</v>
      </c>
      <c r="R402" s="11">
        <f>IFERROR(__xludf.DUMMYFUNCTION("""COMPUTED_VALUE"""),0.4)</f>
        <v>0.4</v>
      </c>
      <c r="S402" s="11">
        <f>IFERROR(__xludf.DUMMYFUNCTION("""COMPUTED_VALUE"""),-2.396636938610013)</f>
        <v>-2.396636939</v>
      </c>
      <c r="T402" s="11">
        <f>IFERROR(__xludf.DUMMYFUNCTION("""COMPUTED_VALUE"""),-1.3425893849486756)</f>
        <v>-1.342589385</v>
      </c>
      <c r="U402" s="11">
        <f>IFERROR(__xludf.DUMMYFUNCTION("""COMPUTED_VALUE"""),-2.1060145080142303)</f>
        <v>-2.106014508</v>
      </c>
      <c r="V402" s="11">
        <f>IFERROR(__xludf.DUMMYFUNCTION("""COMPUTED_VALUE"""),-1.610955578038197)</f>
        <v>-1.610955578</v>
      </c>
      <c r="W402" s="11">
        <f>IFERROR(__xludf.DUMMYFUNCTION("""COMPUTED_VALUE"""),-2.576325157635163)</f>
        <v>-2.576325158</v>
      </c>
      <c r="X402" s="11">
        <f>IFERROR(__xludf.DUMMYFUNCTION("""COMPUTED_VALUE"""),-0.9723047469492465)</f>
        <v>-0.9723047469</v>
      </c>
      <c r="Y402" s="11">
        <f>IFERROR(__xludf.DUMMYFUNCTION("""COMPUTED_VALUE"""),-0.0666752096182901)</f>
        <v>-0.06667520962</v>
      </c>
      <c r="Z402" s="11">
        <f>IFERROR(__xludf.DUMMYFUNCTION("""COMPUTED_VALUE"""),0.03448544136609172)</f>
        <v>0.03448544137</v>
      </c>
      <c r="AA402" s="11">
        <f>IFERROR(__xludf.DUMMYFUNCTION("""COMPUTED_VALUE"""),0.3344452390794733)</f>
        <v>0.3344452391</v>
      </c>
    </row>
    <row r="403">
      <c r="B403">
        <f>IFERROR(__xludf.DUMMYFUNCTION("""COMPUTED_VALUE"""),398.0)</f>
        <v>398</v>
      </c>
      <c r="D403" t="str">
        <f>IFERROR(__xludf.DUMMYFUNCTION("""COMPUTED_VALUE"""),"Vít Krejcí")</f>
        <v>Vít Krejcí</v>
      </c>
      <c r="F403" t="str">
        <f>IFERROR(__xludf.DUMMYFUNCTION("""COMPUTED_VALUE"""),"SG,SF")</f>
        <v>SG,SF</v>
      </c>
      <c r="G403" s="11">
        <f>IFERROR(__xludf.DUMMYFUNCTION("""COMPUTED_VALUE"""),-8.184429602153077)</f>
        <v>-8.184429602</v>
      </c>
      <c r="H403" s="11">
        <f>IFERROR(__xludf.DUMMYFUNCTION("""COMPUTED_VALUE"""),-8.184429602153077)</f>
        <v>-8.184429602</v>
      </c>
      <c r="I403" s="11">
        <f>IFERROR(__xludf.DUMMYFUNCTION("""COMPUTED_VALUE"""),0.0)</f>
        <v>0</v>
      </c>
      <c r="J403" s="11">
        <f>IFERROR(__xludf.DUMMYFUNCTION("""COMPUTED_VALUE"""),2.2)</f>
        <v>2.2</v>
      </c>
      <c r="K403" s="11">
        <f>IFERROR(__xludf.DUMMYFUNCTION("""COMPUTED_VALUE"""),0.4)</f>
        <v>0.4</v>
      </c>
      <c r="L403" s="11">
        <f>IFERROR(__xludf.DUMMYFUNCTION("""COMPUTED_VALUE"""),1.0)</f>
        <v>1</v>
      </c>
      <c r="M403" s="11">
        <f>IFERROR(__xludf.DUMMYFUNCTION("""COMPUTED_VALUE"""),0.8)</f>
        <v>0.8</v>
      </c>
      <c r="N403" s="11">
        <f>IFERROR(__xludf.DUMMYFUNCTION("""COMPUTED_VALUE"""),0.2)</f>
        <v>0.2</v>
      </c>
      <c r="O403" s="11">
        <f>IFERROR(__xludf.DUMMYFUNCTION("""COMPUTED_VALUE"""),0.1)</f>
        <v>0.1</v>
      </c>
      <c r="P403" s="15">
        <f>IFERROR(__xludf.DUMMYFUNCTION("""COMPUTED_VALUE"""),0.469)</f>
        <v>0.469</v>
      </c>
      <c r="Q403" s="15">
        <f>IFERROR(__xludf.DUMMYFUNCTION("""COMPUTED_VALUE"""),0.8)</f>
        <v>0.8</v>
      </c>
      <c r="R403" s="11">
        <f>IFERROR(__xludf.DUMMYFUNCTION("""COMPUTED_VALUE"""),0.3)</f>
        <v>0.3</v>
      </c>
      <c r="S403" s="11">
        <f>IFERROR(__xludf.DUMMYFUNCTION("""COMPUTED_VALUE"""),-2.757932977875338)</f>
        <v>-2.757932978</v>
      </c>
      <c r="T403" s="11">
        <f>IFERROR(__xludf.DUMMYFUNCTION("""COMPUTED_VALUE"""),-1.3425893849486756)</f>
        <v>-1.342589385</v>
      </c>
      <c r="U403" s="11">
        <f>IFERROR(__xludf.DUMMYFUNCTION("""COMPUTED_VALUE"""),-1.988335394639314)</f>
        <v>-1.988335395</v>
      </c>
      <c r="V403" s="11">
        <f>IFERROR(__xludf.DUMMYFUNCTION("""COMPUTED_VALUE"""),-1.428708496349665)</f>
        <v>-1.428708496</v>
      </c>
      <c r="W403" s="11">
        <f>IFERROR(__xludf.DUMMYFUNCTION("""COMPUTED_VALUE"""),-2.576325157635163)</f>
        <v>-2.576325158</v>
      </c>
      <c r="X403" s="11">
        <f>IFERROR(__xludf.DUMMYFUNCTION("""COMPUTED_VALUE"""),-1.150698449001903)</f>
        <v>-1.150698449</v>
      </c>
      <c r="Y403" s="11">
        <f>IFERROR(__xludf.DUMMYFUNCTION("""COMPUTED_VALUE"""),-0.0588173703770956)</f>
        <v>-0.05881737038</v>
      </c>
      <c r="Z403" s="11">
        <f>IFERROR(__xludf.DUMMYFUNCTION("""COMPUTED_VALUE"""),0.0018011982432779368)</f>
        <v>0.001801198243</v>
      </c>
      <c r="AA403" s="11">
        <f>IFERROR(__xludf.DUMMYFUNCTION("""COMPUTED_VALUE"""),0.3592434525554599)</f>
        <v>0.3592434526</v>
      </c>
    </row>
    <row r="404">
      <c r="B404">
        <f>IFERROR(__xludf.DUMMYFUNCTION("""COMPUTED_VALUE"""),399.0)</f>
        <v>399</v>
      </c>
      <c r="D404" t="str">
        <f>IFERROR(__xludf.DUMMYFUNCTION("""COMPUTED_VALUE"""),"Anthony Gill")</f>
        <v>Anthony Gill</v>
      </c>
      <c r="F404" t="str">
        <f>IFERROR(__xludf.DUMMYFUNCTION("""COMPUTED_VALUE"""),"PF,C")</f>
        <v>PF,C</v>
      </c>
      <c r="G404" s="11">
        <f>IFERROR(__xludf.DUMMYFUNCTION("""COMPUTED_VALUE"""),-8.187833765703507)</f>
        <v>-8.187833766</v>
      </c>
      <c r="H404" s="11">
        <f>IFERROR(__xludf.DUMMYFUNCTION("""COMPUTED_VALUE"""),-8.187833765703507)</f>
        <v>-8.187833766</v>
      </c>
      <c r="I404" s="11">
        <f>IFERROR(__xludf.DUMMYFUNCTION("""COMPUTED_VALUE"""),0.0)</f>
        <v>0</v>
      </c>
      <c r="J404" s="11">
        <f>IFERROR(__xludf.DUMMYFUNCTION("""COMPUTED_VALUE"""),3.1)</f>
        <v>3.1</v>
      </c>
      <c r="K404" s="11">
        <f>IFERROR(__xludf.DUMMYFUNCTION("""COMPUTED_VALUE"""),0.1)</f>
        <v>0.1</v>
      </c>
      <c r="L404" s="11">
        <f>IFERROR(__xludf.DUMMYFUNCTION("""COMPUTED_VALUE"""),1.6)</f>
        <v>1.6</v>
      </c>
      <c r="M404" s="11">
        <f>IFERROR(__xludf.DUMMYFUNCTION("""COMPUTED_VALUE"""),0.6)</f>
        <v>0.6</v>
      </c>
      <c r="N404" s="11">
        <f>IFERROR(__xludf.DUMMYFUNCTION("""COMPUTED_VALUE"""),0.2)</f>
        <v>0.2</v>
      </c>
      <c r="O404" s="11">
        <f>IFERROR(__xludf.DUMMYFUNCTION("""COMPUTED_VALUE"""),0.2)</f>
        <v>0.2</v>
      </c>
      <c r="P404" s="15">
        <f>IFERROR(__xludf.DUMMYFUNCTION("""COMPUTED_VALUE"""),0.5)</f>
        <v>0.5</v>
      </c>
      <c r="Q404" s="15">
        <f>IFERROR(__xludf.DUMMYFUNCTION("""COMPUTED_VALUE"""),0.762)</f>
        <v>0.762</v>
      </c>
      <c r="R404" s="11">
        <f>IFERROR(__xludf.DUMMYFUNCTION("""COMPUTED_VALUE"""),0.3)</f>
        <v>0.3</v>
      </c>
      <c r="S404" s="11">
        <f>IFERROR(__xludf.DUMMYFUNCTION("""COMPUTED_VALUE"""),-2.5953497602059414)</f>
        <v>-2.59534976</v>
      </c>
      <c r="T404" s="11">
        <f>IFERROR(__xludf.DUMMYFUNCTION("""COMPUTED_VALUE"""),-1.6411622820433)</f>
        <v>-1.641162282</v>
      </c>
      <c r="U404" s="11">
        <f>IFERROR(__xludf.DUMMYFUNCTION("""COMPUTED_VALUE"""),-1.7529771678894812)</f>
        <v>-1.752977168</v>
      </c>
      <c r="V404" s="11">
        <f>IFERROR(__xludf.DUMMYFUNCTION("""COMPUTED_VALUE"""),-1.5198320371939311)</f>
        <v>-1.519832037</v>
      </c>
      <c r="W404" s="11">
        <f>IFERROR(__xludf.DUMMYFUNCTION("""COMPUTED_VALUE"""),-2.576325157635163)</f>
        <v>-2.576325158</v>
      </c>
      <c r="X404" s="11">
        <f>IFERROR(__xludf.DUMMYFUNCTION("""COMPUTED_VALUE"""),-0.9723047469492465)</f>
        <v>-0.9723047469</v>
      </c>
      <c r="Y404" s="11">
        <f>IFERROR(__xludf.DUMMYFUNCTION("""COMPUTED_VALUE"""),0.008773707505181754)</f>
        <v>0.008773707505</v>
      </c>
      <c r="Z404" s="11">
        <f>IFERROR(__xludf.DUMMYFUNCTION("""COMPUTED_VALUE"""),-0.09324953405302637)</f>
        <v>-0.09324953405</v>
      </c>
      <c r="AA404" s="11">
        <f>IFERROR(__xludf.DUMMYFUNCTION("""COMPUTED_VALUE"""),0.3592434525554599)</f>
        <v>0.3592434526</v>
      </c>
    </row>
    <row r="405">
      <c r="B405">
        <f>IFERROR(__xludf.DUMMYFUNCTION("""COMPUTED_VALUE"""),400.0)</f>
        <v>400</v>
      </c>
      <c r="D405" t="str">
        <f>IFERROR(__xludf.DUMMYFUNCTION("""COMPUTED_VALUE"""),"Jared McCain")</f>
        <v>Jared McCain</v>
      </c>
      <c r="F405" t="str">
        <f>IFERROR(__xludf.DUMMYFUNCTION("""COMPUTED_VALUE"""),"PG")</f>
        <v>PG</v>
      </c>
      <c r="G405" s="11">
        <f>IFERROR(__xludf.DUMMYFUNCTION("""COMPUTED_VALUE"""),-8.295384518180182)</f>
        <v>-8.295384518</v>
      </c>
      <c r="H405" s="11">
        <f>IFERROR(__xludf.DUMMYFUNCTION("""COMPUTED_VALUE"""),-8.295384518180182)</f>
        <v>-8.295384518</v>
      </c>
      <c r="I405" s="11">
        <f>IFERROR(__xludf.DUMMYFUNCTION("""COMPUTED_VALUE"""),0.0)</f>
        <v>0</v>
      </c>
      <c r="J405" s="11">
        <f>IFERROR(__xludf.DUMMYFUNCTION("""COMPUTED_VALUE"""),2.9)</f>
        <v>2.9</v>
      </c>
      <c r="K405" s="11">
        <f>IFERROR(__xludf.DUMMYFUNCTION("""COMPUTED_VALUE"""),0.5)</f>
        <v>0.5</v>
      </c>
      <c r="L405" s="11">
        <f>IFERROR(__xludf.DUMMYFUNCTION("""COMPUTED_VALUE"""),1.0)</f>
        <v>1</v>
      </c>
      <c r="M405" s="11">
        <f>IFERROR(__xludf.DUMMYFUNCTION("""COMPUTED_VALUE"""),0.4)</f>
        <v>0.4</v>
      </c>
      <c r="N405" s="11">
        <f>IFERROR(__xludf.DUMMYFUNCTION("""COMPUTED_VALUE"""),0.2)</f>
        <v>0.2</v>
      </c>
      <c r="O405" s="11">
        <f>IFERROR(__xludf.DUMMYFUNCTION("""COMPUTED_VALUE"""),0.0)</f>
        <v>0</v>
      </c>
      <c r="P405" s="15">
        <f>IFERROR(__xludf.DUMMYFUNCTION("""COMPUTED_VALUE"""),0.462)</f>
        <v>0.462</v>
      </c>
      <c r="Q405" s="15">
        <f>IFERROR(__xludf.DUMMYFUNCTION("""COMPUTED_VALUE"""),0.896)</f>
        <v>0.896</v>
      </c>
      <c r="R405" s="11">
        <f>IFERROR(__xludf.DUMMYFUNCTION("""COMPUTED_VALUE"""),0.3)</f>
        <v>0.3</v>
      </c>
      <c r="S405" s="11">
        <f>IFERROR(__xludf.DUMMYFUNCTION("""COMPUTED_VALUE"""),-2.631479364132474)</f>
        <v>-2.631479364</v>
      </c>
      <c r="T405" s="11">
        <f>IFERROR(__xludf.DUMMYFUNCTION("""COMPUTED_VALUE"""),-1.2430650859171342)</f>
        <v>-1.243065086</v>
      </c>
      <c r="U405" s="11">
        <f>IFERROR(__xludf.DUMMYFUNCTION("""COMPUTED_VALUE"""),-1.988335394639314)</f>
        <v>-1.988335395</v>
      </c>
      <c r="V405" s="11">
        <f>IFERROR(__xludf.DUMMYFUNCTION("""COMPUTED_VALUE"""),-1.610955578038197)</f>
        <v>-1.610955578</v>
      </c>
      <c r="W405" s="11">
        <f>IFERROR(__xludf.DUMMYFUNCTION("""COMPUTED_VALUE"""),-2.576325157635163)</f>
        <v>-2.576325158</v>
      </c>
      <c r="X405" s="11">
        <f>IFERROR(__xludf.DUMMYFUNCTION("""COMPUTED_VALUE"""),-1.3290921510545592)</f>
        <v>-1.329092151</v>
      </c>
      <c r="Y405" s="11">
        <f>IFERROR(__xludf.DUMMYFUNCTION("""COMPUTED_VALUE"""),-0.08584867887700448)</f>
        <v>-0.08584867888</v>
      </c>
      <c r="Z405" s="11">
        <f>IFERROR(__xludf.DUMMYFUNCTION("""COMPUTED_VALUE"""),0.17899407542573137)</f>
        <v>0.1789940754</v>
      </c>
      <c r="AA405" s="11">
        <f>IFERROR(__xludf.DUMMYFUNCTION("""COMPUTED_VALUE"""),0.3592434525554599)</f>
        <v>0.3592434526</v>
      </c>
    </row>
  </sheetData>
  <drawing r:id="rId1"/>
</worksheet>
</file>